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Dictionary" sheetId="1" r:id="rId4"/>
    <sheet state="visible" name="GDP" sheetId="2" r:id="rId5"/>
    <sheet state="visible" name="ENERGY" sheetId="3" r:id="rId6"/>
    <sheet state="visible" name="HUMAN RESOURCES" sheetId="4" r:id="rId7"/>
    <sheet state="visible" name="TOURISM" sheetId="5" r:id="rId8"/>
    <sheet state="visible" name="BUSINESS" sheetId="6" r:id="rId9"/>
    <sheet state="visible" name="Merged" sheetId="7" r:id="rId10"/>
  </sheets>
  <definedNames>
    <definedName hidden="1" localSheetId="1" name="_xlnm._FilterDatabase">GDP!$A$1:$G$2692</definedName>
    <definedName hidden="1" localSheetId="2" name="_xlnm._FilterDatabase">ENERGY!$B$1:$F$2692</definedName>
    <definedName hidden="1" localSheetId="3" name="_xlnm._FilterDatabase">'HUMAN RESOURCES'!$B$1:$M$2692</definedName>
    <definedName hidden="1" localSheetId="4" name="_xlnm._FilterDatabase">TOURISM!$B$1:$F$2692</definedName>
    <definedName hidden="1" localSheetId="6" name="_xlnm._FilterDatabase">Merged!$B$1:$AA$2692</definedName>
    <definedName hidden="1" localSheetId="1" name="Z_9945A1B1_4CCD_4153_8EC7_FAC024173AA2_.wvu.FilterData">GDP!$E$1:$E$2692</definedName>
  </definedNames>
  <calcPr/>
  <customWorkbookViews>
    <customWorkbookView activeSheetId="0" maximized="1" windowHeight="0" windowWidth="0" guid="{9945A1B1-4CCD-4153-8EC7-FAC024173AA2}" name="Filter 1"/>
  </customWorkbookViews>
</workbook>
</file>

<file path=xl/sharedStrings.xml><?xml version="1.0" encoding="utf-8"?>
<sst xmlns="http://schemas.openxmlformats.org/spreadsheetml/2006/main" count="48592" uniqueCount="287">
  <si>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</si>
  <si>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</si>
  <si>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</si>
  <si>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</si>
  <si>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</si>
  <si>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</si>
  <si>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</si>
  <si>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</si>
  <si>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</si>
  <si>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</si>
  <si>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</si>
  <si>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</si>
  <si>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</si>
  <si>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</si>
  <si>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</si>
  <si>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</si>
  <si>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</si>
  <si>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</si>
  <si>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</si>
  <si>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</si>
  <si>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</si>
  <si>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</si>
  <si>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</si>
  <si>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</si>
  <si>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</si>
  <si>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</si>
  <si>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</si>
  <si>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</si>
  <si>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</si>
  <si>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</si>
  <si>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</si>
  <si>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</si>
  <si>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</si>
  <si>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</si>
  <si>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</si>
  <si>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</si>
  <si>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</si>
  <si>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</si>
  <si>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</si>
  <si>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</si>
  <si>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</si>
  <si>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</si>
  <si>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</si>
  <si>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</si>
  <si>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</si>
  <si>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</si>
  <si>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</si>
  <si>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</si>
  <si>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</si>
  <si>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</si>
  <si>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</si>
  <si>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</si>
  <si>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</si>
  <si>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</si>
  <si>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</si>
  <si>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</si>
  <si>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</si>
  <si>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</si>
  <si>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YEAR</t>
  </si>
  <si>
    <t>Afghanistan-Asia</t>
  </si>
  <si>
    <t>2000</t>
  </si>
  <si>
    <t>Asia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</si>
  <si>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</si>
  <si>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</si>
  <si>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</si>
  <si>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</si>
  <si>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</si>
  <si>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</si>
  <si>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</si>
  <si>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</si>
  <si>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</si>
  <si>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</si>
  <si>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</si>
  <si>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</si>
  <si>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Albania-Europe</t>
  </si>
  <si>
    <t>Europe</t>
  </si>
  <si>
    <t>Algeria-Africa</t>
  </si>
  <si>
    <t>Africa</t>
  </si>
  <si>
    <t>american Samoa-Oceania</t>
  </si>
  <si>
    <t>American Samoa-Oceania</t>
  </si>
  <si>
    <t>Oceania</t>
  </si>
  <si>
    <t>Andorra-Europe</t>
  </si>
  <si>
    <t>Angola-Africa</t>
  </si>
  <si>
    <t>Antigua and Barbuda-The Americas</t>
  </si>
  <si>
    <t>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</si>
  <si>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</si>
  <si>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</si>
  <si>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</si>
  <si>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</si>
  <si>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</si>
  <si>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</si>
  <si>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</si>
  <si>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Bahrain-Middle East</t>
  </si>
  <si>
    <t>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</si>
  <si>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</si>
  <si>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</si>
  <si>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</si>
  <si>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</si>
  <si>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</si>
  <si>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</si>
  <si>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</si>
  <si>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</si>
  <si>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</si>
  <si>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</si>
  <si>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</si>
  <si>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</si>
  <si>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</si>
  <si>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</si>
  <si>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</si>
  <si>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</si>
  <si>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</si>
  <si>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</si>
  <si>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</si>
  <si>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</si>
  <si>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</si>
  <si>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</si>
  <si>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</si>
  <si>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</si>
  <si>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</si>
  <si>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</si>
  <si>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</si>
  <si>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</si>
  <si>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</si>
  <si>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</si>
  <si>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</si>
  <si>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</si>
  <si>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</si>
  <si>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</si>
  <si>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</si>
  <si>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</si>
  <si>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</si>
  <si>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</si>
  <si>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</si>
  <si>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</si>
  <si>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</si>
  <si>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</si>
  <si>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</si>
  <si>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</si>
  <si>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</si>
  <si>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</si>
  <si>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</si>
  <si>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</si>
  <si>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</si>
  <si>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</si>
  <si>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</si>
  <si>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</si>
  <si>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</si>
  <si>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</si>
  <si>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</si>
  <si>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</si>
  <si>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</si>
  <si>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</si>
  <si>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</si>
  <si>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</si>
  <si>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</si>
  <si>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</si>
  <si>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</si>
  <si>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</si>
  <si>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</si>
  <si>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</si>
  <si>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</si>
  <si>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</si>
  <si>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</si>
  <si>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</si>
  <si>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</si>
  <si>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</si>
  <si>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</si>
  <si>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</si>
  <si>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</si>
  <si>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</si>
  <si>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</si>
  <si>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</si>
  <si>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</si>
  <si>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</si>
  <si>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</si>
  <si>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</si>
  <si>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</si>
  <si>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</si>
  <si>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</si>
  <si>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</si>
  <si>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</si>
  <si>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</si>
  <si>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</si>
  <si>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</si>
  <si>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</si>
  <si>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</si>
  <si>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</si>
  <si>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</si>
  <si>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</si>
  <si>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</si>
  <si>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</si>
  <si>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</si>
  <si>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</si>
  <si>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</si>
  <si>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</si>
  <si>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</si>
  <si>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</si>
  <si>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</si>
  <si>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</si>
  <si>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</si>
  <si>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</si>
  <si>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</si>
  <si>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</si>
  <si>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</si>
  <si>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</si>
  <si>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</si>
  <si>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</si>
  <si>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</si>
  <si>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</si>
  <si>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</si>
  <si>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</si>
  <si>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</si>
  <si>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</si>
  <si>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</si>
  <si>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</si>
  <si>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</si>
  <si>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</si>
  <si>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</si>
  <si>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</si>
  <si>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</si>
  <si>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</si>
  <si>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</si>
  <si>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</si>
  <si>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</si>
  <si>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</si>
  <si>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</si>
  <si>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</si>
  <si>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</si>
  <si>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</si>
  <si>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</si>
  <si>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</si>
  <si>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</si>
  <si>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</si>
  <si>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</si>
  <si>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</si>
  <si>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</si>
  <si>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</si>
  <si>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</si>
  <si>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</si>
  <si>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</si>
  <si>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</si>
  <si>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</si>
  <si>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</si>
  <si>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</si>
  <si>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</si>
  <si>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</si>
  <si>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</si>
  <si>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</si>
  <si>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</si>
  <si>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</si>
  <si>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</si>
  <si>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</si>
  <si>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</si>
  <si>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</si>
  <si>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</si>
  <si>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</si>
  <si>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</si>
  <si>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</si>
  <si>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</si>
  <si>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</si>
  <si>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</si>
  <si>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</si>
  <si>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</si>
  <si>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</si>
  <si>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</si>
  <si>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</si>
  <si>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</si>
  <si>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</si>
  <si>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</si>
  <si>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</si>
  <si>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</si>
  <si>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</si>
  <si>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</si>
  <si>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</si>
  <si>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</si>
  <si>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</si>
  <si>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</si>
  <si>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</si>
  <si>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</si>
  <si>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</si>
  <si>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</si>
  <si>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</si>
  <si>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</si>
  <si>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</si>
  <si>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</si>
  <si>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</si>
  <si>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SrNo.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</si>
</sst>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mm-dd-yyyy"/>
  </numFmts>
  <fonts count="6">
    <font>
      <sz val="10.0"/>
      <color rgb="FF000000"/>
      <name val="Arial"/>
      <scheme val="minor"/>
    </font>
    <font>
      <b/>
      <color theme="0"/>
      <name val="Arial"/>
      <scheme val="minor"/>
    </font>
    <font>
      <color theme="1"/>
      <name val="Arial"/>
      <scheme val="minor"/>
    </font>
    <font>
      <sz val="11.0"/>
      <color rgb="FF000000"/>
      <name val="Calibri"/>
    </font>
    <font>
      <sz val="11.0"/>
      <color theme="1"/>
      <name val="Calibri"/>
    </font>
    <font>
      <sz val="11.0"/>
      <color rgb="FF000000"/>
      <name val="Monospace"/>
    </font>
  </fonts>
  <fills count="4">
    <fill>
      <patternFill patternType="none"/>
    </fill>
    <fill>
      <patternFill patternType="lightGray"/>
    </fill>
    <fill>
      <patternFill patternType="solid">
        <fgColor rgb="FF073763"/>
        <bgColor rgb="FF073763"/>
      </patternFill>
    </fill>
    <fill>
      <patternFill patternType="solid">
        <fgColor rgb="FFEFF0F1"/>
        <bgColor rgb="FFEFF0F1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0" fontId="2" numFmtId="0" xfId="0" applyAlignment="1" applyBorder="1" applyFont="1">
      <alignment readingOrder="0"/>
    </xf>
    <xf borderId="1" fillId="0" fontId="3" numFmtId="0" xfId="0" applyAlignment="1" applyBorder="1" applyFont="1">
      <alignment readingOrder="0" shrinkToFit="0" vertical="bottom" wrapText="0"/>
    </xf>
    <xf borderId="0" fillId="0" fontId="3" numFmtId="164" xfId="0" applyAlignment="1" applyFont="1" applyNumberFormat="1">
      <alignment readingOrder="0"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4" numFmtId="0" xfId="0" applyAlignment="1" applyFont="1">
      <alignment vertical="bottom"/>
    </xf>
    <xf borderId="0" fillId="0" fontId="3" numFmtId="164" xfId="0" applyAlignment="1" applyFont="1" applyNumberForma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4" numFmtId="165" xfId="0" applyAlignment="1" applyFont="1" applyNumberFormat="1">
      <alignment horizontal="right" vertical="bottom"/>
    </xf>
    <xf borderId="0" fillId="0" fontId="3" numFmtId="164" xfId="0" applyAlignment="1" applyFont="1" applyNumberFormat="1">
      <alignment horizontal="right" readingOrder="0"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11" xfId="0" applyAlignment="1" applyFont="1" applyNumberFormat="1">
      <alignment horizontal="right" readingOrder="0" shrinkToFit="0" vertical="bottom" wrapText="0"/>
    </xf>
    <xf borderId="0" fillId="0" fontId="2" numFmtId="0" xfId="0" applyFont="1"/>
    <xf borderId="0" fillId="3" fontId="5" numFmtId="0" xfId="0" applyAlignment="1" applyFill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75"/>
    <col customWidth="1" min="2" max="2" width="24.0"/>
    <col customWidth="1" min="3" max="3" width="50.88"/>
  </cols>
  <sheetData>
    <row r="4">
      <c r="A4" s="1" t="s">
        <v>0</v>
      </c>
      <c r="B4" s="1" t="s">
        <v>1</v>
      </c>
      <c r="C4" s="1" t="s">
        <v>2</v>
      </c>
    </row>
    <row r="5">
      <c r="A5" s="2" t="s">
        <v>3</v>
      </c>
      <c r="B5" s="3" t="s">
        <v>4</v>
      </c>
      <c r="C5" s="2" t="s">
        <v>4</v>
      </c>
    </row>
    <row r="6">
      <c r="A6" s="2" t="s">
        <v>3</v>
      </c>
      <c r="B6" s="3" t="s">
        <v>5</v>
      </c>
      <c r="C6" s="2" t="s">
        <v>6</v>
      </c>
    </row>
    <row r="7">
      <c r="A7" s="2" t="s">
        <v>3</v>
      </c>
      <c r="B7" s="3" t="s">
        <v>7</v>
      </c>
      <c r="C7" s="2" t="s">
        <v>8</v>
      </c>
    </row>
    <row r="8">
      <c r="A8" s="2" t="s">
        <v>3</v>
      </c>
      <c r="B8" s="3" t="s">
        <v>3</v>
      </c>
      <c r="C8" s="2" t="s">
        <v>9</v>
      </c>
    </row>
    <row r="9">
      <c r="A9" s="2" t="s">
        <v>3</v>
      </c>
      <c r="B9" s="3" t="s">
        <v>10</v>
      </c>
      <c r="C9" s="2" t="s">
        <v>11</v>
      </c>
    </row>
    <row r="10">
      <c r="A10" s="2" t="s">
        <v>3</v>
      </c>
      <c r="B10" s="3" t="s">
        <v>12</v>
      </c>
      <c r="C10" s="2" t="s">
        <v>13</v>
      </c>
    </row>
    <row r="11">
      <c r="A11" s="2" t="s">
        <v>3</v>
      </c>
      <c r="B11" s="3" t="s">
        <v>14</v>
      </c>
      <c r="C11" s="2" t="s">
        <v>15</v>
      </c>
    </row>
    <row r="12">
      <c r="A12" s="2" t="s">
        <v>16</v>
      </c>
      <c r="B12" s="3" t="s">
        <v>17</v>
      </c>
      <c r="C12" s="2" t="s">
        <v>18</v>
      </c>
    </row>
    <row r="13">
      <c r="A13" s="2" t="s">
        <v>16</v>
      </c>
      <c r="B13" s="3" t="s">
        <v>19</v>
      </c>
      <c r="C13" s="2" t="s">
        <v>20</v>
      </c>
    </row>
    <row r="14">
      <c r="A14" s="2" t="s">
        <v>21</v>
      </c>
      <c r="B14" s="3" t="s">
        <v>22</v>
      </c>
      <c r="C14" s="2" t="s">
        <v>23</v>
      </c>
    </row>
    <row r="15">
      <c r="A15" s="2" t="s">
        <v>21</v>
      </c>
      <c r="B15" s="3" t="s">
        <v>24</v>
      </c>
      <c r="C15" s="2" t="s">
        <v>25</v>
      </c>
    </row>
    <row r="16">
      <c r="A16" s="2" t="s">
        <v>21</v>
      </c>
      <c r="B16" s="3" t="s">
        <v>26</v>
      </c>
      <c r="C16" s="2" t="s">
        <v>27</v>
      </c>
    </row>
    <row r="17">
      <c r="A17" s="2" t="s">
        <v>21</v>
      </c>
      <c r="B17" s="3" t="s">
        <v>28</v>
      </c>
      <c r="C17" s="2" t="s">
        <v>29</v>
      </c>
    </row>
    <row r="18">
      <c r="A18" s="2" t="s">
        <v>21</v>
      </c>
      <c r="B18" s="3" t="s">
        <v>30</v>
      </c>
      <c r="C18" s="2" t="s">
        <v>31</v>
      </c>
    </row>
    <row r="19">
      <c r="A19" s="2" t="s">
        <v>21</v>
      </c>
      <c r="B19" s="3" t="s">
        <v>32</v>
      </c>
      <c r="C19" s="2" t="s">
        <v>33</v>
      </c>
    </row>
    <row r="20">
      <c r="A20" s="2" t="s">
        <v>21</v>
      </c>
      <c r="B20" s="3" t="s">
        <v>34</v>
      </c>
      <c r="C20" s="2" t="s">
        <v>35</v>
      </c>
    </row>
    <row r="21">
      <c r="A21" s="2" t="s">
        <v>21</v>
      </c>
      <c r="B21" s="3" t="s">
        <v>36</v>
      </c>
      <c r="C21" s="2" t="s">
        <v>37</v>
      </c>
    </row>
    <row r="22">
      <c r="A22" s="2" t="s">
        <v>21</v>
      </c>
      <c r="B22" s="3" t="s">
        <v>38</v>
      </c>
      <c r="C22" s="2" t="s">
        <v>39</v>
      </c>
    </row>
    <row r="23">
      <c r="A23" s="2" t="s">
        <v>40</v>
      </c>
      <c r="B23" s="3" t="s">
        <v>41</v>
      </c>
      <c r="C23" s="2" t="s">
        <v>42</v>
      </c>
    </row>
    <row r="24">
      <c r="A24" s="2" t="s">
        <v>40</v>
      </c>
      <c r="B24" s="3" t="s">
        <v>43</v>
      </c>
      <c r="C24" s="2" t="s">
        <v>44</v>
      </c>
    </row>
    <row r="25">
      <c r="A25" s="2" t="s">
        <v>45</v>
      </c>
      <c r="B25" s="3" t="s">
        <v>46</v>
      </c>
      <c r="C25" s="2" t="s">
        <v>47</v>
      </c>
    </row>
    <row r="26">
      <c r="A26" s="2" t="s">
        <v>45</v>
      </c>
      <c r="B26" s="3" t="s">
        <v>48</v>
      </c>
      <c r="C26" s="2" t="s">
        <v>49</v>
      </c>
    </row>
    <row r="27">
      <c r="A27" s="2" t="s">
        <v>45</v>
      </c>
      <c r="B27" s="3" t="s">
        <v>50</v>
      </c>
      <c r="C27" s="2" t="s">
        <v>51</v>
      </c>
    </row>
    <row r="28">
      <c r="A28" s="2" t="s">
        <v>45</v>
      </c>
      <c r="B28" s="3" t="s">
        <v>52</v>
      </c>
      <c r="C28" s="2" t="s">
        <v>53</v>
      </c>
    </row>
    <row r="29">
      <c r="A29" s="2" t="s">
        <v>45</v>
      </c>
      <c r="B29" s="3" t="s">
        <v>54</v>
      </c>
      <c r="C29" s="2" t="s">
        <v>55</v>
      </c>
    </row>
    <row r="30">
      <c r="A30" s="2" t="s">
        <v>45</v>
      </c>
      <c r="B30" s="3" t="s">
        <v>56</v>
      </c>
      <c r="C30" s="2" t="s">
        <v>57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5.25"/>
    <col customWidth="1" min="2" max="2" width="17.38"/>
    <col customWidth="1" min="3" max="3" width="24.5"/>
    <col customWidth="1" min="5" max="5" width="24.75"/>
  </cols>
  <sheetData>
    <row r="1">
      <c r="A1" s="4" t="s">
        <v>3</v>
      </c>
      <c r="B1" s="5" t="s">
        <v>10</v>
      </c>
      <c r="C1" s="5" t="s">
        <v>12</v>
      </c>
      <c r="D1" s="5" t="s">
        <v>14</v>
      </c>
      <c r="E1" s="4" t="s">
        <v>5</v>
      </c>
      <c r="F1" s="6" t="s">
        <v>58</v>
      </c>
      <c r="G1" s="5" t="s">
        <v>4</v>
      </c>
    </row>
    <row r="2">
      <c r="A2" s="7"/>
      <c r="B2" s="8"/>
      <c r="C2" s="8"/>
      <c r="D2" s="8"/>
      <c r="E2" s="7" t="s">
        <v>59</v>
      </c>
      <c r="F2" s="9" t="s">
        <v>60</v>
      </c>
      <c r="G2" s="5" t="s">
        <v>61</v>
      </c>
    </row>
    <row r="3">
      <c r="A3" s="10">
        <v>2.461666315E9</v>
      </c>
      <c r="B3" s="8"/>
      <c r="C3" s="8"/>
      <c r="D3" s="8"/>
      <c r="E3" s="7" t="s">
        <v>59</v>
      </c>
      <c r="F3" s="9" t="s">
        <v>62</v>
      </c>
      <c r="G3" s="5" t="s">
        <v>61</v>
      </c>
    </row>
    <row r="4">
      <c r="A4" s="10">
        <v>4.128818043E9</v>
      </c>
      <c r="B4" s="11">
        <v>0.089</v>
      </c>
      <c r="C4" s="11">
        <v>14.0</v>
      </c>
      <c r="D4" s="8"/>
      <c r="E4" s="7" t="s">
        <v>59</v>
      </c>
      <c r="F4" s="9" t="s">
        <v>63</v>
      </c>
      <c r="G4" s="5" t="s">
        <v>61</v>
      </c>
    </row>
    <row r="5">
      <c r="A5" s="10">
        <v>4.583648922E9</v>
      </c>
      <c r="B5" s="11">
        <v>0.1</v>
      </c>
      <c r="C5" s="11">
        <v>18.0</v>
      </c>
      <c r="D5" s="8"/>
      <c r="E5" s="7" t="s">
        <v>59</v>
      </c>
      <c r="F5" s="9" t="s">
        <v>64</v>
      </c>
      <c r="G5" s="5" t="s">
        <v>61</v>
      </c>
    </row>
    <row r="6">
      <c r="A6" s="10">
        <v>5.285461999E9</v>
      </c>
      <c r="B6" s="11">
        <v>0.098</v>
      </c>
      <c r="C6" s="11">
        <v>19.0</v>
      </c>
      <c r="D6" s="8"/>
      <c r="E6" s="7" t="s">
        <v>59</v>
      </c>
      <c r="F6" s="9" t="s">
        <v>65</v>
      </c>
      <c r="G6" s="5" t="s">
        <v>61</v>
      </c>
    </row>
    <row r="7">
      <c r="A7" s="10">
        <v>6.275076016E9</v>
      </c>
      <c r="B7" s="11">
        <v>0.092</v>
      </c>
      <c r="C7" s="11">
        <v>21.0</v>
      </c>
      <c r="D7" s="8"/>
      <c r="E7" s="7" t="s">
        <v>59</v>
      </c>
      <c r="F7" s="9" t="s">
        <v>66</v>
      </c>
      <c r="G7" s="5" t="s">
        <v>61</v>
      </c>
    </row>
    <row r="8">
      <c r="A8" s="10">
        <v>7.057597615E9</v>
      </c>
      <c r="B8" s="11">
        <v>0.091</v>
      </c>
      <c r="C8" s="11">
        <v>23.0</v>
      </c>
      <c r="D8" s="11">
        <v>0.18</v>
      </c>
      <c r="E8" s="7" t="s">
        <v>59</v>
      </c>
      <c r="F8" s="9" t="s">
        <v>67</v>
      </c>
      <c r="G8" s="5" t="s">
        <v>61</v>
      </c>
    </row>
    <row r="9">
      <c r="A9" s="10">
        <v>9.843851009E9</v>
      </c>
      <c r="B9" s="11">
        <v>0.1</v>
      </c>
      <c r="C9" s="11">
        <v>30.0</v>
      </c>
      <c r="D9" s="11">
        <v>0.181</v>
      </c>
      <c r="E9" s="7" t="s">
        <v>59</v>
      </c>
      <c r="F9" s="9" t="s">
        <v>68</v>
      </c>
      <c r="G9" s="5" t="s">
        <v>61</v>
      </c>
    </row>
    <row r="10">
      <c r="A10" s="10">
        <v>1.0190534636E10</v>
      </c>
      <c r="B10" s="11">
        <v>0.097</v>
      </c>
      <c r="C10" s="11">
        <v>35.0</v>
      </c>
      <c r="D10" s="11">
        <v>0.149</v>
      </c>
      <c r="E10" s="7" t="s">
        <v>59</v>
      </c>
      <c r="F10" s="9" t="s">
        <v>69</v>
      </c>
      <c r="G10" s="5" t="s">
        <v>61</v>
      </c>
    </row>
    <row r="11">
      <c r="A11" s="10">
        <v>1.2486950469E10</v>
      </c>
      <c r="B11" s="11">
        <v>0.087</v>
      </c>
      <c r="C11" s="11">
        <v>35.0</v>
      </c>
      <c r="D11" s="11">
        <v>0.15</v>
      </c>
      <c r="E11" s="7" t="s">
        <v>59</v>
      </c>
      <c r="F11" s="9" t="s">
        <v>70</v>
      </c>
      <c r="G11" s="5" t="s">
        <v>61</v>
      </c>
    </row>
    <row r="12">
      <c r="A12" s="10">
        <v>1.5936784436E10</v>
      </c>
      <c r="B12" s="11">
        <v>0.087</v>
      </c>
      <c r="C12" s="11">
        <v>43.0</v>
      </c>
      <c r="D12" s="11">
        <v>0.157</v>
      </c>
      <c r="E12" s="7" t="s">
        <v>59</v>
      </c>
      <c r="F12" s="9" t="s">
        <v>71</v>
      </c>
      <c r="G12" s="5" t="s">
        <v>61</v>
      </c>
    </row>
    <row r="13">
      <c r="A13" s="10">
        <v>1.7870159082E10</v>
      </c>
      <c r="B13" s="11">
        <v>0.084</v>
      </c>
      <c r="C13" s="11">
        <v>48.0</v>
      </c>
      <c r="D13" s="11">
        <v>0.151</v>
      </c>
      <c r="E13" s="7" t="s">
        <v>59</v>
      </c>
      <c r="F13" s="9" t="s">
        <v>72</v>
      </c>
      <c r="G13" s="5" t="s">
        <v>61</v>
      </c>
    </row>
    <row r="14">
      <c r="A14" s="10">
        <v>2.0506795254E10</v>
      </c>
      <c r="B14" s="11">
        <v>0.086</v>
      </c>
      <c r="C14" s="11">
        <v>51.0</v>
      </c>
      <c r="D14" s="11">
        <v>0.15</v>
      </c>
      <c r="E14" s="7" t="s">
        <v>59</v>
      </c>
      <c r="F14" s="9" t="s">
        <v>73</v>
      </c>
      <c r="G14" s="5" t="s">
        <v>61</v>
      </c>
    </row>
    <row r="15">
      <c r="A15" s="10">
        <v>3.686649387E9</v>
      </c>
      <c r="B15" s="11">
        <v>0.064</v>
      </c>
      <c r="C15" s="11">
        <v>70.0</v>
      </c>
      <c r="D15" s="11">
        <v>0.221</v>
      </c>
      <c r="E15" s="7" t="s">
        <v>74</v>
      </c>
      <c r="F15" s="9" t="s">
        <v>60</v>
      </c>
      <c r="G15" s="5" t="s">
        <v>75</v>
      </c>
    </row>
    <row r="16">
      <c r="A16" s="10">
        <v>4.091020249E9</v>
      </c>
      <c r="B16" s="11">
        <v>0.06</v>
      </c>
      <c r="C16" s="11">
        <v>75.0</v>
      </c>
      <c r="D16" s="11">
        <v>0.197</v>
      </c>
      <c r="E16" s="7" t="s">
        <v>74</v>
      </c>
      <c r="F16" s="9" t="s">
        <v>62</v>
      </c>
      <c r="G16" s="5" t="s">
        <v>75</v>
      </c>
    </row>
    <row r="17">
      <c r="A17" s="10">
        <v>4.449373456E9</v>
      </c>
      <c r="B17" s="11">
        <v>0.065</v>
      </c>
      <c r="C17" s="11">
        <v>89.0</v>
      </c>
      <c r="D17" s="11">
        <v>0.153</v>
      </c>
      <c r="E17" s="7" t="s">
        <v>74</v>
      </c>
      <c r="F17" s="9" t="s">
        <v>63</v>
      </c>
      <c r="G17" s="5" t="s">
        <v>75</v>
      </c>
    </row>
    <row r="18">
      <c r="A18" s="10">
        <v>5.652325082E9</v>
      </c>
      <c r="B18" s="11">
        <v>0.062</v>
      </c>
      <c r="C18" s="11">
        <v>108.0</v>
      </c>
      <c r="D18" s="11">
        <v>0.143</v>
      </c>
      <c r="E18" s="7" t="s">
        <v>74</v>
      </c>
      <c r="F18" s="9" t="s">
        <v>64</v>
      </c>
      <c r="G18" s="5" t="s">
        <v>75</v>
      </c>
    </row>
    <row r="19">
      <c r="A19" s="10">
        <v>7.46444695E9</v>
      </c>
      <c r="B19" s="11">
        <v>0.065</v>
      </c>
      <c r="C19" s="11">
        <v>148.0</v>
      </c>
      <c r="D19" s="11">
        <v>0.118</v>
      </c>
      <c r="E19" s="7" t="s">
        <v>74</v>
      </c>
      <c r="F19" s="9" t="s">
        <v>65</v>
      </c>
      <c r="G19" s="5" t="s">
        <v>75</v>
      </c>
    </row>
    <row r="20">
      <c r="A20" s="10">
        <v>8.37648374E9</v>
      </c>
      <c r="B20" s="11">
        <v>0.063</v>
      </c>
      <c r="C20" s="11">
        <v>160.0</v>
      </c>
      <c r="D20" s="11">
        <v>0.131</v>
      </c>
      <c r="E20" s="7" t="s">
        <v>74</v>
      </c>
      <c r="F20" s="9" t="s">
        <v>66</v>
      </c>
      <c r="G20" s="5" t="s">
        <v>75</v>
      </c>
    </row>
    <row r="21">
      <c r="A21" s="10">
        <v>9.132562332E9</v>
      </c>
      <c r="B21" s="11">
        <v>0.06</v>
      </c>
      <c r="C21" s="11">
        <v>168.0</v>
      </c>
      <c r="D21" s="11">
        <v>0.129</v>
      </c>
      <c r="E21" s="7" t="s">
        <v>74</v>
      </c>
      <c r="F21" s="9" t="s">
        <v>67</v>
      </c>
      <c r="G21" s="5" t="s">
        <v>75</v>
      </c>
    </row>
    <row r="22">
      <c r="A22" s="10">
        <v>1.0701011856E10</v>
      </c>
      <c r="B22" s="11">
        <v>0.064</v>
      </c>
      <c r="C22" s="11">
        <v>218.0</v>
      </c>
      <c r="D22" s="11">
        <v>0.141</v>
      </c>
      <c r="E22" s="7" t="s">
        <v>74</v>
      </c>
      <c r="F22" s="9" t="s">
        <v>68</v>
      </c>
      <c r="G22" s="5" t="s">
        <v>75</v>
      </c>
    </row>
    <row r="23">
      <c r="A23" s="10">
        <v>1.2881352688E10</v>
      </c>
      <c r="B23" s="11">
        <v>0.061</v>
      </c>
      <c r="C23" s="11">
        <v>251.0</v>
      </c>
      <c r="D23" s="11">
        <v>0.13</v>
      </c>
      <c r="E23" s="7" t="s">
        <v>74</v>
      </c>
      <c r="F23" s="9" t="s">
        <v>69</v>
      </c>
      <c r="G23" s="5" t="s">
        <v>75</v>
      </c>
    </row>
    <row r="24">
      <c r="A24" s="10">
        <v>1.2044212904E10</v>
      </c>
      <c r="B24" s="11">
        <v>0.06</v>
      </c>
      <c r="C24" s="11">
        <v>230.0</v>
      </c>
      <c r="D24" s="11">
        <v>0.127</v>
      </c>
      <c r="E24" s="7" t="s">
        <v>74</v>
      </c>
      <c r="F24" s="9" t="s">
        <v>70</v>
      </c>
      <c r="G24" s="5" t="s">
        <v>75</v>
      </c>
    </row>
    <row r="25">
      <c r="A25" s="10">
        <v>1.1926953259E10</v>
      </c>
      <c r="B25" s="11">
        <v>0.055</v>
      </c>
      <c r="C25" s="11">
        <v>207.0</v>
      </c>
      <c r="D25" s="11">
        <v>0.128</v>
      </c>
      <c r="E25" s="7" t="s">
        <v>74</v>
      </c>
      <c r="F25" s="9" t="s">
        <v>71</v>
      </c>
      <c r="G25" s="5" t="s">
        <v>75</v>
      </c>
    </row>
    <row r="26">
      <c r="A26" s="10">
        <v>1.2890867763E10</v>
      </c>
      <c r="B26" s="11">
        <v>0.06</v>
      </c>
      <c r="C26" s="11">
        <v>243.0</v>
      </c>
      <c r="D26" s="11">
        <v>0.124</v>
      </c>
      <c r="E26" s="7" t="s">
        <v>74</v>
      </c>
      <c r="F26" s="9" t="s">
        <v>72</v>
      </c>
      <c r="G26" s="5" t="s">
        <v>75</v>
      </c>
    </row>
    <row r="27">
      <c r="A27" s="10">
        <v>1.2344532541E10</v>
      </c>
      <c r="B27" s="11">
        <v>0.06</v>
      </c>
      <c r="C27" s="11">
        <v>228.0</v>
      </c>
      <c r="D27" s="11">
        <v>0.109</v>
      </c>
      <c r="E27" s="7" t="s">
        <v>74</v>
      </c>
      <c r="F27" s="9" t="s">
        <v>73</v>
      </c>
      <c r="G27" s="5" t="s">
        <v>75</v>
      </c>
    </row>
    <row r="28">
      <c r="A28" s="10">
        <v>5.4790058957E10</v>
      </c>
      <c r="B28" s="11">
        <v>0.035</v>
      </c>
      <c r="C28" s="11">
        <v>60.0</v>
      </c>
      <c r="D28" s="11">
        <v>0.1</v>
      </c>
      <c r="E28" s="7" t="s">
        <v>76</v>
      </c>
      <c r="F28" s="9" t="s">
        <v>60</v>
      </c>
      <c r="G28" s="5" t="s">
        <v>77</v>
      </c>
    </row>
    <row r="29">
      <c r="A29" s="10">
        <v>5.4744716706E10</v>
      </c>
      <c r="B29" s="11">
        <v>0.038</v>
      </c>
      <c r="C29" s="11">
        <v>65.0</v>
      </c>
      <c r="D29" s="11">
        <v>0.095</v>
      </c>
      <c r="E29" s="7" t="s">
        <v>76</v>
      </c>
      <c r="F29" s="9" t="s">
        <v>62</v>
      </c>
      <c r="G29" s="5" t="s">
        <v>77</v>
      </c>
    </row>
    <row r="30">
      <c r="A30" s="10">
        <v>5.6760288962E10</v>
      </c>
      <c r="B30" s="11">
        <v>0.037</v>
      </c>
      <c r="C30" s="11">
        <v>65.0</v>
      </c>
      <c r="D30" s="11">
        <v>0.086</v>
      </c>
      <c r="E30" s="7" t="s">
        <v>76</v>
      </c>
      <c r="F30" s="9" t="s">
        <v>63</v>
      </c>
      <c r="G30" s="5" t="s">
        <v>77</v>
      </c>
    </row>
    <row r="31">
      <c r="A31" s="10">
        <v>6.7863832648E10</v>
      </c>
      <c r="B31" s="11">
        <v>0.036</v>
      </c>
      <c r="C31" s="11">
        <v>74.0</v>
      </c>
      <c r="D31" s="11">
        <v>0.081</v>
      </c>
      <c r="E31" s="7" t="s">
        <v>76</v>
      </c>
      <c r="F31" s="9" t="s">
        <v>64</v>
      </c>
      <c r="G31" s="5" t="s">
        <v>77</v>
      </c>
    </row>
    <row r="32">
      <c r="A32" s="10">
        <v>8.532499737E10</v>
      </c>
      <c r="B32" s="11">
        <v>0.035</v>
      </c>
      <c r="C32" s="11">
        <v>90.0</v>
      </c>
      <c r="D32" s="11">
        <v>0.08</v>
      </c>
      <c r="E32" s="7" t="s">
        <v>76</v>
      </c>
      <c r="F32" s="9" t="s">
        <v>65</v>
      </c>
      <c r="G32" s="5" t="s">
        <v>77</v>
      </c>
    </row>
    <row r="33">
      <c r="A33" s="10">
        <v>1.03E11</v>
      </c>
      <c r="B33" s="11">
        <v>0.031</v>
      </c>
      <c r="C33" s="11">
        <v>95.0</v>
      </c>
      <c r="D33" s="11">
        <v>0.08</v>
      </c>
      <c r="E33" s="7" t="s">
        <v>76</v>
      </c>
      <c r="F33" s="9" t="s">
        <v>66</v>
      </c>
      <c r="G33" s="5" t="s">
        <v>77</v>
      </c>
    </row>
    <row r="34">
      <c r="A34" s="10">
        <v>1.17E11</v>
      </c>
      <c r="B34" s="11">
        <v>0.031</v>
      </c>
      <c r="C34" s="11">
        <v>106.0</v>
      </c>
      <c r="D34" s="11">
        <v>0.08</v>
      </c>
      <c r="E34" s="7" t="s">
        <v>76</v>
      </c>
      <c r="F34" s="9" t="s">
        <v>67</v>
      </c>
      <c r="G34" s="5" t="s">
        <v>77</v>
      </c>
    </row>
    <row r="35">
      <c r="A35" s="10">
        <v>1.35E11</v>
      </c>
      <c r="B35" s="11">
        <v>0.035</v>
      </c>
      <c r="C35" s="11">
        <v>135.0</v>
      </c>
      <c r="D35" s="11">
        <v>0.08</v>
      </c>
      <c r="E35" s="7" t="s">
        <v>76</v>
      </c>
      <c r="F35" s="9" t="s">
        <v>68</v>
      </c>
      <c r="G35" s="5" t="s">
        <v>77</v>
      </c>
    </row>
    <row r="36">
      <c r="A36" s="10">
        <v>1.71E11</v>
      </c>
      <c r="B36" s="11">
        <v>0.038</v>
      </c>
      <c r="C36" s="11">
        <v>183.0</v>
      </c>
      <c r="D36" s="11">
        <v>0.08</v>
      </c>
      <c r="E36" s="7" t="s">
        <v>76</v>
      </c>
      <c r="F36" s="9" t="s">
        <v>69</v>
      </c>
      <c r="G36" s="5" t="s">
        <v>77</v>
      </c>
    </row>
    <row r="37">
      <c r="A37" s="10">
        <v>1.37E11</v>
      </c>
      <c r="B37" s="11">
        <v>0.046</v>
      </c>
      <c r="C37" s="11">
        <v>174.0</v>
      </c>
      <c r="D37" s="11">
        <v>0.08</v>
      </c>
      <c r="E37" s="7" t="s">
        <v>76</v>
      </c>
      <c r="F37" s="9" t="s">
        <v>70</v>
      </c>
      <c r="G37" s="5" t="s">
        <v>77</v>
      </c>
    </row>
    <row r="38">
      <c r="A38" s="10">
        <v>1.61E11</v>
      </c>
      <c r="B38" s="11">
        <v>0.042</v>
      </c>
      <c r="C38" s="11">
        <v>181.0</v>
      </c>
      <c r="D38" s="11">
        <v>0.08</v>
      </c>
      <c r="E38" s="7" t="s">
        <v>76</v>
      </c>
      <c r="F38" s="9" t="s">
        <v>71</v>
      </c>
      <c r="G38" s="5" t="s">
        <v>77</v>
      </c>
    </row>
    <row r="39">
      <c r="A39" s="10">
        <v>1.99E11</v>
      </c>
      <c r="B39" s="11">
        <v>0.044</v>
      </c>
      <c r="C39" s="11">
        <v>233.0</v>
      </c>
      <c r="D39" s="11">
        <v>0.08</v>
      </c>
      <c r="E39" s="7" t="s">
        <v>76</v>
      </c>
      <c r="F39" s="9" t="s">
        <v>72</v>
      </c>
      <c r="G39" s="5" t="s">
        <v>77</v>
      </c>
    </row>
    <row r="40">
      <c r="A40" s="10">
        <v>2.04E11</v>
      </c>
      <c r="B40" s="11">
        <v>0.052</v>
      </c>
      <c r="C40" s="11">
        <v>279.0</v>
      </c>
      <c r="D40" s="11">
        <v>0.08</v>
      </c>
      <c r="E40" s="7" t="s">
        <v>76</v>
      </c>
      <c r="F40" s="9" t="s">
        <v>73</v>
      </c>
      <c r="G40" s="5" t="s">
        <v>77</v>
      </c>
    </row>
    <row r="41">
      <c r="A41" s="10">
        <v>1.0417060605E10</v>
      </c>
      <c r="B41" s="11">
        <v>0.065</v>
      </c>
      <c r="C41" s="11">
        <v>42.0</v>
      </c>
      <c r="D41" s="8"/>
      <c r="E41" s="4" t="s">
        <v>78</v>
      </c>
      <c r="F41" s="9" t="s">
        <v>60</v>
      </c>
      <c r="G41" s="5" t="s">
        <v>77</v>
      </c>
    </row>
    <row r="42">
      <c r="A42" s="7"/>
      <c r="B42" s="8"/>
      <c r="C42" s="8"/>
      <c r="D42" s="8"/>
      <c r="E42" s="7" t="s">
        <v>79</v>
      </c>
      <c r="F42" s="9" t="s">
        <v>62</v>
      </c>
      <c r="G42" s="5" t="s">
        <v>80</v>
      </c>
    </row>
    <row r="43">
      <c r="A43" s="7"/>
      <c r="B43" s="8"/>
      <c r="C43" s="8"/>
      <c r="D43" s="8"/>
      <c r="E43" s="7" t="s">
        <v>79</v>
      </c>
      <c r="F43" s="9" t="s">
        <v>63</v>
      </c>
      <c r="G43" s="5" t="s">
        <v>80</v>
      </c>
    </row>
    <row r="44">
      <c r="A44" s="7"/>
      <c r="B44" s="8"/>
      <c r="C44" s="8"/>
      <c r="D44" s="8"/>
      <c r="E44" s="7" t="s">
        <v>79</v>
      </c>
      <c r="F44" s="9" t="s">
        <v>64</v>
      </c>
      <c r="G44" s="5" t="s">
        <v>80</v>
      </c>
    </row>
    <row r="45">
      <c r="A45" s="7"/>
      <c r="B45" s="8"/>
      <c r="C45" s="8"/>
      <c r="D45" s="8"/>
      <c r="E45" s="7" t="s">
        <v>79</v>
      </c>
      <c r="F45" s="9" t="s">
        <v>65</v>
      </c>
      <c r="G45" s="5" t="s">
        <v>80</v>
      </c>
    </row>
    <row r="46">
      <c r="A46" s="7"/>
      <c r="B46" s="8"/>
      <c r="C46" s="8"/>
      <c r="D46" s="8"/>
      <c r="E46" s="7" t="s">
        <v>79</v>
      </c>
      <c r="F46" s="9" t="s">
        <v>66</v>
      </c>
      <c r="G46" s="5" t="s">
        <v>80</v>
      </c>
    </row>
    <row r="47">
      <c r="A47" s="7"/>
      <c r="B47" s="8"/>
      <c r="C47" s="8"/>
      <c r="D47" s="8"/>
      <c r="E47" s="7" t="s">
        <v>79</v>
      </c>
      <c r="F47" s="9" t="s">
        <v>67</v>
      </c>
      <c r="G47" s="5" t="s">
        <v>80</v>
      </c>
    </row>
    <row r="48">
      <c r="A48" s="7"/>
      <c r="B48" s="8"/>
      <c r="C48" s="8"/>
      <c r="D48" s="8"/>
      <c r="E48" s="7" t="s">
        <v>79</v>
      </c>
      <c r="F48" s="9" t="s">
        <v>68</v>
      </c>
      <c r="G48" s="5" t="s">
        <v>80</v>
      </c>
    </row>
    <row r="49">
      <c r="A49" s="7"/>
      <c r="B49" s="8"/>
      <c r="C49" s="8"/>
      <c r="D49" s="8"/>
      <c r="E49" s="7" t="s">
        <v>79</v>
      </c>
      <c r="F49" s="9" t="s">
        <v>69</v>
      </c>
      <c r="G49" s="5" t="s">
        <v>80</v>
      </c>
    </row>
    <row r="50">
      <c r="A50" s="7"/>
      <c r="B50" s="8"/>
      <c r="C50" s="8"/>
      <c r="D50" s="8"/>
      <c r="E50" s="7" t="s">
        <v>79</v>
      </c>
      <c r="F50" s="9" t="s">
        <v>70</v>
      </c>
      <c r="G50" s="5" t="s">
        <v>80</v>
      </c>
    </row>
    <row r="51">
      <c r="A51" s="7"/>
      <c r="B51" s="8"/>
      <c r="C51" s="8"/>
      <c r="D51" s="8"/>
      <c r="E51" s="7" t="s">
        <v>79</v>
      </c>
      <c r="F51" s="9" t="s">
        <v>71</v>
      </c>
      <c r="G51" s="5" t="s">
        <v>80</v>
      </c>
    </row>
    <row r="52">
      <c r="A52" s="7"/>
      <c r="B52" s="8"/>
      <c r="C52" s="8"/>
      <c r="D52" s="8"/>
      <c r="E52" s="7" t="s">
        <v>79</v>
      </c>
      <c r="F52" s="9" t="s">
        <v>72</v>
      </c>
      <c r="G52" s="5" t="s">
        <v>80</v>
      </c>
    </row>
    <row r="53">
      <c r="A53" s="7"/>
      <c r="B53" s="8"/>
      <c r="C53" s="8"/>
      <c r="D53" s="8"/>
      <c r="E53" s="7" t="s">
        <v>79</v>
      </c>
      <c r="F53" s="9" t="s">
        <v>73</v>
      </c>
      <c r="G53" s="5" t="s">
        <v>80</v>
      </c>
    </row>
    <row r="54">
      <c r="A54" s="7"/>
      <c r="B54" s="8"/>
      <c r="C54" s="8"/>
      <c r="D54" s="8"/>
      <c r="E54" s="7" t="s">
        <v>79</v>
      </c>
      <c r="F54" s="9" t="s">
        <v>60</v>
      </c>
      <c r="G54" s="5" t="s">
        <v>80</v>
      </c>
    </row>
    <row r="55">
      <c r="A55" s="10">
        <v>1.133644295E9</v>
      </c>
      <c r="B55" s="11">
        <v>0.062</v>
      </c>
      <c r="C55" s="11">
        <v>1330.0</v>
      </c>
      <c r="D55" s="8"/>
      <c r="E55" s="7" t="s">
        <v>81</v>
      </c>
      <c r="F55" s="9" t="s">
        <v>62</v>
      </c>
      <c r="G55" s="5" t="s">
        <v>75</v>
      </c>
    </row>
    <row r="56">
      <c r="A56" s="10">
        <v>1.264760246E9</v>
      </c>
      <c r="B56" s="11">
        <v>0.056</v>
      </c>
      <c r="C56" s="11">
        <v>1294.0</v>
      </c>
      <c r="D56" s="8"/>
      <c r="E56" s="7" t="s">
        <v>81</v>
      </c>
      <c r="F56" s="9" t="s">
        <v>63</v>
      </c>
      <c r="G56" s="5" t="s">
        <v>75</v>
      </c>
    </row>
    <row r="57">
      <c r="A57" s="10">
        <v>1.456198796E9</v>
      </c>
      <c r="B57" s="11">
        <v>0.058</v>
      </c>
      <c r="C57" s="11">
        <v>1486.0</v>
      </c>
      <c r="D57" s="8"/>
      <c r="E57" s="7" t="s">
        <v>81</v>
      </c>
      <c r="F57" s="9" t="s">
        <v>64</v>
      </c>
      <c r="G57" s="5" t="s">
        <v>75</v>
      </c>
    </row>
    <row r="58">
      <c r="A58" s="10">
        <v>1.917948475E9</v>
      </c>
      <c r="B58" s="11">
        <v>0.058</v>
      </c>
      <c r="C58" s="11">
        <v>1891.0</v>
      </c>
      <c r="D58" s="8"/>
      <c r="E58" s="7" t="s">
        <v>81</v>
      </c>
      <c r="F58" s="9" t="s">
        <v>65</v>
      </c>
      <c r="G58" s="5" t="s">
        <v>75</v>
      </c>
    </row>
    <row r="59">
      <c r="A59" s="10">
        <v>2.322163502E9</v>
      </c>
      <c r="B59" s="11">
        <v>0.057</v>
      </c>
      <c r="C59" s="11">
        <v>2193.0</v>
      </c>
      <c r="D59" s="8"/>
      <c r="E59" s="7" t="s">
        <v>81</v>
      </c>
      <c r="F59" s="9" t="s">
        <v>66</v>
      </c>
      <c r="G59" s="5" t="s">
        <v>75</v>
      </c>
    </row>
    <row r="60">
      <c r="A60" s="10">
        <v>2.539759286E9</v>
      </c>
      <c r="B60" s="11">
        <v>0.058</v>
      </c>
      <c r="C60" s="11">
        <v>2356.0</v>
      </c>
      <c r="D60" s="8"/>
      <c r="E60" s="7" t="s">
        <v>81</v>
      </c>
      <c r="F60" s="9" t="s">
        <v>67</v>
      </c>
      <c r="G60" s="5" t="s">
        <v>75</v>
      </c>
    </row>
    <row r="61">
      <c r="A61" s="10">
        <v>2.823503853E9</v>
      </c>
      <c r="B61" s="11">
        <v>0.06</v>
      </c>
      <c r="C61" s="11">
        <v>2631.0</v>
      </c>
      <c r="D61" s="8"/>
      <c r="E61" s="7" t="s">
        <v>81</v>
      </c>
      <c r="F61" s="9" t="s">
        <v>68</v>
      </c>
      <c r="G61" s="5" t="s">
        <v>75</v>
      </c>
    </row>
    <row r="62">
      <c r="A62" s="10">
        <v>3.245411584E9</v>
      </c>
      <c r="B62" s="11">
        <v>0.062</v>
      </c>
      <c r="C62" s="11">
        <v>3012.0</v>
      </c>
      <c r="D62" s="8"/>
      <c r="E62" s="7" t="s">
        <v>81</v>
      </c>
      <c r="F62" s="9" t="s">
        <v>69</v>
      </c>
      <c r="G62" s="5" t="s">
        <v>75</v>
      </c>
    </row>
    <row r="63">
      <c r="A63" s="10">
        <v>3.712034267E9</v>
      </c>
      <c r="B63" s="11">
        <v>0.062</v>
      </c>
      <c r="C63" s="11">
        <v>3105.0</v>
      </c>
      <c r="D63" s="8"/>
      <c r="E63" s="7" t="s">
        <v>81</v>
      </c>
      <c r="F63" s="9" t="s">
        <v>70</v>
      </c>
      <c r="G63" s="5" t="s">
        <v>75</v>
      </c>
    </row>
    <row r="64">
      <c r="A64" s="7"/>
      <c r="B64" s="11">
        <v>0.062</v>
      </c>
      <c r="C64" s="11">
        <v>2762.0</v>
      </c>
      <c r="D64" s="8"/>
      <c r="E64" s="7" t="s">
        <v>81</v>
      </c>
      <c r="F64" s="9" t="s">
        <v>71</v>
      </c>
      <c r="G64" s="5" t="s">
        <v>75</v>
      </c>
    </row>
    <row r="65">
      <c r="A65" s="7"/>
      <c r="B65" s="11">
        <v>0.072</v>
      </c>
      <c r="C65" s="11">
        <v>2958.0</v>
      </c>
      <c r="D65" s="8"/>
      <c r="E65" s="7" t="s">
        <v>81</v>
      </c>
      <c r="F65" s="9" t="s">
        <v>72</v>
      </c>
      <c r="G65" s="5" t="s">
        <v>75</v>
      </c>
    </row>
    <row r="66">
      <c r="A66" s="7"/>
      <c r="B66" s="11">
        <v>0.072</v>
      </c>
      <c r="C66" s="11">
        <v>3053.0</v>
      </c>
      <c r="D66" s="8"/>
      <c r="E66" s="7" t="s">
        <v>81</v>
      </c>
      <c r="F66" s="9" t="s">
        <v>73</v>
      </c>
      <c r="G66" s="5" t="s">
        <v>75</v>
      </c>
    </row>
    <row r="67">
      <c r="A67" s="7"/>
      <c r="B67" s="11">
        <v>0.083</v>
      </c>
      <c r="C67" s="11">
        <v>3057.0</v>
      </c>
      <c r="D67" s="8"/>
      <c r="E67" s="7" t="s">
        <v>81</v>
      </c>
      <c r="F67" s="9" t="s">
        <v>60</v>
      </c>
      <c r="G67" s="5" t="s">
        <v>75</v>
      </c>
    </row>
    <row r="68">
      <c r="A68" s="10">
        <v>9.129594819E9</v>
      </c>
      <c r="B68" s="11">
        <v>0.034</v>
      </c>
      <c r="C68" s="11">
        <v>22.0</v>
      </c>
      <c r="D68" s="11">
        <v>1.032</v>
      </c>
      <c r="E68" s="7" t="s">
        <v>82</v>
      </c>
      <c r="F68" s="9" t="s">
        <v>62</v>
      </c>
      <c r="G68" s="5" t="s">
        <v>77</v>
      </c>
    </row>
    <row r="69">
      <c r="A69" s="10">
        <v>8.936079253E9</v>
      </c>
      <c r="B69" s="11">
        <v>0.058</v>
      </c>
      <c r="C69" s="11">
        <v>36.0</v>
      </c>
      <c r="D69" s="11">
        <v>0.96</v>
      </c>
      <c r="E69" s="7" t="s">
        <v>82</v>
      </c>
      <c r="F69" s="9" t="s">
        <v>63</v>
      </c>
      <c r="G69" s="5" t="s">
        <v>77</v>
      </c>
    </row>
    <row r="70">
      <c r="A70" s="10">
        <v>1.2497346043E10</v>
      </c>
      <c r="B70" s="11">
        <v>0.044</v>
      </c>
      <c r="C70" s="11">
        <v>33.0</v>
      </c>
      <c r="D70" s="11">
        <v>0.973</v>
      </c>
      <c r="E70" s="7" t="s">
        <v>82</v>
      </c>
      <c r="F70" s="9" t="s">
        <v>64</v>
      </c>
      <c r="G70" s="5" t="s">
        <v>77</v>
      </c>
    </row>
    <row r="71">
      <c r="A71" s="10">
        <v>1.418894924E10</v>
      </c>
      <c r="B71" s="11">
        <v>0.049</v>
      </c>
      <c r="C71" s="11">
        <v>45.0</v>
      </c>
      <c r="D71" s="11">
        <v>0.961</v>
      </c>
      <c r="E71" s="7" t="s">
        <v>82</v>
      </c>
      <c r="F71" s="9" t="s">
        <v>65</v>
      </c>
      <c r="G71" s="5" t="s">
        <v>77</v>
      </c>
    </row>
    <row r="72">
      <c r="A72" s="10">
        <v>1.964086255E10</v>
      </c>
      <c r="B72" s="11">
        <v>0.051</v>
      </c>
      <c r="C72" s="11">
        <v>63.0</v>
      </c>
      <c r="D72" s="11">
        <v>0.823</v>
      </c>
      <c r="E72" s="7" t="s">
        <v>82</v>
      </c>
      <c r="F72" s="9" t="s">
        <v>66</v>
      </c>
      <c r="G72" s="5" t="s">
        <v>77</v>
      </c>
    </row>
    <row r="73">
      <c r="A73" s="10">
        <v>2.823369924E10</v>
      </c>
      <c r="B73" s="11">
        <v>0.042</v>
      </c>
      <c r="C73" s="11">
        <v>71.0</v>
      </c>
      <c r="D73" s="11">
        <v>0.677</v>
      </c>
      <c r="E73" s="7" t="s">
        <v>82</v>
      </c>
      <c r="F73" s="9" t="s">
        <v>67</v>
      </c>
      <c r="G73" s="5" t="s">
        <v>77</v>
      </c>
    </row>
    <row r="74">
      <c r="A74" s="10">
        <v>4.1789494462E10</v>
      </c>
      <c r="B74" s="11">
        <v>0.045</v>
      </c>
      <c r="C74" s="11">
        <v>111.0</v>
      </c>
      <c r="D74" s="11">
        <v>0.195</v>
      </c>
      <c r="E74" s="7" t="s">
        <v>82</v>
      </c>
      <c r="F74" s="9" t="s">
        <v>68</v>
      </c>
      <c r="G74" s="5" t="s">
        <v>77</v>
      </c>
    </row>
    <row r="75">
      <c r="A75" s="10">
        <v>6.0448890972E10</v>
      </c>
      <c r="B75" s="11">
        <v>0.034</v>
      </c>
      <c r="C75" s="11">
        <v>115.0</v>
      </c>
      <c r="D75" s="11">
        <v>0.177</v>
      </c>
      <c r="E75" s="7" t="s">
        <v>82</v>
      </c>
      <c r="F75" s="9" t="s">
        <v>69</v>
      </c>
      <c r="G75" s="5" t="s">
        <v>77</v>
      </c>
    </row>
    <row r="76">
      <c r="A76" s="10">
        <v>8.4178086999E10</v>
      </c>
      <c r="B76" s="11">
        <v>0.038</v>
      </c>
      <c r="C76" s="11">
        <v>177.0</v>
      </c>
      <c r="D76" s="11">
        <v>0.125</v>
      </c>
      <c r="E76" s="7" t="s">
        <v>82</v>
      </c>
      <c r="F76" s="9" t="s">
        <v>70</v>
      </c>
      <c r="G76" s="5" t="s">
        <v>77</v>
      </c>
    </row>
    <row r="77">
      <c r="A77" s="10">
        <v>7.5492417649E10</v>
      </c>
      <c r="B77" s="11">
        <v>0.044</v>
      </c>
      <c r="C77" s="11">
        <v>174.0</v>
      </c>
      <c r="D77" s="11">
        <v>0.157</v>
      </c>
      <c r="E77" s="7" t="s">
        <v>82</v>
      </c>
      <c r="F77" s="9" t="s">
        <v>71</v>
      </c>
      <c r="G77" s="5" t="s">
        <v>77</v>
      </c>
    </row>
    <row r="78">
      <c r="A78" s="10">
        <v>8.2470894868E10</v>
      </c>
      <c r="B78" s="11">
        <v>0.034</v>
      </c>
      <c r="C78" s="11">
        <v>144.0</v>
      </c>
      <c r="D78" s="11">
        <v>0.225</v>
      </c>
      <c r="E78" s="7" t="s">
        <v>82</v>
      </c>
      <c r="F78" s="9" t="s">
        <v>72</v>
      </c>
      <c r="G78" s="5" t="s">
        <v>77</v>
      </c>
    </row>
    <row r="79">
      <c r="A79" s="10">
        <v>1.04E11</v>
      </c>
      <c r="B79" s="11">
        <v>0.034</v>
      </c>
      <c r="C79" s="11">
        <v>178.0</v>
      </c>
      <c r="D79" s="11">
        <v>0.188</v>
      </c>
      <c r="E79" s="7" t="s">
        <v>82</v>
      </c>
      <c r="F79" s="9" t="s">
        <v>73</v>
      </c>
      <c r="G79" s="5" t="s">
        <v>77</v>
      </c>
    </row>
    <row r="80">
      <c r="A80" s="10">
        <v>1.15E11</v>
      </c>
      <c r="B80" s="11">
        <v>0.035</v>
      </c>
      <c r="C80" s="11">
        <v>190.0</v>
      </c>
      <c r="D80" s="11">
        <v>0.167</v>
      </c>
      <c r="E80" s="7" t="s">
        <v>82</v>
      </c>
      <c r="F80" s="9" t="s">
        <v>60</v>
      </c>
      <c r="G80" s="5" t="s">
        <v>77</v>
      </c>
    </row>
    <row r="81">
      <c r="A81" s="10">
        <v>7.87693391E8</v>
      </c>
      <c r="B81" s="11">
        <v>0.04</v>
      </c>
      <c r="C81" s="11">
        <v>408.0</v>
      </c>
      <c r="D81" s="11">
        <v>0.122</v>
      </c>
      <c r="E81" s="7" t="s">
        <v>83</v>
      </c>
      <c r="F81" s="9" t="s">
        <v>62</v>
      </c>
      <c r="G81" s="5" t="s">
        <v>84</v>
      </c>
    </row>
    <row r="82">
      <c r="A82" s="10">
        <v>7.78311557E8</v>
      </c>
      <c r="B82" s="11">
        <v>0.044</v>
      </c>
      <c r="C82" s="11">
        <v>429.0</v>
      </c>
      <c r="D82" s="11">
        <v>0.116</v>
      </c>
      <c r="E82" s="7" t="s">
        <v>83</v>
      </c>
      <c r="F82" s="9" t="s">
        <v>63</v>
      </c>
      <c r="G82" s="5" t="s">
        <v>84</v>
      </c>
    </row>
    <row r="83">
      <c r="A83" s="10">
        <v>8.06505874E8</v>
      </c>
      <c r="B83" s="11">
        <v>0.043</v>
      </c>
      <c r="C83" s="11">
        <v>433.0</v>
      </c>
      <c r="D83" s="11">
        <v>0.114</v>
      </c>
      <c r="E83" s="7" t="s">
        <v>83</v>
      </c>
      <c r="F83" s="9" t="s">
        <v>64</v>
      </c>
      <c r="G83" s="5" t="s">
        <v>84</v>
      </c>
    </row>
    <row r="84">
      <c r="A84" s="10">
        <v>8.49234754E8</v>
      </c>
      <c r="B84" s="11">
        <v>0.044</v>
      </c>
      <c r="C84" s="11">
        <v>457.0</v>
      </c>
      <c r="D84" s="11">
        <v>0.128</v>
      </c>
      <c r="E84" s="7" t="s">
        <v>83</v>
      </c>
      <c r="F84" s="9" t="s">
        <v>65</v>
      </c>
      <c r="G84" s="5" t="s">
        <v>84</v>
      </c>
    </row>
    <row r="85">
      <c r="A85" s="10">
        <v>9.05113767E8</v>
      </c>
      <c r="B85" s="11">
        <v>0.041</v>
      </c>
      <c r="C85" s="11">
        <v>453.0</v>
      </c>
      <c r="D85" s="11">
        <v>0.12</v>
      </c>
      <c r="E85" s="7" t="s">
        <v>83</v>
      </c>
      <c r="F85" s="9" t="s">
        <v>66</v>
      </c>
      <c r="G85" s="5" t="s">
        <v>84</v>
      </c>
    </row>
    <row r="86">
      <c r="A86" s="10">
        <v>1.001970945E9</v>
      </c>
      <c r="B86" s="11">
        <v>0.045</v>
      </c>
      <c r="C86" s="11">
        <v>544.0</v>
      </c>
      <c r="D86" s="11">
        <v>0.114</v>
      </c>
      <c r="E86" s="7" t="s">
        <v>83</v>
      </c>
      <c r="F86" s="9" t="s">
        <v>67</v>
      </c>
      <c r="G86" s="5" t="s">
        <v>84</v>
      </c>
    </row>
    <row r="87">
      <c r="A87" s="10">
        <v>1.14141834E9</v>
      </c>
      <c r="B87" s="11">
        <v>0.045</v>
      </c>
      <c r="C87" s="11">
        <v>607.0</v>
      </c>
      <c r="D87" s="11">
        <v>0.109</v>
      </c>
      <c r="E87" s="7" t="s">
        <v>83</v>
      </c>
      <c r="F87" s="9" t="s">
        <v>68</v>
      </c>
      <c r="G87" s="5" t="s">
        <v>84</v>
      </c>
    </row>
    <row r="88">
      <c r="A88" s="10">
        <v>1.289259236E9</v>
      </c>
      <c r="B88" s="11">
        <v>0.046</v>
      </c>
      <c r="C88" s="11">
        <v>698.0</v>
      </c>
      <c r="D88" s="11">
        <v>0.104</v>
      </c>
      <c r="E88" s="7" t="s">
        <v>83</v>
      </c>
      <c r="F88" s="9" t="s">
        <v>69</v>
      </c>
      <c r="G88" s="5" t="s">
        <v>84</v>
      </c>
    </row>
    <row r="89">
      <c r="A89" s="10">
        <v>1.347407407E9</v>
      </c>
      <c r="B89" s="11">
        <v>0.044</v>
      </c>
      <c r="C89" s="11">
        <v>702.0</v>
      </c>
      <c r="D89" s="11">
        <v>0.104</v>
      </c>
      <c r="E89" s="7" t="s">
        <v>83</v>
      </c>
      <c r="F89" s="9" t="s">
        <v>70</v>
      </c>
      <c r="G89" s="5" t="s">
        <v>84</v>
      </c>
    </row>
    <row r="90">
      <c r="A90" s="10">
        <v>1.206296296E9</v>
      </c>
      <c r="B90" s="11">
        <v>0.046</v>
      </c>
      <c r="C90" s="11">
        <v>638.0</v>
      </c>
      <c r="D90" s="11">
        <v>0.101</v>
      </c>
      <c r="E90" s="7" t="s">
        <v>83</v>
      </c>
      <c r="F90" s="9" t="s">
        <v>71</v>
      </c>
      <c r="G90" s="5" t="s">
        <v>84</v>
      </c>
    </row>
    <row r="91">
      <c r="A91" s="10">
        <v>1.135555556E9</v>
      </c>
      <c r="B91" s="11">
        <v>0.057</v>
      </c>
      <c r="C91" s="11">
        <v>736.0</v>
      </c>
      <c r="D91" s="11">
        <v>0.11</v>
      </c>
      <c r="E91" s="7" t="s">
        <v>83</v>
      </c>
      <c r="F91" s="9" t="s">
        <v>72</v>
      </c>
      <c r="G91" s="5" t="s">
        <v>84</v>
      </c>
    </row>
    <row r="92">
      <c r="A92" s="10">
        <v>1.127037037E9</v>
      </c>
      <c r="B92" s="11">
        <v>0.055</v>
      </c>
      <c r="C92" s="11">
        <v>703.0</v>
      </c>
      <c r="D92" s="11">
        <v>0.109</v>
      </c>
      <c r="E92" s="7" t="s">
        <v>83</v>
      </c>
      <c r="F92" s="9" t="s">
        <v>73</v>
      </c>
      <c r="G92" s="5" t="s">
        <v>84</v>
      </c>
    </row>
    <row r="93">
      <c r="A93" s="10">
        <v>1.194074074E9</v>
      </c>
      <c r="B93" s="11">
        <v>0.052</v>
      </c>
      <c r="C93" s="11">
        <v>681.0</v>
      </c>
      <c r="D93" s="11">
        <v>0.102</v>
      </c>
      <c r="E93" s="7" t="s">
        <v>83</v>
      </c>
      <c r="F93" s="9" t="s">
        <v>60</v>
      </c>
      <c r="G93" s="5" t="s">
        <v>84</v>
      </c>
    </row>
    <row r="94">
      <c r="A94" s="10">
        <v>3.44E11</v>
      </c>
      <c r="B94" s="11">
        <v>0.092</v>
      </c>
      <c r="C94" s="11">
        <v>710.0</v>
      </c>
      <c r="D94" s="11">
        <v>0.111</v>
      </c>
      <c r="E94" s="7" t="s">
        <v>85</v>
      </c>
      <c r="F94" s="9" t="s">
        <v>62</v>
      </c>
      <c r="G94" s="5" t="s">
        <v>84</v>
      </c>
    </row>
    <row r="95">
      <c r="A95" s="10">
        <v>3.25E11</v>
      </c>
      <c r="B95" s="11">
        <v>0.094</v>
      </c>
      <c r="C95" s="11">
        <v>676.0</v>
      </c>
      <c r="D95" s="11">
        <v>0.277</v>
      </c>
      <c r="E95" s="7" t="s">
        <v>85</v>
      </c>
      <c r="F95" s="9" t="s">
        <v>63</v>
      </c>
      <c r="G95" s="5" t="s">
        <v>84</v>
      </c>
    </row>
    <row r="96">
      <c r="A96" s="10">
        <v>1.24E11</v>
      </c>
      <c r="B96" s="11">
        <v>0.083</v>
      </c>
      <c r="C96" s="11">
        <v>225.0</v>
      </c>
      <c r="D96" s="11">
        <v>0.517</v>
      </c>
      <c r="E96" s="7" t="s">
        <v>85</v>
      </c>
      <c r="F96" s="9" t="s">
        <v>64</v>
      </c>
      <c r="G96" s="5" t="s">
        <v>84</v>
      </c>
    </row>
    <row r="97">
      <c r="A97" s="10">
        <v>1.57E11</v>
      </c>
      <c r="B97" s="11">
        <v>0.082</v>
      </c>
      <c r="C97" s="11">
        <v>280.0</v>
      </c>
      <c r="D97" s="11">
        <v>0.191</v>
      </c>
      <c r="E97" s="7" t="s">
        <v>85</v>
      </c>
      <c r="F97" s="9" t="s">
        <v>65</v>
      </c>
      <c r="G97" s="5" t="s">
        <v>84</v>
      </c>
    </row>
    <row r="98">
      <c r="A98" s="10">
        <v>1.83E11</v>
      </c>
      <c r="B98" s="11">
        <v>0.082</v>
      </c>
      <c r="C98" s="11">
        <v>327.0</v>
      </c>
      <c r="D98" s="11">
        <v>0.068</v>
      </c>
      <c r="E98" s="7" t="s">
        <v>85</v>
      </c>
      <c r="F98" s="9" t="s">
        <v>66</v>
      </c>
      <c r="G98" s="5" t="s">
        <v>84</v>
      </c>
    </row>
    <row r="99">
      <c r="A99" s="10">
        <v>2.23E11</v>
      </c>
      <c r="B99" s="11">
        <v>0.083</v>
      </c>
      <c r="C99" s="11">
        <v>395.0</v>
      </c>
      <c r="D99" s="11">
        <v>0.062</v>
      </c>
      <c r="E99" s="7" t="s">
        <v>85</v>
      </c>
      <c r="F99" s="9" t="s">
        <v>67</v>
      </c>
      <c r="G99" s="5" t="s">
        <v>84</v>
      </c>
    </row>
    <row r="100">
      <c r="A100" s="10">
        <v>2.64E11</v>
      </c>
      <c r="B100" s="11">
        <v>0.083</v>
      </c>
      <c r="C100" s="11">
        <v>454.0</v>
      </c>
      <c r="D100" s="11">
        <v>0.086</v>
      </c>
      <c r="E100" s="7" t="s">
        <v>85</v>
      </c>
      <c r="F100" s="9" t="s">
        <v>68</v>
      </c>
      <c r="G100" s="5" t="s">
        <v>84</v>
      </c>
    </row>
    <row r="101">
      <c r="A101" s="10">
        <v>3.3E11</v>
      </c>
      <c r="B101" s="11">
        <v>0.082</v>
      </c>
      <c r="C101" s="11">
        <v>548.0</v>
      </c>
      <c r="D101" s="11">
        <v>0.111</v>
      </c>
      <c r="E101" s="7" t="s">
        <v>85</v>
      </c>
      <c r="F101" s="9" t="s">
        <v>69</v>
      </c>
      <c r="G101" s="5" t="s">
        <v>84</v>
      </c>
    </row>
    <row r="102">
      <c r="A102" s="10">
        <v>4.06E11</v>
      </c>
      <c r="B102" s="11">
        <v>0.083</v>
      </c>
      <c r="C102" s="11">
        <v>686.0</v>
      </c>
      <c r="D102" s="11">
        <v>0.195</v>
      </c>
      <c r="E102" s="7" t="s">
        <v>85</v>
      </c>
      <c r="F102" s="9" t="s">
        <v>70</v>
      </c>
      <c r="G102" s="5" t="s">
        <v>84</v>
      </c>
    </row>
    <row r="103">
      <c r="A103" s="10">
        <v>3.78E11</v>
      </c>
      <c r="B103" s="11">
        <v>0.094</v>
      </c>
      <c r="C103" s="11">
        <v>726.0</v>
      </c>
      <c r="D103" s="11">
        <v>0.157</v>
      </c>
      <c r="E103" s="7" t="s">
        <v>85</v>
      </c>
      <c r="F103" s="9" t="s">
        <v>71</v>
      </c>
      <c r="G103" s="5" t="s">
        <v>84</v>
      </c>
    </row>
    <row r="104">
      <c r="A104" s="10">
        <v>4.63E11</v>
      </c>
      <c r="B104" s="11">
        <v>0.082</v>
      </c>
      <c r="C104" s="11">
        <v>751.0</v>
      </c>
      <c r="D104" s="11">
        <v>0.106</v>
      </c>
      <c r="E104" s="7" t="s">
        <v>85</v>
      </c>
      <c r="F104" s="9" t="s">
        <v>72</v>
      </c>
      <c r="G104" s="5" t="s">
        <v>84</v>
      </c>
    </row>
    <row r="105">
      <c r="A105" s="10">
        <v>5.58E11</v>
      </c>
      <c r="B105" s="11">
        <v>0.079</v>
      </c>
      <c r="C105" s="11">
        <v>866.0</v>
      </c>
      <c r="D105" s="11">
        <v>0.141</v>
      </c>
      <c r="E105" s="7" t="s">
        <v>85</v>
      </c>
      <c r="F105" s="9" t="s">
        <v>73</v>
      </c>
      <c r="G105" s="5" t="s">
        <v>84</v>
      </c>
    </row>
    <row r="106">
      <c r="A106" s="10">
        <v>6.03E11</v>
      </c>
      <c r="B106" s="11">
        <v>0.085</v>
      </c>
      <c r="C106" s="11">
        <v>995.0</v>
      </c>
      <c r="D106" s="11">
        <v>0.141</v>
      </c>
      <c r="E106" s="7" t="s">
        <v>85</v>
      </c>
      <c r="F106" s="9" t="s">
        <v>60</v>
      </c>
      <c r="G106" s="5" t="s">
        <v>84</v>
      </c>
    </row>
    <row r="107">
      <c r="A107" s="10">
        <v>1.911563665E9</v>
      </c>
      <c r="B107" s="11">
        <v>0.063</v>
      </c>
      <c r="C107" s="11">
        <v>39.0</v>
      </c>
      <c r="D107" s="11">
        <v>0.316</v>
      </c>
      <c r="E107" s="7" t="s">
        <v>86</v>
      </c>
      <c r="F107" s="9" t="s">
        <v>62</v>
      </c>
      <c r="G107" s="5" t="s">
        <v>61</v>
      </c>
    </row>
    <row r="108">
      <c r="A108" s="10">
        <v>2.118467913E9</v>
      </c>
      <c r="B108" s="11">
        <v>0.059</v>
      </c>
      <c r="C108" s="11">
        <v>41.0</v>
      </c>
      <c r="D108" s="11">
        <v>0.267</v>
      </c>
      <c r="E108" s="7" t="s">
        <v>86</v>
      </c>
      <c r="F108" s="9" t="s">
        <v>63</v>
      </c>
      <c r="G108" s="5" t="s">
        <v>61</v>
      </c>
    </row>
    <row r="109">
      <c r="A109" s="10">
        <v>2.376335048E9</v>
      </c>
      <c r="B109" s="11">
        <v>0.054</v>
      </c>
      <c r="C109" s="11">
        <v>42.0</v>
      </c>
      <c r="D109" s="11">
        <v>0.211</v>
      </c>
      <c r="E109" s="7" t="s">
        <v>86</v>
      </c>
      <c r="F109" s="9" t="s">
        <v>64</v>
      </c>
      <c r="G109" s="5" t="s">
        <v>61</v>
      </c>
    </row>
    <row r="110">
      <c r="A110" s="10">
        <v>2.807061009E9</v>
      </c>
      <c r="B110" s="11">
        <v>0.056</v>
      </c>
      <c r="C110" s="11">
        <v>51.0</v>
      </c>
      <c r="D110" s="11">
        <v>0.208</v>
      </c>
      <c r="E110" s="7" t="s">
        <v>86</v>
      </c>
      <c r="F110" s="9" t="s">
        <v>65</v>
      </c>
      <c r="G110" s="5" t="s">
        <v>61</v>
      </c>
    </row>
    <row r="111">
      <c r="A111" s="10">
        <v>3.57661524E9</v>
      </c>
      <c r="B111" s="11">
        <v>0.055</v>
      </c>
      <c r="C111" s="11">
        <v>65.0</v>
      </c>
      <c r="D111" s="11">
        <v>0.186</v>
      </c>
      <c r="E111" s="7" t="s">
        <v>86</v>
      </c>
      <c r="F111" s="9" t="s">
        <v>66</v>
      </c>
      <c r="G111" s="5" t="s">
        <v>61</v>
      </c>
    </row>
    <row r="112">
      <c r="A112" s="10">
        <v>4.900436759E9</v>
      </c>
      <c r="B112" s="11">
        <v>0.053</v>
      </c>
      <c r="C112" s="11">
        <v>85.0</v>
      </c>
      <c r="D112" s="11">
        <v>0.18</v>
      </c>
      <c r="E112" s="7" t="s">
        <v>86</v>
      </c>
      <c r="F112" s="9" t="s">
        <v>67</v>
      </c>
      <c r="G112" s="5" t="s">
        <v>61</v>
      </c>
    </row>
    <row r="113">
      <c r="A113" s="10">
        <v>6.384457744E9</v>
      </c>
      <c r="B113" s="11">
        <v>0.046</v>
      </c>
      <c r="C113" s="11">
        <v>97.0</v>
      </c>
      <c r="D113" s="11">
        <v>0.165</v>
      </c>
      <c r="E113" s="7" t="s">
        <v>86</v>
      </c>
      <c r="F113" s="9" t="s">
        <v>68</v>
      </c>
      <c r="G113" s="5" t="s">
        <v>61</v>
      </c>
    </row>
    <row r="114">
      <c r="A114" s="10">
        <v>9.2063017E9</v>
      </c>
      <c r="B114" s="11">
        <v>0.043</v>
      </c>
      <c r="C114" s="11">
        <v>133.0</v>
      </c>
      <c r="D114" s="11">
        <v>0.175</v>
      </c>
      <c r="E114" s="7" t="s">
        <v>86</v>
      </c>
      <c r="F114" s="9" t="s">
        <v>69</v>
      </c>
      <c r="G114" s="5" t="s">
        <v>61</v>
      </c>
    </row>
    <row r="115">
      <c r="A115" s="10">
        <v>1.1662040714E10</v>
      </c>
      <c r="B115" s="11">
        <v>0.038</v>
      </c>
      <c r="C115" s="11">
        <v>149.0</v>
      </c>
      <c r="D115" s="11">
        <v>0.17</v>
      </c>
      <c r="E115" s="7" t="s">
        <v>86</v>
      </c>
      <c r="F115" s="9" t="s">
        <v>70</v>
      </c>
      <c r="G115" s="5" t="s">
        <v>61</v>
      </c>
    </row>
    <row r="116">
      <c r="A116" s="10">
        <v>8.647936748E9</v>
      </c>
      <c r="B116" s="11">
        <v>0.045</v>
      </c>
      <c r="C116" s="11">
        <v>132.0</v>
      </c>
      <c r="D116" s="11">
        <v>0.188</v>
      </c>
      <c r="E116" s="7" t="s">
        <v>86</v>
      </c>
      <c r="F116" s="9" t="s">
        <v>71</v>
      </c>
      <c r="G116" s="5" t="s">
        <v>61</v>
      </c>
    </row>
    <row r="117">
      <c r="A117" s="10">
        <v>9.260287416E9</v>
      </c>
      <c r="B117" s="11">
        <v>0.046</v>
      </c>
      <c r="C117" s="11">
        <v>143.0</v>
      </c>
      <c r="D117" s="11">
        <v>0.192</v>
      </c>
      <c r="E117" s="7" t="s">
        <v>86</v>
      </c>
      <c r="F117" s="9" t="s">
        <v>72</v>
      </c>
      <c r="G117" s="5" t="s">
        <v>61</v>
      </c>
    </row>
    <row r="118">
      <c r="A118" s="10">
        <v>1.014234277E10</v>
      </c>
      <c r="B118" s="11">
        <v>0.037</v>
      </c>
      <c r="C118" s="11">
        <v>127.0</v>
      </c>
      <c r="D118" s="11">
        <v>0.178</v>
      </c>
      <c r="E118" s="7" t="s">
        <v>86</v>
      </c>
      <c r="F118" s="9" t="s">
        <v>73</v>
      </c>
      <c r="G118" s="5" t="s">
        <v>61</v>
      </c>
    </row>
    <row r="119">
      <c r="A119" s="10">
        <v>9.95821788E9</v>
      </c>
      <c r="B119" s="11">
        <v>0.045</v>
      </c>
      <c r="C119" s="11">
        <v>150.0</v>
      </c>
      <c r="D119" s="11">
        <v>0.172</v>
      </c>
      <c r="E119" s="7" t="s">
        <v>86</v>
      </c>
      <c r="F119" s="9" t="s">
        <v>60</v>
      </c>
      <c r="G119" s="5" t="s">
        <v>61</v>
      </c>
    </row>
    <row r="120">
      <c r="A120" s="10">
        <v>1.873452514E9</v>
      </c>
      <c r="B120" s="8"/>
      <c r="C120" s="8"/>
      <c r="D120" s="11">
        <v>0.121</v>
      </c>
      <c r="E120" s="7" t="s">
        <v>87</v>
      </c>
      <c r="F120" s="9" t="s">
        <v>62</v>
      </c>
      <c r="G120" s="5" t="s">
        <v>84</v>
      </c>
    </row>
    <row r="121">
      <c r="A121" s="10">
        <v>1.92026257E9</v>
      </c>
      <c r="B121" s="8"/>
      <c r="C121" s="8"/>
      <c r="D121" s="11">
        <v>0.121</v>
      </c>
      <c r="E121" s="7" t="s">
        <v>87</v>
      </c>
      <c r="F121" s="9" t="s">
        <v>63</v>
      </c>
      <c r="G121" s="5" t="s">
        <v>84</v>
      </c>
    </row>
    <row r="122">
      <c r="A122" s="10">
        <v>1.941094972E9</v>
      </c>
      <c r="B122" s="8"/>
      <c r="C122" s="8"/>
      <c r="D122" s="11">
        <v>0.131</v>
      </c>
      <c r="E122" s="7" t="s">
        <v>87</v>
      </c>
      <c r="F122" s="9" t="s">
        <v>64</v>
      </c>
      <c r="G122" s="5" t="s">
        <v>84</v>
      </c>
    </row>
    <row r="123">
      <c r="A123" s="10">
        <v>2.021301676E9</v>
      </c>
      <c r="B123" s="8"/>
      <c r="C123" s="8"/>
      <c r="D123" s="11">
        <v>0.115</v>
      </c>
      <c r="E123" s="7" t="s">
        <v>87</v>
      </c>
      <c r="F123" s="9" t="s">
        <v>65</v>
      </c>
      <c r="G123" s="5" t="s">
        <v>84</v>
      </c>
    </row>
    <row r="124">
      <c r="A124" s="10">
        <v>2.22827933E9</v>
      </c>
      <c r="B124" s="8"/>
      <c r="C124" s="8"/>
      <c r="D124" s="11">
        <v>0.116</v>
      </c>
      <c r="E124" s="7" t="s">
        <v>87</v>
      </c>
      <c r="F124" s="9" t="s">
        <v>66</v>
      </c>
      <c r="G124" s="5" t="s">
        <v>84</v>
      </c>
    </row>
    <row r="125">
      <c r="A125" s="10">
        <v>2.331005587E9</v>
      </c>
      <c r="B125" s="8"/>
      <c r="C125" s="8"/>
      <c r="D125" s="11">
        <v>0.115</v>
      </c>
      <c r="E125" s="7" t="s">
        <v>87</v>
      </c>
      <c r="F125" s="9" t="s">
        <v>67</v>
      </c>
      <c r="G125" s="5" t="s">
        <v>84</v>
      </c>
    </row>
    <row r="126">
      <c r="A126" s="10">
        <v>2.42147486E9</v>
      </c>
      <c r="B126" s="8"/>
      <c r="C126" s="8"/>
      <c r="D126" s="11">
        <v>0.113</v>
      </c>
      <c r="E126" s="7" t="s">
        <v>87</v>
      </c>
      <c r="F126" s="9" t="s">
        <v>68</v>
      </c>
      <c r="G126" s="5" t="s">
        <v>84</v>
      </c>
    </row>
    <row r="127">
      <c r="A127" s="10">
        <v>2.623726257E9</v>
      </c>
      <c r="B127" s="8"/>
      <c r="C127" s="8"/>
      <c r="D127" s="11">
        <v>0.11</v>
      </c>
      <c r="E127" s="7" t="s">
        <v>87</v>
      </c>
      <c r="F127" s="9" t="s">
        <v>69</v>
      </c>
      <c r="G127" s="5" t="s">
        <v>84</v>
      </c>
    </row>
    <row r="128">
      <c r="A128" s="10">
        <v>2.791960894E9</v>
      </c>
      <c r="B128" s="8"/>
      <c r="C128" s="8"/>
      <c r="D128" s="11">
        <v>0.112</v>
      </c>
      <c r="E128" s="7" t="s">
        <v>87</v>
      </c>
      <c r="F128" s="9" t="s">
        <v>70</v>
      </c>
      <c r="G128" s="5" t="s">
        <v>84</v>
      </c>
    </row>
    <row r="129">
      <c r="A129" s="10">
        <v>2.498932961E9</v>
      </c>
      <c r="B129" s="8"/>
      <c r="C129" s="8"/>
      <c r="D129" s="11">
        <v>0.108</v>
      </c>
      <c r="E129" s="7" t="s">
        <v>87</v>
      </c>
      <c r="F129" s="9" t="s">
        <v>71</v>
      </c>
      <c r="G129" s="5" t="s">
        <v>84</v>
      </c>
    </row>
    <row r="130">
      <c r="A130" s="10">
        <v>2.467703911E9</v>
      </c>
      <c r="B130" s="8"/>
      <c r="C130" s="8"/>
      <c r="D130" s="11">
        <v>0.107</v>
      </c>
      <c r="E130" s="7" t="s">
        <v>87</v>
      </c>
      <c r="F130" s="9" t="s">
        <v>72</v>
      </c>
      <c r="G130" s="5" t="s">
        <v>84</v>
      </c>
    </row>
    <row r="131">
      <c r="A131" s="10">
        <v>2.584463687E9</v>
      </c>
      <c r="B131" s="8"/>
      <c r="C131" s="8"/>
      <c r="D131" s="11">
        <v>0.097</v>
      </c>
      <c r="E131" s="7" t="s">
        <v>87</v>
      </c>
      <c r="F131" s="9" t="s">
        <v>73</v>
      </c>
      <c r="G131" s="5" t="s">
        <v>84</v>
      </c>
    </row>
    <row r="132">
      <c r="A132" s="7"/>
      <c r="B132" s="8"/>
      <c r="C132" s="8"/>
      <c r="D132" s="11">
        <v>0.092</v>
      </c>
      <c r="E132" s="7" t="s">
        <v>87</v>
      </c>
      <c r="F132" s="9" t="s">
        <v>60</v>
      </c>
      <c r="G132" s="5" t="s">
        <v>84</v>
      </c>
    </row>
    <row r="133">
      <c r="A133" s="10">
        <v>4.15E11</v>
      </c>
      <c r="B133" s="11">
        <v>0.081</v>
      </c>
      <c r="C133" s="11">
        <v>1713.0</v>
      </c>
      <c r="D133" s="11">
        <v>0.093</v>
      </c>
      <c r="E133" s="7" t="s">
        <v>88</v>
      </c>
      <c r="F133" s="9" t="s">
        <v>62</v>
      </c>
      <c r="G133" s="5" t="s">
        <v>80</v>
      </c>
    </row>
    <row r="134">
      <c r="A134" s="10">
        <v>3.79E11</v>
      </c>
      <c r="B134" s="11">
        <v>0.082</v>
      </c>
      <c r="C134" s="11">
        <v>1632.0</v>
      </c>
      <c r="D134" s="11">
        <v>0.087</v>
      </c>
      <c r="E134" s="7" t="s">
        <v>88</v>
      </c>
      <c r="F134" s="9" t="s">
        <v>63</v>
      </c>
      <c r="G134" s="5" t="s">
        <v>80</v>
      </c>
    </row>
    <row r="135">
      <c r="A135" s="10">
        <v>3.94E11</v>
      </c>
      <c r="B135" s="11">
        <v>0.084</v>
      </c>
      <c r="C135" s="11">
        <v>1847.0</v>
      </c>
      <c r="D135" s="11">
        <v>0.082</v>
      </c>
      <c r="E135" s="7" t="s">
        <v>88</v>
      </c>
      <c r="F135" s="9" t="s">
        <v>64</v>
      </c>
      <c r="G135" s="5" t="s">
        <v>80</v>
      </c>
    </row>
    <row r="136">
      <c r="A136" s="10">
        <v>4.67E11</v>
      </c>
      <c r="B136" s="11">
        <v>0.083</v>
      </c>
      <c r="C136" s="11">
        <v>2323.0</v>
      </c>
      <c r="D136" s="11">
        <v>0.084</v>
      </c>
      <c r="E136" s="7" t="s">
        <v>88</v>
      </c>
      <c r="F136" s="9" t="s">
        <v>65</v>
      </c>
      <c r="G136" s="5" t="s">
        <v>80</v>
      </c>
    </row>
    <row r="137">
      <c r="A137" s="10">
        <v>6.13E11</v>
      </c>
      <c r="B137" s="11">
        <v>0.086</v>
      </c>
      <c r="C137" s="11">
        <v>2872.0</v>
      </c>
      <c r="D137" s="11">
        <v>0.089</v>
      </c>
      <c r="E137" s="7" t="s">
        <v>88</v>
      </c>
      <c r="F137" s="9" t="s">
        <v>66</v>
      </c>
      <c r="G137" s="5" t="s">
        <v>80</v>
      </c>
    </row>
    <row r="138">
      <c r="A138" s="10">
        <v>6.94E11</v>
      </c>
      <c r="B138" s="11">
        <v>0.085</v>
      </c>
      <c r="C138" s="11">
        <v>3136.0</v>
      </c>
      <c r="D138" s="11">
        <v>0.091</v>
      </c>
      <c r="E138" s="7" t="s">
        <v>88</v>
      </c>
      <c r="F138" s="9" t="s">
        <v>67</v>
      </c>
      <c r="G138" s="5" t="s">
        <v>80</v>
      </c>
    </row>
    <row r="139">
      <c r="A139" s="10">
        <v>7.47E11</v>
      </c>
      <c r="B139" s="11">
        <v>0.085</v>
      </c>
      <c r="C139" s="11">
        <v>3330.0</v>
      </c>
      <c r="D139" s="11">
        <v>0.094</v>
      </c>
      <c r="E139" s="7" t="s">
        <v>88</v>
      </c>
      <c r="F139" s="9" t="s">
        <v>68</v>
      </c>
      <c r="G139" s="5" t="s">
        <v>80</v>
      </c>
    </row>
    <row r="140">
      <c r="A140" s="10">
        <v>8.54E11</v>
      </c>
      <c r="B140" s="11">
        <v>0.086</v>
      </c>
      <c r="C140" s="11">
        <v>3956.0</v>
      </c>
      <c r="D140" s="11">
        <v>0.082</v>
      </c>
      <c r="E140" s="7" t="s">
        <v>88</v>
      </c>
      <c r="F140" s="9" t="s">
        <v>69</v>
      </c>
      <c r="G140" s="5" t="s">
        <v>80</v>
      </c>
    </row>
    <row r="141">
      <c r="A141" s="10">
        <v>1.06E12</v>
      </c>
      <c r="B141" s="11">
        <v>0.088</v>
      </c>
      <c r="C141" s="11">
        <v>4237.0</v>
      </c>
      <c r="D141" s="11">
        <v>0.089</v>
      </c>
      <c r="E141" s="7" t="s">
        <v>88</v>
      </c>
      <c r="F141" s="9" t="s">
        <v>70</v>
      </c>
      <c r="G141" s="5" t="s">
        <v>80</v>
      </c>
    </row>
    <row r="142">
      <c r="A142" s="10">
        <v>9.27E11</v>
      </c>
      <c r="B142" s="11">
        <v>0.09</v>
      </c>
      <c r="C142" s="11">
        <v>4118.0</v>
      </c>
      <c r="D142" s="11">
        <v>0.06</v>
      </c>
      <c r="E142" s="7" t="s">
        <v>88</v>
      </c>
      <c r="F142" s="9" t="s">
        <v>71</v>
      </c>
      <c r="G142" s="5" t="s">
        <v>80</v>
      </c>
    </row>
    <row r="143">
      <c r="A143" s="10">
        <v>1.14E12</v>
      </c>
      <c r="B143" s="11">
        <v>0.089</v>
      </c>
      <c r="C143" s="11">
        <v>5138.0</v>
      </c>
      <c r="D143" s="11">
        <v>0.073</v>
      </c>
      <c r="E143" s="7" t="s">
        <v>88</v>
      </c>
      <c r="F143" s="9" t="s">
        <v>72</v>
      </c>
      <c r="G143" s="5" t="s">
        <v>80</v>
      </c>
    </row>
    <row r="144">
      <c r="A144" s="10">
        <v>1.39E12</v>
      </c>
      <c r="B144" s="11">
        <v>0.092</v>
      </c>
      <c r="C144" s="11">
        <v>6114.0</v>
      </c>
      <c r="D144" s="11">
        <v>0.077</v>
      </c>
      <c r="E144" s="7" t="s">
        <v>88</v>
      </c>
      <c r="F144" s="9" t="s">
        <v>73</v>
      </c>
      <c r="G144" s="5" t="s">
        <v>80</v>
      </c>
    </row>
    <row r="145">
      <c r="A145" s="10">
        <v>1.53E12</v>
      </c>
      <c r="B145" s="11">
        <v>0.091</v>
      </c>
      <c r="C145" s="11">
        <v>6140.0</v>
      </c>
      <c r="D145" s="11">
        <v>0.07</v>
      </c>
      <c r="E145" s="7" t="s">
        <v>88</v>
      </c>
      <c r="F145" s="9" t="s">
        <v>60</v>
      </c>
      <c r="G145" s="5" t="s">
        <v>80</v>
      </c>
    </row>
    <row r="146">
      <c r="A146" s="10">
        <v>1.92E11</v>
      </c>
      <c r="B146" s="11">
        <v>0.1</v>
      </c>
      <c r="C146" s="11">
        <v>2403.0</v>
      </c>
      <c r="D146" s="8"/>
      <c r="E146" s="7" t="s">
        <v>89</v>
      </c>
      <c r="F146" s="9" t="s">
        <v>62</v>
      </c>
      <c r="G146" s="5" t="s">
        <v>75</v>
      </c>
    </row>
    <row r="147">
      <c r="A147" s="10">
        <v>1.92E11</v>
      </c>
      <c r="B147" s="11">
        <v>0.101</v>
      </c>
      <c r="C147" s="11">
        <v>2406.0</v>
      </c>
      <c r="D147" s="8"/>
      <c r="E147" s="7" t="s">
        <v>89</v>
      </c>
      <c r="F147" s="9" t="s">
        <v>63</v>
      </c>
      <c r="G147" s="5" t="s">
        <v>75</v>
      </c>
    </row>
    <row r="148">
      <c r="A148" s="10">
        <v>2.08E11</v>
      </c>
      <c r="B148" s="11">
        <v>0.101</v>
      </c>
      <c r="C148" s="11">
        <v>2599.0</v>
      </c>
      <c r="D148" s="8"/>
      <c r="E148" s="7" t="s">
        <v>89</v>
      </c>
      <c r="F148" s="9" t="s">
        <v>64</v>
      </c>
      <c r="G148" s="5" t="s">
        <v>75</v>
      </c>
    </row>
    <row r="149">
      <c r="A149" s="10">
        <v>2.54E11</v>
      </c>
      <c r="B149" s="11">
        <v>0.103</v>
      </c>
      <c r="C149" s="11">
        <v>3223.0</v>
      </c>
      <c r="D149" s="8"/>
      <c r="E149" s="7" t="s">
        <v>89</v>
      </c>
      <c r="F149" s="9" t="s">
        <v>65</v>
      </c>
      <c r="G149" s="5" t="s">
        <v>75</v>
      </c>
    </row>
    <row r="150">
      <c r="A150" s="10">
        <v>2.91E11</v>
      </c>
      <c r="B150" s="11">
        <v>0.104</v>
      </c>
      <c r="C150" s="11">
        <v>3720.0</v>
      </c>
      <c r="D150" s="8"/>
      <c r="E150" s="7" t="s">
        <v>89</v>
      </c>
      <c r="F150" s="9" t="s">
        <v>66</v>
      </c>
      <c r="G150" s="5" t="s">
        <v>75</v>
      </c>
    </row>
    <row r="151">
      <c r="A151" s="10">
        <v>3.05E11</v>
      </c>
      <c r="B151" s="11">
        <v>0.104</v>
      </c>
      <c r="C151" s="11">
        <v>3863.0</v>
      </c>
      <c r="D151" s="8"/>
      <c r="E151" s="7" t="s">
        <v>89</v>
      </c>
      <c r="F151" s="9" t="s">
        <v>67</v>
      </c>
      <c r="G151" s="5" t="s">
        <v>75</v>
      </c>
    </row>
    <row r="152">
      <c r="A152" s="10">
        <v>3.25E11</v>
      </c>
      <c r="B152" s="11">
        <v>0.102</v>
      </c>
      <c r="C152" s="11">
        <v>4016.0</v>
      </c>
      <c r="D152" s="8"/>
      <c r="E152" s="7" t="s">
        <v>89</v>
      </c>
      <c r="F152" s="9" t="s">
        <v>68</v>
      </c>
      <c r="G152" s="5" t="s">
        <v>75</v>
      </c>
    </row>
    <row r="153">
      <c r="A153" s="10">
        <v>3.75E11</v>
      </c>
      <c r="B153" s="11">
        <v>0.103</v>
      </c>
      <c r="C153" s="11">
        <v>4636.0</v>
      </c>
      <c r="D153" s="8"/>
      <c r="E153" s="7" t="s">
        <v>89</v>
      </c>
      <c r="F153" s="9" t="s">
        <v>69</v>
      </c>
      <c r="G153" s="5" t="s">
        <v>75</v>
      </c>
    </row>
    <row r="154">
      <c r="A154" s="10">
        <v>4.14E11</v>
      </c>
      <c r="B154" s="11">
        <v>0.105</v>
      </c>
      <c r="C154" s="11">
        <v>5211.0</v>
      </c>
      <c r="D154" s="8"/>
      <c r="E154" s="7" t="s">
        <v>89</v>
      </c>
      <c r="F154" s="9" t="s">
        <v>70</v>
      </c>
      <c r="G154" s="5" t="s">
        <v>75</v>
      </c>
    </row>
    <row r="155">
      <c r="A155" s="10">
        <v>3.84E11</v>
      </c>
      <c r="B155" s="11">
        <v>0.112</v>
      </c>
      <c r="C155" s="11">
        <v>5125.0</v>
      </c>
      <c r="D155" s="8"/>
      <c r="E155" s="7" t="s">
        <v>89</v>
      </c>
      <c r="F155" s="9" t="s">
        <v>71</v>
      </c>
      <c r="G155" s="5" t="s">
        <v>75</v>
      </c>
    </row>
    <row r="156">
      <c r="A156" s="10">
        <v>3.78E11</v>
      </c>
      <c r="B156" s="11">
        <v>0.116</v>
      </c>
      <c r="C156" s="11">
        <v>5272.0</v>
      </c>
      <c r="D156" s="8"/>
      <c r="E156" s="7" t="s">
        <v>89</v>
      </c>
      <c r="F156" s="9" t="s">
        <v>72</v>
      </c>
      <c r="G156" s="5" t="s">
        <v>75</v>
      </c>
    </row>
    <row r="157">
      <c r="A157" s="10">
        <v>4.16E11</v>
      </c>
      <c r="B157" s="11">
        <v>0.113</v>
      </c>
      <c r="C157" s="11">
        <v>5643.0</v>
      </c>
      <c r="D157" s="8"/>
      <c r="E157" s="7" t="s">
        <v>89</v>
      </c>
      <c r="F157" s="9" t="s">
        <v>73</v>
      </c>
      <c r="G157" s="5" t="s">
        <v>75</v>
      </c>
    </row>
    <row r="158">
      <c r="A158" s="10">
        <v>3.94E11</v>
      </c>
      <c r="B158" s="11">
        <v>0.115</v>
      </c>
      <c r="C158" s="11">
        <v>5407.0</v>
      </c>
      <c r="D158" s="8"/>
      <c r="E158" s="7" t="s">
        <v>89</v>
      </c>
      <c r="F158" s="9" t="s">
        <v>60</v>
      </c>
      <c r="G158" s="5" t="s">
        <v>75</v>
      </c>
    </row>
    <row r="159">
      <c r="A159" s="10">
        <v>5.272617196E9</v>
      </c>
      <c r="B159" s="11">
        <v>0.047</v>
      </c>
      <c r="C159" s="11">
        <v>30.0</v>
      </c>
      <c r="D159" s="11">
        <v>0.197</v>
      </c>
      <c r="E159" s="7" t="s">
        <v>90</v>
      </c>
      <c r="F159" s="9" t="s">
        <v>62</v>
      </c>
      <c r="G159" s="5" t="s">
        <v>61</v>
      </c>
    </row>
    <row r="160">
      <c r="A160" s="10">
        <v>5.707618247E9</v>
      </c>
      <c r="B160" s="11">
        <v>0.045</v>
      </c>
      <c r="C160" s="11">
        <v>31.0</v>
      </c>
      <c r="D160" s="11">
        <v>0.197</v>
      </c>
      <c r="E160" s="7" t="s">
        <v>90</v>
      </c>
      <c r="F160" s="9" t="s">
        <v>63</v>
      </c>
      <c r="G160" s="5" t="s">
        <v>61</v>
      </c>
    </row>
    <row r="161">
      <c r="A161" s="10">
        <v>6.236024951E9</v>
      </c>
      <c r="B161" s="11">
        <v>0.045</v>
      </c>
      <c r="C161" s="11">
        <v>34.0</v>
      </c>
      <c r="D161" s="11">
        <v>0.174</v>
      </c>
      <c r="E161" s="7" t="s">
        <v>90</v>
      </c>
      <c r="F161" s="9" t="s">
        <v>64</v>
      </c>
      <c r="G161" s="5" t="s">
        <v>61</v>
      </c>
    </row>
    <row r="162">
      <c r="A162" s="10">
        <v>7.275766111E9</v>
      </c>
      <c r="B162" s="11">
        <v>0.066</v>
      </c>
      <c r="C162" s="11">
        <v>57.0</v>
      </c>
      <c r="D162" s="11">
        <v>0.155</v>
      </c>
      <c r="E162" s="7" t="s">
        <v>90</v>
      </c>
      <c r="F162" s="9" t="s">
        <v>65</v>
      </c>
      <c r="G162" s="5" t="s">
        <v>61</v>
      </c>
    </row>
    <row r="163">
      <c r="A163" s="10">
        <v>8.680511918E9</v>
      </c>
      <c r="B163" s="11">
        <v>0.079</v>
      </c>
      <c r="C163" s="11">
        <v>81.0</v>
      </c>
      <c r="D163" s="11">
        <v>0.157</v>
      </c>
      <c r="E163" s="7" t="s">
        <v>90</v>
      </c>
      <c r="F163" s="9" t="s">
        <v>66</v>
      </c>
      <c r="G163" s="5" t="s">
        <v>61</v>
      </c>
    </row>
    <row r="164">
      <c r="A164" s="10">
        <v>1.3245421881E10</v>
      </c>
      <c r="B164" s="11">
        <v>0.079</v>
      </c>
      <c r="C164" s="11">
        <v>122.0</v>
      </c>
      <c r="D164" s="11">
        <v>0.17</v>
      </c>
      <c r="E164" s="7" t="s">
        <v>90</v>
      </c>
      <c r="F164" s="9" t="s">
        <v>67</v>
      </c>
      <c r="G164" s="5" t="s">
        <v>61</v>
      </c>
    </row>
    <row r="165">
      <c r="A165" s="10">
        <v>2.0982270733E10</v>
      </c>
      <c r="B165" s="11">
        <v>0.062</v>
      </c>
      <c r="C165" s="11">
        <v>149.0</v>
      </c>
      <c r="D165" s="11">
        <v>0.179</v>
      </c>
      <c r="E165" s="7" t="s">
        <v>90</v>
      </c>
      <c r="F165" s="9" t="s">
        <v>68</v>
      </c>
      <c r="G165" s="5" t="s">
        <v>61</v>
      </c>
    </row>
    <row r="166">
      <c r="A166" s="10">
        <v>3.3050343783E10</v>
      </c>
      <c r="B166" s="11">
        <v>0.051</v>
      </c>
      <c r="C166" s="11">
        <v>192.0</v>
      </c>
      <c r="D166" s="11">
        <v>0.191</v>
      </c>
      <c r="E166" s="7" t="s">
        <v>90</v>
      </c>
      <c r="F166" s="9" t="s">
        <v>69</v>
      </c>
      <c r="G166" s="5" t="s">
        <v>61</v>
      </c>
    </row>
    <row r="167">
      <c r="A167" s="10">
        <v>4.885248296E10</v>
      </c>
      <c r="B167" s="11">
        <v>0.044</v>
      </c>
      <c r="C167" s="11">
        <v>241.0</v>
      </c>
      <c r="D167" s="11">
        <v>0.198</v>
      </c>
      <c r="E167" s="7" t="s">
        <v>90</v>
      </c>
      <c r="F167" s="9" t="s">
        <v>70</v>
      </c>
      <c r="G167" s="5" t="s">
        <v>61</v>
      </c>
    </row>
    <row r="168">
      <c r="A168" s="10">
        <v>4.4291490421E10</v>
      </c>
      <c r="B168" s="11">
        <v>0.059</v>
      </c>
      <c r="C168" s="11">
        <v>288.0</v>
      </c>
      <c r="D168" s="11">
        <v>0.2</v>
      </c>
      <c r="E168" s="7" t="s">
        <v>90</v>
      </c>
      <c r="F168" s="9" t="s">
        <v>71</v>
      </c>
      <c r="G168" s="5" t="s">
        <v>61</v>
      </c>
    </row>
    <row r="169">
      <c r="A169" s="10">
        <v>5.2902703376E10</v>
      </c>
      <c r="B169" s="11">
        <v>0.053</v>
      </c>
      <c r="C169" s="11">
        <v>310.0</v>
      </c>
      <c r="D169" s="11">
        <v>0.207</v>
      </c>
      <c r="E169" s="7" t="s">
        <v>90</v>
      </c>
      <c r="F169" s="9" t="s">
        <v>72</v>
      </c>
      <c r="G169" s="5" t="s">
        <v>61</v>
      </c>
    </row>
    <row r="170">
      <c r="A170" s="10">
        <v>6.59516272E10</v>
      </c>
      <c r="B170" s="11">
        <v>0.05</v>
      </c>
      <c r="C170" s="11">
        <v>359.0</v>
      </c>
      <c r="D170" s="11">
        <v>0.19</v>
      </c>
      <c r="E170" s="7" t="s">
        <v>90</v>
      </c>
      <c r="F170" s="9" t="s">
        <v>73</v>
      </c>
      <c r="G170" s="5" t="s">
        <v>61</v>
      </c>
    </row>
    <row r="171">
      <c r="A171" s="10">
        <v>6.8730906314E10</v>
      </c>
      <c r="B171" s="11">
        <v>0.054</v>
      </c>
      <c r="C171" s="11">
        <v>398.0</v>
      </c>
      <c r="D171" s="11">
        <v>0.183</v>
      </c>
      <c r="E171" s="7" t="s">
        <v>90</v>
      </c>
      <c r="F171" s="9" t="s">
        <v>60</v>
      </c>
      <c r="G171" s="5" t="s">
        <v>61</v>
      </c>
    </row>
    <row r="172">
      <c r="A172" s="10">
        <v>6.327552E9</v>
      </c>
      <c r="B172" s="11">
        <v>0.052</v>
      </c>
      <c r="C172" s="11">
        <v>1107.0</v>
      </c>
      <c r="D172" s="11">
        <v>0.06</v>
      </c>
      <c r="E172" s="7" t="s">
        <v>91</v>
      </c>
      <c r="F172" s="9" t="s">
        <v>62</v>
      </c>
      <c r="G172" s="5" t="s">
        <v>84</v>
      </c>
    </row>
    <row r="173">
      <c r="A173" s="10">
        <v>6.516651E9</v>
      </c>
      <c r="B173" s="11">
        <v>0.051</v>
      </c>
      <c r="C173" s="11">
        <v>1107.0</v>
      </c>
      <c r="D173" s="11">
        <v>0.06</v>
      </c>
      <c r="E173" s="7" t="s">
        <v>91</v>
      </c>
      <c r="F173" s="9" t="s">
        <v>63</v>
      </c>
      <c r="G173" s="5" t="s">
        <v>84</v>
      </c>
    </row>
    <row r="174">
      <c r="A174" s="10">
        <v>6.957996E9</v>
      </c>
      <c r="B174" s="11">
        <v>0.053</v>
      </c>
      <c r="C174" s="11">
        <v>1183.0</v>
      </c>
      <c r="D174" s="11">
        <v>0.06</v>
      </c>
      <c r="E174" s="7" t="s">
        <v>91</v>
      </c>
      <c r="F174" s="9" t="s">
        <v>64</v>
      </c>
      <c r="G174" s="5" t="s">
        <v>84</v>
      </c>
    </row>
    <row r="175">
      <c r="A175" s="10">
        <v>6.949317E9</v>
      </c>
      <c r="B175" s="11">
        <v>0.056</v>
      </c>
      <c r="C175" s="11">
        <v>1237.0</v>
      </c>
      <c r="D175" s="11">
        <v>0.06</v>
      </c>
      <c r="E175" s="7" t="s">
        <v>91</v>
      </c>
      <c r="F175" s="9" t="s">
        <v>65</v>
      </c>
      <c r="G175" s="5" t="s">
        <v>84</v>
      </c>
    </row>
    <row r="176">
      <c r="A176" s="10">
        <v>7.094413E9</v>
      </c>
      <c r="B176" s="11">
        <v>0.06</v>
      </c>
      <c r="C176" s="11">
        <v>1326.0</v>
      </c>
      <c r="D176" s="11">
        <v>0.06</v>
      </c>
      <c r="E176" s="7" t="s">
        <v>91</v>
      </c>
      <c r="F176" s="9" t="s">
        <v>66</v>
      </c>
      <c r="G176" s="5" t="s">
        <v>84</v>
      </c>
    </row>
    <row r="177">
      <c r="A177" s="10">
        <v>7.706222E9</v>
      </c>
      <c r="B177" s="11">
        <v>0.06</v>
      </c>
      <c r="C177" s="11">
        <v>1394.0</v>
      </c>
      <c r="D177" s="11">
        <v>0.055</v>
      </c>
      <c r="E177" s="7" t="s">
        <v>91</v>
      </c>
      <c r="F177" s="9" t="s">
        <v>67</v>
      </c>
      <c r="G177" s="5" t="s">
        <v>84</v>
      </c>
    </row>
    <row r="178">
      <c r="A178" s="10">
        <v>7.965588E9</v>
      </c>
      <c r="B178" s="11">
        <v>0.069</v>
      </c>
      <c r="C178" s="11">
        <v>1645.0</v>
      </c>
      <c r="D178" s="11">
        <v>0.055</v>
      </c>
      <c r="E178" s="7" t="s">
        <v>91</v>
      </c>
      <c r="F178" s="9" t="s">
        <v>68</v>
      </c>
      <c r="G178" s="5" t="s">
        <v>84</v>
      </c>
    </row>
    <row r="179">
      <c r="A179" s="10">
        <v>8.318996E9</v>
      </c>
      <c r="B179" s="11">
        <v>0.071</v>
      </c>
      <c r="C179" s="11">
        <v>1721.0</v>
      </c>
      <c r="D179" s="11">
        <v>0.055</v>
      </c>
      <c r="E179" s="7" t="s">
        <v>91</v>
      </c>
      <c r="F179" s="9" t="s">
        <v>69</v>
      </c>
      <c r="G179" s="5" t="s">
        <v>84</v>
      </c>
    </row>
    <row r="180">
      <c r="A180" s="10">
        <v>8.24665E9</v>
      </c>
      <c r="B180" s="11">
        <v>0.073</v>
      </c>
      <c r="C180" s="11">
        <v>1729.0</v>
      </c>
      <c r="D180" s="11">
        <v>0.055</v>
      </c>
      <c r="E180" s="7" t="s">
        <v>91</v>
      </c>
      <c r="F180" s="9" t="s">
        <v>70</v>
      </c>
      <c r="G180" s="5" t="s">
        <v>84</v>
      </c>
    </row>
    <row r="181">
      <c r="A181" s="10">
        <v>7.82042E9</v>
      </c>
      <c r="B181" s="11">
        <v>0.074</v>
      </c>
      <c r="C181" s="11">
        <v>1640.0</v>
      </c>
      <c r="D181" s="11">
        <v>0.055</v>
      </c>
      <c r="E181" s="7" t="s">
        <v>91</v>
      </c>
      <c r="F181" s="9" t="s">
        <v>71</v>
      </c>
      <c r="G181" s="5" t="s">
        <v>84</v>
      </c>
    </row>
    <row r="182">
      <c r="A182" s="10">
        <v>7.888087E9</v>
      </c>
      <c r="B182" s="11">
        <v>0.074</v>
      </c>
      <c r="C182" s="11">
        <v>1626.0</v>
      </c>
      <c r="D182" s="11">
        <v>0.055</v>
      </c>
      <c r="E182" s="7" t="s">
        <v>91</v>
      </c>
      <c r="F182" s="9" t="s">
        <v>72</v>
      </c>
      <c r="G182" s="5" t="s">
        <v>84</v>
      </c>
    </row>
    <row r="183">
      <c r="A183" s="10">
        <v>7.872584E9</v>
      </c>
      <c r="B183" s="11">
        <v>0.075</v>
      </c>
      <c r="C183" s="11">
        <v>1622.0</v>
      </c>
      <c r="D183" s="11">
        <v>0.051</v>
      </c>
      <c r="E183" s="7" t="s">
        <v>91</v>
      </c>
      <c r="F183" s="9" t="s">
        <v>73</v>
      </c>
      <c r="G183" s="5" t="s">
        <v>84</v>
      </c>
    </row>
    <row r="184">
      <c r="A184" s="10">
        <v>8.149004E9</v>
      </c>
      <c r="B184" s="11">
        <v>0.075</v>
      </c>
      <c r="C184" s="11">
        <v>1647.0</v>
      </c>
      <c r="D184" s="11">
        <v>0.048</v>
      </c>
      <c r="E184" s="7" t="s">
        <v>91</v>
      </c>
      <c r="F184" s="9" t="s">
        <v>60</v>
      </c>
      <c r="G184" s="5" t="s">
        <v>84</v>
      </c>
    </row>
    <row r="185">
      <c r="A185" s="10">
        <v>9.063147901E9</v>
      </c>
      <c r="B185" s="11">
        <v>0.035</v>
      </c>
      <c r="C185" s="11">
        <v>476.0</v>
      </c>
      <c r="D185" s="11">
        <v>0.116</v>
      </c>
      <c r="E185" s="7" t="s">
        <v>92</v>
      </c>
      <c r="F185" s="9" t="s">
        <v>62</v>
      </c>
      <c r="G185" s="5" t="s">
        <v>93</v>
      </c>
    </row>
    <row r="186">
      <c r="A186" s="10">
        <v>8.97644642E9</v>
      </c>
      <c r="B186" s="11">
        <v>0.038</v>
      </c>
      <c r="C186" s="11">
        <v>488.0</v>
      </c>
      <c r="D186" s="11">
        <v>0.107</v>
      </c>
      <c r="E186" s="7" t="s">
        <v>92</v>
      </c>
      <c r="F186" s="9" t="s">
        <v>63</v>
      </c>
      <c r="G186" s="5" t="s">
        <v>93</v>
      </c>
    </row>
    <row r="187">
      <c r="A187" s="10">
        <v>9.632411109E9</v>
      </c>
      <c r="B187" s="11">
        <v>0.039</v>
      </c>
      <c r="C187" s="11">
        <v>510.0</v>
      </c>
      <c r="D187" s="11">
        <v>0.084</v>
      </c>
      <c r="E187" s="7" t="s">
        <v>92</v>
      </c>
      <c r="F187" s="9" t="s">
        <v>64</v>
      </c>
      <c r="G187" s="5" t="s">
        <v>93</v>
      </c>
    </row>
    <row r="188">
      <c r="A188" s="10">
        <v>1.1075116594E10</v>
      </c>
      <c r="B188" s="11">
        <v>0.037</v>
      </c>
      <c r="C188" s="11">
        <v>536.0</v>
      </c>
      <c r="D188" s="11">
        <v>0.083</v>
      </c>
      <c r="E188" s="7" t="s">
        <v>92</v>
      </c>
      <c r="F188" s="9" t="s">
        <v>65</v>
      </c>
      <c r="G188" s="5" t="s">
        <v>93</v>
      </c>
    </row>
    <row r="189">
      <c r="A189" s="10">
        <v>1.3150516509E10</v>
      </c>
      <c r="B189" s="11">
        <v>0.039</v>
      </c>
      <c r="C189" s="11">
        <v>539.0</v>
      </c>
      <c r="D189" s="11">
        <v>0.079</v>
      </c>
      <c r="E189" s="7" t="s">
        <v>92</v>
      </c>
      <c r="F189" s="9" t="s">
        <v>66</v>
      </c>
      <c r="G189" s="5" t="s">
        <v>93</v>
      </c>
    </row>
    <row r="190">
      <c r="A190" s="10">
        <v>1.5969151306E10</v>
      </c>
      <c r="B190" s="11">
        <v>0.037</v>
      </c>
      <c r="C190" s="11">
        <v>573.0</v>
      </c>
      <c r="D190" s="11">
        <v>0.078</v>
      </c>
      <c r="E190" s="7" t="s">
        <v>92</v>
      </c>
      <c r="F190" s="9" t="s">
        <v>67</v>
      </c>
      <c r="G190" s="5" t="s">
        <v>93</v>
      </c>
    </row>
    <row r="191">
      <c r="A191" s="10">
        <v>1.8505250857E10</v>
      </c>
      <c r="B191" s="11">
        <v>0.036</v>
      </c>
      <c r="C191" s="11">
        <v>599.0</v>
      </c>
      <c r="D191" s="11">
        <v>0.08</v>
      </c>
      <c r="E191" s="7" t="s">
        <v>92</v>
      </c>
      <c r="F191" s="9" t="s">
        <v>68</v>
      </c>
      <c r="G191" s="5" t="s">
        <v>93</v>
      </c>
    </row>
    <row r="192">
      <c r="A192" s="10">
        <v>2.1730590263E10</v>
      </c>
      <c r="B192" s="11">
        <v>0.036</v>
      </c>
      <c r="C192" s="11">
        <v>648.0</v>
      </c>
      <c r="D192" s="11">
        <v>0.083</v>
      </c>
      <c r="E192" s="7" t="s">
        <v>92</v>
      </c>
      <c r="F192" s="9" t="s">
        <v>69</v>
      </c>
      <c r="G192" s="5" t="s">
        <v>93</v>
      </c>
    </row>
    <row r="193">
      <c r="A193" s="10">
        <v>2.5711147929E10</v>
      </c>
      <c r="B193" s="11">
        <v>0.041</v>
      </c>
      <c r="C193" s="11">
        <v>727.0</v>
      </c>
      <c r="D193" s="11">
        <v>0.082</v>
      </c>
      <c r="E193" s="7" t="s">
        <v>92</v>
      </c>
      <c r="F193" s="9" t="s">
        <v>70</v>
      </c>
      <c r="G193" s="5" t="s">
        <v>93</v>
      </c>
    </row>
    <row r="194">
      <c r="A194" s="10">
        <v>2.2938464723E10</v>
      </c>
      <c r="B194" s="11">
        <v>0.045</v>
      </c>
      <c r="C194" s="11">
        <v>729.0</v>
      </c>
      <c r="D194" s="11">
        <v>0.079</v>
      </c>
      <c r="E194" s="7" t="s">
        <v>92</v>
      </c>
      <c r="F194" s="9" t="s">
        <v>71</v>
      </c>
      <c r="G194" s="5" t="s">
        <v>93</v>
      </c>
    </row>
    <row r="195">
      <c r="A195" s="10">
        <v>2.5713547869E10</v>
      </c>
      <c r="B195" s="11">
        <v>0.043</v>
      </c>
      <c r="C195" s="11">
        <v>747.0</v>
      </c>
      <c r="D195" s="11">
        <v>0.072</v>
      </c>
      <c r="E195" s="7" t="s">
        <v>92</v>
      </c>
      <c r="F195" s="9" t="s">
        <v>72</v>
      </c>
      <c r="G195" s="5" t="s">
        <v>93</v>
      </c>
    </row>
    <row r="196">
      <c r="A196" s="10">
        <v>2.9044378668E10</v>
      </c>
      <c r="B196" s="11">
        <v>0.038</v>
      </c>
      <c r="C196" s="11">
        <v>766.0</v>
      </c>
      <c r="D196" s="11">
        <v>0.068</v>
      </c>
      <c r="E196" s="7" t="s">
        <v>92</v>
      </c>
      <c r="F196" s="9" t="s">
        <v>73</v>
      </c>
      <c r="G196" s="5" t="s">
        <v>93</v>
      </c>
    </row>
    <row r="197">
      <c r="A197" s="10">
        <v>3.0362317939E10</v>
      </c>
      <c r="B197" s="11">
        <v>0.039</v>
      </c>
      <c r="C197" s="11">
        <v>895.0</v>
      </c>
      <c r="D197" s="11">
        <v>0.06</v>
      </c>
      <c r="E197" s="7" t="s">
        <v>92</v>
      </c>
      <c r="F197" s="9" t="s">
        <v>60</v>
      </c>
      <c r="G197" s="5" t="s">
        <v>93</v>
      </c>
    </row>
    <row r="198">
      <c r="A198" s="10">
        <v>4.7124925462E10</v>
      </c>
      <c r="B198" s="11">
        <v>0.028</v>
      </c>
      <c r="C198" s="11">
        <v>10.0</v>
      </c>
      <c r="D198" s="11">
        <v>0.155</v>
      </c>
      <c r="E198" s="7" t="s">
        <v>94</v>
      </c>
      <c r="F198" s="9" t="s">
        <v>62</v>
      </c>
      <c r="G198" s="5" t="s">
        <v>61</v>
      </c>
    </row>
    <row r="199">
      <c r="A199" s="10">
        <v>4.6987842847E10</v>
      </c>
      <c r="B199" s="11">
        <v>0.03</v>
      </c>
      <c r="C199" s="11">
        <v>10.0</v>
      </c>
      <c r="D199" s="11">
        <v>0.158</v>
      </c>
      <c r="E199" s="7" t="s">
        <v>94</v>
      </c>
      <c r="F199" s="9" t="s">
        <v>63</v>
      </c>
      <c r="G199" s="5" t="s">
        <v>61</v>
      </c>
    </row>
    <row r="200">
      <c r="A200" s="10">
        <v>4.7571130071E10</v>
      </c>
      <c r="B200" s="11">
        <v>0.031</v>
      </c>
      <c r="C200" s="11">
        <v>11.0</v>
      </c>
      <c r="D200" s="11">
        <v>0.16</v>
      </c>
      <c r="E200" s="7" t="s">
        <v>94</v>
      </c>
      <c r="F200" s="9" t="s">
        <v>64</v>
      </c>
      <c r="G200" s="5" t="s">
        <v>61</v>
      </c>
    </row>
    <row r="201">
      <c r="A201" s="10">
        <v>5.1913661485E10</v>
      </c>
      <c r="B201" s="11">
        <v>0.03</v>
      </c>
      <c r="C201" s="11">
        <v>11.0</v>
      </c>
      <c r="D201" s="11">
        <v>0.16</v>
      </c>
      <c r="E201" s="7" t="s">
        <v>94</v>
      </c>
      <c r="F201" s="9" t="s">
        <v>65</v>
      </c>
      <c r="G201" s="5" t="s">
        <v>61</v>
      </c>
    </row>
    <row r="202">
      <c r="A202" s="10">
        <v>5.6560744012E10</v>
      </c>
      <c r="B202" s="11">
        <v>0.031</v>
      </c>
      <c r="C202" s="11">
        <v>12.0</v>
      </c>
      <c r="D202" s="11">
        <v>0.148</v>
      </c>
      <c r="E202" s="7" t="s">
        <v>94</v>
      </c>
      <c r="F202" s="9" t="s">
        <v>66</v>
      </c>
      <c r="G202" s="5" t="s">
        <v>61</v>
      </c>
    </row>
    <row r="203">
      <c r="A203" s="10">
        <v>6.0277560976E10</v>
      </c>
      <c r="B203" s="11">
        <v>0.032</v>
      </c>
      <c r="C203" s="11">
        <v>13.0</v>
      </c>
      <c r="D203" s="11">
        <v>0.14</v>
      </c>
      <c r="E203" s="7" t="s">
        <v>94</v>
      </c>
      <c r="F203" s="9" t="s">
        <v>67</v>
      </c>
      <c r="G203" s="5" t="s">
        <v>61</v>
      </c>
    </row>
    <row r="204">
      <c r="A204" s="10">
        <v>6.1901116736E10</v>
      </c>
      <c r="B204" s="11">
        <v>0.034</v>
      </c>
      <c r="C204" s="11">
        <v>14.0</v>
      </c>
      <c r="D204" s="11">
        <v>0.153</v>
      </c>
      <c r="E204" s="7" t="s">
        <v>94</v>
      </c>
      <c r="F204" s="9" t="s">
        <v>68</v>
      </c>
      <c r="G204" s="5" t="s">
        <v>61</v>
      </c>
    </row>
    <row r="205">
      <c r="A205" s="10">
        <v>6.8415421373E10</v>
      </c>
      <c r="B205" s="11">
        <v>0.035</v>
      </c>
      <c r="C205" s="11">
        <v>16.0</v>
      </c>
      <c r="D205" s="11">
        <v>0.16</v>
      </c>
      <c r="E205" s="7" t="s">
        <v>94</v>
      </c>
      <c r="F205" s="9" t="s">
        <v>69</v>
      </c>
      <c r="G205" s="5" t="s">
        <v>61</v>
      </c>
    </row>
    <row r="206">
      <c r="A206" s="10">
        <v>7.9554350678E10</v>
      </c>
      <c r="B206" s="11">
        <v>0.035</v>
      </c>
      <c r="C206" s="11">
        <v>19.0</v>
      </c>
      <c r="D206" s="11">
        <v>0.164</v>
      </c>
      <c r="E206" s="7" t="s">
        <v>94</v>
      </c>
      <c r="F206" s="9" t="s">
        <v>70</v>
      </c>
      <c r="G206" s="5" t="s">
        <v>61</v>
      </c>
    </row>
    <row r="207">
      <c r="A207" s="10">
        <v>8.9356650349E10</v>
      </c>
      <c r="B207" s="11">
        <v>0.037</v>
      </c>
      <c r="C207" s="11">
        <v>22.0</v>
      </c>
      <c r="D207" s="11">
        <v>0.146</v>
      </c>
      <c r="E207" s="7" t="s">
        <v>94</v>
      </c>
      <c r="F207" s="9" t="s">
        <v>71</v>
      </c>
      <c r="G207" s="5" t="s">
        <v>61</v>
      </c>
    </row>
    <row r="208">
      <c r="A208" s="10">
        <v>1.0E11</v>
      </c>
      <c r="B208" s="11">
        <v>0.037</v>
      </c>
      <c r="C208" s="11">
        <v>24.0</v>
      </c>
      <c r="D208" s="11">
        <v>0.13</v>
      </c>
      <c r="E208" s="7" t="s">
        <v>94</v>
      </c>
      <c r="F208" s="9" t="s">
        <v>72</v>
      </c>
      <c r="G208" s="5" t="s">
        <v>61</v>
      </c>
    </row>
    <row r="209">
      <c r="A209" s="10">
        <v>1.12E11</v>
      </c>
      <c r="B209" s="11">
        <v>0.038</v>
      </c>
      <c r="C209" s="11">
        <v>27.0</v>
      </c>
      <c r="D209" s="11">
        <v>0.133</v>
      </c>
      <c r="E209" s="7" t="s">
        <v>94</v>
      </c>
      <c r="F209" s="9" t="s">
        <v>73</v>
      </c>
      <c r="G209" s="5" t="s">
        <v>61</v>
      </c>
    </row>
    <row r="210">
      <c r="A210" s="10">
        <v>1.16E11</v>
      </c>
      <c r="B210" s="11">
        <v>0.036</v>
      </c>
      <c r="C210" s="11">
        <v>26.0</v>
      </c>
      <c r="D210" s="11">
        <v>0.13</v>
      </c>
      <c r="E210" s="7" t="s">
        <v>94</v>
      </c>
      <c r="F210" s="9" t="s">
        <v>60</v>
      </c>
      <c r="G210" s="5" t="s">
        <v>61</v>
      </c>
    </row>
    <row r="211">
      <c r="A211" s="10">
        <v>3.1195E9</v>
      </c>
      <c r="B211" s="11">
        <v>0.063</v>
      </c>
      <c r="C211" s="11">
        <v>602.0</v>
      </c>
      <c r="D211" s="11">
        <v>0.102</v>
      </c>
      <c r="E211" s="7" t="s">
        <v>95</v>
      </c>
      <c r="F211" s="9" t="s">
        <v>62</v>
      </c>
      <c r="G211" s="5" t="s">
        <v>84</v>
      </c>
    </row>
    <row r="212">
      <c r="A212" s="10">
        <v>3.11235E9</v>
      </c>
      <c r="B212" s="11">
        <v>0.067</v>
      </c>
      <c r="C212" s="11">
        <v>635.0</v>
      </c>
      <c r="D212" s="11">
        <v>0.096</v>
      </c>
      <c r="E212" s="7" t="s">
        <v>95</v>
      </c>
      <c r="F212" s="9" t="s">
        <v>63</v>
      </c>
      <c r="G212" s="5" t="s">
        <v>84</v>
      </c>
    </row>
    <row r="213">
      <c r="A213" s="10">
        <v>3.1686E9</v>
      </c>
      <c r="B213" s="11">
        <v>0.074</v>
      </c>
      <c r="C213" s="11">
        <v>677.0</v>
      </c>
      <c r="D213" s="11">
        <v>0.085</v>
      </c>
      <c r="E213" s="7" t="s">
        <v>95</v>
      </c>
      <c r="F213" s="9" t="s">
        <v>64</v>
      </c>
      <c r="G213" s="5" t="s">
        <v>84</v>
      </c>
    </row>
    <row r="214">
      <c r="A214" s="10">
        <v>3.2712E9</v>
      </c>
      <c r="B214" s="11">
        <v>0.071</v>
      </c>
      <c r="C214" s="11">
        <v>702.0</v>
      </c>
      <c r="D214" s="11">
        <v>0.085</v>
      </c>
      <c r="E214" s="7" t="s">
        <v>95</v>
      </c>
      <c r="F214" s="9" t="s">
        <v>65</v>
      </c>
      <c r="G214" s="5" t="s">
        <v>84</v>
      </c>
    </row>
    <row r="215">
      <c r="A215" s="10">
        <v>3.5097E9</v>
      </c>
      <c r="B215" s="11">
        <v>0.071</v>
      </c>
      <c r="C215" s="11">
        <v>737.0</v>
      </c>
      <c r="D215" s="11">
        <v>0.083</v>
      </c>
      <c r="E215" s="7" t="s">
        <v>95</v>
      </c>
      <c r="F215" s="9" t="s">
        <v>66</v>
      </c>
      <c r="G215" s="5" t="s">
        <v>84</v>
      </c>
    </row>
    <row r="216">
      <c r="A216" s="10">
        <v>3.8915E9</v>
      </c>
      <c r="B216" s="11">
        <v>0.07</v>
      </c>
      <c r="C216" s="11">
        <v>765.0</v>
      </c>
      <c r="D216" s="11">
        <v>0.092</v>
      </c>
      <c r="E216" s="7" t="s">
        <v>95</v>
      </c>
      <c r="F216" s="9" t="s">
        <v>67</v>
      </c>
      <c r="G216" s="5" t="s">
        <v>84</v>
      </c>
    </row>
    <row r="217">
      <c r="A217" s="10">
        <v>4.31405E9</v>
      </c>
      <c r="B217" s="11">
        <v>0.071</v>
      </c>
      <c r="C217" s="11">
        <v>826.0</v>
      </c>
      <c r="D217" s="11">
        <v>0.103</v>
      </c>
      <c r="E217" s="7" t="s">
        <v>95</v>
      </c>
      <c r="F217" s="9" t="s">
        <v>68</v>
      </c>
      <c r="G217" s="5" t="s">
        <v>84</v>
      </c>
    </row>
    <row r="218">
      <c r="A218" s="10">
        <v>4.51325E9</v>
      </c>
      <c r="B218" s="11">
        <v>0.075</v>
      </c>
      <c r="C218" s="11">
        <v>928.0</v>
      </c>
      <c r="D218" s="11">
        <v>0.108</v>
      </c>
      <c r="E218" s="7" t="s">
        <v>95</v>
      </c>
      <c r="F218" s="9" t="s">
        <v>69</v>
      </c>
      <c r="G218" s="5" t="s">
        <v>84</v>
      </c>
    </row>
    <row r="219">
      <c r="A219" s="10">
        <v>4.54155E9</v>
      </c>
      <c r="B219" s="11">
        <v>0.075</v>
      </c>
      <c r="C219" s="11">
        <v>996.0</v>
      </c>
      <c r="D219" s="11">
        <v>0.1</v>
      </c>
      <c r="E219" s="7" t="s">
        <v>95</v>
      </c>
      <c r="F219" s="9" t="s">
        <v>70</v>
      </c>
      <c r="G219" s="5" t="s">
        <v>84</v>
      </c>
    </row>
    <row r="220">
      <c r="A220" s="10">
        <v>4.59265E9</v>
      </c>
      <c r="B220" s="11">
        <v>0.08</v>
      </c>
      <c r="C220" s="11">
        <v>1025.0</v>
      </c>
      <c r="D220" s="11">
        <v>0.092</v>
      </c>
      <c r="E220" s="7" t="s">
        <v>95</v>
      </c>
      <c r="F220" s="9" t="s">
        <v>71</v>
      </c>
      <c r="G220" s="5" t="s">
        <v>84</v>
      </c>
    </row>
    <row r="221">
      <c r="A221" s="10">
        <v>4.4337E9</v>
      </c>
      <c r="B221" s="11">
        <v>0.067</v>
      </c>
      <c r="C221" s="11">
        <v>978.0</v>
      </c>
      <c r="D221" s="11">
        <v>0.087</v>
      </c>
      <c r="E221" s="7" t="s">
        <v>95</v>
      </c>
      <c r="F221" s="9" t="s">
        <v>72</v>
      </c>
      <c r="G221" s="5" t="s">
        <v>84</v>
      </c>
    </row>
    <row r="222">
      <c r="A222" s="10">
        <v>4.3689E9</v>
      </c>
      <c r="B222" s="11">
        <v>0.072</v>
      </c>
      <c r="C222" s="11">
        <v>935.0</v>
      </c>
      <c r="D222" s="11">
        <v>0.087</v>
      </c>
      <c r="E222" s="7" t="s">
        <v>95</v>
      </c>
      <c r="F222" s="9" t="s">
        <v>73</v>
      </c>
      <c r="G222" s="5" t="s">
        <v>84</v>
      </c>
    </row>
    <row r="223">
      <c r="A223" s="10">
        <v>4.22485E9</v>
      </c>
      <c r="B223" s="11">
        <v>0.063</v>
      </c>
      <c r="C223" s="11">
        <v>938.0</v>
      </c>
      <c r="D223" s="11">
        <v>0.087</v>
      </c>
      <c r="E223" s="7" t="s">
        <v>95</v>
      </c>
      <c r="F223" s="9" t="s">
        <v>60</v>
      </c>
      <c r="G223" s="5" t="s">
        <v>84</v>
      </c>
    </row>
    <row r="224">
      <c r="A224" s="10">
        <v>1.2736856485E10</v>
      </c>
      <c r="B224" s="11">
        <v>0.061</v>
      </c>
      <c r="C224" s="11">
        <v>64.0</v>
      </c>
      <c r="D224" s="11">
        <v>0.677</v>
      </c>
      <c r="E224" s="7" t="s">
        <v>96</v>
      </c>
      <c r="F224" s="9" t="s">
        <v>62</v>
      </c>
      <c r="G224" s="5" t="s">
        <v>75</v>
      </c>
    </row>
    <row r="225">
      <c r="A225" s="10">
        <v>1.2354820144E10</v>
      </c>
      <c r="B225" s="11">
        <v>0.066</v>
      </c>
      <c r="C225" s="11">
        <v>83.0</v>
      </c>
      <c r="D225" s="11">
        <v>0.47</v>
      </c>
      <c r="E225" s="7" t="s">
        <v>96</v>
      </c>
      <c r="F225" s="9" t="s">
        <v>63</v>
      </c>
      <c r="G225" s="5" t="s">
        <v>75</v>
      </c>
    </row>
    <row r="226">
      <c r="A226" s="10">
        <v>1.4594925393E10</v>
      </c>
      <c r="B226" s="11">
        <v>0.065</v>
      </c>
      <c r="C226" s="11">
        <v>96.0</v>
      </c>
      <c r="D226" s="11">
        <v>0.369</v>
      </c>
      <c r="E226" s="7" t="s">
        <v>96</v>
      </c>
      <c r="F226" s="9" t="s">
        <v>64</v>
      </c>
      <c r="G226" s="5" t="s">
        <v>75</v>
      </c>
    </row>
    <row r="227">
      <c r="A227" s="10">
        <v>1.7825436035E10</v>
      </c>
      <c r="B227" s="11">
        <v>0.066</v>
      </c>
      <c r="C227" s="11">
        <v>120.0</v>
      </c>
      <c r="D227" s="11">
        <v>0.24</v>
      </c>
      <c r="E227" s="7" t="s">
        <v>96</v>
      </c>
      <c r="F227" s="9" t="s">
        <v>65</v>
      </c>
      <c r="G227" s="5" t="s">
        <v>75</v>
      </c>
    </row>
    <row r="228">
      <c r="A228" s="10">
        <v>2.3141587718E10</v>
      </c>
      <c r="B228" s="11">
        <v>0.066</v>
      </c>
      <c r="C228" s="11">
        <v>157.0</v>
      </c>
      <c r="D228" s="11">
        <v>0.169</v>
      </c>
      <c r="E228" s="7" t="s">
        <v>96</v>
      </c>
      <c r="F228" s="9" t="s">
        <v>66</v>
      </c>
      <c r="G228" s="5" t="s">
        <v>75</v>
      </c>
    </row>
    <row r="229">
      <c r="A229" s="10">
        <v>3.0210091837E10</v>
      </c>
      <c r="B229" s="11">
        <v>0.069</v>
      </c>
      <c r="C229" s="11">
        <v>215.0</v>
      </c>
      <c r="D229" s="11">
        <v>0.114</v>
      </c>
      <c r="E229" s="7" t="s">
        <v>96</v>
      </c>
      <c r="F229" s="9" t="s">
        <v>67</v>
      </c>
      <c r="G229" s="5" t="s">
        <v>75</v>
      </c>
    </row>
    <row r="230">
      <c r="A230" s="10">
        <v>3.6961918859E10</v>
      </c>
      <c r="B230" s="11">
        <v>0.063</v>
      </c>
      <c r="C230" s="11">
        <v>243.0</v>
      </c>
      <c r="D230" s="11">
        <v>0.088</v>
      </c>
      <c r="E230" s="7" t="s">
        <v>96</v>
      </c>
      <c r="F230" s="9" t="s">
        <v>68</v>
      </c>
      <c r="G230" s="5" t="s">
        <v>75</v>
      </c>
    </row>
    <row r="231">
      <c r="A231" s="10">
        <v>4.5275711996E10</v>
      </c>
      <c r="B231" s="11">
        <v>0.064</v>
      </c>
      <c r="C231" s="11">
        <v>304.0</v>
      </c>
      <c r="D231" s="11">
        <v>0.086</v>
      </c>
      <c r="E231" s="7" t="s">
        <v>96</v>
      </c>
      <c r="F231" s="9" t="s">
        <v>69</v>
      </c>
      <c r="G231" s="5" t="s">
        <v>75</v>
      </c>
    </row>
    <row r="232">
      <c r="A232" s="10">
        <v>6.0763483146E10</v>
      </c>
      <c r="B232" s="11">
        <v>0.059</v>
      </c>
      <c r="C232" s="11">
        <v>378.0</v>
      </c>
      <c r="D232" s="11">
        <v>0.086</v>
      </c>
      <c r="E232" s="7" t="s">
        <v>96</v>
      </c>
      <c r="F232" s="9" t="s">
        <v>70</v>
      </c>
      <c r="G232" s="5" t="s">
        <v>75</v>
      </c>
    </row>
    <row r="233">
      <c r="A233" s="10">
        <v>4.9208656976E10</v>
      </c>
      <c r="B233" s="11">
        <v>0.061</v>
      </c>
      <c r="C233" s="11">
        <v>314.0</v>
      </c>
      <c r="D233" s="11">
        <v>0.117</v>
      </c>
      <c r="E233" s="7" t="s">
        <v>96</v>
      </c>
      <c r="F233" s="9" t="s">
        <v>71</v>
      </c>
      <c r="G233" s="5" t="s">
        <v>75</v>
      </c>
    </row>
    <row r="234">
      <c r="A234" s="10">
        <v>5.5220932614E10</v>
      </c>
      <c r="B234" s="11">
        <v>0.056</v>
      </c>
      <c r="C234" s="11">
        <v>323.0</v>
      </c>
      <c r="D234" s="11">
        <v>0.092</v>
      </c>
      <c r="E234" s="7" t="s">
        <v>96</v>
      </c>
      <c r="F234" s="9" t="s">
        <v>72</v>
      </c>
      <c r="G234" s="5" t="s">
        <v>75</v>
      </c>
    </row>
    <row r="235">
      <c r="A235" s="10">
        <v>5.9734593905E10</v>
      </c>
      <c r="B235" s="11">
        <v>0.049</v>
      </c>
      <c r="C235" s="11">
        <v>311.0</v>
      </c>
      <c r="D235" s="11">
        <v>0.136</v>
      </c>
      <c r="E235" s="7" t="s">
        <v>96</v>
      </c>
      <c r="F235" s="9" t="s">
        <v>73</v>
      </c>
      <c r="G235" s="5" t="s">
        <v>75</v>
      </c>
    </row>
    <row r="236">
      <c r="A236" s="10">
        <v>6.3615445567E10</v>
      </c>
      <c r="B236" s="11">
        <v>0.05</v>
      </c>
      <c r="C236" s="11">
        <v>339.0</v>
      </c>
      <c r="D236" s="11">
        <v>0.195</v>
      </c>
      <c r="E236" s="7" t="s">
        <v>96</v>
      </c>
      <c r="F236" s="9" t="s">
        <v>60</v>
      </c>
      <c r="G236" s="5" t="s">
        <v>75</v>
      </c>
    </row>
    <row r="237">
      <c r="A237" s="10">
        <v>2.33E11</v>
      </c>
      <c r="B237" s="11">
        <v>0.081</v>
      </c>
      <c r="C237" s="11">
        <v>1845.0</v>
      </c>
      <c r="D237" s="11">
        <v>0.08</v>
      </c>
      <c r="E237" s="7" t="s">
        <v>97</v>
      </c>
      <c r="F237" s="9" t="s">
        <v>62</v>
      </c>
      <c r="G237" s="5" t="s">
        <v>75</v>
      </c>
    </row>
    <row r="238">
      <c r="A238" s="10">
        <v>2.32E11</v>
      </c>
      <c r="B238" s="11">
        <v>0.083</v>
      </c>
      <c r="C238" s="11">
        <v>1878.0</v>
      </c>
      <c r="D238" s="11">
        <v>0.085</v>
      </c>
      <c r="E238" s="7" t="s">
        <v>97</v>
      </c>
      <c r="F238" s="9" t="s">
        <v>63</v>
      </c>
      <c r="G238" s="5" t="s">
        <v>75</v>
      </c>
    </row>
    <row r="239">
      <c r="A239" s="10">
        <v>2.53E11</v>
      </c>
      <c r="B239" s="11">
        <v>0.085</v>
      </c>
      <c r="C239" s="11">
        <v>2075.0</v>
      </c>
      <c r="D239" s="11">
        <v>0.077</v>
      </c>
      <c r="E239" s="7" t="s">
        <v>97</v>
      </c>
      <c r="F239" s="9" t="s">
        <v>64</v>
      </c>
      <c r="G239" s="5" t="s">
        <v>75</v>
      </c>
    </row>
    <row r="240">
      <c r="A240" s="10">
        <v>3.12E11</v>
      </c>
      <c r="B240" s="11">
        <v>0.1</v>
      </c>
      <c r="C240" s="11">
        <v>3000.0</v>
      </c>
      <c r="D240" s="11">
        <v>0.069</v>
      </c>
      <c r="E240" s="7" t="s">
        <v>97</v>
      </c>
      <c r="F240" s="9" t="s">
        <v>65</v>
      </c>
      <c r="G240" s="5" t="s">
        <v>75</v>
      </c>
    </row>
    <row r="241">
      <c r="A241" s="10">
        <v>3.62E11</v>
      </c>
      <c r="B241" s="11">
        <v>0.1</v>
      </c>
      <c r="C241" s="11">
        <v>3482.0</v>
      </c>
      <c r="D241" s="11">
        <v>0.067</v>
      </c>
      <c r="E241" s="7" t="s">
        <v>97</v>
      </c>
      <c r="F241" s="9" t="s">
        <v>66</v>
      </c>
      <c r="G241" s="5" t="s">
        <v>75</v>
      </c>
    </row>
    <row r="242">
      <c r="A242" s="10">
        <v>3.77E11</v>
      </c>
      <c r="B242" s="11">
        <v>0.1</v>
      </c>
      <c r="C242" s="11">
        <v>3606.0</v>
      </c>
      <c r="D242" s="11">
        <v>0.067</v>
      </c>
      <c r="E242" s="7" t="s">
        <v>97</v>
      </c>
      <c r="F242" s="9" t="s">
        <v>67</v>
      </c>
      <c r="G242" s="5" t="s">
        <v>75</v>
      </c>
    </row>
    <row r="243">
      <c r="A243" s="10">
        <v>4.0E11</v>
      </c>
      <c r="B243" s="11">
        <v>0.095</v>
      </c>
      <c r="C243" s="11">
        <v>3608.0</v>
      </c>
      <c r="D243" s="11">
        <v>0.075</v>
      </c>
      <c r="E243" s="7" t="s">
        <v>97</v>
      </c>
      <c r="F243" s="9" t="s">
        <v>68</v>
      </c>
      <c r="G243" s="5" t="s">
        <v>75</v>
      </c>
    </row>
    <row r="244">
      <c r="A244" s="10">
        <v>4.6E11</v>
      </c>
      <c r="B244" s="11">
        <v>0.095</v>
      </c>
      <c r="C244" s="11">
        <v>4136.0</v>
      </c>
      <c r="D244" s="11">
        <v>0.086</v>
      </c>
      <c r="E244" s="7" t="s">
        <v>97</v>
      </c>
      <c r="F244" s="9" t="s">
        <v>69</v>
      </c>
      <c r="G244" s="5" t="s">
        <v>75</v>
      </c>
    </row>
    <row r="245">
      <c r="A245" s="10">
        <v>5.07E11</v>
      </c>
      <c r="B245" s="11">
        <v>0.099</v>
      </c>
      <c r="C245" s="11">
        <v>4715.0</v>
      </c>
      <c r="D245" s="11">
        <v>0.092</v>
      </c>
      <c r="E245" s="7" t="s">
        <v>97</v>
      </c>
      <c r="F245" s="9" t="s">
        <v>70</v>
      </c>
      <c r="G245" s="5" t="s">
        <v>75</v>
      </c>
    </row>
    <row r="246">
      <c r="A246" s="10">
        <v>4.73E11</v>
      </c>
      <c r="B246" s="11">
        <v>0.106</v>
      </c>
      <c r="C246" s="11">
        <v>4664.0</v>
      </c>
      <c r="D246" s="11">
        <v>0.095</v>
      </c>
      <c r="E246" s="7" t="s">
        <v>97</v>
      </c>
      <c r="F246" s="9" t="s">
        <v>71</v>
      </c>
      <c r="G246" s="5" t="s">
        <v>75</v>
      </c>
    </row>
    <row r="247">
      <c r="A247" s="10">
        <v>4.71E11</v>
      </c>
      <c r="B247" s="11">
        <v>0.105</v>
      </c>
      <c r="C247" s="11">
        <v>4570.0</v>
      </c>
      <c r="D247" s="8"/>
      <c r="E247" s="7" t="s">
        <v>97</v>
      </c>
      <c r="F247" s="9" t="s">
        <v>72</v>
      </c>
      <c r="G247" s="5" t="s">
        <v>75</v>
      </c>
    </row>
    <row r="248">
      <c r="A248" s="10">
        <v>5.13E11</v>
      </c>
      <c r="B248" s="11">
        <v>0.105</v>
      </c>
      <c r="C248" s="11">
        <v>4914.0</v>
      </c>
      <c r="D248" s="8"/>
      <c r="E248" s="7" t="s">
        <v>97</v>
      </c>
      <c r="F248" s="9" t="s">
        <v>73</v>
      </c>
      <c r="G248" s="5" t="s">
        <v>75</v>
      </c>
    </row>
    <row r="249">
      <c r="A249" s="10">
        <v>4.83E11</v>
      </c>
      <c r="B249" s="11">
        <v>0.108</v>
      </c>
      <c r="C249" s="11">
        <v>4711.0</v>
      </c>
      <c r="D249" s="8"/>
      <c r="E249" s="7" t="s">
        <v>97</v>
      </c>
      <c r="F249" s="9" t="s">
        <v>60</v>
      </c>
      <c r="G249" s="5" t="s">
        <v>75</v>
      </c>
    </row>
    <row r="250">
      <c r="A250" s="10">
        <v>8.3175E8</v>
      </c>
      <c r="B250" s="11">
        <v>0.04</v>
      </c>
      <c r="C250" s="11">
        <v>139.0</v>
      </c>
      <c r="D250" s="11">
        <v>0.16</v>
      </c>
      <c r="E250" s="7" t="s">
        <v>98</v>
      </c>
      <c r="F250" s="9" t="s">
        <v>62</v>
      </c>
      <c r="G250" s="5" t="s">
        <v>84</v>
      </c>
    </row>
    <row r="251">
      <c r="A251" s="10">
        <v>8.71840755E8</v>
      </c>
      <c r="B251" s="11">
        <v>0.045</v>
      </c>
      <c r="C251" s="11">
        <v>160.0</v>
      </c>
      <c r="D251" s="11">
        <v>0.155</v>
      </c>
      <c r="E251" s="7" t="s">
        <v>98</v>
      </c>
      <c r="F251" s="9" t="s">
        <v>63</v>
      </c>
      <c r="G251" s="5" t="s">
        <v>84</v>
      </c>
    </row>
    <row r="252">
      <c r="A252" s="10">
        <v>9.32676403E8</v>
      </c>
      <c r="B252" s="11">
        <v>0.044</v>
      </c>
      <c r="C252" s="11">
        <v>162.0</v>
      </c>
      <c r="D252" s="11">
        <v>0.148</v>
      </c>
      <c r="E252" s="7" t="s">
        <v>98</v>
      </c>
      <c r="F252" s="9" t="s">
        <v>64</v>
      </c>
      <c r="G252" s="5" t="s">
        <v>84</v>
      </c>
    </row>
    <row r="253">
      <c r="A253" s="10">
        <v>9.9035E8</v>
      </c>
      <c r="B253" s="11">
        <v>0.045</v>
      </c>
      <c r="C253" s="11">
        <v>174.0</v>
      </c>
      <c r="D253" s="11">
        <v>0.143</v>
      </c>
      <c r="E253" s="7" t="s">
        <v>98</v>
      </c>
      <c r="F253" s="9" t="s">
        <v>65</v>
      </c>
      <c r="G253" s="5" t="s">
        <v>84</v>
      </c>
    </row>
    <row r="254">
      <c r="A254" s="10">
        <v>1.05785E9</v>
      </c>
      <c r="B254" s="11">
        <v>0.044</v>
      </c>
      <c r="C254" s="11">
        <v>175.0</v>
      </c>
      <c r="D254" s="11">
        <v>0.139</v>
      </c>
      <c r="E254" s="7" t="s">
        <v>98</v>
      </c>
      <c r="F254" s="9" t="s">
        <v>66</v>
      </c>
      <c r="G254" s="5" t="s">
        <v>84</v>
      </c>
    </row>
    <row r="255">
      <c r="A255" s="10">
        <v>1.1142E9</v>
      </c>
      <c r="B255" s="11">
        <v>0.044</v>
      </c>
      <c r="C255" s="11">
        <v>182.0</v>
      </c>
      <c r="D255" s="11">
        <v>0.143</v>
      </c>
      <c r="E255" s="7" t="s">
        <v>98</v>
      </c>
      <c r="F255" s="9" t="s">
        <v>67</v>
      </c>
      <c r="G255" s="5" t="s">
        <v>84</v>
      </c>
    </row>
    <row r="256">
      <c r="A256" s="10">
        <v>1.21745E9</v>
      </c>
      <c r="B256" s="11">
        <v>0.044</v>
      </c>
      <c r="C256" s="11">
        <v>192.0</v>
      </c>
      <c r="D256" s="11">
        <v>0.142</v>
      </c>
      <c r="E256" s="7" t="s">
        <v>98</v>
      </c>
      <c r="F256" s="9" t="s">
        <v>68</v>
      </c>
      <c r="G256" s="5" t="s">
        <v>84</v>
      </c>
    </row>
    <row r="257">
      <c r="A257" s="10">
        <v>1.2905E9</v>
      </c>
      <c r="B257" s="11">
        <v>0.048</v>
      </c>
      <c r="C257" s="11">
        <v>215.0</v>
      </c>
      <c r="D257" s="11">
        <v>0.143</v>
      </c>
      <c r="E257" s="7" t="s">
        <v>98</v>
      </c>
      <c r="F257" s="9" t="s">
        <v>69</v>
      </c>
      <c r="G257" s="5" t="s">
        <v>84</v>
      </c>
    </row>
    <row r="258">
      <c r="A258" s="10">
        <v>1.3695E9</v>
      </c>
      <c r="B258" s="11">
        <v>0.051</v>
      </c>
      <c r="C258" s="11">
        <v>237.0</v>
      </c>
      <c r="D258" s="11">
        <v>0.141</v>
      </c>
      <c r="E258" s="7" t="s">
        <v>98</v>
      </c>
      <c r="F258" s="9" t="s">
        <v>70</v>
      </c>
      <c r="G258" s="5" t="s">
        <v>84</v>
      </c>
    </row>
    <row r="259">
      <c r="A259" s="10">
        <v>1.3385E9</v>
      </c>
      <c r="B259" s="11">
        <v>0.058</v>
      </c>
      <c r="C259" s="11">
        <v>259.0</v>
      </c>
      <c r="D259" s="11">
        <v>0.141</v>
      </c>
      <c r="E259" s="7" t="s">
        <v>98</v>
      </c>
      <c r="F259" s="9" t="s">
        <v>71</v>
      </c>
      <c r="G259" s="5" t="s">
        <v>84</v>
      </c>
    </row>
    <row r="260">
      <c r="A260" s="10">
        <v>1.3985E9</v>
      </c>
      <c r="B260" s="11">
        <v>0.058</v>
      </c>
      <c r="C260" s="11">
        <v>265.0</v>
      </c>
      <c r="D260" s="11">
        <v>0.139</v>
      </c>
      <c r="E260" s="7" t="s">
        <v>98</v>
      </c>
      <c r="F260" s="9" t="s">
        <v>72</v>
      </c>
      <c r="G260" s="5" t="s">
        <v>84</v>
      </c>
    </row>
    <row r="261">
      <c r="A261" s="10">
        <v>1.489E9</v>
      </c>
      <c r="B261" s="11">
        <v>0.058</v>
      </c>
      <c r="C261" s="11">
        <v>264.0</v>
      </c>
      <c r="D261" s="11">
        <v>0.134</v>
      </c>
      <c r="E261" s="7" t="s">
        <v>98</v>
      </c>
      <c r="F261" s="9" t="s">
        <v>73</v>
      </c>
      <c r="G261" s="5" t="s">
        <v>84</v>
      </c>
    </row>
    <row r="262">
      <c r="A262" s="10">
        <v>1.5725E9</v>
      </c>
      <c r="B262" s="11">
        <v>0.058</v>
      </c>
      <c r="C262" s="11">
        <v>259.0</v>
      </c>
      <c r="D262" s="11">
        <v>0.124</v>
      </c>
      <c r="E262" s="7" t="s">
        <v>98</v>
      </c>
      <c r="F262" s="9" t="s">
        <v>60</v>
      </c>
      <c r="G262" s="5" t="s">
        <v>84</v>
      </c>
    </row>
    <row r="263">
      <c r="A263" s="10">
        <v>2.359122303E9</v>
      </c>
      <c r="B263" s="11">
        <v>0.043</v>
      </c>
      <c r="C263" s="11">
        <v>15.0</v>
      </c>
      <c r="D263" s="8"/>
      <c r="E263" s="7" t="s">
        <v>99</v>
      </c>
      <c r="F263" s="9" t="s">
        <v>62</v>
      </c>
      <c r="G263" s="5" t="s">
        <v>77</v>
      </c>
    </row>
    <row r="264">
      <c r="A264" s="10">
        <v>2.499269391E9</v>
      </c>
      <c r="B264" s="11">
        <v>0.047</v>
      </c>
      <c r="C264" s="11">
        <v>16.0</v>
      </c>
      <c r="D264" s="8"/>
      <c r="E264" s="7" t="s">
        <v>99</v>
      </c>
      <c r="F264" s="9" t="s">
        <v>63</v>
      </c>
      <c r="G264" s="5" t="s">
        <v>77</v>
      </c>
    </row>
    <row r="265">
      <c r="A265" s="10">
        <v>2.807657386E9</v>
      </c>
      <c r="B265" s="11">
        <v>0.043</v>
      </c>
      <c r="C265" s="11">
        <v>16.0</v>
      </c>
      <c r="D265" s="8"/>
      <c r="E265" s="7" t="s">
        <v>99</v>
      </c>
      <c r="F265" s="9" t="s">
        <v>64</v>
      </c>
      <c r="G265" s="5" t="s">
        <v>77</v>
      </c>
    </row>
    <row r="266">
      <c r="A266" s="10">
        <v>3.557229702E9</v>
      </c>
      <c r="B266" s="11">
        <v>0.046</v>
      </c>
      <c r="C266" s="11">
        <v>21.0</v>
      </c>
      <c r="D266" s="8"/>
      <c r="E266" s="7" t="s">
        <v>99</v>
      </c>
      <c r="F266" s="9" t="s">
        <v>65</v>
      </c>
      <c r="G266" s="5" t="s">
        <v>77</v>
      </c>
    </row>
    <row r="267">
      <c r="A267" s="10">
        <v>4.050869968E9</v>
      </c>
      <c r="B267" s="11">
        <v>0.046</v>
      </c>
      <c r="C267" s="11">
        <v>23.0</v>
      </c>
      <c r="D267" s="8"/>
      <c r="E267" s="7" t="s">
        <v>99</v>
      </c>
      <c r="F267" s="9" t="s">
        <v>66</v>
      </c>
      <c r="G267" s="5" t="s">
        <v>77</v>
      </c>
    </row>
    <row r="268">
      <c r="A268" s="10">
        <v>4.358015993E9</v>
      </c>
      <c r="B268" s="11">
        <v>0.047</v>
      </c>
      <c r="C268" s="11">
        <v>25.0</v>
      </c>
      <c r="D268" s="8"/>
      <c r="E268" s="7" t="s">
        <v>99</v>
      </c>
      <c r="F268" s="9" t="s">
        <v>67</v>
      </c>
      <c r="G268" s="5" t="s">
        <v>77</v>
      </c>
    </row>
    <row r="269">
      <c r="A269" s="10">
        <v>4.705087452E9</v>
      </c>
      <c r="B269" s="11">
        <v>0.048</v>
      </c>
      <c r="C269" s="11">
        <v>26.0</v>
      </c>
      <c r="D269" s="8"/>
      <c r="E269" s="7" t="s">
        <v>99</v>
      </c>
      <c r="F269" s="9" t="s">
        <v>68</v>
      </c>
      <c r="G269" s="5" t="s">
        <v>77</v>
      </c>
    </row>
    <row r="270">
      <c r="A270" s="10">
        <v>5.506275948E9</v>
      </c>
      <c r="B270" s="11">
        <v>0.045</v>
      </c>
      <c r="C270" s="11">
        <v>29.0</v>
      </c>
      <c r="D270" s="8"/>
      <c r="E270" s="7" t="s">
        <v>99</v>
      </c>
      <c r="F270" s="9" t="s">
        <v>69</v>
      </c>
      <c r="G270" s="5" t="s">
        <v>77</v>
      </c>
    </row>
    <row r="271">
      <c r="A271" s="10">
        <v>6.633561835E9</v>
      </c>
      <c r="B271" s="11">
        <v>0.042</v>
      </c>
      <c r="C271" s="11">
        <v>31.0</v>
      </c>
      <c r="D271" s="8"/>
      <c r="E271" s="7" t="s">
        <v>99</v>
      </c>
      <c r="F271" s="9" t="s">
        <v>70</v>
      </c>
      <c r="G271" s="5" t="s">
        <v>77</v>
      </c>
    </row>
    <row r="272">
      <c r="A272" s="10">
        <v>6.585134688E9</v>
      </c>
      <c r="B272" s="11">
        <v>0.044</v>
      </c>
      <c r="C272" s="11">
        <v>32.0</v>
      </c>
      <c r="D272" s="8"/>
      <c r="E272" s="7" t="s">
        <v>99</v>
      </c>
      <c r="F272" s="9" t="s">
        <v>71</v>
      </c>
      <c r="G272" s="5" t="s">
        <v>77</v>
      </c>
    </row>
    <row r="273">
      <c r="A273" s="10">
        <v>6.558416322E9</v>
      </c>
      <c r="B273" s="11">
        <v>0.043</v>
      </c>
      <c r="C273" s="11">
        <v>30.0</v>
      </c>
      <c r="D273" s="8"/>
      <c r="E273" s="7" t="s">
        <v>99</v>
      </c>
      <c r="F273" s="9" t="s">
        <v>72</v>
      </c>
      <c r="G273" s="5" t="s">
        <v>77</v>
      </c>
    </row>
    <row r="274">
      <c r="A274" s="10">
        <v>7.294900431E9</v>
      </c>
      <c r="B274" s="11">
        <v>0.045</v>
      </c>
      <c r="C274" s="11">
        <v>34.0</v>
      </c>
      <c r="D274" s="8"/>
      <c r="E274" s="7" t="s">
        <v>99</v>
      </c>
      <c r="F274" s="9" t="s">
        <v>73</v>
      </c>
      <c r="G274" s="5" t="s">
        <v>77</v>
      </c>
    </row>
    <row r="275">
      <c r="A275" s="10">
        <v>7.543183759E9</v>
      </c>
      <c r="B275" s="11">
        <v>0.045</v>
      </c>
      <c r="C275" s="11">
        <v>33.0</v>
      </c>
      <c r="D275" s="8"/>
      <c r="E275" s="7" t="s">
        <v>99</v>
      </c>
      <c r="F275" s="9" t="s">
        <v>60</v>
      </c>
      <c r="G275" s="5" t="s">
        <v>77</v>
      </c>
    </row>
    <row r="276">
      <c r="A276" s="10">
        <v>3.480219E9</v>
      </c>
      <c r="B276" s="8"/>
      <c r="C276" s="8"/>
      <c r="D276" s="8"/>
      <c r="E276" s="7" t="s">
        <v>100</v>
      </c>
      <c r="F276" s="9" t="s">
        <v>62</v>
      </c>
      <c r="G276" s="5" t="s">
        <v>84</v>
      </c>
    </row>
    <row r="277">
      <c r="A277" s="10">
        <v>3.680483E9</v>
      </c>
      <c r="B277" s="8"/>
      <c r="C277" s="8"/>
      <c r="D277" s="8"/>
      <c r="E277" s="7" t="s">
        <v>100</v>
      </c>
      <c r="F277" s="9" t="s">
        <v>63</v>
      </c>
      <c r="G277" s="5" t="s">
        <v>84</v>
      </c>
    </row>
    <row r="278">
      <c r="A278" s="10">
        <v>3.937228E9</v>
      </c>
      <c r="B278" s="8"/>
      <c r="C278" s="8"/>
      <c r="D278" s="8"/>
      <c r="E278" s="7" t="s">
        <v>100</v>
      </c>
      <c r="F278" s="9" t="s">
        <v>64</v>
      </c>
      <c r="G278" s="5" t="s">
        <v>84</v>
      </c>
    </row>
    <row r="279">
      <c r="A279" s="10">
        <v>4.186525E9</v>
      </c>
      <c r="B279" s="8"/>
      <c r="C279" s="8"/>
      <c r="D279" s="8"/>
      <c r="E279" s="7" t="s">
        <v>100</v>
      </c>
      <c r="F279" s="9" t="s">
        <v>65</v>
      </c>
      <c r="G279" s="5" t="s">
        <v>84</v>
      </c>
    </row>
    <row r="280">
      <c r="A280" s="10">
        <v>4.484703E9</v>
      </c>
      <c r="B280" s="8"/>
      <c r="C280" s="8"/>
      <c r="D280" s="8"/>
      <c r="E280" s="7" t="s">
        <v>100</v>
      </c>
      <c r="F280" s="9" t="s">
        <v>66</v>
      </c>
      <c r="G280" s="5" t="s">
        <v>84</v>
      </c>
    </row>
    <row r="281">
      <c r="A281" s="10">
        <v>4.868136E9</v>
      </c>
      <c r="B281" s="8"/>
      <c r="C281" s="8"/>
      <c r="D281" s="8"/>
      <c r="E281" s="7" t="s">
        <v>100</v>
      </c>
      <c r="F281" s="9" t="s">
        <v>67</v>
      </c>
      <c r="G281" s="5" t="s">
        <v>84</v>
      </c>
    </row>
    <row r="282">
      <c r="A282" s="10">
        <v>5.414299E9</v>
      </c>
      <c r="B282" s="8"/>
      <c r="C282" s="8"/>
      <c r="D282" s="8"/>
      <c r="E282" s="7" t="s">
        <v>100</v>
      </c>
      <c r="F282" s="9" t="s">
        <v>68</v>
      </c>
      <c r="G282" s="5" t="s">
        <v>84</v>
      </c>
    </row>
    <row r="283">
      <c r="A283" s="10">
        <v>5.895048E9</v>
      </c>
      <c r="B283" s="8"/>
      <c r="C283" s="8"/>
      <c r="D283" s="8"/>
      <c r="E283" s="7" t="s">
        <v>100</v>
      </c>
      <c r="F283" s="9" t="s">
        <v>69</v>
      </c>
      <c r="G283" s="5" t="s">
        <v>84</v>
      </c>
    </row>
    <row r="284">
      <c r="A284" s="10">
        <v>6.109928E9</v>
      </c>
      <c r="B284" s="8"/>
      <c r="C284" s="8"/>
      <c r="D284" s="8"/>
      <c r="E284" s="7" t="s">
        <v>100</v>
      </c>
      <c r="F284" s="9" t="s">
        <v>70</v>
      </c>
      <c r="G284" s="5" t="s">
        <v>84</v>
      </c>
    </row>
    <row r="285">
      <c r="A285" s="10">
        <v>5.806378E9</v>
      </c>
      <c r="B285" s="8"/>
      <c r="C285" s="8"/>
      <c r="D285" s="8"/>
      <c r="E285" s="7" t="s">
        <v>100</v>
      </c>
      <c r="F285" s="9" t="s">
        <v>71</v>
      </c>
      <c r="G285" s="5" t="s">
        <v>84</v>
      </c>
    </row>
    <row r="286">
      <c r="A286" s="10">
        <v>5.744414E9</v>
      </c>
      <c r="B286" s="8"/>
      <c r="C286" s="8"/>
      <c r="D286" s="8"/>
      <c r="E286" s="7" t="s">
        <v>100</v>
      </c>
      <c r="F286" s="9" t="s">
        <v>72</v>
      </c>
      <c r="G286" s="5" t="s">
        <v>84</v>
      </c>
    </row>
    <row r="287">
      <c r="A287" s="10">
        <v>5.550771E9</v>
      </c>
      <c r="B287" s="8"/>
      <c r="C287" s="8"/>
      <c r="D287" s="8"/>
      <c r="E287" s="7" t="s">
        <v>100</v>
      </c>
      <c r="F287" s="9" t="s">
        <v>73</v>
      </c>
      <c r="G287" s="5" t="s">
        <v>84</v>
      </c>
    </row>
    <row r="288">
      <c r="A288" s="10">
        <v>5.473536E9</v>
      </c>
      <c r="B288" s="8"/>
      <c r="C288" s="8"/>
      <c r="D288" s="8"/>
      <c r="E288" s="7" t="s">
        <v>100</v>
      </c>
      <c r="F288" s="9" t="s">
        <v>60</v>
      </c>
      <c r="G288" s="5" t="s">
        <v>84</v>
      </c>
    </row>
    <row r="289">
      <c r="A289" s="10">
        <v>4.39158233E8</v>
      </c>
      <c r="B289" s="11">
        <v>0.067</v>
      </c>
      <c r="C289" s="11">
        <v>52.0</v>
      </c>
      <c r="D289" s="11">
        <v>0.16</v>
      </c>
      <c r="E289" s="7" t="s">
        <v>101</v>
      </c>
      <c r="F289" s="9" t="s">
        <v>62</v>
      </c>
      <c r="G289" s="5" t="s">
        <v>61</v>
      </c>
    </row>
    <row r="290">
      <c r="A290" s="10">
        <v>4.76360697E8</v>
      </c>
      <c r="B290" s="11">
        <v>0.062</v>
      </c>
      <c r="C290" s="11">
        <v>51.0</v>
      </c>
      <c r="D290" s="11">
        <v>0.158</v>
      </c>
      <c r="E290" s="7" t="s">
        <v>101</v>
      </c>
      <c r="F290" s="9" t="s">
        <v>63</v>
      </c>
      <c r="G290" s="5" t="s">
        <v>61</v>
      </c>
    </row>
    <row r="291">
      <c r="A291" s="10">
        <v>5.37050133E8</v>
      </c>
      <c r="B291" s="11">
        <v>0.079</v>
      </c>
      <c r="C291" s="11">
        <v>71.0</v>
      </c>
      <c r="D291" s="11">
        <v>0.153</v>
      </c>
      <c r="E291" s="7" t="s">
        <v>101</v>
      </c>
      <c r="F291" s="9" t="s">
        <v>64</v>
      </c>
      <c r="G291" s="5" t="s">
        <v>61</v>
      </c>
    </row>
    <row r="292">
      <c r="A292" s="10">
        <v>6.22026107E8</v>
      </c>
      <c r="B292" s="11">
        <v>0.051</v>
      </c>
      <c r="C292" s="11">
        <v>51.0</v>
      </c>
      <c r="D292" s="11">
        <v>0.15</v>
      </c>
      <c r="E292" s="7" t="s">
        <v>101</v>
      </c>
      <c r="F292" s="9" t="s">
        <v>65</v>
      </c>
      <c r="G292" s="5" t="s">
        <v>61</v>
      </c>
    </row>
    <row r="293">
      <c r="A293" s="10">
        <v>7.02682018E8</v>
      </c>
      <c r="B293" s="11">
        <v>0.044</v>
      </c>
      <c r="C293" s="11">
        <v>49.0</v>
      </c>
      <c r="D293" s="11">
        <v>0.15</v>
      </c>
      <c r="E293" s="7" t="s">
        <v>101</v>
      </c>
      <c r="F293" s="9" t="s">
        <v>66</v>
      </c>
      <c r="G293" s="5" t="s">
        <v>61</v>
      </c>
    </row>
    <row r="294">
      <c r="A294" s="10">
        <v>8.18869146E8</v>
      </c>
      <c r="B294" s="11">
        <v>0.043</v>
      </c>
      <c r="C294" s="11">
        <v>55.0</v>
      </c>
      <c r="D294" s="11">
        <v>0.14</v>
      </c>
      <c r="E294" s="7" t="s">
        <v>101</v>
      </c>
      <c r="F294" s="9" t="s">
        <v>67</v>
      </c>
      <c r="G294" s="5" t="s">
        <v>61</v>
      </c>
    </row>
    <row r="295">
      <c r="A295" s="10">
        <v>8.97672086E8</v>
      </c>
      <c r="B295" s="11">
        <v>0.044</v>
      </c>
      <c r="C295" s="11">
        <v>59.0</v>
      </c>
      <c r="D295" s="11">
        <v>0.14</v>
      </c>
      <c r="E295" s="7" t="s">
        <v>101</v>
      </c>
      <c r="F295" s="9" t="s">
        <v>68</v>
      </c>
      <c r="G295" s="5" t="s">
        <v>61</v>
      </c>
    </row>
    <row r="296">
      <c r="A296" s="10">
        <v>1.196091806E9</v>
      </c>
      <c r="B296" s="11">
        <v>0.05</v>
      </c>
      <c r="C296" s="11">
        <v>88.0</v>
      </c>
      <c r="D296" s="11">
        <v>0.14</v>
      </c>
      <c r="E296" s="7" t="s">
        <v>101</v>
      </c>
      <c r="F296" s="9" t="s">
        <v>69</v>
      </c>
      <c r="G296" s="5" t="s">
        <v>61</v>
      </c>
    </row>
    <row r="297">
      <c r="A297" s="10">
        <v>1.258193519E9</v>
      </c>
      <c r="B297" s="11">
        <v>0.052</v>
      </c>
      <c r="C297" s="11">
        <v>95.0</v>
      </c>
      <c r="D297" s="11">
        <v>0.138</v>
      </c>
      <c r="E297" s="7" t="s">
        <v>101</v>
      </c>
      <c r="F297" s="9" t="s">
        <v>70</v>
      </c>
      <c r="G297" s="5" t="s">
        <v>61</v>
      </c>
    </row>
    <row r="298">
      <c r="A298" s="10">
        <v>1.264758198E9</v>
      </c>
      <c r="B298" s="11">
        <v>0.046</v>
      </c>
      <c r="C298" s="11">
        <v>82.0</v>
      </c>
      <c r="D298" s="11">
        <v>0.138</v>
      </c>
      <c r="E298" s="7" t="s">
        <v>101</v>
      </c>
      <c r="F298" s="9" t="s">
        <v>71</v>
      </c>
      <c r="G298" s="5" t="s">
        <v>61</v>
      </c>
    </row>
    <row r="299">
      <c r="A299" s="10">
        <v>1.585396256E9</v>
      </c>
      <c r="B299" s="11">
        <v>0.041</v>
      </c>
      <c r="C299" s="11">
        <v>90.0</v>
      </c>
      <c r="D299" s="11">
        <v>0.14</v>
      </c>
      <c r="E299" s="7" t="s">
        <v>101</v>
      </c>
      <c r="F299" s="9" t="s">
        <v>72</v>
      </c>
      <c r="G299" s="5" t="s">
        <v>61</v>
      </c>
    </row>
    <row r="300">
      <c r="A300" s="10">
        <v>1.840841618E9</v>
      </c>
      <c r="B300" s="11">
        <v>0.037</v>
      </c>
      <c r="C300" s="11">
        <v>94.0</v>
      </c>
      <c r="D300" s="11">
        <v>0.14</v>
      </c>
      <c r="E300" s="7" t="s">
        <v>101</v>
      </c>
      <c r="F300" s="9" t="s">
        <v>73</v>
      </c>
      <c r="G300" s="5" t="s">
        <v>61</v>
      </c>
    </row>
    <row r="301">
      <c r="A301" s="10">
        <v>1.861157558E9</v>
      </c>
      <c r="B301" s="11">
        <v>0.038</v>
      </c>
      <c r="C301" s="11">
        <v>90.0</v>
      </c>
      <c r="D301" s="11">
        <v>0.14</v>
      </c>
      <c r="E301" s="7" t="s">
        <v>101</v>
      </c>
      <c r="F301" s="9" t="s">
        <v>60</v>
      </c>
      <c r="G301" s="5" t="s">
        <v>61</v>
      </c>
    </row>
    <row r="302">
      <c r="A302" s="10">
        <v>8.397858185E9</v>
      </c>
      <c r="B302" s="11">
        <v>0.061</v>
      </c>
      <c r="C302" s="11">
        <v>60.0</v>
      </c>
      <c r="D302" s="11">
        <v>0.346</v>
      </c>
      <c r="E302" s="7" t="s">
        <v>102</v>
      </c>
      <c r="F302" s="9" t="s">
        <v>62</v>
      </c>
      <c r="G302" s="5" t="s">
        <v>84</v>
      </c>
    </row>
    <row r="303">
      <c r="A303" s="10">
        <v>8.141513292E9</v>
      </c>
      <c r="B303" s="11">
        <v>0.063</v>
      </c>
      <c r="C303" s="11">
        <v>59.0</v>
      </c>
      <c r="D303" s="11">
        <v>0.201</v>
      </c>
      <c r="E303" s="7" t="s">
        <v>102</v>
      </c>
      <c r="F303" s="9" t="s">
        <v>63</v>
      </c>
      <c r="G303" s="5" t="s">
        <v>84</v>
      </c>
    </row>
    <row r="304">
      <c r="A304" s="10">
        <v>7.905485216E9</v>
      </c>
      <c r="B304" s="11">
        <v>0.065</v>
      </c>
      <c r="C304" s="11">
        <v>58.0</v>
      </c>
      <c r="D304" s="11">
        <v>0.206</v>
      </c>
      <c r="E304" s="7" t="s">
        <v>102</v>
      </c>
      <c r="F304" s="9" t="s">
        <v>64</v>
      </c>
      <c r="G304" s="5" t="s">
        <v>84</v>
      </c>
    </row>
    <row r="305">
      <c r="A305" s="10">
        <v>8.082396526E9</v>
      </c>
      <c r="B305" s="11">
        <v>0.056</v>
      </c>
      <c r="C305" s="11">
        <v>50.0</v>
      </c>
      <c r="D305" s="11">
        <v>0.177</v>
      </c>
      <c r="E305" s="7" t="s">
        <v>102</v>
      </c>
      <c r="F305" s="9" t="s">
        <v>65</v>
      </c>
      <c r="G305" s="5" t="s">
        <v>84</v>
      </c>
    </row>
    <row r="306">
      <c r="A306" s="10">
        <v>8.773451739E9</v>
      </c>
      <c r="B306" s="11">
        <v>0.053</v>
      </c>
      <c r="C306" s="11">
        <v>51.0</v>
      </c>
      <c r="D306" s="11">
        <v>0.145</v>
      </c>
      <c r="E306" s="7" t="s">
        <v>102</v>
      </c>
      <c r="F306" s="9" t="s">
        <v>66</v>
      </c>
      <c r="G306" s="5" t="s">
        <v>84</v>
      </c>
    </row>
    <row r="307">
      <c r="A307" s="10">
        <v>9.549196256E9</v>
      </c>
      <c r="B307" s="11">
        <v>0.056</v>
      </c>
      <c r="C307" s="11">
        <v>57.0</v>
      </c>
      <c r="D307" s="11">
        <v>0.166</v>
      </c>
      <c r="E307" s="7" t="s">
        <v>102</v>
      </c>
      <c r="F307" s="9" t="s">
        <v>67</v>
      </c>
      <c r="G307" s="5" t="s">
        <v>84</v>
      </c>
    </row>
    <row r="308">
      <c r="A308" s="10">
        <v>1.1451845341E10</v>
      </c>
      <c r="B308" s="11">
        <v>0.048</v>
      </c>
      <c r="C308" s="11">
        <v>58.0</v>
      </c>
      <c r="D308" s="11">
        <v>0.119</v>
      </c>
      <c r="E308" s="7" t="s">
        <v>102</v>
      </c>
      <c r="F308" s="9" t="s">
        <v>68</v>
      </c>
      <c r="G308" s="5" t="s">
        <v>84</v>
      </c>
    </row>
    <row r="309">
      <c r="A309" s="10">
        <v>1.3120183157E10</v>
      </c>
      <c r="B309" s="11">
        <v>0.047</v>
      </c>
      <c r="C309" s="11">
        <v>64.0</v>
      </c>
      <c r="D309" s="11">
        <v>0.129</v>
      </c>
      <c r="E309" s="7" t="s">
        <v>102</v>
      </c>
      <c r="F309" s="9" t="s">
        <v>69</v>
      </c>
      <c r="G309" s="5" t="s">
        <v>84</v>
      </c>
    </row>
    <row r="310">
      <c r="A310" s="10">
        <v>1.6674324634E10</v>
      </c>
      <c r="B310" s="11">
        <v>0.049</v>
      </c>
      <c r="C310" s="11">
        <v>84.0</v>
      </c>
      <c r="D310" s="11">
        <v>0.139</v>
      </c>
      <c r="E310" s="7" t="s">
        <v>102</v>
      </c>
      <c r="F310" s="9" t="s">
        <v>70</v>
      </c>
      <c r="G310" s="5" t="s">
        <v>84</v>
      </c>
    </row>
    <row r="311">
      <c r="A311" s="10">
        <v>1.7339992165E10</v>
      </c>
      <c r="B311" s="11">
        <v>0.058</v>
      </c>
      <c r="C311" s="11">
        <v>100.0</v>
      </c>
      <c r="D311" s="11">
        <v>0.124</v>
      </c>
      <c r="E311" s="7" t="s">
        <v>102</v>
      </c>
      <c r="F311" s="9" t="s">
        <v>71</v>
      </c>
      <c r="G311" s="5" t="s">
        <v>84</v>
      </c>
    </row>
    <row r="312">
      <c r="A312" s="10">
        <v>1.9649631308E10</v>
      </c>
      <c r="B312" s="11">
        <v>0.055</v>
      </c>
      <c r="C312" s="11">
        <v>106.0</v>
      </c>
      <c r="D312" s="11">
        <v>0.099</v>
      </c>
      <c r="E312" s="7" t="s">
        <v>102</v>
      </c>
      <c r="F312" s="9" t="s">
        <v>72</v>
      </c>
      <c r="G312" s="5" t="s">
        <v>84</v>
      </c>
    </row>
    <row r="313">
      <c r="A313" s="10">
        <v>2.3948541156E10</v>
      </c>
      <c r="B313" s="11">
        <v>0.05</v>
      </c>
      <c r="C313" s="11">
        <v>115.0</v>
      </c>
      <c r="D313" s="11">
        <v>0.109</v>
      </c>
      <c r="E313" s="7" t="s">
        <v>102</v>
      </c>
      <c r="F313" s="9" t="s">
        <v>73</v>
      </c>
      <c r="G313" s="5" t="s">
        <v>84</v>
      </c>
    </row>
    <row r="314">
      <c r="A314" s="10">
        <v>2.703511013E10</v>
      </c>
      <c r="B314" s="11">
        <v>0.058</v>
      </c>
      <c r="C314" s="11">
        <v>149.0</v>
      </c>
      <c r="D314" s="11">
        <v>0.111</v>
      </c>
      <c r="E314" s="7" t="s">
        <v>102</v>
      </c>
      <c r="F314" s="9" t="s">
        <v>60</v>
      </c>
      <c r="G314" s="5" t="s">
        <v>84</v>
      </c>
    </row>
    <row r="315">
      <c r="A315" s="10">
        <v>5.505984456E9</v>
      </c>
      <c r="B315" s="11">
        <v>0.071</v>
      </c>
      <c r="C315" s="11">
        <v>103.0</v>
      </c>
      <c r="D315" s="11">
        <v>0.305</v>
      </c>
      <c r="E315" s="7" t="s">
        <v>103</v>
      </c>
      <c r="F315" s="9" t="s">
        <v>62</v>
      </c>
      <c r="G315" s="5" t="s">
        <v>75</v>
      </c>
    </row>
    <row r="316">
      <c r="A316" s="10">
        <v>5.748990555E9</v>
      </c>
      <c r="B316" s="11">
        <v>0.072</v>
      </c>
      <c r="C316" s="11">
        <v>108.0</v>
      </c>
      <c r="D316" s="8"/>
      <c r="E316" s="7" t="s">
        <v>103</v>
      </c>
      <c r="F316" s="9" t="s">
        <v>63</v>
      </c>
      <c r="G316" s="5" t="s">
        <v>75</v>
      </c>
    </row>
    <row r="317">
      <c r="A317" s="10">
        <v>6.651226179E9</v>
      </c>
      <c r="B317" s="11">
        <v>0.071</v>
      </c>
      <c r="C317" s="11">
        <v>122.0</v>
      </c>
      <c r="D317" s="11">
        <v>0.127</v>
      </c>
      <c r="E317" s="7" t="s">
        <v>103</v>
      </c>
      <c r="F317" s="9" t="s">
        <v>64</v>
      </c>
      <c r="G317" s="5" t="s">
        <v>75</v>
      </c>
    </row>
    <row r="318">
      <c r="A318" s="10">
        <v>8.370020196E9</v>
      </c>
      <c r="B318" s="11">
        <v>0.08</v>
      </c>
      <c r="C318" s="11">
        <v>174.0</v>
      </c>
      <c r="D318" s="11">
        <v>0.109</v>
      </c>
      <c r="E318" s="7" t="s">
        <v>103</v>
      </c>
      <c r="F318" s="9" t="s">
        <v>65</v>
      </c>
      <c r="G318" s="5" t="s">
        <v>75</v>
      </c>
    </row>
    <row r="319">
      <c r="A319" s="10">
        <v>1.0022840635E10</v>
      </c>
      <c r="B319" s="11">
        <v>0.09</v>
      </c>
      <c r="C319" s="11">
        <v>236.0</v>
      </c>
      <c r="D319" s="11">
        <v>0.103</v>
      </c>
      <c r="E319" s="7" t="s">
        <v>103</v>
      </c>
      <c r="F319" s="9" t="s">
        <v>66</v>
      </c>
      <c r="G319" s="5" t="s">
        <v>75</v>
      </c>
    </row>
    <row r="320">
      <c r="A320" s="10">
        <v>1.0948051122E10</v>
      </c>
      <c r="B320" s="11">
        <v>0.087</v>
      </c>
      <c r="C320" s="11">
        <v>246.0</v>
      </c>
      <c r="D320" s="11">
        <v>0.096</v>
      </c>
      <c r="E320" s="7" t="s">
        <v>103</v>
      </c>
      <c r="F320" s="9" t="s">
        <v>67</v>
      </c>
      <c r="G320" s="5" t="s">
        <v>75</v>
      </c>
    </row>
    <row r="321">
      <c r="A321" s="10">
        <v>1.2400102623E10</v>
      </c>
      <c r="B321" s="11">
        <v>0.085</v>
      </c>
      <c r="C321" s="11">
        <v>275.0</v>
      </c>
      <c r="D321" s="11">
        <v>0.08</v>
      </c>
      <c r="E321" s="7" t="s">
        <v>103</v>
      </c>
      <c r="F321" s="9" t="s">
        <v>68</v>
      </c>
      <c r="G321" s="5" t="s">
        <v>75</v>
      </c>
    </row>
    <row r="322">
      <c r="A322" s="10">
        <v>1.5280615815E10</v>
      </c>
      <c r="B322" s="11">
        <v>0.086</v>
      </c>
      <c r="C322" s="11">
        <v>341.0</v>
      </c>
      <c r="D322" s="11">
        <v>0.072</v>
      </c>
      <c r="E322" s="7" t="s">
        <v>103</v>
      </c>
      <c r="F322" s="9" t="s">
        <v>69</v>
      </c>
      <c r="G322" s="5" t="s">
        <v>75</v>
      </c>
    </row>
    <row r="323">
      <c r="A323" s="10">
        <v>1.8543289395E10</v>
      </c>
      <c r="B323" s="11">
        <v>0.088</v>
      </c>
      <c r="C323" s="11">
        <v>425.0</v>
      </c>
      <c r="D323" s="11">
        <v>0.07</v>
      </c>
      <c r="E323" s="7" t="s">
        <v>103</v>
      </c>
      <c r="F323" s="9" t="s">
        <v>70</v>
      </c>
      <c r="G323" s="5" t="s">
        <v>75</v>
      </c>
    </row>
    <row r="324">
      <c r="A324" s="10">
        <v>1.708288941E10</v>
      </c>
      <c r="B324" s="11">
        <v>0.099</v>
      </c>
      <c r="C324" s="11">
        <v>440.0</v>
      </c>
      <c r="D324" s="11">
        <v>0.079</v>
      </c>
      <c r="E324" s="7" t="s">
        <v>103</v>
      </c>
      <c r="F324" s="9" t="s">
        <v>71</v>
      </c>
      <c r="G324" s="5" t="s">
        <v>75</v>
      </c>
    </row>
    <row r="325">
      <c r="A325" s="10">
        <v>1.6775919279E10</v>
      </c>
      <c r="B325" s="11">
        <v>0.098</v>
      </c>
      <c r="C325" s="11">
        <v>427.0</v>
      </c>
      <c r="D325" s="11">
        <v>0.079</v>
      </c>
      <c r="E325" s="7" t="s">
        <v>103</v>
      </c>
      <c r="F325" s="9" t="s">
        <v>72</v>
      </c>
      <c r="G325" s="5" t="s">
        <v>75</v>
      </c>
    </row>
    <row r="326">
      <c r="A326" s="10">
        <v>1.8252896439E10</v>
      </c>
      <c r="B326" s="11">
        <v>0.099</v>
      </c>
      <c r="C326" s="11">
        <v>471.0</v>
      </c>
      <c r="D326" s="11">
        <v>0.074</v>
      </c>
      <c r="E326" s="7" t="s">
        <v>103</v>
      </c>
      <c r="F326" s="9" t="s">
        <v>73</v>
      </c>
      <c r="G326" s="5" t="s">
        <v>75</v>
      </c>
    </row>
    <row r="327">
      <c r="A327" s="10">
        <v>1.6853238733E10</v>
      </c>
      <c r="B327" s="11">
        <v>0.099</v>
      </c>
      <c r="C327" s="11">
        <v>447.0</v>
      </c>
      <c r="D327" s="11">
        <v>0.069</v>
      </c>
      <c r="E327" s="7" t="s">
        <v>103</v>
      </c>
      <c r="F327" s="9" t="s">
        <v>60</v>
      </c>
      <c r="G327" s="5" t="s">
        <v>75</v>
      </c>
    </row>
    <row r="328">
      <c r="A328" s="10">
        <v>5.788311645E9</v>
      </c>
      <c r="B328" s="11">
        <v>0.047</v>
      </c>
      <c r="C328" s="11">
        <v>152.0</v>
      </c>
      <c r="D328" s="11">
        <v>0.155</v>
      </c>
      <c r="E328" s="7" t="s">
        <v>104</v>
      </c>
      <c r="F328" s="9" t="s">
        <v>62</v>
      </c>
      <c r="G328" s="5" t="s">
        <v>77</v>
      </c>
    </row>
    <row r="329">
      <c r="A329" s="10">
        <v>5.489646903E9</v>
      </c>
      <c r="B329" s="11">
        <v>0.052</v>
      </c>
      <c r="C329" s="11">
        <v>175.0</v>
      </c>
      <c r="D329" s="11">
        <v>0.158</v>
      </c>
      <c r="E329" s="7" t="s">
        <v>104</v>
      </c>
      <c r="F329" s="9" t="s">
        <v>63</v>
      </c>
      <c r="G329" s="5" t="s">
        <v>77</v>
      </c>
    </row>
    <row r="330">
      <c r="A330" s="10">
        <v>5.438856515E9</v>
      </c>
      <c r="B330" s="11">
        <v>0.057</v>
      </c>
      <c r="C330" s="11">
        <v>193.0</v>
      </c>
      <c r="D330" s="11">
        <v>0.162</v>
      </c>
      <c r="E330" s="7" t="s">
        <v>104</v>
      </c>
      <c r="F330" s="9" t="s">
        <v>64</v>
      </c>
      <c r="G330" s="5" t="s">
        <v>77</v>
      </c>
    </row>
    <row r="331">
      <c r="A331" s="10">
        <v>7.511538765E9</v>
      </c>
      <c r="B331" s="11">
        <v>0.043</v>
      </c>
      <c r="C331" s="11">
        <v>190.0</v>
      </c>
      <c r="D331" s="11">
        <v>0.164</v>
      </c>
      <c r="E331" s="7" t="s">
        <v>104</v>
      </c>
      <c r="F331" s="9" t="s">
        <v>65</v>
      </c>
      <c r="G331" s="5" t="s">
        <v>77</v>
      </c>
    </row>
    <row r="332">
      <c r="A332" s="10">
        <v>8.957491785E9</v>
      </c>
      <c r="B332" s="11">
        <v>0.049</v>
      </c>
      <c r="C332" s="11">
        <v>268.0</v>
      </c>
      <c r="D332" s="11">
        <v>0.158</v>
      </c>
      <c r="E332" s="7" t="s">
        <v>104</v>
      </c>
      <c r="F332" s="9" t="s">
        <v>66</v>
      </c>
      <c r="G332" s="5" t="s">
        <v>77</v>
      </c>
    </row>
    <row r="333">
      <c r="A333" s="10">
        <v>9.931223496E9</v>
      </c>
      <c r="B333" s="11">
        <v>0.056</v>
      </c>
      <c r="C333" s="11">
        <v>298.0</v>
      </c>
      <c r="D333" s="11">
        <v>0.157</v>
      </c>
      <c r="E333" s="7" t="s">
        <v>104</v>
      </c>
      <c r="F333" s="9" t="s">
        <v>67</v>
      </c>
      <c r="G333" s="5" t="s">
        <v>77</v>
      </c>
    </row>
    <row r="334">
      <c r="A334" s="10">
        <v>1.0126990488E10</v>
      </c>
      <c r="B334" s="11">
        <v>0.049</v>
      </c>
      <c r="C334" s="11">
        <v>263.0</v>
      </c>
      <c r="D334" s="11">
        <v>0.165</v>
      </c>
      <c r="E334" s="7" t="s">
        <v>104</v>
      </c>
      <c r="F334" s="9" t="s">
        <v>68</v>
      </c>
      <c r="G334" s="5" t="s">
        <v>77</v>
      </c>
    </row>
    <row r="335">
      <c r="A335" s="10">
        <v>1.0939028155E10</v>
      </c>
      <c r="B335" s="11">
        <v>0.047</v>
      </c>
      <c r="C335" s="11">
        <v>269.0</v>
      </c>
      <c r="D335" s="11">
        <v>0.162</v>
      </c>
      <c r="E335" s="7" t="s">
        <v>104</v>
      </c>
      <c r="F335" s="9" t="s">
        <v>69</v>
      </c>
      <c r="G335" s="5" t="s">
        <v>77</v>
      </c>
    </row>
    <row r="336">
      <c r="A336" s="10">
        <v>1.1113042238E10</v>
      </c>
      <c r="B336" s="11">
        <v>0.053</v>
      </c>
      <c r="C336" s="11">
        <v>307.0</v>
      </c>
      <c r="D336" s="11">
        <v>0.165</v>
      </c>
      <c r="E336" s="7" t="s">
        <v>104</v>
      </c>
      <c r="F336" s="9" t="s">
        <v>70</v>
      </c>
      <c r="G336" s="5" t="s">
        <v>77</v>
      </c>
    </row>
    <row r="337">
      <c r="A337" s="10">
        <v>1.0106837286E10</v>
      </c>
      <c r="B337" s="11">
        <v>0.061</v>
      </c>
      <c r="C337" s="11">
        <v>318.0</v>
      </c>
      <c r="D337" s="11">
        <v>0.138</v>
      </c>
      <c r="E337" s="7" t="s">
        <v>104</v>
      </c>
      <c r="F337" s="9" t="s">
        <v>71</v>
      </c>
      <c r="G337" s="5" t="s">
        <v>77</v>
      </c>
    </row>
    <row r="338">
      <c r="A338" s="10">
        <v>1.3746712706E10</v>
      </c>
      <c r="B338" s="11">
        <v>0.056</v>
      </c>
      <c r="C338" s="11">
        <v>394.0</v>
      </c>
      <c r="D338" s="11">
        <v>0.115</v>
      </c>
      <c r="E338" s="7" t="s">
        <v>104</v>
      </c>
      <c r="F338" s="9" t="s">
        <v>72</v>
      </c>
      <c r="G338" s="5" t="s">
        <v>77</v>
      </c>
    </row>
    <row r="339">
      <c r="A339" s="10">
        <v>1.5292424757E10</v>
      </c>
      <c r="B339" s="11">
        <v>0.052</v>
      </c>
      <c r="C339" s="11">
        <v>404.0</v>
      </c>
      <c r="D339" s="11">
        <v>0.11</v>
      </c>
      <c r="E339" s="7" t="s">
        <v>104</v>
      </c>
      <c r="F339" s="9" t="s">
        <v>73</v>
      </c>
      <c r="G339" s="5" t="s">
        <v>77</v>
      </c>
    </row>
    <row r="340">
      <c r="A340" s="10">
        <v>1.4537490553E10</v>
      </c>
      <c r="B340" s="11">
        <v>0.053</v>
      </c>
      <c r="C340" s="11">
        <v>384.0</v>
      </c>
      <c r="D340" s="11">
        <v>0.11</v>
      </c>
      <c r="E340" s="7" t="s">
        <v>104</v>
      </c>
      <c r="F340" s="9" t="s">
        <v>60</v>
      </c>
      <c r="G340" s="5" t="s">
        <v>77</v>
      </c>
    </row>
    <row r="341">
      <c r="A341" s="10">
        <v>6.45E11</v>
      </c>
      <c r="B341" s="11">
        <v>0.072</v>
      </c>
      <c r="C341" s="11">
        <v>265.0</v>
      </c>
      <c r="D341" s="11">
        <v>0.568</v>
      </c>
      <c r="E341" s="7" t="s">
        <v>105</v>
      </c>
      <c r="F341" s="9" t="s">
        <v>62</v>
      </c>
      <c r="G341" s="5" t="s">
        <v>84</v>
      </c>
    </row>
    <row r="342">
      <c r="A342" s="10">
        <v>5.54E11</v>
      </c>
      <c r="B342" s="11">
        <v>0.073</v>
      </c>
      <c r="C342" s="11">
        <v>228.0</v>
      </c>
      <c r="D342" s="11">
        <v>0.576</v>
      </c>
      <c r="E342" s="7" t="s">
        <v>105</v>
      </c>
      <c r="F342" s="9" t="s">
        <v>63</v>
      </c>
      <c r="G342" s="5" t="s">
        <v>84</v>
      </c>
    </row>
    <row r="343">
      <c r="A343" s="10">
        <v>5.04E11</v>
      </c>
      <c r="B343" s="11">
        <v>0.072</v>
      </c>
      <c r="C343" s="11">
        <v>203.0</v>
      </c>
      <c r="D343" s="11">
        <v>0.629</v>
      </c>
      <c r="E343" s="7" t="s">
        <v>105</v>
      </c>
      <c r="F343" s="9" t="s">
        <v>64</v>
      </c>
      <c r="G343" s="5" t="s">
        <v>84</v>
      </c>
    </row>
    <row r="344">
      <c r="A344" s="10">
        <v>5.52E11</v>
      </c>
      <c r="B344" s="11">
        <v>0.07</v>
      </c>
      <c r="C344" s="11">
        <v>214.0</v>
      </c>
      <c r="D344" s="11">
        <v>0.671</v>
      </c>
      <c r="E344" s="7" t="s">
        <v>105</v>
      </c>
      <c r="F344" s="9" t="s">
        <v>65</v>
      </c>
      <c r="G344" s="5" t="s">
        <v>84</v>
      </c>
    </row>
    <row r="345">
      <c r="A345" s="10">
        <v>6.64E11</v>
      </c>
      <c r="B345" s="11">
        <v>0.071</v>
      </c>
      <c r="C345" s="11">
        <v>257.0</v>
      </c>
      <c r="D345" s="11">
        <v>0.549</v>
      </c>
      <c r="E345" s="7" t="s">
        <v>105</v>
      </c>
      <c r="F345" s="9" t="s">
        <v>66</v>
      </c>
      <c r="G345" s="5" t="s">
        <v>84</v>
      </c>
    </row>
    <row r="346">
      <c r="A346" s="10">
        <v>8.82E11</v>
      </c>
      <c r="B346" s="11">
        <v>0.082</v>
      </c>
      <c r="C346" s="11">
        <v>387.0</v>
      </c>
      <c r="D346" s="11">
        <v>0.554</v>
      </c>
      <c r="E346" s="7" t="s">
        <v>105</v>
      </c>
      <c r="F346" s="9" t="s">
        <v>67</v>
      </c>
      <c r="G346" s="5" t="s">
        <v>84</v>
      </c>
    </row>
    <row r="347">
      <c r="A347" s="10">
        <v>1.09E12</v>
      </c>
      <c r="B347" s="11">
        <v>0.085</v>
      </c>
      <c r="C347" s="11">
        <v>491.0</v>
      </c>
      <c r="D347" s="11">
        <v>0.508</v>
      </c>
      <c r="E347" s="7" t="s">
        <v>105</v>
      </c>
      <c r="F347" s="9" t="s">
        <v>68</v>
      </c>
      <c r="G347" s="5" t="s">
        <v>84</v>
      </c>
    </row>
    <row r="348">
      <c r="A348" s="10">
        <v>1.37E12</v>
      </c>
      <c r="B348" s="11">
        <v>0.085</v>
      </c>
      <c r="C348" s="11">
        <v>609.0</v>
      </c>
      <c r="D348" s="11">
        <v>0.437</v>
      </c>
      <c r="E348" s="7" t="s">
        <v>105</v>
      </c>
      <c r="F348" s="9" t="s">
        <v>69</v>
      </c>
      <c r="G348" s="5" t="s">
        <v>84</v>
      </c>
    </row>
    <row r="349">
      <c r="A349" s="10">
        <v>1.65E12</v>
      </c>
      <c r="B349" s="11">
        <v>0.083</v>
      </c>
      <c r="C349" s="11">
        <v>714.0</v>
      </c>
      <c r="D349" s="11">
        <v>0.473</v>
      </c>
      <c r="E349" s="7" t="s">
        <v>105</v>
      </c>
      <c r="F349" s="9" t="s">
        <v>70</v>
      </c>
      <c r="G349" s="5" t="s">
        <v>84</v>
      </c>
    </row>
    <row r="350">
      <c r="A350" s="10">
        <v>1.62E12</v>
      </c>
      <c r="B350" s="11">
        <v>0.088</v>
      </c>
      <c r="C350" s="11">
        <v>733.0</v>
      </c>
      <c r="D350" s="11">
        <v>0.447</v>
      </c>
      <c r="E350" s="7" t="s">
        <v>105</v>
      </c>
      <c r="F350" s="9" t="s">
        <v>71</v>
      </c>
      <c r="G350" s="5" t="s">
        <v>84</v>
      </c>
    </row>
    <row r="351">
      <c r="A351" s="10">
        <v>2.14E12</v>
      </c>
      <c r="B351" s="11">
        <v>0.09</v>
      </c>
      <c r="C351" s="11">
        <v>989.0</v>
      </c>
      <c r="D351" s="11">
        <v>0.4</v>
      </c>
      <c r="E351" s="7" t="s">
        <v>105</v>
      </c>
      <c r="F351" s="9" t="s">
        <v>72</v>
      </c>
      <c r="G351" s="5" t="s">
        <v>84</v>
      </c>
    </row>
    <row r="352">
      <c r="A352" s="10">
        <v>2.48E12</v>
      </c>
      <c r="B352" s="11">
        <v>0.089</v>
      </c>
      <c r="C352" s="11">
        <v>1119.0</v>
      </c>
      <c r="D352" s="11">
        <v>0.439</v>
      </c>
      <c r="E352" s="7" t="s">
        <v>105</v>
      </c>
      <c r="F352" s="9" t="s">
        <v>73</v>
      </c>
      <c r="G352" s="5" t="s">
        <v>84</v>
      </c>
    </row>
    <row r="353">
      <c r="A353" s="10">
        <v>2.25E12</v>
      </c>
      <c r="B353" s="11">
        <v>0.093</v>
      </c>
      <c r="C353" s="11">
        <v>1056.0</v>
      </c>
      <c r="D353" s="11">
        <v>0.366</v>
      </c>
      <c r="E353" s="7" t="s">
        <v>105</v>
      </c>
      <c r="F353" s="9" t="s">
        <v>60</v>
      </c>
      <c r="G353" s="5" t="s">
        <v>84</v>
      </c>
    </row>
    <row r="354">
      <c r="A354" s="10">
        <v>6.001153318E9</v>
      </c>
      <c r="B354" s="11">
        <v>0.03</v>
      </c>
      <c r="C354" s="11">
        <v>543.0</v>
      </c>
      <c r="D354" s="11">
        <v>0.055</v>
      </c>
      <c r="E354" s="7" t="s">
        <v>106</v>
      </c>
      <c r="F354" s="9" t="s">
        <v>62</v>
      </c>
      <c r="G354" s="5" t="s">
        <v>61</v>
      </c>
    </row>
    <row r="355">
      <c r="A355" s="10">
        <v>5.601090584E9</v>
      </c>
      <c r="B355" s="11">
        <v>0.032</v>
      </c>
      <c r="C355" s="11">
        <v>525.0</v>
      </c>
      <c r="D355" s="11">
        <v>0.055</v>
      </c>
      <c r="E355" s="7" t="s">
        <v>106</v>
      </c>
      <c r="F355" s="9" t="s">
        <v>63</v>
      </c>
      <c r="G355" s="5" t="s">
        <v>61</v>
      </c>
    </row>
    <row r="356">
      <c r="A356" s="10">
        <v>5.843329102E9</v>
      </c>
      <c r="B356" s="11">
        <v>0.031</v>
      </c>
      <c r="C356" s="11">
        <v>526.0</v>
      </c>
      <c r="D356" s="11">
        <v>0.055</v>
      </c>
      <c r="E356" s="7" t="s">
        <v>106</v>
      </c>
      <c r="F356" s="9" t="s">
        <v>64</v>
      </c>
      <c r="G356" s="5" t="s">
        <v>61</v>
      </c>
    </row>
    <row r="357">
      <c r="A357" s="10">
        <v>6.557333067E9</v>
      </c>
      <c r="B357" s="11">
        <v>0.031</v>
      </c>
      <c r="C357" s="11">
        <v>575.0</v>
      </c>
      <c r="D357" s="11">
        <v>0.055</v>
      </c>
      <c r="E357" s="7" t="s">
        <v>106</v>
      </c>
      <c r="F357" s="9" t="s">
        <v>65</v>
      </c>
      <c r="G357" s="5" t="s">
        <v>61</v>
      </c>
    </row>
    <row r="358">
      <c r="A358" s="10">
        <v>7.872333197E9</v>
      </c>
      <c r="B358" s="11">
        <v>0.03</v>
      </c>
      <c r="C358" s="11">
        <v>658.0</v>
      </c>
      <c r="D358" s="11">
        <v>0.055</v>
      </c>
      <c r="E358" s="7" t="s">
        <v>106</v>
      </c>
      <c r="F358" s="9" t="s">
        <v>66</v>
      </c>
      <c r="G358" s="5" t="s">
        <v>61</v>
      </c>
    </row>
    <row r="359">
      <c r="A359" s="10">
        <v>9.53140283E9</v>
      </c>
      <c r="B359" s="11">
        <v>0.026</v>
      </c>
      <c r="C359" s="11">
        <v>671.0</v>
      </c>
      <c r="D359" s="11">
        <v>0.055</v>
      </c>
      <c r="E359" s="7" t="s">
        <v>106</v>
      </c>
      <c r="F359" s="9" t="s">
        <v>67</v>
      </c>
      <c r="G359" s="5" t="s">
        <v>61</v>
      </c>
    </row>
    <row r="360">
      <c r="A360" s="10">
        <v>1.1470703002E10</v>
      </c>
      <c r="B360" s="11">
        <v>0.022</v>
      </c>
      <c r="C360" s="11">
        <v>680.0</v>
      </c>
      <c r="D360" s="11">
        <v>0.055</v>
      </c>
      <c r="E360" s="7" t="s">
        <v>106</v>
      </c>
      <c r="F360" s="9" t="s">
        <v>68</v>
      </c>
      <c r="G360" s="5" t="s">
        <v>61</v>
      </c>
    </row>
    <row r="361">
      <c r="A361" s="10">
        <v>1.2247694247E10</v>
      </c>
      <c r="B361" s="11">
        <v>0.023</v>
      </c>
      <c r="C361" s="11">
        <v>738.0</v>
      </c>
      <c r="D361" s="11">
        <v>0.055</v>
      </c>
      <c r="E361" s="7" t="s">
        <v>106</v>
      </c>
      <c r="F361" s="9" t="s">
        <v>69</v>
      </c>
      <c r="G361" s="5" t="s">
        <v>61</v>
      </c>
    </row>
    <row r="362">
      <c r="A362" s="10">
        <v>1.4393099069E10</v>
      </c>
      <c r="B362" s="11">
        <v>0.022</v>
      </c>
      <c r="C362" s="11">
        <v>821.0</v>
      </c>
      <c r="D362" s="11">
        <v>0.055</v>
      </c>
      <c r="E362" s="7" t="s">
        <v>106</v>
      </c>
      <c r="F362" s="9" t="s">
        <v>70</v>
      </c>
      <c r="G362" s="5" t="s">
        <v>61</v>
      </c>
    </row>
    <row r="363">
      <c r="A363" s="10">
        <v>1.0732366286E10</v>
      </c>
      <c r="B363" s="11">
        <v>0.028</v>
      </c>
      <c r="C363" s="11">
        <v>766.0</v>
      </c>
      <c r="D363" s="11">
        <v>0.055</v>
      </c>
      <c r="E363" s="7" t="s">
        <v>106</v>
      </c>
      <c r="F363" s="9" t="s">
        <v>71</v>
      </c>
      <c r="G363" s="5" t="s">
        <v>61</v>
      </c>
    </row>
    <row r="364">
      <c r="A364" s="10">
        <v>1.2369708859E10</v>
      </c>
      <c r="B364" s="11">
        <v>0.027</v>
      </c>
      <c r="C364" s="11">
        <v>844.0</v>
      </c>
      <c r="D364" s="11">
        <v>0.055</v>
      </c>
      <c r="E364" s="7" t="s">
        <v>106</v>
      </c>
      <c r="F364" s="9" t="s">
        <v>72</v>
      </c>
      <c r="G364" s="5" t="s">
        <v>61</v>
      </c>
    </row>
    <row r="365">
      <c r="A365" s="10">
        <v>1.6691360399E10</v>
      </c>
      <c r="B365" s="11">
        <v>0.022</v>
      </c>
      <c r="C365" s="11">
        <v>917.0</v>
      </c>
      <c r="D365" s="11">
        <v>0.055</v>
      </c>
      <c r="E365" s="7" t="s">
        <v>106</v>
      </c>
      <c r="F365" s="9" t="s">
        <v>73</v>
      </c>
      <c r="G365" s="5" t="s">
        <v>61</v>
      </c>
    </row>
    <row r="366">
      <c r="A366" s="10">
        <v>1.6953952625E10</v>
      </c>
      <c r="B366" s="11">
        <v>0.023</v>
      </c>
      <c r="C366" s="11">
        <v>939.0</v>
      </c>
      <c r="D366" s="11">
        <v>0.055</v>
      </c>
      <c r="E366" s="7" t="s">
        <v>106</v>
      </c>
      <c r="F366" s="9" t="s">
        <v>60</v>
      </c>
      <c r="G366" s="5" t="s">
        <v>61</v>
      </c>
    </row>
    <row r="367">
      <c r="A367" s="10">
        <v>1.2903546765E10</v>
      </c>
      <c r="B367" s="11">
        <v>0.062</v>
      </c>
      <c r="C367" s="11">
        <v>98.0</v>
      </c>
      <c r="D367" s="11">
        <v>0.113</v>
      </c>
      <c r="E367" s="7" t="s">
        <v>107</v>
      </c>
      <c r="F367" s="9" t="s">
        <v>62</v>
      </c>
      <c r="G367" s="5" t="s">
        <v>75</v>
      </c>
    </row>
    <row r="368">
      <c r="A368" s="10">
        <v>1.386860071E10</v>
      </c>
      <c r="B368" s="11">
        <v>0.074</v>
      </c>
      <c r="C368" s="11">
        <v>129.0</v>
      </c>
      <c r="D368" s="11">
        <v>0.111</v>
      </c>
      <c r="E368" s="7" t="s">
        <v>107</v>
      </c>
      <c r="F368" s="9" t="s">
        <v>63</v>
      </c>
      <c r="G368" s="5" t="s">
        <v>75</v>
      </c>
    </row>
    <row r="369">
      <c r="A369" s="10">
        <v>1.5979194511E10</v>
      </c>
      <c r="B369" s="11">
        <v>0.076</v>
      </c>
      <c r="C369" s="11">
        <v>154.0</v>
      </c>
      <c r="D369" s="11">
        <v>0.092</v>
      </c>
      <c r="E369" s="7" t="s">
        <v>107</v>
      </c>
      <c r="F369" s="9" t="s">
        <v>64</v>
      </c>
      <c r="G369" s="5" t="s">
        <v>75</v>
      </c>
    </row>
    <row r="370">
      <c r="A370" s="10">
        <v>2.0668176834E10</v>
      </c>
      <c r="B370" s="11">
        <v>0.076</v>
      </c>
      <c r="C370" s="11">
        <v>201.0</v>
      </c>
      <c r="D370" s="11">
        <v>0.085</v>
      </c>
      <c r="E370" s="7" t="s">
        <v>107</v>
      </c>
      <c r="F370" s="9" t="s">
        <v>65</v>
      </c>
      <c r="G370" s="5" t="s">
        <v>75</v>
      </c>
    </row>
    <row r="371">
      <c r="A371" s="10">
        <v>2.5283228366E10</v>
      </c>
      <c r="B371" s="11">
        <v>0.073</v>
      </c>
      <c r="C371" s="11">
        <v>238.0</v>
      </c>
      <c r="D371" s="11">
        <v>0.089</v>
      </c>
      <c r="E371" s="7" t="s">
        <v>107</v>
      </c>
      <c r="F371" s="9" t="s">
        <v>66</v>
      </c>
      <c r="G371" s="5" t="s">
        <v>75</v>
      </c>
    </row>
    <row r="372">
      <c r="A372" s="10">
        <v>2.889508354E10</v>
      </c>
      <c r="B372" s="11">
        <v>0.073</v>
      </c>
      <c r="C372" s="11">
        <v>274.0</v>
      </c>
      <c r="D372" s="11">
        <v>0.087</v>
      </c>
      <c r="E372" s="7" t="s">
        <v>107</v>
      </c>
      <c r="F372" s="9" t="s">
        <v>67</v>
      </c>
      <c r="G372" s="5" t="s">
        <v>75</v>
      </c>
    </row>
    <row r="373">
      <c r="A373" s="10">
        <v>3.3209188739E10</v>
      </c>
      <c r="B373" s="11">
        <v>0.069</v>
      </c>
      <c r="C373" s="11">
        <v>297.0</v>
      </c>
      <c r="D373" s="11">
        <v>0.089</v>
      </c>
      <c r="E373" s="7" t="s">
        <v>107</v>
      </c>
      <c r="F373" s="9" t="s">
        <v>68</v>
      </c>
      <c r="G373" s="5" t="s">
        <v>75</v>
      </c>
    </row>
    <row r="374">
      <c r="A374" s="10">
        <v>4.2113656147E10</v>
      </c>
      <c r="B374" s="11">
        <v>0.068</v>
      </c>
      <c r="C374" s="11">
        <v>375.0</v>
      </c>
      <c r="D374" s="11">
        <v>0.1</v>
      </c>
      <c r="E374" s="7" t="s">
        <v>107</v>
      </c>
      <c r="F374" s="9" t="s">
        <v>69</v>
      </c>
      <c r="G374" s="5" t="s">
        <v>75</v>
      </c>
    </row>
    <row r="375">
      <c r="A375" s="10">
        <v>5.1824892678E10</v>
      </c>
      <c r="B375" s="11">
        <v>0.07</v>
      </c>
      <c r="C375" s="11">
        <v>474.0</v>
      </c>
      <c r="D375" s="11">
        <v>0.109</v>
      </c>
      <c r="E375" s="7" t="s">
        <v>107</v>
      </c>
      <c r="F375" s="9" t="s">
        <v>70</v>
      </c>
      <c r="G375" s="5" t="s">
        <v>75</v>
      </c>
    </row>
    <row r="376">
      <c r="A376" s="10">
        <v>4.8568714012E10</v>
      </c>
      <c r="B376" s="11">
        <v>0.072</v>
      </c>
      <c r="C376" s="11">
        <v>463.0</v>
      </c>
      <c r="D376" s="11">
        <v>0.113</v>
      </c>
      <c r="E376" s="7" t="s">
        <v>107</v>
      </c>
      <c r="F376" s="9" t="s">
        <v>71</v>
      </c>
      <c r="G376" s="5" t="s">
        <v>75</v>
      </c>
    </row>
    <row r="377">
      <c r="A377" s="10">
        <v>4.7726575741E10</v>
      </c>
      <c r="B377" s="11">
        <v>0.076</v>
      </c>
      <c r="C377" s="11">
        <v>480.0</v>
      </c>
      <c r="D377" s="11">
        <v>0.111</v>
      </c>
      <c r="E377" s="7" t="s">
        <v>107</v>
      </c>
      <c r="F377" s="9" t="s">
        <v>72</v>
      </c>
      <c r="G377" s="5" t="s">
        <v>75</v>
      </c>
    </row>
    <row r="378">
      <c r="A378" s="10">
        <v>5.3542780661E10</v>
      </c>
      <c r="B378" s="11">
        <v>0.073</v>
      </c>
      <c r="C378" s="11">
        <v>522.0</v>
      </c>
      <c r="D378" s="11">
        <v>0.106</v>
      </c>
      <c r="E378" s="7" t="s">
        <v>107</v>
      </c>
      <c r="F378" s="9" t="s">
        <v>73</v>
      </c>
      <c r="G378" s="5" t="s">
        <v>75</v>
      </c>
    </row>
    <row r="379">
      <c r="A379" s="10">
        <v>5.1303659418E10</v>
      </c>
      <c r="B379" s="11">
        <v>0.074</v>
      </c>
      <c r="C379" s="11">
        <v>516.0</v>
      </c>
      <c r="D379" s="11">
        <v>0.097</v>
      </c>
      <c r="E379" s="7" t="s">
        <v>107</v>
      </c>
      <c r="F379" s="9" t="s">
        <v>60</v>
      </c>
      <c r="G379" s="5" t="s">
        <v>75</v>
      </c>
    </row>
    <row r="380">
      <c r="A380" s="10">
        <v>2.610959139E9</v>
      </c>
      <c r="B380" s="11">
        <v>0.051</v>
      </c>
      <c r="C380" s="11">
        <v>12.0</v>
      </c>
      <c r="D380" s="8"/>
      <c r="E380" s="7" t="s">
        <v>108</v>
      </c>
      <c r="F380" s="9" t="s">
        <v>62</v>
      </c>
      <c r="G380" s="5" t="s">
        <v>77</v>
      </c>
    </row>
    <row r="381">
      <c r="A381" s="10">
        <v>2.812845486E9</v>
      </c>
      <c r="B381" s="11">
        <v>0.049</v>
      </c>
      <c r="C381" s="11">
        <v>12.0</v>
      </c>
      <c r="D381" s="8"/>
      <c r="E381" s="7" t="s">
        <v>108</v>
      </c>
      <c r="F381" s="9" t="s">
        <v>63</v>
      </c>
      <c r="G381" s="5" t="s">
        <v>77</v>
      </c>
    </row>
    <row r="382">
      <c r="A382" s="10">
        <v>3.205592273E9</v>
      </c>
      <c r="B382" s="11">
        <v>0.05</v>
      </c>
      <c r="C382" s="11">
        <v>13.0</v>
      </c>
      <c r="D382" s="8"/>
      <c r="E382" s="7" t="s">
        <v>108</v>
      </c>
      <c r="F382" s="9" t="s">
        <v>64</v>
      </c>
      <c r="G382" s="5" t="s">
        <v>77</v>
      </c>
    </row>
    <row r="383">
      <c r="A383" s="10">
        <v>4.205691122E9</v>
      </c>
      <c r="B383" s="11">
        <v>0.055</v>
      </c>
      <c r="C383" s="11">
        <v>19.0</v>
      </c>
      <c r="D383" s="8"/>
      <c r="E383" s="7" t="s">
        <v>108</v>
      </c>
      <c r="F383" s="9" t="s">
        <v>65</v>
      </c>
      <c r="G383" s="5" t="s">
        <v>77</v>
      </c>
    </row>
    <row r="384">
      <c r="A384" s="10">
        <v>4.838551014E9</v>
      </c>
      <c r="B384" s="11">
        <v>0.061</v>
      </c>
      <c r="C384" s="11">
        <v>24.0</v>
      </c>
      <c r="D384" s="8"/>
      <c r="E384" s="7" t="s">
        <v>108</v>
      </c>
      <c r="F384" s="9" t="s">
        <v>66</v>
      </c>
      <c r="G384" s="5" t="s">
        <v>77</v>
      </c>
    </row>
    <row r="385">
      <c r="A385" s="10">
        <v>5.462709055E9</v>
      </c>
      <c r="B385" s="11">
        <v>0.069</v>
      </c>
      <c r="C385" s="11">
        <v>28.0</v>
      </c>
      <c r="D385" s="8"/>
      <c r="E385" s="7" t="s">
        <v>108</v>
      </c>
      <c r="F385" s="9" t="s">
        <v>67</v>
      </c>
      <c r="G385" s="5" t="s">
        <v>77</v>
      </c>
    </row>
    <row r="386">
      <c r="A386" s="10">
        <v>5.844669738E9</v>
      </c>
      <c r="B386" s="11">
        <v>0.074</v>
      </c>
      <c r="C386" s="11">
        <v>28.0</v>
      </c>
      <c r="D386" s="8"/>
      <c r="E386" s="7" t="s">
        <v>108</v>
      </c>
      <c r="F386" s="9" t="s">
        <v>68</v>
      </c>
      <c r="G386" s="5" t="s">
        <v>77</v>
      </c>
    </row>
    <row r="387">
      <c r="A387" s="10">
        <v>6.755823933E9</v>
      </c>
      <c r="B387" s="11">
        <v>0.077</v>
      </c>
      <c r="C387" s="11">
        <v>32.0</v>
      </c>
      <c r="D387" s="8"/>
      <c r="E387" s="7" t="s">
        <v>108</v>
      </c>
      <c r="F387" s="9" t="s">
        <v>69</v>
      </c>
      <c r="G387" s="5" t="s">
        <v>77</v>
      </c>
    </row>
    <row r="388">
      <c r="A388" s="10">
        <v>8.350710389E9</v>
      </c>
      <c r="B388" s="11">
        <v>0.086</v>
      </c>
      <c r="C388" s="11">
        <v>39.0</v>
      </c>
      <c r="D388" s="8"/>
      <c r="E388" s="7" t="s">
        <v>108</v>
      </c>
      <c r="F388" s="9" t="s">
        <v>70</v>
      </c>
      <c r="G388" s="5" t="s">
        <v>77</v>
      </c>
    </row>
    <row r="389">
      <c r="A389" s="10">
        <v>8.348156389E9</v>
      </c>
      <c r="B389" s="11">
        <v>0.073</v>
      </c>
      <c r="C389" s="11">
        <v>41.0</v>
      </c>
      <c r="D389" s="8"/>
      <c r="E389" s="7" t="s">
        <v>108</v>
      </c>
      <c r="F389" s="9" t="s">
        <v>71</v>
      </c>
      <c r="G389" s="5" t="s">
        <v>77</v>
      </c>
    </row>
    <row r="390">
      <c r="A390" s="10">
        <v>9.209288383E9</v>
      </c>
      <c r="B390" s="11">
        <v>0.074</v>
      </c>
      <c r="C390" s="11">
        <v>41.0</v>
      </c>
      <c r="D390" s="8"/>
      <c r="E390" s="7" t="s">
        <v>108</v>
      </c>
      <c r="F390" s="9" t="s">
        <v>72</v>
      </c>
      <c r="G390" s="5" t="s">
        <v>77</v>
      </c>
    </row>
    <row r="391">
      <c r="A391" s="10">
        <v>1.039575748E10</v>
      </c>
      <c r="B391" s="11">
        <v>0.064</v>
      </c>
      <c r="C391" s="11">
        <v>39.0</v>
      </c>
      <c r="D391" s="8"/>
      <c r="E391" s="7" t="s">
        <v>108</v>
      </c>
      <c r="F391" s="9" t="s">
        <v>73</v>
      </c>
      <c r="G391" s="5" t="s">
        <v>77</v>
      </c>
    </row>
    <row r="392">
      <c r="A392" s="10">
        <v>1.072630545E10</v>
      </c>
      <c r="B392" s="11">
        <v>0.062</v>
      </c>
      <c r="C392" s="11">
        <v>38.0</v>
      </c>
      <c r="D392" s="8"/>
      <c r="E392" s="7" t="s">
        <v>108</v>
      </c>
      <c r="F392" s="9" t="s">
        <v>60</v>
      </c>
      <c r="G392" s="5" t="s">
        <v>77</v>
      </c>
    </row>
    <row r="393">
      <c r="A393" s="10">
        <v>8.70486066E8</v>
      </c>
      <c r="B393" s="11">
        <v>0.063</v>
      </c>
      <c r="C393" s="11">
        <v>7.0</v>
      </c>
      <c r="D393" s="11">
        <v>0.158</v>
      </c>
      <c r="E393" s="7" t="s">
        <v>109</v>
      </c>
      <c r="F393" s="9" t="s">
        <v>62</v>
      </c>
      <c r="G393" s="5" t="s">
        <v>77</v>
      </c>
    </row>
    <row r="394">
      <c r="A394" s="10">
        <v>8.76794723E8</v>
      </c>
      <c r="B394" s="11">
        <v>0.068</v>
      </c>
      <c r="C394" s="11">
        <v>7.0</v>
      </c>
      <c r="D394" s="11">
        <v>0.168</v>
      </c>
      <c r="E394" s="7" t="s">
        <v>109</v>
      </c>
      <c r="F394" s="9" t="s">
        <v>63</v>
      </c>
      <c r="G394" s="5" t="s">
        <v>77</v>
      </c>
    </row>
    <row r="395">
      <c r="A395" s="10">
        <v>8.25394484E8</v>
      </c>
      <c r="B395" s="11">
        <v>0.071</v>
      </c>
      <c r="C395" s="11">
        <v>6.0</v>
      </c>
      <c r="D395" s="11">
        <v>0.195</v>
      </c>
      <c r="E395" s="7" t="s">
        <v>109</v>
      </c>
      <c r="F395" s="9" t="s">
        <v>64</v>
      </c>
      <c r="G395" s="5" t="s">
        <v>77</v>
      </c>
    </row>
    <row r="396">
      <c r="A396" s="10">
        <v>7.84654424E8</v>
      </c>
      <c r="B396" s="11">
        <v>0.072</v>
      </c>
      <c r="C396" s="11">
        <v>6.0</v>
      </c>
      <c r="D396" s="11">
        <v>0.182</v>
      </c>
      <c r="E396" s="7" t="s">
        <v>109</v>
      </c>
      <c r="F396" s="9" t="s">
        <v>65</v>
      </c>
      <c r="G396" s="5" t="s">
        <v>77</v>
      </c>
    </row>
    <row r="397">
      <c r="A397" s="10">
        <v>9.15257323E8</v>
      </c>
      <c r="B397" s="11">
        <v>0.097</v>
      </c>
      <c r="C397" s="11">
        <v>9.0</v>
      </c>
      <c r="D397" s="11">
        <v>0.183</v>
      </c>
      <c r="E397" s="7" t="s">
        <v>109</v>
      </c>
      <c r="F397" s="9" t="s">
        <v>66</v>
      </c>
      <c r="G397" s="5" t="s">
        <v>77</v>
      </c>
    </row>
    <row r="398">
      <c r="A398" s="10">
        <v>1.117254387E9</v>
      </c>
      <c r="B398" s="11">
        <v>0.101</v>
      </c>
      <c r="C398" s="11">
        <v>14.0</v>
      </c>
      <c r="D398" s="11">
        <v>0.184</v>
      </c>
      <c r="E398" s="7" t="s">
        <v>109</v>
      </c>
      <c r="F398" s="9" t="s">
        <v>67</v>
      </c>
      <c r="G398" s="5" t="s">
        <v>77</v>
      </c>
    </row>
    <row r="399">
      <c r="A399" s="10">
        <v>1.273180655E9</v>
      </c>
      <c r="B399" s="11">
        <v>0.116</v>
      </c>
      <c r="C399" s="11">
        <v>18.0</v>
      </c>
      <c r="D399" s="11">
        <v>0.171</v>
      </c>
      <c r="E399" s="7" t="s">
        <v>109</v>
      </c>
      <c r="F399" s="9" t="s">
        <v>68</v>
      </c>
      <c r="G399" s="5" t="s">
        <v>77</v>
      </c>
    </row>
    <row r="400">
      <c r="A400" s="10">
        <v>1.3560783E9</v>
      </c>
      <c r="B400" s="11">
        <v>0.1</v>
      </c>
      <c r="C400" s="11">
        <v>16.0</v>
      </c>
      <c r="D400" s="11">
        <v>0.168</v>
      </c>
      <c r="E400" s="7" t="s">
        <v>109</v>
      </c>
      <c r="F400" s="9" t="s">
        <v>69</v>
      </c>
      <c r="G400" s="5" t="s">
        <v>77</v>
      </c>
    </row>
    <row r="401">
      <c r="A401" s="10">
        <v>1.611634286E9</v>
      </c>
      <c r="B401" s="11">
        <v>0.079</v>
      </c>
      <c r="C401" s="11">
        <v>15.0</v>
      </c>
      <c r="D401" s="11">
        <v>0.165</v>
      </c>
      <c r="E401" s="7" t="s">
        <v>109</v>
      </c>
      <c r="F401" s="9" t="s">
        <v>70</v>
      </c>
      <c r="G401" s="5" t="s">
        <v>77</v>
      </c>
    </row>
    <row r="402">
      <c r="A402" s="10">
        <v>1.739781536E9</v>
      </c>
      <c r="B402" s="11">
        <v>0.07</v>
      </c>
      <c r="C402" s="11">
        <v>14.0</v>
      </c>
      <c r="D402" s="11">
        <v>0.141</v>
      </c>
      <c r="E402" s="7" t="s">
        <v>109</v>
      </c>
      <c r="F402" s="9" t="s">
        <v>71</v>
      </c>
      <c r="G402" s="5" t="s">
        <v>77</v>
      </c>
    </row>
    <row r="403">
      <c r="A403" s="10">
        <v>2.026864414E9</v>
      </c>
      <c r="B403" s="11">
        <v>0.088</v>
      </c>
      <c r="C403" s="11">
        <v>19.0</v>
      </c>
      <c r="D403" s="11">
        <v>0.124</v>
      </c>
      <c r="E403" s="7" t="s">
        <v>109</v>
      </c>
      <c r="F403" s="9" t="s">
        <v>72</v>
      </c>
      <c r="G403" s="5" t="s">
        <v>77</v>
      </c>
    </row>
    <row r="404">
      <c r="A404" s="10">
        <v>2.355652064E9</v>
      </c>
      <c r="B404" s="11">
        <v>0.09</v>
      </c>
      <c r="C404" s="11">
        <v>21.0</v>
      </c>
      <c r="D404" s="11">
        <v>0.132</v>
      </c>
      <c r="E404" s="7" t="s">
        <v>109</v>
      </c>
      <c r="F404" s="9" t="s">
        <v>73</v>
      </c>
      <c r="G404" s="5" t="s">
        <v>77</v>
      </c>
    </row>
    <row r="405">
      <c r="A405" s="10">
        <v>2.472384813E9</v>
      </c>
      <c r="B405" s="11">
        <v>0.081</v>
      </c>
      <c r="C405" s="11">
        <v>20.0</v>
      </c>
      <c r="D405" s="11">
        <v>0.143</v>
      </c>
      <c r="E405" s="7" t="s">
        <v>109</v>
      </c>
      <c r="F405" s="9" t="s">
        <v>60</v>
      </c>
      <c r="G405" s="5" t="s">
        <v>77</v>
      </c>
    </row>
    <row r="406">
      <c r="A406" s="10">
        <v>3.654031716E9</v>
      </c>
      <c r="B406" s="11">
        <v>0.063</v>
      </c>
      <c r="C406" s="11">
        <v>19.0</v>
      </c>
      <c r="D406" s="8"/>
      <c r="E406" s="7" t="s">
        <v>110</v>
      </c>
      <c r="F406" s="9" t="s">
        <v>62</v>
      </c>
      <c r="G406" s="5" t="s">
        <v>61</v>
      </c>
    </row>
    <row r="407">
      <c r="A407" s="10">
        <v>3.979813388E9</v>
      </c>
      <c r="B407" s="11">
        <v>0.062</v>
      </c>
      <c r="C407" s="11">
        <v>20.0</v>
      </c>
      <c r="D407" s="8"/>
      <c r="E407" s="7" t="s">
        <v>110</v>
      </c>
      <c r="F407" s="9" t="s">
        <v>63</v>
      </c>
      <c r="G407" s="5" t="s">
        <v>61</v>
      </c>
    </row>
    <row r="408">
      <c r="A408" s="10">
        <v>4.284028138E9</v>
      </c>
      <c r="B408" s="11">
        <v>0.064</v>
      </c>
      <c r="C408" s="11">
        <v>22.0</v>
      </c>
      <c r="D408" s="8"/>
      <c r="E408" s="7" t="s">
        <v>110</v>
      </c>
      <c r="F408" s="9" t="s">
        <v>64</v>
      </c>
      <c r="G408" s="5" t="s">
        <v>61</v>
      </c>
    </row>
    <row r="409">
      <c r="A409" s="10">
        <v>4.658246907E9</v>
      </c>
      <c r="B409" s="11">
        <v>0.073</v>
      </c>
      <c r="C409" s="11">
        <v>26.0</v>
      </c>
      <c r="D409" s="8"/>
      <c r="E409" s="7" t="s">
        <v>110</v>
      </c>
      <c r="F409" s="9" t="s">
        <v>65</v>
      </c>
      <c r="G409" s="5" t="s">
        <v>61</v>
      </c>
    </row>
    <row r="410">
      <c r="A410" s="10">
        <v>5.337833256E9</v>
      </c>
      <c r="B410" s="11">
        <v>0.071</v>
      </c>
      <c r="C410" s="11">
        <v>29.0</v>
      </c>
      <c r="D410" s="8"/>
      <c r="E410" s="7" t="s">
        <v>110</v>
      </c>
      <c r="F410" s="9" t="s">
        <v>66</v>
      </c>
      <c r="G410" s="5" t="s">
        <v>61</v>
      </c>
    </row>
    <row r="411">
      <c r="A411" s="10">
        <v>6.293046162E9</v>
      </c>
      <c r="B411" s="11">
        <v>0.069</v>
      </c>
      <c r="C411" s="11">
        <v>33.0</v>
      </c>
      <c r="D411" s="8"/>
      <c r="E411" s="7" t="s">
        <v>110</v>
      </c>
      <c r="F411" s="9" t="s">
        <v>67</v>
      </c>
      <c r="G411" s="5" t="s">
        <v>61</v>
      </c>
    </row>
    <row r="412">
      <c r="A412" s="10">
        <v>7.274424519E9</v>
      </c>
      <c r="B412" s="11">
        <v>0.054</v>
      </c>
      <c r="C412" s="11">
        <v>29.0</v>
      </c>
      <c r="D412" s="8"/>
      <c r="E412" s="7" t="s">
        <v>110</v>
      </c>
      <c r="F412" s="9" t="s">
        <v>68</v>
      </c>
      <c r="G412" s="5" t="s">
        <v>61</v>
      </c>
    </row>
    <row r="413">
      <c r="A413" s="10">
        <v>8.639164917E9</v>
      </c>
      <c r="B413" s="11">
        <v>0.045</v>
      </c>
      <c r="C413" s="11">
        <v>28.0</v>
      </c>
      <c r="D413" s="8"/>
      <c r="E413" s="7" t="s">
        <v>110</v>
      </c>
      <c r="F413" s="9" t="s">
        <v>69</v>
      </c>
      <c r="G413" s="5" t="s">
        <v>61</v>
      </c>
    </row>
    <row r="414">
      <c r="A414" s="10">
        <v>1.0351829066E10</v>
      </c>
      <c r="B414" s="11">
        <v>0.055</v>
      </c>
      <c r="C414" s="11">
        <v>41.0</v>
      </c>
      <c r="D414" s="8"/>
      <c r="E414" s="7" t="s">
        <v>110</v>
      </c>
      <c r="F414" s="9" t="s">
        <v>70</v>
      </c>
      <c r="G414" s="5" t="s">
        <v>61</v>
      </c>
    </row>
    <row r="415">
      <c r="A415" s="10">
        <v>1.0401935532E10</v>
      </c>
      <c r="B415" s="11">
        <v>0.063</v>
      </c>
      <c r="C415" s="11">
        <v>46.0</v>
      </c>
      <c r="D415" s="8"/>
      <c r="E415" s="7" t="s">
        <v>110</v>
      </c>
      <c r="F415" s="9" t="s">
        <v>71</v>
      </c>
      <c r="G415" s="5" t="s">
        <v>61</v>
      </c>
    </row>
    <row r="416">
      <c r="A416" s="10">
        <v>1.1242266334E10</v>
      </c>
      <c r="B416" s="11">
        <v>0.058</v>
      </c>
      <c r="C416" s="11">
        <v>46.0</v>
      </c>
      <c r="D416" s="8"/>
      <c r="E416" s="7" t="s">
        <v>110</v>
      </c>
      <c r="F416" s="9" t="s">
        <v>72</v>
      </c>
      <c r="G416" s="5" t="s">
        <v>61</v>
      </c>
    </row>
    <row r="417">
      <c r="A417" s="10">
        <v>1.2829541141E10</v>
      </c>
      <c r="B417" s="11">
        <v>0.056</v>
      </c>
      <c r="C417" s="11">
        <v>49.0</v>
      </c>
      <c r="D417" s="8"/>
      <c r="E417" s="7" t="s">
        <v>110</v>
      </c>
      <c r="F417" s="9" t="s">
        <v>73</v>
      </c>
      <c r="G417" s="5" t="s">
        <v>61</v>
      </c>
    </row>
    <row r="418">
      <c r="A418" s="10">
        <v>1.4054443213E10</v>
      </c>
      <c r="B418" s="11">
        <v>0.054</v>
      </c>
      <c r="C418" s="11">
        <v>51.0</v>
      </c>
      <c r="D418" s="8"/>
      <c r="E418" s="7" t="s">
        <v>110</v>
      </c>
      <c r="F418" s="9" t="s">
        <v>60</v>
      </c>
      <c r="G418" s="5" t="s">
        <v>61</v>
      </c>
    </row>
    <row r="419">
      <c r="A419" s="10">
        <v>9.287367569E9</v>
      </c>
      <c r="B419" s="11">
        <v>0.044</v>
      </c>
      <c r="C419" s="11">
        <v>26.0</v>
      </c>
      <c r="D419" s="11">
        <v>0.22</v>
      </c>
      <c r="E419" s="7" t="s">
        <v>111</v>
      </c>
      <c r="F419" s="9" t="s">
        <v>62</v>
      </c>
      <c r="G419" s="5" t="s">
        <v>77</v>
      </c>
    </row>
    <row r="420">
      <c r="A420" s="10">
        <v>9.633109257E9</v>
      </c>
      <c r="B420" s="11">
        <v>0.047</v>
      </c>
      <c r="C420" s="11">
        <v>27.0</v>
      </c>
      <c r="D420" s="11">
        <v>0.207</v>
      </c>
      <c r="E420" s="7" t="s">
        <v>111</v>
      </c>
      <c r="F420" s="9" t="s">
        <v>63</v>
      </c>
      <c r="G420" s="5" t="s">
        <v>77</v>
      </c>
    </row>
    <row r="421">
      <c r="A421" s="10">
        <v>1.0879778328E10</v>
      </c>
      <c r="B421" s="11">
        <v>0.048</v>
      </c>
      <c r="C421" s="11">
        <v>31.0</v>
      </c>
      <c r="D421" s="11">
        <v>0.18</v>
      </c>
      <c r="E421" s="7" t="s">
        <v>111</v>
      </c>
      <c r="F421" s="9" t="s">
        <v>64</v>
      </c>
      <c r="G421" s="5" t="s">
        <v>77</v>
      </c>
    </row>
    <row r="422">
      <c r="A422" s="10">
        <v>1.3621809574E10</v>
      </c>
      <c r="B422" s="11">
        <v>0.049</v>
      </c>
      <c r="C422" s="11">
        <v>39.0</v>
      </c>
      <c r="D422" s="11">
        <v>0.18</v>
      </c>
      <c r="E422" s="7" t="s">
        <v>111</v>
      </c>
      <c r="F422" s="9" t="s">
        <v>65</v>
      </c>
      <c r="G422" s="5" t="s">
        <v>77</v>
      </c>
    </row>
    <row r="423">
      <c r="A423" s="10">
        <v>1.5775356737E10</v>
      </c>
      <c r="B423" s="11">
        <v>0.046</v>
      </c>
      <c r="C423" s="11">
        <v>41.0</v>
      </c>
      <c r="D423" s="11">
        <v>0.18</v>
      </c>
      <c r="E423" s="7" t="s">
        <v>111</v>
      </c>
      <c r="F423" s="9" t="s">
        <v>66</v>
      </c>
      <c r="G423" s="5" t="s">
        <v>77</v>
      </c>
    </row>
    <row r="424">
      <c r="A424" s="10">
        <v>1.6587921221E10</v>
      </c>
      <c r="B424" s="11">
        <v>0.049</v>
      </c>
      <c r="C424" s="11">
        <v>45.0</v>
      </c>
      <c r="D424" s="11">
        <v>0.177</v>
      </c>
      <c r="E424" s="7" t="s">
        <v>111</v>
      </c>
      <c r="F424" s="9" t="s">
        <v>67</v>
      </c>
      <c r="G424" s="5" t="s">
        <v>77</v>
      </c>
    </row>
    <row r="425">
      <c r="A425" s="10">
        <v>1.7953103009E10</v>
      </c>
      <c r="B425" s="11">
        <v>0.048</v>
      </c>
      <c r="C425" s="11">
        <v>46.0</v>
      </c>
      <c r="D425" s="11">
        <v>0.153</v>
      </c>
      <c r="E425" s="7" t="s">
        <v>111</v>
      </c>
      <c r="F425" s="9" t="s">
        <v>68</v>
      </c>
      <c r="G425" s="5" t="s">
        <v>77</v>
      </c>
    </row>
    <row r="426">
      <c r="A426" s="10">
        <v>2.0431779034E10</v>
      </c>
      <c r="B426" s="11">
        <v>0.047</v>
      </c>
      <c r="C426" s="11">
        <v>50.0</v>
      </c>
      <c r="D426" s="11">
        <v>0.15</v>
      </c>
      <c r="E426" s="7" t="s">
        <v>111</v>
      </c>
      <c r="F426" s="9" t="s">
        <v>69</v>
      </c>
      <c r="G426" s="5" t="s">
        <v>77</v>
      </c>
    </row>
    <row r="427">
      <c r="A427" s="10">
        <v>2.3735537026E10</v>
      </c>
      <c r="B427" s="11">
        <v>0.05</v>
      </c>
      <c r="C427" s="11">
        <v>60.0</v>
      </c>
      <c r="D427" s="8"/>
      <c r="E427" s="7" t="s">
        <v>111</v>
      </c>
      <c r="F427" s="9" t="s">
        <v>70</v>
      </c>
      <c r="G427" s="5" t="s">
        <v>77</v>
      </c>
    </row>
    <row r="428">
      <c r="A428" s="10">
        <v>2.2165009363E10</v>
      </c>
      <c r="B428" s="11">
        <v>0.051</v>
      </c>
      <c r="C428" s="11">
        <v>56.0</v>
      </c>
      <c r="D428" s="8"/>
      <c r="E428" s="7" t="s">
        <v>111</v>
      </c>
      <c r="F428" s="9" t="s">
        <v>71</v>
      </c>
      <c r="G428" s="5" t="s">
        <v>77</v>
      </c>
    </row>
    <row r="429">
      <c r="A429" s="10">
        <v>2.2493301699E10</v>
      </c>
      <c r="B429" s="11">
        <v>0.053</v>
      </c>
      <c r="C429" s="11">
        <v>57.0</v>
      </c>
      <c r="D429" s="8"/>
      <c r="E429" s="7" t="s">
        <v>111</v>
      </c>
      <c r="F429" s="9" t="s">
        <v>72</v>
      </c>
      <c r="G429" s="5" t="s">
        <v>77</v>
      </c>
    </row>
    <row r="430">
      <c r="A430" s="10">
        <v>2.5486923059E10</v>
      </c>
      <c r="B430" s="11">
        <v>0.054</v>
      </c>
      <c r="C430" s="11">
        <v>64.0</v>
      </c>
      <c r="D430" s="8"/>
      <c r="E430" s="7" t="s">
        <v>111</v>
      </c>
      <c r="F430" s="9" t="s">
        <v>73</v>
      </c>
      <c r="G430" s="5" t="s">
        <v>77</v>
      </c>
    </row>
    <row r="431">
      <c r="A431" s="10">
        <v>2.6472637887E10</v>
      </c>
      <c r="B431" s="11">
        <v>0.051</v>
      </c>
      <c r="C431" s="11">
        <v>59.0</v>
      </c>
      <c r="D431" s="8"/>
      <c r="E431" s="7" t="s">
        <v>111</v>
      </c>
      <c r="F431" s="9" t="s">
        <v>60</v>
      </c>
      <c r="G431" s="5" t="s">
        <v>77</v>
      </c>
    </row>
    <row r="432">
      <c r="A432" s="10">
        <v>7.39E11</v>
      </c>
      <c r="B432" s="11">
        <v>0.088</v>
      </c>
      <c r="C432" s="11">
        <v>2090.0</v>
      </c>
      <c r="D432" s="11">
        <v>0.073</v>
      </c>
      <c r="E432" s="7" t="s">
        <v>112</v>
      </c>
      <c r="F432" s="9" t="s">
        <v>62</v>
      </c>
      <c r="G432" s="5" t="s">
        <v>84</v>
      </c>
    </row>
    <row r="433">
      <c r="A433" s="10">
        <v>7.33E11</v>
      </c>
      <c r="B433" s="11">
        <v>0.093</v>
      </c>
      <c r="C433" s="11">
        <v>2152.0</v>
      </c>
      <c r="D433" s="11">
        <v>0.058</v>
      </c>
      <c r="E433" s="7" t="s">
        <v>112</v>
      </c>
      <c r="F433" s="9" t="s">
        <v>63</v>
      </c>
      <c r="G433" s="5" t="s">
        <v>84</v>
      </c>
    </row>
    <row r="434">
      <c r="A434" s="10">
        <v>7.53E11</v>
      </c>
      <c r="B434" s="11">
        <v>0.096</v>
      </c>
      <c r="C434" s="11">
        <v>2254.0</v>
      </c>
      <c r="D434" s="11">
        <v>0.042</v>
      </c>
      <c r="E434" s="7" t="s">
        <v>112</v>
      </c>
      <c r="F434" s="9" t="s">
        <v>64</v>
      </c>
      <c r="G434" s="5" t="s">
        <v>84</v>
      </c>
    </row>
    <row r="435">
      <c r="A435" s="10">
        <v>8.88E11</v>
      </c>
      <c r="B435" s="11">
        <v>0.098</v>
      </c>
      <c r="C435" s="11">
        <v>2680.0</v>
      </c>
      <c r="D435" s="11">
        <v>0.047</v>
      </c>
      <c r="E435" s="7" t="s">
        <v>112</v>
      </c>
      <c r="F435" s="9" t="s">
        <v>65</v>
      </c>
      <c r="G435" s="5" t="s">
        <v>84</v>
      </c>
    </row>
    <row r="436">
      <c r="A436" s="10">
        <v>1.02E12</v>
      </c>
      <c r="B436" s="11">
        <v>0.098</v>
      </c>
      <c r="C436" s="11">
        <v>3047.0</v>
      </c>
      <c r="D436" s="11">
        <v>0.04</v>
      </c>
      <c r="E436" s="7" t="s">
        <v>112</v>
      </c>
      <c r="F436" s="9" t="s">
        <v>66</v>
      </c>
      <c r="G436" s="5" t="s">
        <v>84</v>
      </c>
    </row>
    <row r="437">
      <c r="A437" s="10">
        <v>1.16E12</v>
      </c>
      <c r="B437" s="11">
        <v>0.098</v>
      </c>
      <c r="C437" s="11">
        <v>3452.0</v>
      </c>
      <c r="D437" s="11">
        <v>0.044</v>
      </c>
      <c r="E437" s="7" t="s">
        <v>112</v>
      </c>
      <c r="F437" s="9" t="s">
        <v>67</v>
      </c>
      <c r="G437" s="5" t="s">
        <v>84</v>
      </c>
    </row>
    <row r="438">
      <c r="A438" s="10">
        <v>1.31E12</v>
      </c>
      <c r="B438" s="11">
        <v>0.1</v>
      </c>
      <c r="C438" s="11">
        <v>3904.0</v>
      </c>
      <c r="D438" s="11">
        <v>0.058</v>
      </c>
      <c r="E438" s="7" t="s">
        <v>112</v>
      </c>
      <c r="F438" s="9" t="s">
        <v>68</v>
      </c>
      <c r="G438" s="5" t="s">
        <v>84</v>
      </c>
    </row>
    <row r="439">
      <c r="A439" s="10">
        <v>1.46E12</v>
      </c>
      <c r="B439" s="11">
        <v>0.1</v>
      </c>
      <c r="C439" s="11">
        <v>4330.0</v>
      </c>
      <c r="D439" s="11">
        <v>0.061</v>
      </c>
      <c r="E439" s="7" t="s">
        <v>112</v>
      </c>
      <c r="F439" s="9" t="s">
        <v>69</v>
      </c>
      <c r="G439" s="5" t="s">
        <v>84</v>
      </c>
    </row>
    <row r="440">
      <c r="A440" s="10">
        <v>1.54E12</v>
      </c>
      <c r="B440" s="11">
        <v>0.103</v>
      </c>
      <c r="C440" s="11">
        <v>4623.0</v>
      </c>
      <c r="D440" s="11">
        <v>0.047</v>
      </c>
      <c r="E440" s="7" t="s">
        <v>112</v>
      </c>
      <c r="F440" s="9" t="s">
        <v>70</v>
      </c>
      <c r="G440" s="5" t="s">
        <v>84</v>
      </c>
    </row>
    <row r="441">
      <c r="A441" s="10">
        <v>1.37E12</v>
      </c>
      <c r="B441" s="11">
        <v>0.114</v>
      </c>
      <c r="C441" s="11">
        <v>4528.0</v>
      </c>
      <c r="D441" s="11">
        <v>0.024</v>
      </c>
      <c r="E441" s="7" t="s">
        <v>112</v>
      </c>
      <c r="F441" s="9" t="s">
        <v>71</v>
      </c>
      <c r="G441" s="5" t="s">
        <v>84</v>
      </c>
    </row>
    <row r="442">
      <c r="A442" s="10">
        <v>1.61E12</v>
      </c>
      <c r="B442" s="11">
        <v>0.114</v>
      </c>
      <c r="C442" s="11">
        <v>5273.0</v>
      </c>
      <c r="D442" s="11">
        <v>0.026</v>
      </c>
      <c r="E442" s="7" t="s">
        <v>112</v>
      </c>
      <c r="F442" s="9" t="s">
        <v>72</v>
      </c>
      <c r="G442" s="5" t="s">
        <v>84</v>
      </c>
    </row>
    <row r="443">
      <c r="A443" s="10">
        <v>1.78E12</v>
      </c>
      <c r="B443" s="11">
        <v>0.109</v>
      </c>
      <c r="C443" s="11">
        <v>5656.0</v>
      </c>
      <c r="D443" s="11">
        <v>0.03</v>
      </c>
      <c r="E443" s="7" t="s">
        <v>112</v>
      </c>
      <c r="F443" s="9" t="s">
        <v>73</v>
      </c>
      <c r="G443" s="5" t="s">
        <v>84</v>
      </c>
    </row>
    <row r="444">
      <c r="A444" s="10">
        <v>1.82E12</v>
      </c>
      <c r="B444" s="11">
        <v>0.109</v>
      </c>
      <c r="C444" s="11">
        <v>5741.0</v>
      </c>
      <c r="D444" s="11">
        <v>0.03</v>
      </c>
      <c r="E444" s="7" t="s">
        <v>112</v>
      </c>
      <c r="F444" s="9" t="s">
        <v>60</v>
      </c>
      <c r="G444" s="5" t="s">
        <v>84</v>
      </c>
    </row>
    <row r="445">
      <c r="A445" s="7"/>
      <c r="B445" s="8"/>
      <c r="C445" s="8"/>
      <c r="D445" s="8"/>
      <c r="E445" s="7" t="s">
        <v>113</v>
      </c>
      <c r="F445" s="9" t="s">
        <v>62</v>
      </c>
      <c r="G445" s="5" t="s">
        <v>84</v>
      </c>
    </row>
    <row r="446">
      <c r="A446" s="7"/>
      <c r="B446" s="8"/>
      <c r="C446" s="8"/>
      <c r="D446" s="8"/>
      <c r="E446" s="7" t="s">
        <v>113</v>
      </c>
      <c r="F446" s="9" t="s">
        <v>63</v>
      </c>
      <c r="G446" s="5" t="s">
        <v>84</v>
      </c>
    </row>
    <row r="447">
      <c r="A447" s="7"/>
      <c r="B447" s="8"/>
      <c r="C447" s="8"/>
      <c r="D447" s="8"/>
      <c r="E447" s="7" t="s">
        <v>113</v>
      </c>
      <c r="F447" s="9" t="s">
        <v>64</v>
      </c>
      <c r="G447" s="5" t="s">
        <v>84</v>
      </c>
    </row>
    <row r="448">
      <c r="A448" s="7"/>
      <c r="B448" s="8"/>
      <c r="C448" s="8"/>
      <c r="D448" s="8"/>
      <c r="E448" s="7" t="s">
        <v>113</v>
      </c>
      <c r="F448" s="9" t="s">
        <v>65</v>
      </c>
      <c r="G448" s="5" t="s">
        <v>84</v>
      </c>
    </row>
    <row r="449">
      <c r="A449" s="7"/>
      <c r="B449" s="8"/>
      <c r="C449" s="8"/>
      <c r="D449" s="8"/>
      <c r="E449" s="7" t="s">
        <v>113</v>
      </c>
      <c r="F449" s="9" t="s">
        <v>66</v>
      </c>
      <c r="G449" s="5" t="s">
        <v>84</v>
      </c>
    </row>
    <row r="450">
      <c r="A450" s="7"/>
      <c r="B450" s="8"/>
      <c r="C450" s="8"/>
      <c r="D450" s="8"/>
      <c r="E450" s="7" t="s">
        <v>113</v>
      </c>
      <c r="F450" s="9" t="s">
        <v>67</v>
      </c>
      <c r="G450" s="5" t="s">
        <v>84</v>
      </c>
    </row>
    <row r="451">
      <c r="A451" s="7"/>
      <c r="B451" s="8"/>
      <c r="C451" s="8"/>
      <c r="D451" s="8"/>
      <c r="E451" s="7" t="s">
        <v>113</v>
      </c>
      <c r="F451" s="9" t="s">
        <v>68</v>
      </c>
      <c r="G451" s="5" t="s">
        <v>84</v>
      </c>
    </row>
    <row r="452">
      <c r="A452" s="7"/>
      <c r="B452" s="8"/>
      <c r="C452" s="8"/>
      <c r="D452" s="8"/>
      <c r="E452" s="7" t="s">
        <v>113</v>
      </c>
      <c r="F452" s="9" t="s">
        <v>69</v>
      </c>
      <c r="G452" s="5" t="s">
        <v>84</v>
      </c>
    </row>
    <row r="453">
      <c r="A453" s="7"/>
      <c r="B453" s="8"/>
      <c r="C453" s="8"/>
      <c r="D453" s="8"/>
      <c r="E453" s="7" t="s">
        <v>113</v>
      </c>
      <c r="F453" s="9" t="s">
        <v>70</v>
      </c>
      <c r="G453" s="5" t="s">
        <v>84</v>
      </c>
    </row>
    <row r="454">
      <c r="A454" s="7"/>
      <c r="B454" s="8"/>
      <c r="C454" s="8"/>
      <c r="D454" s="8"/>
      <c r="E454" s="7" t="s">
        <v>113</v>
      </c>
      <c r="F454" s="9" t="s">
        <v>71</v>
      </c>
      <c r="G454" s="5" t="s">
        <v>84</v>
      </c>
    </row>
    <row r="455">
      <c r="A455" s="7"/>
      <c r="B455" s="8"/>
      <c r="C455" s="8"/>
      <c r="D455" s="8"/>
      <c r="E455" s="7" t="s">
        <v>113</v>
      </c>
      <c r="F455" s="9" t="s">
        <v>72</v>
      </c>
      <c r="G455" s="5" t="s">
        <v>84</v>
      </c>
    </row>
    <row r="456">
      <c r="A456" s="7"/>
      <c r="B456" s="8"/>
      <c r="C456" s="8"/>
      <c r="D456" s="8"/>
      <c r="E456" s="7" t="s">
        <v>113</v>
      </c>
      <c r="F456" s="9" t="s">
        <v>73</v>
      </c>
      <c r="G456" s="5" t="s">
        <v>84</v>
      </c>
    </row>
    <row r="457">
      <c r="A457" s="7"/>
      <c r="B457" s="8"/>
      <c r="C457" s="8"/>
      <c r="D457" s="8"/>
      <c r="E457" s="7" t="s">
        <v>113</v>
      </c>
      <c r="F457" s="9" t="s">
        <v>60</v>
      </c>
      <c r="G457" s="5" t="s">
        <v>84</v>
      </c>
    </row>
    <row r="458">
      <c r="A458" s="10">
        <v>9.14500332E8</v>
      </c>
      <c r="B458" s="11">
        <v>0.043</v>
      </c>
      <c r="C458" s="11">
        <v>11.0</v>
      </c>
      <c r="D458" s="11">
        <v>0.22</v>
      </c>
      <c r="E458" s="7" t="s">
        <v>114</v>
      </c>
      <c r="F458" s="9" t="s">
        <v>62</v>
      </c>
      <c r="G458" s="5" t="s">
        <v>77</v>
      </c>
    </row>
    <row r="459">
      <c r="A459" s="10">
        <v>9.31833294E8</v>
      </c>
      <c r="B459" s="11">
        <v>0.04</v>
      </c>
      <c r="C459" s="11">
        <v>10.0</v>
      </c>
      <c r="D459" s="11">
        <v>0.207</v>
      </c>
      <c r="E459" s="7" t="s">
        <v>114</v>
      </c>
      <c r="F459" s="9" t="s">
        <v>63</v>
      </c>
      <c r="G459" s="5" t="s">
        <v>77</v>
      </c>
    </row>
    <row r="460">
      <c r="A460" s="10">
        <v>9.91387865E8</v>
      </c>
      <c r="B460" s="11">
        <v>0.042</v>
      </c>
      <c r="C460" s="11">
        <v>11.0</v>
      </c>
      <c r="D460" s="11">
        <v>0.18</v>
      </c>
      <c r="E460" s="7" t="s">
        <v>114</v>
      </c>
      <c r="F460" s="9" t="s">
        <v>64</v>
      </c>
      <c r="G460" s="5" t="s">
        <v>77</v>
      </c>
    </row>
    <row r="461">
      <c r="A461" s="10">
        <v>1.139754772E9</v>
      </c>
      <c r="B461" s="11">
        <v>0.044</v>
      </c>
      <c r="C461" s="11">
        <v>13.0</v>
      </c>
      <c r="D461" s="11">
        <v>0.18</v>
      </c>
      <c r="E461" s="7" t="s">
        <v>114</v>
      </c>
      <c r="F461" s="9" t="s">
        <v>65</v>
      </c>
      <c r="G461" s="5" t="s">
        <v>77</v>
      </c>
    </row>
    <row r="462">
      <c r="A462" s="10">
        <v>1.270080228E9</v>
      </c>
      <c r="B462" s="11">
        <v>0.041</v>
      </c>
      <c r="C462" s="11">
        <v>14.0</v>
      </c>
      <c r="D462" s="11">
        <v>0.18</v>
      </c>
      <c r="E462" s="7" t="s">
        <v>114</v>
      </c>
      <c r="F462" s="9" t="s">
        <v>66</v>
      </c>
      <c r="G462" s="5" t="s">
        <v>77</v>
      </c>
    </row>
    <row r="463">
      <c r="A463" s="10">
        <v>1.350300947E9</v>
      </c>
      <c r="B463" s="11">
        <v>0.044</v>
      </c>
      <c r="C463" s="11">
        <v>15.0</v>
      </c>
      <c r="D463" s="11">
        <v>0.177</v>
      </c>
      <c r="E463" s="7" t="s">
        <v>114</v>
      </c>
      <c r="F463" s="9" t="s">
        <v>67</v>
      </c>
      <c r="G463" s="5" t="s">
        <v>77</v>
      </c>
    </row>
    <row r="464">
      <c r="A464" s="10">
        <v>1.473721521E9</v>
      </c>
      <c r="B464" s="11">
        <v>0.04</v>
      </c>
      <c r="C464" s="11">
        <v>15.0</v>
      </c>
      <c r="D464" s="11">
        <v>0.153</v>
      </c>
      <c r="E464" s="7" t="s">
        <v>114</v>
      </c>
      <c r="F464" s="9" t="s">
        <v>68</v>
      </c>
      <c r="G464" s="5" t="s">
        <v>77</v>
      </c>
    </row>
    <row r="465">
      <c r="A465" s="10">
        <v>1.69812568E9</v>
      </c>
      <c r="B465" s="11">
        <v>0.043</v>
      </c>
      <c r="C465" s="11">
        <v>18.0</v>
      </c>
      <c r="D465" s="11">
        <v>0.15</v>
      </c>
      <c r="E465" s="7" t="s">
        <v>114</v>
      </c>
      <c r="F465" s="9" t="s">
        <v>69</v>
      </c>
      <c r="G465" s="5" t="s">
        <v>77</v>
      </c>
    </row>
    <row r="466">
      <c r="A466" s="10">
        <v>1.985370255E9</v>
      </c>
      <c r="B466" s="11">
        <v>0.043</v>
      </c>
      <c r="C466" s="11">
        <v>20.0</v>
      </c>
      <c r="D466" s="8"/>
      <c r="E466" s="7" t="s">
        <v>114</v>
      </c>
      <c r="F466" s="9" t="s">
        <v>70</v>
      </c>
      <c r="G466" s="5" t="s">
        <v>77</v>
      </c>
    </row>
    <row r="467">
      <c r="A467" s="10">
        <v>1.981728179E9</v>
      </c>
      <c r="B467" s="11">
        <v>0.036</v>
      </c>
      <c r="C467" s="11">
        <v>17.0</v>
      </c>
      <c r="D467" s="8"/>
      <c r="E467" s="7" t="s">
        <v>114</v>
      </c>
      <c r="F467" s="9" t="s">
        <v>71</v>
      </c>
      <c r="G467" s="5" t="s">
        <v>77</v>
      </c>
    </row>
    <row r="468">
      <c r="A468" s="10">
        <v>1.986014759E9</v>
      </c>
      <c r="B468" s="11">
        <v>0.039</v>
      </c>
      <c r="C468" s="11">
        <v>18.0</v>
      </c>
      <c r="D468" s="8"/>
      <c r="E468" s="7" t="s">
        <v>114</v>
      </c>
      <c r="F468" s="9" t="s">
        <v>72</v>
      </c>
      <c r="G468" s="5" t="s">
        <v>77</v>
      </c>
    </row>
    <row r="469">
      <c r="A469" s="10">
        <v>2.195599491E9</v>
      </c>
      <c r="B469" s="11">
        <v>0.039</v>
      </c>
      <c r="C469" s="11">
        <v>19.0</v>
      </c>
      <c r="D469" s="8"/>
      <c r="E469" s="7" t="s">
        <v>114</v>
      </c>
      <c r="F469" s="9" t="s">
        <v>73</v>
      </c>
      <c r="G469" s="5" t="s">
        <v>77</v>
      </c>
    </row>
    <row r="470">
      <c r="A470" s="10">
        <v>2.169706411E9</v>
      </c>
      <c r="B470" s="11">
        <v>0.038</v>
      </c>
      <c r="C470" s="11">
        <v>18.0</v>
      </c>
      <c r="D470" s="8"/>
      <c r="E470" s="7" t="s">
        <v>114</v>
      </c>
      <c r="F470" s="9" t="s">
        <v>60</v>
      </c>
      <c r="G470" s="5" t="s">
        <v>77</v>
      </c>
    </row>
    <row r="471">
      <c r="A471" s="10">
        <v>1.385058212E9</v>
      </c>
      <c r="B471" s="11">
        <v>0.063</v>
      </c>
      <c r="C471" s="11">
        <v>10.0</v>
      </c>
      <c r="D471" s="11">
        <v>0.22</v>
      </c>
      <c r="E471" s="7" t="s">
        <v>115</v>
      </c>
      <c r="F471" s="9" t="s">
        <v>62</v>
      </c>
      <c r="G471" s="5" t="s">
        <v>77</v>
      </c>
    </row>
    <row r="472">
      <c r="A472" s="10">
        <v>1.709347777E9</v>
      </c>
      <c r="B472" s="11">
        <v>0.06</v>
      </c>
      <c r="C472" s="11">
        <v>12.0</v>
      </c>
      <c r="D472" s="11">
        <v>0.207</v>
      </c>
      <c r="E472" s="7" t="s">
        <v>115</v>
      </c>
      <c r="F472" s="9" t="s">
        <v>63</v>
      </c>
      <c r="G472" s="5" t="s">
        <v>77</v>
      </c>
    </row>
    <row r="473">
      <c r="A473" s="10">
        <v>1.987622269E9</v>
      </c>
      <c r="B473" s="11">
        <v>0.08</v>
      </c>
      <c r="C473" s="11">
        <v>18.0</v>
      </c>
      <c r="D473" s="11">
        <v>0.18</v>
      </c>
      <c r="E473" s="7" t="s">
        <v>115</v>
      </c>
      <c r="F473" s="9" t="s">
        <v>64</v>
      </c>
      <c r="G473" s="5" t="s">
        <v>77</v>
      </c>
    </row>
    <row r="474">
      <c r="A474" s="10">
        <v>2.736666451E9</v>
      </c>
      <c r="B474" s="11">
        <v>0.058</v>
      </c>
      <c r="C474" s="11">
        <v>17.0</v>
      </c>
      <c r="D474" s="11">
        <v>0.18</v>
      </c>
      <c r="E474" s="7" t="s">
        <v>115</v>
      </c>
      <c r="F474" s="9" t="s">
        <v>65</v>
      </c>
      <c r="G474" s="5" t="s">
        <v>77</v>
      </c>
    </row>
    <row r="475">
      <c r="A475" s="10">
        <v>4.414929142E9</v>
      </c>
      <c r="B475" s="11">
        <v>0.051</v>
      </c>
      <c r="C475" s="11">
        <v>23.0</v>
      </c>
      <c r="D475" s="11">
        <v>0.18</v>
      </c>
      <c r="E475" s="7" t="s">
        <v>115</v>
      </c>
      <c r="F475" s="9" t="s">
        <v>66</v>
      </c>
      <c r="G475" s="5" t="s">
        <v>77</v>
      </c>
    </row>
    <row r="476">
      <c r="A476" s="10">
        <v>6.646663021E9</v>
      </c>
      <c r="B476" s="11">
        <v>0.047</v>
      </c>
      <c r="C476" s="11">
        <v>25.0</v>
      </c>
      <c r="D476" s="11">
        <v>0.177</v>
      </c>
      <c r="E476" s="7" t="s">
        <v>115</v>
      </c>
      <c r="F476" s="9" t="s">
        <v>67</v>
      </c>
      <c r="G476" s="5" t="s">
        <v>77</v>
      </c>
    </row>
    <row r="477">
      <c r="A477" s="10">
        <v>7.42210252E9</v>
      </c>
      <c r="B477" s="11">
        <v>0.04</v>
      </c>
      <c r="C477" s="11">
        <v>24.0</v>
      </c>
      <c r="D477" s="11">
        <v>0.153</v>
      </c>
      <c r="E477" s="7" t="s">
        <v>115</v>
      </c>
      <c r="F477" s="9" t="s">
        <v>68</v>
      </c>
      <c r="G477" s="5" t="s">
        <v>77</v>
      </c>
    </row>
    <row r="478">
      <c r="A478" s="10">
        <v>8.638711757E9</v>
      </c>
      <c r="B478" s="11">
        <v>0.042</v>
      </c>
      <c r="C478" s="11">
        <v>27.0</v>
      </c>
      <c r="D478" s="11">
        <v>0.15</v>
      </c>
      <c r="E478" s="7" t="s">
        <v>115</v>
      </c>
      <c r="F478" s="9" t="s">
        <v>69</v>
      </c>
      <c r="G478" s="5" t="s">
        <v>77</v>
      </c>
    </row>
    <row r="479">
      <c r="A479" s="10">
        <v>1.0351933632E10</v>
      </c>
      <c r="B479" s="11">
        <v>0.036</v>
      </c>
      <c r="C479" s="11">
        <v>27.0</v>
      </c>
      <c r="D479" s="8"/>
      <c r="E479" s="7" t="s">
        <v>115</v>
      </c>
      <c r="F479" s="9" t="s">
        <v>70</v>
      </c>
      <c r="G479" s="5" t="s">
        <v>77</v>
      </c>
    </row>
    <row r="480">
      <c r="A480" s="10">
        <v>9.25348429E9</v>
      </c>
      <c r="B480" s="11">
        <v>0.045</v>
      </c>
      <c r="C480" s="11">
        <v>28.0</v>
      </c>
      <c r="D480" s="8"/>
      <c r="E480" s="7" t="s">
        <v>115</v>
      </c>
      <c r="F480" s="9" t="s">
        <v>71</v>
      </c>
      <c r="G480" s="5" t="s">
        <v>77</v>
      </c>
    </row>
    <row r="481">
      <c r="A481" s="10">
        <v>1.0657705072E10</v>
      </c>
      <c r="B481" s="11">
        <v>0.04</v>
      </c>
      <c r="C481" s="11">
        <v>29.0</v>
      </c>
      <c r="D481" s="8"/>
      <c r="E481" s="7" t="s">
        <v>115</v>
      </c>
      <c r="F481" s="9" t="s">
        <v>72</v>
      </c>
      <c r="G481" s="5" t="s">
        <v>77</v>
      </c>
    </row>
    <row r="482">
      <c r="A482" s="10">
        <v>1.2156380062E10</v>
      </c>
      <c r="B482" s="11">
        <v>0.028</v>
      </c>
      <c r="C482" s="11">
        <v>25.0</v>
      </c>
      <c r="D482" s="8"/>
      <c r="E482" s="7" t="s">
        <v>115</v>
      </c>
      <c r="F482" s="9" t="s">
        <v>73</v>
      </c>
      <c r="G482" s="5" t="s">
        <v>77</v>
      </c>
    </row>
    <row r="483">
      <c r="A483" s="10">
        <v>1.2887072082E10</v>
      </c>
      <c r="B483" s="11">
        <v>0.028</v>
      </c>
      <c r="C483" s="11">
        <v>25.0</v>
      </c>
      <c r="D483" s="8"/>
      <c r="E483" s="7" t="s">
        <v>115</v>
      </c>
      <c r="F483" s="9" t="s">
        <v>60</v>
      </c>
      <c r="G483" s="5" t="s">
        <v>77</v>
      </c>
    </row>
    <row r="484">
      <c r="A484" s="10">
        <v>7.9328640264E10</v>
      </c>
      <c r="B484" s="11">
        <v>0.077</v>
      </c>
      <c r="C484" s="11">
        <v>390.0</v>
      </c>
      <c r="D484" s="11">
        <v>0.148</v>
      </c>
      <c r="E484" s="7" t="s">
        <v>116</v>
      </c>
      <c r="F484" s="9" t="s">
        <v>62</v>
      </c>
      <c r="G484" s="5" t="s">
        <v>84</v>
      </c>
    </row>
    <row r="485">
      <c r="A485" s="10">
        <v>7.2336972322E10</v>
      </c>
      <c r="B485" s="11">
        <v>0.077</v>
      </c>
      <c r="C485" s="11">
        <v>348.0</v>
      </c>
      <c r="D485" s="11">
        <v>0.119</v>
      </c>
      <c r="E485" s="7" t="s">
        <v>116</v>
      </c>
      <c r="F485" s="9" t="s">
        <v>63</v>
      </c>
      <c r="G485" s="5" t="s">
        <v>84</v>
      </c>
    </row>
    <row r="486">
      <c r="A486" s="10">
        <v>7.0984568429E10</v>
      </c>
      <c r="B486" s="11">
        <v>0.075</v>
      </c>
      <c r="C486" s="11">
        <v>331.0</v>
      </c>
      <c r="D486" s="11">
        <v>0.078</v>
      </c>
      <c r="E486" s="7" t="s">
        <v>116</v>
      </c>
      <c r="F486" s="9" t="s">
        <v>64</v>
      </c>
      <c r="G486" s="5" t="s">
        <v>84</v>
      </c>
    </row>
    <row r="487">
      <c r="A487" s="10">
        <v>7.7840186385E10</v>
      </c>
      <c r="B487" s="11">
        <v>0.071</v>
      </c>
      <c r="C487" s="11">
        <v>338.0</v>
      </c>
      <c r="D487" s="11">
        <v>0.062</v>
      </c>
      <c r="E487" s="7" t="s">
        <v>116</v>
      </c>
      <c r="F487" s="9" t="s">
        <v>65</v>
      </c>
      <c r="G487" s="5" t="s">
        <v>84</v>
      </c>
    </row>
    <row r="488">
      <c r="A488" s="10">
        <v>1.01E11</v>
      </c>
      <c r="B488" s="11">
        <v>0.067</v>
      </c>
      <c r="C488" s="11">
        <v>414.0</v>
      </c>
      <c r="D488" s="11">
        <v>0.051</v>
      </c>
      <c r="E488" s="7" t="s">
        <v>116</v>
      </c>
      <c r="F488" s="9" t="s">
        <v>66</v>
      </c>
      <c r="G488" s="5" t="s">
        <v>84</v>
      </c>
    </row>
    <row r="489">
      <c r="A489" s="10">
        <v>1.24E11</v>
      </c>
      <c r="B489" s="11">
        <v>0.066</v>
      </c>
      <c r="C489" s="11">
        <v>497.0</v>
      </c>
      <c r="D489" s="11">
        <v>0.067</v>
      </c>
      <c r="E489" s="7" t="s">
        <v>116</v>
      </c>
      <c r="F489" s="9" t="s">
        <v>67</v>
      </c>
      <c r="G489" s="5" t="s">
        <v>84</v>
      </c>
    </row>
    <row r="490">
      <c r="A490" s="10">
        <v>1.55E11</v>
      </c>
      <c r="B490" s="11">
        <v>0.062</v>
      </c>
      <c r="C490" s="11">
        <v>587.0</v>
      </c>
      <c r="D490" s="11">
        <v>0.08</v>
      </c>
      <c r="E490" s="7" t="s">
        <v>116</v>
      </c>
      <c r="F490" s="9" t="s">
        <v>68</v>
      </c>
      <c r="G490" s="5" t="s">
        <v>84</v>
      </c>
    </row>
    <row r="491">
      <c r="A491" s="10">
        <v>1.73E11</v>
      </c>
      <c r="B491" s="11">
        <v>0.064</v>
      </c>
      <c r="C491" s="11">
        <v>665.0</v>
      </c>
      <c r="D491" s="11">
        <v>0.087</v>
      </c>
      <c r="E491" s="7" t="s">
        <v>116</v>
      </c>
      <c r="F491" s="9" t="s">
        <v>69</v>
      </c>
      <c r="G491" s="5" t="s">
        <v>84</v>
      </c>
    </row>
    <row r="492">
      <c r="A492" s="10">
        <v>1.8E11</v>
      </c>
      <c r="B492" s="11">
        <v>0.068</v>
      </c>
      <c r="C492" s="11">
        <v>732.0</v>
      </c>
      <c r="D492" s="11">
        <v>0.133</v>
      </c>
      <c r="E492" s="7" t="s">
        <v>116</v>
      </c>
      <c r="F492" s="9" t="s">
        <v>70</v>
      </c>
      <c r="G492" s="5" t="s">
        <v>84</v>
      </c>
    </row>
    <row r="493">
      <c r="A493" s="10">
        <v>1.72E11</v>
      </c>
      <c r="B493" s="11">
        <v>0.075</v>
      </c>
      <c r="C493" s="11">
        <v>760.0</v>
      </c>
      <c r="D493" s="11">
        <v>0.073</v>
      </c>
      <c r="E493" s="7" t="s">
        <v>116</v>
      </c>
      <c r="F493" s="9" t="s">
        <v>71</v>
      </c>
      <c r="G493" s="5" t="s">
        <v>84</v>
      </c>
    </row>
    <row r="494">
      <c r="A494" s="10">
        <v>2.18E11</v>
      </c>
      <c r="B494" s="11">
        <v>0.071</v>
      </c>
      <c r="C494" s="11">
        <v>894.0</v>
      </c>
      <c r="D494" s="11">
        <v>0.048</v>
      </c>
      <c r="E494" s="7" t="s">
        <v>116</v>
      </c>
      <c r="F494" s="9" t="s">
        <v>72</v>
      </c>
      <c r="G494" s="5" t="s">
        <v>84</v>
      </c>
    </row>
    <row r="495">
      <c r="A495" s="10">
        <v>2.51E11</v>
      </c>
      <c r="B495" s="11">
        <v>0.071</v>
      </c>
      <c r="C495" s="11">
        <v>1022.0</v>
      </c>
      <c r="D495" s="11">
        <v>0.09</v>
      </c>
      <c r="E495" s="7" t="s">
        <v>116</v>
      </c>
      <c r="F495" s="9" t="s">
        <v>73</v>
      </c>
      <c r="G495" s="5" t="s">
        <v>84</v>
      </c>
    </row>
    <row r="496">
      <c r="A496" s="10">
        <v>2.66E11</v>
      </c>
      <c r="B496" s="11">
        <v>0.072</v>
      </c>
      <c r="C496" s="11">
        <v>1103.0</v>
      </c>
      <c r="D496" s="11">
        <v>0.101</v>
      </c>
      <c r="E496" s="7" t="s">
        <v>116</v>
      </c>
      <c r="F496" s="9" t="s">
        <v>60</v>
      </c>
      <c r="G496" s="5" t="s">
        <v>84</v>
      </c>
    </row>
    <row r="497">
      <c r="A497" s="10">
        <v>1.2E12</v>
      </c>
      <c r="B497" s="11">
        <v>0.046</v>
      </c>
      <c r="C497" s="11">
        <v>43.0</v>
      </c>
      <c r="D497" s="11">
        <v>0.059</v>
      </c>
      <c r="E497" s="7" t="s">
        <v>117</v>
      </c>
      <c r="F497" s="9" t="s">
        <v>62</v>
      </c>
      <c r="G497" s="5" t="s">
        <v>61</v>
      </c>
    </row>
    <row r="498">
      <c r="A498" s="10">
        <v>1.32E12</v>
      </c>
      <c r="B498" s="11">
        <v>0.046</v>
      </c>
      <c r="C498" s="11">
        <v>47.0</v>
      </c>
      <c r="D498" s="11">
        <v>0.059</v>
      </c>
      <c r="E498" s="7" t="s">
        <v>117</v>
      </c>
      <c r="F498" s="9" t="s">
        <v>63</v>
      </c>
      <c r="G498" s="5" t="s">
        <v>61</v>
      </c>
    </row>
    <row r="499">
      <c r="A499" s="10">
        <v>1.45E12</v>
      </c>
      <c r="B499" s="11">
        <v>0.048</v>
      </c>
      <c r="C499" s="11">
        <v>54.0</v>
      </c>
      <c r="D499" s="11">
        <v>0.053</v>
      </c>
      <c r="E499" s="7" t="s">
        <v>117</v>
      </c>
      <c r="F499" s="9" t="s">
        <v>64</v>
      </c>
      <c r="G499" s="5" t="s">
        <v>61</v>
      </c>
    </row>
    <row r="500">
      <c r="A500" s="10">
        <v>1.64E12</v>
      </c>
      <c r="B500" s="11">
        <v>0.048</v>
      </c>
      <c r="C500" s="11">
        <v>61.0</v>
      </c>
      <c r="D500" s="11">
        <v>0.053</v>
      </c>
      <c r="E500" s="7" t="s">
        <v>117</v>
      </c>
      <c r="F500" s="9" t="s">
        <v>65</v>
      </c>
      <c r="G500" s="5" t="s">
        <v>61</v>
      </c>
    </row>
    <row r="501">
      <c r="A501" s="10">
        <v>1.93E12</v>
      </c>
      <c r="B501" s="11">
        <v>0.047</v>
      </c>
      <c r="C501" s="11">
        <v>70.0</v>
      </c>
      <c r="D501" s="11">
        <v>0.056</v>
      </c>
      <c r="E501" s="7" t="s">
        <v>117</v>
      </c>
      <c r="F501" s="9" t="s">
        <v>66</v>
      </c>
      <c r="G501" s="5" t="s">
        <v>61</v>
      </c>
    </row>
    <row r="502">
      <c r="A502" s="10">
        <v>2.26E12</v>
      </c>
      <c r="B502" s="11">
        <v>0.047</v>
      </c>
      <c r="C502" s="11">
        <v>80.0</v>
      </c>
      <c r="D502" s="11">
        <v>0.056</v>
      </c>
      <c r="E502" s="7" t="s">
        <v>117</v>
      </c>
      <c r="F502" s="9" t="s">
        <v>67</v>
      </c>
      <c r="G502" s="5" t="s">
        <v>61</v>
      </c>
    </row>
    <row r="503">
      <c r="A503" s="10">
        <v>2.71E12</v>
      </c>
      <c r="B503" s="11">
        <v>0.046</v>
      </c>
      <c r="C503" s="11">
        <v>93.0</v>
      </c>
      <c r="D503" s="11">
        <v>0.061</v>
      </c>
      <c r="E503" s="7" t="s">
        <v>117</v>
      </c>
      <c r="F503" s="9" t="s">
        <v>68</v>
      </c>
      <c r="G503" s="5" t="s">
        <v>61</v>
      </c>
    </row>
    <row r="504">
      <c r="A504" s="10">
        <v>3.49E12</v>
      </c>
      <c r="B504" s="11">
        <v>0.044</v>
      </c>
      <c r="C504" s="11">
        <v>113.0</v>
      </c>
      <c r="D504" s="11">
        <v>0.075</v>
      </c>
      <c r="E504" s="7" t="s">
        <v>117</v>
      </c>
      <c r="F504" s="9" t="s">
        <v>69</v>
      </c>
      <c r="G504" s="5" t="s">
        <v>61</v>
      </c>
    </row>
    <row r="505">
      <c r="A505" s="10">
        <v>4.52E12</v>
      </c>
      <c r="B505" s="11">
        <v>0.046</v>
      </c>
      <c r="C505" s="11">
        <v>155.0</v>
      </c>
      <c r="D505" s="11">
        <v>0.053</v>
      </c>
      <c r="E505" s="7" t="s">
        <v>117</v>
      </c>
      <c r="F505" s="9" t="s">
        <v>70</v>
      </c>
      <c r="G505" s="5" t="s">
        <v>61</v>
      </c>
    </row>
    <row r="506">
      <c r="A506" s="10">
        <v>4.99E12</v>
      </c>
      <c r="B506" s="11">
        <v>0.051</v>
      </c>
      <c r="C506" s="11">
        <v>189.0</v>
      </c>
      <c r="D506" s="11">
        <v>0.053</v>
      </c>
      <c r="E506" s="7" t="s">
        <v>117</v>
      </c>
      <c r="F506" s="9" t="s">
        <v>71</v>
      </c>
      <c r="G506" s="5" t="s">
        <v>61</v>
      </c>
    </row>
    <row r="507">
      <c r="A507" s="10">
        <v>5.93E12</v>
      </c>
      <c r="B507" s="11">
        <v>0.05</v>
      </c>
      <c r="C507" s="11">
        <v>216.0</v>
      </c>
      <c r="D507" s="11">
        <v>0.058</v>
      </c>
      <c r="E507" s="7" t="s">
        <v>117</v>
      </c>
      <c r="F507" s="9" t="s">
        <v>72</v>
      </c>
      <c r="G507" s="5" t="s">
        <v>61</v>
      </c>
    </row>
    <row r="508">
      <c r="A508" s="10">
        <v>7.32E12</v>
      </c>
      <c r="B508" s="11">
        <v>0.051</v>
      </c>
      <c r="C508" s="11">
        <v>274.0</v>
      </c>
      <c r="D508" s="11">
        <v>0.066</v>
      </c>
      <c r="E508" s="7" t="s">
        <v>117</v>
      </c>
      <c r="F508" s="9" t="s">
        <v>73</v>
      </c>
      <c r="G508" s="5" t="s">
        <v>61</v>
      </c>
    </row>
    <row r="509">
      <c r="A509" s="10">
        <v>8.23E12</v>
      </c>
      <c r="B509" s="11">
        <v>0.054</v>
      </c>
      <c r="C509" s="11">
        <v>322.0</v>
      </c>
      <c r="D509" s="11">
        <v>0.06</v>
      </c>
      <c r="E509" s="7" t="s">
        <v>117</v>
      </c>
      <c r="F509" s="9" t="s">
        <v>60</v>
      </c>
      <c r="G509" s="5" t="s">
        <v>61</v>
      </c>
    </row>
    <row r="510">
      <c r="A510" s="10">
        <v>9.9886577576E10</v>
      </c>
      <c r="B510" s="11">
        <v>0.059</v>
      </c>
      <c r="C510" s="11">
        <v>148.0</v>
      </c>
      <c r="D510" s="11">
        <v>0.188</v>
      </c>
      <c r="E510" s="7" t="s">
        <v>118</v>
      </c>
      <c r="F510" s="9" t="s">
        <v>62</v>
      </c>
      <c r="G510" s="5" t="s">
        <v>84</v>
      </c>
    </row>
    <row r="511">
      <c r="A511" s="10">
        <v>9.8203544965E10</v>
      </c>
      <c r="B511" s="11">
        <v>0.06</v>
      </c>
      <c r="C511" s="11">
        <v>144.0</v>
      </c>
      <c r="D511" s="11">
        <v>0.207</v>
      </c>
      <c r="E511" s="7" t="s">
        <v>118</v>
      </c>
      <c r="F511" s="9" t="s">
        <v>63</v>
      </c>
      <c r="G511" s="5" t="s">
        <v>84</v>
      </c>
    </row>
    <row r="512">
      <c r="A512" s="10">
        <v>9.7933392356E10</v>
      </c>
      <c r="B512" s="11">
        <v>0.057</v>
      </c>
      <c r="C512" s="11">
        <v>135.0</v>
      </c>
      <c r="D512" s="11">
        <v>0.163</v>
      </c>
      <c r="E512" s="7" t="s">
        <v>118</v>
      </c>
      <c r="F512" s="9" t="s">
        <v>64</v>
      </c>
      <c r="G512" s="5" t="s">
        <v>84</v>
      </c>
    </row>
    <row r="513">
      <c r="A513" s="10">
        <v>9.4684582573E10</v>
      </c>
      <c r="B513" s="11">
        <v>0.059</v>
      </c>
      <c r="C513" s="11">
        <v>134.0</v>
      </c>
      <c r="D513" s="11">
        <v>0.152</v>
      </c>
      <c r="E513" s="7" t="s">
        <v>118</v>
      </c>
      <c r="F513" s="9" t="s">
        <v>65</v>
      </c>
      <c r="G513" s="5" t="s">
        <v>84</v>
      </c>
    </row>
    <row r="514">
      <c r="A514" s="10">
        <v>1.17E11</v>
      </c>
      <c r="B514" s="11">
        <v>0.054</v>
      </c>
      <c r="C514" s="11">
        <v>148.0</v>
      </c>
      <c r="D514" s="11">
        <v>0.151</v>
      </c>
      <c r="E514" s="7" t="s">
        <v>118</v>
      </c>
      <c r="F514" s="9" t="s">
        <v>66</v>
      </c>
      <c r="G514" s="5" t="s">
        <v>84</v>
      </c>
    </row>
    <row r="515">
      <c r="A515" s="10">
        <v>1.47E11</v>
      </c>
      <c r="B515" s="11">
        <v>0.058</v>
      </c>
      <c r="C515" s="11">
        <v>197.0</v>
      </c>
      <c r="D515" s="11">
        <v>0.146</v>
      </c>
      <c r="E515" s="7" t="s">
        <v>118</v>
      </c>
      <c r="F515" s="9" t="s">
        <v>67</v>
      </c>
      <c r="G515" s="5" t="s">
        <v>84</v>
      </c>
    </row>
    <row r="516">
      <c r="A516" s="10">
        <v>1.63E11</v>
      </c>
      <c r="B516" s="11">
        <v>0.061</v>
      </c>
      <c r="C516" s="11">
        <v>227.0</v>
      </c>
      <c r="D516" s="11">
        <v>0.129</v>
      </c>
      <c r="E516" s="7" t="s">
        <v>118</v>
      </c>
      <c r="F516" s="9" t="s">
        <v>68</v>
      </c>
      <c r="G516" s="5" t="s">
        <v>84</v>
      </c>
    </row>
    <row r="517">
      <c r="A517" s="10">
        <v>2.08E11</v>
      </c>
      <c r="B517" s="11">
        <v>0.063</v>
      </c>
      <c r="C517" s="11">
        <v>291.0</v>
      </c>
      <c r="D517" s="11">
        <v>0.154</v>
      </c>
      <c r="E517" s="7" t="s">
        <v>118</v>
      </c>
      <c r="F517" s="9" t="s">
        <v>69</v>
      </c>
      <c r="G517" s="5" t="s">
        <v>84</v>
      </c>
    </row>
    <row r="518">
      <c r="A518" s="10">
        <v>2.44E11</v>
      </c>
      <c r="B518" s="11">
        <v>0.066</v>
      </c>
      <c r="C518" s="11">
        <v>358.0</v>
      </c>
      <c r="D518" s="11">
        <v>0.172</v>
      </c>
      <c r="E518" s="7" t="s">
        <v>118</v>
      </c>
      <c r="F518" s="9" t="s">
        <v>70</v>
      </c>
      <c r="G518" s="5" t="s">
        <v>84</v>
      </c>
    </row>
    <row r="519">
      <c r="A519" s="10">
        <v>2.34E11</v>
      </c>
      <c r="B519" s="11">
        <v>0.07</v>
      </c>
      <c r="C519" s="11">
        <v>358.0</v>
      </c>
      <c r="D519" s="11">
        <v>0.13</v>
      </c>
      <c r="E519" s="7" t="s">
        <v>118</v>
      </c>
      <c r="F519" s="9" t="s">
        <v>71</v>
      </c>
      <c r="G519" s="5" t="s">
        <v>84</v>
      </c>
    </row>
    <row r="520">
      <c r="A520" s="10">
        <v>2.87E11</v>
      </c>
      <c r="B520" s="11">
        <v>0.068</v>
      </c>
      <c r="C520" s="11">
        <v>418.0</v>
      </c>
      <c r="D520" s="11">
        <v>0.094</v>
      </c>
      <c r="E520" s="7" t="s">
        <v>118</v>
      </c>
      <c r="F520" s="9" t="s">
        <v>72</v>
      </c>
      <c r="G520" s="5" t="s">
        <v>84</v>
      </c>
    </row>
    <row r="521">
      <c r="A521" s="10">
        <v>3.35E11</v>
      </c>
      <c r="B521" s="11">
        <v>0.065</v>
      </c>
      <c r="C521" s="11">
        <v>466.0</v>
      </c>
      <c r="D521" s="11">
        <v>0.112</v>
      </c>
      <c r="E521" s="7" t="s">
        <v>118</v>
      </c>
      <c r="F521" s="9" t="s">
        <v>73</v>
      </c>
      <c r="G521" s="5" t="s">
        <v>84</v>
      </c>
    </row>
    <row r="522">
      <c r="A522" s="10">
        <v>3.7E11</v>
      </c>
      <c r="B522" s="11">
        <v>0.068</v>
      </c>
      <c r="C522" s="11">
        <v>530.0</v>
      </c>
      <c r="D522" s="11">
        <v>0.126</v>
      </c>
      <c r="E522" s="7" t="s">
        <v>118</v>
      </c>
      <c r="F522" s="9" t="s">
        <v>60</v>
      </c>
      <c r="G522" s="5" t="s">
        <v>84</v>
      </c>
    </row>
    <row r="523">
      <c r="A523" s="10">
        <v>2.01899884E8</v>
      </c>
      <c r="B523" s="11">
        <v>0.035</v>
      </c>
      <c r="C523" s="11">
        <v>13.0</v>
      </c>
      <c r="D523" s="11">
        <v>0.12</v>
      </c>
      <c r="E523" s="7" t="s">
        <v>119</v>
      </c>
      <c r="F523" s="9" t="s">
        <v>62</v>
      </c>
      <c r="G523" s="5" t="s">
        <v>77</v>
      </c>
    </row>
    <row r="524">
      <c r="A524" s="10">
        <v>2.20115655E8</v>
      </c>
      <c r="B524" s="11">
        <v>0.028</v>
      </c>
      <c r="C524" s="11">
        <v>11.0</v>
      </c>
      <c r="D524" s="11">
        <v>0.12</v>
      </c>
      <c r="E524" s="7" t="s">
        <v>119</v>
      </c>
      <c r="F524" s="9" t="s">
        <v>63</v>
      </c>
      <c r="G524" s="5" t="s">
        <v>77</v>
      </c>
    </row>
    <row r="525">
      <c r="A525" s="10">
        <v>2.51162421E8</v>
      </c>
      <c r="B525" s="11">
        <v>0.034</v>
      </c>
      <c r="C525" s="11">
        <v>15.0</v>
      </c>
      <c r="D525" s="11">
        <v>0.12</v>
      </c>
      <c r="E525" s="7" t="s">
        <v>119</v>
      </c>
      <c r="F525" s="9" t="s">
        <v>64</v>
      </c>
      <c r="G525" s="5" t="s">
        <v>77</v>
      </c>
    </row>
    <row r="526">
      <c r="A526" s="10">
        <v>3.24470869E8</v>
      </c>
      <c r="B526" s="11">
        <v>0.036</v>
      </c>
      <c r="C526" s="11">
        <v>21.0</v>
      </c>
      <c r="D526" s="11">
        <v>0.118</v>
      </c>
      <c r="E526" s="7" t="s">
        <v>119</v>
      </c>
      <c r="F526" s="9" t="s">
        <v>65</v>
      </c>
      <c r="G526" s="5" t="s">
        <v>77</v>
      </c>
    </row>
    <row r="527">
      <c r="A527" s="10">
        <v>3.62420484E8</v>
      </c>
      <c r="B527" s="11">
        <v>0.04</v>
      </c>
      <c r="C527" s="11">
        <v>25.0</v>
      </c>
      <c r="D527" s="11">
        <v>0.11</v>
      </c>
      <c r="E527" s="7" t="s">
        <v>119</v>
      </c>
      <c r="F527" s="9" t="s">
        <v>66</v>
      </c>
      <c r="G527" s="5" t="s">
        <v>77</v>
      </c>
    </row>
    <row r="528">
      <c r="A528" s="10">
        <v>3.87036132E8</v>
      </c>
      <c r="B528" s="11">
        <v>0.043</v>
      </c>
      <c r="C528" s="11">
        <v>28.0</v>
      </c>
      <c r="D528" s="11">
        <v>0.11</v>
      </c>
      <c r="E528" s="7" t="s">
        <v>119</v>
      </c>
      <c r="F528" s="9" t="s">
        <v>67</v>
      </c>
      <c r="G528" s="5" t="s">
        <v>77</v>
      </c>
    </row>
    <row r="529">
      <c r="A529" s="10">
        <v>4.03179474E8</v>
      </c>
      <c r="B529" s="11">
        <v>0.046</v>
      </c>
      <c r="C529" s="11">
        <v>30.0</v>
      </c>
      <c r="D529" s="11">
        <v>0.105</v>
      </c>
      <c r="E529" s="7" t="s">
        <v>119</v>
      </c>
      <c r="F529" s="9" t="s">
        <v>68</v>
      </c>
      <c r="G529" s="5" t="s">
        <v>77</v>
      </c>
    </row>
    <row r="530">
      <c r="A530" s="10">
        <v>4.64948879E8</v>
      </c>
      <c r="B530" s="11">
        <v>0.049</v>
      </c>
      <c r="C530" s="11">
        <v>36.0</v>
      </c>
      <c r="D530" s="11">
        <v>0.105</v>
      </c>
      <c r="E530" s="7" t="s">
        <v>119</v>
      </c>
      <c r="F530" s="9" t="s">
        <v>69</v>
      </c>
      <c r="G530" s="5" t="s">
        <v>77</v>
      </c>
    </row>
    <row r="531">
      <c r="A531" s="10">
        <v>5.30131963E8</v>
      </c>
      <c r="B531" s="11">
        <v>0.052</v>
      </c>
      <c r="C531" s="11">
        <v>42.0</v>
      </c>
      <c r="D531" s="11">
        <v>0.105</v>
      </c>
      <c r="E531" s="7" t="s">
        <v>119</v>
      </c>
      <c r="F531" s="9" t="s">
        <v>70</v>
      </c>
      <c r="G531" s="5" t="s">
        <v>77</v>
      </c>
    </row>
    <row r="532">
      <c r="A532" s="10">
        <v>5.35199686E8</v>
      </c>
      <c r="B532" s="11">
        <v>0.038</v>
      </c>
      <c r="C532" s="11">
        <v>31.0</v>
      </c>
      <c r="D532" s="11">
        <v>0.105</v>
      </c>
      <c r="E532" s="7" t="s">
        <v>119</v>
      </c>
      <c r="F532" s="9" t="s">
        <v>71</v>
      </c>
      <c r="G532" s="5" t="s">
        <v>77</v>
      </c>
    </row>
    <row r="533">
      <c r="A533" s="10">
        <v>5.43376206E8</v>
      </c>
      <c r="B533" s="11">
        <v>0.034</v>
      </c>
      <c r="C533" s="11">
        <v>27.0</v>
      </c>
      <c r="D533" s="11">
        <v>0.105</v>
      </c>
      <c r="E533" s="7" t="s">
        <v>119</v>
      </c>
      <c r="F533" s="9" t="s">
        <v>72</v>
      </c>
      <c r="G533" s="5" t="s">
        <v>77</v>
      </c>
    </row>
    <row r="534">
      <c r="A534" s="10">
        <v>6.10372697E8</v>
      </c>
      <c r="B534" s="11">
        <v>0.036</v>
      </c>
      <c r="C534" s="11">
        <v>31.0</v>
      </c>
      <c r="D534" s="11">
        <v>0.105</v>
      </c>
      <c r="E534" s="7" t="s">
        <v>119</v>
      </c>
      <c r="F534" s="9" t="s">
        <v>73</v>
      </c>
      <c r="G534" s="5" t="s">
        <v>77</v>
      </c>
    </row>
    <row r="535">
      <c r="A535" s="10">
        <v>5.9589877E8</v>
      </c>
      <c r="B535" s="11">
        <v>0.045</v>
      </c>
      <c r="C535" s="11">
        <v>38.0</v>
      </c>
      <c r="D535" s="11">
        <v>0.105</v>
      </c>
      <c r="E535" s="7" t="s">
        <v>119</v>
      </c>
      <c r="F535" s="9" t="s">
        <v>60</v>
      </c>
      <c r="G535" s="5" t="s">
        <v>77</v>
      </c>
    </row>
    <row r="536">
      <c r="A536" s="10">
        <v>3.219910666E9</v>
      </c>
      <c r="B536" s="11">
        <v>0.021</v>
      </c>
      <c r="C536" s="11">
        <v>22.0</v>
      </c>
      <c r="D536" s="11">
        <v>0.22</v>
      </c>
      <c r="E536" s="7" t="s">
        <v>120</v>
      </c>
      <c r="F536" s="9" t="s">
        <v>62</v>
      </c>
      <c r="G536" s="5" t="s">
        <v>77</v>
      </c>
    </row>
    <row r="537">
      <c r="A537" s="10">
        <v>2.794259756E9</v>
      </c>
      <c r="B537" s="11">
        <v>0.024</v>
      </c>
      <c r="C537" s="11">
        <v>21.0</v>
      </c>
      <c r="D537" s="11">
        <v>0.207</v>
      </c>
      <c r="E537" s="7" t="s">
        <v>120</v>
      </c>
      <c r="F537" s="9" t="s">
        <v>63</v>
      </c>
      <c r="G537" s="5" t="s">
        <v>77</v>
      </c>
    </row>
    <row r="538">
      <c r="A538" s="10">
        <v>3.019993723E9</v>
      </c>
      <c r="B538" s="11">
        <v>0.025</v>
      </c>
      <c r="C538" s="11">
        <v>23.0</v>
      </c>
      <c r="D538" s="11">
        <v>0.18</v>
      </c>
      <c r="E538" s="7" t="s">
        <v>120</v>
      </c>
      <c r="F538" s="9" t="s">
        <v>64</v>
      </c>
      <c r="G538" s="5" t="s">
        <v>77</v>
      </c>
    </row>
    <row r="539">
      <c r="A539" s="10">
        <v>3.495868725E9</v>
      </c>
      <c r="B539" s="11">
        <v>0.026</v>
      </c>
      <c r="C539" s="11">
        <v>27.0</v>
      </c>
      <c r="D539" s="11">
        <v>0.18</v>
      </c>
      <c r="E539" s="7" t="s">
        <v>120</v>
      </c>
      <c r="F539" s="9" t="s">
        <v>65</v>
      </c>
      <c r="G539" s="5" t="s">
        <v>77</v>
      </c>
    </row>
    <row r="540">
      <c r="A540" s="10">
        <v>4.648628839E9</v>
      </c>
      <c r="B540" s="11">
        <v>0.026</v>
      </c>
      <c r="C540" s="11">
        <v>34.0</v>
      </c>
      <c r="D540" s="11">
        <v>0.18</v>
      </c>
      <c r="E540" s="7" t="s">
        <v>120</v>
      </c>
      <c r="F540" s="9" t="s">
        <v>66</v>
      </c>
      <c r="G540" s="5" t="s">
        <v>77</v>
      </c>
    </row>
    <row r="541">
      <c r="A541" s="10">
        <v>6.087002682E9</v>
      </c>
      <c r="B541" s="11">
        <v>0.024</v>
      </c>
      <c r="C541" s="11">
        <v>42.0</v>
      </c>
      <c r="D541" s="11">
        <v>0.177</v>
      </c>
      <c r="E541" s="7" t="s">
        <v>120</v>
      </c>
      <c r="F541" s="9" t="s">
        <v>67</v>
      </c>
      <c r="G541" s="5" t="s">
        <v>77</v>
      </c>
    </row>
    <row r="542">
      <c r="A542" s="10">
        <v>7.731261169E9</v>
      </c>
      <c r="B542" s="11">
        <v>0.024</v>
      </c>
      <c r="C542" s="11">
        <v>50.0</v>
      </c>
      <c r="D542" s="11">
        <v>0.153</v>
      </c>
      <c r="E542" s="7" t="s">
        <v>120</v>
      </c>
      <c r="F542" s="9" t="s">
        <v>68</v>
      </c>
      <c r="G542" s="5" t="s">
        <v>77</v>
      </c>
    </row>
    <row r="543">
      <c r="A543" s="10">
        <v>8.394688589E9</v>
      </c>
      <c r="B543" s="11">
        <v>0.025</v>
      </c>
      <c r="C543" s="11">
        <v>57.0</v>
      </c>
      <c r="D543" s="11">
        <v>0.15</v>
      </c>
      <c r="E543" s="7" t="s">
        <v>120</v>
      </c>
      <c r="F543" s="9" t="s">
        <v>69</v>
      </c>
      <c r="G543" s="5" t="s">
        <v>77</v>
      </c>
    </row>
    <row r="544">
      <c r="A544" s="10">
        <v>1.1859015181E10</v>
      </c>
      <c r="B544" s="11">
        <v>0.021</v>
      </c>
      <c r="C544" s="11">
        <v>64.0</v>
      </c>
      <c r="D544" s="8"/>
      <c r="E544" s="7" t="s">
        <v>120</v>
      </c>
      <c r="F544" s="9" t="s">
        <v>70</v>
      </c>
      <c r="G544" s="5" t="s">
        <v>77</v>
      </c>
    </row>
    <row r="545">
      <c r="A545" s="10">
        <v>9.593536719E9</v>
      </c>
      <c r="B545" s="11">
        <v>0.023</v>
      </c>
      <c r="C545" s="11">
        <v>54.0</v>
      </c>
      <c r="D545" s="8"/>
      <c r="E545" s="7" t="s">
        <v>120</v>
      </c>
      <c r="F545" s="9" t="s">
        <v>71</v>
      </c>
      <c r="G545" s="5" t="s">
        <v>77</v>
      </c>
    </row>
    <row r="546">
      <c r="A546" s="10">
        <v>1.2007880067E10</v>
      </c>
      <c r="B546" s="11">
        <v>0.023</v>
      </c>
      <c r="C546" s="11">
        <v>67.0</v>
      </c>
      <c r="D546" s="8"/>
      <c r="E546" s="7" t="s">
        <v>120</v>
      </c>
      <c r="F546" s="9" t="s">
        <v>72</v>
      </c>
      <c r="G546" s="5" t="s">
        <v>77</v>
      </c>
    </row>
    <row r="547">
      <c r="A547" s="10">
        <v>1.4425606793E10</v>
      </c>
      <c r="B547" s="11">
        <v>0.025</v>
      </c>
      <c r="C547" s="11">
        <v>85.0</v>
      </c>
      <c r="D547" s="8"/>
      <c r="E547" s="7" t="s">
        <v>120</v>
      </c>
      <c r="F547" s="9" t="s">
        <v>73</v>
      </c>
      <c r="G547" s="5" t="s">
        <v>77</v>
      </c>
    </row>
    <row r="548">
      <c r="A548" s="10">
        <v>1.3677929162E10</v>
      </c>
      <c r="B548" s="11">
        <v>0.032</v>
      </c>
      <c r="C548" s="11">
        <v>100.0</v>
      </c>
      <c r="D548" s="8"/>
      <c r="E548" s="7" t="s">
        <v>120</v>
      </c>
      <c r="F548" s="9" t="s">
        <v>60</v>
      </c>
      <c r="G548" s="5" t="s">
        <v>77</v>
      </c>
    </row>
    <row r="549">
      <c r="A549" s="10">
        <v>1.9088046305E10</v>
      </c>
      <c r="B549" s="11">
        <v>0.048</v>
      </c>
      <c r="C549" s="11">
        <v>14.0</v>
      </c>
      <c r="D549" s="8"/>
      <c r="E549" s="7" t="s">
        <v>121</v>
      </c>
      <c r="F549" s="9" t="s">
        <v>62</v>
      </c>
      <c r="G549" s="5" t="s">
        <v>77</v>
      </c>
    </row>
    <row r="550">
      <c r="A550" s="10">
        <v>7.4381891E9</v>
      </c>
      <c r="B550" s="11">
        <v>0.043</v>
      </c>
      <c r="C550" s="11">
        <v>6.0</v>
      </c>
      <c r="D550" s="8"/>
      <c r="E550" s="7" t="s">
        <v>121</v>
      </c>
      <c r="F550" s="9" t="s">
        <v>63</v>
      </c>
      <c r="G550" s="5" t="s">
        <v>77</v>
      </c>
    </row>
    <row r="551">
      <c r="A551" s="10">
        <v>8.728037672E9</v>
      </c>
      <c r="B551" s="11">
        <v>0.042</v>
      </c>
      <c r="C551" s="11">
        <v>5.0</v>
      </c>
      <c r="D551" s="8"/>
      <c r="E551" s="7" t="s">
        <v>121</v>
      </c>
      <c r="F551" s="9" t="s">
        <v>64</v>
      </c>
      <c r="G551" s="5" t="s">
        <v>77</v>
      </c>
    </row>
    <row r="552">
      <c r="A552" s="10">
        <v>8.937565919E9</v>
      </c>
      <c r="B552" s="11">
        <v>0.051</v>
      </c>
      <c r="C552" s="11">
        <v>6.0</v>
      </c>
      <c r="D552" s="8"/>
      <c r="E552" s="7" t="s">
        <v>121</v>
      </c>
      <c r="F552" s="9" t="s">
        <v>65</v>
      </c>
      <c r="G552" s="5" t="s">
        <v>77</v>
      </c>
    </row>
    <row r="553">
      <c r="A553" s="10">
        <v>1.0297481118E10</v>
      </c>
      <c r="B553" s="11">
        <v>0.054</v>
      </c>
      <c r="C553" s="11">
        <v>7.0</v>
      </c>
      <c r="D553" s="8"/>
      <c r="E553" s="7" t="s">
        <v>121</v>
      </c>
      <c r="F553" s="9" t="s">
        <v>66</v>
      </c>
      <c r="G553" s="5" t="s">
        <v>77</v>
      </c>
    </row>
    <row r="554">
      <c r="A554" s="10">
        <v>1.1964484458E10</v>
      </c>
      <c r="B554" s="11">
        <v>0.053</v>
      </c>
      <c r="C554" s="11">
        <v>7.0</v>
      </c>
      <c r="D554" s="8"/>
      <c r="E554" s="7" t="s">
        <v>121</v>
      </c>
      <c r="F554" s="9" t="s">
        <v>67</v>
      </c>
      <c r="G554" s="5" t="s">
        <v>77</v>
      </c>
    </row>
    <row r="555">
      <c r="A555" s="10">
        <v>1.4296505933E10</v>
      </c>
      <c r="B555" s="11">
        <v>0.055</v>
      </c>
      <c r="C555" s="11">
        <v>9.0</v>
      </c>
      <c r="D555" s="11">
        <v>0.464</v>
      </c>
      <c r="E555" s="7" t="s">
        <v>121</v>
      </c>
      <c r="F555" s="9" t="s">
        <v>68</v>
      </c>
      <c r="G555" s="5" t="s">
        <v>77</v>
      </c>
    </row>
    <row r="556">
      <c r="A556" s="10">
        <v>1.6364027647E10</v>
      </c>
      <c r="B556" s="11">
        <v>0.059</v>
      </c>
      <c r="C556" s="11">
        <v>10.0</v>
      </c>
      <c r="D556" s="11">
        <v>0.47</v>
      </c>
      <c r="E556" s="7" t="s">
        <v>121</v>
      </c>
      <c r="F556" s="9" t="s">
        <v>69</v>
      </c>
      <c r="G556" s="5" t="s">
        <v>77</v>
      </c>
    </row>
    <row r="557">
      <c r="A557" s="10">
        <v>1.9206060075E10</v>
      </c>
      <c r="B557" s="11">
        <v>0.073</v>
      </c>
      <c r="C557" s="11">
        <v>15.0</v>
      </c>
      <c r="D557" s="11">
        <v>0.432</v>
      </c>
      <c r="E557" s="7" t="s">
        <v>121</v>
      </c>
      <c r="F557" s="9" t="s">
        <v>70</v>
      </c>
      <c r="G557" s="5" t="s">
        <v>77</v>
      </c>
    </row>
    <row r="558">
      <c r="A558" s="10">
        <v>1.8262773766E10</v>
      </c>
      <c r="B558" s="11">
        <v>0.091</v>
      </c>
      <c r="C558" s="11">
        <v>17.0</v>
      </c>
      <c r="D558" s="11">
        <v>0.654</v>
      </c>
      <c r="E558" s="7" t="s">
        <v>121</v>
      </c>
      <c r="F558" s="9" t="s">
        <v>71</v>
      </c>
      <c r="G558" s="5" t="s">
        <v>77</v>
      </c>
    </row>
    <row r="559">
      <c r="A559" s="10">
        <v>2.0523286237E10</v>
      </c>
      <c r="B559" s="11">
        <v>0.07</v>
      </c>
      <c r="C559" s="11">
        <v>15.0</v>
      </c>
      <c r="D559" s="11">
        <v>0.565</v>
      </c>
      <c r="E559" s="7" t="s">
        <v>121</v>
      </c>
      <c r="F559" s="9" t="s">
        <v>72</v>
      </c>
      <c r="G559" s="5" t="s">
        <v>77</v>
      </c>
    </row>
    <row r="560">
      <c r="A560" s="10">
        <v>2.3831631365E10</v>
      </c>
      <c r="B560" s="11">
        <v>0.061</v>
      </c>
      <c r="C560" s="11">
        <v>15.0</v>
      </c>
      <c r="D560" s="11">
        <v>0.438</v>
      </c>
      <c r="E560" s="7" t="s">
        <v>121</v>
      </c>
      <c r="F560" s="9" t="s">
        <v>73</v>
      </c>
      <c r="G560" s="5" t="s">
        <v>77</v>
      </c>
    </row>
    <row r="561">
      <c r="A561" s="10">
        <v>2.7452795398E10</v>
      </c>
      <c r="B561" s="11">
        <v>0.056</v>
      </c>
      <c r="C561" s="11">
        <v>15.0</v>
      </c>
      <c r="D561" s="11">
        <v>0.284</v>
      </c>
      <c r="E561" s="7" t="s">
        <v>121</v>
      </c>
      <c r="F561" s="9" t="s">
        <v>60</v>
      </c>
      <c r="G561" s="5" t="s">
        <v>77</v>
      </c>
    </row>
    <row r="562">
      <c r="A562" s="10">
        <v>1.5946443103E10</v>
      </c>
      <c r="B562" s="11">
        <v>0.071</v>
      </c>
      <c r="C562" s="11">
        <v>287.0</v>
      </c>
      <c r="D562" s="11">
        <v>0.249</v>
      </c>
      <c r="E562" s="7" t="s">
        <v>122</v>
      </c>
      <c r="F562" s="9" t="s">
        <v>62</v>
      </c>
      <c r="G562" s="5" t="s">
        <v>84</v>
      </c>
    </row>
    <row r="563">
      <c r="A563" s="10">
        <v>1.6403602943E10</v>
      </c>
      <c r="B563" s="11">
        <v>0.071</v>
      </c>
      <c r="C563" s="11">
        <v>291.0</v>
      </c>
      <c r="D563" s="11">
        <v>0.238</v>
      </c>
      <c r="E563" s="7" t="s">
        <v>122</v>
      </c>
      <c r="F563" s="9" t="s">
        <v>63</v>
      </c>
      <c r="G563" s="5" t="s">
        <v>84</v>
      </c>
    </row>
    <row r="564">
      <c r="A564" s="10">
        <v>1.6844378578E10</v>
      </c>
      <c r="B564" s="11">
        <v>0.08</v>
      </c>
      <c r="C564" s="11">
        <v>332.0</v>
      </c>
      <c r="D564" s="11">
        <v>0.264</v>
      </c>
      <c r="E564" s="7" t="s">
        <v>122</v>
      </c>
      <c r="F564" s="9" t="s">
        <v>64</v>
      </c>
      <c r="G564" s="5" t="s">
        <v>84</v>
      </c>
    </row>
    <row r="565">
      <c r="A565" s="10">
        <v>1.7517536016E10</v>
      </c>
      <c r="B565" s="11">
        <v>0.081</v>
      </c>
      <c r="C565" s="11">
        <v>343.0</v>
      </c>
      <c r="D565" s="11">
        <v>0.256</v>
      </c>
      <c r="E565" s="7" t="s">
        <v>122</v>
      </c>
      <c r="F565" s="9" t="s">
        <v>65</v>
      </c>
      <c r="G565" s="5" t="s">
        <v>84</v>
      </c>
    </row>
    <row r="566">
      <c r="A566" s="10">
        <v>1.8596365927E10</v>
      </c>
      <c r="B566" s="11">
        <v>0.078</v>
      </c>
      <c r="C566" s="11">
        <v>346.0</v>
      </c>
      <c r="D566" s="11">
        <v>0.234</v>
      </c>
      <c r="E566" s="7" t="s">
        <v>122</v>
      </c>
      <c r="F566" s="9" t="s">
        <v>66</v>
      </c>
      <c r="G566" s="5" t="s">
        <v>84</v>
      </c>
    </row>
    <row r="567">
      <c r="A567" s="10">
        <v>1.9964893807E10</v>
      </c>
      <c r="B567" s="11">
        <v>0.077</v>
      </c>
      <c r="C567" s="11">
        <v>364.0</v>
      </c>
      <c r="D567" s="11">
        <v>0.247</v>
      </c>
      <c r="E567" s="7" t="s">
        <v>122</v>
      </c>
      <c r="F567" s="9" t="s">
        <v>67</v>
      </c>
      <c r="G567" s="5" t="s">
        <v>84</v>
      </c>
    </row>
    <row r="568">
      <c r="A568" s="10">
        <v>2.2526464409E10</v>
      </c>
      <c r="B568" s="11">
        <v>0.078</v>
      </c>
      <c r="C568" s="11">
        <v>410.0</v>
      </c>
      <c r="D568" s="11">
        <v>0.222</v>
      </c>
      <c r="E568" s="7" t="s">
        <v>122</v>
      </c>
      <c r="F568" s="9" t="s">
        <v>68</v>
      </c>
      <c r="G568" s="5" t="s">
        <v>84</v>
      </c>
    </row>
    <row r="569">
      <c r="A569" s="10">
        <v>2.6321999607E10</v>
      </c>
      <c r="B569" s="11">
        <v>0.084</v>
      </c>
      <c r="C569" s="11">
        <v>525.0</v>
      </c>
      <c r="D569" s="11">
        <v>0.128</v>
      </c>
      <c r="E569" s="7" t="s">
        <v>122</v>
      </c>
      <c r="F569" s="9" t="s">
        <v>69</v>
      </c>
      <c r="G569" s="5" t="s">
        <v>84</v>
      </c>
    </row>
    <row r="570">
      <c r="A570" s="10">
        <v>2.9831167681E10</v>
      </c>
      <c r="B570" s="11">
        <v>0.09</v>
      </c>
      <c r="C570" s="11">
        <v>593.0</v>
      </c>
      <c r="D570" s="11">
        <v>0.158</v>
      </c>
      <c r="E570" s="7" t="s">
        <v>122</v>
      </c>
      <c r="F570" s="9" t="s">
        <v>70</v>
      </c>
      <c r="G570" s="5" t="s">
        <v>84</v>
      </c>
    </row>
    <row r="571">
      <c r="A571" s="10">
        <v>2.9382692643E10</v>
      </c>
      <c r="B571" s="11">
        <v>0.097</v>
      </c>
      <c r="C571" s="11">
        <v>619.0</v>
      </c>
      <c r="D571" s="11">
        <v>0.197</v>
      </c>
      <c r="E571" s="7" t="s">
        <v>122</v>
      </c>
      <c r="F571" s="9" t="s">
        <v>71</v>
      </c>
      <c r="G571" s="5" t="s">
        <v>84</v>
      </c>
    </row>
    <row r="572">
      <c r="A572" s="10">
        <v>3.629832767E10</v>
      </c>
      <c r="B572" s="11">
        <v>0.097</v>
      </c>
      <c r="C572" s="11">
        <v>750.0</v>
      </c>
      <c r="D572" s="11">
        <v>0.171</v>
      </c>
      <c r="E572" s="7" t="s">
        <v>122</v>
      </c>
      <c r="F572" s="9" t="s">
        <v>72</v>
      </c>
      <c r="G572" s="5" t="s">
        <v>84</v>
      </c>
    </row>
    <row r="573">
      <c r="A573" s="10">
        <v>4.1237296807E10</v>
      </c>
      <c r="B573" s="11">
        <v>0.102</v>
      </c>
      <c r="C573" s="11">
        <v>883.0</v>
      </c>
      <c r="D573" s="11">
        <v>0.161</v>
      </c>
      <c r="E573" s="7" t="s">
        <v>122</v>
      </c>
      <c r="F573" s="9" t="s">
        <v>73</v>
      </c>
      <c r="G573" s="5" t="s">
        <v>84</v>
      </c>
    </row>
    <row r="574">
      <c r="A574" s="10">
        <v>4.5374788701E10</v>
      </c>
      <c r="B574" s="11">
        <v>0.101</v>
      </c>
      <c r="C574" s="11">
        <v>951.0</v>
      </c>
      <c r="D574" s="11">
        <v>0.182</v>
      </c>
      <c r="E574" s="7" t="s">
        <v>122</v>
      </c>
      <c r="F574" s="9" t="s">
        <v>60</v>
      </c>
      <c r="G574" s="5" t="s">
        <v>84</v>
      </c>
    </row>
    <row r="575">
      <c r="A575" s="10">
        <v>1.0545285037E10</v>
      </c>
      <c r="B575" s="11">
        <v>0.052</v>
      </c>
      <c r="C575" s="11">
        <v>34.0</v>
      </c>
      <c r="D575" s="8"/>
      <c r="E575" s="7" t="s">
        <v>123</v>
      </c>
      <c r="F575" s="9" t="s">
        <v>62</v>
      </c>
      <c r="G575" s="5" t="s">
        <v>77</v>
      </c>
    </row>
    <row r="576">
      <c r="A576" s="10">
        <v>1.1486664265E10</v>
      </c>
      <c r="B576" s="11">
        <v>0.047</v>
      </c>
      <c r="C576" s="11">
        <v>33.0</v>
      </c>
      <c r="D576" s="8"/>
      <c r="E576" s="7" t="s">
        <v>123</v>
      </c>
      <c r="F576" s="9" t="s">
        <v>63</v>
      </c>
      <c r="G576" s="5" t="s">
        <v>77</v>
      </c>
    </row>
    <row r="577">
      <c r="A577" s="10">
        <v>1.3737482343E10</v>
      </c>
      <c r="B577" s="11">
        <v>0.051</v>
      </c>
      <c r="C577" s="11">
        <v>42.0</v>
      </c>
      <c r="D577" s="8"/>
      <c r="E577" s="7" t="s">
        <v>123</v>
      </c>
      <c r="F577" s="9" t="s">
        <v>64</v>
      </c>
      <c r="G577" s="5" t="s">
        <v>77</v>
      </c>
    </row>
    <row r="578">
      <c r="A578" s="10">
        <v>1.5481092596E10</v>
      </c>
      <c r="B578" s="11">
        <v>0.056</v>
      </c>
      <c r="C578" s="11">
        <v>50.0</v>
      </c>
      <c r="D578" s="8"/>
      <c r="E578" s="7" t="s">
        <v>123</v>
      </c>
      <c r="F578" s="9" t="s">
        <v>65</v>
      </c>
      <c r="G578" s="5" t="s">
        <v>77</v>
      </c>
    </row>
    <row r="579">
      <c r="A579" s="10">
        <v>1.6363437145E10</v>
      </c>
      <c r="B579" s="11">
        <v>0.057</v>
      </c>
      <c r="C579" s="11">
        <v>53.0</v>
      </c>
      <c r="D579" s="8"/>
      <c r="E579" s="7" t="s">
        <v>123</v>
      </c>
      <c r="F579" s="9" t="s">
        <v>66</v>
      </c>
      <c r="G579" s="5" t="s">
        <v>77</v>
      </c>
    </row>
    <row r="580">
      <c r="A580" s="10">
        <v>1.7367303156E10</v>
      </c>
      <c r="B580" s="11">
        <v>0.06</v>
      </c>
      <c r="C580" s="11">
        <v>59.0</v>
      </c>
      <c r="D580" s="8"/>
      <c r="E580" s="7" t="s">
        <v>123</v>
      </c>
      <c r="F580" s="9" t="s">
        <v>67</v>
      </c>
      <c r="G580" s="5" t="s">
        <v>77</v>
      </c>
    </row>
    <row r="581">
      <c r="A581" s="10">
        <v>1.9795705245E10</v>
      </c>
      <c r="B581" s="11">
        <v>0.066</v>
      </c>
      <c r="C581" s="11">
        <v>72.0</v>
      </c>
      <c r="D581" s="8"/>
      <c r="E581" s="7" t="s">
        <v>123</v>
      </c>
      <c r="F581" s="9" t="s">
        <v>68</v>
      </c>
      <c r="G581" s="5" t="s">
        <v>77</v>
      </c>
    </row>
    <row r="582">
      <c r="A582" s="10">
        <v>2.3414253328E10</v>
      </c>
      <c r="B582" s="11">
        <v>0.065</v>
      </c>
      <c r="C582" s="11">
        <v>83.0</v>
      </c>
      <c r="D582" s="8"/>
      <c r="E582" s="7" t="s">
        <v>123</v>
      </c>
      <c r="F582" s="9" t="s">
        <v>69</v>
      </c>
      <c r="G582" s="5" t="s">
        <v>77</v>
      </c>
    </row>
    <row r="583">
      <c r="A583" s="10">
        <v>2.3041633638E10</v>
      </c>
      <c r="B583" s="11">
        <v>0.068</v>
      </c>
      <c r="C583" s="11">
        <v>84.0</v>
      </c>
      <c r="D583" s="8"/>
      <c r="E583" s="7" t="s">
        <v>123</v>
      </c>
      <c r="F583" s="9" t="s">
        <v>70</v>
      </c>
      <c r="G583" s="5" t="s">
        <v>77</v>
      </c>
    </row>
    <row r="584">
      <c r="A584" s="10">
        <v>2.2920779598E10</v>
      </c>
      <c r="B584" s="11">
        <v>0.069</v>
      </c>
      <c r="C584" s="11">
        <v>83.0</v>
      </c>
      <c r="D584" s="8"/>
      <c r="E584" s="7" t="s">
        <v>123</v>
      </c>
      <c r="F584" s="9" t="s">
        <v>71</v>
      </c>
      <c r="G584" s="5" t="s">
        <v>77</v>
      </c>
    </row>
    <row r="585">
      <c r="A585" s="10">
        <v>2.4074553674E10</v>
      </c>
      <c r="B585" s="11">
        <v>0.068</v>
      </c>
      <c r="C585" s="11">
        <v>84.0</v>
      </c>
      <c r="D585" s="8"/>
      <c r="E585" s="7" t="s">
        <v>123</v>
      </c>
      <c r="F585" s="9" t="s">
        <v>72</v>
      </c>
      <c r="G585" s="5" t="s">
        <v>77</v>
      </c>
    </row>
    <row r="586">
      <c r="A586" s="10">
        <v>2.4680372724E10</v>
      </c>
      <c r="B586" s="11">
        <v>0.071</v>
      </c>
      <c r="C586" s="11">
        <v>88.0</v>
      </c>
      <c r="D586" s="8"/>
      <c r="E586" s="7" t="s">
        <v>123</v>
      </c>
      <c r="F586" s="9" t="s">
        <v>73</v>
      </c>
      <c r="G586" s="5" t="s">
        <v>77</v>
      </c>
    </row>
    <row r="587">
      <c r="A587" s="10">
        <v>2.1517784659E10</v>
      </c>
      <c r="B587" s="11">
        <v>0.078</v>
      </c>
      <c r="C587" s="11">
        <v>377.0</v>
      </c>
      <c r="D587" s="11">
        <v>0.121</v>
      </c>
      <c r="E587" s="7" t="s">
        <v>124</v>
      </c>
      <c r="F587" s="9" t="s">
        <v>60</v>
      </c>
      <c r="G587" s="5" t="s">
        <v>75</v>
      </c>
    </row>
    <row r="588">
      <c r="A588" s="10">
        <v>2.3052044813E10</v>
      </c>
      <c r="B588" s="11">
        <v>0.072</v>
      </c>
      <c r="C588" s="11">
        <v>376.0</v>
      </c>
      <c r="D588" s="11">
        <v>0.095</v>
      </c>
      <c r="E588" s="7" t="s">
        <v>124</v>
      </c>
      <c r="F588" s="9" t="s">
        <v>62</v>
      </c>
      <c r="G588" s="5" t="s">
        <v>75</v>
      </c>
    </row>
    <row r="589">
      <c r="A589" s="10">
        <v>2.6524896398E10</v>
      </c>
      <c r="B589" s="11">
        <v>0.063</v>
      </c>
      <c r="C589" s="11">
        <v>375.0</v>
      </c>
      <c r="D589" s="11">
        <v>0.128</v>
      </c>
      <c r="E589" s="7" t="s">
        <v>124</v>
      </c>
      <c r="F589" s="9" t="s">
        <v>63</v>
      </c>
      <c r="G589" s="5" t="s">
        <v>75</v>
      </c>
    </row>
    <row r="590">
      <c r="A590" s="10">
        <v>3.4143409062E10</v>
      </c>
      <c r="B590" s="11">
        <v>0.064</v>
      </c>
      <c r="C590" s="11">
        <v>495.0</v>
      </c>
      <c r="D590" s="11">
        <v>0.116</v>
      </c>
      <c r="E590" s="7" t="s">
        <v>124</v>
      </c>
      <c r="F590" s="9" t="s">
        <v>64</v>
      </c>
      <c r="G590" s="5" t="s">
        <v>75</v>
      </c>
    </row>
    <row r="591">
      <c r="A591" s="10">
        <v>4.1003558916E10</v>
      </c>
      <c r="B591" s="11">
        <v>0.066</v>
      </c>
      <c r="C591" s="11">
        <v>614.0</v>
      </c>
      <c r="D591" s="11">
        <v>0.117</v>
      </c>
      <c r="E591" s="7" t="s">
        <v>124</v>
      </c>
      <c r="F591" s="9" t="s">
        <v>65</v>
      </c>
      <c r="G591" s="5" t="s">
        <v>75</v>
      </c>
    </row>
    <row r="592">
      <c r="A592" s="10">
        <v>4.4821408831E10</v>
      </c>
      <c r="B592" s="11">
        <v>0.07</v>
      </c>
      <c r="C592" s="11">
        <v>705.0</v>
      </c>
      <c r="D592" s="11">
        <v>0.112</v>
      </c>
      <c r="E592" s="7" t="s">
        <v>124</v>
      </c>
      <c r="F592" s="9" t="s">
        <v>66</v>
      </c>
      <c r="G592" s="5" t="s">
        <v>75</v>
      </c>
    </row>
    <row r="593">
      <c r="A593" s="10">
        <v>4.9855078905E10</v>
      </c>
      <c r="B593" s="11">
        <v>0.07</v>
      </c>
      <c r="C593" s="11">
        <v>790.0</v>
      </c>
      <c r="D593" s="11">
        <v>0.099</v>
      </c>
      <c r="E593" s="7" t="s">
        <v>124</v>
      </c>
      <c r="F593" s="9" t="s">
        <v>67</v>
      </c>
      <c r="G593" s="5" t="s">
        <v>75</v>
      </c>
    </row>
    <row r="594">
      <c r="A594" s="10">
        <v>5.9319390298E10</v>
      </c>
      <c r="B594" s="11">
        <v>0.075</v>
      </c>
      <c r="C594" s="11">
        <v>1008.0</v>
      </c>
      <c r="D594" s="11">
        <v>0.093</v>
      </c>
      <c r="E594" s="7" t="s">
        <v>124</v>
      </c>
      <c r="F594" s="9" t="s">
        <v>68</v>
      </c>
      <c r="G594" s="5" t="s">
        <v>75</v>
      </c>
    </row>
    <row r="595">
      <c r="A595" s="10">
        <v>6.9595512099E10</v>
      </c>
      <c r="B595" s="11">
        <v>0.078</v>
      </c>
      <c r="C595" s="11">
        <v>1224.0</v>
      </c>
      <c r="D595" s="11">
        <v>0.101</v>
      </c>
      <c r="E595" s="7" t="s">
        <v>124</v>
      </c>
      <c r="F595" s="9" t="s">
        <v>69</v>
      </c>
      <c r="G595" s="5" t="s">
        <v>75</v>
      </c>
    </row>
    <row r="596">
      <c r="A596" s="10">
        <v>6.220261924E10</v>
      </c>
      <c r="B596" s="11">
        <v>0.078</v>
      </c>
      <c r="C596" s="11">
        <v>1095.0</v>
      </c>
      <c r="D596" s="11">
        <v>0.116</v>
      </c>
      <c r="E596" s="7" t="s">
        <v>124</v>
      </c>
      <c r="F596" s="9" t="s">
        <v>70</v>
      </c>
      <c r="G596" s="5" t="s">
        <v>75</v>
      </c>
    </row>
    <row r="597">
      <c r="A597" s="10">
        <v>5.8873994412E10</v>
      </c>
      <c r="B597" s="11">
        <v>0.078</v>
      </c>
      <c r="C597" s="11">
        <v>1051.0</v>
      </c>
      <c r="D597" s="11">
        <v>0.104</v>
      </c>
      <c r="E597" s="7" t="s">
        <v>124</v>
      </c>
      <c r="F597" s="9" t="s">
        <v>71</v>
      </c>
      <c r="G597" s="5" t="s">
        <v>75</v>
      </c>
    </row>
    <row r="598">
      <c r="A598" s="10">
        <v>6.1520901516E10</v>
      </c>
      <c r="B598" s="11">
        <v>0.068</v>
      </c>
      <c r="C598" s="11">
        <v>992.0</v>
      </c>
      <c r="D598" s="11">
        <v>0.097</v>
      </c>
      <c r="E598" s="7" t="s">
        <v>124</v>
      </c>
      <c r="F598" s="9" t="s">
        <v>72</v>
      </c>
      <c r="G598" s="5" t="s">
        <v>75</v>
      </c>
    </row>
    <row r="599">
      <c r="A599" s="10">
        <v>5.6155732957E10</v>
      </c>
      <c r="B599" s="11">
        <v>0.068</v>
      </c>
      <c r="C599" s="11">
        <v>908.0</v>
      </c>
      <c r="D599" s="11">
        <v>0.095</v>
      </c>
      <c r="E599" s="7" t="s">
        <v>124</v>
      </c>
      <c r="F599" s="9" t="s">
        <v>73</v>
      </c>
      <c r="G599" s="5" t="s">
        <v>75</v>
      </c>
    </row>
    <row r="600">
      <c r="A600" s="10">
        <v>3.05652E10</v>
      </c>
      <c r="B600" s="11">
        <v>0.061</v>
      </c>
      <c r="C600" s="11">
        <v>166.0</v>
      </c>
      <c r="D600" s="8"/>
      <c r="E600" s="7" t="s">
        <v>125</v>
      </c>
      <c r="F600" s="9" t="s">
        <v>60</v>
      </c>
      <c r="G600" s="5" t="s">
        <v>84</v>
      </c>
    </row>
    <row r="601">
      <c r="A601" s="10">
        <v>3.16833E10</v>
      </c>
      <c r="B601" s="11">
        <v>0.063</v>
      </c>
      <c r="C601" s="11">
        <v>178.0</v>
      </c>
      <c r="D601" s="8"/>
      <c r="E601" s="7" t="s">
        <v>125</v>
      </c>
      <c r="F601" s="9" t="s">
        <v>62</v>
      </c>
      <c r="G601" s="5" t="s">
        <v>84</v>
      </c>
    </row>
    <row r="602">
      <c r="A602" s="10">
        <v>3.35904E10</v>
      </c>
      <c r="B602" s="11">
        <v>0.065</v>
      </c>
      <c r="C602" s="11">
        <v>195.0</v>
      </c>
      <c r="D602" s="8"/>
      <c r="E602" s="7" t="s">
        <v>125</v>
      </c>
      <c r="F602" s="9" t="s">
        <v>63</v>
      </c>
      <c r="G602" s="5" t="s">
        <v>84</v>
      </c>
    </row>
    <row r="603">
      <c r="A603" s="10">
        <v>3.59015E10</v>
      </c>
      <c r="B603" s="11">
        <v>0.063</v>
      </c>
      <c r="C603" s="11">
        <v>202.0</v>
      </c>
      <c r="D603" s="8"/>
      <c r="E603" s="7" t="s">
        <v>125</v>
      </c>
      <c r="F603" s="9" t="s">
        <v>64</v>
      </c>
      <c r="G603" s="5" t="s">
        <v>84</v>
      </c>
    </row>
    <row r="604">
      <c r="A604" s="10">
        <v>3.82028E10</v>
      </c>
      <c r="B604" s="11">
        <v>0.061</v>
      </c>
      <c r="C604" s="11">
        <v>209.0</v>
      </c>
      <c r="D604" s="8"/>
      <c r="E604" s="7" t="s">
        <v>125</v>
      </c>
      <c r="F604" s="9" t="s">
        <v>65</v>
      </c>
      <c r="G604" s="5" t="s">
        <v>84</v>
      </c>
    </row>
    <row r="605">
      <c r="A605" s="10">
        <v>4.26442E10</v>
      </c>
      <c r="B605" s="11">
        <v>0.081</v>
      </c>
      <c r="C605" s="11">
        <v>306.0</v>
      </c>
      <c r="D605" s="8"/>
      <c r="E605" s="7" t="s">
        <v>125</v>
      </c>
      <c r="F605" s="9" t="s">
        <v>66</v>
      </c>
      <c r="G605" s="5" t="s">
        <v>84</v>
      </c>
    </row>
    <row r="606">
      <c r="A606" s="10">
        <v>5.27421E10</v>
      </c>
      <c r="B606" s="11">
        <v>0.077</v>
      </c>
      <c r="C606" s="11">
        <v>360.0</v>
      </c>
      <c r="D606" s="8"/>
      <c r="E606" s="7" t="s">
        <v>125</v>
      </c>
      <c r="F606" s="9" t="s">
        <v>67</v>
      </c>
      <c r="G606" s="5" t="s">
        <v>84</v>
      </c>
    </row>
    <row r="607">
      <c r="A607" s="10">
        <v>5.86035E10</v>
      </c>
      <c r="B607" s="11">
        <v>0.104</v>
      </c>
      <c r="C607" s="11">
        <v>587.0</v>
      </c>
      <c r="D607" s="8"/>
      <c r="E607" s="7" t="s">
        <v>125</v>
      </c>
      <c r="F607" s="9" t="s">
        <v>68</v>
      </c>
      <c r="G607" s="5" t="s">
        <v>84</v>
      </c>
    </row>
    <row r="608">
      <c r="A608" s="10">
        <v>6.08062E10</v>
      </c>
      <c r="B608" s="11">
        <v>0.108</v>
      </c>
      <c r="C608" s="11">
        <v>584.0</v>
      </c>
      <c r="D608" s="8"/>
      <c r="E608" s="7" t="s">
        <v>125</v>
      </c>
      <c r="F608" s="9" t="s">
        <v>69</v>
      </c>
      <c r="G608" s="5" t="s">
        <v>84</v>
      </c>
    </row>
    <row r="609">
      <c r="A609" s="10">
        <v>6.207861E10</v>
      </c>
      <c r="B609" s="11">
        <v>0.117</v>
      </c>
      <c r="C609" s="11">
        <v>651.0</v>
      </c>
      <c r="D609" s="8"/>
      <c r="E609" s="7" t="s">
        <v>125</v>
      </c>
      <c r="F609" s="9" t="s">
        <v>70</v>
      </c>
      <c r="G609" s="5" t="s">
        <v>84</v>
      </c>
    </row>
    <row r="610">
      <c r="A610" s="10">
        <v>6.432822E10</v>
      </c>
      <c r="B610" s="11">
        <v>0.106</v>
      </c>
      <c r="C610" s="11">
        <v>583.0</v>
      </c>
      <c r="D610" s="8"/>
      <c r="E610" s="7" t="s">
        <v>125</v>
      </c>
      <c r="F610" s="9" t="s">
        <v>71</v>
      </c>
      <c r="G610" s="5" t="s">
        <v>84</v>
      </c>
    </row>
    <row r="611">
      <c r="A611" s="10">
        <v>6.82339E10</v>
      </c>
      <c r="B611" s="11">
        <v>0.106</v>
      </c>
      <c r="C611" s="11">
        <v>648.0</v>
      </c>
      <c r="D611" s="8"/>
      <c r="E611" s="7" t="s">
        <v>125</v>
      </c>
      <c r="F611" s="9" t="s">
        <v>72</v>
      </c>
      <c r="G611" s="5" t="s">
        <v>84</v>
      </c>
    </row>
    <row r="612">
      <c r="A612" s="7"/>
      <c r="B612" s="11">
        <v>0.086</v>
      </c>
      <c r="C612" s="11">
        <v>558.0</v>
      </c>
      <c r="D612" s="8"/>
      <c r="E612" s="7" t="s">
        <v>125</v>
      </c>
      <c r="F612" s="9" t="s">
        <v>73</v>
      </c>
      <c r="G612" s="5" t="s">
        <v>84</v>
      </c>
    </row>
    <row r="613">
      <c r="A613" s="7"/>
      <c r="B613" s="8"/>
      <c r="C613" s="8"/>
      <c r="D613" s="8"/>
      <c r="E613" s="7" t="s">
        <v>126</v>
      </c>
      <c r="F613" s="9" t="s">
        <v>60</v>
      </c>
      <c r="G613" s="5" t="s">
        <v>84</v>
      </c>
    </row>
    <row r="614">
      <c r="A614" s="7"/>
      <c r="B614" s="8"/>
      <c r="C614" s="8"/>
      <c r="D614" s="8"/>
      <c r="E614" s="7" t="s">
        <v>126</v>
      </c>
      <c r="F614" s="9" t="s">
        <v>62</v>
      </c>
      <c r="G614" s="5" t="s">
        <v>84</v>
      </c>
    </row>
    <row r="615">
      <c r="A615" s="7"/>
      <c r="B615" s="8"/>
      <c r="C615" s="8"/>
      <c r="D615" s="8"/>
      <c r="E615" s="7" t="s">
        <v>126</v>
      </c>
      <c r="F615" s="9" t="s">
        <v>63</v>
      </c>
      <c r="G615" s="5" t="s">
        <v>84</v>
      </c>
    </row>
    <row r="616">
      <c r="A616" s="7"/>
      <c r="B616" s="8"/>
      <c r="C616" s="8"/>
      <c r="D616" s="8"/>
      <c r="E616" s="7" t="s">
        <v>126</v>
      </c>
      <c r="F616" s="9" t="s">
        <v>64</v>
      </c>
      <c r="G616" s="5" t="s">
        <v>84</v>
      </c>
    </row>
    <row r="617">
      <c r="A617" s="7"/>
      <c r="B617" s="8"/>
      <c r="C617" s="8"/>
      <c r="D617" s="8"/>
      <c r="E617" s="7" t="s">
        <v>126</v>
      </c>
      <c r="F617" s="9" t="s">
        <v>65</v>
      </c>
      <c r="G617" s="5" t="s">
        <v>84</v>
      </c>
    </row>
    <row r="618">
      <c r="A618" s="7"/>
      <c r="B618" s="8"/>
      <c r="C618" s="8"/>
      <c r="D618" s="8"/>
      <c r="E618" s="7" t="s">
        <v>126</v>
      </c>
      <c r="F618" s="9" t="s">
        <v>66</v>
      </c>
      <c r="G618" s="5" t="s">
        <v>84</v>
      </c>
    </row>
    <row r="619">
      <c r="A619" s="7"/>
      <c r="B619" s="8"/>
      <c r="C619" s="8"/>
      <c r="D619" s="8"/>
      <c r="E619" s="7" t="s">
        <v>126</v>
      </c>
      <c r="F619" s="9" t="s">
        <v>67</v>
      </c>
      <c r="G619" s="5" t="s">
        <v>84</v>
      </c>
    </row>
    <row r="620">
      <c r="A620" s="7"/>
      <c r="B620" s="8"/>
      <c r="C620" s="8"/>
      <c r="D620" s="8"/>
      <c r="E620" s="7" t="s">
        <v>126</v>
      </c>
      <c r="F620" s="9" t="s">
        <v>68</v>
      </c>
      <c r="G620" s="5" t="s">
        <v>84</v>
      </c>
    </row>
    <row r="621">
      <c r="A621" s="7"/>
      <c r="B621" s="8"/>
      <c r="C621" s="8"/>
      <c r="D621" s="8"/>
      <c r="E621" s="7" t="s">
        <v>126</v>
      </c>
      <c r="F621" s="9" t="s">
        <v>69</v>
      </c>
      <c r="G621" s="5" t="s">
        <v>84</v>
      </c>
    </row>
    <row r="622">
      <c r="A622" s="7"/>
      <c r="B622" s="8"/>
      <c r="C622" s="8"/>
      <c r="D622" s="8"/>
      <c r="E622" s="7" t="s">
        <v>126</v>
      </c>
      <c r="F622" s="9" t="s">
        <v>70</v>
      </c>
      <c r="G622" s="5" t="s">
        <v>84</v>
      </c>
    </row>
    <row r="623">
      <c r="A623" s="7"/>
      <c r="B623" s="8"/>
      <c r="C623" s="8"/>
      <c r="D623" s="8"/>
      <c r="E623" s="7" t="s">
        <v>126</v>
      </c>
      <c r="F623" s="9" t="s">
        <v>71</v>
      </c>
      <c r="G623" s="5" t="s">
        <v>84</v>
      </c>
    </row>
    <row r="624">
      <c r="A624" s="7"/>
      <c r="B624" s="8"/>
      <c r="C624" s="8"/>
      <c r="D624" s="8"/>
      <c r="E624" s="7" t="s">
        <v>126</v>
      </c>
      <c r="F624" s="9" t="s">
        <v>72</v>
      </c>
      <c r="G624" s="5" t="s">
        <v>84</v>
      </c>
    </row>
    <row r="625">
      <c r="A625" s="7"/>
      <c r="B625" s="8"/>
      <c r="C625" s="8"/>
      <c r="D625" s="8"/>
      <c r="E625" s="7" t="s">
        <v>126</v>
      </c>
      <c r="F625" s="9" t="s">
        <v>73</v>
      </c>
      <c r="G625" s="5" t="s">
        <v>84</v>
      </c>
    </row>
    <row r="626">
      <c r="A626" s="10">
        <v>9.314937556E9</v>
      </c>
      <c r="B626" s="11">
        <v>0.058</v>
      </c>
      <c r="C626" s="11">
        <v>744.0</v>
      </c>
      <c r="D626" s="11">
        <v>0.08</v>
      </c>
      <c r="E626" s="7" t="s">
        <v>127</v>
      </c>
      <c r="F626" s="9" t="s">
        <v>60</v>
      </c>
      <c r="G626" s="5" t="s">
        <v>75</v>
      </c>
    </row>
    <row r="627">
      <c r="A627" s="10">
        <v>9.679304971E9</v>
      </c>
      <c r="B627" s="11">
        <v>0.058</v>
      </c>
      <c r="C627" s="11">
        <v>776.0</v>
      </c>
      <c r="D627" s="11">
        <v>0.075</v>
      </c>
      <c r="E627" s="7" t="s">
        <v>127</v>
      </c>
      <c r="F627" s="9" t="s">
        <v>62</v>
      </c>
      <c r="G627" s="5" t="s">
        <v>75</v>
      </c>
    </row>
    <row r="628">
      <c r="A628" s="10">
        <v>1.0557366162E10</v>
      </c>
      <c r="B628" s="11">
        <v>0.061</v>
      </c>
      <c r="C628" s="11">
        <v>882.0</v>
      </c>
      <c r="D628" s="11">
        <v>0.072</v>
      </c>
      <c r="E628" s="7" t="s">
        <v>127</v>
      </c>
      <c r="F628" s="9" t="s">
        <v>63</v>
      </c>
      <c r="G628" s="5" t="s">
        <v>75</v>
      </c>
    </row>
    <row r="629">
      <c r="A629" s="10">
        <v>1.3319544758E10</v>
      </c>
      <c r="B629" s="11">
        <v>0.068</v>
      </c>
      <c r="C629" s="11">
        <v>1235.0</v>
      </c>
      <c r="D629" s="11">
        <v>0.069</v>
      </c>
      <c r="E629" s="7" t="s">
        <v>127</v>
      </c>
      <c r="F629" s="9" t="s">
        <v>64</v>
      </c>
      <c r="G629" s="5" t="s">
        <v>75</v>
      </c>
    </row>
    <row r="630">
      <c r="A630" s="10">
        <v>1.5816972051E10</v>
      </c>
      <c r="B630" s="11">
        <v>0.064</v>
      </c>
      <c r="C630" s="11">
        <v>1353.0</v>
      </c>
      <c r="D630" s="11">
        <v>0.076</v>
      </c>
      <c r="E630" s="7" t="s">
        <v>127</v>
      </c>
      <c r="F630" s="9" t="s">
        <v>65</v>
      </c>
      <c r="G630" s="5" t="s">
        <v>75</v>
      </c>
    </row>
    <row r="631">
      <c r="A631" s="10">
        <v>1.6997801392E10</v>
      </c>
      <c r="B631" s="11">
        <v>0.064</v>
      </c>
      <c r="C631" s="11">
        <v>1434.0</v>
      </c>
      <c r="D631" s="11">
        <v>0.071</v>
      </c>
      <c r="E631" s="7" t="s">
        <v>127</v>
      </c>
      <c r="F631" s="9" t="s">
        <v>66</v>
      </c>
      <c r="G631" s="5" t="s">
        <v>75</v>
      </c>
    </row>
    <row r="632">
      <c r="A632" s="10">
        <v>1.843576591E10</v>
      </c>
      <c r="B632" s="11">
        <v>0.063</v>
      </c>
      <c r="C632" s="11">
        <v>1494.0</v>
      </c>
      <c r="D632" s="11">
        <v>0.067</v>
      </c>
      <c r="E632" s="7" t="s">
        <v>127</v>
      </c>
      <c r="F632" s="9" t="s">
        <v>67</v>
      </c>
      <c r="G632" s="5" t="s">
        <v>75</v>
      </c>
    </row>
    <row r="633">
      <c r="A633" s="10">
        <v>2.1841815681E10</v>
      </c>
      <c r="B633" s="11">
        <v>0.061</v>
      </c>
      <c r="C633" s="11">
        <v>1691.0</v>
      </c>
      <c r="D633" s="11">
        <v>0.067</v>
      </c>
      <c r="E633" s="7" t="s">
        <v>127</v>
      </c>
      <c r="F633" s="9" t="s">
        <v>68</v>
      </c>
      <c r="G633" s="5" t="s">
        <v>75</v>
      </c>
    </row>
    <row r="634">
      <c r="A634" s="10">
        <v>2.5321517504E10</v>
      </c>
      <c r="B634" s="11">
        <v>0.069</v>
      </c>
      <c r="C634" s="11">
        <v>2182.0</v>
      </c>
      <c r="D634" s="8"/>
      <c r="E634" s="7" t="s">
        <v>127</v>
      </c>
      <c r="F634" s="9" t="s">
        <v>69</v>
      </c>
      <c r="G634" s="5" t="s">
        <v>75</v>
      </c>
    </row>
    <row r="635">
      <c r="A635" s="10">
        <v>2.3542650736E10</v>
      </c>
      <c r="B635" s="11">
        <v>0.074</v>
      </c>
      <c r="C635" s="11">
        <v>2115.0</v>
      </c>
      <c r="D635" s="8"/>
      <c r="E635" s="7" t="s">
        <v>127</v>
      </c>
      <c r="F635" s="9" t="s">
        <v>70</v>
      </c>
      <c r="G635" s="5" t="s">
        <v>75</v>
      </c>
    </row>
    <row r="636">
      <c r="A636" s="10">
        <v>2.3132450331E10</v>
      </c>
      <c r="B636" s="11">
        <v>0.074</v>
      </c>
      <c r="C636" s="11">
        <v>2012.0</v>
      </c>
      <c r="D636" s="8"/>
      <c r="E636" s="7" t="s">
        <v>127</v>
      </c>
      <c r="F636" s="9" t="s">
        <v>71</v>
      </c>
      <c r="G636" s="5" t="s">
        <v>75</v>
      </c>
    </row>
    <row r="637">
      <c r="A637" s="10">
        <v>2.4851264943E10</v>
      </c>
      <c r="B637" s="11">
        <v>0.074</v>
      </c>
      <c r="C637" s="11">
        <v>2123.0</v>
      </c>
      <c r="D637" s="8"/>
      <c r="E637" s="7" t="s">
        <v>127</v>
      </c>
      <c r="F637" s="9" t="s">
        <v>72</v>
      </c>
      <c r="G637" s="5" t="s">
        <v>75</v>
      </c>
    </row>
    <row r="638">
      <c r="A638" s="10">
        <v>2.276691296E10</v>
      </c>
      <c r="B638" s="11">
        <v>0.073</v>
      </c>
      <c r="C638" s="11">
        <v>1949.0</v>
      </c>
      <c r="D638" s="8"/>
      <c r="E638" s="7" t="s">
        <v>127</v>
      </c>
      <c r="F638" s="9" t="s">
        <v>73</v>
      </c>
      <c r="G638" s="5" t="s">
        <v>75</v>
      </c>
    </row>
    <row r="639">
      <c r="A639" s="10">
        <v>5.8807244368E10</v>
      </c>
      <c r="B639" s="11">
        <v>0.063</v>
      </c>
      <c r="C639" s="11">
        <v>361.0</v>
      </c>
      <c r="D639" s="11">
        <v>0.072</v>
      </c>
      <c r="E639" s="7" t="s">
        <v>128</v>
      </c>
      <c r="F639" s="9" t="s">
        <v>60</v>
      </c>
      <c r="G639" s="5" t="s">
        <v>75</v>
      </c>
    </row>
    <row r="640">
      <c r="A640" s="10">
        <v>6.4375288107E10</v>
      </c>
      <c r="B640" s="11">
        <v>0.064</v>
      </c>
      <c r="C640" s="11">
        <v>403.0</v>
      </c>
      <c r="D640" s="11">
        <v>0.072</v>
      </c>
      <c r="E640" s="7" t="s">
        <v>128</v>
      </c>
      <c r="F640" s="9" t="s">
        <v>62</v>
      </c>
      <c r="G640" s="5" t="s">
        <v>75</v>
      </c>
    </row>
    <row r="641">
      <c r="A641" s="10">
        <v>7.8425201661E10</v>
      </c>
      <c r="B641" s="11">
        <v>0.068</v>
      </c>
      <c r="C641" s="11">
        <v>522.0</v>
      </c>
      <c r="D641" s="11">
        <v>0.067</v>
      </c>
      <c r="E641" s="7" t="s">
        <v>128</v>
      </c>
      <c r="F641" s="9" t="s">
        <v>63</v>
      </c>
      <c r="G641" s="5" t="s">
        <v>75</v>
      </c>
    </row>
    <row r="642">
      <c r="A642" s="10">
        <v>9.5292530753E10</v>
      </c>
      <c r="B642" s="11">
        <v>0.071</v>
      </c>
      <c r="C642" s="11">
        <v>666.0</v>
      </c>
      <c r="D642" s="11">
        <v>0.059</v>
      </c>
      <c r="E642" s="7" t="s">
        <v>128</v>
      </c>
      <c r="F642" s="9" t="s">
        <v>64</v>
      </c>
      <c r="G642" s="5" t="s">
        <v>75</v>
      </c>
    </row>
    <row r="643">
      <c r="A643" s="10">
        <v>1.14E11</v>
      </c>
      <c r="B643" s="11">
        <v>0.069</v>
      </c>
      <c r="C643" s="11">
        <v>771.0</v>
      </c>
      <c r="D643" s="11">
        <v>0.06</v>
      </c>
      <c r="E643" s="7" t="s">
        <v>128</v>
      </c>
      <c r="F643" s="9" t="s">
        <v>65</v>
      </c>
      <c r="G643" s="5" t="s">
        <v>75</v>
      </c>
    </row>
    <row r="644">
      <c r="A644" s="10">
        <v>1.3E11</v>
      </c>
      <c r="B644" s="11">
        <v>0.069</v>
      </c>
      <c r="C644" s="11">
        <v>882.0</v>
      </c>
      <c r="D644" s="11">
        <v>0.058</v>
      </c>
      <c r="E644" s="7" t="s">
        <v>128</v>
      </c>
      <c r="F644" s="9" t="s">
        <v>66</v>
      </c>
      <c r="G644" s="5" t="s">
        <v>75</v>
      </c>
    </row>
    <row r="645">
      <c r="A645" s="10">
        <v>1.48E11</v>
      </c>
      <c r="B645" s="11">
        <v>0.067</v>
      </c>
      <c r="C645" s="11">
        <v>969.0</v>
      </c>
      <c r="D645" s="11">
        <v>0.056</v>
      </c>
      <c r="E645" s="7" t="s">
        <v>128</v>
      </c>
      <c r="F645" s="9" t="s">
        <v>67</v>
      </c>
      <c r="G645" s="5" t="s">
        <v>75</v>
      </c>
    </row>
    <row r="646">
      <c r="A646" s="10">
        <v>1.8E11</v>
      </c>
      <c r="B646" s="11">
        <v>0.065</v>
      </c>
      <c r="C646" s="11">
        <v>1144.0</v>
      </c>
      <c r="D646" s="11">
        <v>0.058</v>
      </c>
      <c r="E646" s="7" t="s">
        <v>128</v>
      </c>
      <c r="F646" s="9" t="s">
        <v>68</v>
      </c>
      <c r="G646" s="5" t="s">
        <v>75</v>
      </c>
    </row>
    <row r="647">
      <c r="A647" s="10">
        <v>2.25E11</v>
      </c>
      <c r="B647" s="11">
        <v>0.068</v>
      </c>
      <c r="C647" s="11">
        <v>1481.0</v>
      </c>
      <c r="D647" s="11">
        <v>0.063</v>
      </c>
      <c r="E647" s="7" t="s">
        <v>128</v>
      </c>
      <c r="F647" s="9" t="s">
        <v>69</v>
      </c>
      <c r="G647" s="5" t="s">
        <v>75</v>
      </c>
    </row>
    <row r="648">
      <c r="A648" s="10">
        <v>1.97E11</v>
      </c>
      <c r="B648" s="11">
        <v>0.08</v>
      </c>
      <c r="C648" s="11">
        <v>1498.0</v>
      </c>
      <c r="D648" s="11">
        <v>0.06</v>
      </c>
      <c r="E648" s="7" t="s">
        <v>128</v>
      </c>
      <c r="F648" s="9" t="s">
        <v>70</v>
      </c>
      <c r="G648" s="5" t="s">
        <v>75</v>
      </c>
    </row>
    <row r="649">
      <c r="A649" s="10">
        <v>1.98E11</v>
      </c>
      <c r="B649" s="11">
        <v>0.074</v>
      </c>
      <c r="C649" s="11">
        <v>1404.0</v>
      </c>
      <c r="D649" s="11">
        <v>0.059</v>
      </c>
      <c r="E649" s="7" t="s">
        <v>128</v>
      </c>
      <c r="F649" s="9" t="s">
        <v>71</v>
      </c>
      <c r="G649" s="5" t="s">
        <v>75</v>
      </c>
    </row>
    <row r="650">
      <c r="A650" s="10">
        <v>2.16E11</v>
      </c>
      <c r="B650" s="11">
        <v>0.075</v>
      </c>
      <c r="C650" s="11">
        <v>1545.0</v>
      </c>
      <c r="D650" s="11">
        <v>0.057</v>
      </c>
      <c r="E650" s="7" t="s">
        <v>128</v>
      </c>
      <c r="F650" s="9" t="s">
        <v>72</v>
      </c>
      <c r="G650" s="5" t="s">
        <v>75</v>
      </c>
    </row>
    <row r="651">
      <c r="A651" s="10">
        <v>1.96E11</v>
      </c>
      <c r="B651" s="11">
        <v>0.077</v>
      </c>
      <c r="C651" s="11">
        <v>1432.0</v>
      </c>
      <c r="D651" s="11">
        <v>0.054</v>
      </c>
      <c r="E651" s="7" t="s">
        <v>128</v>
      </c>
      <c r="F651" s="9" t="s">
        <v>73</v>
      </c>
      <c r="G651" s="5" t="s">
        <v>75</v>
      </c>
    </row>
    <row r="652">
      <c r="A652" s="10">
        <v>1.6E11</v>
      </c>
      <c r="B652" s="11">
        <v>0.087</v>
      </c>
      <c r="C652" s="11">
        <v>2613.0</v>
      </c>
      <c r="D652" s="11">
        <v>0.081</v>
      </c>
      <c r="E652" s="7" t="s">
        <v>129</v>
      </c>
      <c r="F652" s="9" t="s">
        <v>60</v>
      </c>
      <c r="G652" s="5" t="s">
        <v>75</v>
      </c>
    </row>
    <row r="653">
      <c r="A653" s="10">
        <v>1.6E11</v>
      </c>
      <c r="B653" s="11">
        <v>0.091</v>
      </c>
      <c r="C653" s="11">
        <v>2730.0</v>
      </c>
      <c r="D653" s="11">
        <v>0.082</v>
      </c>
      <c r="E653" s="7" t="s">
        <v>129</v>
      </c>
      <c r="F653" s="9" t="s">
        <v>62</v>
      </c>
      <c r="G653" s="5" t="s">
        <v>75</v>
      </c>
    </row>
    <row r="654">
      <c r="A654" s="10">
        <v>1.74E11</v>
      </c>
      <c r="B654" s="11">
        <v>0.093</v>
      </c>
      <c r="C654" s="11">
        <v>3023.0</v>
      </c>
      <c r="D654" s="11">
        <v>0.071</v>
      </c>
      <c r="E654" s="7" t="s">
        <v>129</v>
      </c>
      <c r="F654" s="9" t="s">
        <v>63</v>
      </c>
      <c r="G654" s="5" t="s">
        <v>75</v>
      </c>
    </row>
    <row r="655">
      <c r="A655" s="10">
        <v>2.13E11</v>
      </c>
      <c r="B655" s="11">
        <v>0.095</v>
      </c>
      <c r="C655" s="11">
        <v>3756.0</v>
      </c>
      <c r="D655" s="8"/>
      <c r="E655" s="7" t="s">
        <v>129</v>
      </c>
      <c r="F655" s="9" t="s">
        <v>64</v>
      </c>
      <c r="G655" s="5" t="s">
        <v>75</v>
      </c>
    </row>
    <row r="656">
      <c r="A656" s="10">
        <v>2.45E11</v>
      </c>
      <c r="B656" s="11">
        <v>0.097</v>
      </c>
      <c r="C656" s="11">
        <v>4387.0</v>
      </c>
      <c r="D656" s="8"/>
      <c r="E656" s="7" t="s">
        <v>129</v>
      </c>
      <c r="F656" s="9" t="s">
        <v>65</v>
      </c>
      <c r="G656" s="5" t="s">
        <v>75</v>
      </c>
    </row>
    <row r="657">
      <c r="A657" s="10">
        <v>2.58E11</v>
      </c>
      <c r="B657" s="11">
        <v>0.098</v>
      </c>
      <c r="C657" s="11">
        <v>4652.0</v>
      </c>
      <c r="D657" s="8"/>
      <c r="E657" s="7" t="s">
        <v>129</v>
      </c>
      <c r="F657" s="9" t="s">
        <v>66</v>
      </c>
      <c r="G657" s="5" t="s">
        <v>75</v>
      </c>
    </row>
    <row r="658">
      <c r="A658" s="10">
        <v>2.74E11</v>
      </c>
      <c r="B658" s="11">
        <v>0.099</v>
      </c>
      <c r="C658" s="11">
        <v>5017.0</v>
      </c>
      <c r="D658" s="8"/>
      <c r="E658" s="7" t="s">
        <v>129</v>
      </c>
      <c r="F658" s="9" t="s">
        <v>67</v>
      </c>
      <c r="G658" s="5" t="s">
        <v>75</v>
      </c>
    </row>
    <row r="659">
      <c r="A659" s="10">
        <v>3.11E11</v>
      </c>
      <c r="B659" s="11">
        <v>0.1</v>
      </c>
      <c r="C659" s="11">
        <v>5710.0</v>
      </c>
      <c r="D659" s="8"/>
      <c r="E659" s="7" t="s">
        <v>129</v>
      </c>
      <c r="F659" s="9" t="s">
        <v>68</v>
      </c>
      <c r="G659" s="5" t="s">
        <v>75</v>
      </c>
    </row>
    <row r="660">
      <c r="A660" s="10">
        <v>3.44E11</v>
      </c>
      <c r="B660" s="11">
        <v>0.102</v>
      </c>
      <c r="C660" s="11">
        <v>6395.0</v>
      </c>
      <c r="D660" s="8"/>
      <c r="E660" s="7" t="s">
        <v>129</v>
      </c>
      <c r="F660" s="9" t="s">
        <v>69</v>
      </c>
      <c r="G660" s="5" t="s">
        <v>75</v>
      </c>
    </row>
    <row r="661">
      <c r="A661" s="10">
        <v>3.11E11</v>
      </c>
      <c r="B661" s="11">
        <v>0.115</v>
      </c>
      <c r="C661" s="11">
        <v>6464.0</v>
      </c>
      <c r="D661" s="8"/>
      <c r="E661" s="7" t="s">
        <v>129</v>
      </c>
      <c r="F661" s="9" t="s">
        <v>70</v>
      </c>
      <c r="G661" s="5" t="s">
        <v>75</v>
      </c>
    </row>
    <row r="662">
      <c r="A662" s="10">
        <v>3.13E11</v>
      </c>
      <c r="B662" s="11">
        <v>0.111</v>
      </c>
      <c r="C662" s="11">
        <v>6266.0</v>
      </c>
      <c r="D662" s="8"/>
      <c r="E662" s="7" t="s">
        <v>129</v>
      </c>
      <c r="F662" s="9" t="s">
        <v>71</v>
      </c>
      <c r="G662" s="5" t="s">
        <v>75</v>
      </c>
    </row>
    <row r="663">
      <c r="A663" s="10">
        <v>3.34E11</v>
      </c>
      <c r="B663" s="11">
        <v>0.109</v>
      </c>
      <c r="C663" s="11">
        <v>6521.0</v>
      </c>
      <c r="D663" s="8"/>
      <c r="E663" s="7" t="s">
        <v>129</v>
      </c>
      <c r="F663" s="9" t="s">
        <v>72</v>
      </c>
      <c r="G663" s="5" t="s">
        <v>75</v>
      </c>
    </row>
    <row r="664">
      <c r="A664" s="10">
        <v>3.15E11</v>
      </c>
      <c r="B664" s="11">
        <v>0.112</v>
      </c>
      <c r="C664" s="11">
        <v>6304.0</v>
      </c>
      <c r="D664" s="8"/>
      <c r="E664" s="7" t="s">
        <v>129</v>
      </c>
      <c r="F664" s="9" t="s">
        <v>73</v>
      </c>
      <c r="G664" s="5" t="s">
        <v>75</v>
      </c>
    </row>
    <row r="665">
      <c r="A665" s="10">
        <v>5.51230862E8</v>
      </c>
      <c r="B665" s="11">
        <v>0.058</v>
      </c>
      <c r="C665" s="11">
        <v>44.0</v>
      </c>
      <c r="D665" s="8"/>
      <c r="E665" s="7" t="s">
        <v>130</v>
      </c>
      <c r="F665" s="9" t="s">
        <v>60</v>
      </c>
      <c r="G665" s="5" t="s">
        <v>77</v>
      </c>
    </row>
    <row r="666">
      <c r="A666" s="10">
        <v>5.72417441E8</v>
      </c>
      <c r="B666" s="11">
        <v>0.054</v>
      </c>
      <c r="C666" s="11">
        <v>41.0</v>
      </c>
      <c r="D666" s="11">
        <v>0.115</v>
      </c>
      <c r="E666" s="7" t="s">
        <v>130</v>
      </c>
      <c r="F666" s="9" t="s">
        <v>62</v>
      </c>
      <c r="G666" s="5" t="s">
        <v>77</v>
      </c>
    </row>
    <row r="667">
      <c r="A667" s="10">
        <v>5.9112204E8</v>
      </c>
      <c r="B667" s="11">
        <v>0.054</v>
      </c>
      <c r="C667" s="11">
        <v>42.0</v>
      </c>
      <c r="D667" s="11">
        <v>0.113</v>
      </c>
      <c r="E667" s="7" t="s">
        <v>130</v>
      </c>
      <c r="F667" s="9" t="s">
        <v>63</v>
      </c>
      <c r="G667" s="5" t="s">
        <v>77</v>
      </c>
    </row>
    <row r="668">
      <c r="A668" s="10">
        <v>6.22044666E8</v>
      </c>
      <c r="B668" s="11">
        <v>0.062</v>
      </c>
      <c r="C668" s="11">
        <v>50.0</v>
      </c>
      <c r="D668" s="11">
        <v>0.113</v>
      </c>
      <c r="E668" s="7" t="s">
        <v>130</v>
      </c>
      <c r="F668" s="9" t="s">
        <v>64</v>
      </c>
      <c r="G668" s="5" t="s">
        <v>77</v>
      </c>
    </row>
    <row r="669">
      <c r="A669" s="10">
        <v>6.66072102E8</v>
      </c>
      <c r="B669" s="11">
        <v>0.068</v>
      </c>
      <c r="C669" s="11">
        <v>57.0</v>
      </c>
      <c r="D669" s="11">
        <v>0.112</v>
      </c>
      <c r="E669" s="7" t="s">
        <v>130</v>
      </c>
      <c r="F669" s="9" t="s">
        <v>65</v>
      </c>
      <c r="G669" s="5" t="s">
        <v>77</v>
      </c>
    </row>
    <row r="670">
      <c r="A670" s="10">
        <v>7.08633195E8</v>
      </c>
      <c r="B670" s="11">
        <v>0.072</v>
      </c>
      <c r="C670" s="11">
        <v>63.0</v>
      </c>
      <c r="D670" s="11">
        <v>0.112</v>
      </c>
      <c r="E670" s="7" t="s">
        <v>130</v>
      </c>
      <c r="F670" s="9" t="s">
        <v>66</v>
      </c>
      <c r="G670" s="5" t="s">
        <v>77</v>
      </c>
    </row>
    <row r="671">
      <c r="A671" s="10">
        <v>7.68873684E8</v>
      </c>
      <c r="B671" s="11">
        <v>0.071</v>
      </c>
      <c r="C671" s="11">
        <v>66.0</v>
      </c>
      <c r="D671" s="8"/>
      <c r="E671" s="7" t="s">
        <v>130</v>
      </c>
      <c r="F671" s="9" t="s">
        <v>67</v>
      </c>
      <c r="G671" s="5" t="s">
        <v>77</v>
      </c>
    </row>
    <row r="672">
      <c r="A672" s="10">
        <v>8.47918929E8</v>
      </c>
      <c r="B672" s="11">
        <v>0.077</v>
      </c>
      <c r="C672" s="11">
        <v>78.0</v>
      </c>
      <c r="D672" s="11">
        <v>0.112</v>
      </c>
      <c r="E672" s="7" t="s">
        <v>130</v>
      </c>
      <c r="F672" s="9" t="s">
        <v>68</v>
      </c>
      <c r="G672" s="5" t="s">
        <v>77</v>
      </c>
    </row>
    <row r="673">
      <c r="A673" s="10">
        <v>9.99105339E8</v>
      </c>
      <c r="B673" s="11">
        <v>0.08</v>
      </c>
      <c r="C673" s="11">
        <v>92.0</v>
      </c>
      <c r="D673" s="11">
        <v>0.116</v>
      </c>
      <c r="E673" s="7" t="s">
        <v>130</v>
      </c>
      <c r="F673" s="9" t="s">
        <v>69</v>
      </c>
      <c r="G673" s="5" t="s">
        <v>77</v>
      </c>
    </row>
    <row r="674">
      <c r="A674" s="10">
        <v>1.198997305E9</v>
      </c>
      <c r="B674" s="11">
        <v>0.083</v>
      </c>
      <c r="C674" s="11">
        <v>100.0</v>
      </c>
      <c r="D674" s="11">
        <v>0.111</v>
      </c>
      <c r="E674" s="7" t="s">
        <v>130</v>
      </c>
      <c r="F674" s="9" t="s">
        <v>70</v>
      </c>
      <c r="G674" s="5" t="s">
        <v>77</v>
      </c>
    </row>
    <row r="675">
      <c r="A675" s="10">
        <v>1.1286117E9</v>
      </c>
      <c r="B675" s="11">
        <v>0.088</v>
      </c>
      <c r="C675" s="11">
        <v>111.0</v>
      </c>
      <c r="D675" s="11">
        <v>0.103</v>
      </c>
      <c r="E675" s="7" t="s">
        <v>130</v>
      </c>
      <c r="F675" s="9" t="s">
        <v>71</v>
      </c>
      <c r="G675" s="5" t="s">
        <v>77</v>
      </c>
    </row>
    <row r="676">
      <c r="A676" s="10">
        <v>1.239144502E9</v>
      </c>
      <c r="B676" s="11">
        <v>0.087</v>
      </c>
      <c r="C676" s="11">
        <v>119.0</v>
      </c>
      <c r="D676" s="11">
        <v>0.106</v>
      </c>
      <c r="E676" s="7" t="s">
        <v>130</v>
      </c>
      <c r="F676" s="9" t="s">
        <v>72</v>
      </c>
      <c r="G676" s="5" t="s">
        <v>77</v>
      </c>
    </row>
    <row r="677">
      <c r="A677" s="10">
        <v>1.353632942E9</v>
      </c>
      <c r="B677" s="11">
        <v>0.088</v>
      </c>
      <c r="C677" s="11">
        <v>129.0</v>
      </c>
      <c r="D677" s="8"/>
      <c r="E677" s="7" t="s">
        <v>130</v>
      </c>
      <c r="F677" s="9" t="s">
        <v>73</v>
      </c>
      <c r="G677" s="5" t="s">
        <v>77</v>
      </c>
    </row>
    <row r="678">
      <c r="A678" s="10">
        <v>3.24463833E8</v>
      </c>
      <c r="B678" s="11">
        <v>0.05</v>
      </c>
      <c r="C678" s="11">
        <v>231.0</v>
      </c>
      <c r="D678" s="11">
        <v>0.117</v>
      </c>
      <c r="E678" s="7" t="s">
        <v>131</v>
      </c>
      <c r="F678" s="9" t="s">
        <v>60</v>
      </c>
      <c r="G678" s="5" t="s">
        <v>84</v>
      </c>
    </row>
    <row r="679">
      <c r="A679" s="10">
        <v>3.3094985E8</v>
      </c>
      <c r="B679" s="11">
        <v>0.05</v>
      </c>
      <c r="C679" s="11">
        <v>236.0</v>
      </c>
      <c r="D679" s="11">
        <v>0.111</v>
      </c>
      <c r="E679" s="7" t="s">
        <v>131</v>
      </c>
      <c r="F679" s="9" t="s">
        <v>62</v>
      </c>
      <c r="G679" s="5" t="s">
        <v>84</v>
      </c>
    </row>
    <row r="680">
      <c r="A680" s="10">
        <v>3.26998081E8</v>
      </c>
      <c r="B680" s="11">
        <v>0.051</v>
      </c>
      <c r="C680" s="11">
        <v>237.0</v>
      </c>
      <c r="D680" s="11">
        <v>0.11</v>
      </c>
      <c r="E680" s="7" t="s">
        <v>131</v>
      </c>
      <c r="F680" s="9" t="s">
        <v>63</v>
      </c>
      <c r="G680" s="5" t="s">
        <v>84</v>
      </c>
    </row>
    <row r="681">
      <c r="A681" s="10">
        <v>3.40803913E8</v>
      </c>
      <c r="B681" s="11">
        <v>0.049</v>
      </c>
      <c r="C681" s="11">
        <v>240.0</v>
      </c>
      <c r="D681" s="11">
        <v>0.115</v>
      </c>
      <c r="E681" s="7" t="s">
        <v>131</v>
      </c>
      <c r="F681" s="9" t="s">
        <v>64</v>
      </c>
      <c r="G681" s="5" t="s">
        <v>84</v>
      </c>
    </row>
    <row r="682">
      <c r="A682" s="10">
        <v>3.66976849E8</v>
      </c>
      <c r="B682" s="11">
        <v>0.047</v>
      </c>
      <c r="C682" s="11">
        <v>243.0</v>
      </c>
      <c r="D682" s="11">
        <v>0.089</v>
      </c>
      <c r="E682" s="7" t="s">
        <v>131</v>
      </c>
      <c r="F682" s="9" t="s">
        <v>65</v>
      </c>
      <c r="G682" s="5" t="s">
        <v>84</v>
      </c>
    </row>
    <row r="683">
      <c r="A683" s="10">
        <v>3.61615918E8</v>
      </c>
      <c r="B683" s="11">
        <v>0.05</v>
      </c>
      <c r="C683" s="11">
        <v>255.0</v>
      </c>
      <c r="D683" s="11">
        <v>0.099</v>
      </c>
      <c r="E683" s="7" t="s">
        <v>131</v>
      </c>
      <c r="F683" s="9" t="s">
        <v>66</v>
      </c>
      <c r="G683" s="5" t="s">
        <v>84</v>
      </c>
    </row>
    <row r="684">
      <c r="A684" s="10">
        <v>3.8229914E8</v>
      </c>
      <c r="B684" s="11">
        <v>0.05</v>
      </c>
      <c r="C684" s="11">
        <v>271.0</v>
      </c>
      <c r="D684" s="11">
        <v>0.095</v>
      </c>
      <c r="E684" s="7" t="s">
        <v>131</v>
      </c>
      <c r="F684" s="9" t="s">
        <v>67</v>
      </c>
      <c r="G684" s="5" t="s">
        <v>84</v>
      </c>
    </row>
    <row r="685">
      <c r="A685" s="10">
        <v>4.12592593E8</v>
      </c>
      <c r="B685" s="11">
        <v>0.051</v>
      </c>
      <c r="C685" s="11">
        <v>298.0</v>
      </c>
      <c r="D685" s="11">
        <v>0.092</v>
      </c>
      <c r="E685" s="7" t="s">
        <v>131</v>
      </c>
      <c r="F685" s="9" t="s">
        <v>68</v>
      </c>
      <c r="G685" s="5" t="s">
        <v>84</v>
      </c>
    </row>
    <row r="686">
      <c r="A686" s="10">
        <v>4.52222222E8</v>
      </c>
      <c r="B686" s="11">
        <v>0.049</v>
      </c>
      <c r="C686" s="11">
        <v>316.0</v>
      </c>
      <c r="D686" s="11">
        <v>0.091</v>
      </c>
      <c r="E686" s="7" t="s">
        <v>131</v>
      </c>
      <c r="F686" s="9" t="s">
        <v>69</v>
      </c>
      <c r="G686" s="5" t="s">
        <v>84</v>
      </c>
    </row>
    <row r="687">
      <c r="A687" s="10">
        <v>4.82592593E8</v>
      </c>
      <c r="B687" s="11">
        <v>0.05</v>
      </c>
      <c r="C687" s="11">
        <v>342.0</v>
      </c>
      <c r="D687" s="11">
        <v>0.1</v>
      </c>
      <c r="E687" s="7" t="s">
        <v>131</v>
      </c>
      <c r="F687" s="9" t="s">
        <v>70</v>
      </c>
      <c r="G687" s="5" t="s">
        <v>84</v>
      </c>
    </row>
    <row r="688">
      <c r="A688" s="10">
        <v>4.75185185E8</v>
      </c>
      <c r="B688" s="11">
        <v>0.06</v>
      </c>
      <c r="C688" s="11">
        <v>400.0</v>
      </c>
      <c r="D688" s="11">
        <v>0.095</v>
      </c>
      <c r="E688" s="7" t="s">
        <v>131</v>
      </c>
      <c r="F688" s="9" t="s">
        <v>71</v>
      </c>
      <c r="G688" s="5" t="s">
        <v>84</v>
      </c>
    </row>
    <row r="689">
      <c r="A689" s="10">
        <v>4.91481481E8</v>
      </c>
      <c r="B689" s="11">
        <v>0.06</v>
      </c>
      <c r="C689" s="11">
        <v>402.0</v>
      </c>
      <c r="D689" s="11">
        <v>0.088</v>
      </c>
      <c r="E689" s="7" t="s">
        <v>131</v>
      </c>
      <c r="F689" s="9" t="s">
        <v>72</v>
      </c>
      <c r="G689" s="5" t="s">
        <v>84</v>
      </c>
    </row>
    <row r="690">
      <c r="A690" s="10">
        <v>4.95555556E8</v>
      </c>
      <c r="B690" s="11">
        <v>0.059</v>
      </c>
      <c r="C690" s="11">
        <v>392.0</v>
      </c>
      <c r="D690" s="11">
        <v>0.09</v>
      </c>
      <c r="E690" s="7" t="s">
        <v>131</v>
      </c>
      <c r="F690" s="9" t="s">
        <v>73</v>
      </c>
      <c r="G690" s="5" t="s">
        <v>84</v>
      </c>
    </row>
    <row r="691">
      <c r="A691" s="10">
        <v>2.3996656676E10</v>
      </c>
      <c r="B691" s="11">
        <v>0.063</v>
      </c>
      <c r="C691" s="11">
        <v>173.0</v>
      </c>
      <c r="D691" s="11">
        <v>0.268</v>
      </c>
      <c r="E691" s="7" t="s">
        <v>132</v>
      </c>
      <c r="F691" s="9" t="s">
        <v>60</v>
      </c>
      <c r="G691" s="5" t="s">
        <v>84</v>
      </c>
    </row>
    <row r="692">
      <c r="A692" s="10">
        <v>2.4894907435E10</v>
      </c>
      <c r="B692" s="11">
        <v>0.062</v>
      </c>
      <c r="C692" s="11">
        <v>173.0</v>
      </c>
      <c r="D692" s="11">
        <v>0.243</v>
      </c>
      <c r="E692" s="7" t="s">
        <v>132</v>
      </c>
      <c r="F692" s="9" t="s">
        <v>62</v>
      </c>
      <c r="G692" s="5" t="s">
        <v>84</v>
      </c>
    </row>
    <row r="693">
      <c r="A693" s="10">
        <v>2.6570402719E10</v>
      </c>
      <c r="B693" s="11">
        <v>0.063</v>
      </c>
      <c r="C693" s="11">
        <v>176.0</v>
      </c>
      <c r="D693" s="11">
        <v>0.261</v>
      </c>
      <c r="E693" s="7" t="s">
        <v>132</v>
      </c>
      <c r="F693" s="9" t="s">
        <v>63</v>
      </c>
      <c r="G693" s="5" t="s">
        <v>84</v>
      </c>
    </row>
    <row r="694">
      <c r="A694" s="10">
        <v>2.1268012747E10</v>
      </c>
      <c r="B694" s="11">
        <v>0.065</v>
      </c>
      <c r="C694" s="11">
        <v>143.0</v>
      </c>
      <c r="D694" s="11">
        <v>0.314</v>
      </c>
      <c r="E694" s="7" t="s">
        <v>132</v>
      </c>
      <c r="F694" s="9" t="s">
        <v>64</v>
      </c>
      <c r="G694" s="5" t="s">
        <v>84</v>
      </c>
    </row>
    <row r="695">
      <c r="A695" s="10">
        <v>2.2163928097E10</v>
      </c>
      <c r="B695" s="11">
        <v>0.051</v>
      </c>
      <c r="C695" s="11">
        <v>120.0</v>
      </c>
      <c r="D695" s="11">
        <v>0.326</v>
      </c>
      <c r="E695" s="7" t="s">
        <v>132</v>
      </c>
      <c r="F695" s="9" t="s">
        <v>65</v>
      </c>
      <c r="G695" s="5" t="s">
        <v>84</v>
      </c>
    </row>
    <row r="696">
      <c r="A696" s="10">
        <v>3.3969724872E10</v>
      </c>
      <c r="B696" s="11">
        <v>0.053</v>
      </c>
      <c r="C696" s="11">
        <v>188.0</v>
      </c>
      <c r="D696" s="11">
        <v>0.241</v>
      </c>
      <c r="E696" s="7" t="s">
        <v>132</v>
      </c>
      <c r="F696" s="9" t="s">
        <v>66</v>
      </c>
      <c r="G696" s="5" t="s">
        <v>84</v>
      </c>
    </row>
    <row r="697">
      <c r="A697" s="10">
        <v>3.5965041793E10</v>
      </c>
      <c r="B697" s="11">
        <v>0.052</v>
      </c>
      <c r="C697" s="11">
        <v>197.0</v>
      </c>
      <c r="D697" s="11">
        <v>0.195</v>
      </c>
      <c r="E697" s="7" t="s">
        <v>132</v>
      </c>
      <c r="F697" s="9" t="s">
        <v>67</v>
      </c>
      <c r="G697" s="5" t="s">
        <v>84</v>
      </c>
    </row>
    <row r="698">
      <c r="A698" s="10">
        <v>4.1320673508E10</v>
      </c>
      <c r="B698" s="11">
        <v>0.05</v>
      </c>
      <c r="C698" s="11">
        <v>212.0</v>
      </c>
      <c r="D698" s="11">
        <v>0.158</v>
      </c>
      <c r="E698" s="7" t="s">
        <v>132</v>
      </c>
      <c r="F698" s="9" t="s">
        <v>68</v>
      </c>
      <c r="G698" s="5" t="s">
        <v>84</v>
      </c>
    </row>
    <row r="699">
      <c r="A699" s="10">
        <v>4.5796187338E10</v>
      </c>
      <c r="B699" s="11">
        <v>0.053</v>
      </c>
      <c r="C699" s="11">
        <v>244.0</v>
      </c>
      <c r="D699" s="11">
        <v>0.199</v>
      </c>
      <c r="E699" s="7" t="s">
        <v>132</v>
      </c>
      <c r="F699" s="9" t="s">
        <v>69</v>
      </c>
      <c r="G699" s="5" t="s">
        <v>84</v>
      </c>
    </row>
    <row r="700">
      <c r="A700" s="10">
        <v>4.6484962937E10</v>
      </c>
      <c r="B700" s="11">
        <v>0.054</v>
      </c>
      <c r="C700" s="11">
        <v>256.0</v>
      </c>
      <c r="D700" s="11">
        <v>0.181</v>
      </c>
      <c r="E700" s="7" t="s">
        <v>132</v>
      </c>
      <c r="F700" s="9" t="s">
        <v>70</v>
      </c>
      <c r="G700" s="5" t="s">
        <v>84</v>
      </c>
    </row>
    <row r="701">
      <c r="A701" s="10">
        <v>5.0980167048E10</v>
      </c>
      <c r="B701" s="11">
        <v>0.055</v>
      </c>
      <c r="C701" s="11">
        <v>278.0</v>
      </c>
      <c r="D701" s="11">
        <v>0.121</v>
      </c>
      <c r="E701" s="7" t="s">
        <v>132</v>
      </c>
      <c r="F701" s="9" t="s">
        <v>71</v>
      </c>
      <c r="G701" s="5" t="s">
        <v>84</v>
      </c>
    </row>
    <row r="702">
      <c r="A702" s="10">
        <v>5.5433248935E10</v>
      </c>
      <c r="B702" s="11">
        <v>0.054</v>
      </c>
      <c r="C702" s="11">
        <v>293.0</v>
      </c>
      <c r="D702" s="11">
        <v>0.156</v>
      </c>
      <c r="E702" s="7" t="s">
        <v>132</v>
      </c>
      <c r="F702" s="9" t="s">
        <v>72</v>
      </c>
      <c r="G702" s="5" t="s">
        <v>84</v>
      </c>
    </row>
    <row r="703">
      <c r="A703" s="10">
        <v>5.8920504571E10</v>
      </c>
      <c r="B703" s="11">
        <v>0.054</v>
      </c>
      <c r="C703" s="11">
        <v>310.0</v>
      </c>
      <c r="D703" s="11">
        <v>0.155</v>
      </c>
      <c r="E703" s="7" t="s">
        <v>132</v>
      </c>
      <c r="F703" s="9" t="s">
        <v>73</v>
      </c>
      <c r="G703" s="5" t="s">
        <v>84</v>
      </c>
    </row>
    <row r="704">
      <c r="A704" s="10">
        <v>1.8327386416E10</v>
      </c>
      <c r="B704" s="11">
        <v>0.036</v>
      </c>
      <c r="C704" s="11">
        <v>53.0</v>
      </c>
      <c r="D704" s="11">
        <v>0.171</v>
      </c>
      <c r="E704" s="7" t="s">
        <v>133</v>
      </c>
      <c r="F704" s="9" t="s">
        <v>60</v>
      </c>
      <c r="G704" s="5" t="s">
        <v>84</v>
      </c>
    </row>
    <row r="705">
      <c r="A705" s="10">
        <v>2.4468324E10</v>
      </c>
      <c r="B705" s="11">
        <v>0.04</v>
      </c>
      <c r="C705" s="11">
        <v>77.0</v>
      </c>
      <c r="D705" s="11">
        <v>0.162</v>
      </c>
      <c r="E705" s="7" t="s">
        <v>133</v>
      </c>
      <c r="F705" s="9" t="s">
        <v>62</v>
      </c>
      <c r="G705" s="5" t="s">
        <v>84</v>
      </c>
    </row>
    <row r="706">
      <c r="A706" s="10">
        <v>2.8548945E10</v>
      </c>
      <c r="B706" s="11">
        <v>0.048</v>
      </c>
      <c r="C706" s="11">
        <v>105.0</v>
      </c>
      <c r="D706" s="11">
        <v>0.158</v>
      </c>
      <c r="E706" s="7" t="s">
        <v>133</v>
      </c>
      <c r="F706" s="9" t="s">
        <v>63</v>
      </c>
      <c r="G706" s="5" t="s">
        <v>84</v>
      </c>
    </row>
    <row r="707">
      <c r="A707" s="10">
        <v>3.2432859E10</v>
      </c>
      <c r="B707" s="11">
        <v>0.067</v>
      </c>
      <c r="C707" s="11">
        <v>164.0</v>
      </c>
      <c r="D707" s="11">
        <v>0.136</v>
      </c>
      <c r="E707" s="7" t="s">
        <v>133</v>
      </c>
      <c r="F707" s="9" t="s">
        <v>64</v>
      </c>
      <c r="G707" s="5" t="s">
        <v>84</v>
      </c>
    </row>
    <row r="708">
      <c r="A708" s="10">
        <v>3.6591661E10</v>
      </c>
      <c r="B708" s="11">
        <v>0.066</v>
      </c>
      <c r="C708" s="11">
        <v>178.0</v>
      </c>
      <c r="D708" s="11">
        <v>0.1</v>
      </c>
      <c r="E708" s="7" t="s">
        <v>133</v>
      </c>
      <c r="F708" s="9" t="s">
        <v>65</v>
      </c>
      <c r="G708" s="5" t="s">
        <v>84</v>
      </c>
    </row>
    <row r="709">
      <c r="A709" s="10">
        <v>4.1507085E10</v>
      </c>
      <c r="B709" s="11">
        <v>0.063</v>
      </c>
      <c r="C709" s="11">
        <v>190.0</v>
      </c>
      <c r="D709" s="11">
        <v>0.096</v>
      </c>
      <c r="E709" s="7" t="s">
        <v>133</v>
      </c>
      <c r="F709" s="9" t="s">
        <v>66</v>
      </c>
      <c r="G709" s="5" t="s">
        <v>84</v>
      </c>
    </row>
    <row r="710">
      <c r="A710" s="10">
        <v>4.6802044E10</v>
      </c>
      <c r="B710" s="11">
        <v>0.065</v>
      </c>
      <c r="C710" s="11">
        <v>216.0</v>
      </c>
      <c r="D710" s="11">
        <v>0.098</v>
      </c>
      <c r="E710" s="7" t="s">
        <v>133</v>
      </c>
      <c r="F710" s="9" t="s">
        <v>67</v>
      </c>
      <c r="G710" s="5" t="s">
        <v>84</v>
      </c>
    </row>
    <row r="711">
      <c r="A711" s="10">
        <v>5.1007777E10</v>
      </c>
      <c r="B711" s="11">
        <v>0.067</v>
      </c>
      <c r="C711" s="11">
        <v>241.0</v>
      </c>
      <c r="D711" s="8"/>
      <c r="E711" s="7" t="s">
        <v>133</v>
      </c>
      <c r="F711" s="9" t="s">
        <v>68</v>
      </c>
      <c r="G711" s="5" t="s">
        <v>84</v>
      </c>
    </row>
    <row r="712">
      <c r="A712" s="10">
        <v>6.1762635E10</v>
      </c>
      <c r="B712" s="11">
        <v>0.063</v>
      </c>
      <c r="C712" s="11">
        <v>268.0</v>
      </c>
      <c r="D712" s="8"/>
      <c r="E712" s="7" t="s">
        <v>133</v>
      </c>
      <c r="F712" s="9" t="s">
        <v>69</v>
      </c>
      <c r="G712" s="5" t="s">
        <v>84</v>
      </c>
    </row>
    <row r="713">
      <c r="A713" s="10">
        <v>6.2519686E10</v>
      </c>
      <c r="B713" s="11">
        <v>0.071</v>
      </c>
      <c r="C713" s="11">
        <v>302.0</v>
      </c>
      <c r="D713" s="8"/>
      <c r="E713" s="7" t="s">
        <v>133</v>
      </c>
      <c r="F713" s="9" t="s">
        <v>70</v>
      </c>
      <c r="G713" s="5" t="s">
        <v>84</v>
      </c>
    </row>
    <row r="714">
      <c r="A714" s="10">
        <v>6.7513698E10</v>
      </c>
      <c r="B714" s="11">
        <v>0.072</v>
      </c>
      <c r="C714" s="11">
        <v>335.0</v>
      </c>
      <c r="D714" s="8"/>
      <c r="E714" s="7" t="s">
        <v>133</v>
      </c>
      <c r="F714" s="9" t="s">
        <v>71</v>
      </c>
      <c r="G714" s="5" t="s">
        <v>84</v>
      </c>
    </row>
    <row r="715">
      <c r="A715" s="10">
        <v>7.6769729E10</v>
      </c>
      <c r="B715" s="11">
        <v>0.069</v>
      </c>
      <c r="C715" s="11">
        <v>362.0</v>
      </c>
      <c r="D715" s="8"/>
      <c r="E715" s="7" t="s">
        <v>133</v>
      </c>
      <c r="F715" s="9" t="s">
        <v>72</v>
      </c>
      <c r="G715" s="5" t="s">
        <v>84</v>
      </c>
    </row>
    <row r="716">
      <c r="A716" s="10">
        <v>8.4039856E10</v>
      </c>
      <c r="B716" s="11">
        <v>0.064</v>
      </c>
      <c r="C716" s="11">
        <v>361.0</v>
      </c>
      <c r="D716" s="8"/>
      <c r="E716" s="7" t="s">
        <v>133</v>
      </c>
      <c r="F716" s="9" t="s">
        <v>73</v>
      </c>
      <c r="G716" s="5" t="s">
        <v>84</v>
      </c>
    </row>
    <row r="717">
      <c r="A717" s="10">
        <v>9.9838540997E10</v>
      </c>
      <c r="B717" s="11">
        <v>0.054</v>
      </c>
      <c r="C717" s="11">
        <v>79.0</v>
      </c>
      <c r="D717" s="11">
        <v>0.132</v>
      </c>
      <c r="E717" s="7" t="s">
        <v>134</v>
      </c>
      <c r="F717" s="9" t="s">
        <v>60</v>
      </c>
      <c r="G717" s="5" t="s">
        <v>77</v>
      </c>
    </row>
    <row r="718">
      <c r="A718" s="10">
        <v>9.7632008051E10</v>
      </c>
      <c r="B718" s="11">
        <v>0.058</v>
      </c>
      <c r="C718" s="11">
        <v>76.0</v>
      </c>
      <c r="D718" s="11">
        <v>0.133</v>
      </c>
      <c r="E718" s="7" t="s">
        <v>134</v>
      </c>
      <c r="F718" s="9" t="s">
        <v>62</v>
      </c>
      <c r="G718" s="5" t="s">
        <v>77</v>
      </c>
    </row>
    <row r="719">
      <c r="A719" s="10">
        <v>8.7850680573E10</v>
      </c>
      <c r="B719" s="11">
        <v>0.061</v>
      </c>
      <c r="C719" s="11">
        <v>74.0</v>
      </c>
      <c r="D719" s="11">
        <v>0.138</v>
      </c>
      <c r="E719" s="7" t="s">
        <v>134</v>
      </c>
      <c r="F719" s="9" t="s">
        <v>63</v>
      </c>
      <c r="G719" s="5" t="s">
        <v>77</v>
      </c>
    </row>
    <row r="720">
      <c r="A720" s="10">
        <v>8.2923680622E10</v>
      </c>
      <c r="B720" s="11">
        <v>0.056</v>
      </c>
      <c r="C720" s="11">
        <v>56.0</v>
      </c>
      <c r="D720" s="11">
        <v>0.135</v>
      </c>
      <c r="E720" s="7" t="s">
        <v>134</v>
      </c>
      <c r="F720" s="9" t="s">
        <v>64</v>
      </c>
      <c r="G720" s="5" t="s">
        <v>77</v>
      </c>
    </row>
    <row r="721">
      <c r="A721" s="10">
        <v>7.8845185709E10</v>
      </c>
      <c r="B721" s="11">
        <v>0.053</v>
      </c>
      <c r="C721" s="11">
        <v>57.0</v>
      </c>
      <c r="D721" s="11">
        <v>0.134</v>
      </c>
      <c r="E721" s="7" t="s">
        <v>134</v>
      </c>
      <c r="F721" s="9" t="s">
        <v>65</v>
      </c>
      <c r="G721" s="5" t="s">
        <v>77</v>
      </c>
    </row>
    <row r="722">
      <c r="A722" s="10">
        <v>8.9685724889E10</v>
      </c>
      <c r="B722" s="11">
        <v>0.051</v>
      </c>
      <c r="C722" s="11">
        <v>64.0</v>
      </c>
      <c r="D722" s="11">
        <v>0.131</v>
      </c>
      <c r="E722" s="7" t="s">
        <v>134</v>
      </c>
      <c r="F722" s="9" t="s">
        <v>66</v>
      </c>
      <c r="G722" s="5" t="s">
        <v>77</v>
      </c>
    </row>
    <row r="723">
      <c r="A723" s="10">
        <v>1.07E11</v>
      </c>
      <c r="B723" s="11">
        <v>0.052</v>
      </c>
      <c r="C723" s="11">
        <v>75.0</v>
      </c>
      <c r="D723" s="11">
        <v>0.126</v>
      </c>
      <c r="E723" s="7" t="s">
        <v>134</v>
      </c>
      <c r="F723" s="9" t="s">
        <v>67</v>
      </c>
      <c r="G723" s="5" t="s">
        <v>77</v>
      </c>
    </row>
    <row r="724">
      <c r="A724" s="10">
        <v>1.3E11</v>
      </c>
      <c r="B724" s="11">
        <v>0.049</v>
      </c>
      <c r="C724" s="11">
        <v>85.0</v>
      </c>
      <c r="D724" s="11">
        <v>0.125</v>
      </c>
      <c r="E724" s="7" t="s">
        <v>134</v>
      </c>
      <c r="F724" s="9" t="s">
        <v>68</v>
      </c>
      <c r="G724" s="5" t="s">
        <v>77</v>
      </c>
    </row>
    <row r="725">
      <c r="A725" s="10">
        <v>1.63E11</v>
      </c>
      <c r="B725" s="11">
        <v>0.048</v>
      </c>
      <c r="C725" s="11">
        <v>101.0</v>
      </c>
      <c r="D725" s="11">
        <v>0.123</v>
      </c>
      <c r="E725" s="7" t="s">
        <v>134</v>
      </c>
      <c r="F725" s="9" t="s">
        <v>69</v>
      </c>
      <c r="G725" s="5" t="s">
        <v>77</v>
      </c>
    </row>
    <row r="726">
      <c r="A726" s="10">
        <v>1.89E11</v>
      </c>
      <c r="B726" s="11">
        <v>0.05</v>
      </c>
      <c r="C726" s="11">
        <v>118.0</v>
      </c>
      <c r="D726" s="11">
        <v>0.12</v>
      </c>
      <c r="E726" s="7" t="s">
        <v>134</v>
      </c>
      <c r="F726" s="9" t="s">
        <v>70</v>
      </c>
      <c r="G726" s="5" t="s">
        <v>77</v>
      </c>
    </row>
    <row r="727">
      <c r="A727" s="10">
        <v>2.19E11</v>
      </c>
      <c r="B727" s="11">
        <v>0.048</v>
      </c>
      <c r="C727" s="11">
        <v>126.0</v>
      </c>
      <c r="D727" s="11">
        <v>0.11</v>
      </c>
      <c r="E727" s="7" t="s">
        <v>134</v>
      </c>
      <c r="F727" s="9" t="s">
        <v>71</v>
      </c>
      <c r="G727" s="5" t="s">
        <v>77</v>
      </c>
    </row>
    <row r="728">
      <c r="A728" s="10">
        <v>2.36E11</v>
      </c>
      <c r="B728" s="11">
        <v>0.049</v>
      </c>
      <c r="C728" s="11">
        <v>137.0</v>
      </c>
      <c r="D728" s="11">
        <v>0.11</v>
      </c>
      <c r="E728" s="7" t="s">
        <v>134</v>
      </c>
      <c r="F728" s="9" t="s">
        <v>72</v>
      </c>
      <c r="G728" s="5" t="s">
        <v>77</v>
      </c>
    </row>
    <row r="729">
      <c r="A729" s="10">
        <v>2.63E11</v>
      </c>
      <c r="B729" s="11">
        <v>0.05</v>
      </c>
      <c r="C729" s="11">
        <v>152.0</v>
      </c>
      <c r="D729" s="11">
        <v>0.12</v>
      </c>
      <c r="E729" s="7" t="s">
        <v>134</v>
      </c>
      <c r="F729" s="9" t="s">
        <v>73</v>
      </c>
      <c r="G729" s="5" t="s">
        <v>77</v>
      </c>
    </row>
    <row r="730">
      <c r="A730" s="10">
        <v>1.31341E10</v>
      </c>
      <c r="B730" s="11">
        <v>0.081</v>
      </c>
      <c r="C730" s="11">
        <v>179.0</v>
      </c>
      <c r="D730" s="11">
        <v>0.14</v>
      </c>
      <c r="E730" s="7" t="s">
        <v>135</v>
      </c>
      <c r="F730" s="9" t="s">
        <v>60</v>
      </c>
      <c r="G730" s="5" t="s">
        <v>84</v>
      </c>
    </row>
    <row r="731">
      <c r="A731" s="10">
        <v>1.38127E10</v>
      </c>
      <c r="B731" s="11">
        <v>0.08</v>
      </c>
      <c r="C731" s="11">
        <v>184.0</v>
      </c>
      <c r="D731" s="8"/>
      <c r="E731" s="7" t="s">
        <v>135</v>
      </c>
      <c r="F731" s="9" t="s">
        <v>62</v>
      </c>
      <c r="G731" s="5" t="s">
        <v>84</v>
      </c>
    </row>
    <row r="732">
      <c r="A732" s="10">
        <v>1.43067E10</v>
      </c>
      <c r="B732" s="11">
        <v>0.077</v>
      </c>
      <c r="C732" s="11">
        <v>184.0</v>
      </c>
      <c r="D732" s="8"/>
      <c r="E732" s="7" t="s">
        <v>135</v>
      </c>
      <c r="F732" s="9" t="s">
        <v>63</v>
      </c>
      <c r="G732" s="5" t="s">
        <v>84</v>
      </c>
    </row>
    <row r="733">
      <c r="A733" s="10">
        <v>1.50467E10</v>
      </c>
      <c r="B733" s="11">
        <v>0.073</v>
      </c>
      <c r="C733" s="11">
        <v>182.0</v>
      </c>
      <c r="D733" s="8"/>
      <c r="E733" s="7" t="s">
        <v>135</v>
      </c>
      <c r="F733" s="9" t="s">
        <v>64</v>
      </c>
      <c r="G733" s="5" t="s">
        <v>84</v>
      </c>
    </row>
    <row r="734">
      <c r="A734" s="10">
        <v>1.57983E10</v>
      </c>
      <c r="B734" s="11">
        <v>0.073</v>
      </c>
      <c r="C734" s="11">
        <v>191.0</v>
      </c>
      <c r="D734" s="8"/>
      <c r="E734" s="7" t="s">
        <v>135</v>
      </c>
      <c r="F734" s="9" t="s">
        <v>65</v>
      </c>
      <c r="G734" s="5" t="s">
        <v>84</v>
      </c>
    </row>
    <row r="735">
      <c r="A735" s="10">
        <v>1.70938E10</v>
      </c>
      <c r="B735" s="11">
        <v>0.072</v>
      </c>
      <c r="C735" s="11">
        <v>202.0</v>
      </c>
      <c r="D735" s="8"/>
      <c r="E735" s="7" t="s">
        <v>135</v>
      </c>
      <c r="F735" s="9" t="s">
        <v>66</v>
      </c>
      <c r="G735" s="5" t="s">
        <v>84</v>
      </c>
    </row>
    <row r="736">
      <c r="A736" s="10">
        <v>1.85507E10</v>
      </c>
      <c r="B736" s="11">
        <v>0.067</v>
      </c>
      <c r="C736" s="11">
        <v>203.0</v>
      </c>
      <c r="D736" s="8"/>
      <c r="E736" s="7" t="s">
        <v>135</v>
      </c>
      <c r="F736" s="9" t="s">
        <v>67</v>
      </c>
      <c r="G736" s="5" t="s">
        <v>84</v>
      </c>
    </row>
    <row r="737">
      <c r="A737" s="10">
        <v>2.01049E10</v>
      </c>
      <c r="B737" s="11">
        <v>0.063</v>
      </c>
      <c r="C737" s="11">
        <v>207.0</v>
      </c>
      <c r="D737" s="8"/>
      <c r="E737" s="7" t="s">
        <v>135</v>
      </c>
      <c r="F737" s="9" t="s">
        <v>68</v>
      </c>
      <c r="G737" s="5" t="s">
        <v>84</v>
      </c>
    </row>
    <row r="738">
      <c r="A738" s="10">
        <v>2.1431E10</v>
      </c>
      <c r="B738" s="11">
        <v>0.062</v>
      </c>
      <c r="C738" s="11">
        <v>216.0</v>
      </c>
      <c r="D738" s="8"/>
      <c r="E738" s="7" t="s">
        <v>135</v>
      </c>
      <c r="F738" s="9" t="s">
        <v>69</v>
      </c>
      <c r="G738" s="5" t="s">
        <v>84</v>
      </c>
    </row>
    <row r="739">
      <c r="A739" s="10">
        <v>2.0661E10</v>
      </c>
      <c r="B739" s="11">
        <v>0.068</v>
      </c>
      <c r="C739" s="11">
        <v>228.0</v>
      </c>
      <c r="D739" s="8"/>
      <c r="E739" s="7" t="s">
        <v>135</v>
      </c>
      <c r="F739" s="9" t="s">
        <v>70</v>
      </c>
      <c r="G739" s="5" t="s">
        <v>84</v>
      </c>
    </row>
    <row r="740">
      <c r="A740" s="10">
        <v>2.14183E10</v>
      </c>
      <c r="B740" s="11">
        <v>0.069</v>
      </c>
      <c r="C740" s="11">
        <v>238.0</v>
      </c>
      <c r="D740" s="8"/>
      <c r="E740" s="7" t="s">
        <v>135</v>
      </c>
      <c r="F740" s="9" t="s">
        <v>71</v>
      </c>
      <c r="G740" s="5" t="s">
        <v>84</v>
      </c>
    </row>
    <row r="741">
      <c r="A741" s="10">
        <v>2.3139E10</v>
      </c>
      <c r="B741" s="11">
        <v>0.068</v>
      </c>
      <c r="C741" s="11">
        <v>252.0</v>
      </c>
      <c r="D741" s="8"/>
      <c r="E741" s="7" t="s">
        <v>135</v>
      </c>
      <c r="F741" s="9" t="s">
        <v>72</v>
      </c>
      <c r="G741" s="5" t="s">
        <v>84</v>
      </c>
    </row>
    <row r="742">
      <c r="A742" s="10">
        <v>2.38136E10</v>
      </c>
      <c r="B742" s="11">
        <v>0.067</v>
      </c>
      <c r="C742" s="11">
        <v>254.0</v>
      </c>
      <c r="D742" s="8"/>
      <c r="E742" s="7" t="s">
        <v>135</v>
      </c>
      <c r="F742" s="9" t="s">
        <v>73</v>
      </c>
      <c r="G742" s="5" t="s">
        <v>84</v>
      </c>
    </row>
    <row r="743">
      <c r="A743" s="10">
        <v>1.045998534E9</v>
      </c>
      <c r="B743" s="11">
        <v>0.024</v>
      </c>
      <c r="C743" s="11">
        <v>57.0</v>
      </c>
      <c r="D743" s="11">
        <v>0.22</v>
      </c>
      <c r="E743" s="7" t="s">
        <v>136</v>
      </c>
      <c r="F743" s="9" t="s">
        <v>60</v>
      </c>
      <c r="G743" s="5" t="s">
        <v>77</v>
      </c>
    </row>
    <row r="744">
      <c r="A744" s="10">
        <v>1.461139008E9</v>
      </c>
      <c r="B744" s="11">
        <v>0.015</v>
      </c>
      <c r="C744" s="11">
        <v>50.0</v>
      </c>
      <c r="D744" s="11">
        <v>0.207</v>
      </c>
      <c r="E744" s="7" t="s">
        <v>136</v>
      </c>
      <c r="F744" s="9" t="s">
        <v>62</v>
      </c>
      <c r="G744" s="5" t="s">
        <v>77</v>
      </c>
    </row>
    <row r="745">
      <c r="A745" s="10">
        <v>1.806742733E9</v>
      </c>
      <c r="B745" s="11">
        <v>0.018</v>
      </c>
      <c r="C745" s="11">
        <v>71.0</v>
      </c>
      <c r="D745" s="11">
        <v>0.18</v>
      </c>
      <c r="E745" s="7" t="s">
        <v>136</v>
      </c>
      <c r="F745" s="9" t="s">
        <v>63</v>
      </c>
      <c r="G745" s="5" t="s">
        <v>77</v>
      </c>
    </row>
    <row r="746">
      <c r="A746" s="10">
        <v>2.484745876E9</v>
      </c>
      <c r="B746" s="11">
        <v>0.02</v>
      </c>
      <c r="C746" s="11">
        <v>101.0</v>
      </c>
      <c r="D746" s="11">
        <v>0.18</v>
      </c>
      <c r="E746" s="7" t="s">
        <v>136</v>
      </c>
      <c r="F746" s="9" t="s">
        <v>64</v>
      </c>
      <c r="G746" s="5" t="s">
        <v>77</v>
      </c>
    </row>
    <row r="747">
      <c r="A747" s="10">
        <v>4.410764261E9</v>
      </c>
      <c r="B747" s="11">
        <v>0.021</v>
      </c>
      <c r="C747" s="11">
        <v>191.0</v>
      </c>
      <c r="D747" s="11">
        <v>0.18</v>
      </c>
      <c r="E747" s="7" t="s">
        <v>136</v>
      </c>
      <c r="F747" s="9" t="s">
        <v>65</v>
      </c>
      <c r="G747" s="5" t="s">
        <v>77</v>
      </c>
    </row>
    <row r="748">
      <c r="A748" s="10">
        <v>6.91584924E9</v>
      </c>
      <c r="B748" s="11">
        <v>0.016</v>
      </c>
      <c r="C748" s="11">
        <v>220.0</v>
      </c>
      <c r="D748" s="11">
        <v>0.177</v>
      </c>
      <c r="E748" s="7" t="s">
        <v>136</v>
      </c>
      <c r="F748" s="9" t="s">
        <v>66</v>
      </c>
      <c r="G748" s="5" t="s">
        <v>77</v>
      </c>
    </row>
    <row r="749">
      <c r="A749" s="10">
        <v>8.081982438E9</v>
      </c>
      <c r="B749" s="11">
        <v>0.023</v>
      </c>
      <c r="C749" s="11">
        <v>287.0</v>
      </c>
      <c r="D749" s="11">
        <v>0.153</v>
      </c>
      <c r="E749" s="7" t="s">
        <v>136</v>
      </c>
      <c r="F749" s="9" t="s">
        <v>67</v>
      </c>
      <c r="G749" s="5" t="s">
        <v>77</v>
      </c>
    </row>
    <row r="750">
      <c r="A750" s="10">
        <v>1.0197937673E10</v>
      </c>
      <c r="B750" s="11">
        <v>0.024</v>
      </c>
      <c r="C750" s="11">
        <v>380.0</v>
      </c>
      <c r="D750" s="11">
        <v>0.15</v>
      </c>
      <c r="E750" s="7" t="s">
        <v>136</v>
      </c>
      <c r="F750" s="9" t="s">
        <v>68</v>
      </c>
      <c r="G750" s="5" t="s">
        <v>77</v>
      </c>
    </row>
    <row r="751">
      <c r="A751" s="10">
        <v>1.5419096232E10</v>
      </c>
      <c r="B751" s="11">
        <v>0.034</v>
      </c>
      <c r="C751" s="11">
        <v>792.0</v>
      </c>
      <c r="D751" s="8"/>
      <c r="E751" s="7" t="s">
        <v>136</v>
      </c>
      <c r="F751" s="9" t="s">
        <v>69</v>
      </c>
      <c r="G751" s="5" t="s">
        <v>77</v>
      </c>
    </row>
    <row r="752">
      <c r="A752" s="10">
        <v>9.38041263E9</v>
      </c>
      <c r="B752" s="11">
        <v>0.056</v>
      </c>
      <c r="C752" s="11">
        <v>861.0</v>
      </c>
      <c r="D752" s="8"/>
      <c r="E752" s="7" t="s">
        <v>136</v>
      </c>
      <c r="F752" s="9" t="s">
        <v>70</v>
      </c>
      <c r="G752" s="5" t="s">
        <v>77</v>
      </c>
    </row>
    <row r="753">
      <c r="A753" s="10">
        <v>1.1586407487E10</v>
      </c>
      <c r="B753" s="11">
        <v>0.043</v>
      </c>
      <c r="C753" s="11">
        <v>757.0</v>
      </c>
      <c r="D753" s="8"/>
      <c r="E753" s="7" t="s">
        <v>136</v>
      </c>
      <c r="F753" s="9" t="s">
        <v>71</v>
      </c>
      <c r="G753" s="5" t="s">
        <v>77</v>
      </c>
    </row>
    <row r="754">
      <c r="A754" s="10">
        <v>1.5715842151E10</v>
      </c>
      <c r="B754" s="11">
        <v>0.045</v>
      </c>
      <c r="C754" s="11">
        <v>1051.0</v>
      </c>
      <c r="D754" s="8"/>
      <c r="E754" s="7" t="s">
        <v>136</v>
      </c>
      <c r="F754" s="9" t="s">
        <v>72</v>
      </c>
      <c r="G754" s="5" t="s">
        <v>77</v>
      </c>
    </row>
    <row r="755">
      <c r="A755" s="10">
        <v>1.6486743747E10</v>
      </c>
      <c r="B755" s="11">
        <v>0.047</v>
      </c>
      <c r="C755" s="11">
        <v>1138.0</v>
      </c>
      <c r="D755" s="8"/>
      <c r="E755" s="7" t="s">
        <v>136</v>
      </c>
      <c r="F755" s="9" t="s">
        <v>73</v>
      </c>
      <c r="G755" s="5" t="s">
        <v>77</v>
      </c>
    </row>
    <row r="756">
      <c r="A756" s="10">
        <v>7.06370812E8</v>
      </c>
      <c r="B756" s="11">
        <v>0.045</v>
      </c>
      <c r="C756" s="11">
        <v>7.0</v>
      </c>
      <c r="D756" s="8"/>
      <c r="E756" s="7" t="s">
        <v>137</v>
      </c>
      <c r="F756" s="9" t="s">
        <v>60</v>
      </c>
      <c r="G756" s="5" t="s">
        <v>77</v>
      </c>
    </row>
    <row r="757">
      <c r="A757" s="10">
        <v>7.52368494E8</v>
      </c>
      <c r="B757" s="11">
        <v>0.039</v>
      </c>
      <c r="C757" s="11">
        <v>7.0</v>
      </c>
      <c r="D757" s="8"/>
      <c r="E757" s="7" t="s">
        <v>137</v>
      </c>
      <c r="F757" s="9" t="s">
        <v>62</v>
      </c>
      <c r="G757" s="5" t="s">
        <v>77</v>
      </c>
    </row>
    <row r="758">
      <c r="A758" s="10">
        <v>7.29321364E8</v>
      </c>
      <c r="B758" s="11">
        <v>0.04</v>
      </c>
      <c r="C758" s="11">
        <v>6.0</v>
      </c>
      <c r="D758" s="8"/>
      <c r="E758" s="7" t="s">
        <v>137</v>
      </c>
      <c r="F758" s="9" t="s">
        <v>63</v>
      </c>
      <c r="G758" s="5" t="s">
        <v>77</v>
      </c>
    </row>
    <row r="759">
      <c r="A759" s="10">
        <v>8.70247702E8</v>
      </c>
      <c r="B759" s="11">
        <v>0.032</v>
      </c>
      <c r="C759" s="11">
        <v>6.0</v>
      </c>
      <c r="D759" s="8"/>
      <c r="E759" s="7" t="s">
        <v>137</v>
      </c>
      <c r="F759" s="9" t="s">
        <v>64</v>
      </c>
      <c r="G759" s="5" t="s">
        <v>77</v>
      </c>
    </row>
    <row r="760">
      <c r="A760" s="10">
        <v>1.109054002E9</v>
      </c>
      <c r="B760" s="11">
        <v>0.029</v>
      </c>
      <c r="C760" s="11">
        <v>7.0</v>
      </c>
      <c r="D760" s="8"/>
      <c r="E760" s="7" t="s">
        <v>137</v>
      </c>
      <c r="F760" s="9" t="s">
        <v>65</v>
      </c>
      <c r="G760" s="5" t="s">
        <v>77</v>
      </c>
    </row>
    <row r="761">
      <c r="A761" s="10">
        <v>1.0984259E9</v>
      </c>
      <c r="B761" s="11">
        <v>0.028</v>
      </c>
      <c r="C761" s="11">
        <v>6.0</v>
      </c>
      <c r="D761" s="8"/>
      <c r="E761" s="7" t="s">
        <v>137</v>
      </c>
      <c r="F761" s="9" t="s">
        <v>66</v>
      </c>
      <c r="G761" s="5" t="s">
        <v>77</v>
      </c>
    </row>
    <row r="762">
      <c r="A762" s="10">
        <v>1.21116188E9</v>
      </c>
      <c r="B762" s="11">
        <v>0.032</v>
      </c>
      <c r="C762" s="11">
        <v>8.0</v>
      </c>
      <c r="D762" s="8"/>
      <c r="E762" s="7" t="s">
        <v>137</v>
      </c>
      <c r="F762" s="9" t="s">
        <v>67</v>
      </c>
      <c r="G762" s="5" t="s">
        <v>77</v>
      </c>
    </row>
    <row r="763">
      <c r="A763" s="10">
        <v>1.317974493E9</v>
      </c>
      <c r="B763" s="11">
        <v>0.033</v>
      </c>
      <c r="C763" s="11">
        <v>8.0</v>
      </c>
      <c r="D763" s="8"/>
      <c r="E763" s="7" t="s">
        <v>137</v>
      </c>
      <c r="F763" s="9" t="s">
        <v>68</v>
      </c>
      <c r="G763" s="5" t="s">
        <v>77</v>
      </c>
    </row>
    <row r="764">
      <c r="A764" s="10">
        <v>1.3801888E9</v>
      </c>
      <c r="B764" s="11">
        <v>0.034</v>
      </c>
      <c r="C764" s="11">
        <v>9.0</v>
      </c>
      <c r="D764" s="8"/>
      <c r="E764" s="7" t="s">
        <v>137</v>
      </c>
      <c r="F764" s="9" t="s">
        <v>69</v>
      </c>
      <c r="G764" s="5" t="s">
        <v>77</v>
      </c>
    </row>
    <row r="765">
      <c r="A765" s="10">
        <v>1.85669555E9</v>
      </c>
      <c r="B765" s="11">
        <v>0.031</v>
      </c>
      <c r="C765" s="11">
        <v>10.0</v>
      </c>
      <c r="D765" s="8"/>
      <c r="E765" s="7" t="s">
        <v>137</v>
      </c>
      <c r="F765" s="9" t="s">
        <v>70</v>
      </c>
      <c r="G765" s="5" t="s">
        <v>77</v>
      </c>
    </row>
    <row r="766">
      <c r="A766" s="10">
        <v>2.117039511E9</v>
      </c>
      <c r="B766" s="11">
        <v>0.032</v>
      </c>
      <c r="C766" s="11">
        <v>12.0</v>
      </c>
      <c r="D766" s="8"/>
      <c r="E766" s="7" t="s">
        <v>137</v>
      </c>
      <c r="F766" s="9" t="s">
        <v>71</v>
      </c>
      <c r="G766" s="5" t="s">
        <v>77</v>
      </c>
    </row>
    <row r="767">
      <c r="A767" s="10">
        <v>2.607739837E9</v>
      </c>
      <c r="B767" s="11">
        <v>0.027</v>
      </c>
      <c r="C767" s="11">
        <v>12.0</v>
      </c>
      <c r="D767" s="8"/>
      <c r="E767" s="7" t="s">
        <v>137</v>
      </c>
      <c r="F767" s="9" t="s">
        <v>72</v>
      </c>
      <c r="G767" s="5" t="s">
        <v>77</v>
      </c>
    </row>
    <row r="768">
      <c r="A768" s="10">
        <v>3.09196748E9</v>
      </c>
      <c r="B768" s="11">
        <v>0.026</v>
      </c>
      <c r="C768" s="11">
        <v>15.0</v>
      </c>
      <c r="D768" s="8"/>
      <c r="E768" s="7" t="s">
        <v>137</v>
      </c>
      <c r="F768" s="9" t="s">
        <v>73</v>
      </c>
      <c r="G768" s="5" t="s">
        <v>77</v>
      </c>
    </row>
    <row r="769">
      <c r="A769" s="10">
        <v>5.675697575E9</v>
      </c>
      <c r="B769" s="11">
        <v>0.053</v>
      </c>
      <c r="C769" s="11">
        <v>213.0</v>
      </c>
      <c r="D769" s="11">
        <v>0.074</v>
      </c>
      <c r="E769" s="7" t="s">
        <v>138</v>
      </c>
      <c r="F769" s="9" t="s">
        <v>60</v>
      </c>
      <c r="G769" s="5" t="s">
        <v>75</v>
      </c>
    </row>
    <row r="770">
      <c r="A770" s="10">
        <v>6.24014781E9</v>
      </c>
      <c r="B770" s="11">
        <v>0.049</v>
      </c>
      <c r="C770" s="11">
        <v>218.0</v>
      </c>
      <c r="D770" s="11">
        <v>0.078</v>
      </c>
      <c r="E770" s="7" t="s">
        <v>138</v>
      </c>
      <c r="F770" s="9" t="s">
        <v>62</v>
      </c>
      <c r="G770" s="5" t="s">
        <v>75</v>
      </c>
    </row>
    <row r="771">
      <c r="A771" s="10">
        <v>7.324390332E9</v>
      </c>
      <c r="B771" s="11">
        <v>0.048</v>
      </c>
      <c r="C771" s="11">
        <v>256.0</v>
      </c>
      <c r="D771" s="11">
        <v>0.067</v>
      </c>
      <c r="E771" s="7" t="s">
        <v>138</v>
      </c>
      <c r="F771" s="9" t="s">
        <v>63</v>
      </c>
      <c r="G771" s="5" t="s">
        <v>75</v>
      </c>
    </row>
    <row r="772">
      <c r="A772" s="10">
        <v>9.845187817E9</v>
      </c>
      <c r="B772" s="11">
        <v>0.049</v>
      </c>
      <c r="C772" s="11">
        <v>352.0</v>
      </c>
      <c r="D772" s="11">
        <v>0.055</v>
      </c>
      <c r="E772" s="7" t="s">
        <v>138</v>
      </c>
      <c r="F772" s="9" t="s">
        <v>64</v>
      </c>
      <c r="G772" s="5" t="s">
        <v>75</v>
      </c>
    </row>
    <row r="773">
      <c r="A773" s="10">
        <v>1.2031396467E10</v>
      </c>
      <c r="B773" s="11">
        <v>0.051</v>
      </c>
      <c r="C773" s="11">
        <v>450.0</v>
      </c>
      <c r="D773" s="11">
        <v>0.057</v>
      </c>
      <c r="E773" s="7" t="s">
        <v>138</v>
      </c>
      <c r="F773" s="9" t="s">
        <v>65</v>
      </c>
      <c r="G773" s="5" t="s">
        <v>75</v>
      </c>
    </row>
    <row r="774">
      <c r="A774" s="10">
        <v>1.390556115E10</v>
      </c>
      <c r="B774" s="11">
        <v>0.05</v>
      </c>
      <c r="C774" s="11">
        <v>513.0</v>
      </c>
      <c r="D774" s="11">
        <v>0.049</v>
      </c>
      <c r="E774" s="7" t="s">
        <v>138</v>
      </c>
      <c r="F774" s="9" t="s">
        <v>66</v>
      </c>
      <c r="G774" s="5" t="s">
        <v>75</v>
      </c>
    </row>
    <row r="775">
      <c r="A775" s="10">
        <v>1.679849886E10</v>
      </c>
      <c r="B775" s="11">
        <v>0.05</v>
      </c>
      <c r="C775" s="11">
        <v>620.0</v>
      </c>
      <c r="D775" s="11">
        <v>0.05</v>
      </c>
      <c r="E775" s="7" t="s">
        <v>138</v>
      </c>
      <c r="F775" s="9" t="s">
        <v>67</v>
      </c>
      <c r="G775" s="5" t="s">
        <v>75</v>
      </c>
    </row>
    <row r="776">
      <c r="A776" s="10">
        <v>2.1993674015E10</v>
      </c>
      <c r="B776" s="11">
        <v>0.051</v>
      </c>
      <c r="C776" s="11">
        <v>835.0</v>
      </c>
      <c r="D776" s="11">
        <v>0.065</v>
      </c>
      <c r="E776" s="7" t="s">
        <v>138</v>
      </c>
      <c r="F776" s="9" t="s">
        <v>68</v>
      </c>
      <c r="G776" s="5" t="s">
        <v>75</v>
      </c>
    </row>
    <row r="777">
      <c r="A777" s="10">
        <v>2.3781549758E10</v>
      </c>
      <c r="B777" s="11">
        <v>0.06</v>
      </c>
      <c r="C777" s="11">
        <v>1060.0</v>
      </c>
      <c r="D777" s="11">
        <v>0.085</v>
      </c>
      <c r="E777" s="7" t="s">
        <v>138</v>
      </c>
      <c r="F777" s="9" t="s">
        <v>69</v>
      </c>
      <c r="G777" s="5" t="s">
        <v>75</v>
      </c>
    </row>
    <row r="778">
      <c r="A778" s="10">
        <v>1.9406617022E10</v>
      </c>
      <c r="B778" s="11">
        <v>0.068</v>
      </c>
      <c r="C778" s="11">
        <v>968.0</v>
      </c>
      <c r="D778" s="11">
        <v>0.094</v>
      </c>
      <c r="E778" s="7" t="s">
        <v>138</v>
      </c>
      <c r="F778" s="9" t="s">
        <v>70</v>
      </c>
      <c r="G778" s="5" t="s">
        <v>75</v>
      </c>
    </row>
    <row r="779">
      <c r="A779" s="10">
        <v>1.9033475893E10</v>
      </c>
      <c r="B779" s="11">
        <v>0.063</v>
      </c>
      <c r="C779" s="11">
        <v>894.0</v>
      </c>
      <c r="D779" s="11">
        <v>0.078</v>
      </c>
      <c r="E779" s="7" t="s">
        <v>138</v>
      </c>
      <c r="F779" s="9" t="s">
        <v>71</v>
      </c>
      <c r="G779" s="5" t="s">
        <v>75</v>
      </c>
    </row>
    <row r="780">
      <c r="A780" s="10">
        <v>2.2542967739E10</v>
      </c>
      <c r="B780" s="11">
        <v>0.058</v>
      </c>
      <c r="C780" s="11">
        <v>928.0</v>
      </c>
      <c r="D780" s="11">
        <v>0.061</v>
      </c>
      <c r="E780" s="7" t="s">
        <v>138</v>
      </c>
      <c r="F780" s="9" t="s">
        <v>72</v>
      </c>
      <c r="G780" s="5" t="s">
        <v>75</v>
      </c>
    </row>
    <row r="781">
      <c r="A781" s="10">
        <v>2.2376042498E10</v>
      </c>
      <c r="B781" s="11">
        <v>0.059</v>
      </c>
      <c r="C781" s="11">
        <v>1010.0</v>
      </c>
      <c r="D781" s="11">
        <v>0.057</v>
      </c>
      <c r="E781" s="7" t="s">
        <v>138</v>
      </c>
      <c r="F781" s="9" t="s">
        <v>73</v>
      </c>
      <c r="G781" s="5" t="s">
        <v>75</v>
      </c>
    </row>
    <row r="782">
      <c r="A782" s="10">
        <v>8.091384891E9</v>
      </c>
      <c r="B782" s="11">
        <v>0.043</v>
      </c>
      <c r="C782" s="11">
        <v>5.0</v>
      </c>
      <c r="D782" s="11">
        <v>0.109</v>
      </c>
      <c r="E782" s="7" t="s">
        <v>139</v>
      </c>
      <c r="F782" s="9" t="s">
        <v>60</v>
      </c>
      <c r="G782" s="5" t="s">
        <v>77</v>
      </c>
    </row>
    <row r="783">
      <c r="A783" s="10">
        <v>8.080496318E9</v>
      </c>
      <c r="B783" s="11">
        <v>0.047</v>
      </c>
      <c r="C783" s="11">
        <v>6.0</v>
      </c>
      <c r="D783" s="11">
        <v>0.109</v>
      </c>
      <c r="E783" s="7" t="s">
        <v>139</v>
      </c>
      <c r="F783" s="9" t="s">
        <v>62</v>
      </c>
      <c r="G783" s="5" t="s">
        <v>77</v>
      </c>
    </row>
    <row r="784">
      <c r="A784" s="10">
        <v>7.707034813E9</v>
      </c>
      <c r="B784" s="11">
        <v>0.047</v>
      </c>
      <c r="C784" s="11">
        <v>5.0</v>
      </c>
      <c r="D784" s="11">
        <v>0.087</v>
      </c>
      <c r="E784" s="7" t="s">
        <v>139</v>
      </c>
      <c r="F784" s="9" t="s">
        <v>63</v>
      </c>
      <c r="G784" s="5" t="s">
        <v>77</v>
      </c>
    </row>
    <row r="785">
      <c r="A785" s="10">
        <v>8.465744001E9</v>
      </c>
      <c r="B785" s="11">
        <v>0.049</v>
      </c>
      <c r="C785" s="11">
        <v>6.0</v>
      </c>
      <c r="D785" s="11">
        <v>0.07</v>
      </c>
      <c r="E785" s="7" t="s">
        <v>139</v>
      </c>
      <c r="F785" s="9" t="s">
        <v>64</v>
      </c>
      <c r="G785" s="5" t="s">
        <v>77</v>
      </c>
    </row>
    <row r="786">
      <c r="A786" s="10">
        <v>9.94557103E9</v>
      </c>
      <c r="B786" s="11">
        <v>0.043</v>
      </c>
      <c r="C786" s="11">
        <v>6.0</v>
      </c>
      <c r="D786" s="11">
        <v>0.07</v>
      </c>
      <c r="E786" s="7" t="s">
        <v>139</v>
      </c>
      <c r="F786" s="9" t="s">
        <v>65</v>
      </c>
      <c r="G786" s="5" t="s">
        <v>77</v>
      </c>
    </row>
    <row r="787">
      <c r="A787" s="10">
        <v>1.2173919387E10</v>
      </c>
      <c r="B787" s="11">
        <v>0.041</v>
      </c>
      <c r="C787" s="11">
        <v>7.0</v>
      </c>
      <c r="D787" s="11">
        <v>0.07</v>
      </c>
      <c r="E787" s="7" t="s">
        <v>139</v>
      </c>
      <c r="F787" s="9" t="s">
        <v>66</v>
      </c>
      <c r="G787" s="5" t="s">
        <v>77</v>
      </c>
    </row>
    <row r="788">
      <c r="A788" s="10">
        <v>1.5000803171E10</v>
      </c>
      <c r="B788" s="11">
        <v>0.042</v>
      </c>
      <c r="C788" s="11">
        <v>8.0</v>
      </c>
      <c r="D788" s="11">
        <v>0.07</v>
      </c>
      <c r="E788" s="7" t="s">
        <v>139</v>
      </c>
      <c r="F788" s="9" t="s">
        <v>67</v>
      </c>
      <c r="G788" s="5" t="s">
        <v>77</v>
      </c>
    </row>
    <row r="789">
      <c r="A789" s="10">
        <v>1.9346646117E10</v>
      </c>
      <c r="B789" s="11">
        <v>0.048</v>
      </c>
      <c r="C789" s="11">
        <v>11.0</v>
      </c>
      <c r="D789" s="11">
        <v>0.075</v>
      </c>
      <c r="E789" s="7" t="s">
        <v>139</v>
      </c>
      <c r="F789" s="9" t="s">
        <v>68</v>
      </c>
      <c r="G789" s="5" t="s">
        <v>77</v>
      </c>
    </row>
    <row r="790">
      <c r="A790" s="10">
        <v>2.6571320718E10</v>
      </c>
      <c r="B790" s="11">
        <v>0.043</v>
      </c>
      <c r="C790" s="11">
        <v>14.0</v>
      </c>
      <c r="D790" s="11">
        <v>0.08</v>
      </c>
      <c r="E790" s="7" t="s">
        <v>139</v>
      </c>
      <c r="F790" s="9" t="s">
        <v>69</v>
      </c>
      <c r="G790" s="5" t="s">
        <v>77</v>
      </c>
    </row>
    <row r="791">
      <c r="A791" s="10">
        <v>3.184335784E10</v>
      </c>
      <c r="B791" s="11">
        <v>0.045</v>
      </c>
      <c r="C791" s="11">
        <v>15.0</v>
      </c>
      <c r="D791" s="8"/>
      <c r="E791" s="7" t="s">
        <v>139</v>
      </c>
      <c r="F791" s="9" t="s">
        <v>70</v>
      </c>
      <c r="G791" s="5" t="s">
        <v>77</v>
      </c>
    </row>
    <row r="792">
      <c r="A792" s="10">
        <v>2.9385611867E10</v>
      </c>
      <c r="B792" s="11">
        <v>0.047</v>
      </c>
      <c r="C792" s="11">
        <v>14.0</v>
      </c>
      <c r="D792" s="8"/>
      <c r="E792" s="7" t="s">
        <v>139</v>
      </c>
      <c r="F792" s="9" t="s">
        <v>71</v>
      </c>
      <c r="G792" s="5" t="s">
        <v>77</v>
      </c>
    </row>
    <row r="793">
      <c r="A793" s="10">
        <v>3.13676067E10</v>
      </c>
      <c r="B793" s="11">
        <v>0.041</v>
      </c>
      <c r="C793" s="11">
        <v>14.0</v>
      </c>
      <c r="D793" s="8"/>
      <c r="E793" s="7" t="s">
        <v>139</v>
      </c>
      <c r="F793" s="9" t="s">
        <v>72</v>
      </c>
      <c r="G793" s="5" t="s">
        <v>77</v>
      </c>
    </row>
    <row r="794">
      <c r="A794" s="10">
        <v>4.2805215879E10</v>
      </c>
      <c r="B794" s="11">
        <v>0.038</v>
      </c>
      <c r="C794" s="11">
        <v>18.0</v>
      </c>
      <c r="D794" s="8"/>
      <c r="E794" s="7" t="s">
        <v>139</v>
      </c>
      <c r="F794" s="9" t="s">
        <v>73</v>
      </c>
      <c r="G794" s="5" t="s">
        <v>77</v>
      </c>
    </row>
    <row r="795">
      <c r="A795" s="10">
        <v>1.062339944E9</v>
      </c>
      <c r="B795" s="8"/>
      <c r="C795" s="8"/>
      <c r="D795" s="8"/>
      <c r="E795" s="7" t="s">
        <v>140</v>
      </c>
      <c r="F795" s="9" t="s">
        <v>60</v>
      </c>
      <c r="G795" s="5" t="s">
        <v>75</v>
      </c>
    </row>
    <row r="796">
      <c r="A796" s="10">
        <v>1.154899793E9</v>
      </c>
      <c r="B796" s="8"/>
      <c r="C796" s="8"/>
      <c r="D796" s="8"/>
      <c r="E796" s="7" t="s">
        <v>140</v>
      </c>
      <c r="F796" s="9" t="s">
        <v>62</v>
      </c>
      <c r="G796" s="5" t="s">
        <v>75</v>
      </c>
    </row>
    <row r="797">
      <c r="A797" s="10">
        <v>1.268445919E9</v>
      </c>
      <c r="B797" s="8"/>
      <c r="C797" s="8"/>
      <c r="D797" s="8"/>
      <c r="E797" s="7" t="s">
        <v>140</v>
      </c>
      <c r="F797" s="9" t="s">
        <v>63</v>
      </c>
      <c r="G797" s="5" t="s">
        <v>75</v>
      </c>
    </row>
    <row r="798">
      <c r="A798" s="10">
        <v>1.486861879E9</v>
      </c>
      <c r="B798" s="8"/>
      <c r="C798" s="8"/>
      <c r="D798" s="8"/>
      <c r="E798" s="7" t="s">
        <v>140</v>
      </c>
      <c r="F798" s="9" t="s">
        <v>64</v>
      </c>
      <c r="G798" s="5" t="s">
        <v>75</v>
      </c>
    </row>
    <row r="799">
      <c r="A799" s="10">
        <v>1.68399793E9</v>
      </c>
      <c r="B799" s="8"/>
      <c r="C799" s="8"/>
      <c r="D799" s="8"/>
      <c r="E799" s="7" t="s">
        <v>140</v>
      </c>
      <c r="F799" s="9" t="s">
        <v>65</v>
      </c>
      <c r="G799" s="5" t="s">
        <v>75</v>
      </c>
    </row>
    <row r="800">
      <c r="A800" s="10">
        <v>1.730894295E9</v>
      </c>
      <c r="B800" s="8"/>
      <c r="C800" s="8"/>
      <c r="D800" s="8"/>
      <c r="E800" s="7" t="s">
        <v>140</v>
      </c>
      <c r="F800" s="9" t="s">
        <v>66</v>
      </c>
      <c r="G800" s="5" t="s">
        <v>75</v>
      </c>
    </row>
    <row r="801">
      <c r="A801" s="10">
        <v>1.970135199E9</v>
      </c>
      <c r="B801" s="8"/>
      <c r="C801" s="8"/>
      <c r="D801" s="8"/>
      <c r="E801" s="7" t="s">
        <v>140</v>
      </c>
      <c r="F801" s="9" t="s">
        <v>67</v>
      </c>
      <c r="G801" s="5" t="s">
        <v>75</v>
      </c>
    </row>
    <row r="802">
      <c r="A802" s="10">
        <v>2.27822988E9</v>
      </c>
      <c r="B802" s="8"/>
      <c r="C802" s="8"/>
      <c r="D802" s="8"/>
      <c r="E802" s="7" t="s">
        <v>140</v>
      </c>
      <c r="F802" s="9" t="s">
        <v>68</v>
      </c>
      <c r="G802" s="5" t="s">
        <v>75</v>
      </c>
    </row>
    <row r="803">
      <c r="A803" s="10">
        <v>2.412859693E9</v>
      </c>
      <c r="B803" s="8"/>
      <c r="C803" s="8"/>
      <c r="D803" s="8"/>
      <c r="E803" s="7" t="s">
        <v>140</v>
      </c>
      <c r="F803" s="9" t="s">
        <v>69</v>
      </c>
      <c r="G803" s="5" t="s">
        <v>75</v>
      </c>
    </row>
    <row r="804">
      <c r="A804" s="10">
        <v>2.198138372E9</v>
      </c>
      <c r="B804" s="8"/>
      <c r="C804" s="8"/>
      <c r="D804" s="8"/>
      <c r="E804" s="7" t="s">
        <v>140</v>
      </c>
      <c r="F804" s="9" t="s">
        <v>70</v>
      </c>
      <c r="G804" s="5" t="s">
        <v>75</v>
      </c>
    </row>
    <row r="805">
      <c r="A805" s="7"/>
      <c r="B805" s="8"/>
      <c r="C805" s="8"/>
      <c r="D805" s="8"/>
      <c r="E805" s="7" t="s">
        <v>140</v>
      </c>
      <c r="F805" s="9" t="s">
        <v>71</v>
      </c>
      <c r="G805" s="5" t="s">
        <v>75</v>
      </c>
    </row>
    <row r="806">
      <c r="A806" s="7"/>
      <c r="B806" s="8"/>
      <c r="C806" s="8"/>
      <c r="D806" s="8"/>
      <c r="E806" s="7" t="s">
        <v>140</v>
      </c>
      <c r="F806" s="9" t="s">
        <v>72</v>
      </c>
      <c r="G806" s="5" t="s">
        <v>75</v>
      </c>
    </row>
    <row r="807">
      <c r="A807" s="7"/>
      <c r="B807" s="8"/>
      <c r="C807" s="8"/>
      <c r="D807" s="8"/>
      <c r="E807" s="7" t="s">
        <v>140</v>
      </c>
      <c r="F807" s="9" t="s">
        <v>73</v>
      </c>
      <c r="G807" s="5" t="s">
        <v>75</v>
      </c>
    </row>
    <row r="808">
      <c r="A808" s="10">
        <v>1.684109743E9</v>
      </c>
      <c r="B808" s="11">
        <v>0.039</v>
      </c>
      <c r="C808" s="11">
        <v>80.0</v>
      </c>
      <c r="D808" s="11">
        <v>0.084</v>
      </c>
      <c r="E808" s="7" t="s">
        <v>141</v>
      </c>
      <c r="F808" s="9" t="s">
        <v>60</v>
      </c>
      <c r="G808" s="5" t="s">
        <v>80</v>
      </c>
    </row>
    <row r="809">
      <c r="A809" s="10">
        <v>1.660102346E9</v>
      </c>
      <c r="B809" s="11">
        <v>0.033</v>
      </c>
      <c r="C809" s="11">
        <v>67.0</v>
      </c>
      <c r="D809" s="11">
        <v>0.083</v>
      </c>
      <c r="E809" s="7" t="s">
        <v>141</v>
      </c>
      <c r="F809" s="9" t="s">
        <v>62</v>
      </c>
      <c r="G809" s="5" t="s">
        <v>80</v>
      </c>
    </row>
    <row r="810">
      <c r="A810" s="10">
        <v>1.842691481E9</v>
      </c>
      <c r="B810" s="11">
        <v>0.035</v>
      </c>
      <c r="C810" s="11">
        <v>79.0</v>
      </c>
      <c r="D810" s="11">
        <v>0.081</v>
      </c>
      <c r="E810" s="7" t="s">
        <v>141</v>
      </c>
      <c r="F810" s="9" t="s">
        <v>63</v>
      </c>
      <c r="G810" s="5" t="s">
        <v>80</v>
      </c>
    </row>
    <row r="811">
      <c r="A811" s="10">
        <v>2.315935753E9</v>
      </c>
      <c r="B811" s="11">
        <v>0.034</v>
      </c>
      <c r="C811" s="11">
        <v>95.0</v>
      </c>
      <c r="D811" s="11">
        <v>0.076</v>
      </c>
      <c r="E811" s="7" t="s">
        <v>141</v>
      </c>
      <c r="F811" s="9" t="s">
        <v>64</v>
      </c>
      <c r="G811" s="5" t="s">
        <v>80</v>
      </c>
    </row>
    <row r="812">
      <c r="A812" s="10">
        <v>2.727507213E9</v>
      </c>
      <c r="B812" s="11">
        <v>0.036</v>
      </c>
      <c r="C812" s="11">
        <v>120.0</v>
      </c>
      <c r="D812" s="11">
        <v>0.072</v>
      </c>
      <c r="E812" s="7" t="s">
        <v>141</v>
      </c>
      <c r="F812" s="9" t="s">
        <v>65</v>
      </c>
      <c r="G812" s="5" t="s">
        <v>80</v>
      </c>
    </row>
    <row r="813">
      <c r="A813" s="10">
        <v>3.006725015E9</v>
      </c>
      <c r="B813" s="11">
        <v>0.036</v>
      </c>
      <c r="C813" s="11">
        <v>132.0</v>
      </c>
      <c r="D813" s="11">
        <v>0.068</v>
      </c>
      <c r="E813" s="7" t="s">
        <v>141</v>
      </c>
      <c r="F813" s="9" t="s">
        <v>66</v>
      </c>
      <c r="G813" s="5" t="s">
        <v>80</v>
      </c>
    </row>
    <row r="814">
      <c r="A814" s="10">
        <v>3.103099942E9</v>
      </c>
      <c r="B814" s="11">
        <v>0.038</v>
      </c>
      <c r="C814" s="11">
        <v>144.0</v>
      </c>
      <c r="D814" s="11">
        <v>0.073</v>
      </c>
      <c r="E814" s="7" t="s">
        <v>141</v>
      </c>
      <c r="F814" s="9" t="s">
        <v>67</v>
      </c>
      <c r="G814" s="5" t="s">
        <v>80</v>
      </c>
    </row>
    <row r="815">
      <c r="A815" s="10">
        <v>3.405050612E9</v>
      </c>
      <c r="B815" s="11">
        <v>0.037</v>
      </c>
      <c r="C815" s="11">
        <v>152.0</v>
      </c>
      <c r="D815" s="11">
        <v>0.09</v>
      </c>
      <c r="E815" s="7" t="s">
        <v>141</v>
      </c>
      <c r="F815" s="9" t="s">
        <v>68</v>
      </c>
      <c r="G815" s="5" t="s">
        <v>80</v>
      </c>
    </row>
    <row r="816">
      <c r="A816" s="10">
        <v>3.629936625E9</v>
      </c>
      <c r="B816" s="11">
        <v>0.036</v>
      </c>
      <c r="C816" s="11">
        <v>154.0</v>
      </c>
      <c r="D816" s="11">
        <v>0.08</v>
      </c>
      <c r="E816" s="7" t="s">
        <v>141</v>
      </c>
      <c r="F816" s="9" t="s">
        <v>69</v>
      </c>
      <c r="G816" s="5" t="s">
        <v>80</v>
      </c>
    </row>
    <row r="817">
      <c r="A817" s="10">
        <v>2.925499821E9</v>
      </c>
      <c r="B817" s="11">
        <v>0.042</v>
      </c>
      <c r="C817" s="11">
        <v>143.0</v>
      </c>
      <c r="D817" s="11">
        <v>0.079</v>
      </c>
      <c r="E817" s="7" t="s">
        <v>141</v>
      </c>
      <c r="F817" s="9" t="s">
        <v>70</v>
      </c>
      <c r="G817" s="5" t="s">
        <v>80</v>
      </c>
    </row>
    <row r="818">
      <c r="A818" s="10">
        <v>3.225095136E9</v>
      </c>
      <c r="B818" s="11">
        <v>0.042</v>
      </c>
      <c r="C818" s="11">
        <v>154.0</v>
      </c>
      <c r="D818" s="11">
        <v>0.075</v>
      </c>
      <c r="E818" s="7" t="s">
        <v>141</v>
      </c>
      <c r="F818" s="9" t="s">
        <v>71</v>
      </c>
      <c r="G818" s="5" t="s">
        <v>80</v>
      </c>
    </row>
    <row r="819">
      <c r="A819" s="10">
        <v>3.753485389E9</v>
      </c>
      <c r="B819" s="11">
        <v>0.038</v>
      </c>
      <c r="C819" s="11">
        <v>167.0</v>
      </c>
      <c r="D819" s="11">
        <v>0.075</v>
      </c>
      <c r="E819" s="7" t="s">
        <v>141</v>
      </c>
      <c r="F819" s="9" t="s">
        <v>72</v>
      </c>
      <c r="G819" s="5" t="s">
        <v>80</v>
      </c>
    </row>
    <row r="820">
      <c r="A820" s="10">
        <v>4.035420973E9</v>
      </c>
      <c r="B820" s="11">
        <v>0.04</v>
      </c>
      <c r="C820" s="11">
        <v>177.0</v>
      </c>
      <c r="D820" s="11">
        <v>0.07</v>
      </c>
      <c r="E820" s="7" t="s">
        <v>141</v>
      </c>
      <c r="F820" s="9" t="s">
        <v>73</v>
      </c>
      <c r="G820" s="5" t="s">
        <v>80</v>
      </c>
    </row>
    <row r="821">
      <c r="A821" s="10">
        <v>1.22E11</v>
      </c>
      <c r="B821" s="11">
        <v>0.072</v>
      </c>
      <c r="C821" s="11">
        <v>1700.0</v>
      </c>
      <c r="D821" s="11">
        <v>0.056</v>
      </c>
      <c r="E821" s="7" t="s">
        <v>142</v>
      </c>
      <c r="F821" s="9" t="s">
        <v>60</v>
      </c>
      <c r="G821" s="5" t="s">
        <v>75</v>
      </c>
    </row>
    <row r="822">
      <c r="A822" s="10">
        <v>1.25E11</v>
      </c>
      <c r="B822" s="11">
        <v>0.074</v>
      </c>
      <c r="C822" s="11">
        <v>1786.0</v>
      </c>
      <c r="D822" s="11">
        <v>0.058</v>
      </c>
      <c r="E822" s="7" t="s">
        <v>142</v>
      </c>
      <c r="F822" s="9" t="s">
        <v>62</v>
      </c>
      <c r="G822" s="5" t="s">
        <v>75</v>
      </c>
    </row>
    <row r="823">
      <c r="A823" s="10">
        <v>1.35E11</v>
      </c>
      <c r="B823" s="11">
        <v>0.078</v>
      </c>
      <c r="C823" s="11">
        <v>2032.0</v>
      </c>
      <c r="D823" s="11">
        <v>0.048</v>
      </c>
      <c r="E823" s="7" t="s">
        <v>142</v>
      </c>
      <c r="F823" s="9" t="s">
        <v>63</v>
      </c>
      <c r="G823" s="5" t="s">
        <v>75</v>
      </c>
    </row>
    <row r="824">
      <c r="A824" s="10">
        <v>1.64E11</v>
      </c>
      <c r="B824" s="11">
        <v>0.082</v>
      </c>
      <c r="C824" s="11">
        <v>2572.0</v>
      </c>
      <c r="D824" s="11">
        <v>0.041</v>
      </c>
      <c r="E824" s="7" t="s">
        <v>142</v>
      </c>
      <c r="F824" s="9" t="s">
        <v>64</v>
      </c>
      <c r="G824" s="5" t="s">
        <v>75</v>
      </c>
    </row>
    <row r="825">
      <c r="A825" s="10">
        <v>1.89E11</v>
      </c>
      <c r="B825" s="11">
        <v>0.082</v>
      </c>
      <c r="C825" s="11">
        <v>2974.0</v>
      </c>
      <c r="D825" s="11">
        <v>0.037</v>
      </c>
      <c r="E825" s="7" t="s">
        <v>142</v>
      </c>
      <c r="F825" s="9" t="s">
        <v>65</v>
      </c>
      <c r="G825" s="5" t="s">
        <v>75</v>
      </c>
    </row>
    <row r="826">
      <c r="A826" s="10">
        <v>1.96E11</v>
      </c>
      <c r="B826" s="11">
        <v>0.084</v>
      </c>
      <c r="C826" s="11">
        <v>3151.0</v>
      </c>
      <c r="D826" s="8"/>
      <c r="E826" s="7" t="s">
        <v>142</v>
      </c>
      <c r="F826" s="9" t="s">
        <v>66</v>
      </c>
      <c r="G826" s="5" t="s">
        <v>75</v>
      </c>
    </row>
    <row r="827">
      <c r="A827" s="10">
        <v>2.08E11</v>
      </c>
      <c r="B827" s="11">
        <v>0.083</v>
      </c>
      <c r="C827" s="11">
        <v>3302.0</v>
      </c>
      <c r="D827" s="8"/>
      <c r="E827" s="7" t="s">
        <v>142</v>
      </c>
      <c r="F827" s="9" t="s">
        <v>67</v>
      </c>
      <c r="G827" s="5" t="s">
        <v>75</v>
      </c>
    </row>
    <row r="828">
      <c r="A828" s="10">
        <v>2.46E11</v>
      </c>
      <c r="B828" s="11">
        <v>0.08</v>
      </c>
      <c r="C828" s="11">
        <v>3751.0</v>
      </c>
      <c r="D828" s="8"/>
      <c r="E828" s="7" t="s">
        <v>142</v>
      </c>
      <c r="F828" s="9" t="s">
        <v>68</v>
      </c>
      <c r="G828" s="5" t="s">
        <v>75</v>
      </c>
    </row>
    <row r="829">
      <c r="A829" s="10">
        <v>2.72E11</v>
      </c>
      <c r="B829" s="11">
        <v>0.083</v>
      </c>
      <c r="C829" s="11">
        <v>4262.0</v>
      </c>
      <c r="D829" s="8"/>
      <c r="E829" s="7" t="s">
        <v>142</v>
      </c>
      <c r="F829" s="9" t="s">
        <v>69</v>
      </c>
      <c r="G829" s="5" t="s">
        <v>75</v>
      </c>
    </row>
    <row r="830">
      <c r="A830" s="10">
        <v>2.39E11</v>
      </c>
      <c r="B830" s="11">
        <v>0.092</v>
      </c>
      <c r="C830" s="11">
        <v>4121.0</v>
      </c>
      <c r="D830" s="8"/>
      <c r="E830" s="7" t="s">
        <v>142</v>
      </c>
      <c r="F830" s="9" t="s">
        <v>70</v>
      </c>
      <c r="G830" s="5" t="s">
        <v>75</v>
      </c>
    </row>
    <row r="831">
      <c r="A831" s="10">
        <v>2.37E11</v>
      </c>
      <c r="B831" s="11">
        <v>0.09</v>
      </c>
      <c r="C831" s="11">
        <v>3978.0</v>
      </c>
      <c r="D831" s="8"/>
      <c r="E831" s="7" t="s">
        <v>142</v>
      </c>
      <c r="F831" s="9" t="s">
        <v>71</v>
      </c>
      <c r="G831" s="5" t="s">
        <v>75</v>
      </c>
    </row>
    <row r="832">
      <c r="A832" s="10">
        <v>2.62E11</v>
      </c>
      <c r="B832" s="11">
        <v>0.09</v>
      </c>
      <c r="C832" s="11">
        <v>4411.0</v>
      </c>
      <c r="D832" s="8"/>
      <c r="E832" s="7" t="s">
        <v>142</v>
      </c>
      <c r="F832" s="9" t="s">
        <v>72</v>
      </c>
      <c r="G832" s="5" t="s">
        <v>75</v>
      </c>
    </row>
    <row r="833">
      <c r="A833" s="10">
        <v>2.47E11</v>
      </c>
      <c r="B833" s="11">
        <v>0.091</v>
      </c>
      <c r="C833" s="11">
        <v>4232.0</v>
      </c>
      <c r="D833" s="8"/>
      <c r="E833" s="7" t="s">
        <v>142</v>
      </c>
      <c r="F833" s="9" t="s">
        <v>73</v>
      </c>
      <c r="G833" s="5" t="s">
        <v>75</v>
      </c>
    </row>
    <row r="834">
      <c r="A834" s="10">
        <v>1.33E12</v>
      </c>
      <c r="B834" s="11">
        <v>0.101</v>
      </c>
      <c r="C834" s="11">
        <v>2209.0</v>
      </c>
      <c r="D834" s="11">
        <v>0.067</v>
      </c>
      <c r="E834" s="7" t="s">
        <v>143</v>
      </c>
      <c r="F834" s="9" t="s">
        <v>60</v>
      </c>
      <c r="G834" s="5" t="s">
        <v>75</v>
      </c>
    </row>
    <row r="835">
      <c r="A835" s="10">
        <v>1.34E12</v>
      </c>
      <c r="B835" s="11">
        <v>0.102</v>
      </c>
      <c r="C835" s="11">
        <v>2241.0</v>
      </c>
      <c r="D835" s="11">
        <v>0.07</v>
      </c>
      <c r="E835" s="7" t="s">
        <v>143</v>
      </c>
      <c r="F835" s="9" t="s">
        <v>62</v>
      </c>
      <c r="G835" s="5" t="s">
        <v>75</v>
      </c>
    </row>
    <row r="836">
      <c r="A836" s="10">
        <v>1.45E12</v>
      </c>
      <c r="B836" s="11">
        <v>0.106</v>
      </c>
      <c r="C836" s="11">
        <v>2497.0</v>
      </c>
      <c r="D836" s="11">
        <v>0.066</v>
      </c>
      <c r="E836" s="7" t="s">
        <v>143</v>
      </c>
      <c r="F836" s="9" t="s">
        <v>63</v>
      </c>
      <c r="G836" s="5" t="s">
        <v>75</v>
      </c>
    </row>
    <row r="837">
      <c r="A837" s="10">
        <v>1.79E12</v>
      </c>
      <c r="B837" s="11">
        <v>0.108</v>
      </c>
      <c r="C837" s="11">
        <v>3137.0</v>
      </c>
      <c r="D837" s="11">
        <v>0.066</v>
      </c>
      <c r="E837" s="7" t="s">
        <v>143</v>
      </c>
      <c r="F837" s="9" t="s">
        <v>64</v>
      </c>
      <c r="G837" s="5" t="s">
        <v>75</v>
      </c>
    </row>
    <row r="838">
      <c r="A838" s="10">
        <v>2.06E12</v>
      </c>
      <c r="B838" s="11">
        <v>0.11</v>
      </c>
      <c r="C838" s="11">
        <v>3620.0</v>
      </c>
      <c r="D838" s="11">
        <v>0.066</v>
      </c>
      <c r="E838" s="7" t="s">
        <v>143</v>
      </c>
      <c r="F838" s="9" t="s">
        <v>65</v>
      </c>
      <c r="G838" s="5" t="s">
        <v>75</v>
      </c>
    </row>
    <row r="839">
      <c r="A839" s="10">
        <v>2.14E12</v>
      </c>
      <c r="B839" s="11">
        <v>0.11</v>
      </c>
      <c r="C839" s="11">
        <v>3750.0</v>
      </c>
      <c r="D839" s="8"/>
      <c r="E839" s="7" t="s">
        <v>143</v>
      </c>
      <c r="F839" s="9" t="s">
        <v>66</v>
      </c>
      <c r="G839" s="5" t="s">
        <v>75</v>
      </c>
    </row>
    <row r="840">
      <c r="A840" s="10">
        <v>2.26E12</v>
      </c>
      <c r="B840" s="11">
        <v>0.11</v>
      </c>
      <c r="C840" s="11">
        <v>3907.0</v>
      </c>
      <c r="D840" s="8"/>
      <c r="E840" s="7" t="s">
        <v>143</v>
      </c>
      <c r="F840" s="9" t="s">
        <v>67</v>
      </c>
      <c r="G840" s="5" t="s">
        <v>75</v>
      </c>
    </row>
    <row r="841">
      <c r="A841" s="10">
        <v>2.58E12</v>
      </c>
      <c r="B841" s="11">
        <v>0.109</v>
      </c>
      <c r="C841" s="11">
        <v>4413.0</v>
      </c>
      <c r="D841" s="8"/>
      <c r="E841" s="7" t="s">
        <v>143</v>
      </c>
      <c r="F841" s="9" t="s">
        <v>68</v>
      </c>
      <c r="G841" s="5" t="s">
        <v>75</v>
      </c>
    </row>
    <row r="842">
      <c r="A842" s="10">
        <v>2.83E12</v>
      </c>
      <c r="B842" s="11">
        <v>0.11</v>
      </c>
      <c r="C842" s="11">
        <v>4877.0</v>
      </c>
      <c r="D842" s="8"/>
      <c r="E842" s="7" t="s">
        <v>143</v>
      </c>
      <c r="F842" s="9" t="s">
        <v>69</v>
      </c>
      <c r="G842" s="5" t="s">
        <v>75</v>
      </c>
    </row>
    <row r="843">
      <c r="A843" s="10">
        <v>2.62E12</v>
      </c>
      <c r="B843" s="11">
        <v>0.117</v>
      </c>
      <c r="C843" s="11">
        <v>4776.0</v>
      </c>
      <c r="D843" s="8"/>
      <c r="E843" s="7" t="s">
        <v>143</v>
      </c>
      <c r="F843" s="9" t="s">
        <v>70</v>
      </c>
      <c r="G843" s="5" t="s">
        <v>75</v>
      </c>
    </row>
    <row r="844">
      <c r="A844" s="10">
        <v>2.57E12</v>
      </c>
      <c r="B844" s="11">
        <v>0.117</v>
      </c>
      <c r="C844" s="11">
        <v>4634.0</v>
      </c>
      <c r="D844" s="8"/>
      <c r="E844" s="7" t="s">
        <v>143</v>
      </c>
      <c r="F844" s="9" t="s">
        <v>71</v>
      </c>
      <c r="G844" s="5" t="s">
        <v>75</v>
      </c>
    </row>
    <row r="845">
      <c r="A845" s="10">
        <v>2.78E12</v>
      </c>
      <c r="B845" s="11">
        <v>0.116</v>
      </c>
      <c r="C845" s="11">
        <v>4968.0</v>
      </c>
      <c r="D845" s="8"/>
      <c r="E845" s="7" t="s">
        <v>143</v>
      </c>
      <c r="F845" s="9" t="s">
        <v>72</v>
      </c>
      <c r="G845" s="5" t="s">
        <v>75</v>
      </c>
    </row>
    <row r="846">
      <c r="A846" s="10">
        <v>2.61E12</v>
      </c>
      <c r="B846" s="11">
        <v>0.117</v>
      </c>
      <c r="C846" s="11">
        <v>4690.0</v>
      </c>
      <c r="D846" s="8"/>
      <c r="E846" s="7" t="s">
        <v>143</v>
      </c>
      <c r="F846" s="9" t="s">
        <v>73</v>
      </c>
      <c r="G846" s="5" t="s">
        <v>75</v>
      </c>
    </row>
    <row r="847">
      <c r="A847" s="10">
        <v>3.447543138E9</v>
      </c>
      <c r="B847" s="8"/>
      <c r="C847" s="8"/>
      <c r="D847" s="8"/>
      <c r="E847" s="7" t="s">
        <v>144</v>
      </c>
      <c r="F847" s="9" t="s">
        <v>60</v>
      </c>
      <c r="G847" s="5" t="s">
        <v>80</v>
      </c>
    </row>
    <row r="848">
      <c r="A848" s="7"/>
      <c r="B848" s="8"/>
      <c r="C848" s="8"/>
      <c r="D848" s="8"/>
      <c r="E848" s="7" t="s">
        <v>144</v>
      </c>
      <c r="F848" s="9" t="s">
        <v>62</v>
      </c>
      <c r="G848" s="5" t="s">
        <v>80</v>
      </c>
    </row>
    <row r="849">
      <c r="A849" s="7"/>
      <c r="B849" s="8"/>
      <c r="C849" s="8"/>
      <c r="D849" s="8"/>
      <c r="E849" s="7" t="s">
        <v>144</v>
      </c>
      <c r="F849" s="9" t="s">
        <v>63</v>
      </c>
      <c r="G849" s="5" t="s">
        <v>80</v>
      </c>
    </row>
    <row r="850">
      <c r="A850" s="7"/>
      <c r="B850" s="8"/>
      <c r="C850" s="8"/>
      <c r="D850" s="8"/>
      <c r="E850" s="7" t="s">
        <v>144</v>
      </c>
      <c r="F850" s="9" t="s">
        <v>64</v>
      </c>
      <c r="G850" s="5" t="s">
        <v>80</v>
      </c>
    </row>
    <row r="851">
      <c r="A851" s="7"/>
      <c r="B851" s="8"/>
      <c r="C851" s="8"/>
      <c r="D851" s="8"/>
      <c r="E851" s="7" t="s">
        <v>144</v>
      </c>
      <c r="F851" s="9" t="s">
        <v>65</v>
      </c>
      <c r="G851" s="5" t="s">
        <v>80</v>
      </c>
    </row>
    <row r="852">
      <c r="A852" s="7"/>
      <c r="B852" s="8"/>
      <c r="C852" s="8"/>
      <c r="D852" s="8"/>
      <c r="E852" s="7" t="s">
        <v>144</v>
      </c>
      <c r="F852" s="9" t="s">
        <v>66</v>
      </c>
      <c r="G852" s="5" t="s">
        <v>80</v>
      </c>
    </row>
    <row r="853">
      <c r="A853" s="7"/>
      <c r="B853" s="8"/>
      <c r="C853" s="8"/>
      <c r="D853" s="8"/>
      <c r="E853" s="7" t="s">
        <v>144</v>
      </c>
      <c r="F853" s="9" t="s">
        <v>67</v>
      </c>
      <c r="G853" s="5" t="s">
        <v>80</v>
      </c>
    </row>
    <row r="854">
      <c r="A854" s="7"/>
      <c r="B854" s="8"/>
      <c r="C854" s="8"/>
      <c r="D854" s="8"/>
      <c r="E854" s="7" t="s">
        <v>144</v>
      </c>
      <c r="F854" s="9" t="s">
        <v>68</v>
      </c>
      <c r="G854" s="5" t="s">
        <v>80</v>
      </c>
    </row>
    <row r="855">
      <c r="A855" s="7"/>
      <c r="B855" s="8"/>
      <c r="C855" s="8"/>
      <c r="D855" s="8"/>
      <c r="E855" s="7" t="s">
        <v>144</v>
      </c>
      <c r="F855" s="9" t="s">
        <v>69</v>
      </c>
      <c r="G855" s="5" t="s">
        <v>80</v>
      </c>
    </row>
    <row r="856">
      <c r="A856" s="7"/>
      <c r="B856" s="8"/>
      <c r="C856" s="8"/>
      <c r="D856" s="8"/>
      <c r="E856" s="7" t="s">
        <v>144</v>
      </c>
      <c r="F856" s="9" t="s">
        <v>70</v>
      </c>
      <c r="G856" s="5" t="s">
        <v>80</v>
      </c>
    </row>
    <row r="857">
      <c r="A857" s="7"/>
      <c r="B857" s="8"/>
      <c r="C857" s="8"/>
      <c r="D857" s="8"/>
      <c r="E857" s="7" t="s">
        <v>144</v>
      </c>
      <c r="F857" s="9" t="s">
        <v>71</v>
      </c>
      <c r="G857" s="5" t="s">
        <v>80</v>
      </c>
    </row>
    <row r="858">
      <c r="A858" s="7"/>
      <c r="B858" s="8"/>
      <c r="C858" s="8"/>
      <c r="D858" s="8"/>
      <c r="E858" s="7" t="s">
        <v>144</v>
      </c>
      <c r="F858" s="9" t="s">
        <v>72</v>
      </c>
      <c r="G858" s="5" t="s">
        <v>80</v>
      </c>
    </row>
    <row r="859">
      <c r="A859" s="7"/>
      <c r="B859" s="8"/>
      <c r="C859" s="8"/>
      <c r="D859" s="8"/>
      <c r="E859" s="7" t="s">
        <v>144</v>
      </c>
      <c r="F859" s="9" t="s">
        <v>73</v>
      </c>
      <c r="G859" s="5" t="s">
        <v>80</v>
      </c>
    </row>
    <row r="860">
      <c r="A860" s="10">
        <v>5.067865503E9</v>
      </c>
      <c r="B860" s="11">
        <v>0.029</v>
      </c>
      <c r="C860" s="11">
        <v>118.0</v>
      </c>
      <c r="D860" s="11">
        <v>0.22</v>
      </c>
      <c r="E860" s="7" t="s">
        <v>145</v>
      </c>
      <c r="F860" s="9" t="s">
        <v>60</v>
      </c>
      <c r="G860" s="5" t="s">
        <v>77</v>
      </c>
    </row>
    <row r="861">
      <c r="A861" s="10">
        <v>4.71284928E9</v>
      </c>
      <c r="B861" s="11">
        <v>0.033</v>
      </c>
      <c r="C861" s="11">
        <v>125.0</v>
      </c>
      <c r="D861" s="11">
        <v>0.207</v>
      </c>
      <c r="E861" s="7" t="s">
        <v>145</v>
      </c>
      <c r="F861" s="9" t="s">
        <v>62</v>
      </c>
      <c r="G861" s="5" t="s">
        <v>77</v>
      </c>
    </row>
    <row r="862">
      <c r="A862" s="10">
        <v>4.931503836E9</v>
      </c>
      <c r="B862" s="11">
        <v>0.037</v>
      </c>
      <c r="C862" s="11">
        <v>142.0</v>
      </c>
      <c r="D862" s="11">
        <v>0.18</v>
      </c>
      <c r="E862" s="7" t="s">
        <v>145</v>
      </c>
      <c r="F862" s="9" t="s">
        <v>63</v>
      </c>
      <c r="G862" s="5" t="s">
        <v>77</v>
      </c>
    </row>
    <row r="863">
      <c r="A863" s="10">
        <v>6.054883172E9</v>
      </c>
      <c r="B863" s="11">
        <v>0.038</v>
      </c>
      <c r="C863" s="11">
        <v>174.0</v>
      </c>
      <c r="D863" s="11">
        <v>0.18</v>
      </c>
      <c r="E863" s="7" t="s">
        <v>145</v>
      </c>
      <c r="F863" s="9" t="s">
        <v>64</v>
      </c>
      <c r="G863" s="5" t="s">
        <v>77</v>
      </c>
    </row>
    <row r="864">
      <c r="A864" s="10">
        <v>7.178135606E9</v>
      </c>
      <c r="B864" s="11">
        <v>0.034</v>
      </c>
      <c r="C864" s="11">
        <v>180.0</v>
      </c>
      <c r="D864" s="11">
        <v>0.18</v>
      </c>
      <c r="E864" s="7" t="s">
        <v>145</v>
      </c>
      <c r="F864" s="9" t="s">
        <v>65</v>
      </c>
      <c r="G864" s="5" t="s">
        <v>77</v>
      </c>
    </row>
    <row r="865">
      <c r="A865" s="10">
        <v>8.665736618E9</v>
      </c>
      <c r="B865" s="11">
        <v>0.03</v>
      </c>
      <c r="C865" s="11">
        <v>187.0</v>
      </c>
      <c r="D865" s="11">
        <v>0.177</v>
      </c>
      <c r="E865" s="7" t="s">
        <v>145</v>
      </c>
      <c r="F865" s="9" t="s">
        <v>66</v>
      </c>
      <c r="G865" s="5" t="s">
        <v>77</v>
      </c>
    </row>
    <row r="866">
      <c r="A866" s="10">
        <v>9.545982814E9</v>
      </c>
      <c r="B866" s="11">
        <v>0.032</v>
      </c>
      <c r="C866" s="11">
        <v>216.0</v>
      </c>
      <c r="D866" s="11">
        <v>0.153</v>
      </c>
      <c r="E866" s="7" t="s">
        <v>145</v>
      </c>
      <c r="F866" s="9" t="s">
        <v>67</v>
      </c>
      <c r="G866" s="5" t="s">
        <v>77</v>
      </c>
    </row>
    <row r="867">
      <c r="A867" s="10">
        <v>1.1570860872E10</v>
      </c>
      <c r="B867" s="11">
        <v>0.033</v>
      </c>
      <c r="C867" s="11">
        <v>262.0</v>
      </c>
      <c r="D867" s="11">
        <v>0.15</v>
      </c>
      <c r="E867" s="7" t="s">
        <v>145</v>
      </c>
      <c r="F867" s="9" t="s">
        <v>68</v>
      </c>
      <c r="G867" s="5" t="s">
        <v>77</v>
      </c>
    </row>
    <row r="868">
      <c r="A868" s="10">
        <v>1.5685389827E10</v>
      </c>
      <c r="B868" s="11">
        <v>0.027</v>
      </c>
      <c r="C868" s="11">
        <v>283.0</v>
      </c>
      <c r="D868" s="8"/>
      <c r="E868" s="7" t="s">
        <v>145</v>
      </c>
      <c r="F868" s="9" t="s">
        <v>69</v>
      </c>
      <c r="G868" s="5" t="s">
        <v>77</v>
      </c>
    </row>
    <row r="869">
      <c r="A869" s="10">
        <v>1.2031268402E10</v>
      </c>
      <c r="B869" s="11">
        <v>0.037</v>
      </c>
      <c r="C869" s="11">
        <v>291.0</v>
      </c>
      <c r="D869" s="8"/>
      <c r="E869" s="7" t="s">
        <v>145</v>
      </c>
      <c r="F869" s="9" t="s">
        <v>70</v>
      </c>
      <c r="G869" s="5" t="s">
        <v>77</v>
      </c>
    </row>
    <row r="870">
      <c r="A870" s="10">
        <v>1.4569527125E10</v>
      </c>
      <c r="B870" s="11">
        <v>0.035</v>
      </c>
      <c r="C870" s="11">
        <v>322.0</v>
      </c>
      <c r="D870" s="8"/>
      <c r="E870" s="7" t="s">
        <v>145</v>
      </c>
      <c r="F870" s="9" t="s">
        <v>71</v>
      </c>
      <c r="G870" s="5" t="s">
        <v>77</v>
      </c>
    </row>
    <row r="871">
      <c r="A871" s="10">
        <v>1.8796191833E10</v>
      </c>
      <c r="B871" s="11">
        <v>0.034</v>
      </c>
      <c r="C871" s="11">
        <v>401.0</v>
      </c>
      <c r="D871" s="8"/>
      <c r="E871" s="7" t="s">
        <v>145</v>
      </c>
      <c r="F871" s="9" t="s">
        <v>72</v>
      </c>
      <c r="G871" s="5" t="s">
        <v>77</v>
      </c>
    </row>
    <row r="872">
      <c r="A872" s="10">
        <v>1.7843815459E10</v>
      </c>
      <c r="B872" s="11">
        <v>0.035</v>
      </c>
      <c r="C872" s="11">
        <v>397.0</v>
      </c>
      <c r="D872" s="8"/>
      <c r="E872" s="7" t="s">
        <v>145</v>
      </c>
      <c r="F872" s="9" t="s">
        <v>73</v>
      </c>
      <c r="G872" s="5" t="s">
        <v>77</v>
      </c>
    </row>
    <row r="873">
      <c r="A873" s="10">
        <v>7.82913866E8</v>
      </c>
      <c r="B873" s="11">
        <v>0.045</v>
      </c>
      <c r="C873" s="11">
        <v>29.0</v>
      </c>
      <c r="D873" s="11">
        <v>0.24</v>
      </c>
      <c r="E873" s="7" t="s">
        <v>146</v>
      </c>
      <c r="F873" s="9" t="s">
        <v>60</v>
      </c>
      <c r="G873" s="5" t="s">
        <v>77</v>
      </c>
    </row>
    <row r="874">
      <c r="A874" s="10">
        <v>6.87410629E8</v>
      </c>
      <c r="B874" s="11">
        <v>0.046</v>
      </c>
      <c r="C874" s="11">
        <v>25.0</v>
      </c>
      <c r="D874" s="11">
        <v>0.24</v>
      </c>
      <c r="E874" s="7" t="s">
        <v>146</v>
      </c>
      <c r="F874" s="9" t="s">
        <v>62</v>
      </c>
      <c r="G874" s="5" t="s">
        <v>77</v>
      </c>
    </row>
    <row r="875">
      <c r="A875" s="10">
        <v>5.7823531E8</v>
      </c>
      <c r="B875" s="11">
        <v>0.038</v>
      </c>
      <c r="C875" s="11">
        <v>17.0</v>
      </c>
      <c r="D875" s="11">
        <v>0.24</v>
      </c>
      <c r="E875" s="7" t="s">
        <v>146</v>
      </c>
      <c r="F875" s="9" t="s">
        <v>63</v>
      </c>
      <c r="G875" s="5" t="s">
        <v>77</v>
      </c>
    </row>
    <row r="876">
      <c r="A876" s="10">
        <v>4.87038678E8</v>
      </c>
      <c r="B876" s="11">
        <v>0.042</v>
      </c>
      <c r="C876" s="11">
        <v>15.0</v>
      </c>
      <c r="D876" s="11">
        <v>0.293</v>
      </c>
      <c r="E876" s="7" t="s">
        <v>146</v>
      </c>
      <c r="F876" s="9" t="s">
        <v>64</v>
      </c>
      <c r="G876" s="5" t="s">
        <v>77</v>
      </c>
    </row>
    <row r="877">
      <c r="A877" s="10">
        <v>5.78785601E8</v>
      </c>
      <c r="B877" s="11">
        <v>0.044</v>
      </c>
      <c r="C877" s="11">
        <v>18.0</v>
      </c>
      <c r="D877" s="11">
        <v>0.365</v>
      </c>
      <c r="E877" s="7" t="s">
        <v>146</v>
      </c>
      <c r="F877" s="9" t="s">
        <v>65</v>
      </c>
      <c r="G877" s="5" t="s">
        <v>77</v>
      </c>
    </row>
    <row r="878">
      <c r="A878" s="10">
        <v>6.24173996E8</v>
      </c>
      <c r="B878" s="11">
        <v>0.045</v>
      </c>
      <c r="C878" s="11">
        <v>20.0</v>
      </c>
      <c r="D878" s="11">
        <v>0.349</v>
      </c>
      <c r="E878" s="7" t="s">
        <v>146</v>
      </c>
      <c r="F878" s="9" t="s">
        <v>66</v>
      </c>
      <c r="G878" s="5" t="s">
        <v>77</v>
      </c>
    </row>
    <row r="879">
      <c r="A879" s="10">
        <v>6.55068112E8</v>
      </c>
      <c r="B879" s="11">
        <v>0.047</v>
      </c>
      <c r="C879" s="11">
        <v>21.0</v>
      </c>
      <c r="D879" s="11">
        <v>0.298</v>
      </c>
      <c r="E879" s="7" t="s">
        <v>146</v>
      </c>
      <c r="F879" s="9" t="s">
        <v>67</v>
      </c>
      <c r="G879" s="5" t="s">
        <v>77</v>
      </c>
    </row>
    <row r="880">
      <c r="A880" s="10">
        <v>7.98869805E8</v>
      </c>
      <c r="B880" s="11">
        <v>0.041</v>
      </c>
      <c r="C880" s="11">
        <v>21.0</v>
      </c>
      <c r="D880" s="11">
        <v>0.279</v>
      </c>
      <c r="E880" s="7" t="s">
        <v>146</v>
      </c>
      <c r="F880" s="9" t="s">
        <v>68</v>
      </c>
      <c r="G880" s="5" t="s">
        <v>77</v>
      </c>
    </row>
    <row r="881">
      <c r="A881" s="10">
        <v>9.65771303E8</v>
      </c>
      <c r="B881" s="11">
        <v>0.041</v>
      </c>
      <c r="C881" s="11">
        <v>25.0</v>
      </c>
      <c r="D881" s="11">
        <v>0.27</v>
      </c>
      <c r="E881" s="7" t="s">
        <v>146</v>
      </c>
      <c r="F881" s="9" t="s">
        <v>69</v>
      </c>
      <c r="G881" s="5" t="s">
        <v>77</v>
      </c>
    </row>
    <row r="882">
      <c r="A882" s="10">
        <v>9.00629373E8</v>
      </c>
      <c r="B882" s="11">
        <v>0.045</v>
      </c>
      <c r="C882" s="11">
        <v>25.0</v>
      </c>
      <c r="D882" s="11">
        <v>0.27</v>
      </c>
      <c r="E882" s="7" t="s">
        <v>146</v>
      </c>
      <c r="F882" s="9" t="s">
        <v>70</v>
      </c>
      <c r="G882" s="5" t="s">
        <v>77</v>
      </c>
    </row>
    <row r="883">
      <c r="A883" s="10">
        <v>9.51805801E8</v>
      </c>
      <c r="B883" s="11">
        <v>0.047</v>
      </c>
      <c r="C883" s="11">
        <v>27.0</v>
      </c>
      <c r="D883" s="11">
        <v>0.27</v>
      </c>
      <c r="E883" s="7" t="s">
        <v>146</v>
      </c>
      <c r="F883" s="9" t="s">
        <v>71</v>
      </c>
      <c r="G883" s="5" t="s">
        <v>77</v>
      </c>
    </row>
    <row r="884">
      <c r="A884" s="10">
        <v>8.98282866E8</v>
      </c>
      <c r="B884" s="11">
        <v>0.047</v>
      </c>
      <c r="C884" s="11">
        <v>24.0</v>
      </c>
      <c r="D884" s="11">
        <v>0.28</v>
      </c>
      <c r="E884" s="7" t="s">
        <v>146</v>
      </c>
      <c r="F884" s="9" t="s">
        <v>72</v>
      </c>
      <c r="G884" s="5" t="s">
        <v>77</v>
      </c>
    </row>
    <row r="885">
      <c r="A885" s="10">
        <v>9.141091E8</v>
      </c>
      <c r="B885" s="11">
        <v>0.05</v>
      </c>
      <c r="C885" s="11">
        <v>26.0</v>
      </c>
      <c r="D885" s="11">
        <v>0.28</v>
      </c>
      <c r="E885" s="7" t="s">
        <v>146</v>
      </c>
      <c r="F885" s="9" t="s">
        <v>73</v>
      </c>
      <c r="G885" s="5" t="s">
        <v>77</v>
      </c>
    </row>
    <row r="886">
      <c r="A886" s="10">
        <v>3.057453461E9</v>
      </c>
      <c r="B886" s="11">
        <v>0.069</v>
      </c>
      <c r="C886" s="11">
        <v>45.0</v>
      </c>
      <c r="D886" s="11">
        <v>0.247</v>
      </c>
      <c r="E886" s="7" t="s">
        <v>147</v>
      </c>
      <c r="F886" s="9" t="s">
        <v>60</v>
      </c>
      <c r="G886" s="5" t="s">
        <v>61</v>
      </c>
    </row>
    <row r="887">
      <c r="A887" s="10">
        <v>3.219487823E9</v>
      </c>
      <c r="B887" s="11">
        <v>0.078</v>
      </c>
      <c r="C887" s="11">
        <v>54.0</v>
      </c>
      <c r="D887" s="11">
        <v>0.223</v>
      </c>
      <c r="E887" s="7" t="s">
        <v>147</v>
      </c>
      <c r="F887" s="9" t="s">
        <v>62</v>
      </c>
      <c r="G887" s="5" t="s">
        <v>61</v>
      </c>
    </row>
    <row r="888">
      <c r="A888" s="10">
        <v>3.395778661E9</v>
      </c>
      <c r="B888" s="11">
        <v>0.087</v>
      </c>
      <c r="C888" s="11">
        <v>64.0</v>
      </c>
      <c r="D888" s="11">
        <v>0.236</v>
      </c>
      <c r="E888" s="7" t="s">
        <v>147</v>
      </c>
      <c r="F888" s="9" t="s">
        <v>63</v>
      </c>
      <c r="G888" s="5" t="s">
        <v>61</v>
      </c>
    </row>
    <row r="889">
      <c r="A889" s="10">
        <v>3.99137454E9</v>
      </c>
      <c r="B889" s="11">
        <v>0.085</v>
      </c>
      <c r="C889" s="11">
        <v>74.0</v>
      </c>
      <c r="D889" s="11">
        <v>0.238</v>
      </c>
      <c r="E889" s="7" t="s">
        <v>147</v>
      </c>
      <c r="F889" s="9" t="s">
        <v>64</v>
      </c>
      <c r="G889" s="5" t="s">
        <v>61</v>
      </c>
    </row>
    <row r="890">
      <c r="A890" s="10">
        <v>5.125273877E9</v>
      </c>
      <c r="B890" s="11">
        <v>0.085</v>
      </c>
      <c r="C890" s="11">
        <v>97.0</v>
      </c>
      <c r="D890" s="11">
        <v>0.221</v>
      </c>
      <c r="E890" s="7" t="s">
        <v>147</v>
      </c>
      <c r="F890" s="9" t="s">
        <v>65</v>
      </c>
      <c r="G890" s="5" t="s">
        <v>61</v>
      </c>
    </row>
    <row r="891">
      <c r="A891" s="10">
        <v>6.411147323E9</v>
      </c>
      <c r="B891" s="11">
        <v>0.086</v>
      </c>
      <c r="C891" s="11">
        <v>123.0</v>
      </c>
      <c r="D891" s="11">
        <v>0.176</v>
      </c>
      <c r="E891" s="7" t="s">
        <v>147</v>
      </c>
      <c r="F891" s="9" t="s">
        <v>66</v>
      </c>
      <c r="G891" s="5" t="s">
        <v>61</v>
      </c>
    </row>
    <row r="892">
      <c r="A892" s="10">
        <v>7.761900179E9</v>
      </c>
      <c r="B892" s="11">
        <v>0.084</v>
      </c>
      <c r="C892" s="11">
        <v>146.0</v>
      </c>
      <c r="D892" s="11">
        <v>0.171</v>
      </c>
      <c r="E892" s="7" t="s">
        <v>147</v>
      </c>
      <c r="F892" s="9" t="s">
        <v>67</v>
      </c>
      <c r="G892" s="5" t="s">
        <v>61</v>
      </c>
    </row>
    <row r="893">
      <c r="A893" s="10">
        <v>1.0172260738E10</v>
      </c>
      <c r="B893" s="11">
        <v>0.082</v>
      </c>
      <c r="C893" s="11">
        <v>188.0</v>
      </c>
      <c r="D893" s="11">
        <v>0.171</v>
      </c>
      <c r="E893" s="7" t="s">
        <v>147</v>
      </c>
      <c r="F893" s="9" t="s">
        <v>68</v>
      </c>
      <c r="G893" s="5" t="s">
        <v>61</v>
      </c>
    </row>
    <row r="894">
      <c r="A894" s="10">
        <v>1.279933725E10</v>
      </c>
      <c r="B894" s="11">
        <v>0.09</v>
      </c>
      <c r="C894" s="11">
        <v>261.0</v>
      </c>
      <c r="D894" s="11">
        <v>0.18</v>
      </c>
      <c r="E894" s="7" t="s">
        <v>147</v>
      </c>
      <c r="F894" s="9" t="s">
        <v>69</v>
      </c>
      <c r="G894" s="5" t="s">
        <v>61</v>
      </c>
    </row>
    <row r="895">
      <c r="A895" s="10">
        <v>1.0766836277E10</v>
      </c>
      <c r="B895" s="11">
        <v>0.102</v>
      </c>
      <c r="C895" s="11">
        <v>249.0</v>
      </c>
      <c r="D895" s="11">
        <v>0.179</v>
      </c>
      <c r="E895" s="7" t="s">
        <v>147</v>
      </c>
      <c r="F895" s="9" t="s">
        <v>70</v>
      </c>
      <c r="G895" s="5" t="s">
        <v>61</v>
      </c>
    </row>
    <row r="896">
      <c r="A896" s="10">
        <v>1.1638536862E10</v>
      </c>
      <c r="B896" s="11">
        <v>0.101</v>
      </c>
      <c r="C896" s="11">
        <v>267.0</v>
      </c>
      <c r="D896" s="11">
        <v>0.158</v>
      </c>
      <c r="E896" s="7" t="s">
        <v>147</v>
      </c>
      <c r="F896" s="9" t="s">
        <v>71</v>
      </c>
      <c r="G896" s="5" t="s">
        <v>61</v>
      </c>
    </row>
    <row r="897">
      <c r="A897" s="10">
        <v>1.4434619972E10</v>
      </c>
      <c r="B897" s="11">
        <v>0.094</v>
      </c>
      <c r="C897" s="11">
        <v>310.0</v>
      </c>
      <c r="D897" s="11">
        <v>0.15</v>
      </c>
      <c r="E897" s="7" t="s">
        <v>147</v>
      </c>
      <c r="F897" s="9" t="s">
        <v>72</v>
      </c>
      <c r="G897" s="5" t="s">
        <v>61</v>
      </c>
    </row>
    <row r="898">
      <c r="A898" s="10">
        <v>1.5846484588E10</v>
      </c>
      <c r="B898" s="11">
        <v>0.092</v>
      </c>
      <c r="C898" s="11">
        <v>333.0</v>
      </c>
      <c r="D898" s="11">
        <v>0.148</v>
      </c>
      <c r="E898" s="7" t="s">
        <v>147</v>
      </c>
      <c r="F898" s="9" t="s">
        <v>73</v>
      </c>
      <c r="G898" s="5" t="s">
        <v>61</v>
      </c>
    </row>
    <row r="899">
      <c r="A899" s="10">
        <v>1.89E12</v>
      </c>
      <c r="B899" s="11">
        <v>0.104</v>
      </c>
      <c r="C899" s="11">
        <v>2387.0</v>
      </c>
      <c r="D899" s="11">
        <v>0.096</v>
      </c>
      <c r="E899" s="7" t="s">
        <v>148</v>
      </c>
      <c r="F899" s="9" t="s">
        <v>60</v>
      </c>
      <c r="G899" s="5" t="s">
        <v>75</v>
      </c>
    </row>
    <row r="900">
      <c r="A900" s="10">
        <v>1.88E12</v>
      </c>
      <c r="B900" s="11">
        <v>0.105</v>
      </c>
      <c r="C900" s="11">
        <v>2402.0</v>
      </c>
      <c r="D900" s="11">
        <v>0.1</v>
      </c>
      <c r="E900" s="7" t="s">
        <v>148</v>
      </c>
      <c r="F900" s="9" t="s">
        <v>62</v>
      </c>
      <c r="G900" s="5" t="s">
        <v>75</v>
      </c>
    </row>
    <row r="901">
      <c r="A901" s="10">
        <v>2.01E12</v>
      </c>
      <c r="B901" s="11">
        <v>0.107</v>
      </c>
      <c r="C901" s="11">
        <v>2610.0</v>
      </c>
      <c r="D901" s="11">
        <v>0.097</v>
      </c>
      <c r="E901" s="7" t="s">
        <v>148</v>
      </c>
      <c r="F901" s="9" t="s">
        <v>63</v>
      </c>
      <c r="G901" s="5" t="s">
        <v>75</v>
      </c>
    </row>
    <row r="902">
      <c r="A902" s="10">
        <v>2.42E12</v>
      </c>
      <c r="B902" s="11">
        <v>0.109</v>
      </c>
      <c r="C902" s="11">
        <v>3206.0</v>
      </c>
      <c r="D902" s="8"/>
      <c r="E902" s="7" t="s">
        <v>148</v>
      </c>
      <c r="F902" s="9" t="s">
        <v>64</v>
      </c>
      <c r="G902" s="5" t="s">
        <v>75</v>
      </c>
    </row>
    <row r="903">
      <c r="A903" s="10">
        <v>2.73E12</v>
      </c>
      <c r="B903" s="11">
        <v>0.107</v>
      </c>
      <c r="C903" s="11">
        <v>3524.0</v>
      </c>
      <c r="D903" s="8"/>
      <c r="E903" s="7" t="s">
        <v>148</v>
      </c>
      <c r="F903" s="9" t="s">
        <v>65</v>
      </c>
      <c r="G903" s="5" t="s">
        <v>75</v>
      </c>
    </row>
    <row r="904">
      <c r="A904" s="10">
        <v>2.77E12</v>
      </c>
      <c r="B904" s="11">
        <v>0.108</v>
      </c>
      <c r="C904" s="11">
        <v>3624.0</v>
      </c>
      <c r="D904" s="8"/>
      <c r="E904" s="7" t="s">
        <v>148</v>
      </c>
      <c r="F904" s="9" t="s">
        <v>66</v>
      </c>
      <c r="G904" s="5" t="s">
        <v>75</v>
      </c>
    </row>
    <row r="905">
      <c r="A905" s="10">
        <v>2.9E12</v>
      </c>
      <c r="B905" s="11">
        <v>0.106</v>
      </c>
      <c r="C905" s="11">
        <v>3746.0</v>
      </c>
      <c r="D905" s="8"/>
      <c r="E905" s="7" t="s">
        <v>148</v>
      </c>
      <c r="F905" s="9" t="s">
        <v>67</v>
      </c>
      <c r="G905" s="5" t="s">
        <v>75</v>
      </c>
    </row>
    <row r="906">
      <c r="A906" s="10">
        <v>3.32E12</v>
      </c>
      <c r="B906" s="11">
        <v>0.105</v>
      </c>
      <c r="C906" s="11">
        <v>4231.0</v>
      </c>
      <c r="D906" s="8"/>
      <c r="E906" s="7" t="s">
        <v>148</v>
      </c>
      <c r="F906" s="9" t="s">
        <v>68</v>
      </c>
      <c r="G906" s="5" t="s">
        <v>75</v>
      </c>
    </row>
    <row r="907">
      <c r="A907" s="10">
        <v>3.62E12</v>
      </c>
      <c r="B907" s="11">
        <v>0.107</v>
      </c>
      <c r="C907" s="11">
        <v>4718.0</v>
      </c>
      <c r="D907" s="8"/>
      <c r="E907" s="7" t="s">
        <v>148</v>
      </c>
      <c r="F907" s="9" t="s">
        <v>69</v>
      </c>
      <c r="G907" s="5" t="s">
        <v>75</v>
      </c>
    </row>
    <row r="908">
      <c r="A908" s="10">
        <v>3.3E12</v>
      </c>
      <c r="B908" s="11">
        <v>0.118</v>
      </c>
      <c r="C908" s="11">
        <v>4727.0</v>
      </c>
      <c r="D908" s="8"/>
      <c r="E908" s="7" t="s">
        <v>148</v>
      </c>
      <c r="F908" s="9" t="s">
        <v>70</v>
      </c>
      <c r="G908" s="5" t="s">
        <v>75</v>
      </c>
    </row>
    <row r="909">
      <c r="A909" s="10">
        <v>3.3E12</v>
      </c>
      <c r="B909" s="11">
        <v>0.115</v>
      </c>
      <c r="C909" s="11">
        <v>4668.0</v>
      </c>
      <c r="D909" s="8"/>
      <c r="E909" s="7" t="s">
        <v>148</v>
      </c>
      <c r="F909" s="9" t="s">
        <v>71</v>
      </c>
      <c r="G909" s="5" t="s">
        <v>75</v>
      </c>
    </row>
    <row r="910">
      <c r="A910" s="10">
        <v>3.63E12</v>
      </c>
      <c r="B910" s="11">
        <v>0.113</v>
      </c>
      <c r="C910" s="11">
        <v>4996.0</v>
      </c>
      <c r="D910" s="8"/>
      <c r="E910" s="7" t="s">
        <v>148</v>
      </c>
      <c r="F910" s="9" t="s">
        <v>72</v>
      </c>
      <c r="G910" s="5" t="s">
        <v>75</v>
      </c>
    </row>
    <row r="911">
      <c r="A911" s="10">
        <v>3.43E12</v>
      </c>
      <c r="B911" s="11">
        <v>0.113</v>
      </c>
      <c r="C911" s="11">
        <v>4683.0</v>
      </c>
      <c r="D911" s="8"/>
      <c r="E911" s="7" t="s">
        <v>148</v>
      </c>
      <c r="F911" s="9" t="s">
        <v>73</v>
      </c>
      <c r="G911" s="5" t="s">
        <v>75</v>
      </c>
    </row>
    <row r="912">
      <c r="A912" s="10">
        <v>4.982849054E9</v>
      </c>
      <c r="B912" s="11">
        <v>0.048</v>
      </c>
      <c r="C912" s="11">
        <v>13.0</v>
      </c>
      <c r="D912" s="8"/>
      <c r="E912" s="7" t="s">
        <v>149</v>
      </c>
      <c r="F912" s="9" t="s">
        <v>60</v>
      </c>
      <c r="G912" s="5" t="s">
        <v>77</v>
      </c>
    </row>
    <row r="913">
      <c r="A913" s="10">
        <v>5.314871684E9</v>
      </c>
      <c r="B913" s="11">
        <v>0.056</v>
      </c>
      <c r="C913" s="11">
        <v>15.0</v>
      </c>
      <c r="D913" s="8"/>
      <c r="E913" s="7" t="s">
        <v>149</v>
      </c>
      <c r="F913" s="9" t="s">
        <v>62</v>
      </c>
      <c r="G913" s="5" t="s">
        <v>77</v>
      </c>
    </row>
    <row r="914">
      <c r="A914" s="10">
        <v>6.166197192E9</v>
      </c>
      <c r="B914" s="11">
        <v>0.048</v>
      </c>
      <c r="C914" s="11">
        <v>15.0</v>
      </c>
      <c r="D914" s="8"/>
      <c r="E914" s="7" t="s">
        <v>149</v>
      </c>
      <c r="F914" s="9" t="s">
        <v>63</v>
      </c>
      <c r="G914" s="5" t="s">
        <v>77</v>
      </c>
    </row>
    <row r="915">
      <c r="A915" s="10">
        <v>7.63272068E9</v>
      </c>
      <c r="B915" s="11">
        <v>0.048</v>
      </c>
      <c r="C915" s="11">
        <v>18.0</v>
      </c>
      <c r="D915" s="8"/>
      <c r="E915" s="7" t="s">
        <v>149</v>
      </c>
      <c r="F915" s="9" t="s">
        <v>64</v>
      </c>
      <c r="G915" s="5" t="s">
        <v>77</v>
      </c>
    </row>
    <row r="916">
      <c r="A916" s="10">
        <v>8.881419348E9</v>
      </c>
      <c r="B916" s="11">
        <v>0.061</v>
      </c>
      <c r="C916" s="11">
        <v>26.0</v>
      </c>
      <c r="D916" s="8"/>
      <c r="E916" s="7" t="s">
        <v>149</v>
      </c>
      <c r="F916" s="9" t="s">
        <v>65</v>
      </c>
      <c r="G916" s="5" t="s">
        <v>77</v>
      </c>
    </row>
    <row r="917">
      <c r="A917" s="10">
        <v>1.0731883141E10</v>
      </c>
      <c r="B917" s="11">
        <v>0.07</v>
      </c>
      <c r="C917" s="11">
        <v>35.0</v>
      </c>
      <c r="D917" s="8"/>
      <c r="E917" s="7" t="s">
        <v>149</v>
      </c>
      <c r="F917" s="9" t="s">
        <v>66</v>
      </c>
      <c r="G917" s="5" t="s">
        <v>77</v>
      </c>
    </row>
    <row r="918">
      <c r="A918" s="10">
        <v>2.0410239313E10</v>
      </c>
      <c r="B918" s="11">
        <v>0.054</v>
      </c>
      <c r="C918" s="11">
        <v>48.0</v>
      </c>
      <c r="D918" s="8"/>
      <c r="E918" s="7" t="s">
        <v>149</v>
      </c>
      <c r="F918" s="9" t="s">
        <v>67</v>
      </c>
      <c r="G918" s="5" t="s">
        <v>77</v>
      </c>
    </row>
    <row r="919">
      <c r="A919" s="10">
        <v>2.4757608488E10</v>
      </c>
      <c r="B919" s="11">
        <v>0.06</v>
      </c>
      <c r="C919" s="11">
        <v>66.0</v>
      </c>
      <c r="D919" s="8"/>
      <c r="E919" s="7" t="s">
        <v>149</v>
      </c>
      <c r="F919" s="9" t="s">
        <v>68</v>
      </c>
      <c r="G919" s="5" t="s">
        <v>77</v>
      </c>
    </row>
    <row r="920">
      <c r="A920" s="10">
        <v>2.8528016511E10</v>
      </c>
      <c r="B920" s="11">
        <v>0.056</v>
      </c>
      <c r="C920" s="11">
        <v>69.0</v>
      </c>
      <c r="D920" s="8"/>
      <c r="E920" s="7" t="s">
        <v>149</v>
      </c>
      <c r="F920" s="9" t="s">
        <v>69</v>
      </c>
      <c r="G920" s="5" t="s">
        <v>77</v>
      </c>
    </row>
    <row r="921">
      <c r="A921" s="10">
        <v>2.5978563316E10</v>
      </c>
      <c r="B921" s="11">
        <v>0.051</v>
      </c>
      <c r="C921" s="11">
        <v>56.0</v>
      </c>
      <c r="D921" s="8"/>
      <c r="E921" s="7" t="s">
        <v>149</v>
      </c>
      <c r="F921" s="9" t="s">
        <v>70</v>
      </c>
      <c r="G921" s="5" t="s">
        <v>77</v>
      </c>
    </row>
    <row r="922">
      <c r="A922" s="10">
        <v>3.2174210793E10</v>
      </c>
      <c r="B922" s="11">
        <v>0.053</v>
      </c>
      <c r="C922" s="11">
        <v>70.0</v>
      </c>
      <c r="D922" s="8"/>
      <c r="E922" s="7" t="s">
        <v>149</v>
      </c>
      <c r="F922" s="9" t="s">
        <v>71</v>
      </c>
      <c r="G922" s="5" t="s">
        <v>77</v>
      </c>
    </row>
    <row r="923">
      <c r="A923" s="10">
        <v>3.956497007E10</v>
      </c>
      <c r="B923" s="11">
        <v>0.053</v>
      </c>
      <c r="C923" s="11">
        <v>83.0</v>
      </c>
      <c r="D923" s="8"/>
      <c r="E923" s="7" t="s">
        <v>149</v>
      </c>
      <c r="F923" s="9" t="s">
        <v>72</v>
      </c>
      <c r="G923" s="5" t="s">
        <v>77</v>
      </c>
    </row>
    <row r="924">
      <c r="A924" s="10">
        <v>4.1740897827E10</v>
      </c>
      <c r="B924" s="11">
        <v>0.052</v>
      </c>
      <c r="C924" s="11">
        <v>83.0</v>
      </c>
      <c r="D924" s="8"/>
      <c r="E924" s="7" t="s">
        <v>149</v>
      </c>
      <c r="F924" s="9" t="s">
        <v>73</v>
      </c>
      <c r="G924" s="5" t="s">
        <v>77</v>
      </c>
    </row>
    <row r="925">
      <c r="A925" s="10">
        <v>1.24E11</v>
      </c>
      <c r="B925" s="11">
        <v>0.079</v>
      </c>
      <c r="C925" s="11">
        <v>918.0</v>
      </c>
      <c r="D925" s="11">
        <v>0.123</v>
      </c>
      <c r="E925" s="7" t="s">
        <v>150</v>
      </c>
      <c r="F925" s="9" t="s">
        <v>60</v>
      </c>
      <c r="G925" s="5" t="s">
        <v>75</v>
      </c>
    </row>
    <row r="926">
      <c r="A926" s="10">
        <v>1.3E11</v>
      </c>
      <c r="B926" s="11">
        <v>0.088</v>
      </c>
      <c r="C926" s="11">
        <v>1055.0</v>
      </c>
      <c r="D926" s="11">
        <v>0.086</v>
      </c>
      <c r="E926" s="7" t="s">
        <v>150</v>
      </c>
      <c r="F926" s="9" t="s">
        <v>62</v>
      </c>
      <c r="G926" s="5" t="s">
        <v>75</v>
      </c>
    </row>
    <row r="927">
      <c r="A927" s="10">
        <v>1.46E11</v>
      </c>
      <c r="B927" s="11">
        <v>0.091</v>
      </c>
      <c r="C927" s="11">
        <v>1223.0</v>
      </c>
      <c r="D927" s="11">
        <v>0.074</v>
      </c>
      <c r="E927" s="7" t="s">
        <v>150</v>
      </c>
      <c r="F927" s="9" t="s">
        <v>63</v>
      </c>
      <c r="G927" s="5" t="s">
        <v>75</v>
      </c>
    </row>
    <row r="928">
      <c r="A928" s="10">
        <v>1.93E11</v>
      </c>
      <c r="B928" s="11">
        <v>0.089</v>
      </c>
      <c r="C928" s="11">
        <v>1579.0</v>
      </c>
      <c r="D928" s="11">
        <v>0.068</v>
      </c>
      <c r="E928" s="7" t="s">
        <v>150</v>
      </c>
      <c r="F928" s="9" t="s">
        <v>64</v>
      </c>
      <c r="G928" s="5" t="s">
        <v>75</v>
      </c>
    </row>
    <row r="929">
      <c r="A929" s="10">
        <v>2.28E11</v>
      </c>
      <c r="B929" s="11">
        <v>0.087</v>
      </c>
      <c r="C929" s="11">
        <v>1809.0</v>
      </c>
      <c r="D929" s="8"/>
      <c r="E929" s="7" t="s">
        <v>150</v>
      </c>
      <c r="F929" s="9" t="s">
        <v>65</v>
      </c>
      <c r="G929" s="5" t="s">
        <v>75</v>
      </c>
    </row>
    <row r="930">
      <c r="A930" s="10">
        <v>2.4E11</v>
      </c>
      <c r="B930" s="11">
        <v>0.097</v>
      </c>
      <c r="C930" s="11">
        <v>2093.0</v>
      </c>
      <c r="D930" s="8"/>
      <c r="E930" s="7" t="s">
        <v>150</v>
      </c>
      <c r="F930" s="9" t="s">
        <v>66</v>
      </c>
      <c r="G930" s="5" t="s">
        <v>75</v>
      </c>
    </row>
    <row r="931">
      <c r="A931" s="10">
        <v>2.62E11</v>
      </c>
      <c r="B931" s="11">
        <v>0.097</v>
      </c>
      <c r="C931" s="11">
        <v>2293.0</v>
      </c>
      <c r="D931" s="8"/>
      <c r="E931" s="7" t="s">
        <v>150</v>
      </c>
      <c r="F931" s="9" t="s">
        <v>67</v>
      </c>
      <c r="G931" s="5" t="s">
        <v>75</v>
      </c>
    </row>
    <row r="932">
      <c r="A932" s="10">
        <v>3.05E11</v>
      </c>
      <c r="B932" s="11">
        <v>0.098</v>
      </c>
      <c r="C932" s="11">
        <v>2682.0</v>
      </c>
      <c r="D932" s="8"/>
      <c r="E932" s="7" t="s">
        <v>150</v>
      </c>
      <c r="F932" s="9" t="s">
        <v>68</v>
      </c>
      <c r="G932" s="5" t="s">
        <v>75</v>
      </c>
    </row>
    <row r="933">
      <c r="A933" s="10">
        <v>3.42E11</v>
      </c>
      <c r="B933" s="11">
        <v>0.101</v>
      </c>
      <c r="C933" s="11">
        <v>3085.0</v>
      </c>
      <c r="D933" s="8"/>
      <c r="E933" s="7" t="s">
        <v>150</v>
      </c>
      <c r="F933" s="9" t="s">
        <v>69</v>
      </c>
      <c r="G933" s="5" t="s">
        <v>75</v>
      </c>
    </row>
    <row r="934">
      <c r="A934" s="10">
        <v>3.21E11</v>
      </c>
      <c r="B934" s="11">
        <v>0.1</v>
      </c>
      <c r="C934" s="11">
        <v>2861.0</v>
      </c>
      <c r="D934" s="8"/>
      <c r="E934" s="7" t="s">
        <v>150</v>
      </c>
      <c r="F934" s="9" t="s">
        <v>70</v>
      </c>
      <c r="G934" s="5" t="s">
        <v>75</v>
      </c>
    </row>
    <row r="935">
      <c r="A935" s="10">
        <v>2.94E11</v>
      </c>
      <c r="B935" s="11">
        <v>0.094</v>
      </c>
      <c r="C935" s="11">
        <v>2442.0</v>
      </c>
      <c r="D935" s="8"/>
      <c r="E935" s="7" t="s">
        <v>150</v>
      </c>
      <c r="F935" s="9" t="s">
        <v>71</v>
      </c>
      <c r="G935" s="5" t="s">
        <v>75</v>
      </c>
    </row>
    <row r="936">
      <c r="A936" s="10">
        <v>2.9E11</v>
      </c>
      <c r="B936" s="11">
        <v>0.09</v>
      </c>
      <c r="C936" s="11">
        <v>2304.0</v>
      </c>
      <c r="D936" s="8"/>
      <c r="E936" s="7" t="s">
        <v>150</v>
      </c>
      <c r="F936" s="9" t="s">
        <v>72</v>
      </c>
      <c r="G936" s="5" t="s">
        <v>75</v>
      </c>
    </row>
    <row r="937">
      <c r="A937" s="10">
        <v>2.48E11</v>
      </c>
      <c r="B937" s="11">
        <v>0.093</v>
      </c>
      <c r="C937" s="11">
        <v>2044.0</v>
      </c>
      <c r="D937" s="8"/>
      <c r="E937" s="7" t="s">
        <v>150</v>
      </c>
      <c r="F937" s="9" t="s">
        <v>73</v>
      </c>
      <c r="G937" s="5" t="s">
        <v>75</v>
      </c>
    </row>
    <row r="938">
      <c r="A938" s="10">
        <v>1.068024994E9</v>
      </c>
      <c r="B938" s="8"/>
      <c r="C938" s="8"/>
      <c r="D938" s="8"/>
      <c r="E938" s="7" t="s">
        <v>151</v>
      </c>
      <c r="F938" s="9" t="s">
        <v>60</v>
      </c>
      <c r="G938" s="5" t="s">
        <v>84</v>
      </c>
    </row>
    <row r="939">
      <c r="A939" s="10">
        <v>1.086170639E9</v>
      </c>
      <c r="B939" s="8"/>
      <c r="C939" s="8"/>
      <c r="D939" s="8"/>
      <c r="E939" s="7" t="s">
        <v>151</v>
      </c>
      <c r="F939" s="9" t="s">
        <v>62</v>
      </c>
      <c r="G939" s="5" t="s">
        <v>84</v>
      </c>
    </row>
    <row r="940">
      <c r="A940" s="10">
        <v>1.169136691E9</v>
      </c>
      <c r="B940" s="8"/>
      <c r="C940" s="8"/>
      <c r="D940" s="8"/>
      <c r="E940" s="7" t="s">
        <v>151</v>
      </c>
      <c r="F940" s="9" t="s">
        <v>63</v>
      </c>
      <c r="G940" s="5" t="s">
        <v>84</v>
      </c>
    </row>
    <row r="941">
      <c r="A941" s="10">
        <v>1.42645203E9</v>
      </c>
      <c r="B941" s="8"/>
      <c r="C941" s="8"/>
      <c r="D941" s="8"/>
      <c r="E941" s="7" t="s">
        <v>151</v>
      </c>
      <c r="F941" s="9" t="s">
        <v>64</v>
      </c>
      <c r="G941" s="5" t="s">
        <v>84</v>
      </c>
    </row>
    <row r="942">
      <c r="A942" s="10">
        <v>1.644951892E9</v>
      </c>
      <c r="B942" s="8"/>
      <c r="C942" s="8"/>
      <c r="D942" s="8"/>
      <c r="E942" s="7" t="s">
        <v>151</v>
      </c>
      <c r="F942" s="9" t="s">
        <v>65</v>
      </c>
      <c r="G942" s="5" t="s">
        <v>84</v>
      </c>
    </row>
    <row r="943">
      <c r="A943" s="10">
        <v>1.702543477E9</v>
      </c>
      <c r="B943" s="8"/>
      <c r="C943" s="8"/>
      <c r="D943" s="8"/>
      <c r="E943" s="7" t="s">
        <v>151</v>
      </c>
      <c r="F943" s="9" t="s">
        <v>66</v>
      </c>
      <c r="G943" s="5" t="s">
        <v>84</v>
      </c>
    </row>
    <row r="944">
      <c r="A944" s="10">
        <v>1.738432116E9</v>
      </c>
      <c r="B944" s="8"/>
      <c r="C944" s="8"/>
      <c r="D944" s="8"/>
      <c r="E944" s="7" t="s">
        <v>151</v>
      </c>
      <c r="F944" s="9" t="s">
        <v>67</v>
      </c>
      <c r="G944" s="5" t="s">
        <v>84</v>
      </c>
    </row>
    <row r="945">
      <c r="A945" s="10">
        <v>2.121759848E9</v>
      </c>
      <c r="B945" s="8"/>
      <c r="C945" s="8"/>
      <c r="D945" s="8"/>
      <c r="E945" s="7" t="s">
        <v>151</v>
      </c>
      <c r="F945" s="9" t="s">
        <v>68</v>
      </c>
      <c r="G945" s="5" t="s">
        <v>84</v>
      </c>
    </row>
    <row r="946">
      <c r="A946" s="10">
        <v>1.739579594E9</v>
      </c>
      <c r="B946" s="8"/>
      <c r="C946" s="8"/>
      <c r="D946" s="8"/>
      <c r="E946" s="7" t="s">
        <v>151</v>
      </c>
      <c r="F946" s="9" t="s">
        <v>69</v>
      </c>
      <c r="G946" s="5" t="s">
        <v>84</v>
      </c>
    </row>
    <row r="947">
      <c r="A947" s="10">
        <v>1.267711816E9</v>
      </c>
      <c r="B947" s="8"/>
      <c r="C947" s="8"/>
      <c r="D947" s="8"/>
      <c r="E947" s="7" t="s">
        <v>151</v>
      </c>
      <c r="F947" s="9" t="s">
        <v>70</v>
      </c>
      <c r="G947" s="5" t="s">
        <v>84</v>
      </c>
    </row>
    <row r="948">
      <c r="A948" s="7"/>
      <c r="B948" s="8"/>
      <c r="C948" s="8"/>
      <c r="D948" s="8"/>
      <c r="E948" s="7" t="s">
        <v>151</v>
      </c>
      <c r="F948" s="9" t="s">
        <v>71</v>
      </c>
      <c r="G948" s="5" t="s">
        <v>84</v>
      </c>
    </row>
    <row r="949">
      <c r="A949" s="7"/>
      <c r="B949" s="8"/>
      <c r="C949" s="8"/>
      <c r="D949" s="8"/>
      <c r="E949" s="7" t="s">
        <v>151</v>
      </c>
      <c r="F949" s="9" t="s">
        <v>72</v>
      </c>
      <c r="G949" s="5" t="s">
        <v>84</v>
      </c>
    </row>
    <row r="950">
      <c r="A950" s="7"/>
      <c r="B950" s="8"/>
      <c r="C950" s="8"/>
      <c r="D950" s="8"/>
      <c r="E950" s="7" t="s">
        <v>151</v>
      </c>
      <c r="F950" s="9" t="s">
        <v>73</v>
      </c>
      <c r="G950" s="5" t="s">
        <v>84</v>
      </c>
    </row>
    <row r="951">
      <c r="A951" s="10">
        <v>5.23256355E8</v>
      </c>
      <c r="B951" s="11">
        <v>0.066</v>
      </c>
      <c r="C951" s="11">
        <v>339.0</v>
      </c>
      <c r="D951" s="11">
        <v>0.116</v>
      </c>
      <c r="E951" s="7" t="s">
        <v>152</v>
      </c>
      <c r="F951" s="9" t="s">
        <v>60</v>
      </c>
      <c r="G951" s="5" t="s">
        <v>84</v>
      </c>
    </row>
    <row r="952">
      <c r="A952" s="10">
        <v>5.23279846E8</v>
      </c>
      <c r="B952" s="11">
        <v>0.076</v>
      </c>
      <c r="C952" s="11">
        <v>392.0</v>
      </c>
      <c r="D952" s="11">
        <v>0.102</v>
      </c>
      <c r="E952" s="7" t="s">
        <v>152</v>
      </c>
      <c r="F952" s="9" t="s">
        <v>62</v>
      </c>
      <c r="G952" s="5" t="s">
        <v>84</v>
      </c>
    </row>
    <row r="953">
      <c r="A953" s="10">
        <v>5.44381962E8</v>
      </c>
      <c r="B953" s="11">
        <v>0.066</v>
      </c>
      <c r="C953" s="11">
        <v>353.0</v>
      </c>
      <c r="D953" s="11">
        <v>0.113</v>
      </c>
      <c r="E953" s="7" t="s">
        <v>152</v>
      </c>
      <c r="F953" s="9" t="s">
        <v>63</v>
      </c>
      <c r="G953" s="5" t="s">
        <v>84</v>
      </c>
    </row>
    <row r="954">
      <c r="A954" s="10">
        <v>5.96339089E8</v>
      </c>
      <c r="B954" s="11">
        <v>0.062</v>
      </c>
      <c r="C954" s="11">
        <v>359.0</v>
      </c>
      <c r="D954" s="11">
        <v>0.12</v>
      </c>
      <c r="E954" s="7" t="s">
        <v>152</v>
      </c>
      <c r="F954" s="9" t="s">
        <v>64</v>
      </c>
      <c r="G954" s="5" t="s">
        <v>84</v>
      </c>
    </row>
    <row r="955">
      <c r="A955" s="10">
        <v>6.00014341E8</v>
      </c>
      <c r="B955" s="11">
        <v>0.058</v>
      </c>
      <c r="C955" s="11">
        <v>342.0</v>
      </c>
      <c r="D955" s="11">
        <v>0.102</v>
      </c>
      <c r="E955" s="7" t="s">
        <v>152</v>
      </c>
      <c r="F955" s="9" t="s">
        <v>65</v>
      </c>
      <c r="G955" s="5" t="s">
        <v>84</v>
      </c>
    </row>
    <row r="956">
      <c r="A956" s="10">
        <v>7.00431791E8</v>
      </c>
      <c r="B956" s="11">
        <v>0.061</v>
      </c>
      <c r="C956" s="11">
        <v>412.0</v>
      </c>
      <c r="D956" s="11">
        <v>0.101</v>
      </c>
      <c r="E956" s="7" t="s">
        <v>152</v>
      </c>
      <c r="F956" s="9" t="s">
        <v>66</v>
      </c>
      <c r="G956" s="5" t="s">
        <v>84</v>
      </c>
    </row>
    <row r="957">
      <c r="A957" s="10">
        <v>7.04762536E8</v>
      </c>
      <c r="B957" s="11">
        <v>0.064</v>
      </c>
      <c r="C957" s="11">
        <v>435.0</v>
      </c>
      <c r="D957" s="11">
        <v>0.099</v>
      </c>
      <c r="E957" s="7" t="s">
        <v>152</v>
      </c>
      <c r="F957" s="9" t="s">
        <v>67</v>
      </c>
      <c r="G957" s="5" t="s">
        <v>84</v>
      </c>
    </row>
    <row r="958">
      <c r="A958" s="10">
        <v>7.58888875E8</v>
      </c>
      <c r="B958" s="11">
        <v>0.061</v>
      </c>
      <c r="C958" s="11">
        <v>448.0</v>
      </c>
      <c r="D958" s="11">
        <v>0.098</v>
      </c>
      <c r="E958" s="7" t="s">
        <v>152</v>
      </c>
      <c r="F958" s="9" t="s">
        <v>68</v>
      </c>
      <c r="G958" s="5" t="s">
        <v>84</v>
      </c>
    </row>
    <row r="959">
      <c r="A959" s="10">
        <v>8.25925911E8</v>
      </c>
      <c r="B959" s="11">
        <v>0.06</v>
      </c>
      <c r="C959" s="11">
        <v>474.0</v>
      </c>
      <c r="D959" s="11">
        <v>0.095</v>
      </c>
      <c r="E959" s="7" t="s">
        <v>152</v>
      </c>
      <c r="F959" s="9" t="s">
        <v>69</v>
      </c>
      <c r="G959" s="5" t="s">
        <v>84</v>
      </c>
    </row>
    <row r="960">
      <c r="A960" s="10">
        <v>7.71481468E8</v>
      </c>
      <c r="B960" s="11">
        <v>0.062</v>
      </c>
      <c r="C960" s="11">
        <v>462.0</v>
      </c>
      <c r="D960" s="11">
        <v>0.11</v>
      </c>
      <c r="E960" s="7" t="s">
        <v>152</v>
      </c>
      <c r="F960" s="9" t="s">
        <v>70</v>
      </c>
      <c r="G960" s="5" t="s">
        <v>84</v>
      </c>
    </row>
    <row r="961">
      <c r="A961" s="10">
        <v>7.71111097E8</v>
      </c>
      <c r="B961" s="11">
        <v>0.06</v>
      </c>
      <c r="C961" s="11">
        <v>438.0</v>
      </c>
      <c r="D961" s="11">
        <v>0.106</v>
      </c>
      <c r="E961" s="7" t="s">
        <v>152</v>
      </c>
      <c r="F961" s="9" t="s">
        <v>71</v>
      </c>
      <c r="G961" s="5" t="s">
        <v>84</v>
      </c>
    </row>
    <row r="962">
      <c r="A962" s="10">
        <v>7.78518505E8</v>
      </c>
      <c r="B962" s="11">
        <v>0.065</v>
      </c>
      <c r="C962" s="11">
        <v>481.0</v>
      </c>
      <c r="D962" s="11">
        <v>0.107</v>
      </c>
      <c r="E962" s="7" t="s">
        <v>152</v>
      </c>
      <c r="F962" s="9" t="s">
        <v>72</v>
      </c>
      <c r="G962" s="5" t="s">
        <v>84</v>
      </c>
    </row>
    <row r="963">
      <c r="A963" s="10">
        <v>8.01481467E8</v>
      </c>
      <c r="B963" s="11">
        <v>0.064</v>
      </c>
      <c r="C963" s="11">
        <v>478.0</v>
      </c>
      <c r="D963" s="11">
        <v>0.097</v>
      </c>
      <c r="E963" s="7" t="s">
        <v>152</v>
      </c>
      <c r="F963" s="9" t="s">
        <v>73</v>
      </c>
      <c r="G963" s="5" t="s">
        <v>84</v>
      </c>
    </row>
    <row r="964">
      <c r="A964" s="7"/>
      <c r="B964" s="8"/>
      <c r="C964" s="8"/>
      <c r="D964" s="8"/>
      <c r="E964" s="7" t="s">
        <v>153</v>
      </c>
      <c r="F964" s="9" t="s">
        <v>60</v>
      </c>
      <c r="G964" s="5" t="s">
        <v>80</v>
      </c>
    </row>
    <row r="965">
      <c r="A965" s="7"/>
      <c r="B965" s="8"/>
      <c r="C965" s="8"/>
      <c r="D965" s="8"/>
      <c r="E965" s="7" t="s">
        <v>153</v>
      </c>
      <c r="F965" s="9" t="s">
        <v>62</v>
      </c>
      <c r="G965" s="5" t="s">
        <v>80</v>
      </c>
    </row>
    <row r="966">
      <c r="A966" s="7"/>
      <c r="B966" s="8"/>
      <c r="C966" s="8"/>
      <c r="D966" s="8"/>
      <c r="E966" s="7" t="s">
        <v>153</v>
      </c>
      <c r="F966" s="9" t="s">
        <v>63</v>
      </c>
      <c r="G966" s="5" t="s">
        <v>80</v>
      </c>
    </row>
    <row r="967">
      <c r="A967" s="7"/>
      <c r="B967" s="8"/>
      <c r="C967" s="8"/>
      <c r="D967" s="8"/>
      <c r="E967" s="7" t="s">
        <v>153</v>
      </c>
      <c r="F967" s="9" t="s">
        <v>64</v>
      </c>
      <c r="G967" s="5" t="s">
        <v>80</v>
      </c>
    </row>
    <row r="968">
      <c r="A968" s="7"/>
      <c r="B968" s="8"/>
      <c r="C968" s="8"/>
      <c r="D968" s="8"/>
      <c r="E968" s="7" t="s">
        <v>153</v>
      </c>
      <c r="F968" s="9" t="s">
        <v>65</v>
      </c>
      <c r="G968" s="5" t="s">
        <v>80</v>
      </c>
    </row>
    <row r="969">
      <c r="A969" s="7"/>
      <c r="B969" s="8"/>
      <c r="C969" s="8"/>
      <c r="D969" s="8"/>
      <c r="E969" s="7" t="s">
        <v>153</v>
      </c>
      <c r="F969" s="9" t="s">
        <v>66</v>
      </c>
      <c r="G969" s="5" t="s">
        <v>80</v>
      </c>
    </row>
    <row r="970">
      <c r="A970" s="7"/>
      <c r="B970" s="8"/>
      <c r="C970" s="8"/>
      <c r="D970" s="8"/>
      <c r="E970" s="7" t="s">
        <v>153</v>
      </c>
      <c r="F970" s="9" t="s">
        <v>67</v>
      </c>
      <c r="G970" s="5" t="s">
        <v>80</v>
      </c>
    </row>
    <row r="971">
      <c r="A971" s="7"/>
      <c r="B971" s="8"/>
      <c r="C971" s="8"/>
      <c r="D971" s="8"/>
      <c r="E971" s="7" t="s">
        <v>153</v>
      </c>
      <c r="F971" s="9" t="s">
        <v>68</v>
      </c>
      <c r="G971" s="5" t="s">
        <v>80</v>
      </c>
    </row>
    <row r="972">
      <c r="A972" s="7"/>
      <c r="B972" s="8"/>
      <c r="C972" s="8"/>
      <c r="D972" s="8"/>
      <c r="E972" s="7" t="s">
        <v>153</v>
      </c>
      <c r="F972" s="9" t="s">
        <v>69</v>
      </c>
      <c r="G972" s="5" t="s">
        <v>80</v>
      </c>
    </row>
    <row r="973">
      <c r="A973" s="7"/>
      <c r="B973" s="8"/>
      <c r="C973" s="8"/>
      <c r="D973" s="8"/>
      <c r="E973" s="7" t="s">
        <v>153</v>
      </c>
      <c r="F973" s="9" t="s">
        <v>70</v>
      </c>
      <c r="G973" s="5" t="s">
        <v>80</v>
      </c>
    </row>
    <row r="974">
      <c r="A974" s="7"/>
      <c r="B974" s="8"/>
      <c r="C974" s="8"/>
      <c r="D974" s="8"/>
      <c r="E974" s="7" t="s">
        <v>153</v>
      </c>
      <c r="F974" s="9" t="s">
        <v>71</v>
      </c>
      <c r="G974" s="5" t="s">
        <v>80</v>
      </c>
    </row>
    <row r="975">
      <c r="A975" s="7"/>
      <c r="B975" s="8"/>
      <c r="C975" s="8"/>
      <c r="D975" s="8"/>
      <c r="E975" s="7" t="s">
        <v>153</v>
      </c>
      <c r="F975" s="9" t="s">
        <v>72</v>
      </c>
      <c r="G975" s="5" t="s">
        <v>80</v>
      </c>
    </row>
    <row r="976">
      <c r="A976" s="7"/>
      <c r="B976" s="8"/>
      <c r="C976" s="8"/>
      <c r="D976" s="8"/>
      <c r="E976" s="7" t="s">
        <v>153</v>
      </c>
      <c r="F976" s="9" t="s">
        <v>73</v>
      </c>
      <c r="G976" s="5" t="s">
        <v>80</v>
      </c>
    </row>
    <row r="977">
      <c r="A977" s="10">
        <v>1.929056657E10</v>
      </c>
      <c r="B977" s="11">
        <v>0.056</v>
      </c>
      <c r="C977" s="11">
        <v>96.0</v>
      </c>
      <c r="D977" s="11">
        <v>0.209</v>
      </c>
      <c r="E977" s="7" t="s">
        <v>154</v>
      </c>
      <c r="F977" s="9" t="s">
        <v>60</v>
      </c>
      <c r="G977" s="5" t="s">
        <v>84</v>
      </c>
    </row>
    <row r="978">
      <c r="A978" s="10">
        <v>1.8702820735E10</v>
      </c>
      <c r="B978" s="11">
        <v>0.064</v>
      </c>
      <c r="C978" s="11">
        <v>105.0</v>
      </c>
      <c r="D978" s="11">
        <v>0.19</v>
      </c>
      <c r="E978" s="7" t="s">
        <v>154</v>
      </c>
      <c r="F978" s="9" t="s">
        <v>62</v>
      </c>
      <c r="G978" s="5" t="s">
        <v>84</v>
      </c>
    </row>
    <row r="979">
      <c r="A979" s="10">
        <v>2.077653692E10</v>
      </c>
      <c r="B979" s="11">
        <v>0.062</v>
      </c>
      <c r="C979" s="11">
        <v>110.0</v>
      </c>
      <c r="D979" s="11">
        <v>0.169</v>
      </c>
      <c r="E979" s="7" t="s">
        <v>154</v>
      </c>
      <c r="F979" s="9" t="s">
        <v>63</v>
      </c>
      <c r="G979" s="5" t="s">
        <v>84</v>
      </c>
    </row>
    <row r="980">
      <c r="A980" s="10">
        <v>2.19175655E10</v>
      </c>
      <c r="B980" s="11">
        <v>0.064</v>
      </c>
      <c r="C980" s="11">
        <v>116.0</v>
      </c>
      <c r="D980" s="11">
        <v>0.15</v>
      </c>
      <c r="E980" s="7" t="s">
        <v>154</v>
      </c>
      <c r="F980" s="9" t="s">
        <v>64</v>
      </c>
      <c r="G980" s="5" t="s">
        <v>84</v>
      </c>
    </row>
    <row r="981">
      <c r="A981" s="10">
        <v>2.3965280312E10</v>
      </c>
      <c r="B981" s="11">
        <v>0.064</v>
      </c>
      <c r="C981" s="11">
        <v>124.0</v>
      </c>
      <c r="D981" s="11">
        <v>0.138</v>
      </c>
      <c r="E981" s="7" t="s">
        <v>154</v>
      </c>
      <c r="F981" s="9" t="s">
        <v>65</v>
      </c>
      <c r="G981" s="5" t="s">
        <v>84</v>
      </c>
    </row>
    <row r="982">
      <c r="A982" s="10">
        <v>2.7211230374E10</v>
      </c>
      <c r="B982" s="11">
        <v>0.065</v>
      </c>
      <c r="C982" s="11">
        <v>138.0</v>
      </c>
      <c r="D982" s="11">
        <v>0.13</v>
      </c>
      <c r="E982" s="7" t="s">
        <v>154</v>
      </c>
      <c r="F982" s="9" t="s">
        <v>66</v>
      </c>
      <c r="G982" s="5" t="s">
        <v>84</v>
      </c>
    </row>
    <row r="983">
      <c r="A983" s="10">
        <v>3.0231130543E10</v>
      </c>
      <c r="B983" s="11">
        <v>0.073</v>
      </c>
      <c r="C983" s="11">
        <v>171.0</v>
      </c>
      <c r="D983" s="11">
        <v>0.128</v>
      </c>
      <c r="E983" s="7" t="s">
        <v>154</v>
      </c>
      <c r="F983" s="9" t="s">
        <v>67</v>
      </c>
      <c r="G983" s="5" t="s">
        <v>84</v>
      </c>
    </row>
    <row r="984">
      <c r="A984" s="10">
        <v>3.4113106486E10</v>
      </c>
      <c r="B984" s="11">
        <v>0.072</v>
      </c>
      <c r="C984" s="11">
        <v>184.0</v>
      </c>
      <c r="D984" s="11">
        <v>0.128</v>
      </c>
      <c r="E984" s="7" t="s">
        <v>154</v>
      </c>
      <c r="F984" s="9" t="s">
        <v>68</v>
      </c>
      <c r="G984" s="5" t="s">
        <v>84</v>
      </c>
    </row>
    <row r="985">
      <c r="A985" s="10">
        <v>3.9136441799E10</v>
      </c>
      <c r="B985" s="11">
        <v>0.069</v>
      </c>
      <c r="C985" s="11">
        <v>199.0</v>
      </c>
      <c r="D985" s="11">
        <v>0.134</v>
      </c>
      <c r="E985" s="7" t="s">
        <v>154</v>
      </c>
      <c r="F985" s="9" t="s">
        <v>69</v>
      </c>
      <c r="G985" s="5" t="s">
        <v>84</v>
      </c>
    </row>
    <row r="986">
      <c r="A986" s="10">
        <v>3.7733606156E10</v>
      </c>
      <c r="B986" s="11">
        <v>0.071</v>
      </c>
      <c r="C986" s="11">
        <v>190.0</v>
      </c>
      <c r="D986" s="11">
        <v>0.138</v>
      </c>
      <c r="E986" s="7" t="s">
        <v>154</v>
      </c>
      <c r="F986" s="9" t="s">
        <v>70</v>
      </c>
      <c r="G986" s="5" t="s">
        <v>84</v>
      </c>
    </row>
    <row r="987">
      <c r="A987" s="10">
        <v>4.1338007893E10</v>
      </c>
      <c r="B987" s="11">
        <v>0.069</v>
      </c>
      <c r="C987" s="11">
        <v>198.0</v>
      </c>
      <c r="D987" s="11">
        <v>0.133</v>
      </c>
      <c r="E987" s="7" t="s">
        <v>154</v>
      </c>
      <c r="F987" s="9" t="s">
        <v>71</v>
      </c>
      <c r="G987" s="5" t="s">
        <v>84</v>
      </c>
    </row>
    <row r="988">
      <c r="A988" s="10">
        <v>4.7654789735E10</v>
      </c>
      <c r="B988" s="11">
        <v>0.067</v>
      </c>
      <c r="C988" s="11">
        <v>215.0</v>
      </c>
      <c r="D988" s="11">
        <v>0.134</v>
      </c>
      <c r="E988" s="7" t="s">
        <v>154</v>
      </c>
      <c r="F988" s="9" t="s">
        <v>72</v>
      </c>
      <c r="G988" s="5" t="s">
        <v>84</v>
      </c>
    </row>
    <row r="989">
      <c r="A989" s="10">
        <v>5.0388454861E10</v>
      </c>
      <c r="B989" s="11">
        <v>0.067</v>
      </c>
      <c r="C989" s="11">
        <v>226.0</v>
      </c>
      <c r="D989" s="11">
        <v>0.135</v>
      </c>
      <c r="E989" s="7" t="s">
        <v>154</v>
      </c>
      <c r="F989" s="9" t="s">
        <v>73</v>
      </c>
      <c r="G989" s="5" t="s">
        <v>84</v>
      </c>
    </row>
    <row r="990">
      <c r="A990" s="10">
        <v>2.995360969E9</v>
      </c>
      <c r="B990" s="11">
        <v>0.056</v>
      </c>
      <c r="C990" s="11">
        <v>19.0</v>
      </c>
      <c r="D990" s="11">
        <v>0.194</v>
      </c>
      <c r="E990" s="7" t="s">
        <v>155</v>
      </c>
      <c r="F990" s="9" t="s">
        <v>60</v>
      </c>
      <c r="G990" s="5" t="s">
        <v>77</v>
      </c>
    </row>
    <row r="991">
      <c r="A991" s="10">
        <v>2.83344275E9</v>
      </c>
      <c r="B991" s="11">
        <v>0.059</v>
      </c>
      <c r="C991" s="11">
        <v>19.0</v>
      </c>
      <c r="D991" s="8"/>
      <c r="E991" s="7" t="s">
        <v>155</v>
      </c>
      <c r="F991" s="9" t="s">
        <v>62</v>
      </c>
      <c r="G991" s="5" t="s">
        <v>77</v>
      </c>
    </row>
    <row r="992">
      <c r="A992" s="10">
        <v>2.949637039E9</v>
      </c>
      <c r="B992" s="11">
        <v>0.061</v>
      </c>
      <c r="C992" s="11">
        <v>20.0</v>
      </c>
      <c r="D992" s="8"/>
      <c r="E992" s="7" t="s">
        <v>155</v>
      </c>
      <c r="F992" s="9" t="s">
        <v>63</v>
      </c>
      <c r="G992" s="5" t="s">
        <v>77</v>
      </c>
    </row>
    <row r="993">
      <c r="A993" s="10">
        <v>3.446442219E9</v>
      </c>
      <c r="B993" s="11">
        <v>0.049</v>
      </c>
      <c r="C993" s="11">
        <v>18.0</v>
      </c>
      <c r="D993" s="8"/>
      <c r="E993" s="7" t="s">
        <v>155</v>
      </c>
      <c r="F993" s="9" t="s">
        <v>64</v>
      </c>
      <c r="G993" s="5" t="s">
        <v>77</v>
      </c>
    </row>
    <row r="994">
      <c r="A994" s="10">
        <v>3.666349049E9</v>
      </c>
      <c r="B994" s="11">
        <v>0.053</v>
      </c>
      <c r="C994" s="11">
        <v>20.0</v>
      </c>
      <c r="D994" s="8"/>
      <c r="E994" s="7" t="s">
        <v>155</v>
      </c>
      <c r="F994" s="9" t="s">
        <v>65</v>
      </c>
      <c r="G994" s="5" t="s">
        <v>77</v>
      </c>
    </row>
    <row r="995">
      <c r="A995" s="10">
        <v>2.937072009E9</v>
      </c>
      <c r="B995" s="11">
        <v>0.053</v>
      </c>
      <c r="C995" s="11">
        <v>16.0</v>
      </c>
      <c r="D995" s="8"/>
      <c r="E995" s="7" t="s">
        <v>155</v>
      </c>
      <c r="F995" s="9" t="s">
        <v>66</v>
      </c>
      <c r="G995" s="5" t="s">
        <v>77</v>
      </c>
    </row>
    <row r="996">
      <c r="A996" s="10">
        <v>2.821346684E9</v>
      </c>
      <c r="B996" s="11">
        <v>0.055</v>
      </c>
      <c r="C996" s="11">
        <v>16.0</v>
      </c>
      <c r="D996" s="8"/>
      <c r="E996" s="7" t="s">
        <v>155</v>
      </c>
      <c r="F996" s="9" t="s">
        <v>67</v>
      </c>
      <c r="G996" s="5" t="s">
        <v>77</v>
      </c>
    </row>
    <row r="997">
      <c r="A997" s="10">
        <v>4.134173271E9</v>
      </c>
      <c r="B997" s="11">
        <v>0.063</v>
      </c>
      <c r="C997" s="11">
        <v>26.0</v>
      </c>
      <c r="D997" s="8"/>
      <c r="E997" s="7" t="s">
        <v>155</v>
      </c>
      <c r="F997" s="9" t="s">
        <v>68</v>
      </c>
      <c r="G997" s="5" t="s">
        <v>77</v>
      </c>
    </row>
    <row r="998">
      <c r="A998" s="10">
        <v>4.515824643E9</v>
      </c>
      <c r="B998" s="11">
        <v>0.06</v>
      </c>
      <c r="C998" s="11">
        <v>26.0</v>
      </c>
      <c r="D998" s="8"/>
      <c r="E998" s="7" t="s">
        <v>155</v>
      </c>
      <c r="F998" s="9" t="s">
        <v>69</v>
      </c>
      <c r="G998" s="5" t="s">
        <v>77</v>
      </c>
    </row>
    <row r="999">
      <c r="A999" s="10">
        <v>4.60992372E9</v>
      </c>
      <c r="B999" s="11">
        <v>0.063</v>
      </c>
      <c r="C999" s="11">
        <v>28.0</v>
      </c>
      <c r="D999" s="8"/>
      <c r="E999" s="7" t="s">
        <v>155</v>
      </c>
      <c r="F999" s="9" t="s">
        <v>70</v>
      </c>
      <c r="G999" s="5" t="s">
        <v>77</v>
      </c>
    </row>
    <row r="1000">
      <c r="A1000" s="10">
        <v>4.735956476E9</v>
      </c>
      <c r="B1000" s="11">
        <v>0.062</v>
      </c>
      <c r="C1000" s="11">
        <v>27.0</v>
      </c>
      <c r="D1000" s="8"/>
      <c r="E1000" s="7" t="s">
        <v>155</v>
      </c>
      <c r="F1000" s="9" t="s">
        <v>71</v>
      </c>
      <c r="G1000" s="5" t="s">
        <v>77</v>
      </c>
    </row>
    <row r="1001">
      <c r="A1001" s="10">
        <v>5.067360041E9</v>
      </c>
      <c r="B1001" s="11">
        <v>0.06</v>
      </c>
      <c r="C1001" s="11">
        <v>27.0</v>
      </c>
      <c r="D1001" s="8"/>
      <c r="E1001" s="7" t="s">
        <v>155</v>
      </c>
      <c r="F1001" s="9" t="s">
        <v>72</v>
      </c>
      <c r="G1001" s="5" t="s">
        <v>77</v>
      </c>
    </row>
    <row r="1002">
      <c r="A1002" s="10">
        <v>5.65108817E9</v>
      </c>
      <c r="B1002" s="11">
        <v>0.063</v>
      </c>
      <c r="C1002" s="11">
        <v>32.0</v>
      </c>
      <c r="D1002" s="8"/>
      <c r="E1002" s="7" t="s">
        <v>155</v>
      </c>
      <c r="F1002" s="9" t="s">
        <v>73</v>
      </c>
      <c r="G1002" s="5" t="s">
        <v>77</v>
      </c>
    </row>
    <row r="1003">
      <c r="A1003" s="10">
        <v>3.61858968E8</v>
      </c>
      <c r="B1003" s="11">
        <v>0.049</v>
      </c>
      <c r="C1003" s="11">
        <v>16.0</v>
      </c>
      <c r="D1003" s="8"/>
      <c r="E1003" s="7" t="s">
        <v>156</v>
      </c>
      <c r="F1003" s="9" t="s">
        <v>60</v>
      </c>
      <c r="G1003" s="5" t="s">
        <v>77</v>
      </c>
    </row>
    <row r="1004">
      <c r="A1004" s="10">
        <v>3.842704E8</v>
      </c>
      <c r="B1004" s="11">
        <v>0.05</v>
      </c>
      <c r="C1004" s="11">
        <v>15.0</v>
      </c>
      <c r="D1004" s="8"/>
      <c r="E1004" s="7" t="s">
        <v>156</v>
      </c>
      <c r="F1004" s="9" t="s">
        <v>62</v>
      </c>
      <c r="G1004" s="5" t="s">
        <v>77</v>
      </c>
    </row>
    <row r="1005">
      <c r="A1005" s="10">
        <v>4.06669723E8</v>
      </c>
      <c r="B1005" s="11">
        <v>0.058</v>
      </c>
      <c r="C1005" s="11">
        <v>17.0</v>
      </c>
      <c r="D1005" s="8"/>
      <c r="E1005" s="7" t="s">
        <v>156</v>
      </c>
      <c r="F1005" s="9" t="s">
        <v>63</v>
      </c>
      <c r="G1005" s="5" t="s">
        <v>77</v>
      </c>
    </row>
    <row r="1006">
      <c r="A1006" s="10">
        <v>4.65414408E8</v>
      </c>
      <c r="B1006" s="11">
        <v>0.058</v>
      </c>
      <c r="C1006" s="11">
        <v>20.0</v>
      </c>
      <c r="D1006" s="8"/>
      <c r="E1006" s="7" t="s">
        <v>156</v>
      </c>
      <c r="F1006" s="9" t="s">
        <v>64</v>
      </c>
      <c r="G1006" s="5" t="s">
        <v>77</v>
      </c>
    </row>
    <row r="1007">
      <c r="A1007" s="10">
        <v>5.22651788E8</v>
      </c>
      <c r="B1007" s="11">
        <v>0.053</v>
      </c>
      <c r="C1007" s="11">
        <v>20.0</v>
      </c>
      <c r="D1007" s="8"/>
      <c r="E1007" s="7" t="s">
        <v>156</v>
      </c>
      <c r="F1007" s="9" t="s">
        <v>65</v>
      </c>
      <c r="G1007" s="5" t="s">
        <v>77</v>
      </c>
    </row>
    <row r="1008">
      <c r="A1008" s="10">
        <v>5.72853554E8</v>
      </c>
      <c r="B1008" s="11">
        <v>0.057</v>
      </c>
      <c r="C1008" s="11">
        <v>24.0</v>
      </c>
      <c r="D1008" s="8"/>
      <c r="E1008" s="7" t="s">
        <v>156</v>
      </c>
      <c r="F1008" s="9" t="s">
        <v>66</v>
      </c>
      <c r="G1008" s="5" t="s">
        <v>77</v>
      </c>
    </row>
    <row r="1009">
      <c r="A1009" s="10">
        <v>5.78517349E8</v>
      </c>
      <c r="B1009" s="11">
        <v>0.059</v>
      </c>
      <c r="C1009" s="11">
        <v>24.0</v>
      </c>
      <c r="D1009" s="8"/>
      <c r="E1009" s="7" t="s">
        <v>156</v>
      </c>
      <c r="F1009" s="9" t="s">
        <v>67</v>
      </c>
      <c r="G1009" s="5" t="s">
        <v>77</v>
      </c>
    </row>
    <row r="1010">
      <c r="A1010" s="10">
        <v>6.90721769E8</v>
      </c>
      <c r="B1010" s="11">
        <v>0.061</v>
      </c>
      <c r="C1010" s="11">
        <v>29.0</v>
      </c>
      <c r="D1010" s="8"/>
      <c r="E1010" s="7" t="s">
        <v>156</v>
      </c>
      <c r="F1010" s="9" t="s">
        <v>68</v>
      </c>
      <c r="G1010" s="5" t="s">
        <v>77</v>
      </c>
    </row>
    <row r="1011">
      <c r="A1011" s="10">
        <v>8.42890956E8</v>
      </c>
      <c r="B1011" s="11">
        <v>0.06</v>
      </c>
      <c r="C1011" s="11">
        <v>34.0</v>
      </c>
      <c r="D1011" s="8"/>
      <c r="E1011" s="7" t="s">
        <v>156</v>
      </c>
      <c r="F1011" s="9" t="s">
        <v>69</v>
      </c>
      <c r="G1011" s="5" t="s">
        <v>77</v>
      </c>
    </row>
    <row r="1012">
      <c r="A1012" s="10">
        <v>8.32530157E8</v>
      </c>
      <c r="B1012" s="11">
        <v>0.068</v>
      </c>
      <c r="C1012" s="11">
        <v>36.0</v>
      </c>
      <c r="D1012" s="8"/>
      <c r="E1012" s="7" t="s">
        <v>156</v>
      </c>
      <c r="F1012" s="9" t="s">
        <v>70</v>
      </c>
      <c r="G1012" s="5" t="s">
        <v>77</v>
      </c>
    </row>
    <row r="1013">
      <c r="A1013" s="10">
        <v>8.35390893E8</v>
      </c>
      <c r="B1013" s="11">
        <v>0.071</v>
      </c>
      <c r="C1013" s="11">
        <v>38.0</v>
      </c>
      <c r="D1013" s="8"/>
      <c r="E1013" s="7" t="s">
        <v>156</v>
      </c>
      <c r="F1013" s="9" t="s">
        <v>71</v>
      </c>
      <c r="G1013" s="5" t="s">
        <v>77</v>
      </c>
    </row>
    <row r="1014">
      <c r="A1014" s="10">
        <v>9.67762549E8</v>
      </c>
      <c r="B1014" s="11">
        <v>0.063</v>
      </c>
      <c r="C1014" s="11">
        <v>35.0</v>
      </c>
      <c r="D1014" s="8"/>
      <c r="E1014" s="7" t="s">
        <v>156</v>
      </c>
      <c r="F1014" s="9" t="s">
        <v>72</v>
      </c>
      <c r="G1014" s="5" t="s">
        <v>77</v>
      </c>
    </row>
    <row r="1015">
      <c r="A1015" s="10">
        <v>8.22320638E8</v>
      </c>
      <c r="B1015" s="11">
        <v>0.059</v>
      </c>
      <c r="C1015" s="11">
        <v>30.0</v>
      </c>
      <c r="D1015" s="8"/>
      <c r="E1015" s="7" t="s">
        <v>156</v>
      </c>
      <c r="F1015" s="9" t="s">
        <v>73</v>
      </c>
      <c r="G1015" s="5" t="s">
        <v>77</v>
      </c>
    </row>
    <row r="1016">
      <c r="A1016" s="10">
        <v>7.12667925E8</v>
      </c>
      <c r="B1016" s="11">
        <v>0.058</v>
      </c>
      <c r="C1016" s="11">
        <v>56.0</v>
      </c>
      <c r="D1016" s="11">
        <v>0.173</v>
      </c>
      <c r="E1016" s="7" t="s">
        <v>157</v>
      </c>
      <c r="F1016" s="9" t="s">
        <v>60</v>
      </c>
      <c r="G1016" s="5" t="s">
        <v>84</v>
      </c>
    </row>
    <row r="1017">
      <c r="A1017" s="10">
        <v>6.96281469E8</v>
      </c>
      <c r="B1017" s="11">
        <v>0.058</v>
      </c>
      <c r="C1017" s="11">
        <v>54.0</v>
      </c>
      <c r="D1017" s="11">
        <v>0.17</v>
      </c>
      <c r="E1017" s="7" t="s">
        <v>157</v>
      </c>
      <c r="F1017" s="9" t="s">
        <v>62</v>
      </c>
      <c r="G1017" s="5" t="s">
        <v>84</v>
      </c>
    </row>
    <row r="1018">
      <c r="A1018" s="10">
        <v>7.22460912E8</v>
      </c>
      <c r="B1018" s="11">
        <v>0.058</v>
      </c>
      <c r="C1018" s="11">
        <v>56.0</v>
      </c>
      <c r="D1018" s="11">
        <v>0.163</v>
      </c>
      <c r="E1018" s="7" t="s">
        <v>157</v>
      </c>
      <c r="F1018" s="9" t="s">
        <v>63</v>
      </c>
      <c r="G1018" s="5" t="s">
        <v>84</v>
      </c>
    </row>
    <row r="1019">
      <c r="A1019" s="10">
        <v>7.41929343E8</v>
      </c>
      <c r="B1019" s="11">
        <v>0.056</v>
      </c>
      <c r="C1019" s="11">
        <v>55.0</v>
      </c>
      <c r="D1019" s="11">
        <v>0.15</v>
      </c>
      <c r="E1019" s="7" t="s">
        <v>157</v>
      </c>
      <c r="F1019" s="9" t="s">
        <v>64</v>
      </c>
      <c r="G1019" s="5" t="s">
        <v>84</v>
      </c>
    </row>
    <row r="1020">
      <c r="A1020" s="10">
        <v>7.8591877E8</v>
      </c>
      <c r="B1020" s="11">
        <v>0.053</v>
      </c>
      <c r="C1020" s="11">
        <v>55.0</v>
      </c>
      <c r="D1020" s="11">
        <v>0.145</v>
      </c>
      <c r="E1020" s="7" t="s">
        <v>157</v>
      </c>
      <c r="F1020" s="9" t="s">
        <v>65</v>
      </c>
      <c r="G1020" s="5" t="s">
        <v>84</v>
      </c>
    </row>
    <row r="1021">
      <c r="A1021" s="10">
        <v>8.2488055E8</v>
      </c>
      <c r="B1021" s="11">
        <v>0.053</v>
      </c>
      <c r="C1021" s="11">
        <v>58.0</v>
      </c>
      <c r="D1021" s="11">
        <v>0.145</v>
      </c>
      <c r="E1021" s="7" t="s">
        <v>157</v>
      </c>
      <c r="F1021" s="9" t="s">
        <v>66</v>
      </c>
      <c r="G1021" s="5" t="s">
        <v>84</v>
      </c>
    </row>
    <row r="1022">
      <c r="A1022" s="10">
        <v>1.458449058E9</v>
      </c>
      <c r="B1022" s="11">
        <v>0.041</v>
      </c>
      <c r="C1022" s="11">
        <v>79.0</v>
      </c>
      <c r="D1022" s="11">
        <v>0.145</v>
      </c>
      <c r="E1022" s="7" t="s">
        <v>157</v>
      </c>
      <c r="F1022" s="9" t="s">
        <v>67</v>
      </c>
      <c r="G1022" s="5" t="s">
        <v>84</v>
      </c>
    </row>
    <row r="1023">
      <c r="A1023" s="10">
        <v>1.740334782E9</v>
      </c>
      <c r="B1023" s="11">
        <v>0.039</v>
      </c>
      <c r="C1023" s="11">
        <v>89.0</v>
      </c>
      <c r="D1023" s="11">
        <v>0.146</v>
      </c>
      <c r="E1023" s="7" t="s">
        <v>157</v>
      </c>
      <c r="F1023" s="9" t="s">
        <v>68</v>
      </c>
      <c r="G1023" s="5" t="s">
        <v>84</v>
      </c>
    </row>
    <row r="1024">
      <c r="A1024" s="10">
        <v>1.922598121E9</v>
      </c>
      <c r="B1024" s="11">
        <v>0.066</v>
      </c>
      <c r="C1024" s="11">
        <v>165.0</v>
      </c>
      <c r="D1024" s="11">
        <v>0.146</v>
      </c>
      <c r="E1024" s="7" t="s">
        <v>157</v>
      </c>
      <c r="F1024" s="9" t="s">
        <v>69</v>
      </c>
      <c r="G1024" s="5" t="s">
        <v>84</v>
      </c>
    </row>
    <row r="1025">
      <c r="A1025" s="10">
        <v>2.025565089E9</v>
      </c>
      <c r="B1025" s="11">
        <v>0.064</v>
      </c>
      <c r="C1025" s="11">
        <v>165.0</v>
      </c>
      <c r="D1025" s="11">
        <v>0.145</v>
      </c>
      <c r="E1025" s="7" t="s">
        <v>157</v>
      </c>
      <c r="F1025" s="9" t="s">
        <v>70</v>
      </c>
      <c r="G1025" s="5" t="s">
        <v>84</v>
      </c>
    </row>
    <row r="1026">
      <c r="A1026" s="10">
        <v>2.259288396E9</v>
      </c>
      <c r="B1026" s="11">
        <v>0.066</v>
      </c>
      <c r="C1026" s="11">
        <v>188.0</v>
      </c>
      <c r="D1026" s="11">
        <v>0.145</v>
      </c>
      <c r="E1026" s="7" t="s">
        <v>157</v>
      </c>
      <c r="F1026" s="9" t="s">
        <v>71</v>
      </c>
      <c r="G1026" s="5" t="s">
        <v>84</v>
      </c>
    </row>
    <row r="1027">
      <c r="A1027" s="10">
        <v>2.576602497E9</v>
      </c>
      <c r="B1027" s="11">
        <v>0.068</v>
      </c>
      <c r="C1027" s="11">
        <v>221.0</v>
      </c>
      <c r="D1027" s="11">
        <v>0.145</v>
      </c>
      <c r="E1027" s="7" t="s">
        <v>157</v>
      </c>
      <c r="F1027" s="9" t="s">
        <v>72</v>
      </c>
      <c r="G1027" s="5" t="s">
        <v>84</v>
      </c>
    </row>
    <row r="1028">
      <c r="A1028" s="10">
        <v>2.851154076E9</v>
      </c>
      <c r="B1028" s="11">
        <v>0.066</v>
      </c>
      <c r="C1028" s="11">
        <v>235.0</v>
      </c>
      <c r="D1028" s="11">
        <v>0.139</v>
      </c>
      <c r="E1028" s="7" t="s">
        <v>157</v>
      </c>
      <c r="F1028" s="9" t="s">
        <v>73</v>
      </c>
      <c r="G1028" s="5" t="s">
        <v>84</v>
      </c>
    </row>
    <row r="1029">
      <c r="A1029" s="10">
        <v>3.664503846E9</v>
      </c>
      <c r="B1029" s="11">
        <v>0.061</v>
      </c>
      <c r="C1029" s="11">
        <v>26.0</v>
      </c>
      <c r="D1029" s="11">
        <v>0.314</v>
      </c>
      <c r="E1029" s="7" t="s">
        <v>158</v>
      </c>
      <c r="F1029" s="9" t="s">
        <v>60</v>
      </c>
      <c r="G1029" s="5" t="s">
        <v>84</v>
      </c>
    </row>
    <row r="1030">
      <c r="A1030" s="10">
        <v>3.507981946E9</v>
      </c>
      <c r="B1030" s="11">
        <v>0.056</v>
      </c>
      <c r="C1030" s="11">
        <v>23.0</v>
      </c>
      <c r="D1030" s="11">
        <v>0.34</v>
      </c>
      <c r="E1030" s="7" t="s">
        <v>158</v>
      </c>
      <c r="F1030" s="9" t="s">
        <v>62</v>
      </c>
      <c r="G1030" s="5" t="s">
        <v>84</v>
      </c>
    </row>
    <row r="1031">
      <c r="A1031" s="10">
        <v>3.214632479E9</v>
      </c>
      <c r="B1031" s="11">
        <v>0.055</v>
      </c>
      <c r="C1031" s="11">
        <v>20.0</v>
      </c>
      <c r="D1031" s="11">
        <v>0.342</v>
      </c>
      <c r="E1031" s="7" t="s">
        <v>158</v>
      </c>
      <c r="F1031" s="9" t="s">
        <v>63</v>
      </c>
      <c r="G1031" s="5" t="s">
        <v>84</v>
      </c>
    </row>
    <row r="1032">
      <c r="A1032" s="10">
        <v>2.826481072E9</v>
      </c>
      <c r="B1032" s="11">
        <v>0.053</v>
      </c>
      <c r="C1032" s="11">
        <v>17.0</v>
      </c>
      <c r="D1032" s="11">
        <v>0.442</v>
      </c>
      <c r="E1032" s="7" t="s">
        <v>158</v>
      </c>
      <c r="F1032" s="9" t="s">
        <v>64</v>
      </c>
      <c r="G1032" s="5" t="s">
        <v>84</v>
      </c>
    </row>
    <row r="1033">
      <c r="A1033" s="10">
        <v>3.660483886E9</v>
      </c>
      <c r="B1033" s="11">
        <v>0.056</v>
      </c>
      <c r="C1033" s="11">
        <v>22.0</v>
      </c>
      <c r="D1033" s="11">
        <v>0.48</v>
      </c>
      <c r="E1033" s="7" t="s">
        <v>158</v>
      </c>
      <c r="F1033" s="9" t="s">
        <v>65</v>
      </c>
      <c r="G1033" s="5" t="s">
        <v>84</v>
      </c>
    </row>
    <row r="1034">
      <c r="A1034" s="10">
        <v>4.154289832E9</v>
      </c>
      <c r="B1034" s="11">
        <v>0.044</v>
      </c>
      <c r="C1034" s="11">
        <v>20.0</v>
      </c>
      <c r="D1034" s="11">
        <v>0.41</v>
      </c>
      <c r="E1034" s="7" t="s">
        <v>158</v>
      </c>
      <c r="F1034" s="9" t="s">
        <v>66</v>
      </c>
      <c r="G1034" s="5" t="s">
        <v>84</v>
      </c>
    </row>
    <row r="1035">
      <c r="A1035" s="10">
        <v>4.879738636E9</v>
      </c>
      <c r="B1035" s="11">
        <v>0.057</v>
      </c>
      <c r="C1035" s="11">
        <v>30.0</v>
      </c>
      <c r="D1035" s="11">
        <v>0.264</v>
      </c>
      <c r="E1035" s="7" t="s">
        <v>158</v>
      </c>
      <c r="F1035" s="9" t="s">
        <v>67</v>
      </c>
      <c r="G1035" s="5" t="s">
        <v>84</v>
      </c>
    </row>
    <row r="1036">
      <c r="A1036" s="10">
        <v>5.88532559E9</v>
      </c>
      <c r="B1036" s="11">
        <v>0.054</v>
      </c>
      <c r="C1036" s="11">
        <v>34.0</v>
      </c>
      <c r="D1036" s="11">
        <v>0.231</v>
      </c>
      <c r="E1036" s="7" t="s">
        <v>158</v>
      </c>
      <c r="F1036" s="9" t="s">
        <v>68</v>
      </c>
      <c r="G1036" s="5" t="s">
        <v>84</v>
      </c>
    </row>
    <row r="1037">
      <c r="A1037" s="10">
        <v>6.548530572E9</v>
      </c>
      <c r="B1037" s="11">
        <v>0.055</v>
      </c>
      <c r="C1037" s="11">
        <v>36.0</v>
      </c>
      <c r="D1037" s="11">
        <v>0.178</v>
      </c>
      <c r="E1037" s="7" t="s">
        <v>158</v>
      </c>
      <c r="F1037" s="9" t="s">
        <v>69</v>
      </c>
      <c r="G1037" s="5" t="s">
        <v>84</v>
      </c>
    </row>
    <row r="1038">
      <c r="A1038" s="10">
        <v>6.584649419E9</v>
      </c>
      <c r="B1038" s="11">
        <v>0.065</v>
      </c>
      <c r="C1038" s="11">
        <v>43.0</v>
      </c>
      <c r="D1038" s="11">
        <v>0.173</v>
      </c>
      <c r="E1038" s="7" t="s">
        <v>158</v>
      </c>
      <c r="F1038" s="9" t="s">
        <v>70</v>
      </c>
      <c r="G1038" s="5" t="s">
        <v>84</v>
      </c>
    </row>
    <row r="1039">
      <c r="A1039" s="10">
        <v>6.622541529E9</v>
      </c>
      <c r="B1039" s="11">
        <v>0.067</v>
      </c>
      <c r="C1039" s="11">
        <v>45.0</v>
      </c>
      <c r="D1039" s="11">
        <v>0.175</v>
      </c>
      <c r="E1039" s="7" t="s">
        <v>158</v>
      </c>
      <c r="F1039" s="9" t="s">
        <v>71</v>
      </c>
      <c r="G1039" s="5" t="s">
        <v>84</v>
      </c>
    </row>
    <row r="1040">
      <c r="A1040" s="10">
        <v>7.51683416E9</v>
      </c>
      <c r="B1040" s="11">
        <v>0.085</v>
      </c>
      <c r="C1040" s="11">
        <v>62.0</v>
      </c>
      <c r="D1040" s="11">
        <v>0.116</v>
      </c>
      <c r="E1040" s="7" t="s">
        <v>158</v>
      </c>
      <c r="F1040" s="9" t="s">
        <v>72</v>
      </c>
      <c r="G1040" s="5" t="s">
        <v>84</v>
      </c>
    </row>
    <row r="1041">
      <c r="A1041" s="10">
        <v>7.890216508E9</v>
      </c>
      <c r="B1041" s="11">
        <v>0.064</v>
      </c>
      <c r="C1041" s="11">
        <v>53.0</v>
      </c>
      <c r="D1041" s="11">
        <v>0.089</v>
      </c>
      <c r="E1041" s="7" t="s">
        <v>158</v>
      </c>
      <c r="F1041" s="9" t="s">
        <v>73</v>
      </c>
      <c r="G1041" s="5" t="s">
        <v>84</v>
      </c>
    </row>
    <row r="1042">
      <c r="A1042" s="10">
        <v>7.105529647E9</v>
      </c>
      <c r="B1042" s="11">
        <v>0.066</v>
      </c>
      <c r="C1042" s="11">
        <v>76.0</v>
      </c>
      <c r="D1042" s="11">
        <v>0.268</v>
      </c>
      <c r="E1042" s="7" t="s">
        <v>159</v>
      </c>
      <c r="F1042" s="9" t="s">
        <v>60</v>
      </c>
      <c r="G1042" s="5" t="s">
        <v>84</v>
      </c>
    </row>
    <row r="1043">
      <c r="A1043" s="10">
        <v>7.566517572E9</v>
      </c>
      <c r="B1043" s="11">
        <v>0.069</v>
      </c>
      <c r="C1043" s="11">
        <v>83.0</v>
      </c>
      <c r="D1043" s="11">
        <v>0.238</v>
      </c>
      <c r="E1043" s="7" t="s">
        <v>159</v>
      </c>
      <c r="F1043" s="9" t="s">
        <v>62</v>
      </c>
      <c r="G1043" s="5" t="s">
        <v>84</v>
      </c>
    </row>
    <row r="1044">
      <c r="A1044" s="10">
        <v>7.776459964E9</v>
      </c>
      <c r="B1044" s="11">
        <v>0.073</v>
      </c>
      <c r="C1044" s="11">
        <v>88.0</v>
      </c>
      <c r="D1044" s="11">
        <v>0.227</v>
      </c>
      <c r="E1044" s="7" t="s">
        <v>159</v>
      </c>
      <c r="F1044" s="9" t="s">
        <v>63</v>
      </c>
      <c r="G1044" s="5" t="s">
        <v>84</v>
      </c>
    </row>
    <row r="1045">
      <c r="A1045" s="10">
        <v>8.14029408E9</v>
      </c>
      <c r="B1045" s="11">
        <v>0.083</v>
      </c>
      <c r="C1045" s="11">
        <v>103.0</v>
      </c>
      <c r="D1045" s="11">
        <v>0.208</v>
      </c>
      <c r="E1045" s="7" t="s">
        <v>159</v>
      </c>
      <c r="F1045" s="9" t="s">
        <v>64</v>
      </c>
      <c r="G1045" s="5" t="s">
        <v>84</v>
      </c>
    </row>
    <row r="1046">
      <c r="A1046" s="10">
        <v>8.772197585E9</v>
      </c>
      <c r="B1046" s="11">
        <v>0.079</v>
      </c>
      <c r="C1046" s="11">
        <v>103.0</v>
      </c>
      <c r="D1046" s="11">
        <v>0.199</v>
      </c>
      <c r="E1046" s="7" t="s">
        <v>159</v>
      </c>
      <c r="F1046" s="9" t="s">
        <v>65</v>
      </c>
      <c r="G1046" s="5" t="s">
        <v>84</v>
      </c>
    </row>
    <row r="1047">
      <c r="A1047" s="10">
        <v>9.672006169E9</v>
      </c>
      <c r="B1047" s="11">
        <v>0.077</v>
      </c>
      <c r="C1047" s="11">
        <v>109.0</v>
      </c>
      <c r="D1047" s="11">
        <v>0.188</v>
      </c>
      <c r="E1047" s="7" t="s">
        <v>159</v>
      </c>
      <c r="F1047" s="9" t="s">
        <v>66</v>
      </c>
      <c r="G1047" s="5" t="s">
        <v>84</v>
      </c>
    </row>
    <row r="1048">
      <c r="A1048" s="10">
        <v>1.0841723354E10</v>
      </c>
      <c r="B1048" s="11">
        <v>0.076</v>
      </c>
      <c r="C1048" s="11">
        <v>118.0</v>
      </c>
      <c r="D1048" s="11">
        <v>0.174</v>
      </c>
      <c r="E1048" s="7" t="s">
        <v>159</v>
      </c>
      <c r="F1048" s="9" t="s">
        <v>67</v>
      </c>
      <c r="G1048" s="5" t="s">
        <v>84</v>
      </c>
    </row>
    <row r="1049">
      <c r="A1049" s="10">
        <v>1.2275491273E10</v>
      </c>
      <c r="B1049" s="11">
        <v>0.079</v>
      </c>
      <c r="C1049" s="11">
        <v>136.0</v>
      </c>
      <c r="D1049" s="11">
        <v>0.166</v>
      </c>
      <c r="E1049" s="7" t="s">
        <v>159</v>
      </c>
      <c r="F1049" s="9" t="s">
        <v>68</v>
      </c>
      <c r="G1049" s="5" t="s">
        <v>84</v>
      </c>
    </row>
    <row r="1050">
      <c r="A1050" s="10">
        <v>1.3789720387E10</v>
      </c>
      <c r="B1050" s="11">
        <v>0.084</v>
      </c>
      <c r="C1050" s="11">
        <v>159.0</v>
      </c>
      <c r="D1050" s="11">
        <v>0.179</v>
      </c>
      <c r="E1050" s="7" t="s">
        <v>159</v>
      </c>
      <c r="F1050" s="9" t="s">
        <v>69</v>
      </c>
      <c r="G1050" s="5" t="s">
        <v>84</v>
      </c>
    </row>
    <row r="1051">
      <c r="A1051" s="10">
        <v>1.4587485644E10</v>
      </c>
      <c r="B1051" s="11">
        <v>0.091</v>
      </c>
      <c r="C1051" s="11">
        <v>173.0</v>
      </c>
      <c r="D1051" s="11">
        <v>0.194</v>
      </c>
      <c r="E1051" s="7" t="s">
        <v>159</v>
      </c>
      <c r="F1051" s="9" t="s">
        <v>70</v>
      </c>
      <c r="G1051" s="5" t="s">
        <v>84</v>
      </c>
    </row>
    <row r="1052">
      <c r="A1052" s="10">
        <v>1.5839344592E10</v>
      </c>
      <c r="B1052" s="11">
        <v>0.087</v>
      </c>
      <c r="C1052" s="11">
        <v>176.0</v>
      </c>
      <c r="D1052" s="11">
        <v>0.189</v>
      </c>
      <c r="E1052" s="7" t="s">
        <v>159</v>
      </c>
      <c r="F1052" s="9" t="s">
        <v>71</v>
      </c>
      <c r="G1052" s="5" t="s">
        <v>84</v>
      </c>
    </row>
    <row r="1053">
      <c r="A1053" s="10">
        <v>1.7710325578E10</v>
      </c>
      <c r="B1053" s="11">
        <v>0.084</v>
      </c>
      <c r="C1053" s="11">
        <v>187.0</v>
      </c>
      <c r="D1053" s="11">
        <v>0.186</v>
      </c>
      <c r="E1053" s="7" t="s">
        <v>159</v>
      </c>
      <c r="F1053" s="9" t="s">
        <v>72</v>
      </c>
      <c r="G1053" s="5" t="s">
        <v>84</v>
      </c>
    </row>
    <row r="1054">
      <c r="A1054" s="10">
        <v>1.8564264545E10</v>
      </c>
      <c r="B1054" s="11">
        <v>0.086</v>
      </c>
      <c r="C1054" s="11">
        <v>195.0</v>
      </c>
      <c r="D1054" s="11">
        <v>0.185</v>
      </c>
      <c r="E1054" s="7" t="s">
        <v>159</v>
      </c>
      <c r="F1054" s="9" t="s">
        <v>73</v>
      </c>
      <c r="G1054" s="5" t="s">
        <v>84</v>
      </c>
    </row>
    <row r="1055">
      <c r="A1055" s="10">
        <v>1.72E11</v>
      </c>
      <c r="B1055" s="8"/>
      <c r="C1055" s="8"/>
      <c r="D1055" s="11">
        <v>0.095</v>
      </c>
      <c r="E1055" s="7" t="s">
        <v>160</v>
      </c>
      <c r="F1055" s="9" t="s">
        <v>60</v>
      </c>
      <c r="G1055" s="5" t="s">
        <v>61</v>
      </c>
    </row>
    <row r="1056">
      <c r="A1056" s="10">
        <v>1.69E11</v>
      </c>
      <c r="B1056" s="8"/>
      <c r="C1056" s="8"/>
      <c r="D1056" s="11">
        <v>0.051</v>
      </c>
      <c r="E1056" s="7" t="s">
        <v>160</v>
      </c>
      <c r="F1056" s="9" t="s">
        <v>62</v>
      </c>
      <c r="G1056" s="5" t="s">
        <v>61</v>
      </c>
    </row>
    <row r="1057">
      <c r="A1057" s="10">
        <v>1.66E11</v>
      </c>
      <c r="B1057" s="8"/>
      <c r="C1057" s="8"/>
      <c r="D1057" s="11">
        <v>0.05</v>
      </c>
      <c r="E1057" s="7" t="s">
        <v>160</v>
      </c>
      <c r="F1057" s="9" t="s">
        <v>63</v>
      </c>
      <c r="G1057" s="5" t="s">
        <v>61</v>
      </c>
    </row>
    <row r="1058">
      <c r="A1058" s="10">
        <v>1.61E11</v>
      </c>
      <c r="B1058" s="8"/>
      <c r="C1058" s="8"/>
      <c r="D1058" s="11">
        <v>0.05</v>
      </c>
      <c r="E1058" s="7" t="s">
        <v>160</v>
      </c>
      <c r="F1058" s="9" t="s">
        <v>64</v>
      </c>
      <c r="G1058" s="5" t="s">
        <v>61</v>
      </c>
    </row>
    <row r="1059">
      <c r="A1059" s="10">
        <v>1.69E11</v>
      </c>
      <c r="B1059" s="8"/>
      <c r="C1059" s="8"/>
      <c r="D1059" s="11">
        <v>0.05</v>
      </c>
      <c r="E1059" s="7" t="s">
        <v>160</v>
      </c>
      <c r="F1059" s="9" t="s">
        <v>65</v>
      </c>
      <c r="G1059" s="5" t="s">
        <v>61</v>
      </c>
    </row>
    <row r="1060">
      <c r="A1060" s="10">
        <v>1.82E11</v>
      </c>
      <c r="B1060" s="8"/>
      <c r="C1060" s="8"/>
      <c r="D1060" s="11">
        <v>0.078</v>
      </c>
      <c r="E1060" s="7" t="s">
        <v>160</v>
      </c>
      <c r="F1060" s="9" t="s">
        <v>66</v>
      </c>
      <c r="G1060" s="5" t="s">
        <v>61</v>
      </c>
    </row>
    <row r="1061">
      <c r="A1061" s="10">
        <v>1.94E11</v>
      </c>
      <c r="B1061" s="8"/>
      <c r="C1061" s="8"/>
      <c r="D1061" s="11">
        <v>0.078</v>
      </c>
      <c r="E1061" s="7" t="s">
        <v>160</v>
      </c>
      <c r="F1061" s="9" t="s">
        <v>67</v>
      </c>
      <c r="G1061" s="5" t="s">
        <v>61</v>
      </c>
    </row>
    <row r="1062">
      <c r="A1062" s="10">
        <v>2.12E11</v>
      </c>
      <c r="B1062" s="8"/>
      <c r="C1062" s="8"/>
      <c r="D1062" s="11">
        <v>0.068</v>
      </c>
      <c r="E1062" s="7" t="s">
        <v>160</v>
      </c>
      <c r="F1062" s="9" t="s">
        <v>68</v>
      </c>
      <c r="G1062" s="5" t="s">
        <v>61</v>
      </c>
    </row>
    <row r="1063">
      <c r="A1063" s="10">
        <v>2.19E11</v>
      </c>
      <c r="B1063" s="8"/>
      <c r="C1063" s="8"/>
      <c r="D1063" s="11">
        <v>0.05</v>
      </c>
      <c r="E1063" s="7" t="s">
        <v>160</v>
      </c>
      <c r="F1063" s="9" t="s">
        <v>69</v>
      </c>
      <c r="G1063" s="5" t="s">
        <v>61</v>
      </c>
    </row>
    <row r="1064">
      <c r="A1064" s="10">
        <v>2.14E11</v>
      </c>
      <c r="B1064" s="8"/>
      <c r="C1064" s="8"/>
      <c r="D1064" s="11">
        <v>0.05</v>
      </c>
      <c r="E1064" s="7" t="s">
        <v>160</v>
      </c>
      <c r="F1064" s="9" t="s">
        <v>70</v>
      </c>
      <c r="G1064" s="5" t="s">
        <v>61</v>
      </c>
    </row>
    <row r="1065">
      <c r="A1065" s="10">
        <v>2.29E11</v>
      </c>
      <c r="B1065" s="8"/>
      <c r="C1065" s="8"/>
      <c r="D1065" s="11">
        <v>0.05</v>
      </c>
      <c r="E1065" s="7" t="s">
        <v>160</v>
      </c>
      <c r="F1065" s="9" t="s">
        <v>71</v>
      </c>
      <c r="G1065" s="5" t="s">
        <v>61</v>
      </c>
    </row>
    <row r="1066">
      <c r="A1066" s="10">
        <v>2.49E11</v>
      </c>
      <c r="B1066" s="8"/>
      <c r="C1066" s="8"/>
      <c r="D1066" s="11">
        <v>0.05</v>
      </c>
      <c r="E1066" s="7" t="s">
        <v>160</v>
      </c>
      <c r="F1066" s="9" t="s">
        <v>72</v>
      </c>
      <c r="G1066" s="5" t="s">
        <v>61</v>
      </c>
    </row>
    <row r="1067">
      <c r="A1067" s="10">
        <v>2.63E11</v>
      </c>
      <c r="B1067" s="8"/>
      <c r="C1067" s="8"/>
      <c r="D1067" s="11">
        <v>0.05</v>
      </c>
      <c r="E1067" s="7" t="s">
        <v>160</v>
      </c>
      <c r="F1067" s="9" t="s">
        <v>73</v>
      </c>
      <c r="G1067" s="5" t="s">
        <v>61</v>
      </c>
    </row>
    <row r="1068">
      <c r="A1068" s="10">
        <v>4.6385589534E10</v>
      </c>
      <c r="B1068" s="11">
        <v>0.072</v>
      </c>
      <c r="C1068" s="11">
        <v>326.0</v>
      </c>
      <c r="D1068" s="11">
        <v>0.126</v>
      </c>
      <c r="E1068" s="7" t="s">
        <v>161</v>
      </c>
      <c r="F1068" s="9" t="s">
        <v>60</v>
      </c>
      <c r="G1068" s="5" t="s">
        <v>75</v>
      </c>
    </row>
    <row r="1069">
      <c r="A1069" s="10">
        <v>5.2720966883E10</v>
      </c>
      <c r="B1069" s="11">
        <v>0.072</v>
      </c>
      <c r="C1069" s="11">
        <v>374.0</v>
      </c>
      <c r="D1069" s="11">
        <v>0.121</v>
      </c>
      <c r="E1069" s="7" t="s">
        <v>161</v>
      </c>
      <c r="F1069" s="9" t="s">
        <v>62</v>
      </c>
      <c r="G1069" s="5" t="s">
        <v>75</v>
      </c>
    </row>
    <row r="1070">
      <c r="A1070" s="10">
        <v>6.6389489264E10</v>
      </c>
      <c r="B1070" s="11">
        <v>0.076</v>
      </c>
      <c r="C1070" s="11">
        <v>495.0</v>
      </c>
      <c r="D1070" s="11">
        <v>0.102</v>
      </c>
      <c r="E1070" s="7" t="s">
        <v>161</v>
      </c>
      <c r="F1070" s="9" t="s">
        <v>63</v>
      </c>
      <c r="G1070" s="5" t="s">
        <v>75</v>
      </c>
    </row>
    <row r="1071">
      <c r="A1071" s="10">
        <v>8.3538373061E10</v>
      </c>
      <c r="B1071" s="11">
        <v>0.086</v>
      </c>
      <c r="C1071" s="11">
        <v>706.0</v>
      </c>
      <c r="D1071" s="11">
        <v>0.096</v>
      </c>
      <c r="E1071" s="7" t="s">
        <v>161</v>
      </c>
      <c r="F1071" s="9" t="s">
        <v>64</v>
      </c>
      <c r="G1071" s="5" t="s">
        <v>75</v>
      </c>
    </row>
    <row r="1072">
      <c r="A1072" s="10">
        <v>1.02E11</v>
      </c>
      <c r="B1072" s="11">
        <v>0.082</v>
      </c>
      <c r="C1072" s="11">
        <v>828.0</v>
      </c>
      <c r="D1072" s="11">
        <v>0.128</v>
      </c>
      <c r="E1072" s="7" t="s">
        <v>161</v>
      </c>
      <c r="F1072" s="9" t="s">
        <v>65</v>
      </c>
      <c r="G1072" s="5" t="s">
        <v>75</v>
      </c>
    </row>
    <row r="1073">
      <c r="A1073" s="10">
        <v>1.1E11</v>
      </c>
      <c r="B1073" s="11">
        <v>0.084</v>
      </c>
      <c r="C1073" s="11">
        <v>923.0</v>
      </c>
      <c r="D1073" s="11">
        <v>0.085</v>
      </c>
      <c r="E1073" s="7" t="s">
        <v>161</v>
      </c>
      <c r="F1073" s="9" t="s">
        <v>66</v>
      </c>
      <c r="G1073" s="5" t="s">
        <v>75</v>
      </c>
    </row>
    <row r="1074">
      <c r="A1074" s="10">
        <v>1.13E11</v>
      </c>
      <c r="B1074" s="11">
        <v>0.083</v>
      </c>
      <c r="C1074" s="11">
        <v>922.0</v>
      </c>
      <c r="D1074" s="11">
        <v>0.081</v>
      </c>
      <c r="E1074" s="7" t="s">
        <v>161</v>
      </c>
      <c r="F1074" s="9" t="s">
        <v>67</v>
      </c>
      <c r="G1074" s="5" t="s">
        <v>75</v>
      </c>
    </row>
    <row r="1075">
      <c r="A1075" s="10">
        <v>1.36E11</v>
      </c>
      <c r="B1075" s="11">
        <v>0.077</v>
      </c>
      <c r="C1075" s="11">
        <v>1038.0</v>
      </c>
      <c r="D1075" s="11">
        <v>0.091</v>
      </c>
      <c r="E1075" s="7" t="s">
        <v>161</v>
      </c>
      <c r="F1075" s="9" t="s">
        <v>68</v>
      </c>
      <c r="G1075" s="5" t="s">
        <v>75</v>
      </c>
    </row>
    <row r="1076">
      <c r="A1076" s="10">
        <v>1.54E11</v>
      </c>
      <c r="B1076" s="11">
        <v>0.075</v>
      </c>
      <c r="C1076" s="11">
        <v>1146.0</v>
      </c>
      <c r="D1076" s="11">
        <v>0.102</v>
      </c>
      <c r="E1076" s="7" t="s">
        <v>161</v>
      </c>
      <c r="F1076" s="9" t="s">
        <v>69</v>
      </c>
      <c r="G1076" s="5" t="s">
        <v>75</v>
      </c>
    </row>
    <row r="1077">
      <c r="A1077" s="10">
        <v>1.27E11</v>
      </c>
      <c r="B1077" s="11">
        <v>0.077</v>
      </c>
      <c r="C1077" s="11">
        <v>977.0</v>
      </c>
      <c r="D1077" s="11">
        <v>0.11</v>
      </c>
      <c r="E1077" s="7" t="s">
        <v>161</v>
      </c>
      <c r="F1077" s="9" t="s">
        <v>70</v>
      </c>
      <c r="G1077" s="5" t="s">
        <v>75</v>
      </c>
    </row>
    <row r="1078">
      <c r="A1078" s="10">
        <v>1.28E11</v>
      </c>
      <c r="B1078" s="11">
        <v>0.08</v>
      </c>
      <c r="C1078" s="11">
        <v>1026.0</v>
      </c>
      <c r="D1078" s="11">
        <v>0.076</v>
      </c>
      <c r="E1078" s="7" t="s">
        <v>161</v>
      </c>
      <c r="F1078" s="9" t="s">
        <v>71</v>
      </c>
      <c r="G1078" s="5" t="s">
        <v>75</v>
      </c>
    </row>
    <row r="1079">
      <c r="A1079" s="10">
        <v>1.37E11</v>
      </c>
      <c r="B1079" s="11">
        <v>0.079</v>
      </c>
      <c r="C1079" s="11">
        <v>1096.0</v>
      </c>
      <c r="D1079" s="11">
        <v>0.083</v>
      </c>
      <c r="E1079" s="7" t="s">
        <v>161</v>
      </c>
      <c r="F1079" s="9" t="s">
        <v>72</v>
      </c>
      <c r="G1079" s="5" t="s">
        <v>75</v>
      </c>
    </row>
    <row r="1080">
      <c r="A1080" s="10">
        <v>1.25E11</v>
      </c>
      <c r="B1080" s="11">
        <v>0.078</v>
      </c>
      <c r="C1080" s="11">
        <v>987.0</v>
      </c>
      <c r="D1080" s="11">
        <v>0.09</v>
      </c>
      <c r="E1080" s="7" t="s">
        <v>161</v>
      </c>
      <c r="F1080" s="9" t="s">
        <v>73</v>
      </c>
      <c r="G1080" s="5" t="s">
        <v>75</v>
      </c>
    </row>
    <row r="1081">
      <c r="A1081" s="10">
        <v>8.697298234E9</v>
      </c>
      <c r="B1081" s="11">
        <v>0.095</v>
      </c>
      <c r="C1081" s="11">
        <v>2961.0</v>
      </c>
      <c r="D1081" s="11">
        <v>0.168</v>
      </c>
      <c r="E1081" s="7" t="s">
        <v>162</v>
      </c>
      <c r="F1081" s="9" t="s">
        <v>60</v>
      </c>
      <c r="G1081" s="5" t="s">
        <v>75</v>
      </c>
    </row>
    <row r="1082">
      <c r="A1082" s="10">
        <v>7.922983043E9</v>
      </c>
      <c r="B1082" s="11">
        <v>0.093</v>
      </c>
      <c r="C1082" s="11">
        <v>2612.0</v>
      </c>
      <c r="D1082" s="11">
        <v>0.18</v>
      </c>
      <c r="E1082" s="7" t="s">
        <v>162</v>
      </c>
      <c r="F1082" s="9" t="s">
        <v>62</v>
      </c>
      <c r="G1082" s="5" t="s">
        <v>75</v>
      </c>
    </row>
    <row r="1083">
      <c r="A1083" s="10">
        <v>8.907207933E9</v>
      </c>
      <c r="B1083" s="11">
        <v>0.102</v>
      </c>
      <c r="C1083" s="11">
        <v>3156.0</v>
      </c>
      <c r="D1083" s="11">
        <v>0.154</v>
      </c>
      <c r="E1083" s="7" t="s">
        <v>162</v>
      </c>
      <c r="F1083" s="9" t="s">
        <v>63</v>
      </c>
      <c r="G1083" s="5" t="s">
        <v>75</v>
      </c>
    </row>
    <row r="1084">
      <c r="A1084" s="10">
        <v>1.0969898924E10</v>
      </c>
      <c r="B1084" s="11">
        <v>0.106</v>
      </c>
      <c r="C1084" s="11">
        <v>4020.0</v>
      </c>
      <c r="D1084" s="11">
        <v>0.12</v>
      </c>
      <c r="E1084" s="7" t="s">
        <v>162</v>
      </c>
      <c r="F1084" s="9" t="s">
        <v>64</v>
      </c>
      <c r="G1084" s="5" t="s">
        <v>75</v>
      </c>
    </row>
    <row r="1085">
      <c r="A1085" s="10">
        <v>1.3251434311E10</v>
      </c>
      <c r="B1085" s="11">
        <v>0.1</v>
      </c>
      <c r="C1085" s="11">
        <v>4567.0</v>
      </c>
      <c r="D1085" s="11">
        <v>0.12</v>
      </c>
      <c r="E1085" s="7" t="s">
        <v>162</v>
      </c>
      <c r="F1085" s="9" t="s">
        <v>65</v>
      </c>
      <c r="G1085" s="5" t="s">
        <v>75</v>
      </c>
    </row>
    <row r="1086">
      <c r="A1086" s="10">
        <v>1.6286331747E10</v>
      </c>
      <c r="B1086" s="11">
        <v>0.096</v>
      </c>
      <c r="C1086" s="11">
        <v>5329.0</v>
      </c>
      <c r="D1086" s="11">
        <v>0.148</v>
      </c>
      <c r="E1086" s="7" t="s">
        <v>162</v>
      </c>
      <c r="F1086" s="9" t="s">
        <v>66</v>
      </c>
      <c r="G1086" s="5" t="s">
        <v>75</v>
      </c>
    </row>
    <row r="1087">
      <c r="A1087" s="10">
        <v>1.6651492784E10</v>
      </c>
      <c r="B1087" s="11">
        <v>0.094</v>
      </c>
      <c r="C1087" s="11">
        <v>5205.0</v>
      </c>
      <c r="D1087" s="11">
        <v>0.179</v>
      </c>
      <c r="E1087" s="7" t="s">
        <v>162</v>
      </c>
      <c r="F1087" s="9" t="s">
        <v>67</v>
      </c>
      <c r="G1087" s="5" t="s">
        <v>75</v>
      </c>
    </row>
    <row r="1088">
      <c r="A1088" s="10">
        <v>2.0428232684E10</v>
      </c>
      <c r="B1088" s="11">
        <v>0.093</v>
      </c>
      <c r="C1088" s="11">
        <v>6182.0</v>
      </c>
      <c r="D1088" s="11">
        <v>0.193</v>
      </c>
      <c r="E1088" s="7" t="s">
        <v>162</v>
      </c>
      <c r="F1088" s="9" t="s">
        <v>68</v>
      </c>
      <c r="G1088" s="5" t="s">
        <v>75</v>
      </c>
    </row>
    <row r="1089">
      <c r="A1089" s="10">
        <v>1.6832076487E10</v>
      </c>
      <c r="B1089" s="11">
        <v>0.093</v>
      </c>
      <c r="C1089" s="11">
        <v>4959.0</v>
      </c>
      <c r="D1089" s="11">
        <v>0.201</v>
      </c>
      <c r="E1089" s="7" t="s">
        <v>162</v>
      </c>
      <c r="F1089" s="9" t="s">
        <v>69</v>
      </c>
      <c r="G1089" s="5" t="s">
        <v>75</v>
      </c>
    </row>
    <row r="1090">
      <c r="A1090" s="10">
        <v>1.2115441517E10</v>
      </c>
      <c r="B1090" s="11">
        <v>0.097</v>
      </c>
      <c r="C1090" s="11">
        <v>3696.0</v>
      </c>
      <c r="D1090" s="11">
        <v>0.19</v>
      </c>
      <c r="E1090" s="7" t="s">
        <v>162</v>
      </c>
      <c r="F1090" s="9" t="s">
        <v>70</v>
      </c>
      <c r="G1090" s="5" t="s">
        <v>75</v>
      </c>
    </row>
    <row r="1091">
      <c r="A1091" s="10">
        <v>1.2564705489E10</v>
      </c>
      <c r="B1091" s="11">
        <v>0.094</v>
      </c>
      <c r="C1091" s="11">
        <v>3730.0</v>
      </c>
      <c r="D1091" s="11">
        <v>0.103</v>
      </c>
      <c r="E1091" s="7" t="s">
        <v>162</v>
      </c>
      <c r="F1091" s="9" t="s">
        <v>71</v>
      </c>
      <c r="G1091" s="5" t="s">
        <v>75</v>
      </c>
    </row>
    <row r="1092">
      <c r="A1092" s="10">
        <v>1.4042801904E10</v>
      </c>
      <c r="B1092" s="11">
        <v>0.092</v>
      </c>
      <c r="C1092" s="11">
        <v>4051.0</v>
      </c>
      <c r="D1092" s="11">
        <v>0.077</v>
      </c>
      <c r="E1092" s="7" t="s">
        <v>162</v>
      </c>
      <c r="F1092" s="9" t="s">
        <v>72</v>
      </c>
      <c r="G1092" s="5" t="s">
        <v>75</v>
      </c>
    </row>
    <row r="1093">
      <c r="A1093" s="10">
        <v>1.3586213061E10</v>
      </c>
      <c r="B1093" s="11">
        <v>0.091</v>
      </c>
      <c r="C1093" s="11">
        <v>3872.0</v>
      </c>
      <c r="D1093" s="11">
        <v>0.083</v>
      </c>
      <c r="E1093" s="7" t="s">
        <v>162</v>
      </c>
      <c r="F1093" s="9" t="s">
        <v>73</v>
      </c>
      <c r="G1093" s="5" t="s">
        <v>75</v>
      </c>
    </row>
    <row r="1094">
      <c r="A1094" s="10">
        <v>4.77E11</v>
      </c>
      <c r="B1094" s="11">
        <v>0.043</v>
      </c>
      <c r="C1094" s="11">
        <v>20.0</v>
      </c>
      <c r="D1094" s="11">
        <v>0.123</v>
      </c>
      <c r="E1094" s="7" t="s">
        <v>163</v>
      </c>
      <c r="F1094" s="9" t="s">
        <v>60</v>
      </c>
      <c r="G1094" s="5" t="s">
        <v>61</v>
      </c>
    </row>
    <row r="1095">
      <c r="A1095" s="10">
        <v>4.94E11</v>
      </c>
      <c r="B1095" s="11">
        <v>0.045</v>
      </c>
      <c r="C1095" s="11">
        <v>21.0</v>
      </c>
      <c r="D1095" s="11">
        <v>0.121</v>
      </c>
      <c r="E1095" s="7" t="s">
        <v>163</v>
      </c>
      <c r="F1095" s="9" t="s">
        <v>62</v>
      </c>
      <c r="G1095" s="5" t="s">
        <v>61</v>
      </c>
    </row>
    <row r="1096">
      <c r="A1096" s="10">
        <v>5.24E11</v>
      </c>
      <c r="B1096" s="11">
        <v>0.044</v>
      </c>
      <c r="C1096" s="11">
        <v>21.0</v>
      </c>
      <c r="D1096" s="11">
        <v>0.119</v>
      </c>
      <c r="E1096" s="7" t="s">
        <v>163</v>
      </c>
      <c r="F1096" s="9" t="s">
        <v>63</v>
      </c>
      <c r="G1096" s="5" t="s">
        <v>61</v>
      </c>
    </row>
    <row r="1097">
      <c r="A1097" s="10">
        <v>6.18E11</v>
      </c>
      <c r="B1097" s="11">
        <v>0.043</v>
      </c>
      <c r="C1097" s="11">
        <v>24.0</v>
      </c>
      <c r="D1097" s="11">
        <v>0.115</v>
      </c>
      <c r="E1097" s="7" t="s">
        <v>163</v>
      </c>
      <c r="F1097" s="9" t="s">
        <v>64</v>
      </c>
      <c r="G1097" s="5" t="s">
        <v>61</v>
      </c>
    </row>
    <row r="1098">
      <c r="A1098" s="10">
        <v>7.22E11</v>
      </c>
      <c r="B1098" s="11">
        <v>0.045</v>
      </c>
      <c r="C1098" s="11">
        <v>29.0</v>
      </c>
      <c r="D1098" s="11">
        <v>0.109</v>
      </c>
      <c r="E1098" s="7" t="s">
        <v>163</v>
      </c>
      <c r="F1098" s="9" t="s">
        <v>65</v>
      </c>
      <c r="G1098" s="5" t="s">
        <v>61</v>
      </c>
    </row>
    <row r="1099">
      <c r="A1099" s="10">
        <v>8.34E11</v>
      </c>
      <c r="B1099" s="11">
        <v>0.042</v>
      </c>
      <c r="C1099" s="11">
        <v>32.0</v>
      </c>
      <c r="D1099" s="11">
        <v>0.108</v>
      </c>
      <c r="E1099" s="7" t="s">
        <v>163</v>
      </c>
      <c r="F1099" s="9" t="s">
        <v>66</v>
      </c>
      <c r="G1099" s="5" t="s">
        <v>61</v>
      </c>
    </row>
    <row r="1100">
      <c r="A1100" s="10">
        <v>9.49E11</v>
      </c>
      <c r="B1100" s="11">
        <v>0.04</v>
      </c>
      <c r="C1100" s="11">
        <v>33.0</v>
      </c>
      <c r="D1100" s="11">
        <v>0.112</v>
      </c>
      <c r="E1100" s="7" t="s">
        <v>163</v>
      </c>
      <c r="F1100" s="9" t="s">
        <v>67</v>
      </c>
      <c r="G1100" s="5" t="s">
        <v>61</v>
      </c>
    </row>
    <row r="1101">
      <c r="A1101" s="10">
        <v>1.24E12</v>
      </c>
      <c r="B1101" s="11">
        <v>0.039</v>
      </c>
      <c r="C1101" s="11">
        <v>40.0</v>
      </c>
      <c r="D1101" s="11">
        <v>0.13</v>
      </c>
      <c r="E1101" s="7" t="s">
        <v>163</v>
      </c>
      <c r="F1101" s="9" t="s">
        <v>68</v>
      </c>
      <c r="G1101" s="5" t="s">
        <v>61</v>
      </c>
    </row>
    <row r="1102">
      <c r="A1102" s="10">
        <v>1.22E12</v>
      </c>
      <c r="B1102" s="11">
        <v>0.039</v>
      </c>
      <c r="C1102" s="11">
        <v>43.0</v>
      </c>
      <c r="D1102" s="11">
        <v>0.133</v>
      </c>
      <c r="E1102" s="7" t="s">
        <v>163</v>
      </c>
      <c r="F1102" s="9" t="s">
        <v>69</v>
      </c>
      <c r="G1102" s="5" t="s">
        <v>61</v>
      </c>
    </row>
    <row r="1103">
      <c r="A1103" s="10">
        <v>1.37E12</v>
      </c>
      <c r="B1103" s="11">
        <v>0.039</v>
      </c>
      <c r="C1103" s="11">
        <v>44.0</v>
      </c>
      <c r="D1103" s="11">
        <v>0.122</v>
      </c>
      <c r="E1103" s="7" t="s">
        <v>163</v>
      </c>
      <c r="F1103" s="9" t="s">
        <v>70</v>
      </c>
      <c r="G1103" s="5" t="s">
        <v>61</v>
      </c>
    </row>
    <row r="1104">
      <c r="A1104" s="10">
        <v>1.71E12</v>
      </c>
      <c r="B1104" s="11">
        <v>0.037</v>
      </c>
      <c r="C1104" s="11">
        <v>52.0</v>
      </c>
      <c r="D1104" s="11">
        <v>0.083</v>
      </c>
      <c r="E1104" s="7" t="s">
        <v>163</v>
      </c>
      <c r="F1104" s="9" t="s">
        <v>71</v>
      </c>
      <c r="G1104" s="5" t="s">
        <v>61</v>
      </c>
    </row>
    <row r="1105">
      <c r="A1105" s="10">
        <v>1.88E12</v>
      </c>
      <c r="B1105" s="11">
        <v>0.039</v>
      </c>
      <c r="C1105" s="11">
        <v>62.0</v>
      </c>
      <c r="D1105" s="11">
        <v>0.102</v>
      </c>
      <c r="E1105" s="7" t="s">
        <v>163</v>
      </c>
      <c r="F1105" s="9" t="s">
        <v>72</v>
      </c>
      <c r="G1105" s="5" t="s">
        <v>61</v>
      </c>
    </row>
    <row r="1106">
      <c r="A1106" s="10">
        <v>1.86E12</v>
      </c>
      <c r="B1106" s="11">
        <v>0.04</v>
      </c>
      <c r="C1106" s="11">
        <v>61.0</v>
      </c>
      <c r="D1106" s="11">
        <v>0.106</v>
      </c>
      <c r="E1106" s="7" t="s">
        <v>163</v>
      </c>
      <c r="F1106" s="9" t="s">
        <v>73</v>
      </c>
      <c r="G1106" s="5" t="s">
        <v>61</v>
      </c>
    </row>
    <row r="1107">
      <c r="A1107" s="10">
        <v>1.65E11</v>
      </c>
      <c r="B1107" s="11">
        <v>0.02</v>
      </c>
      <c r="C1107" s="11">
        <v>15.0</v>
      </c>
      <c r="D1107" s="11">
        <v>0.185</v>
      </c>
      <c r="E1107" s="7" t="s">
        <v>164</v>
      </c>
      <c r="F1107" s="9" t="s">
        <v>60</v>
      </c>
      <c r="G1107" s="5" t="s">
        <v>61</v>
      </c>
    </row>
    <row r="1108">
      <c r="A1108" s="10">
        <v>1.6E11</v>
      </c>
      <c r="B1108" s="11">
        <v>0.022</v>
      </c>
      <c r="C1108" s="11">
        <v>17.0</v>
      </c>
      <c r="D1108" s="11">
        <v>0.185</v>
      </c>
      <c r="E1108" s="7" t="s">
        <v>164</v>
      </c>
      <c r="F1108" s="9" t="s">
        <v>62</v>
      </c>
      <c r="G1108" s="5" t="s">
        <v>61</v>
      </c>
    </row>
    <row r="1109">
      <c r="A1109" s="10">
        <v>1.96E11</v>
      </c>
      <c r="B1109" s="11">
        <v>0.022</v>
      </c>
      <c r="C1109" s="11">
        <v>20.0</v>
      </c>
      <c r="D1109" s="11">
        <v>0.189</v>
      </c>
      <c r="E1109" s="7" t="s">
        <v>164</v>
      </c>
      <c r="F1109" s="9" t="s">
        <v>63</v>
      </c>
      <c r="G1109" s="5" t="s">
        <v>61</v>
      </c>
    </row>
    <row r="1110">
      <c r="A1110" s="10">
        <v>2.35E11</v>
      </c>
      <c r="B1110" s="11">
        <v>0.025</v>
      </c>
      <c r="C1110" s="11">
        <v>27.0</v>
      </c>
      <c r="D1110" s="11">
        <v>0.169</v>
      </c>
      <c r="E1110" s="7" t="s">
        <v>164</v>
      </c>
      <c r="F1110" s="9" t="s">
        <v>64</v>
      </c>
      <c r="G1110" s="5" t="s">
        <v>61</v>
      </c>
    </row>
    <row r="1111">
      <c r="A1111" s="10">
        <v>2.57E11</v>
      </c>
      <c r="B1111" s="11">
        <v>0.024</v>
      </c>
      <c r="C1111" s="11">
        <v>27.0</v>
      </c>
      <c r="D1111" s="11">
        <v>0.141</v>
      </c>
      <c r="E1111" s="7" t="s">
        <v>164</v>
      </c>
      <c r="F1111" s="9" t="s">
        <v>65</v>
      </c>
      <c r="G1111" s="5" t="s">
        <v>61</v>
      </c>
    </row>
    <row r="1112">
      <c r="A1112" s="10">
        <v>2.86E11</v>
      </c>
      <c r="B1112" s="11">
        <v>0.028</v>
      </c>
      <c r="C1112" s="11">
        <v>36.0</v>
      </c>
      <c r="D1112" s="11">
        <v>0.141</v>
      </c>
      <c r="E1112" s="7" t="s">
        <v>164</v>
      </c>
      <c r="F1112" s="9" t="s">
        <v>66</v>
      </c>
      <c r="G1112" s="5" t="s">
        <v>61</v>
      </c>
    </row>
    <row r="1113">
      <c r="A1113" s="10">
        <v>3.65E11</v>
      </c>
      <c r="B1113" s="11">
        <v>0.029</v>
      </c>
      <c r="C1113" s="11">
        <v>47.0</v>
      </c>
      <c r="D1113" s="11">
        <v>0.16</v>
      </c>
      <c r="E1113" s="7" t="s">
        <v>164</v>
      </c>
      <c r="F1113" s="9" t="s">
        <v>67</v>
      </c>
      <c r="G1113" s="5" t="s">
        <v>61</v>
      </c>
    </row>
    <row r="1114">
      <c r="A1114" s="10">
        <v>4.32E11</v>
      </c>
      <c r="B1114" s="11">
        <v>0.031</v>
      </c>
      <c r="C1114" s="11">
        <v>58.0</v>
      </c>
      <c r="D1114" s="11">
        <v>0.139</v>
      </c>
      <c r="E1114" s="7" t="s">
        <v>164</v>
      </c>
      <c r="F1114" s="9" t="s">
        <v>68</v>
      </c>
      <c r="G1114" s="5" t="s">
        <v>61</v>
      </c>
    </row>
    <row r="1115">
      <c r="A1115" s="10">
        <v>5.1E11</v>
      </c>
      <c r="B1115" s="11">
        <v>0.028</v>
      </c>
      <c r="C1115" s="11">
        <v>61.0</v>
      </c>
      <c r="D1115" s="11">
        <v>0.136</v>
      </c>
      <c r="E1115" s="7" t="s">
        <v>164</v>
      </c>
      <c r="F1115" s="9" t="s">
        <v>69</v>
      </c>
      <c r="G1115" s="5" t="s">
        <v>61</v>
      </c>
    </row>
    <row r="1116">
      <c r="A1116" s="10">
        <v>5.4E11</v>
      </c>
      <c r="B1116" s="11">
        <v>0.028</v>
      </c>
      <c r="C1116" s="11">
        <v>64.0</v>
      </c>
      <c r="D1116" s="11">
        <v>0.145</v>
      </c>
      <c r="E1116" s="7" t="s">
        <v>164</v>
      </c>
      <c r="F1116" s="9" t="s">
        <v>70</v>
      </c>
      <c r="G1116" s="5" t="s">
        <v>61</v>
      </c>
    </row>
    <row r="1117">
      <c r="A1117" s="10">
        <v>7.09E11</v>
      </c>
      <c r="B1117" s="11">
        <v>0.029</v>
      </c>
      <c r="C1117" s="11">
        <v>86.0</v>
      </c>
      <c r="D1117" s="11">
        <v>0.133</v>
      </c>
      <c r="E1117" s="7" t="s">
        <v>164</v>
      </c>
      <c r="F1117" s="9" t="s">
        <v>71</v>
      </c>
      <c r="G1117" s="5" t="s">
        <v>61</v>
      </c>
    </row>
    <row r="1118">
      <c r="A1118" s="10">
        <v>8.46E11</v>
      </c>
      <c r="B1118" s="11">
        <v>0.029</v>
      </c>
      <c r="C1118" s="11">
        <v>99.0</v>
      </c>
      <c r="D1118" s="11">
        <v>0.124</v>
      </c>
      <c r="E1118" s="7" t="s">
        <v>164</v>
      </c>
      <c r="F1118" s="9" t="s">
        <v>72</v>
      </c>
      <c r="G1118" s="5" t="s">
        <v>61</v>
      </c>
    </row>
    <row r="1119">
      <c r="A1119" s="10">
        <v>8.77E11</v>
      </c>
      <c r="B1119" s="11">
        <v>0.03</v>
      </c>
      <c r="C1119" s="11">
        <v>108.0</v>
      </c>
      <c r="D1119" s="11">
        <v>0.118</v>
      </c>
      <c r="E1119" s="7" t="s">
        <v>164</v>
      </c>
      <c r="F1119" s="9" t="s">
        <v>73</v>
      </c>
      <c r="G1119" s="5" t="s">
        <v>61</v>
      </c>
    </row>
    <row r="1120">
      <c r="A1120" s="10">
        <v>1.01E11</v>
      </c>
      <c r="B1120" s="11">
        <v>0.046</v>
      </c>
      <c r="C1120" s="11">
        <v>231.0</v>
      </c>
      <c r="D1120" s="8"/>
      <c r="E1120" s="7" t="s">
        <v>165</v>
      </c>
      <c r="F1120" s="9" t="s">
        <v>60</v>
      </c>
      <c r="G1120" s="5" t="s">
        <v>93</v>
      </c>
    </row>
    <row r="1121">
      <c r="A1121" s="10">
        <v>1.15E11</v>
      </c>
      <c r="B1121" s="11">
        <v>0.051</v>
      </c>
      <c r="C1121" s="11">
        <v>294.0</v>
      </c>
      <c r="D1121" s="8"/>
      <c r="E1121" s="7" t="s">
        <v>165</v>
      </c>
      <c r="F1121" s="9" t="s">
        <v>62</v>
      </c>
      <c r="G1121" s="5" t="s">
        <v>93</v>
      </c>
    </row>
    <row r="1122">
      <c r="A1122" s="10">
        <v>1.16E11</v>
      </c>
      <c r="B1122" s="11">
        <v>0.051</v>
      </c>
      <c r="C1122" s="11">
        <v>102.0</v>
      </c>
      <c r="D1122" s="8"/>
      <c r="E1122" s="7" t="s">
        <v>165</v>
      </c>
      <c r="F1122" s="9" t="s">
        <v>63</v>
      </c>
      <c r="G1122" s="5" t="s">
        <v>93</v>
      </c>
    </row>
    <row r="1123">
      <c r="A1123" s="10">
        <v>1.35E11</v>
      </c>
      <c r="B1123" s="11">
        <v>0.047</v>
      </c>
      <c r="C1123" s="11">
        <v>97.0</v>
      </c>
      <c r="D1123" s="8"/>
      <c r="E1123" s="7" t="s">
        <v>165</v>
      </c>
      <c r="F1123" s="9" t="s">
        <v>64</v>
      </c>
      <c r="G1123" s="5" t="s">
        <v>93</v>
      </c>
    </row>
    <row r="1124">
      <c r="A1124" s="10">
        <v>1.63E11</v>
      </c>
      <c r="B1124" s="11">
        <v>0.047</v>
      </c>
      <c r="C1124" s="11">
        <v>117.0</v>
      </c>
      <c r="D1124" s="11">
        <v>0.167</v>
      </c>
      <c r="E1124" s="7" t="s">
        <v>165</v>
      </c>
      <c r="F1124" s="9" t="s">
        <v>65</v>
      </c>
      <c r="G1124" s="5" t="s">
        <v>93</v>
      </c>
    </row>
    <row r="1125">
      <c r="A1125" s="10">
        <v>1.92E11</v>
      </c>
      <c r="B1125" s="11">
        <v>0.053</v>
      </c>
      <c r="C1125" s="11">
        <v>156.0</v>
      </c>
      <c r="D1125" s="11">
        <v>0.16</v>
      </c>
      <c r="E1125" s="7" t="s">
        <v>165</v>
      </c>
      <c r="F1125" s="9" t="s">
        <v>66</v>
      </c>
      <c r="G1125" s="5" t="s">
        <v>93</v>
      </c>
    </row>
    <row r="1126">
      <c r="A1126" s="10">
        <v>2.23E11</v>
      </c>
      <c r="B1126" s="11">
        <v>0.051</v>
      </c>
      <c r="C1126" s="11">
        <v>174.0</v>
      </c>
      <c r="D1126" s="11">
        <v>0.14</v>
      </c>
      <c r="E1126" s="7" t="s">
        <v>165</v>
      </c>
      <c r="F1126" s="9" t="s">
        <v>67</v>
      </c>
      <c r="G1126" s="5" t="s">
        <v>93</v>
      </c>
    </row>
    <row r="1127">
      <c r="A1127" s="10">
        <v>2.86E11</v>
      </c>
      <c r="B1127" s="11">
        <v>0.051</v>
      </c>
      <c r="C1127" s="11">
        <v>220.0</v>
      </c>
      <c r="D1127" s="11">
        <v>0.12</v>
      </c>
      <c r="E1127" s="7" t="s">
        <v>165</v>
      </c>
      <c r="F1127" s="9" t="s">
        <v>68</v>
      </c>
      <c r="G1127" s="5" t="s">
        <v>93</v>
      </c>
    </row>
    <row r="1128">
      <c r="A1128" s="10">
        <v>3.56E11</v>
      </c>
      <c r="B1128" s="11">
        <v>0.064</v>
      </c>
      <c r="C1128" s="11">
        <v>313.0</v>
      </c>
      <c r="D1128" s="11">
        <v>0.12</v>
      </c>
      <c r="E1128" s="7" t="s">
        <v>165</v>
      </c>
      <c r="F1128" s="9" t="s">
        <v>69</v>
      </c>
      <c r="G1128" s="5" t="s">
        <v>93</v>
      </c>
    </row>
    <row r="1129">
      <c r="A1129" s="10">
        <v>3.63E11</v>
      </c>
      <c r="B1129" s="11">
        <v>0.072</v>
      </c>
      <c r="C1129" s="11">
        <v>357.0</v>
      </c>
      <c r="D1129" s="11">
        <v>0.12</v>
      </c>
      <c r="E1129" s="7" t="s">
        <v>165</v>
      </c>
      <c r="F1129" s="9" t="s">
        <v>70</v>
      </c>
      <c r="G1129" s="5" t="s">
        <v>93</v>
      </c>
    </row>
    <row r="1130">
      <c r="A1130" s="10">
        <v>4.23E11</v>
      </c>
      <c r="B1130" s="11">
        <v>0.073</v>
      </c>
      <c r="C1130" s="11">
        <v>416.0</v>
      </c>
      <c r="D1130" s="11">
        <v>0.12</v>
      </c>
      <c r="E1130" s="7" t="s">
        <v>165</v>
      </c>
      <c r="F1130" s="9" t="s">
        <v>71</v>
      </c>
      <c r="G1130" s="5" t="s">
        <v>93</v>
      </c>
    </row>
    <row r="1131">
      <c r="A1131" s="10">
        <v>5.28E11</v>
      </c>
      <c r="B1131" s="11">
        <v>0.068</v>
      </c>
      <c r="C1131" s="11">
        <v>483.0</v>
      </c>
      <c r="D1131" s="11">
        <v>0.11</v>
      </c>
      <c r="E1131" s="7" t="s">
        <v>165</v>
      </c>
      <c r="F1131" s="9" t="s">
        <v>72</v>
      </c>
      <c r="G1131" s="5" t="s">
        <v>93</v>
      </c>
    </row>
    <row r="1132">
      <c r="A1132" s="10">
        <v>5.03E11</v>
      </c>
      <c r="B1132" s="11">
        <v>0.067</v>
      </c>
      <c r="C1132" s="11">
        <v>490.0</v>
      </c>
      <c r="D1132" s="11">
        <v>0.11</v>
      </c>
      <c r="E1132" s="7" t="s">
        <v>165</v>
      </c>
      <c r="F1132" s="9" t="s">
        <v>73</v>
      </c>
      <c r="G1132" s="5" t="s">
        <v>93</v>
      </c>
    </row>
    <row r="1133">
      <c r="A1133" s="7"/>
      <c r="B1133" s="11">
        <v>0.008</v>
      </c>
      <c r="C1133" s="11">
        <v>7.0</v>
      </c>
      <c r="D1133" s="8"/>
      <c r="E1133" s="7" t="s">
        <v>166</v>
      </c>
      <c r="F1133" s="9" t="s">
        <v>60</v>
      </c>
      <c r="G1133" s="5" t="s">
        <v>93</v>
      </c>
    </row>
    <row r="1134">
      <c r="A1134" s="7"/>
      <c r="B1134" s="11">
        <v>0.011</v>
      </c>
      <c r="C1134" s="11">
        <v>8.0</v>
      </c>
      <c r="D1134" s="8"/>
      <c r="E1134" s="7" t="s">
        <v>166</v>
      </c>
      <c r="F1134" s="9" t="s">
        <v>62</v>
      </c>
      <c r="G1134" s="5" t="s">
        <v>93</v>
      </c>
    </row>
    <row r="1135">
      <c r="A1135" s="7"/>
      <c r="B1135" s="11">
        <v>0.014</v>
      </c>
      <c r="C1135" s="11">
        <v>9.0</v>
      </c>
      <c r="D1135" s="8"/>
      <c r="E1135" s="7" t="s">
        <v>166</v>
      </c>
      <c r="F1135" s="9" t="s">
        <v>63</v>
      </c>
      <c r="G1135" s="5" t="s">
        <v>93</v>
      </c>
    </row>
    <row r="1136">
      <c r="A1136" s="7"/>
      <c r="B1136" s="11">
        <v>0.044</v>
      </c>
      <c r="C1136" s="11">
        <v>16.0</v>
      </c>
      <c r="D1136" s="8"/>
      <c r="E1136" s="7" t="s">
        <v>166</v>
      </c>
      <c r="F1136" s="9" t="s">
        <v>64</v>
      </c>
      <c r="G1136" s="5" t="s">
        <v>93</v>
      </c>
    </row>
    <row r="1137">
      <c r="A1137" s="10">
        <v>3.6627901762E10</v>
      </c>
      <c r="B1137" s="11">
        <v>0.056</v>
      </c>
      <c r="C1137" s="11">
        <v>55.0</v>
      </c>
      <c r="D1137" s="11">
        <v>0.129</v>
      </c>
      <c r="E1137" s="7" t="s">
        <v>166</v>
      </c>
      <c r="F1137" s="9" t="s">
        <v>65</v>
      </c>
      <c r="G1137" s="5" t="s">
        <v>93</v>
      </c>
    </row>
    <row r="1138">
      <c r="A1138" s="10">
        <v>4.9954890353E10</v>
      </c>
      <c r="B1138" s="11">
        <v>0.041</v>
      </c>
      <c r="C1138" s="11">
        <v>55.0</v>
      </c>
      <c r="D1138" s="11">
        <v>0.137</v>
      </c>
      <c r="E1138" s="7" t="s">
        <v>166</v>
      </c>
      <c r="F1138" s="9" t="s">
        <v>66</v>
      </c>
      <c r="G1138" s="5" t="s">
        <v>93</v>
      </c>
    </row>
    <row r="1139">
      <c r="A1139" s="10">
        <v>6.5141035028E10</v>
      </c>
      <c r="B1139" s="11">
        <v>0.03</v>
      </c>
      <c r="C1139" s="11">
        <v>58.0</v>
      </c>
      <c r="D1139" s="11">
        <v>0.145</v>
      </c>
      <c r="E1139" s="7" t="s">
        <v>166</v>
      </c>
      <c r="F1139" s="9" t="s">
        <v>67</v>
      </c>
      <c r="G1139" s="5" t="s">
        <v>93</v>
      </c>
    </row>
    <row r="1140">
      <c r="A1140" s="10">
        <v>8.8837727881E10</v>
      </c>
      <c r="B1140" s="11">
        <v>0.037</v>
      </c>
      <c r="C1140" s="11">
        <v>95.0</v>
      </c>
      <c r="D1140" s="11">
        <v>0.195</v>
      </c>
      <c r="E1140" s="7" t="s">
        <v>166</v>
      </c>
      <c r="F1140" s="9" t="s">
        <v>68</v>
      </c>
      <c r="G1140" s="5" t="s">
        <v>93</v>
      </c>
    </row>
    <row r="1141">
      <c r="A1141" s="10">
        <v>1.32E11</v>
      </c>
      <c r="B1141" s="11">
        <v>0.039</v>
      </c>
      <c r="C1141" s="11">
        <v>142.0</v>
      </c>
      <c r="D1141" s="11">
        <v>0.195</v>
      </c>
      <c r="E1141" s="7" t="s">
        <v>166</v>
      </c>
      <c r="F1141" s="9" t="s">
        <v>69</v>
      </c>
      <c r="G1141" s="5" t="s">
        <v>93</v>
      </c>
    </row>
    <row r="1142">
      <c r="A1142" s="10">
        <v>1.12E11</v>
      </c>
      <c r="B1142" s="11">
        <v>0.046</v>
      </c>
      <c r="C1142" s="11">
        <v>143.0</v>
      </c>
      <c r="D1142" s="11">
        <v>0.156</v>
      </c>
      <c r="E1142" s="7" t="s">
        <v>166</v>
      </c>
      <c r="F1142" s="9" t="s">
        <v>70</v>
      </c>
      <c r="G1142" s="5" t="s">
        <v>93</v>
      </c>
    </row>
    <row r="1143">
      <c r="A1143" s="10">
        <v>1.43E11</v>
      </c>
      <c r="B1143" s="11">
        <v>0.031</v>
      </c>
      <c r="C1143" s="11">
        <v>141.0</v>
      </c>
      <c r="D1143" s="11">
        <v>0.133</v>
      </c>
      <c r="E1143" s="7" t="s">
        <v>166</v>
      </c>
      <c r="F1143" s="9" t="s">
        <v>71</v>
      </c>
      <c r="G1143" s="5" t="s">
        <v>93</v>
      </c>
    </row>
    <row r="1144">
      <c r="A1144" s="10">
        <v>1.91E11</v>
      </c>
      <c r="B1144" s="11">
        <v>0.027</v>
      </c>
      <c r="C1144" s="11">
        <v>160.0</v>
      </c>
      <c r="D1144" s="11">
        <v>0.136</v>
      </c>
      <c r="E1144" s="7" t="s">
        <v>166</v>
      </c>
      <c r="F1144" s="9" t="s">
        <v>72</v>
      </c>
      <c r="G1144" s="5" t="s">
        <v>93</v>
      </c>
    </row>
    <row r="1145">
      <c r="A1145" s="10">
        <v>2.16E11</v>
      </c>
      <c r="B1145" s="11">
        <v>0.036</v>
      </c>
      <c r="C1145" s="11">
        <v>226.0</v>
      </c>
      <c r="D1145" s="11">
        <v>0.13</v>
      </c>
      <c r="E1145" s="7" t="s">
        <v>166</v>
      </c>
      <c r="F1145" s="9" t="s">
        <v>73</v>
      </c>
      <c r="G1145" s="5" t="s">
        <v>93</v>
      </c>
    </row>
    <row r="1146">
      <c r="A1146" s="10">
        <v>9.7331522066E10</v>
      </c>
      <c r="B1146" s="11">
        <v>0.061</v>
      </c>
      <c r="C1146" s="11">
        <v>1572.0</v>
      </c>
      <c r="D1146" s="11">
        <v>0.048</v>
      </c>
      <c r="E1146" s="7" t="s">
        <v>167</v>
      </c>
      <c r="F1146" s="9" t="s">
        <v>60</v>
      </c>
      <c r="G1146" s="5" t="s">
        <v>75</v>
      </c>
    </row>
    <row r="1147">
      <c r="A1147" s="10">
        <v>1.05E11</v>
      </c>
      <c r="B1147" s="11">
        <v>0.067</v>
      </c>
      <c r="C1147" s="11">
        <v>1848.0</v>
      </c>
      <c r="D1147" s="11">
        <v>0.048</v>
      </c>
      <c r="E1147" s="7" t="s">
        <v>167</v>
      </c>
      <c r="F1147" s="9" t="s">
        <v>62</v>
      </c>
      <c r="G1147" s="5" t="s">
        <v>75</v>
      </c>
    </row>
    <row r="1148">
      <c r="A1148" s="10">
        <v>1.23E11</v>
      </c>
      <c r="B1148" s="11">
        <v>0.07</v>
      </c>
      <c r="C1148" s="11">
        <v>2221.0</v>
      </c>
      <c r="D1148" s="11">
        <v>0.038</v>
      </c>
      <c r="E1148" s="7" t="s">
        <v>167</v>
      </c>
      <c r="F1148" s="9" t="s">
        <v>63</v>
      </c>
      <c r="G1148" s="5" t="s">
        <v>75</v>
      </c>
    </row>
    <row r="1149">
      <c r="A1149" s="10">
        <v>1.59E11</v>
      </c>
      <c r="B1149" s="11">
        <v>0.073</v>
      </c>
      <c r="C1149" s="11">
        <v>2918.0</v>
      </c>
      <c r="D1149" s="11">
        <v>0.028</v>
      </c>
      <c r="E1149" s="7" t="s">
        <v>167</v>
      </c>
      <c r="F1149" s="9" t="s">
        <v>64</v>
      </c>
      <c r="G1149" s="5" t="s">
        <v>75</v>
      </c>
    </row>
    <row r="1150">
      <c r="A1150" s="10">
        <v>1.86E11</v>
      </c>
      <c r="B1150" s="11">
        <v>0.075</v>
      </c>
      <c r="C1150" s="11">
        <v>3487.0</v>
      </c>
      <c r="D1150" s="11">
        <v>0.026</v>
      </c>
      <c r="E1150" s="7" t="s">
        <v>167</v>
      </c>
      <c r="F1150" s="9" t="s">
        <v>65</v>
      </c>
      <c r="G1150" s="5" t="s">
        <v>75</v>
      </c>
    </row>
    <row r="1151">
      <c r="A1151" s="10">
        <v>2.03E11</v>
      </c>
      <c r="B1151" s="11">
        <v>0.076</v>
      </c>
      <c r="C1151" s="11">
        <v>3734.0</v>
      </c>
      <c r="D1151" s="11">
        <v>0.026</v>
      </c>
      <c r="E1151" s="7" t="s">
        <v>167</v>
      </c>
      <c r="F1151" s="9" t="s">
        <v>66</v>
      </c>
      <c r="G1151" s="5" t="s">
        <v>75</v>
      </c>
    </row>
    <row r="1152">
      <c r="A1152" s="10">
        <v>2.23E11</v>
      </c>
      <c r="B1152" s="11">
        <v>0.075</v>
      </c>
      <c r="C1152" s="11">
        <v>3982.0</v>
      </c>
      <c r="D1152" s="8"/>
      <c r="E1152" s="7" t="s">
        <v>167</v>
      </c>
      <c r="F1152" s="9" t="s">
        <v>67</v>
      </c>
      <c r="G1152" s="5" t="s">
        <v>75</v>
      </c>
    </row>
    <row r="1153">
      <c r="A1153" s="10">
        <v>2.6E11</v>
      </c>
      <c r="B1153" s="11">
        <v>0.079</v>
      </c>
      <c r="C1153" s="11">
        <v>4733.0</v>
      </c>
      <c r="D1153" s="8"/>
      <c r="E1153" s="7" t="s">
        <v>167</v>
      </c>
      <c r="F1153" s="9" t="s">
        <v>68</v>
      </c>
      <c r="G1153" s="5" t="s">
        <v>75</v>
      </c>
    </row>
    <row r="1154">
      <c r="A1154" s="10">
        <v>2.64E11</v>
      </c>
      <c r="B1154" s="11">
        <v>0.091</v>
      </c>
      <c r="C1154" s="11">
        <v>5393.0</v>
      </c>
      <c r="D1154" s="8"/>
      <c r="E1154" s="7" t="s">
        <v>167</v>
      </c>
      <c r="F1154" s="9" t="s">
        <v>69</v>
      </c>
      <c r="G1154" s="5" t="s">
        <v>75</v>
      </c>
    </row>
    <row r="1155">
      <c r="A1155" s="10">
        <v>2.25E11</v>
      </c>
      <c r="B1155" s="11">
        <v>0.1</v>
      </c>
      <c r="C1155" s="11">
        <v>5040.0</v>
      </c>
      <c r="D1155" s="8"/>
      <c r="E1155" s="7" t="s">
        <v>167</v>
      </c>
      <c r="F1155" s="9" t="s">
        <v>70</v>
      </c>
      <c r="G1155" s="5" t="s">
        <v>75</v>
      </c>
    </row>
    <row r="1156">
      <c r="A1156" s="10">
        <v>2.09E11</v>
      </c>
      <c r="B1156" s="11">
        <v>0.093</v>
      </c>
      <c r="C1156" s="11">
        <v>4320.0</v>
      </c>
      <c r="D1156" s="8"/>
      <c r="E1156" s="7" t="s">
        <v>167</v>
      </c>
      <c r="F1156" s="9" t="s">
        <v>71</v>
      </c>
      <c r="G1156" s="5" t="s">
        <v>75</v>
      </c>
    </row>
    <row r="1157">
      <c r="A1157" s="10">
        <v>2.26E11</v>
      </c>
      <c r="B1157" s="11">
        <v>0.088</v>
      </c>
      <c r="C1157" s="11">
        <v>4306.0</v>
      </c>
      <c r="D1157" s="8"/>
      <c r="E1157" s="7" t="s">
        <v>167</v>
      </c>
      <c r="F1157" s="9" t="s">
        <v>72</v>
      </c>
      <c r="G1157" s="5" t="s">
        <v>75</v>
      </c>
    </row>
    <row r="1158">
      <c r="A1158" s="10">
        <v>2.11E11</v>
      </c>
      <c r="B1158" s="11">
        <v>0.081</v>
      </c>
      <c r="C1158" s="11">
        <v>3708.0</v>
      </c>
      <c r="D1158" s="8"/>
      <c r="E1158" s="7" t="s">
        <v>167</v>
      </c>
      <c r="F1158" s="9" t="s">
        <v>73</v>
      </c>
      <c r="G1158" s="5" t="s">
        <v>75</v>
      </c>
    </row>
    <row r="1159">
      <c r="A1159" s="10">
        <v>1.5636678E9</v>
      </c>
      <c r="B1159" s="8"/>
      <c r="C1159" s="8"/>
      <c r="D1159" s="8"/>
      <c r="E1159" s="7" t="s">
        <v>168</v>
      </c>
      <c r="F1159" s="9" t="s">
        <v>60</v>
      </c>
      <c r="G1159" s="5" t="s">
        <v>75</v>
      </c>
    </row>
    <row r="1160">
      <c r="A1160" s="10">
        <v>1.614595291E9</v>
      </c>
      <c r="B1160" s="8"/>
      <c r="C1160" s="8"/>
      <c r="D1160" s="8"/>
      <c r="E1160" s="7" t="s">
        <v>168</v>
      </c>
      <c r="F1160" s="9" t="s">
        <v>62</v>
      </c>
      <c r="G1160" s="5" t="s">
        <v>75</v>
      </c>
    </row>
    <row r="1161">
      <c r="A1161" s="10">
        <v>1.897606791E9</v>
      </c>
      <c r="B1161" s="8"/>
      <c r="C1161" s="8"/>
      <c r="D1161" s="8"/>
      <c r="E1161" s="7" t="s">
        <v>168</v>
      </c>
      <c r="F1161" s="9" t="s">
        <v>63</v>
      </c>
      <c r="G1161" s="5" t="s">
        <v>75</v>
      </c>
    </row>
    <row r="1162">
      <c r="A1162" s="10">
        <v>2.264911807E9</v>
      </c>
      <c r="B1162" s="8"/>
      <c r="C1162" s="8"/>
      <c r="D1162" s="8"/>
      <c r="E1162" s="7" t="s">
        <v>168</v>
      </c>
      <c r="F1162" s="9" t="s">
        <v>64</v>
      </c>
      <c r="G1162" s="5" t="s">
        <v>75</v>
      </c>
    </row>
    <row r="1163">
      <c r="A1163" s="10">
        <v>2.758117365E9</v>
      </c>
      <c r="B1163" s="8"/>
      <c r="C1163" s="8"/>
      <c r="D1163" s="8"/>
      <c r="E1163" s="7" t="s">
        <v>168</v>
      </c>
      <c r="F1163" s="9" t="s">
        <v>65</v>
      </c>
      <c r="G1163" s="5" t="s">
        <v>75</v>
      </c>
    </row>
    <row r="1164">
      <c r="A1164" s="10">
        <v>2.915710378E9</v>
      </c>
      <c r="B1164" s="8"/>
      <c r="C1164" s="8"/>
      <c r="D1164" s="8"/>
      <c r="E1164" s="7" t="s">
        <v>168</v>
      </c>
      <c r="F1164" s="9" t="s">
        <v>66</v>
      </c>
      <c r="G1164" s="5" t="s">
        <v>75</v>
      </c>
    </row>
    <row r="1165">
      <c r="A1165" s="10">
        <v>3.437450712E9</v>
      </c>
      <c r="B1165" s="8"/>
      <c r="C1165" s="8"/>
      <c r="D1165" s="8"/>
      <c r="E1165" s="7" t="s">
        <v>168</v>
      </c>
      <c r="F1165" s="9" t="s">
        <v>67</v>
      </c>
      <c r="G1165" s="5" t="s">
        <v>75</v>
      </c>
    </row>
    <row r="1166">
      <c r="A1166" s="10">
        <v>4.075664785E9</v>
      </c>
      <c r="B1166" s="8"/>
      <c r="C1166" s="8"/>
      <c r="D1166" s="8"/>
      <c r="E1166" s="7" t="s">
        <v>168</v>
      </c>
      <c r="F1166" s="9" t="s">
        <v>68</v>
      </c>
      <c r="G1166" s="5" t="s">
        <v>75</v>
      </c>
    </row>
    <row r="1167">
      <c r="A1167" s="7"/>
      <c r="B1167" s="8"/>
      <c r="C1167" s="8"/>
      <c r="D1167" s="8"/>
      <c r="E1167" s="7" t="s">
        <v>168</v>
      </c>
      <c r="F1167" s="9" t="s">
        <v>69</v>
      </c>
      <c r="G1167" s="5" t="s">
        <v>75</v>
      </c>
    </row>
    <row r="1168">
      <c r="A1168" s="7"/>
      <c r="B1168" s="8"/>
      <c r="C1168" s="8"/>
      <c r="D1168" s="8"/>
      <c r="E1168" s="7" t="s">
        <v>168</v>
      </c>
      <c r="F1168" s="9" t="s">
        <v>70</v>
      </c>
      <c r="G1168" s="5" t="s">
        <v>75</v>
      </c>
    </row>
    <row r="1169">
      <c r="A1169" s="7"/>
      <c r="B1169" s="8"/>
      <c r="C1169" s="8"/>
      <c r="D1169" s="8"/>
      <c r="E1169" s="7" t="s">
        <v>168</v>
      </c>
      <c r="F1169" s="9" t="s">
        <v>71</v>
      </c>
      <c r="G1169" s="5" t="s">
        <v>75</v>
      </c>
    </row>
    <row r="1170">
      <c r="A1170" s="7"/>
      <c r="B1170" s="8"/>
      <c r="C1170" s="8"/>
      <c r="D1170" s="8"/>
      <c r="E1170" s="7" t="s">
        <v>168</v>
      </c>
      <c r="F1170" s="9" t="s">
        <v>72</v>
      </c>
      <c r="G1170" s="5" t="s">
        <v>75</v>
      </c>
    </row>
    <row r="1171">
      <c r="A1171" s="7"/>
      <c r="B1171" s="8"/>
      <c r="C1171" s="8"/>
      <c r="D1171" s="8"/>
      <c r="E1171" s="7" t="s">
        <v>168</v>
      </c>
      <c r="F1171" s="9" t="s">
        <v>73</v>
      </c>
      <c r="G1171" s="5" t="s">
        <v>75</v>
      </c>
    </row>
    <row r="1172">
      <c r="A1172" s="10">
        <v>1.25E11</v>
      </c>
      <c r="B1172" s="11">
        <v>0.074</v>
      </c>
      <c r="C1172" s="11">
        <v>1454.0</v>
      </c>
      <c r="D1172" s="11">
        <v>0.128</v>
      </c>
      <c r="E1172" s="7" t="s">
        <v>169</v>
      </c>
      <c r="F1172" s="9" t="s">
        <v>60</v>
      </c>
      <c r="G1172" s="5" t="s">
        <v>93</v>
      </c>
    </row>
    <row r="1173">
      <c r="A1173" s="10">
        <v>1.23E11</v>
      </c>
      <c r="B1173" s="11">
        <v>0.079</v>
      </c>
      <c r="C1173" s="11">
        <v>1499.0</v>
      </c>
      <c r="D1173" s="11">
        <v>0.1</v>
      </c>
      <c r="E1173" s="7" t="s">
        <v>169</v>
      </c>
      <c r="F1173" s="9" t="s">
        <v>62</v>
      </c>
      <c r="G1173" s="5" t="s">
        <v>93</v>
      </c>
    </row>
    <row r="1174">
      <c r="A1174" s="10">
        <v>1.13E11</v>
      </c>
      <c r="B1174" s="11">
        <v>0.078</v>
      </c>
      <c r="C1174" s="11">
        <v>1334.0</v>
      </c>
      <c r="D1174" s="11">
        <v>0.099</v>
      </c>
      <c r="E1174" s="7" t="s">
        <v>169</v>
      </c>
      <c r="F1174" s="9" t="s">
        <v>63</v>
      </c>
      <c r="G1174" s="5" t="s">
        <v>93</v>
      </c>
    </row>
    <row r="1175">
      <c r="A1175" s="10">
        <v>1.19E11</v>
      </c>
      <c r="B1175" s="11">
        <v>0.077</v>
      </c>
      <c r="C1175" s="11">
        <v>1364.0</v>
      </c>
      <c r="D1175" s="11">
        <v>0.106</v>
      </c>
      <c r="E1175" s="7" t="s">
        <v>169</v>
      </c>
      <c r="F1175" s="9" t="s">
        <v>64</v>
      </c>
      <c r="G1175" s="5" t="s">
        <v>93</v>
      </c>
    </row>
    <row r="1176">
      <c r="A1176" s="10">
        <v>1.27E11</v>
      </c>
      <c r="B1176" s="11">
        <v>0.076</v>
      </c>
      <c r="C1176" s="11">
        <v>1410.0</v>
      </c>
      <c r="D1176" s="11">
        <v>0.075</v>
      </c>
      <c r="E1176" s="7" t="s">
        <v>169</v>
      </c>
      <c r="F1176" s="9" t="s">
        <v>65</v>
      </c>
      <c r="G1176" s="5" t="s">
        <v>93</v>
      </c>
    </row>
    <row r="1177">
      <c r="A1177" s="10">
        <v>1.34E11</v>
      </c>
      <c r="B1177" s="11">
        <v>0.077</v>
      </c>
      <c r="C1177" s="11">
        <v>1480.0</v>
      </c>
      <c r="D1177" s="11">
        <v>0.068</v>
      </c>
      <c r="E1177" s="7" t="s">
        <v>169</v>
      </c>
      <c r="F1177" s="9" t="s">
        <v>66</v>
      </c>
      <c r="G1177" s="5" t="s">
        <v>93</v>
      </c>
    </row>
    <row r="1178">
      <c r="A1178" s="10">
        <v>1.51E11</v>
      </c>
      <c r="B1178" s="11">
        <v>0.074</v>
      </c>
      <c r="C1178" s="11">
        <v>1524.0</v>
      </c>
      <c r="D1178" s="11">
        <v>0.081</v>
      </c>
      <c r="E1178" s="7" t="s">
        <v>169</v>
      </c>
      <c r="F1178" s="9" t="s">
        <v>67</v>
      </c>
      <c r="G1178" s="5" t="s">
        <v>93</v>
      </c>
    </row>
    <row r="1179">
      <c r="A1179" s="10">
        <v>1.75E11</v>
      </c>
      <c r="B1179" s="11">
        <v>0.075</v>
      </c>
      <c r="C1179" s="11">
        <v>1730.0</v>
      </c>
      <c r="D1179" s="11">
        <v>0.069</v>
      </c>
      <c r="E1179" s="7" t="s">
        <v>169</v>
      </c>
      <c r="F1179" s="9" t="s">
        <v>68</v>
      </c>
      <c r="G1179" s="5" t="s">
        <v>93</v>
      </c>
    </row>
    <row r="1180">
      <c r="A1180" s="10">
        <v>2.13E11</v>
      </c>
      <c r="B1180" s="11">
        <v>0.076</v>
      </c>
      <c r="C1180" s="11">
        <v>2076.0</v>
      </c>
      <c r="D1180" s="11">
        <v>0.066</v>
      </c>
      <c r="E1180" s="7" t="s">
        <v>169</v>
      </c>
      <c r="F1180" s="9" t="s">
        <v>69</v>
      </c>
      <c r="G1180" s="5" t="s">
        <v>93</v>
      </c>
    </row>
    <row r="1181">
      <c r="A1181" s="10">
        <v>2.06E11</v>
      </c>
      <c r="B1181" s="11">
        <v>0.076</v>
      </c>
      <c r="C1181" s="11">
        <v>1973.0</v>
      </c>
      <c r="D1181" s="11">
        <v>0.042</v>
      </c>
      <c r="E1181" s="7" t="s">
        <v>169</v>
      </c>
      <c r="F1181" s="9" t="s">
        <v>70</v>
      </c>
      <c r="G1181" s="5" t="s">
        <v>93</v>
      </c>
    </row>
    <row r="1182">
      <c r="A1182" s="10">
        <v>2.32E11</v>
      </c>
      <c r="B1182" s="11">
        <v>0.076</v>
      </c>
      <c r="C1182" s="11">
        <v>2165.0</v>
      </c>
      <c r="D1182" s="11">
        <v>0.05</v>
      </c>
      <c r="E1182" s="7" t="s">
        <v>169</v>
      </c>
      <c r="F1182" s="9" t="s">
        <v>71</v>
      </c>
      <c r="G1182" s="5" t="s">
        <v>93</v>
      </c>
    </row>
    <row r="1183">
      <c r="A1183" s="10">
        <v>2.58E11</v>
      </c>
      <c r="B1183" s="11">
        <v>0.076</v>
      </c>
      <c r="C1183" s="11">
        <v>2373.0</v>
      </c>
      <c r="D1183" s="11">
        <v>0.06</v>
      </c>
      <c r="E1183" s="7" t="s">
        <v>169</v>
      </c>
      <c r="F1183" s="9" t="s">
        <v>72</v>
      </c>
      <c r="G1183" s="5" t="s">
        <v>93</v>
      </c>
    </row>
    <row r="1184">
      <c r="A1184" s="10">
        <v>2.58E11</v>
      </c>
      <c r="B1184" s="11">
        <v>0.075</v>
      </c>
      <c r="C1184" s="11">
        <v>2289.0</v>
      </c>
      <c r="D1184" s="11">
        <v>0.056</v>
      </c>
      <c r="E1184" s="7" t="s">
        <v>169</v>
      </c>
      <c r="F1184" s="9" t="s">
        <v>73</v>
      </c>
      <c r="G1184" s="5" t="s">
        <v>93</v>
      </c>
    </row>
    <row r="1185">
      <c r="A1185" s="10">
        <v>1.1E12</v>
      </c>
      <c r="B1185" s="11">
        <v>0.079</v>
      </c>
      <c r="C1185" s="11">
        <v>1527.0</v>
      </c>
      <c r="D1185" s="11">
        <v>0.07</v>
      </c>
      <c r="E1185" s="7" t="s">
        <v>170</v>
      </c>
      <c r="F1185" s="9" t="s">
        <v>60</v>
      </c>
      <c r="G1185" s="5" t="s">
        <v>75</v>
      </c>
    </row>
    <row r="1186">
      <c r="A1186" s="10">
        <v>1.12E12</v>
      </c>
      <c r="B1186" s="11">
        <v>0.081</v>
      </c>
      <c r="C1186" s="11">
        <v>1590.0</v>
      </c>
      <c r="D1186" s="11">
        <v>0.073</v>
      </c>
      <c r="E1186" s="7" t="s">
        <v>170</v>
      </c>
      <c r="F1186" s="9" t="s">
        <v>62</v>
      </c>
      <c r="G1186" s="5" t="s">
        <v>75</v>
      </c>
    </row>
    <row r="1187">
      <c r="A1187" s="10">
        <v>1.23E12</v>
      </c>
      <c r="B1187" s="11">
        <v>0.082</v>
      </c>
      <c r="C1187" s="11">
        <v>1761.0</v>
      </c>
      <c r="D1187" s="11">
        <v>0.065</v>
      </c>
      <c r="E1187" s="7" t="s">
        <v>170</v>
      </c>
      <c r="F1187" s="9" t="s">
        <v>63</v>
      </c>
      <c r="G1187" s="5" t="s">
        <v>75</v>
      </c>
    </row>
    <row r="1188">
      <c r="A1188" s="10">
        <v>1.51E12</v>
      </c>
      <c r="B1188" s="11">
        <v>0.082</v>
      </c>
      <c r="C1188" s="11">
        <v>2157.0</v>
      </c>
      <c r="D1188" s="11">
        <v>0.058</v>
      </c>
      <c r="E1188" s="7" t="s">
        <v>170</v>
      </c>
      <c r="F1188" s="9" t="s">
        <v>64</v>
      </c>
      <c r="G1188" s="5" t="s">
        <v>75</v>
      </c>
    </row>
    <row r="1189">
      <c r="A1189" s="10">
        <v>1.74E12</v>
      </c>
      <c r="B1189" s="11">
        <v>0.085</v>
      </c>
      <c r="C1189" s="11">
        <v>2549.0</v>
      </c>
      <c r="D1189" s="11">
        <v>0.055</v>
      </c>
      <c r="E1189" s="7" t="s">
        <v>170</v>
      </c>
      <c r="F1189" s="9" t="s">
        <v>65</v>
      </c>
      <c r="G1189" s="5" t="s">
        <v>75</v>
      </c>
    </row>
    <row r="1190">
      <c r="A1190" s="10">
        <v>1.79E12</v>
      </c>
      <c r="B1190" s="11">
        <v>0.087</v>
      </c>
      <c r="C1190" s="11">
        <v>2672.0</v>
      </c>
      <c r="D1190" s="11">
        <v>0.053</v>
      </c>
      <c r="E1190" s="7" t="s">
        <v>170</v>
      </c>
      <c r="F1190" s="9" t="s">
        <v>66</v>
      </c>
      <c r="G1190" s="5" t="s">
        <v>75</v>
      </c>
    </row>
    <row r="1191">
      <c r="A1191" s="10">
        <v>1.87E12</v>
      </c>
      <c r="B1191" s="11">
        <v>0.088</v>
      </c>
      <c r="C1191" s="11">
        <v>2818.0</v>
      </c>
      <c r="D1191" s="11">
        <v>0.056</v>
      </c>
      <c r="E1191" s="7" t="s">
        <v>170</v>
      </c>
      <c r="F1191" s="9" t="s">
        <v>67</v>
      </c>
      <c r="G1191" s="5" t="s">
        <v>75</v>
      </c>
    </row>
    <row r="1192">
      <c r="A1192" s="10">
        <v>2.13E12</v>
      </c>
      <c r="B1192" s="11">
        <v>0.085</v>
      </c>
      <c r="C1192" s="11">
        <v>3058.0</v>
      </c>
      <c r="D1192" s="11">
        <v>0.063</v>
      </c>
      <c r="E1192" s="7" t="s">
        <v>170</v>
      </c>
      <c r="F1192" s="9" t="s">
        <v>68</v>
      </c>
      <c r="G1192" s="5" t="s">
        <v>75</v>
      </c>
    </row>
    <row r="1193">
      <c r="A1193" s="10">
        <v>2.31E12</v>
      </c>
      <c r="B1193" s="11">
        <v>0.089</v>
      </c>
      <c r="C1193" s="11">
        <v>3441.0</v>
      </c>
      <c r="D1193" s="11">
        <v>0.068</v>
      </c>
      <c r="E1193" s="7" t="s">
        <v>170</v>
      </c>
      <c r="F1193" s="9" t="s">
        <v>69</v>
      </c>
      <c r="G1193" s="5" t="s">
        <v>75</v>
      </c>
    </row>
    <row r="1194">
      <c r="A1194" s="10">
        <v>2.11E12</v>
      </c>
      <c r="B1194" s="11">
        <v>0.094</v>
      </c>
      <c r="C1194" s="11">
        <v>3306.0</v>
      </c>
      <c r="D1194" s="11">
        <v>0.048</v>
      </c>
      <c r="E1194" s="7" t="s">
        <v>170</v>
      </c>
      <c r="F1194" s="9" t="s">
        <v>70</v>
      </c>
      <c r="G1194" s="5" t="s">
        <v>75</v>
      </c>
    </row>
    <row r="1195">
      <c r="A1195" s="10">
        <v>2.06E12</v>
      </c>
      <c r="B1195" s="11">
        <v>0.094</v>
      </c>
      <c r="C1195" s="11">
        <v>3205.0</v>
      </c>
      <c r="D1195" s="11">
        <v>0.04</v>
      </c>
      <c r="E1195" s="7" t="s">
        <v>170</v>
      </c>
      <c r="F1195" s="9" t="s">
        <v>71</v>
      </c>
      <c r="G1195" s="5" t="s">
        <v>75</v>
      </c>
    </row>
    <row r="1196">
      <c r="A1196" s="10">
        <v>2.2E12</v>
      </c>
      <c r="B1196" s="11">
        <v>0.092</v>
      </c>
      <c r="C1196" s="11">
        <v>3339.0</v>
      </c>
      <c r="D1196" s="11">
        <v>0.046</v>
      </c>
      <c r="E1196" s="7" t="s">
        <v>170</v>
      </c>
      <c r="F1196" s="9" t="s">
        <v>72</v>
      </c>
      <c r="G1196" s="5" t="s">
        <v>75</v>
      </c>
    </row>
    <row r="1197">
      <c r="A1197" s="10">
        <v>2.01E12</v>
      </c>
      <c r="B1197" s="11">
        <v>0.092</v>
      </c>
      <c r="C1197" s="11">
        <v>3032.0</v>
      </c>
      <c r="D1197" s="11">
        <v>0.052</v>
      </c>
      <c r="E1197" s="7" t="s">
        <v>170</v>
      </c>
      <c r="F1197" s="9" t="s">
        <v>73</v>
      </c>
      <c r="G1197" s="5" t="s">
        <v>75</v>
      </c>
    </row>
    <row r="1198">
      <c r="A1198" s="10">
        <v>9.008629729E9</v>
      </c>
      <c r="B1198" s="11">
        <v>0.055</v>
      </c>
      <c r="C1198" s="11">
        <v>189.0</v>
      </c>
      <c r="D1198" s="11">
        <v>0.233</v>
      </c>
      <c r="E1198" s="7" t="s">
        <v>171</v>
      </c>
      <c r="F1198" s="9" t="s">
        <v>60</v>
      </c>
      <c r="G1198" s="5" t="s">
        <v>84</v>
      </c>
    </row>
    <row r="1199">
      <c r="A1199" s="10">
        <v>9.10451593E9</v>
      </c>
      <c r="B1199" s="11">
        <v>0.051</v>
      </c>
      <c r="C1199" s="11">
        <v>178.0</v>
      </c>
      <c r="D1199" s="11">
        <v>0.206</v>
      </c>
      <c r="E1199" s="7" t="s">
        <v>171</v>
      </c>
      <c r="F1199" s="9" t="s">
        <v>62</v>
      </c>
      <c r="G1199" s="5" t="s">
        <v>84</v>
      </c>
    </row>
    <row r="1200">
      <c r="A1200" s="10">
        <v>9.718989517E9</v>
      </c>
      <c r="B1200" s="11">
        <v>0.049</v>
      </c>
      <c r="C1200" s="11">
        <v>180.0</v>
      </c>
      <c r="D1200" s="11">
        <v>0.185</v>
      </c>
      <c r="E1200" s="7" t="s">
        <v>171</v>
      </c>
      <c r="F1200" s="9" t="s">
        <v>63</v>
      </c>
      <c r="G1200" s="5" t="s">
        <v>84</v>
      </c>
    </row>
    <row r="1201">
      <c r="A1201" s="10">
        <v>9.430236065E9</v>
      </c>
      <c r="B1201" s="11">
        <v>0.046</v>
      </c>
      <c r="C1201" s="11">
        <v>162.0</v>
      </c>
      <c r="D1201" s="11">
        <v>0.189</v>
      </c>
      <c r="E1201" s="7" t="s">
        <v>171</v>
      </c>
      <c r="F1201" s="9" t="s">
        <v>64</v>
      </c>
      <c r="G1201" s="5" t="s">
        <v>84</v>
      </c>
    </row>
    <row r="1202">
      <c r="A1202" s="10">
        <v>1.0173234921E10</v>
      </c>
      <c r="B1202" s="11">
        <v>0.048</v>
      </c>
      <c r="C1202" s="11">
        <v>183.0</v>
      </c>
      <c r="D1202" s="11">
        <v>0.181</v>
      </c>
      <c r="E1202" s="7" t="s">
        <v>171</v>
      </c>
      <c r="F1202" s="9" t="s">
        <v>65</v>
      </c>
      <c r="G1202" s="5" t="s">
        <v>84</v>
      </c>
    </row>
    <row r="1203">
      <c r="A1203" s="10">
        <v>1.1075778481E10</v>
      </c>
      <c r="B1203" s="11">
        <v>0.041</v>
      </c>
      <c r="C1203" s="11">
        <v>170.0</v>
      </c>
      <c r="D1203" s="11">
        <v>0.174</v>
      </c>
      <c r="E1203" s="7" t="s">
        <v>171</v>
      </c>
      <c r="F1203" s="9" t="s">
        <v>66</v>
      </c>
      <c r="G1203" s="5" t="s">
        <v>84</v>
      </c>
    </row>
    <row r="1204">
      <c r="A1204" s="10">
        <v>1.1903020644E10</v>
      </c>
      <c r="B1204" s="11">
        <v>0.042</v>
      </c>
      <c r="C1204" s="11">
        <v>187.0</v>
      </c>
      <c r="D1204" s="11">
        <v>0.176</v>
      </c>
      <c r="E1204" s="7" t="s">
        <v>171</v>
      </c>
      <c r="F1204" s="9" t="s">
        <v>67</v>
      </c>
      <c r="G1204" s="5" t="s">
        <v>84</v>
      </c>
    </row>
    <row r="1205">
      <c r="A1205" s="10">
        <v>1.2820055025E10</v>
      </c>
      <c r="B1205" s="11">
        <v>0.049</v>
      </c>
      <c r="C1205" s="11">
        <v>230.0</v>
      </c>
      <c r="D1205" s="11">
        <v>0.172</v>
      </c>
      <c r="E1205" s="7" t="s">
        <v>171</v>
      </c>
      <c r="F1205" s="9" t="s">
        <v>68</v>
      </c>
      <c r="G1205" s="5" t="s">
        <v>84</v>
      </c>
    </row>
    <row r="1206">
      <c r="A1206" s="10">
        <v>1.367683763E10</v>
      </c>
      <c r="B1206" s="11">
        <v>0.054</v>
      </c>
      <c r="C1206" s="11">
        <v>272.0</v>
      </c>
      <c r="D1206" s="11">
        <v>0.168</v>
      </c>
      <c r="E1206" s="7" t="s">
        <v>171</v>
      </c>
      <c r="F1206" s="9" t="s">
        <v>69</v>
      </c>
      <c r="G1206" s="5" t="s">
        <v>84</v>
      </c>
    </row>
    <row r="1207">
      <c r="A1207" s="10">
        <v>1.2125023181E10</v>
      </c>
      <c r="B1207" s="11">
        <v>0.052</v>
      </c>
      <c r="C1207" s="11">
        <v>229.0</v>
      </c>
      <c r="D1207" s="11">
        <v>0.164</v>
      </c>
      <c r="E1207" s="7" t="s">
        <v>171</v>
      </c>
      <c r="F1207" s="9" t="s">
        <v>70</v>
      </c>
      <c r="G1207" s="5" t="s">
        <v>84</v>
      </c>
    </row>
    <row r="1208">
      <c r="A1208" s="10">
        <v>1.323084404E10</v>
      </c>
      <c r="B1208" s="11">
        <v>0.053</v>
      </c>
      <c r="C1208" s="11">
        <v>255.0</v>
      </c>
      <c r="D1208" s="11">
        <v>0.205</v>
      </c>
      <c r="E1208" s="7" t="s">
        <v>171</v>
      </c>
      <c r="F1208" s="9" t="s">
        <v>71</v>
      </c>
      <c r="G1208" s="5" t="s">
        <v>84</v>
      </c>
    </row>
    <row r="1209">
      <c r="A1209" s="10">
        <v>1.4433926129E10</v>
      </c>
      <c r="B1209" s="11">
        <v>0.052</v>
      </c>
      <c r="C1209" s="11">
        <v>273.0</v>
      </c>
      <c r="D1209" s="11">
        <v>0.195</v>
      </c>
      <c r="E1209" s="7" t="s">
        <v>171</v>
      </c>
      <c r="F1209" s="9" t="s">
        <v>72</v>
      </c>
      <c r="G1209" s="5" t="s">
        <v>84</v>
      </c>
    </row>
    <row r="1210">
      <c r="A1210" s="10">
        <v>1.4794802081E10</v>
      </c>
      <c r="B1210" s="11">
        <v>0.059</v>
      </c>
      <c r="C1210" s="11">
        <v>318.0</v>
      </c>
      <c r="D1210" s="11">
        <v>0.176</v>
      </c>
      <c r="E1210" s="7" t="s">
        <v>171</v>
      </c>
      <c r="F1210" s="9" t="s">
        <v>73</v>
      </c>
      <c r="G1210" s="5" t="s">
        <v>84</v>
      </c>
    </row>
    <row r="1211">
      <c r="A1211" s="10">
        <v>4.73E12</v>
      </c>
      <c r="B1211" s="11">
        <v>0.076</v>
      </c>
      <c r="C1211" s="11">
        <v>2834.0</v>
      </c>
      <c r="D1211" s="11">
        <v>0.021</v>
      </c>
      <c r="E1211" s="7" t="s">
        <v>172</v>
      </c>
      <c r="F1211" s="9" t="s">
        <v>60</v>
      </c>
      <c r="G1211" s="5" t="s">
        <v>61</v>
      </c>
    </row>
    <row r="1212">
      <c r="A1212" s="10">
        <v>4.16E12</v>
      </c>
      <c r="B1212" s="11">
        <v>0.078</v>
      </c>
      <c r="C1212" s="11">
        <v>2554.0</v>
      </c>
      <c r="D1212" s="11">
        <v>0.02</v>
      </c>
      <c r="E1212" s="7" t="s">
        <v>172</v>
      </c>
      <c r="F1212" s="9" t="s">
        <v>62</v>
      </c>
      <c r="G1212" s="5" t="s">
        <v>61</v>
      </c>
    </row>
    <row r="1213">
      <c r="A1213" s="10">
        <v>3.98E12</v>
      </c>
      <c r="B1213" s="11">
        <v>0.079</v>
      </c>
      <c r="C1213" s="11">
        <v>2455.0</v>
      </c>
      <c r="D1213" s="11">
        <v>0.019</v>
      </c>
      <c r="E1213" s="7" t="s">
        <v>172</v>
      </c>
      <c r="F1213" s="9" t="s">
        <v>63</v>
      </c>
      <c r="G1213" s="5" t="s">
        <v>61</v>
      </c>
    </row>
    <row r="1214">
      <c r="A1214" s="10">
        <v>4.3E12</v>
      </c>
      <c r="B1214" s="11">
        <v>0.08</v>
      </c>
      <c r="C1214" s="11">
        <v>2693.0</v>
      </c>
      <c r="D1214" s="11">
        <v>0.018</v>
      </c>
      <c r="E1214" s="7" t="s">
        <v>172</v>
      </c>
      <c r="F1214" s="9" t="s">
        <v>64</v>
      </c>
      <c r="G1214" s="5" t="s">
        <v>61</v>
      </c>
    </row>
    <row r="1215">
      <c r="A1215" s="10">
        <v>4.66E12</v>
      </c>
      <c r="B1215" s="11">
        <v>0.08</v>
      </c>
      <c r="C1215" s="11">
        <v>2914.0</v>
      </c>
      <c r="D1215" s="11">
        <v>0.018</v>
      </c>
      <c r="E1215" s="7" t="s">
        <v>172</v>
      </c>
      <c r="F1215" s="9" t="s">
        <v>65</v>
      </c>
      <c r="G1215" s="5" t="s">
        <v>61</v>
      </c>
    </row>
    <row r="1216">
      <c r="A1216" s="10">
        <v>4.57E12</v>
      </c>
      <c r="B1216" s="11">
        <v>0.082</v>
      </c>
      <c r="C1216" s="11">
        <v>2928.0</v>
      </c>
      <c r="D1216" s="11">
        <v>0.017</v>
      </c>
      <c r="E1216" s="7" t="s">
        <v>172</v>
      </c>
      <c r="F1216" s="9" t="s">
        <v>66</v>
      </c>
      <c r="G1216" s="5" t="s">
        <v>61</v>
      </c>
    </row>
    <row r="1217">
      <c r="A1217" s="10">
        <v>4.36E12</v>
      </c>
      <c r="B1217" s="11">
        <v>0.082</v>
      </c>
      <c r="C1217" s="11">
        <v>2794.0</v>
      </c>
      <c r="D1217" s="11">
        <v>0.017</v>
      </c>
      <c r="E1217" s="7" t="s">
        <v>172</v>
      </c>
      <c r="F1217" s="9" t="s">
        <v>67</v>
      </c>
      <c r="G1217" s="5" t="s">
        <v>61</v>
      </c>
    </row>
    <row r="1218">
      <c r="A1218" s="10">
        <v>4.36E12</v>
      </c>
      <c r="B1218" s="11">
        <v>0.082</v>
      </c>
      <c r="C1218" s="11">
        <v>2801.0</v>
      </c>
      <c r="D1218" s="11">
        <v>0.019</v>
      </c>
      <c r="E1218" s="7" t="s">
        <v>172</v>
      </c>
      <c r="F1218" s="9" t="s">
        <v>68</v>
      </c>
      <c r="G1218" s="5" t="s">
        <v>61</v>
      </c>
    </row>
    <row r="1219">
      <c r="A1219" s="10">
        <v>4.85E12</v>
      </c>
      <c r="B1219" s="11">
        <v>0.086</v>
      </c>
      <c r="C1219" s="11">
        <v>3259.0</v>
      </c>
      <c r="D1219" s="11">
        <v>0.019</v>
      </c>
      <c r="E1219" s="7" t="s">
        <v>172</v>
      </c>
      <c r="F1219" s="9" t="s">
        <v>69</v>
      </c>
      <c r="G1219" s="5" t="s">
        <v>61</v>
      </c>
    </row>
    <row r="1220">
      <c r="A1220" s="10">
        <v>5.04E12</v>
      </c>
      <c r="B1220" s="11">
        <v>0.095</v>
      </c>
      <c r="C1220" s="11">
        <v>3746.0</v>
      </c>
      <c r="D1220" s="11">
        <v>0.017</v>
      </c>
      <c r="E1220" s="7" t="s">
        <v>172</v>
      </c>
      <c r="F1220" s="9" t="s">
        <v>70</v>
      </c>
      <c r="G1220" s="5" t="s">
        <v>61</v>
      </c>
    </row>
    <row r="1221">
      <c r="A1221" s="10">
        <v>5.5E12</v>
      </c>
      <c r="B1221" s="11">
        <v>0.096</v>
      </c>
      <c r="C1221" s="11">
        <v>4115.0</v>
      </c>
      <c r="D1221" s="11">
        <v>0.016</v>
      </c>
      <c r="E1221" s="7" t="s">
        <v>172</v>
      </c>
      <c r="F1221" s="9" t="s">
        <v>71</v>
      </c>
      <c r="G1221" s="5" t="s">
        <v>61</v>
      </c>
    </row>
    <row r="1222">
      <c r="A1222" s="10">
        <v>5.91E12</v>
      </c>
      <c r="B1222" s="11">
        <v>0.1</v>
      </c>
      <c r="C1222" s="11">
        <v>4641.0</v>
      </c>
      <c r="D1222" s="11">
        <v>0.015</v>
      </c>
      <c r="E1222" s="7" t="s">
        <v>172</v>
      </c>
      <c r="F1222" s="9" t="s">
        <v>72</v>
      </c>
      <c r="G1222" s="5" t="s">
        <v>61</v>
      </c>
    </row>
    <row r="1223">
      <c r="A1223" s="10">
        <v>5.94E12</v>
      </c>
      <c r="B1223" s="11">
        <v>0.101</v>
      </c>
      <c r="C1223" s="11">
        <v>4752.0</v>
      </c>
      <c r="D1223" s="11">
        <v>0.014</v>
      </c>
      <c r="E1223" s="7" t="s">
        <v>172</v>
      </c>
      <c r="F1223" s="9" t="s">
        <v>73</v>
      </c>
      <c r="G1223" s="5" t="s">
        <v>61</v>
      </c>
    </row>
    <row r="1224">
      <c r="A1224" s="10">
        <v>8.457923945E9</v>
      </c>
      <c r="B1224" s="11">
        <v>0.097</v>
      </c>
      <c r="C1224" s="11">
        <v>171.0</v>
      </c>
      <c r="D1224" s="11">
        <v>0.118</v>
      </c>
      <c r="E1224" s="7" t="s">
        <v>173</v>
      </c>
      <c r="F1224" s="9" t="s">
        <v>60</v>
      </c>
      <c r="G1224" s="5" t="s">
        <v>93</v>
      </c>
    </row>
    <row r="1225">
      <c r="A1225" s="10">
        <v>8.972965061E9</v>
      </c>
      <c r="B1225" s="11">
        <v>0.099</v>
      </c>
      <c r="C1225" s="11">
        <v>184.0</v>
      </c>
      <c r="D1225" s="11">
        <v>0.109</v>
      </c>
      <c r="E1225" s="7" t="s">
        <v>173</v>
      </c>
      <c r="F1225" s="9" t="s">
        <v>62</v>
      </c>
      <c r="G1225" s="5" t="s">
        <v>93</v>
      </c>
    </row>
    <row r="1226">
      <c r="A1226" s="10">
        <v>9.580161951E9</v>
      </c>
      <c r="B1226" s="11">
        <v>0.097</v>
      </c>
      <c r="C1226" s="11">
        <v>189.0</v>
      </c>
      <c r="D1226" s="11">
        <v>0.102</v>
      </c>
      <c r="E1226" s="7" t="s">
        <v>173</v>
      </c>
      <c r="F1226" s="9" t="s">
        <v>63</v>
      </c>
      <c r="G1226" s="5" t="s">
        <v>93</v>
      </c>
    </row>
    <row r="1227">
      <c r="A1227" s="10">
        <v>1.0193023726E10</v>
      </c>
      <c r="B1227" s="11">
        <v>0.092</v>
      </c>
      <c r="C1227" s="11">
        <v>187.0</v>
      </c>
      <c r="D1227" s="11">
        <v>0.093</v>
      </c>
      <c r="E1227" s="7" t="s">
        <v>173</v>
      </c>
      <c r="F1227" s="9" t="s">
        <v>64</v>
      </c>
      <c r="G1227" s="5" t="s">
        <v>93</v>
      </c>
    </row>
    <row r="1228">
      <c r="A1228" s="10">
        <v>1.140756666E10</v>
      </c>
      <c r="B1228" s="11">
        <v>0.091</v>
      </c>
      <c r="C1228" s="11">
        <v>203.0</v>
      </c>
      <c r="D1228" s="11">
        <v>0.083</v>
      </c>
      <c r="E1228" s="7" t="s">
        <v>173</v>
      </c>
      <c r="F1228" s="9" t="s">
        <v>65</v>
      </c>
      <c r="G1228" s="5" t="s">
        <v>93</v>
      </c>
    </row>
    <row r="1229">
      <c r="A1229" s="10">
        <v>1.2582876895E10</v>
      </c>
      <c r="B1229" s="11">
        <v>0.089</v>
      </c>
      <c r="C1229" s="11">
        <v>213.0</v>
      </c>
      <c r="D1229" s="11">
        <v>0.076</v>
      </c>
      <c r="E1229" s="7" t="s">
        <v>173</v>
      </c>
      <c r="F1229" s="9" t="s">
        <v>66</v>
      </c>
      <c r="G1229" s="5" t="s">
        <v>93</v>
      </c>
    </row>
    <row r="1230">
      <c r="A1230" s="10">
        <v>1.505693719E10</v>
      </c>
      <c r="B1230" s="11">
        <v>0.081</v>
      </c>
      <c r="C1230" s="11">
        <v>224.0</v>
      </c>
      <c r="D1230" s="11">
        <v>0.082</v>
      </c>
      <c r="E1230" s="7" t="s">
        <v>173</v>
      </c>
      <c r="F1230" s="9" t="s">
        <v>67</v>
      </c>
      <c r="G1230" s="5" t="s">
        <v>93</v>
      </c>
    </row>
    <row r="1231">
      <c r="A1231" s="10">
        <v>1.711061E10</v>
      </c>
      <c r="B1231" s="11">
        <v>0.083</v>
      </c>
      <c r="C1231" s="11">
        <v>252.0</v>
      </c>
      <c r="D1231" s="11">
        <v>0.087</v>
      </c>
      <c r="E1231" s="7" t="s">
        <v>173</v>
      </c>
      <c r="F1231" s="9" t="s">
        <v>68</v>
      </c>
      <c r="G1231" s="5" t="s">
        <v>93</v>
      </c>
    </row>
    <row r="1232">
      <c r="A1232" s="10">
        <v>2.1971835256E10</v>
      </c>
      <c r="B1232" s="11">
        <v>0.088</v>
      </c>
      <c r="C1232" s="11">
        <v>326.0</v>
      </c>
      <c r="D1232" s="11">
        <v>0.09</v>
      </c>
      <c r="E1232" s="7" t="s">
        <v>173</v>
      </c>
      <c r="F1232" s="9" t="s">
        <v>69</v>
      </c>
      <c r="G1232" s="5" t="s">
        <v>93</v>
      </c>
    </row>
    <row r="1233">
      <c r="A1233" s="10">
        <v>2.3818322918E10</v>
      </c>
      <c r="B1233" s="11">
        <v>0.095</v>
      </c>
      <c r="C1233" s="11">
        <v>368.0</v>
      </c>
      <c r="D1233" s="11">
        <v>0.092</v>
      </c>
      <c r="E1233" s="7" t="s">
        <v>173</v>
      </c>
      <c r="F1233" s="9" t="s">
        <v>70</v>
      </c>
      <c r="G1233" s="5" t="s">
        <v>93</v>
      </c>
    </row>
    <row r="1234">
      <c r="A1234" s="10">
        <v>2.6425379367E10</v>
      </c>
      <c r="B1234" s="11">
        <v>0.085</v>
      </c>
      <c r="C1234" s="11">
        <v>361.0</v>
      </c>
      <c r="D1234" s="11">
        <v>0.09</v>
      </c>
      <c r="E1234" s="7" t="s">
        <v>173</v>
      </c>
      <c r="F1234" s="9" t="s">
        <v>71</v>
      </c>
      <c r="G1234" s="5" t="s">
        <v>93</v>
      </c>
    </row>
    <row r="1235">
      <c r="A1235" s="10">
        <v>2.8840197019E10</v>
      </c>
      <c r="B1235" s="11">
        <v>0.088</v>
      </c>
      <c r="C1235" s="11">
        <v>386.0</v>
      </c>
      <c r="D1235" s="11">
        <v>0.087</v>
      </c>
      <c r="E1235" s="7" t="s">
        <v>173</v>
      </c>
      <c r="F1235" s="9" t="s">
        <v>72</v>
      </c>
      <c r="G1235" s="5" t="s">
        <v>93</v>
      </c>
    </row>
    <row r="1236">
      <c r="A1236" s="10">
        <v>3.1015239496E10</v>
      </c>
      <c r="B1236" s="11">
        <v>0.098</v>
      </c>
      <c r="C1236" s="11">
        <v>388.0</v>
      </c>
      <c r="D1236" s="11">
        <v>0.088</v>
      </c>
      <c r="E1236" s="7" t="s">
        <v>173</v>
      </c>
      <c r="F1236" s="9" t="s">
        <v>73</v>
      </c>
      <c r="G1236" s="5" t="s">
        <v>93</v>
      </c>
    </row>
    <row r="1237">
      <c r="A1237" s="10">
        <v>1.8291990619E10</v>
      </c>
      <c r="B1237" s="11">
        <v>0.042</v>
      </c>
      <c r="C1237" s="11">
        <v>52.0</v>
      </c>
      <c r="D1237" s="8"/>
      <c r="E1237" s="7" t="s">
        <v>174</v>
      </c>
      <c r="F1237" s="9" t="s">
        <v>60</v>
      </c>
      <c r="G1237" s="5" t="s">
        <v>61</v>
      </c>
    </row>
    <row r="1238">
      <c r="A1238" s="10">
        <v>2.215268913E10</v>
      </c>
      <c r="B1238" s="11">
        <v>0.035</v>
      </c>
      <c r="C1238" s="11">
        <v>53.0</v>
      </c>
      <c r="D1238" s="8"/>
      <c r="E1238" s="7" t="s">
        <v>174</v>
      </c>
      <c r="F1238" s="9" t="s">
        <v>62</v>
      </c>
      <c r="G1238" s="5" t="s">
        <v>61</v>
      </c>
    </row>
    <row r="1239">
      <c r="A1239" s="10">
        <v>2.4636598581E10</v>
      </c>
      <c r="B1239" s="11">
        <v>0.036</v>
      </c>
      <c r="C1239" s="11">
        <v>61.0</v>
      </c>
      <c r="D1239" s="8"/>
      <c r="E1239" s="7" t="s">
        <v>174</v>
      </c>
      <c r="F1239" s="9" t="s">
        <v>63</v>
      </c>
      <c r="G1239" s="5" t="s">
        <v>61</v>
      </c>
    </row>
    <row r="1240">
      <c r="A1240" s="10">
        <v>3.0833692831E10</v>
      </c>
      <c r="B1240" s="11">
        <v>0.037</v>
      </c>
      <c r="C1240" s="11">
        <v>77.0</v>
      </c>
      <c r="D1240" s="8"/>
      <c r="E1240" s="7" t="s">
        <v>174</v>
      </c>
      <c r="F1240" s="9" t="s">
        <v>64</v>
      </c>
      <c r="G1240" s="5" t="s">
        <v>61</v>
      </c>
    </row>
    <row r="1241">
      <c r="A1241" s="10">
        <v>4.3151647003E10</v>
      </c>
      <c r="B1241" s="11">
        <v>0.04</v>
      </c>
      <c r="C1241" s="11">
        <v>114.0</v>
      </c>
      <c r="D1241" s="8"/>
      <c r="E1241" s="7" t="s">
        <v>174</v>
      </c>
      <c r="F1241" s="9" t="s">
        <v>65</v>
      </c>
      <c r="G1241" s="5" t="s">
        <v>61</v>
      </c>
    </row>
    <row r="1242">
      <c r="A1242" s="10">
        <v>5.7123671734E10</v>
      </c>
      <c r="B1242" s="11">
        <v>0.041</v>
      </c>
      <c r="C1242" s="11">
        <v>154.0</v>
      </c>
      <c r="D1242" s="8"/>
      <c r="E1242" s="7" t="s">
        <v>174</v>
      </c>
      <c r="F1242" s="9" t="s">
        <v>66</v>
      </c>
      <c r="G1242" s="5" t="s">
        <v>61</v>
      </c>
    </row>
    <row r="1243">
      <c r="A1243" s="10">
        <v>8.1003864916E10</v>
      </c>
      <c r="B1243" s="11">
        <v>0.039</v>
      </c>
      <c r="C1243" s="11">
        <v>210.0</v>
      </c>
      <c r="D1243" s="8"/>
      <c r="E1243" s="7" t="s">
        <v>174</v>
      </c>
      <c r="F1243" s="9" t="s">
        <v>67</v>
      </c>
      <c r="G1243" s="5" t="s">
        <v>61</v>
      </c>
    </row>
    <row r="1244">
      <c r="A1244" s="10">
        <v>1.05E11</v>
      </c>
      <c r="B1244" s="11">
        <v>0.034</v>
      </c>
      <c r="C1244" s="11">
        <v>233.0</v>
      </c>
      <c r="D1244" s="8"/>
      <c r="E1244" s="7" t="s">
        <v>174</v>
      </c>
      <c r="F1244" s="9" t="s">
        <v>68</v>
      </c>
      <c r="G1244" s="5" t="s">
        <v>61</v>
      </c>
    </row>
    <row r="1245">
      <c r="A1245" s="10">
        <v>1.33E11</v>
      </c>
      <c r="B1245" s="11">
        <v>0.039</v>
      </c>
      <c r="C1245" s="11">
        <v>332.0</v>
      </c>
      <c r="D1245" s="8"/>
      <c r="E1245" s="7" t="s">
        <v>174</v>
      </c>
      <c r="F1245" s="9" t="s">
        <v>69</v>
      </c>
      <c r="G1245" s="5" t="s">
        <v>61</v>
      </c>
    </row>
    <row r="1246">
      <c r="A1246" s="10">
        <v>1.15E11</v>
      </c>
      <c r="B1246" s="11">
        <v>0.045</v>
      </c>
      <c r="C1246" s="11">
        <v>328.0</v>
      </c>
      <c r="D1246" s="8"/>
      <c r="E1246" s="7" t="s">
        <v>174</v>
      </c>
      <c r="F1246" s="9" t="s">
        <v>70</v>
      </c>
      <c r="G1246" s="5" t="s">
        <v>61</v>
      </c>
    </row>
    <row r="1247">
      <c r="A1247" s="10">
        <v>1.48E11</v>
      </c>
      <c r="B1247" s="11">
        <v>0.043</v>
      </c>
      <c r="C1247" s="11">
        <v>398.0</v>
      </c>
      <c r="D1247" s="8"/>
      <c r="E1247" s="7" t="s">
        <v>174</v>
      </c>
      <c r="F1247" s="9" t="s">
        <v>71</v>
      </c>
      <c r="G1247" s="5" t="s">
        <v>61</v>
      </c>
    </row>
    <row r="1248">
      <c r="A1248" s="10">
        <v>1.88E11</v>
      </c>
      <c r="B1248" s="11">
        <v>0.039</v>
      </c>
      <c r="C1248" s="11">
        <v>458.0</v>
      </c>
      <c r="D1248" s="8"/>
      <c r="E1248" s="7" t="s">
        <v>174</v>
      </c>
      <c r="F1248" s="9" t="s">
        <v>72</v>
      </c>
      <c r="G1248" s="5" t="s">
        <v>61</v>
      </c>
    </row>
    <row r="1249">
      <c r="A1249" s="10">
        <v>2.04E11</v>
      </c>
      <c r="B1249" s="11">
        <v>0.042</v>
      </c>
      <c r="C1249" s="11">
        <v>521.0</v>
      </c>
      <c r="D1249" s="8"/>
      <c r="E1249" s="7" t="s">
        <v>174</v>
      </c>
      <c r="F1249" s="9" t="s">
        <v>73</v>
      </c>
      <c r="G1249" s="5" t="s">
        <v>61</v>
      </c>
    </row>
    <row r="1250">
      <c r="A1250" s="10">
        <v>1.2705350153E10</v>
      </c>
      <c r="B1250" s="11">
        <v>0.047</v>
      </c>
      <c r="C1250" s="11">
        <v>19.0</v>
      </c>
      <c r="D1250" s="11">
        <v>0.223</v>
      </c>
      <c r="E1250" s="7" t="s">
        <v>175</v>
      </c>
      <c r="F1250" s="9" t="s">
        <v>60</v>
      </c>
      <c r="G1250" s="5" t="s">
        <v>77</v>
      </c>
    </row>
    <row r="1251">
      <c r="A1251" s="10">
        <v>1.2985991723E10</v>
      </c>
      <c r="B1251" s="11">
        <v>0.046</v>
      </c>
      <c r="C1251" s="11">
        <v>19.0</v>
      </c>
      <c r="D1251" s="11">
        <v>0.197</v>
      </c>
      <c r="E1251" s="7" t="s">
        <v>175</v>
      </c>
      <c r="F1251" s="9" t="s">
        <v>62</v>
      </c>
      <c r="G1251" s="5" t="s">
        <v>77</v>
      </c>
    </row>
    <row r="1252">
      <c r="A1252" s="10">
        <v>1.3147736954E10</v>
      </c>
      <c r="B1252" s="11">
        <v>0.045</v>
      </c>
      <c r="C1252" s="11">
        <v>18.0</v>
      </c>
      <c r="D1252" s="11">
        <v>0.185</v>
      </c>
      <c r="E1252" s="7" t="s">
        <v>175</v>
      </c>
      <c r="F1252" s="9" t="s">
        <v>63</v>
      </c>
      <c r="G1252" s="5" t="s">
        <v>77</v>
      </c>
    </row>
    <row r="1253">
      <c r="A1253" s="10">
        <v>1.4904504019E10</v>
      </c>
      <c r="B1253" s="11">
        <v>0.044</v>
      </c>
      <c r="C1253" s="11">
        <v>20.0</v>
      </c>
      <c r="D1253" s="11">
        <v>0.166</v>
      </c>
      <c r="E1253" s="7" t="s">
        <v>175</v>
      </c>
      <c r="F1253" s="9" t="s">
        <v>64</v>
      </c>
      <c r="G1253" s="5" t="s">
        <v>77</v>
      </c>
    </row>
    <row r="1254">
      <c r="A1254" s="10">
        <v>1.6095321631E10</v>
      </c>
      <c r="B1254" s="11">
        <v>0.043</v>
      </c>
      <c r="C1254" s="11">
        <v>20.0</v>
      </c>
      <c r="D1254" s="11">
        <v>0.125</v>
      </c>
      <c r="E1254" s="7" t="s">
        <v>175</v>
      </c>
      <c r="F1254" s="9" t="s">
        <v>65</v>
      </c>
      <c r="G1254" s="5" t="s">
        <v>77</v>
      </c>
    </row>
    <row r="1255">
      <c r="A1255" s="10">
        <v>1.8737895401E10</v>
      </c>
      <c r="B1255" s="11">
        <v>0.044</v>
      </c>
      <c r="C1255" s="11">
        <v>23.0</v>
      </c>
      <c r="D1255" s="11">
        <v>0.129</v>
      </c>
      <c r="E1255" s="7" t="s">
        <v>175</v>
      </c>
      <c r="F1255" s="9" t="s">
        <v>66</v>
      </c>
      <c r="G1255" s="5" t="s">
        <v>77</v>
      </c>
    </row>
    <row r="1256">
      <c r="A1256" s="10">
        <v>2.2504136042E10</v>
      </c>
      <c r="B1256" s="11">
        <v>0.045</v>
      </c>
      <c r="C1256" s="11">
        <v>28.0</v>
      </c>
      <c r="D1256" s="11">
        <v>0.136</v>
      </c>
      <c r="E1256" s="7" t="s">
        <v>175</v>
      </c>
      <c r="F1256" s="9" t="s">
        <v>67</v>
      </c>
      <c r="G1256" s="5" t="s">
        <v>77</v>
      </c>
    </row>
    <row r="1257">
      <c r="A1257" s="10">
        <v>2.7236739896E10</v>
      </c>
      <c r="B1257" s="11">
        <v>0.044</v>
      </c>
      <c r="C1257" s="11">
        <v>32.0</v>
      </c>
      <c r="D1257" s="11">
        <v>0.133</v>
      </c>
      <c r="E1257" s="7" t="s">
        <v>175</v>
      </c>
      <c r="F1257" s="9" t="s">
        <v>68</v>
      </c>
      <c r="G1257" s="5" t="s">
        <v>77</v>
      </c>
    </row>
    <row r="1258">
      <c r="A1258" s="10">
        <v>3.0465489796E10</v>
      </c>
      <c r="B1258" s="11">
        <v>0.042</v>
      </c>
      <c r="C1258" s="11">
        <v>33.0</v>
      </c>
      <c r="D1258" s="11">
        <v>0.14</v>
      </c>
      <c r="E1258" s="7" t="s">
        <v>175</v>
      </c>
      <c r="F1258" s="9" t="s">
        <v>69</v>
      </c>
      <c r="G1258" s="5" t="s">
        <v>77</v>
      </c>
    </row>
    <row r="1259">
      <c r="A1259" s="10">
        <v>3.0716343757E10</v>
      </c>
      <c r="B1259" s="11">
        <v>0.046</v>
      </c>
      <c r="C1259" s="11">
        <v>36.0</v>
      </c>
      <c r="D1259" s="11">
        <v>0.148</v>
      </c>
      <c r="E1259" s="7" t="s">
        <v>175</v>
      </c>
      <c r="F1259" s="9" t="s">
        <v>70</v>
      </c>
      <c r="G1259" s="5" t="s">
        <v>77</v>
      </c>
    </row>
    <row r="1260">
      <c r="A1260" s="10">
        <v>3.2440133261E10</v>
      </c>
      <c r="B1260" s="11">
        <v>0.044</v>
      </c>
      <c r="C1260" s="11">
        <v>35.0</v>
      </c>
      <c r="D1260" s="11">
        <v>0.144</v>
      </c>
      <c r="E1260" s="7" t="s">
        <v>175</v>
      </c>
      <c r="F1260" s="9" t="s">
        <v>71</v>
      </c>
      <c r="G1260" s="5" t="s">
        <v>77</v>
      </c>
    </row>
    <row r="1261">
      <c r="A1261" s="10">
        <v>3.431331584E10</v>
      </c>
      <c r="B1261" s="11">
        <v>0.044</v>
      </c>
      <c r="C1261" s="11">
        <v>35.0</v>
      </c>
      <c r="D1261" s="11">
        <v>0.15</v>
      </c>
      <c r="E1261" s="7" t="s">
        <v>175</v>
      </c>
      <c r="F1261" s="9" t="s">
        <v>72</v>
      </c>
      <c r="G1261" s="5" t="s">
        <v>77</v>
      </c>
    </row>
    <row r="1262">
      <c r="A1262" s="10">
        <v>4.0264403585E10</v>
      </c>
      <c r="B1262" s="11">
        <v>0.047</v>
      </c>
      <c r="C1262" s="11">
        <v>45.0</v>
      </c>
      <c r="D1262" s="11">
        <v>0.197</v>
      </c>
      <c r="E1262" s="7" t="s">
        <v>175</v>
      </c>
      <c r="F1262" s="9" t="s">
        <v>73</v>
      </c>
      <c r="G1262" s="5" t="s">
        <v>77</v>
      </c>
    </row>
    <row r="1263">
      <c r="A1263" s="10">
        <v>6.7512715E7</v>
      </c>
      <c r="B1263" s="11">
        <v>0.079</v>
      </c>
      <c r="C1263" s="11">
        <v>65.0</v>
      </c>
      <c r="D1263" s="8"/>
      <c r="E1263" s="7" t="s">
        <v>176</v>
      </c>
      <c r="F1263" s="9" t="s">
        <v>60</v>
      </c>
      <c r="G1263" s="5" t="s">
        <v>80</v>
      </c>
    </row>
    <row r="1264">
      <c r="A1264" s="10">
        <v>6.3101272E7</v>
      </c>
      <c r="B1264" s="11">
        <v>0.088</v>
      </c>
      <c r="C1264" s="11">
        <v>67.0</v>
      </c>
      <c r="D1264" s="8"/>
      <c r="E1264" s="7" t="s">
        <v>176</v>
      </c>
      <c r="F1264" s="9" t="s">
        <v>62</v>
      </c>
      <c r="G1264" s="5" t="s">
        <v>80</v>
      </c>
    </row>
    <row r="1265">
      <c r="A1265" s="10">
        <v>7.2259046E7</v>
      </c>
      <c r="B1265" s="11">
        <v>0.088</v>
      </c>
      <c r="C1265" s="11">
        <v>76.0</v>
      </c>
      <c r="D1265" s="8"/>
      <c r="E1265" s="7" t="s">
        <v>176</v>
      </c>
      <c r="F1265" s="9" t="s">
        <v>63</v>
      </c>
      <c r="G1265" s="5" t="s">
        <v>80</v>
      </c>
    </row>
    <row r="1266">
      <c r="A1266" s="10">
        <v>9.0148518E7</v>
      </c>
      <c r="B1266" s="11">
        <v>0.096</v>
      </c>
      <c r="C1266" s="11">
        <v>103.0</v>
      </c>
      <c r="D1266" s="8"/>
      <c r="E1266" s="7" t="s">
        <v>176</v>
      </c>
      <c r="F1266" s="9" t="s">
        <v>64</v>
      </c>
      <c r="G1266" s="5" t="s">
        <v>80</v>
      </c>
    </row>
    <row r="1267">
      <c r="A1267" s="10">
        <v>1.02220915E8</v>
      </c>
      <c r="B1267" s="11">
        <v>0.104</v>
      </c>
      <c r="C1267" s="11">
        <v>119.0</v>
      </c>
      <c r="D1267" s="8"/>
      <c r="E1267" s="7" t="s">
        <v>176</v>
      </c>
      <c r="F1267" s="9" t="s">
        <v>65</v>
      </c>
      <c r="G1267" s="5" t="s">
        <v>80</v>
      </c>
    </row>
    <row r="1268">
      <c r="A1268" s="10">
        <v>1.06147384E8</v>
      </c>
      <c r="B1268" s="11">
        <v>0.101</v>
      </c>
      <c r="C1268" s="11">
        <v>118.0</v>
      </c>
      <c r="D1268" s="8"/>
      <c r="E1268" s="7" t="s">
        <v>176</v>
      </c>
      <c r="F1268" s="9" t="s">
        <v>66</v>
      </c>
      <c r="G1268" s="5" t="s">
        <v>80</v>
      </c>
    </row>
    <row r="1269">
      <c r="A1269" s="10">
        <v>1.04668675E8</v>
      </c>
      <c r="B1269" s="11">
        <v>0.11</v>
      </c>
      <c r="C1269" s="11">
        <v>124.0</v>
      </c>
      <c r="D1269" s="8"/>
      <c r="E1269" s="7" t="s">
        <v>176</v>
      </c>
      <c r="F1269" s="9" t="s">
        <v>67</v>
      </c>
      <c r="G1269" s="5" t="s">
        <v>80</v>
      </c>
    </row>
    <row r="1270">
      <c r="A1270" s="10">
        <v>1.2300509E8</v>
      </c>
      <c r="B1270" s="11">
        <v>0.121</v>
      </c>
      <c r="C1270" s="11">
        <v>160.0</v>
      </c>
      <c r="D1270" s="8"/>
      <c r="E1270" s="7" t="s">
        <v>176</v>
      </c>
      <c r="F1270" s="9" t="s">
        <v>68</v>
      </c>
      <c r="G1270" s="5" t="s">
        <v>80</v>
      </c>
    </row>
    <row r="1271">
      <c r="A1271" s="10">
        <v>1.35044456E8</v>
      </c>
      <c r="B1271" s="11">
        <v>0.132</v>
      </c>
      <c r="C1271" s="11">
        <v>183.0</v>
      </c>
      <c r="D1271" s="8"/>
      <c r="E1271" s="7" t="s">
        <v>176</v>
      </c>
      <c r="F1271" s="9" t="s">
        <v>69</v>
      </c>
      <c r="G1271" s="5" t="s">
        <v>80</v>
      </c>
    </row>
    <row r="1272">
      <c r="A1272" s="10">
        <v>1.27125253E8</v>
      </c>
      <c r="B1272" s="11">
        <v>0.115</v>
      </c>
      <c r="C1272" s="11">
        <v>143.0</v>
      </c>
      <c r="D1272" s="8"/>
      <c r="E1272" s="7" t="s">
        <v>176</v>
      </c>
      <c r="F1272" s="9" t="s">
        <v>70</v>
      </c>
      <c r="G1272" s="5" t="s">
        <v>80</v>
      </c>
    </row>
    <row r="1273">
      <c r="A1273" s="10">
        <v>1.50431114E8</v>
      </c>
      <c r="B1273" s="11">
        <v>0.112</v>
      </c>
      <c r="C1273" s="11">
        <v>162.0</v>
      </c>
      <c r="D1273" s="8"/>
      <c r="E1273" s="7" t="s">
        <v>176</v>
      </c>
      <c r="F1273" s="9" t="s">
        <v>71</v>
      </c>
      <c r="G1273" s="5" t="s">
        <v>80</v>
      </c>
    </row>
    <row r="1274">
      <c r="A1274" s="10">
        <v>1.72253739E8</v>
      </c>
      <c r="B1274" s="11">
        <v>0.108</v>
      </c>
      <c r="C1274" s="11">
        <v>181.0</v>
      </c>
      <c r="D1274" s="8"/>
      <c r="E1274" s="7" t="s">
        <v>176</v>
      </c>
      <c r="F1274" s="9" t="s">
        <v>72</v>
      </c>
      <c r="G1274" s="5" t="s">
        <v>80</v>
      </c>
    </row>
    <row r="1275">
      <c r="A1275" s="10">
        <v>1.74984469E8</v>
      </c>
      <c r="B1275" s="11">
        <v>0.107</v>
      </c>
      <c r="C1275" s="11">
        <v>187.0</v>
      </c>
      <c r="D1275" s="8"/>
      <c r="E1275" s="7" t="s">
        <v>176</v>
      </c>
      <c r="F1275" s="9" t="s">
        <v>73</v>
      </c>
      <c r="G1275" s="5" t="s">
        <v>80</v>
      </c>
    </row>
    <row r="1276">
      <c r="A1276" s="10">
        <v>1.849196082E9</v>
      </c>
      <c r="B1276" s="8"/>
      <c r="C1276" s="8"/>
      <c r="D1276" s="8"/>
      <c r="E1276" s="7" t="s">
        <v>177</v>
      </c>
      <c r="F1276" s="9" t="s">
        <v>60</v>
      </c>
      <c r="G1276" s="5" t="s">
        <v>75</v>
      </c>
    </row>
    <row r="1277">
      <c r="A1277" s="10">
        <v>2.535333632E9</v>
      </c>
      <c r="B1277" s="8"/>
      <c r="C1277" s="8"/>
      <c r="D1277" s="8"/>
      <c r="E1277" s="7" t="s">
        <v>177</v>
      </c>
      <c r="F1277" s="9" t="s">
        <v>62</v>
      </c>
      <c r="G1277" s="5" t="s">
        <v>75</v>
      </c>
    </row>
    <row r="1278">
      <c r="A1278" s="10">
        <v>2.702427047E9</v>
      </c>
      <c r="B1278" s="8"/>
      <c r="C1278" s="8"/>
      <c r="D1278" s="8"/>
      <c r="E1278" s="7" t="s">
        <v>177</v>
      </c>
      <c r="F1278" s="9" t="s">
        <v>63</v>
      </c>
      <c r="G1278" s="5" t="s">
        <v>75</v>
      </c>
    </row>
    <row r="1279">
      <c r="A1279" s="10">
        <v>3.355083117E9</v>
      </c>
      <c r="B1279" s="8"/>
      <c r="C1279" s="8"/>
      <c r="D1279" s="8"/>
      <c r="E1279" s="7" t="s">
        <v>177</v>
      </c>
      <c r="F1279" s="9" t="s">
        <v>64</v>
      </c>
      <c r="G1279" s="5" t="s">
        <v>75</v>
      </c>
    </row>
    <row r="1280">
      <c r="A1280" s="10">
        <v>3.639935348E9</v>
      </c>
      <c r="B1280" s="8"/>
      <c r="C1280" s="8"/>
      <c r="D1280" s="11">
        <v>0.148</v>
      </c>
      <c r="E1280" s="7" t="s">
        <v>177</v>
      </c>
      <c r="F1280" s="9" t="s">
        <v>65</v>
      </c>
      <c r="G1280" s="5" t="s">
        <v>75</v>
      </c>
    </row>
    <row r="1281">
      <c r="A1281" s="10">
        <v>3.74311698E9</v>
      </c>
      <c r="B1281" s="8"/>
      <c r="C1281" s="8"/>
      <c r="D1281" s="11">
        <v>0.14</v>
      </c>
      <c r="E1281" s="7" t="s">
        <v>177</v>
      </c>
      <c r="F1281" s="9" t="s">
        <v>66</v>
      </c>
      <c r="G1281" s="5" t="s">
        <v>75</v>
      </c>
    </row>
    <row r="1282">
      <c r="A1282" s="10">
        <v>3.918176308E9</v>
      </c>
      <c r="B1282" s="8"/>
      <c r="C1282" s="8"/>
      <c r="D1282" s="11">
        <v>0.146</v>
      </c>
      <c r="E1282" s="7" t="s">
        <v>177</v>
      </c>
      <c r="F1282" s="9" t="s">
        <v>67</v>
      </c>
      <c r="G1282" s="5" t="s">
        <v>75</v>
      </c>
    </row>
    <row r="1283">
      <c r="A1283" s="10">
        <v>4.743437689E9</v>
      </c>
      <c r="B1283" s="8"/>
      <c r="C1283" s="8"/>
      <c r="D1283" s="11">
        <v>0.141</v>
      </c>
      <c r="E1283" s="7" t="s">
        <v>177</v>
      </c>
      <c r="F1283" s="9" t="s">
        <v>68</v>
      </c>
      <c r="G1283" s="5" t="s">
        <v>75</v>
      </c>
    </row>
    <row r="1284">
      <c r="A1284" s="10">
        <v>5.771473142E9</v>
      </c>
      <c r="B1284" s="8"/>
      <c r="C1284" s="8"/>
      <c r="D1284" s="11">
        <v>0.138</v>
      </c>
      <c r="E1284" s="7" t="s">
        <v>177</v>
      </c>
      <c r="F1284" s="9" t="s">
        <v>69</v>
      </c>
      <c r="G1284" s="5" t="s">
        <v>75</v>
      </c>
    </row>
    <row r="1285">
      <c r="A1285" s="10">
        <v>5.62057291E9</v>
      </c>
      <c r="B1285" s="8"/>
      <c r="C1285" s="8"/>
      <c r="D1285" s="11">
        <v>0.141</v>
      </c>
      <c r="E1285" s="7" t="s">
        <v>177</v>
      </c>
      <c r="F1285" s="9" t="s">
        <v>70</v>
      </c>
      <c r="G1285" s="5" t="s">
        <v>75</v>
      </c>
    </row>
    <row r="1286">
      <c r="A1286" s="10">
        <v>5.740438192E9</v>
      </c>
      <c r="B1286" s="8"/>
      <c r="C1286" s="8"/>
      <c r="D1286" s="11">
        <v>0.143</v>
      </c>
      <c r="E1286" s="7" t="s">
        <v>177</v>
      </c>
      <c r="F1286" s="9" t="s">
        <v>71</v>
      </c>
      <c r="G1286" s="5" t="s">
        <v>75</v>
      </c>
    </row>
    <row r="1287">
      <c r="A1287" s="10">
        <v>6.630214452E9</v>
      </c>
      <c r="B1287" s="8"/>
      <c r="C1287" s="8"/>
      <c r="D1287" s="11">
        <v>0.139</v>
      </c>
      <c r="E1287" s="7" t="s">
        <v>177</v>
      </c>
      <c r="F1287" s="9" t="s">
        <v>72</v>
      </c>
      <c r="G1287" s="5" t="s">
        <v>75</v>
      </c>
    </row>
    <row r="1288">
      <c r="A1288" s="10">
        <v>6.44546083E9</v>
      </c>
      <c r="B1288" s="8"/>
      <c r="C1288" s="8"/>
      <c r="D1288" s="11">
        <v>0.129</v>
      </c>
      <c r="E1288" s="7" t="s">
        <v>177</v>
      </c>
      <c r="F1288" s="9" t="s">
        <v>73</v>
      </c>
      <c r="G1288" s="5" t="s">
        <v>75</v>
      </c>
    </row>
    <row r="1289">
      <c r="A1289" s="10">
        <v>3.7718011469E10</v>
      </c>
      <c r="B1289" s="11">
        <v>0.025</v>
      </c>
      <c r="C1289" s="11">
        <v>494.0</v>
      </c>
      <c r="D1289" s="11">
        <v>0.089</v>
      </c>
      <c r="E1289" s="7" t="s">
        <v>178</v>
      </c>
      <c r="F1289" s="9" t="s">
        <v>60</v>
      </c>
      <c r="G1289" s="5" t="s">
        <v>93</v>
      </c>
    </row>
    <row r="1290">
      <c r="A1290" s="10">
        <v>3.489077374E10</v>
      </c>
      <c r="B1290" s="11">
        <v>0.036</v>
      </c>
      <c r="C1290" s="11">
        <v>634.0</v>
      </c>
      <c r="D1290" s="11">
        <v>0.079</v>
      </c>
      <c r="E1290" s="7" t="s">
        <v>178</v>
      </c>
      <c r="F1290" s="9" t="s">
        <v>62</v>
      </c>
      <c r="G1290" s="5" t="s">
        <v>93</v>
      </c>
    </row>
    <row r="1291">
      <c r="A1291" s="10">
        <v>3.8138801497E10</v>
      </c>
      <c r="B1291" s="11">
        <v>0.036</v>
      </c>
      <c r="C1291" s="11">
        <v>661.0</v>
      </c>
      <c r="D1291" s="11">
        <v>0.065</v>
      </c>
      <c r="E1291" s="7" t="s">
        <v>178</v>
      </c>
      <c r="F1291" s="9" t="s">
        <v>63</v>
      </c>
      <c r="G1291" s="5" t="s">
        <v>93</v>
      </c>
    </row>
    <row r="1292">
      <c r="A1292" s="10">
        <v>4.7875837662E10</v>
      </c>
      <c r="B1292" s="11">
        <v>0.032</v>
      </c>
      <c r="C1292" s="11">
        <v>728.0</v>
      </c>
      <c r="D1292" s="11">
        <v>0.054</v>
      </c>
      <c r="E1292" s="7" t="s">
        <v>178</v>
      </c>
      <c r="F1292" s="9" t="s">
        <v>64</v>
      </c>
      <c r="G1292" s="5" t="s">
        <v>93</v>
      </c>
    </row>
    <row r="1293">
      <c r="A1293" s="10">
        <v>5.9440511982E10</v>
      </c>
      <c r="B1293" s="11">
        <v>0.027</v>
      </c>
      <c r="C1293" s="11">
        <v>743.0</v>
      </c>
      <c r="D1293" s="11">
        <v>0.056</v>
      </c>
      <c r="E1293" s="7" t="s">
        <v>178</v>
      </c>
      <c r="F1293" s="9" t="s">
        <v>65</v>
      </c>
      <c r="G1293" s="5" t="s">
        <v>93</v>
      </c>
    </row>
    <row r="1294">
      <c r="A1294" s="10">
        <v>8.0797945205E10</v>
      </c>
      <c r="B1294" s="11">
        <v>0.024</v>
      </c>
      <c r="C1294" s="11">
        <v>834.0</v>
      </c>
      <c r="D1294" s="11">
        <v>0.075</v>
      </c>
      <c r="E1294" s="7" t="s">
        <v>178</v>
      </c>
      <c r="F1294" s="9" t="s">
        <v>66</v>
      </c>
      <c r="G1294" s="5" t="s">
        <v>93</v>
      </c>
    </row>
    <row r="1295">
      <c r="A1295" s="10">
        <v>1.02E11</v>
      </c>
      <c r="B1295" s="11">
        <v>0.022</v>
      </c>
      <c r="C1295" s="11">
        <v>943.0</v>
      </c>
      <c r="D1295" s="11">
        <v>0.086</v>
      </c>
      <c r="E1295" s="7" t="s">
        <v>178</v>
      </c>
      <c r="F1295" s="9" t="s">
        <v>67</v>
      </c>
      <c r="G1295" s="5" t="s">
        <v>93</v>
      </c>
    </row>
    <row r="1296">
      <c r="A1296" s="10">
        <v>1.15E11</v>
      </c>
      <c r="B1296" s="11">
        <v>0.021</v>
      </c>
      <c r="C1296" s="11">
        <v>954.0</v>
      </c>
      <c r="D1296" s="11">
        <v>0.085</v>
      </c>
      <c r="E1296" s="7" t="s">
        <v>178</v>
      </c>
      <c r="F1296" s="9" t="s">
        <v>68</v>
      </c>
      <c r="G1296" s="5" t="s">
        <v>93</v>
      </c>
    </row>
    <row r="1297">
      <c r="A1297" s="10">
        <v>1.47E11</v>
      </c>
      <c r="B1297" s="11">
        <v>0.019</v>
      </c>
      <c r="C1297" s="11">
        <v>1049.0</v>
      </c>
      <c r="D1297" s="11">
        <v>0.076</v>
      </c>
      <c r="E1297" s="7" t="s">
        <v>178</v>
      </c>
      <c r="F1297" s="9" t="s">
        <v>69</v>
      </c>
      <c r="G1297" s="5" t="s">
        <v>93</v>
      </c>
    </row>
    <row r="1298">
      <c r="A1298" s="10">
        <v>1.06E11</v>
      </c>
      <c r="B1298" s="11">
        <v>0.039</v>
      </c>
      <c r="C1298" s="11">
        <v>1463.0</v>
      </c>
      <c r="D1298" s="11">
        <v>0.062</v>
      </c>
      <c r="E1298" s="7" t="s">
        <v>178</v>
      </c>
      <c r="F1298" s="9" t="s">
        <v>70</v>
      </c>
      <c r="G1298" s="5" t="s">
        <v>93</v>
      </c>
    </row>
    <row r="1299">
      <c r="A1299" s="10">
        <v>1.2E11</v>
      </c>
      <c r="B1299" s="11">
        <v>0.028</v>
      </c>
      <c r="C1299" s="11">
        <v>1116.0</v>
      </c>
      <c r="D1299" s="11">
        <v>0.049</v>
      </c>
      <c r="E1299" s="7" t="s">
        <v>178</v>
      </c>
      <c r="F1299" s="9" t="s">
        <v>71</v>
      </c>
      <c r="G1299" s="5" t="s">
        <v>93</v>
      </c>
    </row>
    <row r="1300">
      <c r="A1300" s="10">
        <v>1.61E11</v>
      </c>
      <c r="B1300" s="11">
        <v>0.026</v>
      </c>
      <c r="C1300" s="11">
        <v>1349.0</v>
      </c>
      <c r="D1300" s="11">
        <v>0.052</v>
      </c>
      <c r="E1300" s="7" t="s">
        <v>178</v>
      </c>
      <c r="F1300" s="9" t="s">
        <v>72</v>
      </c>
      <c r="G1300" s="5" t="s">
        <v>93</v>
      </c>
    </row>
    <row r="1301">
      <c r="A1301" s="10">
        <v>1.83E11</v>
      </c>
      <c r="B1301" s="11">
        <v>0.025</v>
      </c>
      <c r="C1301" s="11">
        <v>1428.0</v>
      </c>
      <c r="D1301" s="11">
        <v>0.05</v>
      </c>
      <c r="E1301" s="7" t="s">
        <v>178</v>
      </c>
      <c r="F1301" s="9" t="s">
        <v>73</v>
      </c>
      <c r="G1301" s="5" t="s">
        <v>93</v>
      </c>
    </row>
    <row r="1302">
      <c r="A1302" s="10">
        <v>1.369691955E9</v>
      </c>
      <c r="B1302" s="11">
        <v>0.047</v>
      </c>
      <c r="C1302" s="11">
        <v>13.0</v>
      </c>
      <c r="D1302" s="11">
        <v>0.519</v>
      </c>
      <c r="E1302" s="7" t="s">
        <v>179</v>
      </c>
      <c r="F1302" s="9" t="s">
        <v>60</v>
      </c>
      <c r="G1302" s="5" t="s">
        <v>61</v>
      </c>
    </row>
    <row r="1303">
      <c r="A1303" s="10">
        <v>1.525113501E9</v>
      </c>
      <c r="B1303" s="11">
        <v>0.048</v>
      </c>
      <c r="C1303" s="11">
        <v>15.0</v>
      </c>
      <c r="D1303" s="11">
        <v>0.373</v>
      </c>
      <c r="E1303" s="7" t="s">
        <v>179</v>
      </c>
      <c r="F1303" s="9" t="s">
        <v>62</v>
      </c>
      <c r="G1303" s="5" t="s">
        <v>61</v>
      </c>
    </row>
    <row r="1304">
      <c r="A1304" s="10">
        <v>1.605640633E9</v>
      </c>
      <c r="B1304" s="11">
        <v>0.054</v>
      </c>
      <c r="C1304" s="11">
        <v>17.0</v>
      </c>
      <c r="D1304" s="11">
        <v>0.248</v>
      </c>
      <c r="E1304" s="7" t="s">
        <v>179</v>
      </c>
      <c r="F1304" s="9" t="s">
        <v>63</v>
      </c>
      <c r="G1304" s="5" t="s">
        <v>61</v>
      </c>
    </row>
    <row r="1305">
      <c r="A1305" s="10">
        <v>1.919012781E9</v>
      </c>
      <c r="B1305" s="11">
        <v>0.054</v>
      </c>
      <c r="C1305" s="11">
        <v>21.0</v>
      </c>
      <c r="D1305" s="11">
        <v>0.191</v>
      </c>
      <c r="E1305" s="7" t="s">
        <v>179</v>
      </c>
      <c r="F1305" s="9" t="s">
        <v>64</v>
      </c>
      <c r="G1305" s="5" t="s">
        <v>61</v>
      </c>
    </row>
    <row r="1306">
      <c r="A1306" s="10">
        <v>2.211535312E9</v>
      </c>
      <c r="B1306" s="11">
        <v>0.056</v>
      </c>
      <c r="C1306" s="11">
        <v>25.0</v>
      </c>
      <c r="D1306" s="11">
        <v>0.293</v>
      </c>
      <c r="E1306" s="7" t="s">
        <v>179</v>
      </c>
      <c r="F1306" s="9" t="s">
        <v>65</v>
      </c>
      <c r="G1306" s="5" t="s">
        <v>61</v>
      </c>
    </row>
    <row r="1307">
      <c r="A1307" s="10">
        <v>2.459876152E9</v>
      </c>
      <c r="B1307" s="11">
        <v>0.058</v>
      </c>
      <c r="C1307" s="11">
        <v>28.0</v>
      </c>
      <c r="D1307" s="11">
        <v>0.266</v>
      </c>
      <c r="E1307" s="7" t="s">
        <v>179</v>
      </c>
      <c r="F1307" s="9" t="s">
        <v>66</v>
      </c>
      <c r="G1307" s="5" t="s">
        <v>61</v>
      </c>
    </row>
    <row r="1308">
      <c r="A1308" s="10">
        <v>2.834168889E9</v>
      </c>
      <c r="B1308" s="11">
        <v>0.067</v>
      </c>
      <c r="C1308" s="11">
        <v>38.0</v>
      </c>
      <c r="D1308" s="11">
        <v>0.232</v>
      </c>
      <c r="E1308" s="7" t="s">
        <v>179</v>
      </c>
      <c r="F1308" s="9" t="s">
        <v>67</v>
      </c>
      <c r="G1308" s="5" t="s">
        <v>61</v>
      </c>
    </row>
    <row r="1309">
      <c r="A1309" s="10">
        <v>3.802566171E9</v>
      </c>
      <c r="B1309" s="11">
        <v>0.069</v>
      </c>
      <c r="C1309" s="11">
        <v>51.0</v>
      </c>
      <c r="D1309" s="11">
        <v>0.253</v>
      </c>
      <c r="E1309" s="7" t="s">
        <v>179</v>
      </c>
      <c r="F1309" s="9" t="s">
        <v>68</v>
      </c>
      <c r="G1309" s="5" t="s">
        <v>61</v>
      </c>
    </row>
    <row r="1310">
      <c r="A1310" s="10">
        <v>5.139957785E9</v>
      </c>
      <c r="B1310" s="11">
        <v>0.061</v>
      </c>
      <c r="C1310" s="11">
        <v>60.0</v>
      </c>
      <c r="D1310" s="11">
        <v>0.199</v>
      </c>
      <c r="E1310" s="7" t="s">
        <v>179</v>
      </c>
      <c r="F1310" s="9" t="s">
        <v>69</v>
      </c>
      <c r="G1310" s="5" t="s">
        <v>61</v>
      </c>
    </row>
    <row r="1311">
      <c r="A1311" s="10">
        <v>4.690062255E9</v>
      </c>
      <c r="B1311" s="11">
        <v>0.068</v>
      </c>
      <c r="C1311" s="11">
        <v>61.0</v>
      </c>
      <c r="D1311" s="11">
        <v>0.23</v>
      </c>
      <c r="E1311" s="7" t="s">
        <v>179</v>
      </c>
      <c r="F1311" s="9" t="s">
        <v>70</v>
      </c>
      <c r="G1311" s="5" t="s">
        <v>61</v>
      </c>
    </row>
    <row r="1312">
      <c r="A1312" s="10">
        <v>4.794357795E9</v>
      </c>
      <c r="B1312" s="11">
        <v>0.067</v>
      </c>
      <c r="C1312" s="11">
        <v>60.0</v>
      </c>
      <c r="D1312" s="11">
        <v>0.315</v>
      </c>
      <c r="E1312" s="7" t="s">
        <v>179</v>
      </c>
      <c r="F1312" s="9" t="s">
        <v>71</v>
      </c>
      <c r="G1312" s="5" t="s">
        <v>61</v>
      </c>
    </row>
    <row r="1313">
      <c r="A1313" s="10">
        <v>6.197766119E9</v>
      </c>
      <c r="B1313" s="11">
        <v>0.062</v>
      </c>
      <c r="C1313" s="11">
        <v>71.0</v>
      </c>
      <c r="D1313" s="11">
        <v>0.402</v>
      </c>
      <c r="E1313" s="7" t="s">
        <v>179</v>
      </c>
      <c r="F1313" s="9" t="s">
        <v>72</v>
      </c>
      <c r="G1313" s="5" t="s">
        <v>61</v>
      </c>
    </row>
    <row r="1314">
      <c r="A1314" s="10">
        <v>6.605133551E9</v>
      </c>
      <c r="B1314" s="11">
        <v>0.071</v>
      </c>
      <c r="C1314" s="11">
        <v>84.0</v>
      </c>
      <c r="D1314" s="11">
        <v>0.128</v>
      </c>
      <c r="E1314" s="7" t="s">
        <v>179</v>
      </c>
      <c r="F1314" s="9" t="s">
        <v>73</v>
      </c>
      <c r="G1314" s="5" t="s">
        <v>61</v>
      </c>
    </row>
    <row r="1315">
      <c r="A1315" s="10">
        <v>1.731198022E9</v>
      </c>
      <c r="B1315" s="11">
        <v>0.033</v>
      </c>
      <c r="C1315" s="11">
        <v>11.0</v>
      </c>
      <c r="D1315" s="11">
        <v>0.32</v>
      </c>
      <c r="E1315" s="7" t="s">
        <v>180</v>
      </c>
      <c r="F1315" s="9" t="s">
        <v>60</v>
      </c>
      <c r="G1315" s="5" t="s">
        <v>61</v>
      </c>
    </row>
    <row r="1316">
      <c r="A1316" s="10">
        <v>1.768619058E9</v>
      </c>
      <c r="B1316" s="11">
        <v>0.041</v>
      </c>
      <c r="C1316" s="11">
        <v>13.0</v>
      </c>
      <c r="D1316" s="11">
        <v>0.262</v>
      </c>
      <c r="E1316" s="7" t="s">
        <v>180</v>
      </c>
      <c r="F1316" s="9" t="s">
        <v>62</v>
      </c>
      <c r="G1316" s="5" t="s">
        <v>61</v>
      </c>
    </row>
    <row r="1317">
      <c r="A1317" s="10">
        <v>1.758176653E9</v>
      </c>
      <c r="B1317" s="11">
        <v>0.04</v>
      </c>
      <c r="C1317" s="11">
        <v>13.0</v>
      </c>
      <c r="D1317" s="11">
        <v>0.293</v>
      </c>
      <c r="E1317" s="7" t="s">
        <v>180</v>
      </c>
      <c r="F1317" s="9" t="s">
        <v>63</v>
      </c>
      <c r="G1317" s="5" t="s">
        <v>61</v>
      </c>
    </row>
    <row r="1318">
      <c r="A1318" s="10">
        <v>2.023324407E9</v>
      </c>
      <c r="B1318" s="11">
        <v>0.049</v>
      </c>
      <c r="C1318" s="11">
        <v>18.0</v>
      </c>
      <c r="D1318" s="11">
        <v>0.305</v>
      </c>
      <c r="E1318" s="7" t="s">
        <v>180</v>
      </c>
      <c r="F1318" s="9" t="s">
        <v>64</v>
      </c>
      <c r="G1318" s="5" t="s">
        <v>61</v>
      </c>
    </row>
    <row r="1319">
      <c r="A1319" s="10">
        <v>2.36639812E9</v>
      </c>
      <c r="B1319" s="11">
        <v>0.046</v>
      </c>
      <c r="C1319" s="11">
        <v>19.0</v>
      </c>
      <c r="D1319" s="11">
        <v>0.293</v>
      </c>
      <c r="E1319" s="7" t="s">
        <v>180</v>
      </c>
      <c r="F1319" s="9" t="s">
        <v>65</v>
      </c>
      <c r="G1319" s="5" t="s">
        <v>61</v>
      </c>
    </row>
    <row r="1320">
      <c r="A1320" s="10">
        <v>2.735550177E9</v>
      </c>
      <c r="B1320" s="11">
        <v>0.043</v>
      </c>
      <c r="C1320" s="11">
        <v>20.0</v>
      </c>
      <c r="D1320" s="11">
        <v>0.268</v>
      </c>
      <c r="E1320" s="7" t="s">
        <v>180</v>
      </c>
      <c r="F1320" s="9" t="s">
        <v>66</v>
      </c>
      <c r="G1320" s="5" t="s">
        <v>61</v>
      </c>
    </row>
    <row r="1321">
      <c r="A1321" s="10">
        <v>3.452895836E9</v>
      </c>
      <c r="B1321" s="11">
        <v>0.043</v>
      </c>
      <c r="C1321" s="11">
        <v>25.0</v>
      </c>
      <c r="D1321" s="11">
        <v>0.3</v>
      </c>
      <c r="E1321" s="7" t="s">
        <v>180</v>
      </c>
      <c r="F1321" s="9" t="s">
        <v>67</v>
      </c>
      <c r="G1321" s="5" t="s">
        <v>61</v>
      </c>
    </row>
    <row r="1322">
      <c r="A1322" s="10">
        <v>4.22294553E9</v>
      </c>
      <c r="B1322" s="11">
        <v>0.042</v>
      </c>
      <c r="C1322" s="11">
        <v>29.0</v>
      </c>
      <c r="D1322" s="11">
        <v>0.285</v>
      </c>
      <c r="E1322" s="7" t="s">
        <v>180</v>
      </c>
      <c r="F1322" s="9" t="s">
        <v>68</v>
      </c>
      <c r="G1322" s="5" t="s">
        <v>61</v>
      </c>
    </row>
    <row r="1323">
      <c r="A1323" s="10">
        <v>5.443930125E9</v>
      </c>
      <c r="B1323" s="11">
        <v>0.041</v>
      </c>
      <c r="C1323" s="11">
        <v>36.0</v>
      </c>
      <c r="D1323" s="11">
        <v>0.24</v>
      </c>
      <c r="E1323" s="7" t="s">
        <v>180</v>
      </c>
      <c r="F1323" s="9" t="s">
        <v>69</v>
      </c>
      <c r="G1323" s="5" t="s">
        <v>61</v>
      </c>
    </row>
    <row r="1324">
      <c r="A1324" s="10">
        <v>5.832882922E9</v>
      </c>
      <c r="B1324" s="11">
        <v>0.036</v>
      </c>
      <c r="C1324" s="11">
        <v>34.0</v>
      </c>
      <c r="D1324" s="11">
        <v>0.248</v>
      </c>
      <c r="E1324" s="7" t="s">
        <v>180</v>
      </c>
      <c r="F1324" s="9" t="s">
        <v>70</v>
      </c>
      <c r="G1324" s="5" t="s">
        <v>61</v>
      </c>
    </row>
    <row r="1325">
      <c r="A1325" s="10">
        <v>7.181441152E9</v>
      </c>
      <c r="B1325" s="11">
        <v>0.026</v>
      </c>
      <c r="C1325" s="11">
        <v>29.0</v>
      </c>
      <c r="D1325" s="11">
        <v>0.226</v>
      </c>
      <c r="E1325" s="7" t="s">
        <v>180</v>
      </c>
      <c r="F1325" s="9" t="s">
        <v>71</v>
      </c>
      <c r="G1325" s="5" t="s">
        <v>61</v>
      </c>
    </row>
    <row r="1326">
      <c r="A1326" s="10">
        <v>8.254088067E9</v>
      </c>
      <c r="B1326" s="11">
        <v>0.028</v>
      </c>
      <c r="C1326" s="11">
        <v>35.0</v>
      </c>
      <c r="D1326" s="8"/>
      <c r="E1326" s="7" t="s">
        <v>180</v>
      </c>
      <c r="F1326" s="9" t="s">
        <v>72</v>
      </c>
      <c r="G1326" s="5" t="s">
        <v>61</v>
      </c>
    </row>
    <row r="1327">
      <c r="A1327" s="10">
        <v>9.386913253E9</v>
      </c>
      <c r="B1327" s="11">
        <v>0.029</v>
      </c>
      <c r="C1327" s="11">
        <v>40.0</v>
      </c>
      <c r="D1327" s="8"/>
      <c r="E1327" s="7" t="s">
        <v>180</v>
      </c>
      <c r="F1327" s="9" t="s">
        <v>73</v>
      </c>
      <c r="G1327" s="5" t="s">
        <v>61</v>
      </c>
    </row>
    <row r="1328">
      <c r="A1328" s="10">
        <v>7.833068425E9</v>
      </c>
      <c r="B1328" s="11">
        <v>0.06</v>
      </c>
      <c r="C1328" s="11">
        <v>197.0</v>
      </c>
      <c r="D1328" s="11">
        <v>0.119</v>
      </c>
      <c r="E1328" s="7" t="s">
        <v>181</v>
      </c>
      <c r="F1328" s="9" t="s">
        <v>60</v>
      </c>
      <c r="G1328" s="5" t="s">
        <v>75</v>
      </c>
    </row>
    <row r="1329">
      <c r="A1329" s="10">
        <v>8.313047744E9</v>
      </c>
      <c r="B1329" s="11">
        <v>0.062</v>
      </c>
      <c r="C1329" s="11">
        <v>215.0</v>
      </c>
      <c r="D1329" s="11">
        <v>0.112</v>
      </c>
      <c r="E1329" s="7" t="s">
        <v>181</v>
      </c>
      <c r="F1329" s="9" t="s">
        <v>62</v>
      </c>
      <c r="G1329" s="5" t="s">
        <v>75</v>
      </c>
    </row>
    <row r="1330">
      <c r="A1330" s="10">
        <v>9.31478408E9</v>
      </c>
      <c r="B1330" s="11">
        <v>0.063</v>
      </c>
      <c r="C1330" s="11">
        <v>248.0</v>
      </c>
      <c r="D1330" s="11">
        <v>0.08</v>
      </c>
      <c r="E1330" s="7" t="s">
        <v>181</v>
      </c>
      <c r="F1330" s="9" t="s">
        <v>63</v>
      </c>
      <c r="G1330" s="5" t="s">
        <v>75</v>
      </c>
    </row>
    <row r="1331">
      <c r="A1331" s="10">
        <v>1.1186452601E10</v>
      </c>
      <c r="B1331" s="11">
        <v>0.062</v>
      </c>
      <c r="C1331" s="11">
        <v>295.0</v>
      </c>
      <c r="D1331" s="11">
        <v>0.054</v>
      </c>
      <c r="E1331" s="7" t="s">
        <v>181</v>
      </c>
      <c r="F1331" s="9" t="s">
        <v>64</v>
      </c>
      <c r="G1331" s="5" t="s">
        <v>75</v>
      </c>
    </row>
    <row r="1332">
      <c r="A1332" s="10">
        <v>1.3761569545E10</v>
      </c>
      <c r="B1332" s="11">
        <v>0.065</v>
      </c>
      <c r="C1332" s="11">
        <v>387.0</v>
      </c>
      <c r="D1332" s="11">
        <v>0.074</v>
      </c>
      <c r="E1332" s="7" t="s">
        <v>181</v>
      </c>
      <c r="F1332" s="9" t="s">
        <v>65</v>
      </c>
      <c r="G1332" s="5" t="s">
        <v>75</v>
      </c>
    </row>
    <row r="1333">
      <c r="A1333" s="10">
        <v>1.6041840426E10</v>
      </c>
      <c r="B1333" s="11">
        <v>0.064</v>
      </c>
      <c r="C1333" s="11">
        <v>442.0</v>
      </c>
      <c r="D1333" s="11">
        <v>0.061</v>
      </c>
      <c r="E1333" s="7" t="s">
        <v>181</v>
      </c>
      <c r="F1333" s="9" t="s">
        <v>66</v>
      </c>
      <c r="G1333" s="5" t="s">
        <v>75</v>
      </c>
    </row>
    <row r="1334">
      <c r="A1334" s="10">
        <v>1.9935046397E10</v>
      </c>
      <c r="B1334" s="11">
        <v>0.068</v>
      </c>
      <c r="C1334" s="11">
        <v>590.0</v>
      </c>
      <c r="D1334" s="11">
        <v>0.073</v>
      </c>
      <c r="E1334" s="7" t="s">
        <v>181</v>
      </c>
      <c r="F1334" s="9" t="s">
        <v>67</v>
      </c>
      <c r="G1334" s="5" t="s">
        <v>75</v>
      </c>
    </row>
    <row r="1335">
      <c r="A1335" s="10">
        <v>2.8765687042E10</v>
      </c>
      <c r="B1335" s="11">
        <v>0.07</v>
      </c>
      <c r="C1335" s="11">
        <v>883.0</v>
      </c>
      <c r="D1335" s="11">
        <v>0.109</v>
      </c>
      <c r="E1335" s="7" t="s">
        <v>181</v>
      </c>
      <c r="F1335" s="9" t="s">
        <v>68</v>
      </c>
      <c r="G1335" s="5" t="s">
        <v>75</v>
      </c>
    </row>
    <row r="1336">
      <c r="A1336" s="10">
        <v>3.366936772E10</v>
      </c>
      <c r="B1336" s="11">
        <v>0.066</v>
      </c>
      <c r="C1336" s="11">
        <v>979.0</v>
      </c>
      <c r="D1336" s="11">
        <v>0.119</v>
      </c>
      <c r="E1336" s="7" t="s">
        <v>181</v>
      </c>
      <c r="F1336" s="9" t="s">
        <v>69</v>
      </c>
      <c r="G1336" s="5" t="s">
        <v>75</v>
      </c>
    </row>
    <row r="1337">
      <c r="A1337" s="10">
        <v>2.587578125E10</v>
      </c>
      <c r="B1337" s="11">
        <v>0.068</v>
      </c>
      <c r="C1337" s="11">
        <v>784.0</v>
      </c>
      <c r="D1337" s="11">
        <v>0.162</v>
      </c>
      <c r="E1337" s="7" t="s">
        <v>181</v>
      </c>
      <c r="F1337" s="9" t="s">
        <v>70</v>
      </c>
      <c r="G1337" s="5" t="s">
        <v>75</v>
      </c>
    </row>
    <row r="1338">
      <c r="A1338" s="10">
        <v>2.400968046E10</v>
      </c>
      <c r="B1338" s="11">
        <v>0.065</v>
      </c>
      <c r="C1338" s="11">
        <v>742.0</v>
      </c>
      <c r="D1338" s="11">
        <v>0.096</v>
      </c>
      <c r="E1338" s="7" t="s">
        <v>181</v>
      </c>
      <c r="F1338" s="9" t="s">
        <v>71</v>
      </c>
      <c r="G1338" s="5" t="s">
        <v>75</v>
      </c>
    </row>
    <row r="1339">
      <c r="A1339" s="10">
        <v>2.8480338368E10</v>
      </c>
      <c r="B1339" s="11">
        <v>0.06</v>
      </c>
      <c r="C1339" s="11">
        <v>826.0</v>
      </c>
      <c r="D1339" s="11">
        <v>0.064</v>
      </c>
      <c r="E1339" s="7" t="s">
        <v>181</v>
      </c>
      <c r="F1339" s="9" t="s">
        <v>72</v>
      </c>
      <c r="G1339" s="5" t="s">
        <v>75</v>
      </c>
    </row>
    <row r="1340">
      <c r="A1340" s="10">
        <v>2.8372577697E10</v>
      </c>
      <c r="B1340" s="11">
        <v>0.06</v>
      </c>
      <c r="C1340" s="11">
        <v>792.0</v>
      </c>
      <c r="D1340" s="11">
        <v>0.055</v>
      </c>
      <c r="E1340" s="7" t="s">
        <v>181</v>
      </c>
      <c r="F1340" s="9" t="s">
        <v>73</v>
      </c>
      <c r="G1340" s="5" t="s">
        <v>75</v>
      </c>
    </row>
    <row r="1341">
      <c r="A1341" s="10">
        <v>1.7260364842E10</v>
      </c>
      <c r="B1341" s="11">
        <v>0.109</v>
      </c>
      <c r="C1341" s="11">
        <v>579.0</v>
      </c>
      <c r="D1341" s="11">
        <v>0.182</v>
      </c>
      <c r="E1341" s="7" t="s">
        <v>182</v>
      </c>
      <c r="F1341" s="9" t="s">
        <v>60</v>
      </c>
      <c r="G1341" s="5" t="s">
        <v>93</v>
      </c>
    </row>
    <row r="1342">
      <c r="A1342" s="10">
        <v>1.7649751244E10</v>
      </c>
      <c r="B1342" s="11">
        <v>0.109</v>
      </c>
      <c r="C1342" s="11">
        <v>571.0</v>
      </c>
      <c r="D1342" s="11">
        <v>0.172</v>
      </c>
      <c r="E1342" s="7" t="s">
        <v>182</v>
      </c>
      <c r="F1342" s="9" t="s">
        <v>62</v>
      </c>
      <c r="G1342" s="5" t="s">
        <v>93</v>
      </c>
    </row>
    <row r="1343">
      <c r="A1343" s="10">
        <v>1.9152238806E10</v>
      </c>
      <c r="B1343" s="11">
        <v>0.1</v>
      </c>
      <c r="C1343" s="11">
        <v>546.0</v>
      </c>
      <c r="D1343" s="11">
        <v>0.166</v>
      </c>
      <c r="E1343" s="7" t="s">
        <v>182</v>
      </c>
      <c r="F1343" s="9" t="s">
        <v>63</v>
      </c>
      <c r="G1343" s="5" t="s">
        <v>93</v>
      </c>
    </row>
    <row r="1344">
      <c r="A1344" s="10">
        <v>2.008291874E10</v>
      </c>
      <c r="B1344" s="11">
        <v>0.093</v>
      </c>
      <c r="C1344" s="11">
        <v>498.0</v>
      </c>
      <c r="D1344" s="11">
        <v>0.134</v>
      </c>
      <c r="E1344" s="7" t="s">
        <v>182</v>
      </c>
      <c r="F1344" s="9" t="s">
        <v>64</v>
      </c>
      <c r="G1344" s="5" t="s">
        <v>93</v>
      </c>
    </row>
    <row r="1345">
      <c r="A1345" s="10">
        <v>2.0955223881E10</v>
      </c>
      <c r="B1345" s="11">
        <v>0.082</v>
      </c>
      <c r="C1345" s="11">
        <v>458.0</v>
      </c>
      <c r="D1345" s="11">
        <v>0.108</v>
      </c>
      <c r="E1345" s="7" t="s">
        <v>182</v>
      </c>
      <c r="F1345" s="9" t="s">
        <v>65</v>
      </c>
      <c r="G1345" s="5" t="s">
        <v>93</v>
      </c>
    </row>
    <row r="1346">
      <c r="A1346" s="10">
        <v>2.1287562189E10</v>
      </c>
      <c r="B1346" s="11">
        <v>0.078</v>
      </c>
      <c r="C1346" s="11">
        <v>420.0</v>
      </c>
      <c r="D1346" s="11">
        <v>0.106</v>
      </c>
      <c r="E1346" s="7" t="s">
        <v>182</v>
      </c>
      <c r="F1346" s="9" t="s">
        <v>66</v>
      </c>
      <c r="G1346" s="5" t="s">
        <v>93</v>
      </c>
    </row>
    <row r="1347">
      <c r="A1347" s="10">
        <v>2.1796351575E10</v>
      </c>
      <c r="B1347" s="11">
        <v>0.081</v>
      </c>
      <c r="C1347" s="11">
        <v>443.0</v>
      </c>
      <c r="D1347" s="11">
        <v>0.103</v>
      </c>
      <c r="E1347" s="7" t="s">
        <v>182</v>
      </c>
      <c r="F1347" s="9" t="s">
        <v>67</v>
      </c>
      <c r="G1347" s="5" t="s">
        <v>93</v>
      </c>
    </row>
    <row r="1348">
      <c r="A1348" s="10">
        <v>2.4577114428E10</v>
      </c>
      <c r="B1348" s="11">
        <v>0.08</v>
      </c>
      <c r="C1348" s="11">
        <v>480.0</v>
      </c>
      <c r="D1348" s="11">
        <v>0.103</v>
      </c>
      <c r="E1348" s="7" t="s">
        <v>182</v>
      </c>
      <c r="F1348" s="9" t="s">
        <v>68</v>
      </c>
      <c r="G1348" s="5" t="s">
        <v>93</v>
      </c>
    </row>
    <row r="1349">
      <c r="A1349" s="10">
        <v>2.8829850746E10</v>
      </c>
      <c r="B1349" s="11">
        <v>0.075</v>
      </c>
      <c r="C1349" s="11">
        <v>529.0</v>
      </c>
      <c r="D1349" s="11">
        <v>0.1</v>
      </c>
      <c r="E1349" s="7" t="s">
        <v>182</v>
      </c>
      <c r="F1349" s="9" t="s">
        <v>69</v>
      </c>
      <c r="G1349" s="5" t="s">
        <v>93</v>
      </c>
    </row>
    <row r="1350">
      <c r="A1350" s="10">
        <v>3.5139635158E10</v>
      </c>
      <c r="B1350" s="11">
        <v>0.074</v>
      </c>
      <c r="C1350" s="11">
        <v>604.0</v>
      </c>
      <c r="D1350" s="11">
        <v>0.096</v>
      </c>
      <c r="E1350" s="7" t="s">
        <v>182</v>
      </c>
      <c r="F1350" s="9" t="s">
        <v>70</v>
      </c>
      <c r="G1350" s="5" t="s">
        <v>93</v>
      </c>
    </row>
    <row r="1351">
      <c r="A1351" s="10">
        <v>3.8009950249E10</v>
      </c>
      <c r="B1351" s="11">
        <v>0.072</v>
      </c>
      <c r="C1351" s="11">
        <v>620.0</v>
      </c>
      <c r="D1351" s="11">
        <v>0.083</v>
      </c>
      <c r="E1351" s="7" t="s">
        <v>182</v>
      </c>
      <c r="F1351" s="9" t="s">
        <v>71</v>
      </c>
      <c r="G1351" s="5" t="s">
        <v>93</v>
      </c>
    </row>
    <row r="1352">
      <c r="A1352" s="10">
        <v>4.007893864E10</v>
      </c>
      <c r="B1352" s="11">
        <v>0.074</v>
      </c>
      <c r="C1352" s="11">
        <v>646.0</v>
      </c>
      <c r="D1352" s="11">
        <v>0.075</v>
      </c>
      <c r="E1352" s="7" t="s">
        <v>182</v>
      </c>
      <c r="F1352" s="9" t="s">
        <v>72</v>
      </c>
      <c r="G1352" s="5" t="s">
        <v>93</v>
      </c>
    </row>
    <row r="1353">
      <c r="A1353" s="10">
        <v>4.3205095854E10</v>
      </c>
      <c r="B1353" s="11">
        <v>0.076</v>
      </c>
      <c r="C1353" s="11">
        <v>675.0</v>
      </c>
      <c r="D1353" s="11">
        <v>0.072</v>
      </c>
      <c r="E1353" s="7" t="s">
        <v>182</v>
      </c>
      <c r="F1353" s="9" t="s">
        <v>73</v>
      </c>
      <c r="G1353" s="5" t="s">
        <v>93</v>
      </c>
    </row>
    <row r="1354">
      <c r="A1354" s="10">
        <v>7.71200632E8</v>
      </c>
      <c r="B1354" s="11">
        <v>0.069</v>
      </c>
      <c r="C1354" s="11">
        <v>29.0</v>
      </c>
      <c r="D1354" s="11">
        <v>0.171</v>
      </c>
      <c r="E1354" s="7" t="s">
        <v>183</v>
      </c>
      <c r="F1354" s="9" t="s">
        <v>60</v>
      </c>
      <c r="G1354" s="5" t="s">
        <v>77</v>
      </c>
    </row>
    <row r="1355">
      <c r="A1355" s="10">
        <v>7.06430933E8</v>
      </c>
      <c r="B1355" s="11">
        <v>0.075</v>
      </c>
      <c r="C1355" s="11">
        <v>28.0</v>
      </c>
      <c r="D1355" s="11">
        <v>0.166</v>
      </c>
      <c r="E1355" s="7" t="s">
        <v>183</v>
      </c>
      <c r="F1355" s="9" t="s">
        <v>62</v>
      </c>
      <c r="G1355" s="5" t="s">
        <v>77</v>
      </c>
    </row>
    <row r="1356">
      <c r="A1356" s="10">
        <v>6.56802669E8</v>
      </c>
      <c r="B1356" s="11">
        <v>0.069</v>
      </c>
      <c r="C1356" s="11">
        <v>24.0</v>
      </c>
      <c r="D1356" s="11">
        <v>0.171</v>
      </c>
      <c r="E1356" s="7" t="s">
        <v>183</v>
      </c>
      <c r="F1356" s="9" t="s">
        <v>63</v>
      </c>
      <c r="G1356" s="5" t="s">
        <v>77</v>
      </c>
    </row>
    <row r="1357">
      <c r="A1357" s="10">
        <v>9.69181551E8</v>
      </c>
      <c r="B1357" s="11">
        <v>0.071</v>
      </c>
      <c r="C1357" s="11">
        <v>36.0</v>
      </c>
      <c r="D1357" s="11">
        <v>0.16</v>
      </c>
      <c r="E1357" s="7" t="s">
        <v>183</v>
      </c>
      <c r="F1357" s="9" t="s">
        <v>64</v>
      </c>
      <c r="G1357" s="5" t="s">
        <v>77</v>
      </c>
    </row>
    <row r="1358">
      <c r="A1358" s="10">
        <v>1.234197704E9</v>
      </c>
      <c r="B1358" s="11">
        <v>0.07</v>
      </c>
      <c r="C1358" s="11">
        <v>45.0</v>
      </c>
      <c r="D1358" s="11">
        <v>0.124</v>
      </c>
      <c r="E1358" s="7" t="s">
        <v>183</v>
      </c>
      <c r="F1358" s="9" t="s">
        <v>65</v>
      </c>
      <c r="G1358" s="5" t="s">
        <v>77</v>
      </c>
    </row>
    <row r="1359">
      <c r="A1359" s="10">
        <v>1.368405301E9</v>
      </c>
      <c r="B1359" s="11">
        <v>0.063</v>
      </c>
      <c r="C1359" s="11">
        <v>45.0</v>
      </c>
      <c r="D1359" s="11">
        <v>0.117</v>
      </c>
      <c r="E1359" s="7" t="s">
        <v>183</v>
      </c>
      <c r="F1359" s="9" t="s">
        <v>66</v>
      </c>
      <c r="G1359" s="5" t="s">
        <v>77</v>
      </c>
    </row>
    <row r="1360">
      <c r="A1360" s="10">
        <v>1.4288426E9</v>
      </c>
      <c r="B1360" s="11">
        <v>0.071</v>
      </c>
      <c r="C1360" s="11">
        <v>52.0</v>
      </c>
      <c r="D1360" s="11">
        <v>0.122</v>
      </c>
      <c r="E1360" s="7" t="s">
        <v>183</v>
      </c>
      <c r="F1360" s="9" t="s">
        <v>67</v>
      </c>
      <c r="G1360" s="5" t="s">
        <v>77</v>
      </c>
    </row>
    <row r="1361">
      <c r="A1361" s="10">
        <v>1.597484736E9</v>
      </c>
      <c r="B1361" s="11">
        <v>0.085</v>
      </c>
      <c r="C1361" s="11">
        <v>69.0</v>
      </c>
      <c r="D1361" s="11">
        <v>0.141</v>
      </c>
      <c r="E1361" s="7" t="s">
        <v>183</v>
      </c>
      <c r="F1361" s="9" t="s">
        <v>68</v>
      </c>
      <c r="G1361" s="5" t="s">
        <v>77</v>
      </c>
    </row>
    <row r="1362">
      <c r="A1362" s="10">
        <v>1.630667593E9</v>
      </c>
      <c r="B1362" s="11">
        <v>0.089</v>
      </c>
      <c r="C1362" s="11">
        <v>73.0</v>
      </c>
      <c r="D1362" s="11">
        <v>0.162</v>
      </c>
      <c r="E1362" s="7" t="s">
        <v>183</v>
      </c>
      <c r="F1362" s="9" t="s">
        <v>69</v>
      </c>
      <c r="G1362" s="5" t="s">
        <v>77</v>
      </c>
    </row>
    <row r="1363">
      <c r="A1363" s="10">
        <v>1.708772782E9</v>
      </c>
      <c r="B1363" s="11">
        <v>0.098</v>
      </c>
      <c r="C1363" s="11">
        <v>84.0</v>
      </c>
      <c r="D1363" s="11">
        <v>0.13</v>
      </c>
      <c r="E1363" s="7" t="s">
        <v>183</v>
      </c>
      <c r="F1363" s="9" t="s">
        <v>70</v>
      </c>
      <c r="G1363" s="5" t="s">
        <v>77</v>
      </c>
    </row>
    <row r="1364">
      <c r="A1364" s="10">
        <v>2.175685681E9</v>
      </c>
      <c r="B1364" s="11">
        <v>0.108</v>
      </c>
      <c r="C1364" s="11">
        <v>118.0</v>
      </c>
      <c r="D1364" s="11">
        <v>0.112</v>
      </c>
      <c r="E1364" s="7" t="s">
        <v>183</v>
      </c>
      <c r="F1364" s="9" t="s">
        <v>71</v>
      </c>
      <c r="G1364" s="5" t="s">
        <v>77</v>
      </c>
    </row>
    <row r="1365">
      <c r="A1365" s="10">
        <v>2.487352968E9</v>
      </c>
      <c r="B1365" s="11">
        <v>0.117</v>
      </c>
      <c r="C1365" s="11">
        <v>146.0</v>
      </c>
      <c r="D1365" s="11">
        <v>0.104</v>
      </c>
      <c r="E1365" s="7" t="s">
        <v>183</v>
      </c>
      <c r="F1365" s="9" t="s">
        <v>72</v>
      </c>
      <c r="G1365" s="5" t="s">
        <v>77</v>
      </c>
    </row>
    <row r="1366">
      <c r="A1366" s="10">
        <v>2.328196275E9</v>
      </c>
      <c r="B1366" s="11">
        <v>0.116</v>
      </c>
      <c r="C1366" s="11">
        <v>138.0</v>
      </c>
      <c r="D1366" s="11">
        <v>0.101</v>
      </c>
      <c r="E1366" s="7" t="s">
        <v>183</v>
      </c>
      <c r="F1366" s="9" t="s">
        <v>73</v>
      </c>
      <c r="G1366" s="5" t="s">
        <v>77</v>
      </c>
    </row>
    <row r="1367">
      <c r="A1367" s="10">
        <v>5.29064647E8</v>
      </c>
      <c r="B1367" s="11">
        <v>0.059</v>
      </c>
      <c r="C1367" s="11">
        <v>11.0</v>
      </c>
      <c r="D1367" s="11">
        <v>0.205</v>
      </c>
      <c r="E1367" s="7" t="s">
        <v>184</v>
      </c>
      <c r="F1367" s="9" t="s">
        <v>60</v>
      </c>
      <c r="G1367" s="5" t="s">
        <v>77</v>
      </c>
    </row>
    <row r="1368">
      <c r="A1368" s="10">
        <v>5.15E8</v>
      </c>
      <c r="B1368" s="11">
        <v>0.064</v>
      </c>
      <c r="C1368" s="11">
        <v>11.0</v>
      </c>
      <c r="D1368" s="11">
        <v>0.221</v>
      </c>
      <c r="E1368" s="7" t="s">
        <v>184</v>
      </c>
      <c r="F1368" s="9" t="s">
        <v>62</v>
      </c>
      <c r="G1368" s="5" t="s">
        <v>77</v>
      </c>
    </row>
    <row r="1369">
      <c r="A1369" s="10">
        <v>5.36E8</v>
      </c>
      <c r="B1369" s="11">
        <v>0.054</v>
      </c>
      <c r="C1369" s="11">
        <v>9.0</v>
      </c>
      <c r="D1369" s="11">
        <v>0.202</v>
      </c>
      <c r="E1369" s="7" t="s">
        <v>184</v>
      </c>
      <c r="F1369" s="9" t="s">
        <v>63</v>
      </c>
      <c r="G1369" s="5" t="s">
        <v>77</v>
      </c>
    </row>
    <row r="1370">
      <c r="A1370" s="10">
        <v>4.09E8</v>
      </c>
      <c r="B1370" s="11">
        <v>0.034</v>
      </c>
      <c r="C1370" s="11">
        <v>5.0</v>
      </c>
      <c r="D1370" s="11">
        <v>0.171</v>
      </c>
      <c r="E1370" s="7" t="s">
        <v>184</v>
      </c>
      <c r="F1370" s="9" t="s">
        <v>64</v>
      </c>
      <c r="G1370" s="5" t="s">
        <v>77</v>
      </c>
    </row>
    <row r="1371">
      <c r="A1371" s="10">
        <v>4.67E8</v>
      </c>
      <c r="B1371" s="11">
        <v>0.088</v>
      </c>
      <c r="C1371" s="11">
        <v>13.0</v>
      </c>
      <c r="D1371" s="11">
        <v>0.181</v>
      </c>
      <c r="E1371" s="7" t="s">
        <v>184</v>
      </c>
      <c r="F1371" s="9" t="s">
        <v>65</v>
      </c>
      <c r="G1371" s="5" t="s">
        <v>77</v>
      </c>
    </row>
    <row r="1372">
      <c r="A1372" s="10">
        <v>5.42E8</v>
      </c>
      <c r="B1372" s="11">
        <v>0.08</v>
      </c>
      <c r="C1372" s="11">
        <v>13.0</v>
      </c>
      <c r="D1372" s="11">
        <v>0.17</v>
      </c>
      <c r="E1372" s="7" t="s">
        <v>184</v>
      </c>
      <c r="F1372" s="9" t="s">
        <v>66</v>
      </c>
      <c r="G1372" s="5" t="s">
        <v>77</v>
      </c>
    </row>
    <row r="1373">
      <c r="A1373" s="10">
        <v>6.04028582E8</v>
      </c>
      <c r="B1373" s="11">
        <v>0.109</v>
      </c>
      <c r="C1373" s="11">
        <v>18.0</v>
      </c>
      <c r="D1373" s="11">
        <v>0.155</v>
      </c>
      <c r="E1373" s="7" t="s">
        <v>184</v>
      </c>
      <c r="F1373" s="9" t="s">
        <v>67</v>
      </c>
      <c r="G1373" s="5" t="s">
        <v>77</v>
      </c>
    </row>
    <row r="1374">
      <c r="A1374" s="10">
        <v>7.39026892E8</v>
      </c>
      <c r="B1374" s="11">
        <v>0.102</v>
      </c>
      <c r="C1374" s="11">
        <v>21.0</v>
      </c>
      <c r="D1374" s="11">
        <v>0.15</v>
      </c>
      <c r="E1374" s="7" t="s">
        <v>184</v>
      </c>
      <c r="F1374" s="9" t="s">
        <v>68</v>
      </c>
      <c r="G1374" s="5" t="s">
        <v>77</v>
      </c>
    </row>
    <row r="1375">
      <c r="A1375" s="10">
        <v>8.50040459E8</v>
      </c>
      <c r="B1375" s="11">
        <v>0.118</v>
      </c>
      <c r="C1375" s="11">
        <v>27.0</v>
      </c>
      <c r="D1375" s="11">
        <v>0.144</v>
      </c>
      <c r="E1375" s="7" t="s">
        <v>184</v>
      </c>
      <c r="F1375" s="9" t="s">
        <v>69</v>
      </c>
      <c r="G1375" s="5" t="s">
        <v>77</v>
      </c>
    </row>
    <row r="1376">
      <c r="A1376" s="10">
        <v>1.15514623E9</v>
      </c>
      <c r="B1376" s="11">
        <v>0.144</v>
      </c>
      <c r="C1376" s="11">
        <v>43.0</v>
      </c>
      <c r="D1376" s="11">
        <v>0.142</v>
      </c>
      <c r="E1376" s="7" t="s">
        <v>184</v>
      </c>
      <c r="F1376" s="9" t="s">
        <v>70</v>
      </c>
      <c r="G1376" s="5" t="s">
        <v>77</v>
      </c>
    </row>
    <row r="1377">
      <c r="A1377" s="10">
        <v>1.292696476E9</v>
      </c>
      <c r="B1377" s="11">
        <v>0.131</v>
      </c>
      <c r="C1377" s="11">
        <v>43.0</v>
      </c>
      <c r="D1377" s="11">
        <v>0.142</v>
      </c>
      <c r="E1377" s="7" t="s">
        <v>184</v>
      </c>
      <c r="F1377" s="9" t="s">
        <v>71</v>
      </c>
      <c r="G1377" s="5" t="s">
        <v>77</v>
      </c>
    </row>
    <row r="1378">
      <c r="A1378" s="10">
        <v>1.537753885E9</v>
      </c>
      <c r="B1378" s="11">
        <v>0.156</v>
      </c>
      <c r="C1378" s="11">
        <v>59.0</v>
      </c>
      <c r="D1378" s="11">
        <v>0.138</v>
      </c>
      <c r="E1378" s="7" t="s">
        <v>184</v>
      </c>
      <c r="F1378" s="9" t="s">
        <v>72</v>
      </c>
      <c r="G1378" s="5" t="s">
        <v>77</v>
      </c>
    </row>
    <row r="1379">
      <c r="A1379" s="10">
        <v>1.733828405E9</v>
      </c>
      <c r="B1379" s="11">
        <v>0.155</v>
      </c>
      <c r="C1379" s="11">
        <v>65.0</v>
      </c>
      <c r="D1379" s="11">
        <v>0.135</v>
      </c>
      <c r="E1379" s="7" t="s">
        <v>184</v>
      </c>
      <c r="F1379" s="9" t="s">
        <v>73</v>
      </c>
      <c r="G1379" s="5" t="s">
        <v>77</v>
      </c>
    </row>
    <row r="1380">
      <c r="A1380" s="10">
        <v>3.3896600871E10</v>
      </c>
      <c r="B1380" s="11">
        <v>0.034</v>
      </c>
      <c r="C1380" s="11">
        <v>252.0</v>
      </c>
      <c r="D1380" s="11">
        <v>0.07</v>
      </c>
      <c r="E1380" s="7" t="s">
        <v>185</v>
      </c>
      <c r="F1380" s="9" t="s">
        <v>60</v>
      </c>
      <c r="G1380" s="5" t="s">
        <v>77</v>
      </c>
    </row>
    <row r="1381">
      <c r="A1381" s="10">
        <v>2.8420321952E10</v>
      </c>
      <c r="B1381" s="11">
        <v>0.041</v>
      </c>
      <c r="C1381" s="11">
        <v>261.0</v>
      </c>
      <c r="D1381" s="11">
        <v>0.07</v>
      </c>
      <c r="E1381" s="7" t="s">
        <v>185</v>
      </c>
      <c r="F1381" s="9" t="s">
        <v>62</v>
      </c>
      <c r="G1381" s="5" t="s">
        <v>77</v>
      </c>
    </row>
    <row r="1382">
      <c r="A1382" s="10">
        <v>1.9842519685E10</v>
      </c>
      <c r="B1382" s="11">
        <v>0.049</v>
      </c>
      <c r="C1382" s="11">
        <v>185.0</v>
      </c>
      <c r="D1382" s="11">
        <v>0.07</v>
      </c>
      <c r="E1382" s="7" t="s">
        <v>185</v>
      </c>
      <c r="F1382" s="9" t="s">
        <v>63</v>
      </c>
      <c r="G1382" s="5" t="s">
        <v>77</v>
      </c>
    </row>
    <row r="1383">
      <c r="A1383" s="10">
        <v>2.40625E10</v>
      </c>
      <c r="B1383" s="11">
        <v>0.041</v>
      </c>
      <c r="C1383" s="11">
        <v>194.0</v>
      </c>
      <c r="D1383" s="11">
        <v>0.07</v>
      </c>
      <c r="E1383" s="7" t="s">
        <v>185</v>
      </c>
      <c r="F1383" s="9" t="s">
        <v>64</v>
      </c>
      <c r="G1383" s="5" t="s">
        <v>77</v>
      </c>
    </row>
    <row r="1384">
      <c r="A1384" s="10">
        <v>3.3384615385E10</v>
      </c>
      <c r="B1384" s="11">
        <v>0.035</v>
      </c>
      <c r="C1384" s="11">
        <v>205.0</v>
      </c>
      <c r="D1384" s="11">
        <v>0.061</v>
      </c>
      <c r="E1384" s="7" t="s">
        <v>185</v>
      </c>
      <c r="F1384" s="9" t="s">
        <v>65</v>
      </c>
      <c r="G1384" s="5" t="s">
        <v>77</v>
      </c>
    </row>
    <row r="1385">
      <c r="A1385" s="10">
        <v>4.4E10</v>
      </c>
      <c r="B1385" s="11">
        <v>0.026</v>
      </c>
      <c r="C1385" s="11">
        <v>213.0</v>
      </c>
      <c r="D1385" s="11">
        <v>0.061</v>
      </c>
      <c r="E1385" s="7" t="s">
        <v>185</v>
      </c>
      <c r="F1385" s="9" t="s">
        <v>66</v>
      </c>
      <c r="G1385" s="5" t="s">
        <v>77</v>
      </c>
    </row>
    <row r="1386">
      <c r="A1386" s="10">
        <v>5.6484375E10</v>
      </c>
      <c r="B1386" s="11">
        <v>0.025</v>
      </c>
      <c r="C1386" s="11">
        <v>237.0</v>
      </c>
      <c r="D1386" s="11">
        <v>0.063</v>
      </c>
      <c r="E1386" s="7" t="s">
        <v>185</v>
      </c>
      <c r="F1386" s="9" t="s">
        <v>67</v>
      </c>
      <c r="G1386" s="5" t="s">
        <v>77</v>
      </c>
    </row>
    <row r="1387">
      <c r="A1387" s="10">
        <v>7.1803278689E10</v>
      </c>
      <c r="B1387" s="11">
        <v>0.025</v>
      </c>
      <c r="C1387" s="11">
        <v>276.0</v>
      </c>
      <c r="D1387" s="11">
        <v>0.06</v>
      </c>
      <c r="E1387" s="7" t="s">
        <v>185</v>
      </c>
      <c r="F1387" s="9" t="s">
        <v>68</v>
      </c>
      <c r="G1387" s="5" t="s">
        <v>77</v>
      </c>
    </row>
    <row r="1388">
      <c r="A1388" s="10">
        <v>9.3167701863E10</v>
      </c>
      <c r="B1388" s="11">
        <v>0.022</v>
      </c>
      <c r="C1388" s="11">
        <v>318.0</v>
      </c>
      <c r="D1388" s="11">
        <v>0.06</v>
      </c>
      <c r="E1388" s="7" t="s">
        <v>185</v>
      </c>
      <c r="F1388" s="9" t="s">
        <v>69</v>
      </c>
      <c r="G1388" s="5" t="s">
        <v>77</v>
      </c>
    </row>
    <row r="1389">
      <c r="A1389" s="10">
        <v>6.2360446571E10</v>
      </c>
      <c r="B1389" s="11">
        <v>0.035</v>
      </c>
      <c r="C1389" s="11">
        <v>349.0</v>
      </c>
      <c r="D1389" s="11">
        <v>0.06</v>
      </c>
      <c r="E1389" s="7" t="s">
        <v>185</v>
      </c>
      <c r="F1389" s="9" t="s">
        <v>70</v>
      </c>
      <c r="G1389" s="5" t="s">
        <v>77</v>
      </c>
    </row>
    <row r="1390">
      <c r="A1390" s="10">
        <v>7.4755288917E10</v>
      </c>
      <c r="B1390" s="11">
        <v>0.033</v>
      </c>
      <c r="C1390" s="11">
        <v>389.0</v>
      </c>
      <c r="D1390" s="11">
        <v>0.06</v>
      </c>
      <c r="E1390" s="7" t="s">
        <v>185</v>
      </c>
      <c r="F1390" s="9" t="s">
        <v>71</v>
      </c>
      <c r="G1390" s="5" t="s">
        <v>77</v>
      </c>
    </row>
    <row r="1391">
      <c r="A1391" s="10">
        <v>3.4699395524E10</v>
      </c>
      <c r="B1391" s="11">
        <v>0.039</v>
      </c>
      <c r="C1391" s="11">
        <v>211.0</v>
      </c>
      <c r="D1391" s="11">
        <v>0.06</v>
      </c>
      <c r="E1391" s="7" t="s">
        <v>185</v>
      </c>
      <c r="F1391" s="9" t="s">
        <v>72</v>
      </c>
      <c r="G1391" s="5" t="s">
        <v>77</v>
      </c>
    </row>
    <row r="1392">
      <c r="A1392" s="10">
        <v>8.1873662519E10</v>
      </c>
      <c r="B1392" s="11">
        <v>0.039</v>
      </c>
      <c r="C1392" s="11">
        <v>578.0</v>
      </c>
      <c r="D1392" s="11">
        <v>0.06</v>
      </c>
      <c r="E1392" s="7" t="s">
        <v>185</v>
      </c>
      <c r="F1392" s="9" t="s">
        <v>73</v>
      </c>
      <c r="G1392" s="5" t="s">
        <v>77</v>
      </c>
    </row>
    <row r="1393">
      <c r="A1393" s="10">
        <v>2.483890594E9</v>
      </c>
      <c r="B1393" s="8"/>
      <c r="C1393" s="8"/>
      <c r="D1393" s="8"/>
      <c r="E1393" s="7" t="s">
        <v>186</v>
      </c>
      <c r="F1393" s="9" t="s">
        <v>60</v>
      </c>
      <c r="G1393" s="5" t="s">
        <v>75</v>
      </c>
    </row>
    <row r="1394">
      <c r="A1394" s="10">
        <v>2.491800559E9</v>
      </c>
      <c r="B1394" s="8"/>
      <c r="C1394" s="8"/>
      <c r="D1394" s="8"/>
      <c r="E1394" s="7" t="s">
        <v>186</v>
      </c>
      <c r="F1394" s="9" t="s">
        <v>62</v>
      </c>
      <c r="G1394" s="5" t="s">
        <v>75</v>
      </c>
    </row>
    <row r="1395">
      <c r="A1395" s="10">
        <v>2.688617885E9</v>
      </c>
      <c r="B1395" s="8"/>
      <c r="C1395" s="8"/>
      <c r="D1395" s="8"/>
      <c r="E1395" s="7" t="s">
        <v>186</v>
      </c>
      <c r="F1395" s="9" t="s">
        <v>63</v>
      </c>
      <c r="G1395" s="5" t="s">
        <v>75</v>
      </c>
    </row>
    <row r="1396">
      <c r="A1396" s="10">
        <v>3.070803431E9</v>
      </c>
      <c r="B1396" s="8"/>
      <c r="C1396" s="8"/>
      <c r="D1396" s="8"/>
      <c r="E1396" s="7" t="s">
        <v>186</v>
      </c>
      <c r="F1396" s="9" t="s">
        <v>64</v>
      </c>
      <c r="G1396" s="5" t="s">
        <v>75</v>
      </c>
    </row>
    <row r="1397">
      <c r="A1397" s="10">
        <v>3.454374261E9</v>
      </c>
      <c r="B1397" s="8"/>
      <c r="C1397" s="8"/>
      <c r="D1397" s="8"/>
      <c r="E1397" s="7" t="s">
        <v>186</v>
      </c>
      <c r="F1397" s="9" t="s">
        <v>65</v>
      </c>
      <c r="G1397" s="5" t="s">
        <v>75</v>
      </c>
    </row>
    <row r="1398">
      <c r="A1398" s="10">
        <v>3.658356378E9</v>
      </c>
      <c r="B1398" s="8"/>
      <c r="C1398" s="8"/>
      <c r="D1398" s="8"/>
      <c r="E1398" s="7" t="s">
        <v>186</v>
      </c>
      <c r="F1398" s="9" t="s">
        <v>66</v>
      </c>
      <c r="G1398" s="5" t="s">
        <v>75</v>
      </c>
    </row>
    <row r="1399">
      <c r="A1399" s="10">
        <v>3.988775844E9</v>
      </c>
      <c r="B1399" s="8"/>
      <c r="C1399" s="8"/>
      <c r="D1399" s="8"/>
      <c r="E1399" s="7" t="s">
        <v>186</v>
      </c>
      <c r="F1399" s="9" t="s">
        <v>67</v>
      </c>
      <c r="G1399" s="5" t="s">
        <v>75</v>
      </c>
    </row>
    <row r="1400">
      <c r="A1400" s="10">
        <v>4.602346923E9</v>
      </c>
      <c r="B1400" s="8"/>
      <c r="C1400" s="8"/>
      <c r="D1400" s="8"/>
      <c r="E1400" s="7" t="s">
        <v>186</v>
      </c>
      <c r="F1400" s="9" t="s">
        <v>68</v>
      </c>
      <c r="G1400" s="5" t="s">
        <v>75</v>
      </c>
    </row>
    <row r="1401">
      <c r="A1401" s="10">
        <v>4.929414915E9</v>
      </c>
      <c r="B1401" s="8"/>
      <c r="C1401" s="8"/>
      <c r="D1401" s="8"/>
      <c r="E1401" s="7" t="s">
        <v>186</v>
      </c>
      <c r="F1401" s="9" t="s">
        <v>69</v>
      </c>
      <c r="G1401" s="5" t="s">
        <v>75</v>
      </c>
    </row>
    <row r="1402">
      <c r="A1402" s="10">
        <v>4.826167676E9</v>
      </c>
      <c r="B1402" s="8"/>
      <c r="C1402" s="8"/>
      <c r="D1402" s="8"/>
      <c r="E1402" s="7" t="s">
        <v>186</v>
      </c>
      <c r="F1402" s="9" t="s">
        <v>70</v>
      </c>
      <c r="G1402" s="5" t="s">
        <v>75</v>
      </c>
    </row>
    <row r="1403">
      <c r="A1403" s="7"/>
      <c r="B1403" s="8"/>
      <c r="C1403" s="8"/>
      <c r="D1403" s="8"/>
      <c r="E1403" s="7" t="s">
        <v>186</v>
      </c>
      <c r="F1403" s="9" t="s">
        <v>71</v>
      </c>
      <c r="G1403" s="5" t="s">
        <v>75</v>
      </c>
    </row>
    <row r="1404">
      <c r="A1404" s="7"/>
      <c r="B1404" s="8"/>
      <c r="C1404" s="8"/>
      <c r="D1404" s="8"/>
      <c r="E1404" s="7" t="s">
        <v>186</v>
      </c>
      <c r="F1404" s="9" t="s">
        <v>72</v>
      </c>
      <c r="G1404" s="5" t="s">
        <v>75</v>
      </c>
    </row>
    <row r="1405">
      <c r="A1405" s="7"/>
      <c r="B1405" s="8"/>
      <c r="C1405" s="8"/>
      <c r="D1405" s="8"/>
      <c r="E1405" s="7" t="s">
        <v>186</v>
      </c>
      <c r="F1405" s="9" t="s">
        <v>73</v>
      </c>
      <c r="G1405" s="5" t="s">
        <v>75</v>
      </c>
    </row>
    <row r="1406">
      <c r="A1406" s="10">
        <v>1.14342E10</v>
      </c>
      <c r="B1406" s="11">
        <v>0.065</v>
      </c>
      <c r="C1406" s="11">
        <v>212.0</v>
      </c>
      <c r="D1406" s="11">
        <v>0.121</v>
      </c>
      <c r="E1406" s="7" t="s">
        <v>187</v>
      </c>
      <c r="F1406" s="9" t="s">
        <v>60</v>
      </c>
      <c r="G1406" s="5" t="s">
        <v>75</v>
      </c>
    </row>
    <row r="1407">
      <c r="A1407" s="10">
        <v>1.2159225E10</v>
      </c>
      <c r="B1407" s="11">
        <v>0.063</v>
      </c>
      <c r="C1407" s="11">
        <v>220.0</v>
      </c>
      <c r="D1407" s="11">
        <v>0.096</v>
      </c>
      <c r="E1407" s="7" t="s">
        <v>187</v>
      </c>
      <c r="F1407" s="9" t="s">
        <v>62</v>
      </c>
      <c r="G1407" s="5" t="s">
        <v>75</v>
      </c>
    </row>
    <row r="1408">
      <c r="A1408" s="10">
        <v>1.4163949142E10</v>
      </c>
      <c r="B1408" s="11">
        <v>0.064</v>
      </c>
      <c r="C1408" s="11">
        <v>263.0</v>
      </c>
      <c r="D1408" s="11">
        <v>0.068</v>
      </c>
      <c r="E1408" s="7" t="s">
        <v>187</v>
      </c>
      <c r="F1408" s="9" t="s">
        <v>63</v>
      </c>
      <c r="G1408" s="5" t="s">
        <v>75</v>
      </c>
    </row>
    <row r="1409">
      <c r="A1409" s="10">
        <v>1.8608709857E10</v>
      </c>
      <c r="B1409" s="11">
        <v>0.065</v>
      </c>
      <c r="C1409" s="11">
        <v>351.0</v>
      </c>
      <c r="D1409" s="11">
        <v>0.058</v>
      </c>
      <c r="E1409" s="7" t="s">
        <v>187</v>
      </c>
      <c r="F1409" s="9" t="s">
        <v>64</v>
      </c>
      <c r="G1409" s="5" t="s">
        <v>75</v>
      </c>
    </row>
    <row r="1410">
      <c r="A1410" s="10">
        <v>2.2659294573E10</v>
      </c>
      <c r="B1410" s="11">
        <v>0.057</v>
      </c>
      <c r="C1410" s="11">
        <v>374.0</v>
      </c>
      <c r="D1410" s="11">
        <v>0.057</v>
      </c>
      <c r="E1410" s="7" t="s">
        <v>187</v>
      </c>
      <c r="F1410" s="9" t="s">
        <v>65</v>
      </c>
      <c r="G1410" s="5" t="s">
        <v>75</v>
      </c>
    </row>
    <row r="1411">
      <c r="A1411" s="10">
        <v>2.6085307222E10</v>
      </c>
      <c r="B1411" s="11">
        <v>0.058</v>
      </c>
      <c r="C1411" s="11">
        <v>446.0</v>
      </c>
      <c r="D1411" s="11">
        <v>0.053</v>
      </c>
      <c r="E1411" s="7" t="s">
        <v>187</v>
      </c>
      <c r="F1411" s="9" t="s">
        <v>66</v>
      </c>
      <c r="G1411" s="5" t="s">
        <v>75</v>
      </c>
    </row>
    <row r="1412">
      <c r="A1412" s="10">
        <v>3.0246361657E10</v>
      </c>
      <c r="B1412" s="11">
        <v>0.062</v>
      </c>
      <c r="C1412" s="11">
        <v>552.0</v>
      </c>
      <c r="D1412" s="11">
        <v>0.051</v>
      </c>
      <c r="E1412" s="7" t="s">
        <v>187</v>
      </c>
      <c r="F1412" s="9" t="s">
        <v>67</v>
      </c>
      <c r="G1412" s="5" t="s">
        <v>75</v>
      </c>
    </row>
    <row r="1413">
      <c r="A1413" s="10">
        <v>3.9325985931E10</v>
      </c>
      <c r="B1413" s="11">
        <v>0.062</v>
      </c>
      <c r="C1413" s="11">
        <v>725.0</v>
      </c>
      <c r="D1413" s="11">
        <v>0.069</v>
      </c>
      <c r="E1413" s="7" t="s">
        <v>187</v>
      </c>
      <c r="F1413" s="9" t="s">
        <v>68</v>
      </c>
      <c r="G1413" s="5" t="s">
        <v>75</v>
      </c>
    </row>
    <row r="1414">
      <c r="A1414" s="10">
        <v>4.7438363056E10</v>
      </c>
      <c r="B1414" s="11">
        <v>0.066</v>
      </c>
      <c r="C1414" s="11">
        <v>934.0</v>
      </c>
      <c r="D1414" s="11">
        <v>0.084</v>
      </c>
      <c r="E1414" s="7" t="s">
        <v>187</v>
      </c>
      <c r="F1414" s="9" t="s">
        <v>69</v>
      </c>
      <c r="G1414" s="5" t="s">
        <v>75</v>
      </c>
    </row>
    <row r="1415">
      <c r="A1415" s="10">
        <v>3.7050081723E10</v>
      </c>
      <c r="B1415" s="11">
        <v>0.075</v>
      </c>
      <c r="C1415" s="11">
        <v>836.0</v>
      </c>
      <c r="D1415" s="11">
        <v>0.084</v>
      </c>
      <c r="E1415" s="7" t="s">
        <v>187</v>
      </c>
      <c r="F1415" s="9" t="s">
        <v>70</v>
      </c>
      <c r="G1415" s="5" t="s">
        <v>75</v>
      </c>
    </row>
    <row r="1416">
      <c r="A1416" s="10">
        <v>3.6709511568E10</v>
      </c>
      <c r="B1416" s="11">
        <v>0.07</v>
      </c>
      <c r="C1416" s="11">
        <v>782.0</v>
      </c>
      <c r="D1416" s="11">
        <v>0.06</v>
      </c>
      <c r="E1416" s="7" t="s">
        <v>187</v>
      </c>
      <c r="F1416" s="9" t="s">
        <v>71</v>
      </c>
      <c r="G1416" s="5" t="s">
        <v>75</v>
      </c>
    </row>
    <row r="1417">
      <c r="A1417" s="10">
        <v>4.3083067994E10</v>
      </c>
      <c r="B1417" s="11">
        <v>0.067</v>
      </c>
      <c r="C1417" s="11">
        <v>887.0</v>
      </c>
      <c r="D1417" s="8"/>
      <c r="E1417" s="7" t="s">
        <v>187</v>
      </c>
      <c r="F1417" s="9" t="s">
        <v>72</v>
      </c>
      <c r="G1417" s="5" t="s">
        <v>75</v>
      </c>
    </row>
    <row r="1418">
      <c r="A1418" s="10">
        <v>4.2343559196E10</v>
      </c>
      <c r="B1418" s="11">
        <v>0.067</v>
      </c>
      <c r="C1418" s="11">
        <v>859.0</v>
      </c>
      <c r="D1418" s="8"/>
      <c r="E1418" s="7" t="s">
        <v>187</v>
      </c>
      <c r="F1418" s="9" t="s">
        <v>73</v>
      </c>
      <c r="G1418" s="5" t="s">
        <v>75</v>
      </c>
    </row>
    <row r="1419">
      <c r="A1419" s="10">
        <v>2.0267551133E10</v>
      </c>
      <c r="B1419" s="11">
        <v>0.075</v>
      </c>
      <c r="C1419" s="11">
        <v>3495.0</v>
      </c>
      <c r="D1419" s="8"/>
      <c r="E1419" s="7" t="s">
        <v>188</v>
      </c>
      <c r="F1419" s="9" t="s">
        <v>60</v>
      </c>
      <c r="G1419" s="5" t="s">
        <v>75</v>
      </c>
    </row>
    <row r="1420">
      <c r="A1420" s="10">
        <v>2.0196868009E10</v>
      </c>
      <c r="B1420" s="11">
        <v>0.074</v>
      </c>
      <c r="C1420" s="11">
        <v>3405.0</v>
      </c>
      <c r="D1420" s="8"/>
      <c r="E1420" s="7" t="s">
        <v>188</v>
      </c>
      <c r="F1420" s="9" t="s">
        <v>62</v>
      </c>
      <c r="G1420" s="5" t="s">
        <v>75</v>
      </c>
    </row>
    <row r="1421">
      <c r="A1421" s="10">
        <v>2.2568793525E10</v>
      </c>
      <c r="B1421" s="11">
        <v>0.083</v>
      </c>
      <c r="C1421" s="11">
        <v>4202.0</v>
      </c>
      <c r="D1421" s="8"/>
      <c r="E1421" s="7" t="s">
        <v>188</v>
      </c>
      <c r="F1421" s="9" t="s">
        <v>63</v>
      </c>
      <c r="G1421" s="5" t="s">
        <v>75</v>
      </c>
    </row>
    <row r="1422">
      <c r="A1422" s="10">
        <v>2.9144582393E10</v>
      </c>
      <c r="B1422" s="11">
        <v>0.077</v>
      </c>
      <c r="C1422" s="11">
        <v>4984.0</v>
      </c>
      <c r="D1422" s="8"/>
      <c r="E1422" s="7" t="s">
        <v>188</v>
      </c>
      <c r="F1422" s="9" t="s">
        <v>64</v>
      </c>
      <c r="G1422" s="5" t="s">
        <v>75</v>
      </c>
    </row>
    <row r="1423">
      <c r="A1423" s="10">
        <v>3.4077095478E10</v>
      </c>
      <c r="B1423" s="11">
        <v>0.082</v>
      </c>
      <c r="C1423" s="11">
        <v>6145.0</v>
      </c>
      <c r="D1423" s="8"/>
      <c r="E1423" s="7" t="s">
        <v>188</v>
      </c>
      <c r="F1423" s="9" t="s">
        <v>65</v>
      </c>
      <c r="G1423" s="5" t="s">
        <v>75</v>
      </c>
    </row>
    <row r="1424">
      <c r="A1424" s="10">
        <v>3.7643013481E10</v>
      </c>
      <c r="B1424" s="11">
        <v>0.079</v>
      </c>
      <c r="C1424" s="11">
        <v>6485.0</v>
      </c>
      <c r="D1424" s="8"/>
      <c r="E1424" s="7" t="s">
        <v>188</v>
      </c>
      <c r="F1424" s="9" t="s">
        <v>66</v>
      </c>
      <c r="G1424" s="5" t="s">
        <v>75</v>
      </c>
    </row>
    <row r="1425">
      <c r="A1425" s="10">
        <v>4.2544677906E10</v>
      </c>
      <c r="B1425" s="11">
        <v>0.077</v>
      </c>
      <c r="C1425" s="11">
        <v>7029.0</v>
      </c>
      <c r="D1425" s="8"/>
      <c r="E1425" s="7" t="s">
        <v>188</v>
      </c>
      <c r="F1425" s="9" t="s">
        <v>67</v>
      </c>
      <c r="G1425" s="5" t="s">
        <v>75</v>
      </c>
    </row>
    <row r="1426">
      <c r="A1426" s="10">
        <v>5.1320661751E10</v>
      </c>
      <c r="B1426" s="11">
        <v>0.068</v>
      </c>
      <c r="C1426" s="11">
        <v>7326.0</v>
      </c>
      <c r="D1426" s="8"/>
      <c r="E1426" s="7" t="s">
        <v>188</v>
      </c>
      <c r="F1426" s="9" t="s">
        <v>68</v>
      </c>
      <c r="G1426" s="5" t="s">
        <v>75</v>
      </c>
    </row>
    <row r="1427">
      <c r="A1427" s="10">
        <v>5.4742763112E10</v>
      </c>
      <c r="B1427" s="11">
        <v>0.073</v>
      </c>
      <c r="C1427" s="11">
        <v>8305.0</v>
      </c>
      <c r="D1427" s="8"/>
      <c r="E1427" s="7" t="s">
        <v>188</v>
      </c>
      <c r="F1427" s="9" t="s">
        <v>69</v>
      </c>
      <c r="G1427" s="5" t="s">
        <v>75</v>
      </c>
    </row>
    <row r="1428">
      <c r="A1428" s="10">
        <v>4.9420751774E10</v>
      </c>
      <c r="B1428" s="11">
        <v>0.08</v>
      </c>
      <c r="C1428" s="11">
        <v>8127.0</v>
      </c>
      <c r="D1428" s="8"/>
      <c r="E1428" s="7" t="s">
        <v>188</v>
      </c>
      <c r="F1428" s="9" t="s">
        <v>70</v>
      </c>
      <c r="G1428" s="5" t="s">
        <v>75</v>
      </c>
    </row>
    <row r="1429">
      <c r="A1429" s="10">
        <v>5.2053324635E10</v>
      </c>
      <c r="B1429" s="11">
        <v>0.072</v>
      </c>
      <c r="C1429" s="11">
        <v>7592.0</v>
      </c>
      <c r="D1429" s="8"/>
      <c r="E1429" s="7" t="s">
        <v>188</v>
      </c>
      <c r="F1429" s="9" t="s">
        <v>71</v>
      </c>
      <c r="G1429" s="5" t="s">
        <v>75</v>
      </c>
    </row>
    <row r="1430">
      <c r="A1430" s="10">
        <v>5.8009863403E10</v>
      </c>
      <c r="B1430" s="11">
        <v>0.067</v>
      </c>
      <c r="C1430" s="11">
        <v>7751.0</v>
      </c>
      <c r="D1430" s="8"/>
      <c r="E1430" s="7" t="s">
        <v>188</v>
      </c>
      <c r="F1430" s="9" t="s">
        <v>72</v>
      </c>
      <c r="G1430" s="5" t="s">
        <v>75</v>
      </c>
    </row>
    <row r="1431">
      <c r="A1431" s="10">
        <v>5.514345733E10</v>
      </c>
      <c r="B1431" s="11">
        <v>0.069</v>
      </c>
      <c r="C1431" s="11">
        <v>7452.0</v>
      </c>
      <c r="D1431" s="8"/>
      <c r="E1431" s="7" t="s">
        <v>188</v>
      </c>
      <c r="F1431" s="9" t="s">
        <v>73</v>
      </c>
      <c r="G1431" s="5" t="s">
        <v>75</v>
      </c>
    </row>
    <row r="1432">
      <c r="A1432" s="10">
        <v>6.101794939E9</v>
      </c>
      <c r="B1432" s="8"/>
      <c r="C1432" s="8"/>
      <c r="D1432" s="11">
        <v>0.099</v>
      </c>
      <c r="E1432" s="7" t="s">
        <v>189</v>
      </c>
      <c r="F1432" s="9" t="s">
        <v>60</v>
      </c>
      <c r="G1432" s="5" t="s">
        <v>61</v>
      </c>
    </row>
    <row r="1433">
      <c r="A1433" s="10">
        <v>6.514271488E9</v>
      </c>
      <c r="B1433" s="8"/>
      <c r="C1433" s="8"/>
      <c r="D1433" s="11">
        <v>0.08</v>
      </c>
      <c r="E1433" s="7" t="s">
        <v>189</v>
      </c>
      <c r="F1433" s="9" t="s">
        <v>62</v>
      </c>
      <c r="G1433" s="5" t="s">
        <v>61</v>
      </c>
    </row>
    <row r="1434">
      <c r="A1434" s="10">
        <v>7.008026415E9</v>
      </c>
      <c r="B1434" s="8"/>
      <c r="C1434" s="8"/>
      <c r="D1434" s="11">
        <v>0.061</v>
      </c>
      <c r="E1434" s="7" t="s">
        <v>189</v>
      </c>
      <c r="F1434" s="9" t="s">
        <v>63</v>
      </c>
      <c r="G1434" s="5" t="s">
        <v>61</v>
      </c>
    </row>
    <row r="1435">
      <c r="A1435" s="10">
        <v>7.926373572E9</v>
      </c>
      <c r="B1435" s="8"/>
      <c r="C1435" s="8"/>
      <c r="D1435" s="11">
        <v>0.06</v>
      </c>
      <c r="E1435" s="7" t="s">
        <v>189</v>
      </c>
      <c r="F1435" s="9" t="s">
        <v>64</v>
      </c>
      <c r="G1435" s="5" t="s">
        <v>61</v>
      </c>
    </row>
    <row r="1436">
      <c r="A1436" s="10">
        <v>1.0258324479E10</v>
      </c>
      <c r="B1436" s="8"/>
      <c r="C1436" s="8"/>
      <c r="D1436" s="11">
        <v>0.06</v>
      </c>
      <c r="E1436" s="7" t="s">
        <v>189</v>
      </c>
      <c r="F1436" s="9" t="s">
        <v>65</v>
      </c>
      <c r="G1436" s="5" t="s">
        <v>61</v>
      </c>
    </row>
    <row r="1437">
      <c r="A1437" s="10">
        <v>1.1792570016E10</v>
      </c>
      <c r="B1437" s="8"/>
      <c r="C1437" s="8"/>
      <c r="D1437" s="11">
        <v>0.07</v>
      </c>
      <c r="E1437" s="7" t="s">
        <v>189</v>
      </c>
      <c r="F1437" s="9" t="s">
        <v>66</v>
      </c>
      <c r="G1437" s="5" t="s">
        <v>61</v>
      </c>
    </row>
    <row r="1438">
      <c r="A1438" s="10">
        <v>1.4568709574E10</v>
      </c>
      <c r="B1438" s="8"/>
      <c r="C1438" s="8"/>
      <c r="D1438" s="11">
        <v>0.088</v>
      </c>
      <c r="E1438" s="7" t="s">
        <v>189</v>
      </c>
      <c r="F1438" s="9" t="s">
        <v>67</v>
      </c>
      <c r="G1438" s="5" t="s">
        <v>61</v>
      </c>
    </row>
    <row r="1439">
      <c r="A1439" s="10">
        <v>1.8054684854E10</v>
      </c>
      <c r="B1439" s="8"/>
      <c r="C1439" s="8"/>
      <c r="D1439" s="11">
        <v>0.078</v>
      </c>
      <c r="E1439" s="7" t="s">
        <v>189</v>
      </c>
      <c r="F1439" s="9" t="s">
        <v>68</v>
      </c>
      <c r="G1439" s="5" t="s">
        <v>61</v>
      </c>
    </row>
    <row r="1440">
      <c r="A1440" s="10">
        <v>2.0731022857E10</v>
      </c>
      <c r="B1440" s="8"/>
      <c r="C1440" s="8"/>
      <c r="D1440" s="11">
        <v>0.054</v>
      </c>
      <c r="E1440" s="7" t="s">
        <v>189</v>
      </c>
      <c r="F1440" s="9" t="s">
        <v>69</v>
      </c>
      <c r="G1440" s="5" t="s">
        <v>61</v>
      </c>
    </row>
    <row r="1441">
      <c r="A1441" s="10">
        <v>2.1313263933E10</v>
      </c>
      <c r="B1441" s="8"/>
      <c r="C1441" s="8"/>
      <c r="D1441" s="11">
        <v>0.053</v>
      </c>
      <c r="E1441" s="7" t="s">
        <v>189</v>
      </c>
      <c r="F1441" s="9" t="s">
        <v>70</v>
      </c>
      <c r="G1441" s="5" t="s">
        <v>61</v>
      </c>
    </row>
    <row r="1442">
      <c r="A1442" s="10">
        <v>2.8359706123E10</v>
      </c>
      <c r="B1442" s="8"/>
      <c r="C1442" s="8"/>
      <c r="D1442" s="11">
        <v>0.053</v>
      </c>
      <c r="E1442" s="7" t="s">
        <v>189</v>
      </c>
      <c r="F1442" s="9" t="s">
        <v>71</v>
      </c>
      <c r="G1442" s="5" t="s">
        <v>61</v>
      </c>
    </row>
    <row r="1443">
      <c r="A1443" s="10">
        <v>3.6634742799E10</v>
      </c>
      <c r="B1443" s="8"/>
      <c r="C1443" s="8"/>
      <c r="D1443" s="11">
        <v>0.053</v>
      </c>
      <c r="E1443" s="7" t="s">
        <v>189</v>
      </c>
      <c r="F1443" s="9" t="s">
        <v>72</v>
      </c>
      <c r="G1443" s="5" t="s">
        <v>61</v>
      </c>
    </row>
    <row r="1444">
      <c r="A1444" s="10">
        <v>4.2981497744E10</v>
      </c>
      <c r="B1444" s="8"/>
      <c r="C1444" s="8"/>
      <c r="D1444" s="11">
        <v>0.053</v>
      </c>
      <c r="E1444" s="7" t="s">
        <v>189</v>
      </c>
      <c r="F1444" s="9" t="s">
        <v>73</v>
      </c>
      <c r="G1444" s="5" t="s">
        <v>61</v>
      </c>
    </row>
    <row r="1445">
      <c r="A1445" s="10">
        <v>3.877673635E9</v>
      </c>
      <c r="B1445" s="11">
        <v>0.05</v>
      </c>
      <c r="C1445" s="11">
        <v>12.0</v>
      </c>
      <c r="D1445" s="11">
        <v>0.265</v>
      </c>
      <c r="E1445" s="7" t="s">
        <v>190</v>
      </c>
      <c r="F1445" s="9" t="s">
        <v>60</v>
      </c>
      <c r="G1445" s="5" t="s">
        <v>77</v>
      </c>
    </row>
    <row r="1446">
      <c r="A1446" s="10">
        <v>4.529575233E9</v>
      </c>
      <c r="B1446" s="11">
        <v>0.05</v>
      </c>
      <c r="C1446" s="11">
        <v>14.0</v>
      </c>
      <c r="D1446" s="11">
        <v>0.253</v>
      </c>
      <c r="E1446" s="7" t="s">
        <v>190</v>
      </c>
      <c r="F1446" s="9" t="s">
        <v>62</v>
      </c>
      <c r="G1446" s="5" t="s">
        <v>77</v>
      </c>
    </row>
    <row r="1447">
      <c r="A1447" s="10">
        <v>4.397254715E9</v>
      </c>
      <c r="B1447" s="11">
        <v>0.052</v>
      </c>
      <c r="C1447" s="11">
        <v>14.0</v>
      </c>
      <c r="D1447" s="11">
        <v>0.253</v>
      </c>
      <c r="E1447" s="7" t="s">
        <v>190</v>
      </c>
      <c r="F1447" s="9" t="s">
        <v>63</v>
      </c>
      <c r="G1447" s="5" t="s">
        <v>77</v>
      </c>
    </row>
    <row r="1448">
      <c r="A1448" s="10">
        <v>5.474030228E9</v>
      </c>
      <c r="B1448" s="11">
        <v>0.048</v>
      </c>
      <c r="C1448" s="11">
        <v>15.0</v>
      </c>
      <c r="D1448" s="11">
        <v>0.243</v>
      </c>
      <c r="E1448" s="7" t="s">
        <v>190</v>
      </c>
      <c r="F1448" s="9" t="s">
        <v>64</v>
      </c>
      <c r="G1448" s="5" t="s">
        <v>77</v>
      </c>
    </row>
    <row r="1449">
      <c r="A1449" s="10">
        <v>4.363934417E9</v>
      </c>
      <c r="B1449" s="11">
        <v>0.049</v>
      </c>
      <c r="C1449" s="11">
        <v>12.0</v>
      </c>
      <c r="D1449" s="11">
        <v>0.255</v>
      </c>
      <c r="E1449" s="7" t="s">
        <v>190</v>
      </c>
      <c r="F1449" s="9" t="s">
        <v>65</v>
      </c>
      <c r="G1449" s="5" t="s">
        <v>77</v>
      </c>
    </row>
    <row r="1450">
      <c r="A1450" s="10">
        <v>5.038577519E9</v>
      </c>
      <c r="B1450" s="11">
        <v>0.049</v>
      </c>
      <c r="C1450" s="11">
        <v>13.0</v>
      </c>
      <c r="D1450" s="11">
        <v>0.27</v>
      </c>
      <c r="E1450" s="7" t="s">
        <v>190</v>
      </c>
      <c r="F1450" s="9" t="s">
        <v>66</v>
      </c>
      <c r="G1450" s="5" t="s">
        <v>77</v>
      </c>
    </row>
    <row r="1451">
      <c r="A1451" s="10">
        <v>5.515236338E9</v>
      </c>
      <c r="B1451" s="11">
        <v>0.05</v>
      </c>
      <c r="C1451" s="11">
        <v>15.0</v>
      </c>
      <c r="D1451" s="11">
        <v>0.295</v>
      </c>
      <c r="E1451" s="7" t="s">
        <v>190</v>
      </c>
      <c r="F1451" s="9" t="s">
        <v>67</v>
      </c>
      <c r="G1451" s="5" t="s">
        <v>77</v>
      </c>
    </row>
    <row r="1452">
      <c r="A1452" s="10">
        <v>7.342905883E9</v>
      </c>
      <c r="B1452" s="11">
        <v>0.05</v>
      </c>
      <c r="C1452" s="11">
        <v>19.0</v>
      </c>
      <c r="D1452" s="11">
        <v>0.45</v>
      </c>
      <c r="E1452" s="7" t="s">
        <v>190</v>
      </c>
      <c r="F1452" s="9" t="s">
        <v>68</v>
      </c>
      <c r="G1452" s="5" t="s">
        <v>77</v>
      </c>
    </row>
    <row r="1453">
      <c r="A1453" s="10">
        <v>9.413002737E9</v>
      </c>
      <c r="B1453" s="11">
        <v>0.043</v>
      </c>
      <c r="C1453" s="11">
        <v>20.0</v>
      </c>
      <c r="D1453" s="11">
        <v>0.45</v>
      </c>
      <c r="E1453" s="7" t="s">
        <v>190</v>
      </c>
      <c r="F1453" s="9" t="s">
        <v>69</v>
      </c>
      <c r="G1453" s="5" t="s">
        <v>77</v>
      </c>
    </row>
    <row r="1454">
      <c r="A1454" s="10">
        <v>8.550363829E9</v>
      </c>
      <c r="B1454" s="11">
        <v>0.045</v>
      </c>
      <c r="C1454" s="11">
        <v>19.0</v>
      </c>
      <c r="D1454" s="11">
        <v>0.45</v>
      </c>
      <c r="E1454" s="7" t="s">
        <v>190</v>
      </c>
      <c r="F1454" s="9" t="s">
        <v>70</v>
      </c>
      <c r="G1454" s="5" t="s">
        <v>77</v>
      </c>
    </row>
    <row r="1455">
      <c r="A1455" s="10">
        <v>8.704983553E9</v>
      </c>
      <c r="B1455" s="11">
        <v>0.045</v>
      </c>
      <c r="C1455" s="11">
        <v>19.0</v>
      </c>
      <c r="D1455" s="11">
        <v>0.49</v>
      </c>
      <c r="E1455" s="7" t="s">
        <v>190</v>
      </c>
      <c r="F1455" s="9" t="s">
        <v>71</v>
      </c>
      <c r="G1455" s="5" t="s">
        <v>77</v>
      </c>
    </row>
    <row r="1456">
      <c r="A1456" s="10">
        <v>9.853981624E9</v>
      </c>
      <c r="B1456" s="11">
        <v>0.041</v>
      </c>
      <c r="C1456" s="11">
        <v>19.0</v>
      </c>
      <c r="D1456" s="11">
        <v>0.525</v>
      </c>
      <c r="E1456" s="7" t="s">
        <v>190</v>
      </c>
      <c r="F1456" s="9" t="s">
        <v>72</v>
      </c>
      <c r="G1456" s="5" t="s">
        <v>77</v>
      </c>
    </row>
    <row r="1457">
      <c r="A1457" s="10">
        <v>9.880703883E9</v>
      </c>
      <c r="B1457" s="11">
        <v>0.041</v>
      </c>
      <c r="C1457" s="11">
        <v>18.0</v>
      </c>
      <c r="D1457" s="11">
        <v>0.6</v>
      </c>
      <c r="E1457" s="7" t="s">
        <v>190</v>
      </c>
      <c r="F1457" s="9" t="s">
        <v>73</v>
      </c>
      <c r="G1457" s="5" t="s">
        <v>77</v>
      </c>
    </row>
    <row r="1458">
      <c r="A1458" s="10">
        <v>1.743506287E9</v>
      </c>
      <c r="B1458" s="11">
        <v>0.061</v>
      </c>
      <c r="C1458" s="11">
        <v>9.0</v>
      </c>
      <c r="D1458" s="11">
        <v>0.531</v>
      </c>
      <c r="E1458" s="7" t="s">
        <v>191</v>
      </c>
      <c r="F1458" s="9" t="s">
        <v>60</v>
      </c>
      <c r="G1458" s="5" t="s">
        <v>77</v>
      </c>
    </row>
    <row r="1459">
      <c r="A1459" s="10">
        <v>1.716502069E9</v>
      </c>
      <c r="B1459" s="11">
        <v>0.051</v>
      </c>
      <c r="C1459" s="11">
        <v>8.0</v>
      </c>
      <c r="D1459" s="11">
        <v>0.562</v>
      </c>
      <c r="E1459" s="7" t="s">
        <v>191</v>
      </c>
      <c r="F1459" s="9" t="s">
        <v>62</v>
      </c>
      <c r="G1459" s="5" t="s">
        <v>77</v>
      </c>
    </row>
    <row r="1460">
      <c r="A1460" s="10">
        <v>2.665158943E9</v>
      </c>
      <c r="B1460" s="11">
        <v>0.048</v>
      </c>
      <c r="C1460" s="11">
        <v>11.0</v>
      </c>
      <c r="D1460" s="11">
        <v>0.505</v>
      </c>
      <c r="E1460" s="7" t="s">
        <v>191</v>
      </c>
      <c r="F1460" s="9" t="s">
        <v>63</v>
      </c>
      <c r="G1460" s="5" t="s">
        <v>77</v>
      </c>
    </row>
    <row r="1461">
      <c r="A1461" s="10">
        <v>2.424656666E9</v>
      </c>
      <c r="B1461" s="11">
        <v>0.063</v>
      </c>
      <c r="C1461" s="11">
        <v>13.0</v>
      </c>
      <c r="D1461" s="11">
        <v>0.489</v>
      </c>
      <c r="E1461" s="7" t="s">
        <v>191</v>
      </c>
      <c r="F1461" s="9" t="s">
        <v>64</v>
      </c>
      <c r="G1461" s="5" t="s">
        <v>77</v>
      </c>
    </row>
    <row r="1462">
      <c r="A1462" s="10">
        <v>2.625127098E9</v>
      </c>
      <c r="B1462" s="11">
        <v>0.078</v>
      </c>
      <c r="C1462" s="11">
        <v>16.0</v>
      </c>
      <c r="D1462" s="11">
        <v>0.368</v>
      </c>
      <c r="E1462" s="7" t="s">
        <v>191</v>
      </c>
      <c r="F1462" s="9" t="s">
        <v>65</v>
      </c>
      <c r="G1462" s="5" t="s">
        <v>77</v>
      </c>
    </row>
    <row r="1463">
      <c r="A1463" s="10">
        <v>2.754995877E9</v>
      </c>
      <c r="B1463" s="11">
        <v>0.082</v>
      </c>
      <c r="C1463" s="11">
        <v>17.0</v>
      </c>
      <c r="D1463" s="11">
        <v>0.331</v>
      </c>
      <c r="E1463" s="7" t="s">
        <v>191</v>
      </c>
      <c r="F1463" s="9" t="s">
        <v>66</v>
      </c>
      <c r="G1463" s="5" t="s">
        <v>77</v>
      </c>
    </row>
    <row r="1464">
      <c r="A1464" s="10">
        <v>3.116789658E9</v>
      </c>
      <c r="B1464" s="11">
        <v>0.09</v>
      </c>
      <c r="C1464" s="11">
        <v>21.0</v>
      </c>
      <c r="D1464" s="11">
        <v>0.323</v>
      </c>
      <c r="E1464" s="7" t="s">
        <v>191</v>
      </c>
      <c r="F1464" s="9" t="s">
        <v>67</v>
      </c>
      <c r="G1464" s="5" t="s">
        <v>77</v>
      </c>
    </row>
    <row r="1465">
      <c r="A1465" s="10">
        <v>3.647817219E9</v>
      </c>
      <c r="B1465" s="11">
        <v>0.067</v>
      </c>
      <c r="C1465" s="11">
        <v>18.0</v>
      </c>
      <c r="D1465" s="11">
        <v>0.277</v>
      </c>
      <c r="E1465" s="7" t="s">
        <v>191</v>
      </c>
      <c r="F1465" s="9" t="s">
        <v>68</v>
      </c>
      <c r="G1465" s="5" t="s">
        <v>77</v>
      </c>
    </row>
    <row r="1466">
      <c r="A1466" s="10">
        <v>4.276769712E9</v>
      </c>
      <c r="B1466" s="11">
        <v>0.084</v>
      </c>
      <c r="C1466" s="11">
        <v>25.0</v>
      </c>
      <c r="D1466" s="11">
        <v>0.253</v>
      </c>
      <c r="E1466" s="7" t="s">
        <v>191</v>
      </c>
      <c r="F1466" s="9" t="s">
        <v>69</v>
      </c>
      <c r="G1466" s="5" t="s">
        <v>77</v>
      </c>
    </row>
    <row r="1467">
      <c r="A1467" s="10">
        <v>5.030639934E9</v>
      </c>
      <c r="B1467" s="11">
        <v>0.083</v>
      </c>
      <c r="C1467" s="11">
        <v>29.0</v>
      </c>
      <c r="D1467" s="11">
        <v>0.253</v>
      </c>
      <c r="E1467" s="7" t="s">
        <v>191</v>
      </c>
      <c r="F1467" s="9" t="s">
        <v>70</v>
      </c>
      <c r="G1467" s="5" t="s">
        <v>77</v>
      </c>
    </row>
    <row r="1468">
      <c r="A1468" s="10">
        <v>5.398616985E9</v>
      </c>
      <c r="B1468" s="11">
        <v>0.085</v>
      </c>
      <c r="C1468" s="11">
        <v>30.0</v>
      </c>
      <c r="D1468" s="11">
        <v>0.246</v>
      </c>
      <c r="E1468" s="7" t="s">
        <v>191</v>
      </c>
      <c r="F1468" s="9" t="s">
        <v>71</v>
      </c>
      <c r="G1468" s="5" t="s">
        <v>77</v>
      </c>
    </row>
    <row r="1469">
      <c r="A1469" s="10">
        <v>5.627898037E9</v>
      </c>
      <c r="B1469" s="11">
        <v>0.083</v>
      </c>
      <c r="C1469" s="11">
        <v>30.0</v>
      </c>
      <c r="D1469" s="11">
        <v>0.238</v>
      </c>
      <c r="E1469" s="7" t="s">
        <v>191</v>
      </c>
      <c r="F1469" s="9" t="s">
        <v>72</v>
      </c>
      <c r="G1469" s="5" t="s">
        <v>77</v>
      </c>
    </row>
    <row r="1470">
      <c r="A1470" s="10">
        <v>4.240492849E9</v>
      </c>
      <c r="B1470" s="11">
        <v>0.092</v>
      </c>
      <c r="C1470" s="11">
        <v>25.0</v>
      </c>
      <c r="D1470" s="11">
        <v>0.323</v>
      </c>
      <c r="E1470" s="7" t="s">
        <v>191</v>
      </c>
      <c r="F1470" s="9" t="s">
        <v>73</v>
      </c>
      <c r="G1470" s="5" t="s">
        <v>77</v>
      </c>
    </row>
    <row r="1471">
      <c r="A1471" s="10">
        <v>9.3789473684E10</v>
      </c>
      <c r="B1471" s="11">
        <v>0.03</v>
      </c>
      <c r="C1471" s="11">
        <v>120.0</v>
      </c>
      <c r="D1471" s="11">
        <v>0.077</v>
      </c>
      <c r="E1471" s="7" t="s">
        <v>192</v>
      </c>
      <c r="F1471" s="9" t="s">
        <v>60</v>
      </c>
      <c r="G1471" s="5" t="s">
        <v>61</v>
      </c>
    </row>
    <row r="1472">
      <c r="A1472" s="10">
        <v>9.2783947368E10</v>
      </c>
      <c r="B1472" s="11">
        <v>0.033</v>
      </c>
      <c r="C1472" s="11">
        <v>130.0</v>
      </c>
      <c r="D1472" s="11">
        <v>0.071</v>
      </c>
      <c r="E1472" s="7" t="s">
        <v>192</v>
      </c>
      <c r="F1472" s="9" t="s">
        <v>62</v>
      </c>
      <c r="G1472" s="5" t="s">
        <v>61</v>
      </c>
    </row>
    <row r="1473">
      <c r="A1473" s="10">
        <v>1.01E11</v>
      </c>
      <c r="B1473" s="11">
        <v>0.033</v>
      </c>
      <c r="C1473" s="11">
        <v>138.0</v>
      </c>
      <c r="D1473" s="11">
        <v>0.065</v>
      </c>
      <c r="E1473" s="7" t="s">
        <v>192</v>
      </c>
      <c r="F1473" s="9" t="s">
        <v>63</v>
      </c>
      <c r="G1473" s="5" t="s">
        <v>61</v>
      </c>
    </row>
    <row r="1474">
      <c r="A1474" s="10">
        <v>1.1E11</v>
      </c>
      <c r="B1474" s="11">
        <v>0.039</v>
      </c>
      <c r="C1474" s="11">
        <v>172.0</v>
      </c>
      <c r="D1474" s="11">
        <v>0.063</v>
      </c>
      <c r="E1474" s="7" t="s">
        <v>192</v>
      </c>
      <c r="F1474" s="9" t="s">
        <v>64</v>
      </c>
      <c r="G1474" s="5" t="s">
        <v>61</v>
      </c>
    </row>
    <row r="1475">
      <c r="A1475" s="10">
        <v>1.25E11</v>
      </c>
      <c r="B1475" s="11">
        <v>0.037</v>
      </c>
      <c r="C1475" s="11">
        <v>181.0</v>
      </c>
      <c r="D1475" s="11">
        <v>0.06</v>
      </c>
      <c r="E1475" s="7" t="s">
        <v>192</v>
      </c>
      <c r="F1475" s="9" t="s">
        <v>65</v>
      </c>
      <c r="G1475" s="5" t="s">
        <v>61</v>
      </c>
    </row>
    <row r="1476">
      <c r="A1476" s="10">
        <v>1.44E11</v>
      </c>
      <c r="B1476" s="11">
        <v>0.032</v>
      </c>
      <c r="C1476" s="11">
        <v>179.0</v>
      </c>
      <c r="D1476" s="11">
        <v>0.06</v>
      </c>
      <c r="E1476" s="7" t="s">
        <v>192</v>
      </c>
      <c r="F1476" s="9" t="s">
        <v>66</v>
      </c>
      <c r="G1476" s="5" t="s">
        <v>61</v>
      </c>
    </row>
    <row r="1477">
      <c r="A1477" s="10">
        <v>1.63E11</v>
      </c>
      <c r="B1477" s="11">
        <v>0.036</v>
      </c>
      <c r="C1477" s="11">
        <v>222.0</v>
      </c>
      <c r="D1477" s="11">
        <v>0.065</v>
      </c>
      <c r="E1477" s="7" t="s">
        <v>192</v>
      </c>
      <c r="F1477" s="9" t="s">
        <v>67</v>
      </c>
      <c r="G1477" s="5" t="s">
        <v>61</v>
      </c>
    </row>
    <row r="1478">
      <c r="A1478" s="10">
        <v>1.94E11</v>
      </c>
      <c r="B1478" s="11">
        <v>0.035</v>
      </c>
      <c r="C1478" s="11">
        <v>256.0</v>
      </c>
      <c r="D1478" s="11">
        <v>0.064</v>
      </c>
      <c r="E1478" s="7" t="s">
        <v>192</v>
      </c>
      <c r="F1478" s="9" t="s">
        <v>68</v>
      </c>
      <c r="G1478" s="5" t="s">
        <v>61</v>
      </c>
    </row>
    <row r="1479">
      <c r="A1479" s="10">
        <v>2.31E11</v>
      </c>
      <c r="B1479" s="11">
        <v>0.034</v>
      </c>
      <c r="C1479" s="11">
        <v>288.0</v>
      </c>
      <c r="D1479" s="11">
        <v>0.061</v>
      </c>
      <c r="E1479" s="7" t="s">
        <v>192</v>
      </c>
      <c r="F1479" s="9" t="s">
        <v>69</v>
      </c>
      <c r="G1479" s="5" t="s">
        <v>61</v>
      </c>
    </row>
    <row r="1480">
      <c r="A1480" s="10">
        <v>2.02E11</v>
      </c>
      <c r="B1480" s="11">
        <v>0.039</v>
      </c>
      <c r="C1480" s="11">
        <v>285.0</v>
      </c>
      <c r="D1480" s="11">
        <v>0.051</v>
      </c>
      <c r="E1480" s="7" t="s">
        <v>192</v>
      </c>
      <c r="F1480" s="9" t="s">
        <v>70</v>
      </c>
      <c r="G1480" s="5" t="s">
        <v>61</v>
      </c>
    </row>
    <row r="1481">
      <c r="A1481" s="10">
        <v>2.48E11</v>
      </c>
      <c r="B1481" s="11">
        <v>0.04</v>
      </c>
      <c r="C1481" s="11">
        <v>345.0</v>
      </c>
      <c r="D1481" s="11">
        <v>0.05</v>
      </c>
      <c r="E1481" s="7" t="s">
        <v>192</v>
      </c>
      <c r="F1481" s="9" t="s">
        <v>71</v>
      </c>
      <c r="G1481" s="5" t="s">
        <v>61</v>
      </c>
    </row>
    <row r="1482">
      <c r="A1482" s="10">
        <v>2.89E11</v>
      </c>
      <c r="B1482" s="11">
        <v>0.038</v>
      </c>
      <c r="C1482" s="11">
        <v>384.0</v>
      </c>
      <c r="D1482" s="11">
        <v>0.049</v>
      </c>
      <c r="E1482" s="7" t="s">
        <v>192</v>
      </c>
      <c r="F1482" s="9" t="s">
        <v>72</v>
      </c>
      <c r="G1482" s="5" t="s">
        <v>61</v>
      </c>
    </row>
    <row r="1483">
      <c r="A1483" s="10">
        <v>3.05E11</v>
      </c>
      <c r="B1483" s="11">
        <v>0.039</v>
      </c>
      <c r="C1483" s="11">
        <v>410.0</v>
      </c>
      <c r="D1483" s="11">
        <v>0.048</v>
      </c>
      <c r="E1483" s="7" t="s">
        <v>192</v>
      </c>
      <c r="F1483" s="9" t="s">
        <v>73</v>
      </c>
      <c r="G1483" s="5" t="s">
        <v>61</v>
      </c>
    </row>
    <row r="1484">
      <c r="A1484" s="10">
        <v>6.24337144E8</v>
      </c>
      <c r="B1484" s="11">
        <v>0.071</v>
      </c>
      <c r="C1484" s="11">
        <v>162.0</v>
      </c>
      <c r="D1484" s="11">
        <v>0.13</v>
      </c>
      <c r="E1484" s="7" t="s">
        <v>193</v>
      </c>
      <c r="F1484" s="9" t="s">
        <v>60</v>
      </c>
      <c r="G1484" s="5" t="s">
        <v>61</v>
      </c>
    </row>
    <row r="1485">
      <c r="A1485" s="10">
        <v>8.0244281E8</v>
      </c>
      <c r="B1485" s="11">
        <v>0.053</v>
      </c>
      <c r="C1485" s="11">
        <v>153.0</v>
      </c>
      <c r="D1485" s="11">
        <v>0.13</v>
      </c>
      <c r="E1485" s="7" t="s">
        <v>193</v>
      </c>
      <c r="F1485" s="9" t="s">
        <v>62</v>
      </c>
      <c r="G1485" s="5" t="s">
        <v>61</v>
      </c>
    </row>
    <row r="1486">
      <c r="A1486" s="10">
        <v>8.28240882E8</v>
      </c>
      <c r="B1486" s="11">
        <v>0.052</v>
      </c>
      <c r="C1486" s="11">
        <v>152.0</v>
      </c>
      <c r="D1486" s="11">
        <v>0.135</v>
      </c>
      <c r="E1486" s="7" t="s">
        <v>193</v>
      </c>
      <c r="F1486" s="9" t="s">
        <v>63</v>
      </c>
      <c r="G1486" s="5" t="s">
        <v>61</v>
      </c>
    </row>
    <row r="1487">
      <c r="A1487" s="10">
        <v>9.49867662E8</v>
      </c>
      <c r="B1487" s="11">
        <v>0.06</v>
      </c>
      <c r="C1487" s="11">
        <v>199.0</v>
      </c>
      <c r="D1487" s="11">
        <v>0.14</v>
      </c>
      <c r="E1487" s="7" t="s">
        <v>193</v>
      </c>
      <c r="F1487" s="9" t="s">
        <v>64</v>
      </c>
      <c r="G1487" s="5" t="s">
        <v>61</v>
      </c>
    </row>
    <row r="1488">
      <c r="A1488" s="10">
        <v>1.075605492E9</v>
      </c>
      <c r="B1488" s="11">
        <v>0.059</v>
      </c>
      <c r="C1488" s="11">
        <v>217.0</v>
      </c>
      <c r="D1488" s="11">
        <v>0.13</v>
      </c>
      <c r="E1488" s="7" t="s">
        <v>193</v>
      </c>
      <c r="F1488" s="9" t="s">
        <v>65</v>
      </c>
      <c r="G1488" s="5" t="s">
        <v>61</v>
      </c>
    </row>
    <row r="1489">
      <c r="A1489" s="10">
        <v>9.92473987E8</v>
      </c>
      <c r="B1489" s="11">
        <v>0.07</v>
      </c>
      <c r="C1489" s="11">
        <v>235.0</v>
      </c>
      <c r="D1489" s="11">
        <v>0.13</v>
      </c>
      <c r="E1489" s="7" t="s">
        <v>193</v>
      </c>
      <c r="F1489" s="9" t="s">
        <v>66</v>
      </c>
      <c r="G1489" s="5" t="s">
        <v>61</v>
      </c>
    </row>
    <row r="1490">
      <c r="A1490" s="10">
        <v>1.303375806E9</v>
      </c>
      <c r="B1490" s="11">
        <v>0.067</v>
      </c>
      <c r="C1490" s="11">
        <v>287.0</v>
      </c>
      <c r="D1490" s="11">
        <v>0.13</v>
      </c>
      <c r="E1490" s="7" t="s">
        <v>193</v>
      </c>
      <c r="F1490" s="9" t="s">
        <v>67</v>
      </c>
      <c r="G1490" s="5" t="s">
        <v>61</v>
      </c>
    </row>
    <row r="1491">
      <c r="A1491" s="10">
        <v>1.541978559E9</v>
      </c>
      <c r="B1491" s="11">
        <v>0.063</v>
      </c>
      <c r="C1491" s="11">
        <v>315.0</v>
      </c>
      <c r="D1491" s="11">
        <v>0.13</v>
      </c>
      <c r="E1491" s="7" t="s">
        <v>193</v>
      </c>
      <c r="F1491" s="9" t="s">
        <v>68</v>
      </c>
      <c r="G1491" s="5" t="s">
        <v>61</v>
      </c>
    </row>
    <row r="1492">
      <c r="A1492" s="10">
        <v>1.891633531E9</v>
      </c>
      <c r="B1492" s="11">
        <v>0.079</v>
      </c>
      <c r="C1492" s="11">
        <v>475.0</v>
      </c>
      <c r="D1492" s="11">
        <v>0.13</v>
      </c>
      <c r="E1492" s="7" t="s">
        <v>193</v>
      </c>
      <c r="F1492" s="9" t="s">
        <v>69</v>
      </c>
      <c r="G1492" s="5" t="s">
        <v>61</v>
      </c>
    </row>
    <row r="1493">
      <c r="A1493" s="10">
        <v>1.984639641E9</v>
      </c>
      <c r="B1493" s="11">
        <v>0.076</v>
      </c>
      <c r="C1493" s="11">
        <v>475.0</v>
      </c>
      <c r="D1493" s="11">
        <v>0.13</v>
      </c>
      <c r="E1493" s="7" t="s">
        <v>193</v>
      </c>
      <c r="F1493" s="9" t="s">
        <v>70</v>
      </c>
      <c r="G1493" s="5" t="s">
        <v>61</v>
      </c>
    </row>
    <row r="1494">
      <c r="A1494" s="10">
        <v>2.134104884E9</v>
      </c>
      <c r="B1494" s="11">
        <v>0.058</v>
      </c>
      <c r="C1494" s="11">
        <v>379.0</v>
      </c>
      <c r="D1494" s="11">
        <v>0.104</v>
      </c>
      <c r="E1494" s="7" t="s">
        <v>193</v>
      </c>
      <c r="F1494" s="9" t="s">
        <v>71</v>
      </c>
      <c r="G1494" s="5" t="s">
        <v>61</v>
      </c>
    </row>
    <row r="1495">
      <c r="A1495" s="10">
        <v>2.162990126E9</v>
      </c>
      <c r="B1495" s="11">
        <v>0.081</v>
      </c>
      <c r="C1495" s="11">
        <v>525.0</v>
      </c>
      <c r="D1495" s="11">
        <v>0.102</v>
      </c>
      <c r="E1495" s="7" t="s">
        <v>193</v>
      </c>
      <c r="F1495" s="9" t="s">
        <v>72</v>
      </c>
      <c r="G1495" s="5" t="s">
        <v>61</v>
      </c>
    </row>
    <row r="1496">
      <c r="A1496" s="10">
        <v>2.113179304E9</v>
      </c>
      <c r="B1496" s="11">
        <v>0.085</v>
      </c>
      <c r="C1496" s="11">
        <v>558.0</v>
      </c>
      <c r="D1496" s="11">
        <v>0.105</v>
      </c>
      <c r="E1496" s="7" t="s">
        <v>193</v>
      </c>
      <c r="F1496" s="9" t="s">
        <v>73</v>
      </c>
      <c r="G1496" s="5" t="s">
        <v>61</v>
      </c>
    </row>
    <row r="1497">
      <c r="A1497" s="10">
        <v>2.422482318E9</v>
      </c>
      <c r="B1497" s="11">
        <v>0.063</v>
      </c>
      <c r="C1497" s="11">
        <v>16.0</v>
      </c>
      <c r="D1497" s="8"/>
      <c r="E1497" s="7" t="s">
        <v>194</v>
      </c>
      <c r="F1497" s="9" t="s">
        <v>60</v>
      </c>
      <c r="G1497" s="5" t="s">
        <v>77</v>
      </c>
    </row>
    <row r="1498">
      <c r="A1498" s="10">
        <v>2.629739067E9</v>
      </c>
      <c r="B1498" s="11">
        <v>0.064</v>
      </c>
      <c r="C1498" s="11">
        <v>18.0</v>
      </c>
      <c r="D1498" s="8"/>
      <c r="E1498" s="7" t="s">
        <v>194</v>
      </c>
      <c r="F1498" s="9" t="s">
        <v>62</v>
      </c>
      <c r="G1498" s="5" t="s">
        <v>77</v>
      </c>
    </row>
    <row r="1499">
      <c r="A1499" s="10">
        <v>3.34282426E9</v>
      </c>
      <c r="B1499" s="11">
        <v>0.063</v>
      </c>
      <c r="C1499" s="11">
        <v>19.0</v>
      </c>
      <c r="D1499" s="8"/>
      <c r="E1499" s="7" t="s">
        <v>194</v>
      </c>
      <c r="F1499" s="9" t="s">
        <v>63</v>
      </c>
      <c r="G1499" s="5" t="s">
        <v>77</v>
      </c>
    </row>
    <row r="1500">
      <c r="A1500" s="10">
        <v>4.362439887E9</v>
      </c>
      <c r="B1500" s="11">
        <v>0.062</v>
      </c>
      <c r="C1500" s="11">
        <v>24.0</v>
      </c>
      <c r="D1500" s="8"/>
      <c r="E1500" s="7" t="s">
        <v>194</v>
      </c>
      <c r="F1500" s="9" t="s">
        <v>64</v>
      </c>
      <c r="G1500" s="5" t="s">
        <v>77</v>
      </c>
    </row>
    <row r="1501">
      <c r="A1501" s="10">
        <v>4.874178417E9</v>
      </c>
      <c r="B1501" s="11">
        <v>0.063</v>
      </c>
      <c r="C1501" s="11">
        <v>27.0</v>
      </c>
      <c r="D1501" s="8"/>
      <c r="E1501" s="7" t="s">
        <v>194</v>
      </c>
      <c r="F1501" s="9" t="s">
        <v>65</v>
      </c>
      <c r="G1501" s="5" t="s">
        <v>77</v>
      </c>
    </row>
    <row r="1502">
      <c r="A1502" s="10">
        <v>5.305317555E9</v>
      </c>
      <c r="B1502" s="11">
        <v>0.063</v>
      </c>
      <c r="C1502" s="11">
        <v>29.0</v>
      </c>
      <c r="D1502" s="8"/>
      <c r="E1502" s="7" t="s">
        <v>194</v>
      </c>
      <c r="F1502" s="9" t="s">
        <v>66</v>
      </c>
      <c r="G1502" s="5" t="s">
        <v>77</v>
      </c>
    </row>
    <row r="1503">
      <c r="A1503" s="10">
        <v>6.122644015E9</v>
      </c>
      <c r="B1503" s="11">
        <v>0.066</v>
      </c>
      <c r="C1503" s="11">
        <v>33.0</v>
      </c>
      <c r="D1503" s="8"/>
      <c r="E1503" s="7" t="s">
        <v>194</v>
      </c>
      <c r="F1503" s="9" t="s">
        <v>67</v>
      </c>
      <c r="G1503" s="5" t="s">
        <v>77</v>
      </c>
    </row>
    <row r="1504">
      <c r="A1504" s="10">
        <v>7.145394015E9</v>
      </c>
      <c r="B1504" s="11">
        <v>0.07</v>
      </c>
      <c r="C1504" s="11">
        <v>39.0</v>
      </c>
      <c r="D1504" s="8"/>
      <c r="E1504" s="7" t="s">
        <v>194</v>
      </c>
      <c r="F1504" s="9" t="s">
        <v>68</v>
      </c>
      <c r="G1504" s="5" t="s">
        <v>77</v>
      </c>
    </row>
    <row r="1505">
      <c r="A1505" s="10">
        <v>8.737687353E9</v>
      </c>
      <c r="B1505" s="11">
        <v>0.067</v>
      </c>
      <c r="C1505" s="11">
        <v>45.0</v>
      </c>
      <c r="D1505" s="8"/>
      <c r="E1505" s="7" t="s">
        <v>194</v>
      </c>
      <c r="F1505" s="9" t="s">
        <v>69</v>
      </c>
      <c r="G1505" s="5" t="s">
        <v>77</v>
      </c>
    </row>
    <row r="1506">
      <c r="A1506" s="10">
        <v>8.96448057E9</v>
      </c>
      <c r="B1506" s="11">
        <v>0.068</v>
      </c>
      <c r="C1506" s="11">
        <v>45.0</v>
      </c>
      <c r="D1506" s="8"/>
      <c r="E1506" s="7" t="s">
        <v>194</v>
      </c>
      <c r="F1506" s="9" t="s">
        <v>70</v>
      </c>
      <c r="G1506" s="5" t="s">
        <v>77</v>
      </c>
    </row>
    <row r="1507">
      <c r="A1507" s="10">
        <v>9.42226726E9</v>
      </c>
      <c r="B1507" s="11">
        <v>0.069</v>
      </c>
      <c r="C1507" s="11">
        <v>46.0</v>
      </c>
      <c r="D1507" s="8"/>
      <c r="E1507" s="7" t="s">
        <v>194</v>
      </c>
      <c r="F1507" s="9" t="s">
        <v>71</v>
      </c>
      <c r="G1507" s="5" t="s">
        <v>77</v>
      </c>
    </row>
    <row r="1508">
      <c r="A1508" s="10">
        <v>1.064754567E10</v>
      </c>
      <c r="B1508" s="11">
        <v>0.068</v>
      </c>
      <c r="C1508" s="11">
        <v>51.0</v>
      </c>
      <c r="D1508" s="8"/>
      <c r="E1508" s="7" t="s">
        <v>194</v>
      </c>
      <c r="F1508" s="9" t="s">
        <v>72</v>
      </c>
      <c r="G1508" s="5" t="s">
        <v>77</v>
      </c>
    </row>
    <row r="1509">
      <c r="A1509" s="10">
        <v>1.034079411E10</v>
      </c>
      <c r="B1509" s="11">
        <v>0.058</v>
      </c>
      <c r="C1509" s="11">
        <v>42.0</v>
      </c>
      <c r="D1509" s="8"/>
      <c r="E1509" s="7" t="s">
        <v>194</v>
      </c>
      <c r="F1509" s="9" t="s">
        <v>73</v>
      </c>
      <c r="G1509" s="5" t="s">
        <v>77</v>
      </c>
    </row>
    <row r="1510">
      <c r="A1510" s="10">
        <v>3.957418083E9</v>
      </c>
      <c r="B1510" s="11">
        <v>0.066</v>
      </c>
      <c r="C1510" s="11">
        <v>643.0</v>
      </c>
      <c r="D1510" s="11">
        <v>0.073</v>
      </c>
      <c r="E1510" s="7" t="s">
        <v>195</v>
      </c>
      <c r="F1510" s="9" t="s">
        <v>60</v>
      </c>
      <c r="G1510" s="5" t="s">
        <v>75</v>
      </c>
    </row>
    <row r="1511">
      <c r="A1511" s="10">
        <v>3.917620728E9</v>
      </c>
      <c r="B1511" s="11">
        <v>0.07</v>
      </c>
      <c r="C1511" s="11">
        <v>675.0</v>
      </c>
      <c r="D1511" s="11">
        <v>0.069</v>
      </c>
      <c r="E1511" s="7" t="s">
        <v>195</v>
      </c>
      <c r="F1511" s="9" t="s">
        <v>62</v>
      </c>
      <c r="G1511" s="5" t="s">
        <v>75</v>
      </c>
    </row>
    <row r="1512">
      <c r="A1512" s="10">
        <v>4.296164768E9</v>
      </c>
      <c r="B1512" s="11">
        <v>0.079</v>
      </c>
      <c r="C1512" s="11">
        <v>839.0</v>
      </c>
      <c r="D1512" s="11">
        <v>0.06</v>
      </c>
      <c r="E1512" s="7" t="s">
        <v>195</v>
      </c>
      <c r="F1512" s="9" t="s">
        <v>63</v>
      </c>
      <c r="G1512" s="5" t="s">
        <v>75</v>
      </c>
    </row>
    <row r="1513">
      <c r="A1513" s="10">
        <v>5.119621569E9</v>
      </c>
      <c r="B1513" s="11">
        <v>0.082</v>
      </c>
      <c r="C1513" s="11">
        <v>1074.0</v>
      </c>
      <c r="D1513" s="11">
        <v>0.059</v>
      </c>
      <c r="E1513" s="7" t="s">
        <v>195</v>
      </c>
      <c r="F1513" s="9" t="s">
        <v>64</v>
      </c>
      <c r="G1513" s="5" t="s">
        <v>75</v>
      </c>
    </row>
    <row r="1514">
      <c r="A1514" s="10">
        <v>5.643525282E9</v>
      </c>
      <c r="B1514" s="11">
        <v>0.086</v>
      </c>
      <c r="C1514" s="11">
        <v>1247.0</v>
      </c>
      <c r="D1514" s="11">
        <v>0.053</v>
      </c>
      <c r="E1514" s="7" t="s">
        <v>195</v>
      </c>
      <c r="F1514" s="9" t="s">
        <v>65</v>
      </c>
      <c r="G1514" s="5" t="s">
        <v>75</v>
      </c>
    </row>
    <row r="1515">
      <c r="A1515" s="10">
        <v>5.980795756E9</v>
      </c>
      <c r="B1515" s="11">
        <v>0.091</v>
      </c>
      <c r="C1515" s="11">
        <v>1394.0</v>
      </c>
      <c r="D1515" s="11">
        <v>0.055</v>
      </c>
      <c r="E1515" s="7" t="s">
        <v>195</v>
      </c>
      <c r="F1515" s="9" t="s">
        <v>66</v>
      </c>
      <c r="G1515" s="5" t="s">
        <v>75</v>
      </c>
    </row>
    <row r="1516">
      <c r="A1516" s="10">
        <v>6.39012359E9</v>
      </c>
      <c r="B1516" s="11">
        <v>0.09</v>
      </c>
      <c r="C1516" s="11">
        <v>1445.0</v>
      </c>
      <c r="D1516" s="11">
        <v>0.057</v>
      </c>
      <c r="E1516" s="7" t="s">
        <v>195</v>
      </c>
      <c r="F1516" s="9" t="s">
        <v>67</v>
      </c>
      <c r="G1516" s="5" t="s">
        <v>75</v>
      </c>
    </row>
    <row r="1517">
      <c r="A1517" s="10">
        <v>7.5138347E9</v>
      </c>
      <c r="B1517" s="11">
        <v>0.085</v>
      </c>
      <c r="C1517" s="11">
        <v>1580.0</v>
      </c>
      <c r="D1517" s="11">
        <v>0.062</v>
      </c>
      <c r="E1517" s="7" t="s">
        <v>195</v>
      </c>
      <c r="F1517" s="9" t="s">
        <v>68</v>
      </c>
      <c r="G1517" s="5" t="s">
        <v>75</v>
      </c>
    </row>
    <row r="1518">
      <c r="A1518" s="10">
        <v>8.554293727E9</v>
      </c>
      <c r="B1518" s="11">
        <v>0.082</v>
      </c>
      <c r="C1518" s="11">
        <v>1596.0</v>
      </c>
      <c r="D1518" s="11">
        <v>0.059</v>
      </c>
      <c r="E1518" s="7" t="s">
        <v>195</v>
      </c>
      <c r="F1518" s="9" t="s">
        <v>69</v>
      </c>
      <c r="G1518" s="5" t="s">
        <v>75</v>
      </c>
    </row>
    <row r="1519">
      <c r="A1519" s="10">
        <v>8.099400961E9</v>
      </c>
      <c r="B1519" s="11">
        <v>0.083</v>
      </c>
      <c r="C1519" s="11">
        <v>1669.0</v>
      </c>
      <c r="D1519" s="11">
        <v>0.045</v>
      </c>
      <c r="E1519" s="7" t="s">
        <v>195</v>
      </c>
      <c r="F1519" s="9" t="s">
        <v>70</v>
      </c>
      <c r="G1519" s="5" t="s">
        <v>75</v>
      </c>
    </row>
    <row r="1520">
      <c r="A1520" s="10">
        <v>8.16384106E9</v>
      </c>
      <c r="B1520" s="11">
        <v>0.085</v>
      </c>
      <c r="C1520" s="11">
        <v>1707.0</v>
      </c>
      <c r="D1520" s="11">
        <v>0.046</v>
      </c>
      <c r="E1520" s="7" t="s">
        <v>195</v>
      </c>
      <c r="F1520" s="9" t="s">
        <v>71</v>
      </c>
      <c r="G1520" s="5" t="s">
        <v>75</v>
      </c>
    </row>
    <row r="1521">
      <c r="A1521" s="10">
        <v>9.30205727E9</v>
      </c>
      <c r="B1521" s="11">
        <v>0.087</v>
      </c>
      <c r="C1521" s="11">
        <v>1900.0</v>
      </c>
      <c r="D1521" s="11">
        <v>0.047</v>
      </c>
      <c r="E1521" s="7" t="s">
        <v>195</v>
      </c>
      <c r="F1521" s="9" t="s">
        <v>72</v>
      </c>
      <c r="G1521" s="5" t="s">
        <v>75</v>
      </c>
    </row>
    <row r="1522">
      <c r="A1522" s="10">
        <v>8.863076923E9</v>
      </c>
      <c r="B1522" s="11">
        <v>0.091</v>
      </c>
      <c r="C1522" s="11">
        <v>1835.0</v>
      </c>
      <c r="D1522" s="11">
        <v>0.047</v>
      </c>
      <c r="E1522" s="7" t="s">
        <v>195</v>
      </c>
      <c r="F1522" s="9" t="s">
        <v>73</v>
      </c>
      <c r="G1522" s="5" t="s">
        <v>75</v>
      </c>
    </row>
    <row r="1523">
      <c r="A1523" s="10">
        <v>1.10937729E8</v>
      </c>
      <c r="B1523" s="11">
        <v>0.225</v>
      </c>
      <c r="C1523" s="11">
        <v>466.0</v>
      </c>
      <c r="D1523" s="8"/>
      <c r="E1523" s="7" t="s">
        <v>196</v>
      </c>
      <c r="F1523" s="9" t="s">
        <v>60</v>
      </c>
      <c r="G1523" s="5" t="s">
        <v>80</v>
      </c>
    </row>
    <row r="1524">
      <c r="A1524" s="10">
        <v>1.15152143E8</v>
      </c>
      <c r="B1524" s="11">
        <v>0.194</v>
      </c>
      <c r="C1524" s="11">
        <v>412.0</v>
      </c>
      <c r="D1524" s="8"/>
      <c r="E1524" s="7" t="s">
        <v>196</v>
      </c>
      <c r="F1524" s="9" t="s">
        <v>62</v>
      </c>
      <c r="G1524" s="5" t="s">
        <v>80</v>
      </c>
    </row>
    <row r="1525">
      <c r="A1525" s="10">
        <v>1.24735072E8</v>
      </c>
      <c r="B1525" s="11">
        <v>0.182</v>
      </c>
      <c r="C1525" s="11">
        <v>418.0</v>
      </c>
      <c r="D1525" s="8"/>
      <c r="E1525" s="7" t="s">
        <v>196</v>
      </c>
      <c r="F1525" s="9" t="s">
        <v>63</v>
      </c>
      <c r="G1525" s="5" t="s">
        <v>80</v>
      </c>
    </row>
    <row r="1526">
      <c r="A1526" s="10">
        <v>1.26887585E8</v>
      </c>
      <c r="B1526" s="11">
        <v>0.173</v>
      </c>
      <c r="C1526" s="11">
        <v>411.0</v>
      </c>
      <c r="D1526" s="8"/>
      <c r="E1526" s="7" t="s">
        <v>196</v>
      </c>
      <c r="F1526" s="9" t="s">
        <v>64</v>
      </c>
      <c r="G1526" s="5" t="s">
        <v>80</v>
      </c>
    </row>
    <row r="1527">
      <c r="A1527" s="10">
        <v>1.31106366E8</v>
      </c>
      <c r="B1527" s="11">
        <v>0.176</v>
      </c>
      <c r="C1527" s="11">
        <v>449.0</v>
      </c>
      <c r="D1527" s="8"/>
      <c r="E1527" s="7" t="s">
        <v>196</v>
      </c>
      <c r="F1527" s="9" t="s">
        <v>65</v>
      </c>
      <c r="G1527" s="5" t="s">
        <v>80</v>
      </c>
    </row>
    <row r="1528">
      <c r="A1528" s="10">
        <v>1.37556823E8</v>
      </c>
      <c r="B1528" s="11">
        <v>0.173</v>
      </c>
      <c r="C1528" s="11">
        <v>462.0</v>
      </c>
      <c r="D1528" s="8"/>
      <c r="E1528" s="7" t="s">
        <v>196</v>
      </c>
      <c r="F1528" s="9" t="s">
        <v>66</v>
      </c>
      <c r="G1528" s="5" t="s">
        <v>80</v>
      </c>
    </row>
    <row r="1529">
      <c r="A1529" s="10">
        <v>1.43352031E8</v>
      </c>
      <c r="B1529" s="11">
        <v>0.196</v>
      </c>
      <c r="C1529" s="11">
        <v>547.0</v>
      </c>
      <c r="D1529" s="8"/>
      <c r="E1529" s="7" t="s">
        <v>196</v>
      </c>
      <c r="F1529" s="9" t="s">
        <v>67</v>
      </c>
      <c r="G1529" s="5" t="s">
        <v>80</v>
      </c>
    </row>
    <row r="1530">
      <c r="A1530" s="10">
        <v>1.49739017E8</v>
      </c>
      <c r="B1530" s="11">
        <v>0.196</v>
      </c>
      <c r="C1530" s="11">
        <v>587.0</v>
      </c>
      <c r="D1530" s="8"/>
      <c r="E1530" s="7" t="s">
        <v>196</v>
      </c>
      <c r="F1530" s="9" t="s">
        <v>68</v>
      </c>
      <c r="G1530" s="5" t="s">
        <v>80</v>
      </c>
    </row>
    <row r="1531">
      <c r="A1531" s="10">
        <v>1.52565763E8</v>
      </c>
      <c r="B1531" s="11">
        <v>0.179</v>
      </c>
      <c r="C1531" s="11">
        <v>569.0</v>
      </c>
      <c r="D1531" s="8"/>
      <c r="E1531" s="7" t="s">
        <v>196</v>
      </c>
      <c r="F1531" s="9" t="s">
        <v>69</v>
      </c>
      <c r="G1531" s="5" t="s">
        <v>80</v>
      </c>
    </row>
    <row r="1532">
      <c r="A1532" s="10">
        <v>1.51560778E8</v>
      </c>
      <c r="B1532" s="11">
        <v>0.175</v>
      </c>
      <c r="C1532" s="11">
        <v>551.0</v>
      </c>
      <c r="D1532" s="8"/>
      <c r="E1532" s="7" t="s">
        <v>196</v>
      </c>
      <c r="F1532" s="9" t="s">
        <v>70</v>
      </c>
      <c r="G1532" s="5" t="s">
        <v>80</v>
      </c>
    </row>
    <row r="1533">
      <c r="A1533" s="10">
        <v>1.632E8</v>
      </c>
      <c r="B1533" s="11">
        <v>0.16</v>
      </c>
      <c r="C1533" s="11">
        <v>542.0</v>
      </c>
      <c r="D1533" s="8"/>
      <c r="E1533" s="7" t="s">
        <v>196</v>
      </c>
      <c r="F1533" s="9" t="s">
        <v>71</v>
      </c>
      <c r="G1533" s="5" t="s">
        <v>80</v>
      </c>
    </row>
    <row r="1534">
      <c r="A1534" s="10">
        <v>1.707E8</v>
      </c>
      <c r="B1534" s="11">
        <v>0.16</v>
      </c>
      <c r="C1534" s="11">
        <v>567.0</v>
      </c>
      <c r="D1534" s="8"/>
      <c r="E1534" s="7" t="s">
        <v>196</v>
      </c>
      <c r="F1534" s="9" t="s">
        <v>72</v>
      </c>
      <c r="G1534" s="5" t="s">
        <v>80</v>
      </c>
    </row>
    <row r="1535">
      <c r="A1535" s="10">
        <v>1.73E8</v>
      </c>
      <c r="B1535" s="11">
        <v>0.156</v>
      </c>
      <c r="C1535" s="11">
        <v>590.0</v>
      </c>
      <c r="D1535" s="8"/>
      <c r="E1535" s="7" t="s">
        <v>196</v>
      </c>
      <c r="F1535" s="9" t="s">
        <v>73</v>
      </c>
      <c r="G1535" s="5" t="s">
        <v>80</v>
      </c>
    </row>
    <row r="1536">
      <c r="A1536" s="10">
        <v>1.293653473E9</v>
      </c>
      <c r="B1536" s="11">
        <v>0.06</v>
      </c>
      <c r="C1536" s="11">
        <v>24.0</v>
      </c>
      <c r="D1536" s="11">
        <v>0.256</v>
      </c>
      <c r="E1536" s="7" t="s">
        <v>197</v>
      </c>
      <c r="F1536" s="9" t="s">
        <v>60</v>
      </c>
      <c r="G1536" s="5" t="s">
        <v>77</v>
      </c>
    </row>
    <row r="1537">
      <c r="A1537" s="10">
        <v>1.295536829E9</v>
      </c>
      <c r="B1537" s="11">
        <v>0.048</v>
      </c>
      <c r="C1537" s="11">
        <v>19.0</v>
      </c>
      <c r="D1537" s="11">
        <v>0.225</v>
      </c>
      <c r="E1537" s="7" t="s">
        <v>197</v>
      </c>
      <c r="F1537" s="9" t="s">
        <v>62</v>
      </c>
      <c r="G1537" s="5" t="s">
        <v>77</v>
      </c>
    </row>
    <row r="1538">
      <c r="A1538" s="10">
        <v>1.324424463E9</v>
      </c>
      <c r="B1538" s="11">
        <v>0.06</v>
      </c>
      <c r="C1538" s="11">
        <v>24.0</v>
      </c>
      <c r="D1538" s="11">
        <v>0.21</v>
      </c>
      <c r="E1538" s="7" t="s">
        <v>197</v>
      </c>
      <c r="F1538" s="9" t="s">
        <v>63</v>
      </c>
      <c r="G1538" s="5" t="s">
        <v>77</v>
      </c>
    </row>
    <row r="1539">
      <c r="A1539" s="10">
        <v>1.563072653E9</v>
      </c>
      <c r="B1539" s="11">
        <v>0.054</v>
      </c>
      <c r="C1539" s="11">
        <v>23.0</v>
      </c>
      <c r="D1539" s="11">
        <v>0.21</v>
      </c>
      <c r="E1539" s="7" t="s">
        <v>197</v>
      </c>
      <c r="F1539" s="9" t="s">
        <v>64</v>
      </c>
      <c r="G1539" s="5" t="s">
        <v>77</v>
      </c>
    </row>
    <row r="1540">
      <c r="A1540" s="10">
        <v>1.833445283E9</v>
      </c>
      <c r="B1540" s="11">
        <v>0.059</v>
      </c>
      <c r="C1540" s="11">
        <v>28.0</v>
      </c>
      <c r="D1540" s="11">
        <v>0.21</v>
      </c>
      <c r="E1540" s="7" t="s">
        <v>197</v>
      </c>
      <c r="F1540" s="9" t="s">
        <v>65</v>
      </c>
      <c r="G1540" s="5" t="s">
        <v>77</v>
      </c>
    </row>
    <row r="1541">
      <c r="A1541" s="10">
        <v>2.184444849E9</v>
      </c>
      <c r="B1541" s="11">
        <v>0.05</v>
      </c>
      <c r="C1541" s="11">
        <v>29.0</v>
      </c>
      <c r="D1541" s="11">
        <v>0.231</v>
      </c>
      <c r="E1541" s="7" t="s">
        <v>197</v>
      </c>
      <c r="F1541" s="9" t="s">
        <v>66</v>
      </c>
      <c r="G1541" s="5" t="s">
        <v>77</v>
      </c>
    </row>
    <row r="1542">
      <c r="A1542" s="10">
        <v>3.040718541E9</v>
      </c>
      <c r="B1542" s="11">
        <v>0.035</v>
      </c>
      <c r="C1542" s="11">
        <v>30.0</v>
      </c>
      <c r="D1542" s="11">
        <v>0.24</v>
      </c>
      <c r="E1542" s="7" t="s">
        <v>197</v>
      </c>
      <c r="F1542" s="9" t="s">
        <v>67</v>
      </c>
      <c r="G1542" s="5" t="s">
        <v>77</v>
      </c>
    </row>
    <row r="1543">
      <c r="A1543" s="10">
        <v>3.356758534E9</v>
      </c>
      <c r="B1543" s="11">
        <v>0.044</v>
      </c>
      <c r="C1543" s="11">
        <v>37.0</v>
      </c>
      <c r="D1543" s="11">
        <v>0.235</v>
      </c>
      <c r="E1543" s="7" t="s">
        <v>197</v>
      </c>
      <c r="F1543" s="9" t="s">
        <v>68</v>
      </c>
      <c r="G1543" s="5" t="s">
        <v>77</v>
      </c>
    </row>
    <row r="1544">
      <c r="A1544" s="10">
        <v>3.790240831E9</v>
      </c>
      <c r="B1544" s="11">
        <v>0.043</v>
      </c>
      <c r="C1544" s="11">
        <v>46.0</v>
      </c>
      <c r="D1544" s="11">
        <v>0.203</v>
      </c>
      <c r="E1544" s="7" t="s">
        <v>197</v>
      </c>
      <c r="F1544" s="9" t="s">
        <v>69</v>
      </c>
      <c r="G1544" s="5" t="s">
        <v>77</v>
      </c>
    </row>
    <row r="1545">
      <c r="A1545" s="10">
        <v>3.027032864E9</v>
      </c>
      <c r="B1545" s="11">
        <v>0.054</v>
      </c>
      <c r="C1545" s="11">
        <v>46.0</v>
      </c>
      <c r="D1545" s="11">
        <v>0.195</v>
      </c>
      <c r="E1545" s="7" t="s">
        <v>197</v>
      </c>
      <c r="F1545" s="9" t="s">
        <v>70</v>
      </c>
      <c r="G1545" s="5" t="s">
        <v>77</v>
      </c>
    </row>
    <row r="1546">
      <c r="A1546" s="10">
        <v>3.526946625E9</v>
      </c>
      <c r="B1546" s="11">
        <v>0.06</v>
      </c>
      <c r="C1546" s="11">
        <v>58.0</v>
      </c>
      <c r="D1546" s="11">
        <v>0.17</v>
      </c>
      <c r="E1546" s="7" t="s">
        <v>197</v>
      </c>
      <c r="F1546" s="9" t="s">
        <v>71</v>
      </c>
      <c r="G1546" s="5" t="s">
        <v>77</v>
      </c>
    </row>
    <row r="1547">
      <c r="A1547" s="10">
        <v>4.136083856E9</v>
      </c>
      <c r="B1547" s="11">
        <v>0.059</v>
      </c>
      <c r="C1547" s="11">
        <v>51.0</v>
      </c>
      <c r="D1547" s="11">
        <v>0.17</v>
      </c>
      <c r="E1547" s="7" t="s">
        <v>197</v>
      </c>
      <c r="F1547" s="9" t="s">
        <v>72</v>
      </c>
      <c r="G1547" s="5" t="s">
        <v>77</v>
      </c>
    </row>
    <row r="1548">
      <c r="A1548" s="10">
        <v>3.958701369E9</v>
      </c>
      <c r="B1548" s="11">
        <v>0.064</v>
      </c>
      <c r="C1548" s="11">
        <v>52.0</v>
      </c>
      <c r="D1548" s="11">
        <v>0.17</v>
      </c>
      <c r="E1548" s="7" t="s">
        <v>197</v>
      </c>
      <c r="F1548" s="9" t="s">
        <v>73</v>
      </c>
      <c r="G1548" s="5" t="s">
        <v>77</v>
      </c>
    </row>
    <row r="1549">
      <c r="A1549" s="10">
        <v>4.582562398E9</v>
      </c>
      <c r="B1549" s="11">
        <v>0.037</v>
      </c>
      <c r="C1549" s="11">
        <v>146.0</v>
      </c>
      <c r="D1549" s="11">
        <v>0.208</v>
      </c>
      <c r="E1549" s="7" t="s">
        <v>198</v>
      </c>
      <c r="F1549" s="9" t="s">
        <v>60</v>
      </c>
      <c r="G1549" s="5" t="s">
        <v>77</v>
      </c>
    </row>
    <row r="1550">
      <c r="A1550" s="10">
        <v>4.536544699E9</v>
      </c>
      <c r="B1550" s="11">
        <v>0.038</v>
      </c>
      <c r="C1550" s="11">
        <v>147.0</v>
      </c>
      <c r="D1550" s="11">
        <v>0.211</v>
      </c>
      <c r="E1550" s="7" t="s">
        <v>198</v>
      </c>
      <c r="F1550" s="9" t="s">
        <v>62</v>
      </c>
      <c r="G1550" s="5" t="s">
        <v>77</v>
      </c>
    </row>
    <row r="1551">
      <c r="A1551" s="10">
        <v>4.767303153E9</v>
      </c>
      <c r="B1551" s="11">
        <v>0.042</v>
      </c>
      <c r="C1551" s="11">
        <v>168.0</v>
      </c>
      <c r="D1551" s="11">
        <v>0.21</v>
      </c>
      <c r="E1551" s="7" t="s">
        <v>198</v>
      </c>
      <c r="F1551" s="9" t="s">
        <v>63</v>
      </c>
      <c r="G1551" s="5" t="s">
        <v>77</v>
      </c>
    </row>
    <row r="1552">
      <c r="A1552" s="10">
        <v>5.609836354E9</v>
      </c>
      <c r="B1552" s="11">
        <v>0.039</v>
      </c>
      <c r="C1552" s="11">
        <v>188.0</v>
      </c>
      <c r="D1552" s="11">
        <v>0.21</v>
      </c>
      <c r="E1552" s="7" t="s">
        <v>198</v>
      </c>
      <c r="F1552" s="9" t="s">
        <v>64</v>
      </c>
      <c r="G1552" s="5" t="s">
        <v>77</v>
      </c>
    </row>
    <row r="1553">
      <c r="A1553" s="10">
        <v>6.385691315E9</v>
      </c>
      <c r="B1553" s="11">
        <v>0.042</v>
      </c>
      <c r="C1553" s="11">
        <v>227.0</v>
      </c>
      <c r="D1553" s="11">
        <v>0.21</v>
      </c>
      <c r="E1553" s="7" t="s">
        <v>198</v>
      </c>
      <c r="F1553" s="9" t="s">
        <v>65</v>
      </c>
      <c r="G1553" s="5" t="s">
        <v>77</v>
      </c>
    </row>
    <row r="1554">
      <c r="A1554" s="10">
        <v>6.283796155E9</v>
      </c>
      <c r="B1554" s="11">
        <v>0.045</v>
      </c>
      <c r="C1554" s="11">
        <v>239.0</v>
      </c>
      <c r="D1554" s="11">
        <v>0.21</v>
      </c>
      <c r="E1554" s="7" t="s">
        <v>198</v>
      </c>
      <c r="F1554" s="9" t="s">
        <v>66</v>
      </c>
      <c r="G1554" s="5" t="s">
        <v>77</v>
      </c>
    </row>
    <row r="1555">
      <c r="A1555" s="10">
        <v>6.731536244E9</v>
      </c>
      <c r="B1555" s="11">
        <v>0.048</v>
      </c>
      <c r="C1555" s="11">
        <v>269.0</v>
      </c>
      <c r="D1555" s="11">
        <v>0.211</v>
      </c>
      <c r="E1555" s="7" t="s">
        <v>198</v>
      </c>
      <c r="F1555" s="9" t="s">
        <v>67</v>
      </c>
      <c r="G1555" s="5" t="s">
        <v>77</v>
      </c>
    </row>
    <row r="1556">
      <c r="A1556" s="10">
        <v>7.792063567E9</v>
      </c>
      <c r="B1556" s="11">
        <v>0.05</v>
      </c>
      <c r="C1556" s="11">
        <v>316.0</v>
      </c>
      <c r="D1556" s="11">
        <v>0.219</v>
      </c>
      <c r="E1556" s="7" t="s">
        <v>198</v>
      </c>
      <c r="F1556" s="9" t="s">
        <v>68</v>
      </c>
      <c r="G1556" s="5" t="s">
        <v>77</v>
      </c>
    </row>
    <row r="1557">
      <c r="A1557" s="10">
        <v>9.641077098E9</v>
      </c>
      <c r="B1557" s="11">
        <v>0.046</v>
      </c>
      <c r="C1557" s="11">
        <v>362.0</v>
      </c>
      <c r="D1557" s="11">
        <v>0.115</v>
      </c>
      <c r="E1557" s="7" t="s">
        <v>198</v>
      </c>
      <c r="F1557" s="9" t="s">
        <v>69</v>
      </c>
      <c r="G1557" s="5" t="s">
        <v>77</v>
      </c>
    </row>
    <row r="1558">
      <c r="A1558" s="10">
        <v>8.834661043E9</v>
      </c>
      <c r="B1558" s="11">
        <v>0.05</v>
      </c>
      <c r="C1558" s="11">
        <v>357.0</v>
      </c>
      <c r="D1558" s="11">
        <v>0.093</v>
      </c>
      <c r="E1558" s="7" t="s">
        <v>198</v>
      </c>
      <c r="F1558" s="9" t="s">
        <v>70</v>
      </c>
      <c r="G1558" s="5" t="s">
        <v>77</v>
      </c>
    </row>
    <row r="1559">
      <c r="A1559" s="10">
        <v>9.718331363E9</v>
      </c>
      <c r="B1559" s="11">
        <v>0.054</v>
      </c>
      <c r="C1559" s="11">
        <v>427.0</v>
      </c>
      <c r="D1559" s="11">
        <v>0.089</v>
      </c>
      <c r="E1559" s="7" t="s">
        <v>198</v>
      </c>
      <c r="F1559" s="9" t="s">
        <v>71</v>
      </c>
      <c r="G1559" s="5" t="s">
        <v>77</v>
      </c>
    </row>
    <row r="1560">
      <c r="A1560" s="10">
        <v>1.125240586E10</v>
      </c>
      <c r="B1560" s="11">
        <v>0.049</v>
      </c>
      <c r="C1560" s="11">
        <v>450.0</v>
      </c>
      <c r="D1560" s="11">
        <v>0.089</v>
      </c>
      <c r="E1560" s="7" t="s">
        <v>198</v>
      </c>
      <c r="F1560" s="9" t="s">
        <v>72</v>
      </c>
      <c r="G1560" s="5" t="s">
        <v>77</v>
      </c>
    </row>
    <row r="1561">
      <c r="A1561" s="10">
        <v>1.1442063228E10</v>
      </c>
      <c r="B1561" s="11">
        <v>0.048</v>
      </c>
      <c r="C1561" s="11">
        <v>444.0</v>
      </c>
      <c r="D1561" s="11">
        <v>0.087</v>
      </c>
      <c r="E1561" s="7" t="s">
        <v>198</v>
      </c>
      <c r="F1561" s="9" t="s">
        <v>73</v>
      </c>
      <c r="G1561" s="5" t="s">
        <v>77</v>
      </c>
    </row>
    <row r="1562">
      <c r="A1562" s="10">
        <v>6.84E11</v>
      </c>
      <c r="B1562" s="11">
        <v>0.051</v>
      </c>
      <c r="C1562" s="11">
        <v>328.0</v>
      </c>
      <c r="D1562" s="11">
        <v>0.169</v>
      </c>
      <c r="E1562" s="7" t="s">
        <v>199</v>
      </c>
      <c r="F1562" s="9" t="s">
        <v>60</v>
      </c>
      <c r="G1562" s="5" t="s">
        <v>84</v>
      </c>
    </row>
    <row r="1563">
      <c r="A1563" s="10">
        <v>7.25E11</v>
      </c>
      <c r="B1563" s="11">
        <v>0.054</v>
      </c>
      <c r="C1563" s="11">
        <v>373.0</v>
      </c>
      <c r="D1563" s="11">
        <v>0.128</v>
      </c>
      <c r="E1563" s="7" t="s">
        <v>199</v>
      </c>
      <c r="F1563" s="9" t="s">
        <v>62</v>
      </c>
      <c r="G1563" s="5" t="s">
        <v>84</v>
      </c>
    </row>
    <row r="1564">
      <c r="A1564" s="10">
        <v>7.42E11</v>
      </c>
      <c r="B1564" s="11">
        <v>0.056</v>
      </c>
      <c r="C1564" s="11">
        <v>396.0</v>
      </c>
      <c r="D1564" s="11">
        <v>0.082</v>
      </c>
      <c r="E1564" s="7" t="s">
        <v>199</v>
      </c>
      <c r="F1564" s="9" t="s">
        <v>63</v>
      </c>
      <c r="G1564" s="5" t="s">
        <v>84</v>
      </c>
    </row>
    <row r="1565">
      <c r="A1565" s="10">
        <v>7.13E11</v>
      </c>
      <c r="B1565" s="11">
        <v>0.058</v>
      </c>
      <c r="C1565" s="11">
        <v>397.0</v>
      </c>
      <c r="D1565" s="11">
        <v>0.07</v>
      </c>
      <c r="E1565" s="7" t="s">
        <v>199</v>
      </c>
      <c r="F1565" s="9" t="s">
        <v>64</v>
      </c>
      <c r="G1565" s="5" t="s">
        <v>84</v>
      </c>
    </row>
    <row r="1566">
      <c r="A1566" s="10">
        <v>7.7E11</v>
      </c>
      <c r="B1566" s="11">
        <v>0.06</v>
      </c>
      <c r="C1566" s="11">
        <v>441.0</v>
      </c>
      <c r="D1566" s="11">
        <v>0.074</v>
      </c>
      <c r="E1566" s="7" t="s">
        <v>199</v>
      </c>
      <c r="F1566" s="9" t="s">
        <v>65</v>
      </c>
      <c r="G1566" s="5" t="s">
        <v>84</v>
      </c>
    </row>
    <row r="1567">
      <c r="A1567" s="10">
        <v>8.66E11</v>
      </c>
      <c r="B1567" s="11">
        <v>0.059</v>
      </c>
      <c r="C1567" s="11">
        <v>478.0</v>
      </c>
      <c r="D1567" s="11">
        <v>0.097</v>
      </c>
      <c r="E1567" s="7" t="s">
        <v>199</v>
      </c>
      <c r="F1567" s="9" t="s">
        <v>66</v>
      </c>
      <c r="G1567" s="5" t="s">
        <v>84</v>
      </c>
    </row>
    <row r="1568">
      <c r="A1568" s="10">
        <v>9.67E11</v>
      </c>
      <c r="B1568" s="11">
        <v>0.057</v>
      </c>
      <c r="C1568" s="11">
        <v>515.0</v>
      </c>
      <c r="D1568" s="11">
        <v>0.075</v>
      </c>
      <c r="E1568" s="7" t="s">
        <v>199</v>
      </c>
      <c r="F1568" s="9" t="s">
        <v>67</v>
      </c>
      <c r="G1568" s="5" t="s">
        <v>84</v>
      </c>
    </row>
    <row r="1569">
      <c r="A1569" s="10">
        <v>1.04E12</v>
      </c>
      <c r="B1569" s="11">
        <v>0.058</v>
      </c>
      <c r="C1569" s="11">
        <v>565.0</v>
      </c>
      <c r="D1569" s="11">
        <v>0.076</v>
      </c>
      <c r="E1569" s="7" t="s">
        <v>199</v>
      </c>
      <c r="F1569" s="9" t="s">
        <v>68</v>
      </c>
      <c r="G1569" s="5" t="s">
        <v>84</v>
      </c>
    </row>
    <row r="1570">
      <c r="A1570" s="10">
        <v>1.1E12</v>
      </c>
      <c r="B1570" s="11">
        <v>0.058</v>
      </c>
      <c r="C1570" s="11">
        <v>598.0</v>
      </c>
      <c r="D1570" s="11">
        <v>0.087</v>
      </c>
      <c r="E1570" s="7" t="s">
        <v>199</v>
      </c>
      <c r="F1570" s="9" t="s">
        <v>69</v>
      </c>
      <c r="G1570" s="5" t="s">
        <v>84</v>
      </c>
    </row>
    <row r="1571">
      <c r="A1571" s="10">
        <v>8.95E11</v>
      </c>
      <c r="B1571" s="11">
        <v>0.064</v>
      </c>
      <c r="C1571" s="11">
        <v>526.0</v>
      </c>
      <c r="D1571" s="11">
        <v>0.071</v>
      </c>
      <c r="E1571" s="7" t="s">
        <v>199</v>
      </c>
      <c r="F1571" s="9" t="s">
        <v>70</v>
      </c>
      <c r="G1571" s="5" t="s">
        <v>84</v>
      </c>
    </row>
    <row r="1572">
      <c r="A1572" s="10">
        <v>1.05E12</v>
      </c>
      <c r="B1572" s="11">
        <v>0.063</v>
      </c>
      <c r="C1572" s="11">
        <v>603.0</v>
      </c>
      <c r="D1572" s="11">
        <v>0.053</v>
      </c>
      <c r="E1572" s="7" t="s">
        <v>199</v>
      </c>
      <c r="F1572" s="9" t="s">
        <v>71</v>
      </c>
      <c r="G1572" s="5" t="s">
        <v>84</v>
      </c>
    </row>
    <row r="1573">
      <c r="A1573" s="10">
        <v>1.17E12</v>
      </c>
      <c r="B1573" s="11">
        <v>0.06</v>
      </c>
      <c r="C1573" s="11">
        <v>609.0</v>
      </c>
      <c r="D1573" s="11">
        <v>0.049</v>
      </c>
      <c r="E1573" s="7" t="s">
        <v>199</v>
      </c>
      <c r="F1573" s="9" t="s">
        <v>72</v>
      </c>
      <c r="G1573" s="5" t="s">
        <v>84</v>
      </c>
    </row>
    <row r="1574">
      <c r="A1574" s="10">
        <v>1.19E12</v>
      </c>
      <c r="B1574" s="11">
        <v>0.061</v>
      </c>
      <c r="C1574" s="11">
        <v>618.0</v>
      </c>
      <c r="D1574" s="11">
        <v>0.047</v>
      </c>
      <c r="E1574" s="7" t="s">
        <v>199</v>
      </c>
      <c r="F1574" s="9" t="s">
        <v>73</v>
      </c>
      <c r="G1574" s="5" t="s">
        <v>84</v>
      </c>
    </row>
    <row r="1575">
      <c r="A1575" s="10">
        <v>2.33226323E8</v>
      </c>
      <c r="B1575" s="11">
        <v>0.078</v>
      </c>
      <c r="C1575" s="11">
        <v>170.0</v>
      </c>
      <c r="D1575" s="11">
        <v>0.153</v>
      </c>
      <c r="E1575" s="7" t="s">
        <v>200</v>
      </c>
      <c r="F1575" s="9" t="s">
        <v>60</v>
      </c>
      <c r="G1575" s="5" t="s">
        <v>80</v>
      </c>
    </row>
    <row r="1576">
      <c r="A1576" s="10">
        <v>2.400519E8</v>
      </c>
      <c r="B1576" s="11">
        <v>0.085</v>
      </c>
      <c r="C1576" s="11">
        <v>190.0</v>
      </c>
      <c r="D1576" s="11">
        <v>0.153</v>
      </c>
      <c r="E1576" s="7" t="s">
        <v>200</v>
      </c>
      <c r="F1576" s="9" t="s">
        <v>62</v>
      </c>
      <c r="G1576" s="5" t="s">
        <v>80</v>
      </c>
    </row>
    <row r="1577">
      <c r="A1577" s="10">
        <v>2.41543396E8</v>
      </c>
      <c r="B1577" s="11">
        <v>0.079</v>
      </c>
      <c r="C1577" s="11">
        <v>178.0</v>
      </c>
      <c r="D1577" s="11">
        <v>0.153</v>
      </c>
      <c r="E1577" s="7" t="s">
        <v>200</v>
      </c>
      <c r="F1577" s="9" t="s">
        <v>63</v>
      </c>
      <c r="G1577" s="5" t="s">
        <v>80</v>
      </c>
    </row>
    <row r="1578">
      <c r="A1578" s="10">
        <v>2.44990984E8</v>
      </c>
      <c r="B1578" s="11">
        <v>0.095</v>
      </c>
      <c r="C1578" s="11">
        <v>218.0</v>
      </c>
      <c r="D1578" s="11">
        <v>0.15</v>
      </c>
      <c r="E1578" s="7" t="s">
        <v>200</v>
      </c>
      <c r="F1578" s="9" t="s">
        <v>64</v>
      </c>
      <c r="G1578" s="5" t="s">
        <v>80</v>
      </c>
    </row>
    <row r="1579">
      <c r="A1579" s="10">
        <v>2.3956331E8</v>
      </c>
      <c r="B1579" s="11">
        <v>0.104</v>
      </c>
      <c r="C1579" s="11">
        <v>233.0</v>
      </c>
      <c r="D1579" s="11">
        <v>0.154</v>
      </c>
      <c r="E1579" s="7" t="s">
        <v>200</v>
      </c>
      <c r="F1579" s="9" t="s">
        <v>65</v>
      </c>
      <c r="G1579" s="5" t="s">
        <v>80</v>
      </c>
    </row>
    <row r="1580">
      <c r="A1580" s="10">
        <v>2.49845593E8</v>
      </c>
      <c r="B1580" s="11">
        <v>0.121</v>
      </c>
      <c r="C1580" s="11">
        <v>285.0</v>
      </c>
      <c r="D1580" s="11">
        <v>0.164</v>
      </c>
      <c r="E1580" s="7" t="s">
        <v>200</v>
      </c>
      <c r="F1580" s="9" t="s">
        <v>66</v>
      </c>
      <c r="G1580" s="5" t="s">
        <v>80</v>
      </c>
    </row>
    <row r="1581">
      <c r="A1581" s="10">
        <v>2.52991205E8</v>
      </c>
      <c r="B1581" s="11">
        <v>0.119</v>
      </c>
      <c r="C1581" s="11">
        <v>285.0</v>
      </c>
      <c r="D1581" s="11">
        <v>0.156</v>
      </c>
      <c r="E1581" s="7" t="s">
        <v>200</v>
      </c>
      <c r="F1581" s="9" t="s">
        <v>67</v>
      </c>
      <c r="G1581" s="5" t="s">
        <v>80</v>
      </c>
    </row>
    <row r="1582">
      <c r="A1582" s="10">
        <v>2.55890836E8</v>
      </c>
      <c r="B1582" s="11">
        <v>0.12</v>
      </c>
      <c r="C1582" s="11">
        <v>292.0</v>
      </c>
      <c r="D1582" s="11">
        <v>0.14</v>
      </c>
      <c r="E1582" s="7" t="s">
        <v>200</v>
      </c>
      <c r="F1582" s="9" t="s">
        <v>68</v>
      </c>
      <c r="G1582" s="5" t="s">
        <v>80</v>
      </c>
    </row>
    <row r="1583">
      <c r="A1583" s="10">
        <v>2.61339642E8</v>
      </c>
      <c r="B1583" s="11">
        <v>0.129</v>
      </c>
      <c r="C1583" s="11">
        <v>323.0</v>
      </c>
      <c r="D1583" s="11">
        <v>0.144</v>
      </c>
      <c r="E1583" s="7" t="s">
        <v>200</v>
      </c>
      <c r="F1583" s="9" t="s">
        <v>69</v>
      </c>
      <c r="G1583" s="5" t="s">
        <v>80</v>
      </c>
    </row>
    <row r="1584">
      <c r="A1584" s="10">
        <v>2.77510923E8</v>
      </c>
      <c r="B1584" s="11">
        <v>0.134</v>
      </c>
      <c r="C1584" s="11">
        <v>357.0</v>
      </c>
      <c r="D1584" s="11">
        <v>0.154</v>
      </c>
      <c r="E1584" s="7" t="s">
        <v>200</v>
      </c>
      <c r="F1584" s="9" t="s">
        <v>70</v>
      </c>
      <c r="G1584" s="5" t="s">
        <v>80</v>
      </c>
    </row>
    <row r="1585">
      <c r="A1585" s="10">
        <v>2.9411723E8</v>
      </c>
      <c r="B1585" s="11">
        <v>0.138</v>
      </c>
      <c r="C1585" s="11">
        <v>393.0</v>
      </c>
      <c r="D1585" s="11">
        <v>0.151</v>
      </c>
      <c r="E1585" s="7" t="s">
        <v>200</v>
      </c>
      <c r="F1585" s="9" t="s">
        <v>71</v>
      </c>
      <c r="G1585" s="5" t="s">
        <v>80</v>
      </c>
    </row>
    <row r="1586">
      <c r="A1586" s="10">
        <v>3.10287519E8</v>
      </c>
      <c r="B1586" s="11">
        <v>0.137</v>
      </c>
      <c r="C1586" s="11">
        <v>412.0</v>
      </c>
      <c r="D1586" s="11">
        <v>0.144</v>
      </c>
      <c r="E1586" s="7" t="s">
        <v>200</v>
      </c>
      <c r="F1586" s="9" t="s">
        <v>72</v>
      </c>
      <c r="G1586" s="5" t="s">
        <v>80</v>
      </c>
    </row>
    <row r="1587">
      <c r="A1587" s="10">
        <v>3.26160961E8</v>
      </c>
      <c r="B1587" s="11">
        <v>0.128</v>
      </c>
      <c r="C1587" s="11">
        <v>405.0</v>
      </c>
      <c r="D1587" s="11">
        <v>0.143</v>
      </c>
      <c r="E1587" s="7" t="s">
        <v>200</v>
      </c>
      <c r="F1587" s="9" t="s">
        <v>73</v>
      </c>
      <c r="G1587" s="5" t="s">
        <v>80</v>
      </c>
    </row>
    <row r="1588">
      <c r="A1588" s="10">
        <v>1.288420223E9</v>
      </c>
      <c r="B1588" s="11">
        <v>0.067</v>
      </c>
      <c r="C1588" s="11">
        <v>24.0</v>
      </c>
      <c r="D1588" s="11">
        <v>0.338</v>
      </c>
      <c r="E1588" s="7" t="s">
        <v>201</v>
      </c>
      <c r="F1588" s="9" t="s">
        <v>60</v>
      </c>
      <c r="G1588" s="5" t="s">
        <v>75</v>
      </c>
    </row>
    <row r="1589">
      <c r="A1589" s="10">
        <v>1.480656884E9</v>
      </c>
      <c r="B1589" s="11">
        <v>0.071</v>
      </c>
      <c r="C1589" s="11">
        <v>29.0</v>
      </c>
      <c r="D1589" s="11">
        <v>0.287</v>
      </c>
      <c r="E1589" s="7" t="s">
        <v>201</v>
      </c>
      <c r="F1589" s="9" t="s">
        <v>62</v>
      </c>
      <c r="G1589" s="5" t="s">
        <v>75</v>
      </c>
    </row>
    <row r="1590">
      <c r="A1590" s="10">
        <v>1.661818168E9</v>
      </c>
      <c r="B1590" s="11">
        <v>0.081</v>
      </c>
      <c r="C1590" s="11">
        <v>37.0</v>
      </c>
      <c r="D1590" s="11">
        <v>0.235</v>
      </c>
      <c r="E1590" s="7" t="s">
        <v>201</v>
      </c>
      <c r="F1590" s="9" t="s">
        <v>63</v>
      </c>
      <c r="G1590" s="5" t="s">
        <v>75</v>
      </c>
    </row>
    <row r="1591">
      <c r="A1591" s="10">
        <v>1.980901554E9</v>
      </c>
      <c r="B1591" s="11">
        <v>0.083</v>
      </c>
      <c r="C1591" s="11">
        <v>46.0</v>
      </c>
      <c r="D1591" s="11">
        <v>0.193</v>
      </c>
      <c r="E1591" s="7" t="s">
        <v>201</v>
      </c>
      <c r="F1591" s="9" t="s">
        <v>64</v>
      </c>
      <c r="G1591" s="5" t="s">
        <v>75</v>
      </c>
    </row>
    <row r="1592">
      <c r="A1592" s="10">
        <v>2.598231467E9</v>
      </c>
      <c r="B1592" s="11">
        <v>0.085</v>
      </c>
      <c r="C1592" s="11">
        <v>61.0</v>
      </c>
      <c r="D1592" s="11">
        <v>0.209</v>
      </c>
      <c r="E1592" s="7" t="s">
        <v>201</v>
      </c>
      <c r="F1592" s="9" t="s">
        <v>65</v>
      </c>
      <c r="G1592" s="5" t="s">
        <v>75</v>
      </c>
    </row>
    <row r="1593">
      <c r="A1593" s="10">
        <v>2.988172424E9</v>
      </c>
      <c r="B1593" s="11">
        <v>0.092</v>
      </c>
      <c r="C1593" s="11">
        <v>76.0</v>
      </c>
      <c r="D1593" s="11">
        <v>0.193</v>
      </c>
      <c r="E1593" s="7" t="s">
        <v>201</v>
      </c>
      <c r="F1593" s="9" t="s">
        <v>66</v>
      </c>
      <c r="G1593" s="5" t="s">
        <v>75</v>
      </c>
    </row>
    <row r="1594">
      <c r="A1594" s="10">
        <v>3.408454198E9</v>
      </c>
      <c r="B1594" s="11">
        <v>0.106</v>
      </c>
      <c r="C1594" s="11">
        <v>101.0</v>
      </c>
      <c r="D1594" s="11">
        <v>0.181</v>
      </c>
      <c r="E1594" s="7" t="s">
        <v>201</v>
      </c>
      <c r="F1594" s="9" t="s">
        <v>67</v>
      </c>
      <c r="G1594" s="5" t="s">
        <v>75</v>
      </c>
    </row>
    <row r="1595">
      <c r="A1595" s="10">
        <v>4.402495921E9</v>
      </c>
      <c r="B1595" s="11">
        <v>0.109</v>
      </c>
      <c r="C1595" s="11">
        <v>134.0</v>
      </c>
      <c r="D1595" s="11">
        <v>0.188</v>
      </c>
      <c r="E1595" s="7" t="s">
        <v>201</v>
      </c>
      <c r="F1595" s="9" t="s">
        <v>68</v>
      </c>
      <c r="G1595" s="5" t="s">
        <v>75</v>
      </c>
    </row>
    <row r="1596">
      <c r="A1596" s="10">
        <v>6.054806101E9</v>
      </c>
      <c r="B1596" s="11">
        <v>0.114</v>
      </c>
      <c r="C1596" s="11">
        <v>193.0</v>
      </c>
      <c r="D1596" s="11">
        <v>0.211</v>
      </c>
      <c r="E1596" s="7" t="s">
        <v>201</v>
      </c>
      <c r="F1596" s="9" t="s">
        <v>69</v>
      </c>
      <c r="G1596" s="5" t="s">
        <v>75</v>
      </c>
    </row>
    <row r="1597">
      <c r="A1597" s="10">
        <v>5.439422031E9</v>
      </c>
      <c r="B1597" s="11">
        <v>0.125</v>
      </c>
      <c r="C1597" s="11">
        <v>190.0</v>
      </c>
      <c r="D1597" s="11">
        <v>0.205</v>
      </c>
      <c r="E1597" s="7" t="s">
        <v>201</v>
      </c>
      <c r="F1597" s="9" t="s">
        <v>70</v>
      </c>
      <c r="G1597" s="5" t="s">
        <v>75</v>
      </c>
    </row>
    <row r="1598">
      <c r="A1598" s="10">
        <v>5.811604052E9</v>
      </c>
      <c r="B1598" s="11">
        <v>0.117</v>
      </c>
      <c r="C1598" s="11">
        <v>190.0</v>
      </c>
      <c r="D1598" s="11">
        <v>0.164</v>
      </c>
      <c r="E1598" s="7" t="s">
        <v>201</v>
      </c>
      <c r="F1598" s="9" t="s">
        <v>71</v>
      </c>
      <c r="G1598" s="5" t="s">
        <v>75</v>
      </c>
    </row>
    <row r="1599">
      <c r="A1599" s="10">
        <v>7.016162818E9</v>
      </c>
      <c r="B1599" s="11">
        <v>0.114</v>
      </c>
      <c r="C1599" s="11">
        <v>224.0</v>
      </c>
      <c r="D1599" s="11">
        <v>0.144</v>
      </c>
      <c r="E1599" s="7" t="s">
        <v>201</v>
      </c>
      <c r="F1599" s="9" t="s">
        <v>72</v>
      </c>
      <c r="G1599" s="5" t="s">
        <v>75</v>
      </c>
    </row>
    <row r="1600">
      <c r="A1600" s="10">
        <v>7.284686576E9</v>
      </c>
      <c r="B1600" s="11">
        <v>0.117</v>
      </c>
      <c r="C1600" s="11">
        <v>239.0</v>
      </c>
      <c r="D1600" s="11">
        <v>0.134</v>
      </c>
      <c r="E1600" s="7" t="s">
        <v>201</v>
      </c>
      <c r="F1600" s="9" t="s">
        <v>73</v>
      </c>
      <c r="G1600" s="5" t="s">
        <v>75</v>
      </c>
    </row>
    <row r="1601">
      <c r="A1601" s="10">
        <v>2.64788382E9</v>
      </c>
      <c r="B1601" s="11">
        <v>0.033</v>
      </c>
      <c r="C1601" s="11">
        <v>2685.0</v>
      </c>
      <c r="D1601" s="8"/>
      <c r="E1601" s="7" t="s">
        <v>202</v>
      </c>
      <c r="F1601" s="9" t="s">
        <v>60</v>
      </c>
      <c r="G1601" s="5" t="s">
        <v>75</v>
      </c>
    </row>
    <row r="1602">
      <c r="A1602" s="10">
        <v>2.671401083E9</v>
      </c>
      <c r="B1602" s="11">
        <v>0.033</v>
      </c>
      <c r="C1602" s="11">
        <v>2718.0</v>
      </c>
      <c r="D1602" s="8"/>
      <c r="E1602" s="7" t="s">
        <v>202</v>
      </c>
      <c r="F1602" s="9" t="s">
        <v>62</v>
      </c>
      <c r="G1602" s="5" t="s">
        <v>75</v>
      </c>
    </row>
    <row r="1603">
      <c r="A1603" s="10">
        <v>2.905973022E9</v>
      </c>
      <c r="B1603" s="11">
        <v>0.034</v>
      </c>
      <c r="C1603" s="11">
        <v>2985.0</v>
      </c>
      <c r="D1603" s="8"/>
      <c r="E1603" s="7" t="s">
        <v>202</v>
      </c>
      <c r="F1603" s="9" t="s">
        <v>63</v>
      </c>
      <c r="G1603" s="5" t="s">
        <v>75</v>
      </c>
    </row>
    <row r="1604">
      <c r="A1604" s="10">
        <v>3.588988601E9</v>
      </c>
      <c r="B1604" s="11">
        <v>0.039</v>
      </c>
      <c r="C1604" s="11">
        <v>4216.0</v>
      </c>
      <c r="D1604" s="8"/>
      <c r="E1604" s="7" t="s">
        <v>202</v>
      </c>
      <c r="F1604" s="9" t="s">
        <v>64</v>
      </c>
      <c r="G1604" s="5" t="s">
        <v>75</v>
      </c>
    </row>
    <row r="1605">
      <c r="A1605" s="10">
        <v>4.110348444E9</v>
      </c>
      <c r="B1605" s="11">
        <v>0.04</v>
      </c>
      <c r="C1605" s="11">
        <v>4885.0</v>
      </c>
      <c r="D1605" s="8"/>
      <c r="E1605" s="7" t="s">
        <v>202</v>
      </c>
      <c r="F1605" s="9" t="s">
        <v>65</v>
      </c>
      <c r="G1605" s="5" t="s">
        <v>75</v>
      </c>
    </row>
    <row r="1606">
      <c r="A1606" s="10">
        <v>4.280072626E9</v>
      </c>
      <c r="B1606" s="11">
        <v>0.04</v>
      </c>
      <c r="C1606" s="11">
        <v>4960.0</v>
      </c>
      <c r="D1606" s="8"/>
      <c r="E1606" s="7" t="s">
        <v>202</v>
      </c>
      <c r="F1606" s="9" t="s">
        <v>66</v>
      </c>
      <c r="G1606" s="5" t="s">
        <v>75</v>
      </c>
    </row>
    <row r="1607">
      <c r="A1607" s="10">
        <v>4.663488363E9</v>
      </c>
      <c r="B1607" s="11">
        <v>0.038</v>
      </c>
      <c r="C1607" s="11">
        <v>5115.0</v>
      </c>
      <c r="D1607" s="8"/>
      <c r="E1607" s="7" t="s">
        <v>202</v>
      </c>
      <c r="F1607" s="9" t="s">
        <v>67</v>
      </c>
      <c r="G1607" s="5" t="s">
        <v>75</v>
      </c>
    </row>
    <row r="1608">
      <c r="A1608" s="10">
        <v>5.974371696E9</v>
      </c>
      <c r="B1608" s="11">
        <v>0.034</v>
      </c>
      <c r="C1608" s="11">
        <v>5671.0</v>
      </c>
      <c r="D1608" s="8"/>
      <c r="E1608" s="7" t="s">
        <v>202</v>
      </c>
      <c r="F1608" s="9" t="s">
        <v>68</v>
      </c>
      <c r="G1608" s="5" t="s">
        <v>75</v>
      </c>
    </row>
    <row r="1609">
      <c r="A1609" s="10">
        <v>6.919241412E9</v>
      </c>
      <c r="B1609" s="11">
        <v>0.036</v>
      </c>
      <c r="C1609" s="11">
        <v>6623.0</v>
      </c>
      <c r="D1609" s="8"/>
      <c r="E1609" s="7" t="s">
        <v>202</v>
      </c>
      <c r="F1609" s="9" t="s">
        <v>69</v>
      </c>
      <c r="G1609" s="5" t="s">
        <v>75</v>
      </c>
    </row>
    <row r="1610">
      <c r="A1610" s="10">
        <v>5.557579883E9</v>
      </c>
      <c r="B1610" s="11">
        <v>0.043</v>
      </c>
      <c r="C1610" s="11">
        <v>6458.0</v>
      </c>
      <c r="D1610" s="8"/>
      <c r="E1610" s="7" t="s">
        <v>202</v>
      </c>
      <c r="F1610" s="9" t="s">
        <v>70</v>
      </c>
      <c r="G1610" s="5" t="s">
        <v>75</v>
      </c>
    </row>
    <row r="1611">
      <c r="A1611" s="10">
        <v>5.350993377E9</v>
      </c>
      <c r="B1611" s="11">
        <v>0.044</v>
      </c>
      <c r="C1611" s="11">
        <v>6431.0</v>
      </c>
      <c r="D1611" s="8"/>
      <c r="E1611" s="7" t="s">
        <v>202</v>
      </c>
      <c r="F1611" s="9" t="s">
        <v>71</v>
      </c>
      <c r="G1611" s="5" t="s">
        <v>75</v>
      </c>
    </row>
    <row r="1612">
      <c r="A1612" s="10">
        <v>6.074506533E9</v>
      </c>
      <c r="B1612" s="11">
        <v>0.044</v>
      </c>
      <c r="C1612" s="11">
        <v>7180.0</v>
      </c>
      <c r="D1612" s="8"/>
      <c r="E1612" s="7" t="s">
        <v>202</v>
      </c>
      <c r="F1612" s="9" t="s">
        <v>72</v>
      </c>
      <c r="G1612" s="5" t="s">
        <v>75</v>
      </c>
    </row>
    <row r="1613">
      <c r="A1613" s="7"/>
      <c r="B1613" s="11">
        <v>0.044</v>
      </c>
      <c r="C1613" s="11">
        <v>6708.0</v>
      </c>
      <c r="D1613" s="8"/>
      <c r="E1613" s="7" t="s">
        <v>202</v>
      </c>
      <c r="F1613" s="9" t="s">
        <v>73</v>
      </c>
      <c r="G1613" s="5" t="s">
        <v>75</v>
      </c>
    </row>
    <row r="1614">
      <c r="A1614" s="10">
        <v>1.136896162E9</v>
      </c>
      <c r="B1614" s="11">
        <v>0.047</v>
      </c>
      <c r="C1614" s="11">
        <v>22.0</v>
      </c>
      <c r="D1614" s="11">
        <v>0.37</v>
      </c>
      <c r="E1614" s="7" t="s">
        <v>203</v>
      </c>
      <c r="F1614" s="9" t="s">
        <v>60</v>
      </c>
      <c r="G1614" s="5" t="s">
        <v>61</v>
      </c>
    </row>
    <row r="1615">
      <c r="A1615" s="10">
        <v>1.267997923E9</v>
      </c>
      <c r="B1615" s="11">
        <v>0.046</v>
      </c>
      <c r="C1615" s="11">
        <v>24.0</v>
      </c>
      <c r="D1615" s="11">
        <v>0.374</v>
      </c>
      <c r="E1615" s="7" t="s">
        <v>203</v>
      </c>
      <c r="F1615" s="9" t="s">
        <v>62</v>
      </c>
      <c r="G1615" s="5" t="s">
        <v>61</v>
      </c>
    </row>
    <row r="1616">
      <c r="A1616" s="10">
        <v>1.396555772E9</v>
      </c>
      <c r="B1616" s="11">
        <v>0.048</v>
      </c>
      <c r="C1616" s="11">
        <v>28.0</v>
      </c>
      <c r="D1616" s="11">
        <v>0.355</v>
      </c>
      <c r="E1616" s="7" t="s">
        <v>203</v>
      </c>
      <c r="F1616" s="9" t="s">
        <v>63</v>
      </c>
      <c r="G1616" s="5" t="s">
        <v>61</v>
      </c>
    </row>
    <row r="1617">
      <c r="A1617" s="10">
        <v>1.595297301E9</v>
      </c>
      <c r="B1617" s="11">
        <v>0.074</v>
      </c>
      <c r="C1617" s="11">
        <v>48.0</v>
      </c>
      <c r="D1617" s="11">
        <v>0.319</v>
      </c>
      <c r="E1617" s="7" t="s">
        <v>203</v>
      </c>
      <c r="F1617" s="9" t="s">
        <v>64</v>
      </c>
      <c r="G1617" s="5" t="s">
        <v>61</v>
      </c>
    </row>
    <row r="1618">
      <c r="A1618" s="10">
        <v>1.992066759E9</v>
      </c>
      <c r="B1618" s="11">
        <v>0.07</v>
      </c>
      <c r="C1618" s="11">
        <v>56.0</v>
      </c>
      <c r="D1618" s="11">
        <v>0.315</v>
      </c>
      <c r="E1618" s="7" t="s">
        <v>203</v>
      </c>
      <c r="F1618" s="9" t="s">
        <v>65</v>
      </c>
      <c r="G1618" s="5" t="s">
        <v>61</v>
      </c>
    </row>
    <row r="1619">
      <c r="A1619" s="10">
        <v>2.523359941E9</v>
      </c>
      <c r="B1619" s="11">
        <v>0.06</v>
      </c>
      <c r="C1619" s="11">
        <v>60.0</v>
      </c>
      <c r="D1619" s="11">
        <v>0.306</v>
      </c>
      <c r="E1619" s="7" t="s">
        <v>203</v>
      </c>
      <c r="F1619" s="9" t="s">
        <v>66</v>
      </c>
      <c r="G1619" s="5" t="s">
        <v>61</v>
      </c>
    </row>
    <row r="1620">
      <c r="A1620" s="10">
        <v>3.414053251E9</v>
      </c>
      <c r="B1620" s="11">
        <v>0.054</v>
      </c>
      <c r="C1620" s="11">
        <v>72.0</v>
      </c>
      <c r="D1620" s="11">
        <v>0.269</v>
      </c>
      <c r="E1620" s="7" t="s">
        <v>203</v>
      </c>
      <c r="F1620" s="9" t="s">
        <v>67</v>
      </c>
      <c r="G1620" s="5" t="s">
        <v>61</v>
      </c>
    </row>
    <row r="1621">
      <c r="A1621" s="10">
        <v>4.234894168E9</v>
      </c>
      <c r="B1621" s="11">
        <v>0.057</v>
      </c>
      <c r="C1621" s="11">
        <v>93.0</v>
      </c>
      <c r="D1621" s="11">
        <v>0.218</v>
      </c>
      <c r="E1621" s="7" t="s">
        <v>203</v>
      </c>
      <c r="F1621" s="9" t="s">
        <v>68</v>
      </c>
      <c r="G1621" s="5" t="s">
        <v>61</v>
      </c>
    </row>
    <row r="1622">
      <c r="A1622" s="10">
        <v>5.623236708E9</v>
      </c>
      <c r="B1622" s="11">
        <v>0.064</v>
      </c>
      <c r="C1622" s="11">
        <v>136.0</v>
      </c>
      <c r="D1622" s="11">
        <v>0.206</v>
      </c>
      <c r="E1622" s="7" t="s">
        <v>203</v>
      </c>
      <c r="F1622" s="9" t="s">
        <v>69</v>
      </c>
      <c r="G1622" s="5" t="s">
        <v>61</v>
      </c>
    </row>
    <row r="1623">
      <c r="A1623" s="10">
        <v>4.583834427E9</v>
      </c>
      <c r="B1623" s="11">
        <v>0.064</v>
      </c>
      <c r="C1623" s="11">
        <v>111.0</v>
      </c>
      <c r="D1623" s="11">
        <v>0.217</v>
      </c>
      <c r="E1623" s="7" t="s">
        <v>203</v>
      </c>
      <c r="F1623" s="9" t="s">
        <v>70</v>
      </c>
      <c r="G1623" s="5" t="s">
        <v>61</v>
      </c>
    </row>
    <row r="1624">
      <c r="A1624" s="10">
        <v>6.20035707E9</v>
      </c>
      <c r="B1624" s="11">
        <v>0.063</v>
      </c>
      <c r="C1624" s="11">
        <v>143.0</v>
      </c>
      <c r="D1624" s="11">
        <v>0.201</v>
      </c>
      <c r="E1624" s="7" t="s">
        <v>203</v>
      </c>
      <c r="F1624" s="9" t="s">
        <v>71</v>
      </c>
      <c r="G1624" s="5" t="s">
        <v>61</v>
      </c>
    </row>
    <row r="1625">
      <c r="A1625" s="10">
        <v>8.761426371E9</v>
      </c>
      <c r="B1625" s="11">
        <v>0.06</v>
      </c>
      <c r="C1625" s="11">
        <v>190.0</v>
      </c>
      <c r="D1625" s="11">
        <v>0.166</v>
      </c>
      <c r="E1625" s="7" t="s">
        <v>203</v>
      </c>
      <c r="F1625" s="9" t="s">
        <v>72</v>
      </c>
      <c r="G1625" s="5" t="s">
        <v>61</v>
      </c>
    </row>
    <row r="1626">
      <c r="A1626" s="10">
        <v>1.0321968595E10</v>
      </c>
      <c r="B1626" s="11">
        <v>0.063</v>
      </c>
      <c r="C1626" s="11">
        <v>232.0</v>
      </c>
      <c r="D1626" s="11">
        <v>0.181</v>
      </c>
      <c r="E1626" s="7" t="s">
        <v>203</v>
      </c>
      <c r="F1626" s="9" t="s">
        <v>73</v>
      </c>
      <c r="G1626" s="5" t="s">
        <v>61</v>
      </c>
    </row>
    <row r="1627">
      <c r="A1627" s="10">
        <v>9.84279596E8</v>
      </c>
      <c r="B1627" s="11">
        <v>0.075</v>
      </c>
      <c r="C1627" s="11">
        <v>121.0</v>
      </c>
      <c r="D1627" s="8"/>
      <c r="E1627" s="7" t="s">
        <v>204</v>
      </c>
      <c r="F1627" s="9" t="s">
        <v>60</v>
      </c>
      <c r="G1627" s="5" t="s">
        <v>75</v>
      </c>
    </row>
    <row r="1628">
      <c r="A1628" s="10">
        <v>1.15989156E9</v>
      </c>
      <c r="B1628" s="11">
        <v>0.085</v>
      </c>
      <c r="C1628" s="11">
        <v>160.0</v>
      </c>
      <c r="D1628" s="8"/>
      <c r="E1628" s="7" t="s">
        <v>204</v>
      </c>
      <c r="F1628" s="9" t="s">
        <v>62</v>
      </c>
      <c r="G1628" s="5" t="s">
        <v>75</v>
      </c>
    </row>
    <row r="1629">
      <c r="A1629" s="10">
        <v>1.284504509E9</v>
      </c>
      <c r="B1629" s="11">
        <v>0.086</v>
      </c>
      <c r="C1629" s="11">
        <v>180.0</v>
      </c>
      <c r="D1629" s="8"/>
      <c r="E1629" s="7" t="s">
        <v>204</v>
      </c>
      <c r="F1629" s="9" t="s">
        <v>63</v>
      </c>
      <c r="G1629" s="5" t="s">
        <v>75</v>
      </c>
    </row>
    <row r="1630">
      <c r="A1630" s="10">
        <v>1.707662608E9</v>
      </c>
      <c r="B1630" s="11">
        <v>0.091</v>
      </c>
      <c r="C1630" s="11">
        <v>254.0</v>
      </c>
      <c r="D1630" s="8"/>
      <c r="E1630" s="7" t="s">
        <v>204</v>
      </c>
      <c r="F1630" s="9" t="s">
        <v>64</v>
      </c>
      <c r="G1630" s="5" t="s">
        <v>75</v>
      </c>
    </row>
    <row r="1631">
      <c r="A1631" s="10">
        <v>2.073255525E9</v>
      </c>
      <c r="B1631" s="11">
        <v>0.087</v>
      </c>
      <c r="C1631" s="11">
        <v>293.0</v>
      </c>
      <c r="D1631" s="8"/>
      <c r="E1631" s="7" t="s">
        <v>204</v>
      </c>
      <c r="F1631" s="9" t="s">
        <v>65</v>
      </c>
      <c r="G1631" s="5" t="s">
        <v>75</v>
      </c>
    </row>
    <row r="1632">
      <c r="A1632" s="10">
        <v>2.257181943E9</v>
      </c>
      <c r="B1632" s="11">
        <v>0.087</v>
      </c>
      <c r="C1632" s="11">
        <v>319.0</v>
      </c>
      <c r="D1632" s="8"/>
      <c r="E1632" s="7" t="s">
        <v>204</v>
      </c>
      <c r="F1632" s="9" t="s">
        <v>66</v>
      </c>
      <c r="G1632" s="5" t="s">
        <v>75</v>
      </c>
    </row>
    <row r="1633">
      <c r="A1633" s="10">
        <v>2.696020575E9</v>
      </c>
      <c r="B1633" s="11">
        <v>0.082</v>
      </c>
      <c r="C1633" s="11">
        <v>361.0</v>
      </c>
      <c r="D1633" s="11">
        <v>0.112</v>
      </c>
      <c r="E1633" s="7" t="s">
        <v>204</v>
      </c>
      <c r="F1633" s="9" t="s">
        <v>67</v>
      </c>
      <c r="G1633" s="5" t="s">
        <v>75</v>
      </c>
    </row>
    <row r="1634">
      <c r="A1634" s="10">
        <v>3.673382212E9</v>
      </c>
      <c r="B1634" s="11">
        <v>0.07</v>
      </c>
      <c r="C1634" s="11">
        <v>414.0</v>
      </c>
      <c r="D1634" s="11">
        <v>0.092</v>
      </c>
      <c r="E1634" s="7" t="s">
        <v>204</v>
      </c>
      <c r="F1634" s="9" t="s">
        <v>68</v>
      </c>
      <c r="G1634" s="5" t="s">
        <v>75</v>
      </c>
    </row>
    <row r="1635">
      <c r="A1635" s="10">
        <v>4.538345345E9</v>
      </c>
      <c r="B1635" s="11">
        <v>0.063</v>
      </c>
      <c r="C1635" s="11">
        <v>466.0</v>
      </c>
      <c r="D1635" s="11">
        <v>0.092</v>
      </c>
      <c r="E1635" s="7" t="s">
        <v>204</v>
      </c>
      <c r="F1635" s="9" t="s">
        <v>69</v>
      </c>
      <c r="G1635" s="5" t="s">
        <v>75</v>
      </c>
    </row>
    <row r="1636">
      <c r="A1636" s="10">
        <v>4.158135026E9</v>
      </c>
      <c r="B1636" s="11">
        <v>0.063</v>
      </c>
      <c r="C1636" s="11">
        <v>424.0</v>
      </c>
      <c r="D1636" s="11">
        <v>0.094</v>
      </c>
      <c r="E1636" s="7" t="s">
        <v>204</v>
      </c>
      <c r="F1636" s="9" t="s">
        <v>70</v>
      </c>
      <c r="G1636" s="5" t="s">
        <v>75</v>
      </c>
    </row>
    <row r="1637">
      <c r="A1637" s="10">
        <v>4.114881347E9</v>
      </c>
      <c r="B1637" s="11">
        <v>0.072</v>
      </c>
      <c r="C1637" s="11">
        <v>476.0</v>
      </c>
      <c r="D1637" s="11">
        <v>0.095</v>
      </c>
      <c r="E1637" s="7" t="s">
        <v>204</v>
      </c>
      <c r="F1637" s="9" t="s">
        <v>71</v>
      </c>
      <c r="G1637" s="5" t="s">
        <v>75</v>
      </c>
    </row>
    <row r="1638">
      <c r="A1638" s="10">
        <v>4.501753898E9</v>
      </c>
      <c r="B1638" s="11">
        <v>0.072</v>
      </c>
      <c r="C1638" s="11">
        <v>522.0</v>
      </c>
      <c r="D1638" s="11">
        <v>0.097</v>
      </c>
      <c r="E1638" s="7" t="s">
        <v>204</v>
      </c>
      <c r="F1638" s="9" t="s">
        <v>72</v>
      </c>
      <c r="G1638" s="5" t="s">
        <v>75</v>
      </c>
    </row>
    <row r="1639">
      <c r="A1639" s="10">
        <v>4.045813953E9</v>
      </c>
      <c r="B1639" s="11">
        <v>0.076</v>
      </c>
      <c r="C1639" s="11">
        <v>493.0</v>
      </c>
      <c r="D1639" s="11">
        <v>0.096</v>
      </c>
      <c r="E1639" s="7" t="s">
        <v>204</v>
      </c>
      <c r="F1639" s="9" t="s">
        <v>73</v>
      </c>
      <c r="G1639" s="5" t="s">
        <v>75</v>
      </c>
    </row>
    <row r="1640">
      <c r="A1640" s="10">
        <v>3.7020609825E10</v>
      </c>
      <c r="B1640" s="11">
        <v>0.042</v>
      </c>
      <c r="C1640" s="11">
        <v>54.0</v>
      </c>
      <c r="D1640" s="11">
        <v>0.133</v>
      </c>
      <c r="E1640" s="7" t="s">
        <v>205</v>
      </c>
      <c r="F1640" s="9" t="s">
        <v>60</v>
      </c>
      <c r="G1640" s="5" t="s">
        <v>77</v>
      </c>
    </row>
    <row r="1641">
      <c r="A1641" s="10">
        <v>3.7724674865E10</v>
      </c>
      <c r="B1641" s="11">
        <v>0.044</v>
      </c>
      <c r="C1641" s="11">
        <v>58.0</v>
      </c>
      <c r="D1641" s="11">
        <v>0.133</v>
      </c>
      <c r="E1641" s="7" t="s">
        <v>205</v>
      </c>
      <c r="F1641" s="9" t="s">
        <v>62</v>
      </c>
      <c r="G1641" s="5" t="s">
        <v>77</v>
      </c>
    </row>
    <row r="1642">
      <c r="A1642" s="10">
        <v>4.041611469E10</v>
      </c>
      <c r="B1642" s="11">
        <v>0.053</v>
      </c>
      <c r="C1642" s="11">
        <v>73.0</v>
      </c>
      <c r="D1642" s="11">
        <v>0.131</v>
      </c>
      <c r="E1642" s="7" t="s">
        <v>205</v>
      </c>
      <c r="F1642" s="9" t="s">
        <v>63</v>
      </c>
      <c r="G1642" s="5" t="s">
        <v>77</v>
      </c>
    </row>
    <row r="1643">
      <c r="A1643" s="10">
        <v>4.9822651702E10</v>
      </c>
      <c r="B1643" s="11">
        <v>0.053</v>
      </c>
      <c r="C1643" s="11">
        <v>88.0</v>
      </c>
      <c r="D1643" s="11">
        <v>0.126</v>
      </c>
      <c r="E1643" s="7" t="s">
        <v>205</v>
      </c>
      <c r="F1643" s="9" t="s">
        <v>64</v>
      </c>
      <c r="G1643" s="5" t="s">
        <v>77</v>
      </c>
    </row>
    <row r="1644">
      <c r="A1644" s="10">
        <v>5.6948015336E10</v>
      </c>
      <c r="B1644" s="11">
        <v>0.052</v>
      </c>
      <c r="C1644" s="11">
        <v>99.0</v>
      </c>
      <c r="D1644" s="11">
        <v>0.115</v>
      </c>
      <c r="E1644" s="7" t="s">
        <v>205</v>
      </c>
      <c r="F1644" s="9" t="s">
        <v>65</v>
      </c>
      <c r="G1644" s="5" t="s">
        <v>77</v>
      </c>
    </row>
    <row r="1645">
      <c r="A1645" s="10">
        <v>5.9523857868E10</v>
      </c>
      <c r="B1645" s="11">
        <v>0.051</v>
      </c>
      <c r="C1645" s="11">
        <v>100.0</v>
      </c>
      <c r="D1645" s="11">
        <v>0.115</v>
      </c>
      <c r="E1645" s="7" t="s">
        <v>205</v>
      </c>
      <c r="F1645" s="9" t="s">
        <v>66</v>
      </c>
      <c r="G1645" s="5" t="s">
        <v>77</v>
      </c>
    </row>
    <row r="1646">
      <c r="A1646" s="10">
        <v>6.5637107776E10</v>
      </c>
      <c r="B1646" s="11">
        <v>0.052</v>
      </c>
      <c r="C1646" s="11">
        <v>113.0</v>
      </c>
      <c r="D1646" s="8"/>
      <c r="E1646" s="7" t="s">
        <v>205</v>
      </c>
      <c r="F1646" s="9" t="s">
        <v>67</v>
      </c>
      <c r="G1646" s="5" t="s">
        <v>77</v>
      </c>
    </row>
    <row r="1647">
      <c r="A1647" s="10">
        <v>7.5226318359E10</v>
      </c>
      <c r="B1647" s="11">
        <v>0.055</v>
      </c>
      <c r="C1647" s="11">
        <v>134.0</v>
      </c>
      <c r="D1647" s="8"/>
      <c r="E1647" s="7" t="s">
        <v>205</v>
      </c>
      <c r="F1647" s="9" t="s">
        <v>68</v>
      </c>
      <c r="G1647" s="5" t="s">
        <v>77</v>
      </c>
    </row>
    <row r="1648">
      <c r="A1648" s="10">
        <v>8.8882967742E10</v>
      </c>
      <c r="B1648" s="11">
        <v>0.054</v>
      </c>
      <c r="C1648" s="11">
        <v>156.0</v>
      </c>
      <c r="D1648" s="8"/>
      <c r="E1648" s="7" t="s">
        <v>205</v>
      </c>
      <c r="F1648" s="9" t="s">
        <v>69</v>
      </c>
      <c r="G1648" s="5" t="s">
        <v>77</v>
      </c>
    </row>
    <row r="1649">
      <c r="A1649" s="10">
        <v>9.0908402631E10</v>
      </c>
      <c r="B1649" s="11">
        <v>0.057</v>
      </c>
      <c r="C1649" s="11">
        <v>165.0</v>
      </c>
      <c r="D1649" s="8"/>
      <c r="E1649" s="7" t="s">
        <v>205</v>
      </c>
      <c r="F1649" s="9" t="s">
        <v>70</v>
      </c>
      <c r="G1649" s="5" t="s">
        <v>77</v>
      </c>
    </row>
    <row r="1650">
      <c r="A1650" s="10">
        <v>9.0770671432E10</v>
      </c>
      <c r="B1650" s="11">
        <v>0.059</v>
      </c>
      <c r="C1650" s="11">
        <v>168.0</v>
      </c>
      <c r="D1650" s="8"/>
      <c r="E1650" s="7" t="s">
        <v>205</v>
      </c>
      <c r="F1650" s="9" t="s">
        <v>71</v>
      </c>
      <c r="G1650" s="5" t="s">
        <v>77</v>
      </c>
    </row>
    <row r="1651">
      <c r="A1651" s="10">
        <v>9.9211339029E10</v>
      </c>
      <c r="B1651" s="11">
        <v>0.063</v>
      </c>
      <c r="C1651" s="11">
        <v>195.0</v>
      </c>
      <c r="D1651" s="8"/>
      <c r="E1651" s="7" t="s">
        <v>205</v>
      </c>
      <c r="F1651" s="9" t="s">
        <v>72</v>
      </c>
      <c r="G1651" s="5" t="s">
        <v>77</v>
      </c>
    </row>
    <row r="1652">
      <c r="A1652" s="10">
        <v>9.5981572517E10</v>
      </c>
      <c r="B1652" s="11">
        <v>0.064</v>
      </c>
      <c r="C1652" s="11">
        <v>190.0</v>
      </c>
      <c r="D1652" s="8"/>
      <c r="E1652" s="7" t="s">
        <v>205</v>
      </c>
      <c r="F1652" s="9" t="s">
        <v>73</v>
      </c>
      <c r="G1652" s="5" t="s">
        <v>77</v>
      </c>
    </row>
    <row r="1653">
      <c r="A1653" s="10">
        <v>4.310090791E9</v>
      </c>
      <c r="B1653" s="11">
        <v>0.062</v>
      </c>
      <c r="C1653" s="11">
        <v>15.0</v>
      </c>
      <c r="D1653" s="11">
        <v>0.19</v>
      </c>
      <c r="E1653" s="7" t="s">
        <v>206</v>
      </c>
      <c r="F1653" s="9" t="s">
        <v>60</v>
      </c>
      <c r="G1653" s="5" t="s">
        <v>77</v>
      </c>
    </row>
    <row r="1654">
      <c r="A1654" s="10">
        <v>4.075049537E9</v>
      </c>
      <c r="B1654" s="11">
        <v>0.056</v>
      </c>
      <c r="C1654" s="11">
        <v>12.0</v>
      </c>
      <c r="D1654" s="11">
        <v>0.227</v>
      </c>
      <c r="E1654" s="7" t="s">
        <v>206</v>
      </c>
      <c r="F1654" s="9" t="s">
        <v>62</v>
      </c>
      <c r="G1654" s="5" t="s">
        <v>77</v>
      </c>
    </row>
    <row r="1655">
      <c r="A1655" s="10">
        <v>4.201332885E9</v>
      </c>
      <c r="B1655" s="11">
        <v>0.064</v>
      </c>
      <c r="C1655" s="11">
        <v>14.0</v>
      </c>
      <c r="D1655" s="11">
        <v>0.267</v>
      </c>
      <c r="E1655" s="7" t="s">
        <v>206</v>
      </c>
      <c r="F1655" s="9" t="s">
        <v>63</v>
      </c>
      <c r="G1655" s="5" t="s">
        <v>77</v>
      </c>
    </row>
    <row r="1656">
      <c r="A1656" s="10">
        <v>4.666197195E9</v>
      </c>
      <c r="B1656" s="11">
        <v>0.064</v>
      </c>
      <c r="C1656" s="11">
        <v>15.0</v>
      </c>
      <c r="D1656" s="11">
        <v>0.247</v>
      </c>
      <c r="E1656" s="7" t="s">
        <v>206</v>
      </c>
      <c r="F1656" s="9" t="s">
        <v>64</v>
      </c>
      <c r="G1656" s="5" t="s">
        <v>77</v>
      </c>
    </row>
    <row r="1657">
      <c r="A1657" s="10">
        <v>5.697991241E9</v>
      </c>
      <c r="B1657" s="11">
        <v>0.059</v>
      </c>
      <c r="C1657" s="11">
        <v>16.0</v>
      </c>
      <c r="D1657" s="11">
        <v>0.221</v>
      </c>
      <c r="E1657" s="7" t="s">
        <v>206</v>
      </c>
      <c r="F1657" s="9" t="s">
        <v>65</v>
      </c>
      <c r="G1657" s="5" t="s">
        <v>77</v>
      </c>
    </row>
    <row r="1658">
      <c r="A1658" s="10">
        <v>6.578515331E9</v>
      </c>
      <c r="B1658" s="11">
        <v>0.069</v>
      </c>
      <c r="C1658" s="11">
        <v>22.0</v>
      </c>
      <c r="D1658" s="11">
        <v>0.195</v>
      </c>
      <c r="E1658" s="7" t="s">
        <v>206</v>
      </c>
      <c r="F1658" s="9" t="s">
        <v>66</v>
      </c>
      <c r="G1658" s="5" t="s">
        <v>77</v>
      </c>
    </row>
    <row r="1659">
      <c r="A1659" s="10">
        <v>7.095910828E9</v>
      </c>
      <c r="B1659" s="11">
        <v>0.065</v>
      </c>
      <c r="C1659" s="11">
        <v>21.0</v>
      </c>
      <c r="D1659" s="11">
        <v>0.186</v>
      </c>
      <c r="E1659" s="7" t="s">
        <v>206</v>
      </c>
      <c r="F1659" s="9" t="s">
        <v>67</v>
      </c>
      <c r="G1659" s="5" t="s">
        <v>77</v>
      </c>
    </row>
    <row r="1660">
      <c r="A1660" s="10">
        <v>8.035635713E9</v>
      </c>
      <c r="B1660" s="11">
        <v>0.06</v>
      </c>
      <c r="C1660" s="11">
        <v>22.0</v>
      </c>
      <c r="D1660" s="11">
        <v>0.195</v>
      </c>
      <c r="E1660" s="7" t="s">
        <v>206</v>
      </c>
      <c r="F1660" s="9" t="s">
        <v>68</v>
      </c>
      <c r="G1660" s="5" t="s">
        <v>77</v>
      </c>
    </row>
    <row r="1661">
      <c r="A1661" s="10">
        <v>9.891003405E9</v>
      </c>
      <c r="B1661" s="11">
        <v>0.055</v>
      </c>
      <c r="C1661" s="11">
        <v>24.0</v>
      </c>
      <c r="D1661" s="11">
        <v>0.183</v>
      </c>
      <c r="E1661" s="7" t="s">
        <v>206</v>
      </c>
      <c r="F1661" s="9" t="s">
        <v>69</v>
      </c>
      <c r="G1661" s="5" t="s">
        <v>77</v>
      </c>
    </row>
    <row r="1662">
      <c r="A1662" s="10">
        <v>9.674037707E9</v>
      </c>
      <c r="B1662" s="11">
        <v>0.06</v>
      </c>
      <c r="C1662" s="11">
        <v>25.0</v>
      </c>
      <c r="D1662" s="11">
        <v>0.157</v>
      </c>
      <c r="E1662" s="7" t="s">
        <v>206</v>
      </c>
      <c r="F1662" s="9" t="s">
        <v>70</v>
      </c>
      <c r="G1662" s="5" t="s">
        <v>77</v>
      </c>
    </row>
    <row r="1663">
      <c r="A1663" s="10">
        <v>9.274448732E9</v>
      </c>
      <c r="B1663" s="11">
        <v>0.057</v>
      </c>
      <c r="C1663" s="11">
        <v>22.0</v>
      </c>
      <c r="D1663" s="11">
        <v>0.163</v>
      </c>
      <c r="E1663" s="7" t="s">
        <v>206</v>
      </c>
      <c r="F1663" s="9" t="s">
        <v>71</v>
      </c>
      <c r="G1663" s="5" t="s">
        <v>77</v>
      </c>
    </row>
    <row r="1664">
      <c r="A1664" s="10">
        <v>1.25478884E10</v>
      </c>
      <c r="B1664" s="11">
        <v>0.064</v>
      </c>
      <c r="C1664" s="11">
        <v>33.0</v>
      </c>
      <c r="D1664" s="11">
        <v>0.191</v>
      </c>
      <c r="E1664" s="7" t="s">
        <v>206</v>
      </c>
      <c r="F1664" s="9" t="s">
        <v>72</v>
      </c>
      <c r="G1664" s="5" t="s">
        <v>77</v>
      </c>
    </row>
    <row r="1665">
      <c r="A1665" s="10">
        <v>1.4376457305E10</v>
      </c>
      <c r="B1665" s="11">
        <v>0.064</v>
      </c>
      <c r="C1665" s="11">
        <v>37.0</v>
      </c>
      <c r="D1665" s="11">
        <v>0.168</v>
      </c>
      <c r="E1665" s="7" t="s">
        <v>206</v>
      </c>
      <c r="F1665" s="9" t="s">
        <v>73</v>
      </c>
      <c r="G1665" s="5" t="s">
        <v>77</v>
      </c>
    </row>
    <row r="1666">
      <c r="A1666" s="7"/>
      <c r="B1666" s="11">
        <v>0.021</v>
      </c>
      <c r="C1666" s="11">
        <v>3.0</v>
      </c>
      <c r="D1666" s="11">
        <v>0.153</v>
      </c>
      <c r="E1666" s="7" t="s">
        <v>207</v>
      </c>
      <c r="F1666" s="9" t="s">
        <v>60</v>
      </c>
      <c r="G1666" s="5" t="s">
        <v>61</v>
      </c>
    </row>
    <row r="1667">
      <c r="A1667" s="7"/>
      <c r="B1667" s="11">
        <v>0.021</v>
      </c>
      <c r="C1667" s="11">
        <v>2.0</v>
      </c>
      <c r="D1667" s="11">
        <v>0.15</v>
      </c>
      <c r="E1667" s="7" t="s">
        <v>207</v>
      </c>
      <c r="F1667" s="9" t="s">
        <v>62</v>
      </c>
      <c r="G1667" s="5" t="s">
        <v>61</v>
      </c>
    </row>
    <row r="1668">
      <c r="A1668" s="7"/>
      <c r="B1668" s="11">
        <v>0.024</v>
      </c>
      <c r="C1668" s="11">
        <v>3.0</v>
      </c>
      <c r="D1668" s="11">
        <v>0.15</v>
      </c>
      <c r="E1668" s="7" t="s">
        <v>207</v>
      </c>
      <c r="F1668" s="9" t="s">
        <v>63</v>
      </c>
      <c r="G1668" s="5" t="s">
        <v>61</v>
      </c>
    </row>
    <row r="1669">
      <c r="A1669" s="7"/>
      <c r="B1669" s="11">
        <v>0.023</v>
      </c>
      <c r="C1669" s="11">
        <v>4.0</v>
      </c>
      <c r="D1669" s="11">
        <v>0.15</v>
      </c>
      <c r="E1669" s="7" t="s">
        <v>207</v>
      </c>
      <c r="F1669" s="9" t="s">
        <v>64</v>
      </c>
      <c r="G1669" s="5" t="s">
        <v>61</v>
      </c>
    </row>
    <row r="1670">
      <c r="A1670" s="7"/>
      <c r="B1670" s="11">
        <v>0.023</v>
      </c>
      <c r="C1670" s="11">
        <v>5.0</v>
      </c>
      <c r="D1670" s="11">
        <v>0.15</v>
      </c>
      <c r="E1670" s="7" t="s">
        <v>207</v>
      </c>
      <c r="F1670" s="9" t="s">
        <v>65</v>
      </c>
      <c r="G1670" s="5" t="s">
        <v>61</v>
      </c>
    </row>
    <row r="1671">
      <c r="A1671" s="7"/>
      <c r="B1671" s="11">
        <v>0.021</v>
      </c>
      <c r="C1671" s="11">
        <v>5.0</v>
      </c>
      <c r="D1671" s="11">
        <v>0.15</v>
      </c>
      <c r="E1671" s="7" t="s">
        <v>207</v>
      </c>
      <c r="F1671" s="9" t="s">
        <v>66</v>
      </c>
      <c r="G1671" s="5" t="s">
        <v>61</v>
      </c>
    </row>
    <row r="1672">
      <c r="A1672" s="7"/>
      <c r="B1672" s="11">
        <v>0.02</v>
      </c>
      <c r="C1672" s="11">
        <v>5.0</v>
      </c>
      <c r="D1672" s="11">
        <v>0.161</v>
      </c>
      <c r="E1672" s="7" t="s">
        <v>207</v>
      </c>
      <c r="F1672" s="9" t="s">
        <v>67</v>
      </c>
      <c r="G1672" s="5" t="s">
        <v>61</v>
      </c>
    </row>
    <row r="1673">
      <c r="A1673" s="7"/>
      <c r="B1673" s="11">
        <v>0.019</v>
      </c>
      <c r="C1673" s="11">
        <v>7.0</v>
      </c>
      <c r="D1673" s="11">
        <v>0.17</v>
      </c>
      <c r="E1673" s="7" t="s">
        <v>207</v>
      </c>
      <c r="F1673" s="9" t="s">
        <v>68</v>
      </c>
      <c r="G1673" s="5" t="s">
        <v>61</v>
      </c>
    </row>
    <row r="1674">
      <c r="A1674" s="7"/>
      <c r="B1674" s="11">
        <v>0.02</v>
      </c>
      <c r="C1674" s="11">
        <v>10.0</v>
      </c>
      <c r="D1674" s="11">
        <v>0.17</v>
      </c>
      <c r="E1674" s="7" t="s">
        <v>207</v>
      </c>
      <c r="F1674" s="9" t="s">
        <v>69</v>
      </c>
      <c r="G1674" s="5" t="s">
        <v>61</v>
      </c>
    </row>
    <row r="1675">
      <c r="A1675" s="7"/>
      <c r="B1675" s="11">
        <v>0.021</v>
      </c>
      <c r="C1675" s="11">
        <v>13.0</v>
      </c>
      <c r="D1675" s="11">
        <v>0.17</v>
      </c>
      <c r="E1675" s="7" t="s">
        <v>207</v>
      </c>
      <c r="F1675" s="9" t="s">
        <v>70</v>
      </c>
      <c r="G1675" s="5" t="s">
        <v>61</v>
      </c>
    </row>
    <row r="1676">
      <c r="A1676" s="7"/>
      <c r="B1676" s="11">
        <v>0.019</v>
      </c>
      <c r="C1676" s="11">
        <v>15.0</v>
      </c>
      <c r="D1676" s="11">
        <v>0.17</v>
      </c>
      <c r="E1676" s="7" t="s">
        <v>207</v>
      </c>
      <c r="F1676" s="9" t="s">
        <v>71</v>
      </c>
      <c r="G1676" s="5" t="s">
        <v>61</v>
      </c>
    </row>
    <row r="1677">
      <c r="A1677" s="7"/>
      <c r="B1677" s="11">
        <v>0.018</v>
      </c>
      <c r="C1677" s="11">
        <v>19.0</v>
      </c>
      <c r="D1677" s="11">
        <v>0.163</v>
      </c>
      <c r="E1677" s="7" t="s">
        <v>207</v>
      </c>
      <c r="F1677" s="9" t="s">
        <v>72</v>
      </c>
      <c r="G1677" s="5" t="s">
        <v>61</v>
      </c>
    </row>
    <row r="1678">
      <c r="A1678" s="7"/>
      <c r="B1678" s="11">
        <v>0.018</v>
      </c>
      <c r="C1678" s="11">
        <v>20.0</v>
      </c>
      <c r="D1678" s="11">
        <v>0.13</v>
      </c>
      <c r="E1678" s="7" t="s">
        <v>207</v>
      </c>
      <c r="F1678" s="9" t="s">
        <v>73</v>
      </c>
      <c r="G1678" s="5" t="s">
        <v>61</v>
      </c>
    </row>
    <row r="1679">
      <c r="A1679" s="10">
        <v>3.908645566E9</v>
      </c>
      <c r="B1679" s="11">
        <v>0.061</v>
      </c>
      <c r="C1679" s="11">
        <v>126.0</v>
      </c>
      <c r="D1679" s="11">
        <v>0.153</v>
      </c>
      <c r="E1679" s="7" t="s">
        <v>208</v>
      </c>
      <c r="F1679" s="9" t="s">
        <v>60</v>
      </c>
      <c r="G1679" s="5" t="s">
        <v>77</v>
      </c>
    </row>
    <row r="1680">
      <c r="A1680" s="10">
        <v>3.546791603E9</v>
      </c>
      <c r="B1680" s="11">
        <v>0.062</v>
      </c>
      <c r="C1680" s="11">
        <v>113.0</v>
      </c>
      <c r="D1680" s="11">
        <v>0.145</v>
      </c>
      <c r="E1680" s="7" t="s">
        <v>208</v>
      </c>
      <c r="F1680" s="9" t="s">
        <v>62</v>
      </c>
      <c r="G1680" s="5" t="s">
        <v>77</v>
      </c>
    </row>
    <row r="1681">
      <c r="A1681" s="10">
        <v>3.361236321E9</v>
      </c>
      <c r="B1681" s="11">
        <v>0.062</v>
      </c>
      <c r="C1681" s="11">
        <v>106.0</v>
      </c>
      <c r="D1681" s="11">
        <v>0.138</v>
      </c>
      <c r="E1681" s="7" t="s">
        <v>208</v>
      </c>
      <c r="F1681" s="9" t="s">
        <v>63</v>
      </c>
      <c r="G1681" s="5" t="s">
        <v>77</v>
      </c>
    </row>
    <row r="1682">
      <c r="A1682" s="10">
        <v>4.931280096E9</v>
      </c>
      <c r="B1682" s="11">
        <v>0.065</v>
      </c>
      <c r="C1682" s="11">
        <v>162.0</v>
      </c>
      <c r="D1682" s="11">
        <v>0.147</v>
      </c>
      <c r="E1682" s="7" t="s">
        <v>208</v>
      </c>
      <c r="F1682" s="9" t="s">
        <v>64</v>
      </c>
      <c r="G1682" s="5" t="s">
        <v>77</v>
      </c>
    </row>
    <row r="1683">
      <c r="A1683" s="10">
        <v>6.60686645E9</v>
      </c>
      <c r="B1683" s="11">
        <v>0.065</v>
      </c>
      <c r="C1683" s="11">
        <v>213.0</v>
      </c>
      <c r="D1683" s="11">
        <v>0.114</v>
      </c>
      <c r="E1683" s="7" t="s">
        <v>208</v>
      </c>
      <c r="F1683" s="9" t="s">
        <v>65</v>
      </c>
      <c r="G1683" s="5" t="s">
        <v>77</v>
      </c>
    </row>
    <row r="1684">
      <c r="A1684" s="10">
        <v>7.261366632E9</v>
      </c>
      <c r="B1684" s="11">
        <v>0.073</v>
      </c>
      <c r="C1684" s="11">
        <v>262.0</v>
      </c>
      <c r="D1684" s="11">
        <v>0.106</v>
      </c>
      <c r="E1684" s="7" t="s">
        <v>208</v>
      </c>
      <c r="F1684" s="9" t="s">
        <v>66</v>
      </c>
      <c r="G1684" s="5" t="s">
        <v>77</v>
      </c>
    </row>
    <row r="1685">
      <c r="A1685" s="10">
        <v>7.978609422E9</v>
      </c>
      <c r="B1685" s="11">
        <v>0.072</v>
      </c>
      <c r="C1685" s="11">
        <v>280.0</v>
      </c>
      <c r="D1685" s="11">
        <v>0.112</v>
      </c>
      <c r="E1685" s="7" t="s">
        <v>208</v>
      </c>
      <c r="F1685" s="9" t="s">
        <v>67</v>
      </c>
      <c r="G1685" s="5" t="s">
        <v>77</v>
      </c>
    </row>
    <row r="1686">
      <c r="A1686" s="10">
        <v>8.83606369E9</v>
      </c>
      <c r="B1686" s="11">
        <v>0.069</v>
      </c>
      <c r="C1686" s="11">
        <v>294.0</v>
      </c>
      <c r="D1686" s="11">
        <v>0.129</v>
      </c>
      <c r="E1686" s="7" t="s">
        <v>208</v>
      </c>
      <c r="F1686" s="9" t="s">
        <v>68</v>
      </c>
      <c r="G1686" s="5" t="s">
        <v>77</v>
      </c>
    </row>
    <row r="1687">
      <c r="A1687" s="10">
        <v>8.493167843E9</v>
      </c>
      <c r="B1687" s="11">
        <v>0.069</v>
      </c>
      <c r="C1687" s="11">
        <v>287.0</v>
      </c>
      <c r="D1687" s="11">
        <v>0.137</v>
      </c>
      <c r="E1687" s="7" t="s">
        <v>208</v>
      </c>
      <c r="F1687" s="9" t="s">
        <v>69</v>
      </c>
      <c r="G1687" s="5" t="s">
        <v>77</v>
      </c>
    </row>
    <row r="1688">
      <c r="A1688" s="10">
        <v>8.724107049E9</v>
      </c>
      <c r="B1688" s="11">
        <v>0.079</v>
      </c>
      <c r="C1688" s="11">
        <v>326.0</v>
      </c>
      <c r="D1688" s="11">
        <v>0.111</v>
      </c>
      <c r="E1688" s="7" t="s">
        <v>208</v>
      </c>
      <c r="F1688" s="9" t="s">
        <v>70</v>
      </c>
      <c r="G1688" s="5" t="s">
        <v>77</v>
      </c>
    </row>
    <row r="1689">
      <c r="A1689" s="10">
        <v>1.1141417478E10</v>
      </c>
      <c r="B1689" s="11">
        <v>0.082</v>
      </c>
      <c r="C1689" s="11">
        <v>416.0</v>
      </c>
      <c r="D1689" s="11">
        <v>0.097</v>
      </c>
      <c r="E1689" s="7" t="s">
        <v>208</v>
      </c>
      <c r="F1689" s="9" t="s">
        <v>71</v>
      </c>
      <c r="G1689" s="5" t="s">
        <v>77</v>
      </c>
    </row>
    <row r="1690">
      <c r="A1690" s="10">
        <v>1.2451760766E10</v>
      </c>
      <c r="B1690" s="11">
        <v>0.086</v>
      </c>
      <c r="C1690" s="11">
        <v>486.0</v>
      </c>
      <c r="D1690" s="11">
        <v>0.087</v>
      </c>
      <c r="E1690" s="7" t="s">
        <v>208</v>
      </c>
      <c r="F1690" s="9" t="s">
        <v>72</v>
      </c>
      <c r="G1690" s="5" t="s">
        <v>77</v>
      </c>
    </row>
    <row r="1691">
      <c r="A1691" s="10">
        <v>1.339938655E10</v>
      </c>
      <c r="B1691" s="11">
        <v>0.083</v>
      </c>
      <c r="C1691" s="11">
        <v>473.0</v>
      </c>
      <c r="D1691" s="11">
        <v>0.087</v>
      </c>
      <c r="E1691" s="7" t="s">
        <v>208</v>
      </c>
      <c r="F1691" s="9" t="s">
        <v>73</v>
      </c>
      <c r="G1691" s="5" t="s">
        <v>77</v>
      </c>
    </row>
    <row r="1692">
      <c r="A1692" s="10">
        <v>5.494252208E9</v>
      </c>
      <c r="B1692" s="11">
        <v>0.05</v>
      </c>
      <c r="C1692" s="11">
        <v>12.0</v>
      </c>
      <c r="D1692" s="11">
        <v>0.095</v>
      </c>
      <c r="E1692" s="7" t="s">
        <v>209</v>
      </c>
      <c r="F1692" s="9" t="s">
        <v>60</v>
      </c>
      <c r="G1692" s="5" t="s">
        <v>61</v>
      </c>
    </row>
    <row r="1693">
      <c r="A1693" s="10">
        <v>6.007061224E9</v>
      </c>
      <c r="B1693" s="11">
        <v>0.053</v>
      </c>
      <c r="C1693" s="11">
        <v>13.0</v>
      </c>
      <c r="D1693" s="11">
        <v>0.077</v>
      </c>
      <c r="E1693" s="7" t="s">
        <v>209</v>
      </c>
      <c r="F1693" s="9" t="s">
        <v>62</v>
      </c>
      <c r="G1693" s="5" t="s">
        <v>61</v>
      </c>
    </row>
    <row r="1694">
      <c r="A1694" s="10">
        <v>6.050875807E9</v>
      </c>
      <c r="B1694" s="11">
        <v>0.056</v>
      </c>
      <c r="C1694" s="11">
        <v>14.0</v>
      </c>
      <c r="D1694" s="11">
        <v>0.068</v>
      </c>
      <c r="E1694" s="7" t="s">
        <v>209</v>
      </c>
      <c r="F1694" s="9" t="s">
        <v>63</v>
      </c>
      <c r="G1694" s="5" t="s">
        <v>61</v>
      </c>
    </row>
    <row r="1695">
      <c r="A1695" s="10">
        <v>6.330476435E9</v>
      </c>
      <c r="B1695" s="11">
        <v>0.054</v>
      </c>
      <c r="C1695" s="11">
        <v>14.0</v>
      </c>
      <c r="D1695" s="11">
        <v>0.074</v>
      </c>
      <c r="E1695" s="7" t="s">
        <v>209</v>
      </c>
      <c r="F1695" s="9" t="s">
        <v>64</v>
      </c>
      <c r="G1695" s="5" t="s">
        <v>61</v>
      </c>
    </row>
    <row r="1696">
      <c r="A1696" s="10">
        <v>7.273933993E9</v>
      </c>
      <c r="B1696" s="11">
        <v>0.058</v>
      </c>
      <c r="C1696" s="11">
        <v>17.0</v>
      </c>
      <c r="D1696" s="11">
        <v>0.085</v>
      </c>
      <c r="E1696" s="7" t="s">
        <v>209</v>
      </c>
      <c r="F1696" s="9" t="s">
        <v>65</v>
      </c>
      <c r="G1696" s="5" t="s">
        <v>61</v>
      </c>
    </row>
    <row r="1697">
      <c r="A1697" s="10">
        <v>8.130258976E9</v>
      </c>
      <c r="B1697" s="11">
        <v>0.057</v>
      </c>
      <c r="C1697" s="11">
        <v>19.0</v>
      </c>
      <c r="D1697" s="11">
        <v>0.081</v>
      </c>
      <c r="E1697" s="7" t="s">
        <v>209</v>
      </c>
      <c r="F1697" s="9" t="s">
        <v>66</v>
      </c>
      <c r="G1697" s="5" t="s">
        <v>61</v>
      </c>
    </row>
    <row r="1698">
      <c r="A1698" s="10">
        <v>9.043715356E9</v>
      </c>
      <c r="B1698" s="11">
        <v>0.056</v>
      </c>
      <c r="C1698" s="11">
        <v>20.0</v>
      </c>
      <c r="D1698" s="11">
        <v>0.08</v>
      </c>
      <c r="E1698" s="7" t="s">
        <v>209</v>
      </c>
      <c r="F1698" s="9" t="s">
        <v>67</v>
      </c>
      <c r="G1698" s="5" t="s">
        <v>61</v>
      </c>
    </row>
    <row r="1699">
      <c r="A1699" s="10">
        <v>1.0325618017E10</v>
      </c>
      <c r="B1699" s="11">
        <v>0.055</v>
      </c>
      <c r="C1699" s="11">
        <v>23.0</v>
      </c>
      <c r="D1699" s="11">
        <v>0.08</v>
      </c>
      <c r="E1699" s="7" t="s">
        <v>209</v>
      </c>
      <c r="F1699" s="9" t="s">
        <v>68</v>
      </c>
      <c r="G1699" s="5" t="s">
        <v>61</v>
      </c>
    </row>
    <row r="1700">
      <c r="A1700" s="10">
        <v>1.2545438605E10</v>
      </c>
      <c r="B1700" s="11">
        <v>0.061</v>
      </c>
      <c r="C1700" s="11">
        <v>27.0</v>
      </c>
      <c r="D1700" s="11">
        <v>0.08</v>
      </c>
      <c r="E1700" s="7" t="s">
        <v>209</v>
      </c>
      <c r="F1700" s="9" t="s">
        <v>69</v>
      </c>
      <c r="G1700" s="5" t="s">
        <v>61</v>
      </c>
    </row>
    <row r="1701">
      <c r="A1701" s="10">
        <v>1.2899651884E10</v>
      </c>
      <c r="B1701" s="11">
        <v>0.06</v>
      </c>
      <c r="C1701" s="11">
        <v>29.0</v>
      </c>
      <c r="D1701" s="11">
        <v>0.08</v>
      </c>
      <c r="E1701" s="7" t="s">
        <v>209</v>
      </c>
      <c r="F1701" s="9" t="s">
        <v>70</v>
      </c>
      <c r="G1701" s="5" t="s">
        <v>61</v>
      </c>
    </row>
    <row r="1702">
      <c r="A1702" s="10">
        <v>1.5994094607E10</v>
      </c>
      <c r="B1702" s="11">
        <v>0.059</v>
      </c>
      <c r="C1702" s="11">
        <v>36.0</v>
      </c>
      <c r="D1702" s="11">
        <v>0.08</v>
      </c>
      <c r="E1702" s="7" t="s">
        <v>209</v>
      </c>
      <c r="F1702" s="9" t="s">
        <v>71</v>
      </c>
      <c r="G1702" s="5" t="s">
        <v>61</v>
      </c>
    </row>
    <row r="1703">
      <c r="A1703" s="10">
        <v>1.8850351853E10</v>
      </c>
      <c r="B1703" s="11">
        <v>0.061</v>
      </c>
      <c r="C1703" s="11">
        <v>41.0</v>
      </c>
      <c r="D1703" s="8"/>
      <c r="E1703" s="7" t="s">
        <v>209</v>
      </c>
      <c r="F1703" s="9" t="s">
        <v>72</v>
      </c>
      <c r="G1703" s="5" t="s">
        <v>61</v>
      </c>
    </row>
    <row r="1704">
      <c r="A1704" s="10">
        <v>1.9206800719E10</v>
      </c>
      <c r="B1704" s="11">
        <v>0.055</v>
      </c>
      <c r="C1704" s="11">
        <v>36.0</v>
      </c>
      <c r="D1704" s="8"/>
      <c r="E1704" s="7" t="s">
        <v>209</v>
      </c>
      <c r="F1704" s="9" t="s">
        <v>73</v>
      </c>
      <c r="G1704" s="5" t="s">
        <v>61</v>
      </c>
    </row>
    <row r="1705">
      <c r="A1705" s="10">
        <v>3.85E11</v>
      </c>
      <c r="B1705" s="11">
        <v>0.08</v>
      </c>
      <c r="C1705" s="11">
        <v>1932.0</v>
      </c>
      <c r="D1705" s="11">
        <v>0.048</v>
      </c>
      <c r="E1705" s="7" t="s">
        <v>210</v>
      </c>
      <c r="F1705" s="9" t="s">
        <v>60</v>
      </c>
      <c r="G1705" s="5" t="s">
        <v>75</v>
      </c>
    </row>
    <row r="1706">
      <c r="A1706" s="10">
        <v>4.01E11</v>
      </c>
      <c r="B1706" s="11">
        <v>0.083</v>
      </c>
      <c r="C1706" s="11">
        <v>2079.0</v>
      </c>
      <c r="D1706" s="11">
        <v>0.05</v>
      </c>
      <c r="E1706" s="7" t="s">
        <v>210</v>
      </c>
      <c r="F1706" s="9" t="s">
        <v>62</v>
      </c>
      <c r="G1706" s="5" t="s">
        <v>75</v>
      </c>
    </row>
    <row r="1707">
      <c r="A1707" s="10">
        <v>4.38E11</v>
      </c>
      <c r="B1707" s="11">
        <v>0.089</v>
      </c>
      <c r="C1707" s="11">
        <v>2411.0</v>
      </c>
      <c r="D1707" s="11">
        <v>0.04</v>
      </c>
      <c r="E1707" s="7" t="s">
        <v>210</v>
      </c>
      <c r="F1707" s="9" t="s">
        <v>63</v>
      </c>
      <c r="G1707" s="5" t="s">
        <v>75</v>
      </c>
    </row>
    <row r="1708">
      <c r="A1708" s="10">
        <v>5.38E11</v>
      </c>
      <c r="B1708" s="11">
        <v>0.098</v>
      </c>
      <c r="C1708" s="11">
        <v>3249.0</v>
      </c>
      <c r="D1708" s="11">
        <v>0.03</v>
      </c>
      <c r="E1708" s="7" t="s">
        <v>210</v>
      </c>
      <c r="F1708" s="9" t="s">
        <v>64</v>
      </c>
      <c r="G1708" s="5" t="s">
        <v>75</v>
      </c>
    </row>
    <row r="1709">
      <c r="A1709" s="10">
        <v>6.1E11</v>
      </c>
      <c r="B1709" s="11">
        <v>0.1</v>
      </c>
      <c r="C1709" s="11">
        <v>3739.0</v>
      </c>
      <c r="D1709" s="11">
        <v>0.028</v>
      </c>
      <c r="E1709" s="7" t="s">
        <v>210</v>
      </c>
      <c r="F1709" s="9" t="s">
        <v>65</v>
      </c>
      <c r="G1709" s="5" t="s">
        <v>75</v>
      </c>
    </row>
    <row r="1710">
      <c r="A1710" s="10">
        <v>6.38E11</v>
      </c>
      <c r="B1710" s="11">
        <v>0.109</v>
      </c>
      <c r="C1710" s="11">
        <v>4261.0</v>
      </c>
      <c r="D1710" s="11">
        <v>0.028</v>
      </c>
      <c r="E1710" s="7" t="s">
        <v>210</v>
      </c>
      <c r="F1710" s="9" t="s">
        <v>66</v>
      </c>
      <c r="G1710" s="5" t="s">
        <v>75</v>
      </c>
    </row>
    <row r="1711">
      <c r="A1711" s="10">
        <v>6.78E11</v>
      </c>
      <c r="B1711" s="11">
        <v>0.107</v>
      </c>
      <c r="C1711" s="11">
        <v>4459.0</v>
      </c>
      <c r="D1711" s="11">
        <v>0.035</v>
      </c>
      <c r="E1711" s="7" t="s">
        <v>210</v>
      </c>
      <c r="F1711" s="9" t="s">
        <v>67</v>
      </c>
      <c r="G1711" s="5" t="s">
        <v>75</v>
      </c>
    </row>
    <row r="1712">
      <c r="A1712" s="10">
        <v>7.83E11</v>
      </c>
      <c r="B1712" s="11">
        <v>0.108</v>
      </c>
      <c r="C1712" s="11">
        <v>5150.0</v>
      </c>
      <c r="D1712" s="11">
        <v>0.046</v>
      </c>
      <c r="E1712" s="7" t="s">
        <v>210</v>
      </c>
      <c r="F1712" s="9" t="s">
        <v>68</v>
      </c>
      <c r="G1712" s="5" t="s">
        <v>75</v>
      </c>
    </row>
    <row r="1713">
      <c r="A1713" s="10">
        <v>8.71E11</v>
      </c>
      <c r="B1713" s="11">
        <v>0.11</v>
      </c>
      <c r="C1713" s="11">
        <v>5834.0</v>
      </c>
      <c r="D1713" s="11">
        <v>0.046</v>
      </c>
      <c r="E1713" s="7" t="s">
        <v>210</v>
      </c>
      <c r="F1713" s="9" t="s">
        <v>69</v>
      </c>
      <c r="G1713" s="5" t="s">
        <v>75</v>
      </c>
    </row>
    <row r="1714">
      <c r="A1714" s="10">
        <v>7.96E11</v>
      </c>
      <c r="B1714" s="11">
        <v>0.119</v>
      </c>
      <c r="C1714" s="11">
        <v>5740.0</v>
      </c>
      <c r="D1714" s="11">
        <v>0.02</v>
      </c>
      <c r="E1714" s="7" t="s">
        <v>210</v>
      </c>
      <c r="F1714" s="9" t="s">
        <v>70</v>
      </c>
      <c r="G1714" s="5" t="s">
        <v>75</v>
      </c>
    </row>
    <row r="1715">
      <c r="A1715" s="10">
        <v>7.77E11</v>
      </c>
      <c r="B1715" s="11">
        <v>0.121</v>
      </c>
      <c r="C1715" s="11">
        <v>5676.0</v>
      </c>
      <c r="D1715" s="11">
        <v>0.018</v>
      </c>
      <c r="E1715" s="7" t="s">
        <v>210</v>
      </c>
      <c r="F1715" s="9" t="s">
        <v>71</v>
      </c>
      <c r="G1715" s="5" t="s">
        <v>75</v>
      </c>
    </row>
    <row r="1716">
      <c r="A1716" s="10">
        <v>8.33E11</v>
      </c>
      <c r="B1716" s="11">
        <v>0.119</v>
      </c>
      <c r="C1716" s="11">
        <v>5997.0</v>
      </c>
      <c r="D1716" s="11">
        <v>0.02</v>
      </c>
      <c r="E1716" s="7" t="s">
        <v>210</v>
      </c>
      <c r="F1716" s="9" t="s">
        <v>72</v>
      </c>
      <c r="G1716" s="5" t="s">
        <v>75</v>
      </c>
    </row>
    <row r="1717">
      <c r="A1717" s="10">
        <v>7.7E11</v>
      </c>
      <c r="B1717" s="11">
        <v>0.124</v>
      </c>
      <c r="C1717" s="11">
        <v>5737.0</v>
      </c>
      <c r="D1717" s="11">
        <v>0.016</v>
      </c>
      <c r="E1717" s="7" t="s">
        <v>210</v>
      </c>
      <c r="F1717" s="9" t="s">
        <v>73</v>
      </c>
      <c r="G1717" s="5" t="s">
        <v>75</v>
      </c>
    </row>
    <row r="1718">
      <c r="A1718" s="10">
        <v>2.682347064E9</v>
      </c>
      <c r="B1718" s="8"/>
      <c r="C1718" s="8"/>
      <c r="D1718" s="8"/>
      <c r="E1718" s="7" t="s">
        <v>211</v>
      </c>
      <c r="F1718" s="9" t="s">
        <v>60</v>
      </c>
      <c r="G1718" s="5" t="s">
        <v>80</v>
      </c>
    </row>
    <row r="1719">
      <c r="A1719" s="7"/>
      <c r="B1719" s="8"/>
      <c r="C1719" s="8"/>
      <c r="D1719" s="8"/>
      <c r="E1719" s="7" t="s">
        <v>211</v>
      </c>
      <c r="F1719" s="9" t="s">
        <v>62</v>
      </c>
      <c r="G1719" s="5" t="s">
        <v>80</v>
      </c>
    </row>
    <row r="1720">
      <c r="A1720" s="7"/>
      <c r="B1720" s="8"/>
      <c r="C1720" s="8"/>
      <c r="D1720" s="8"/>
      <c r="E1720" s="7" t="s">
        <v>211</v>
      </c>
      <c r="F1720" s="9" t="s">
        <v>63</v>
      </c>
      <c r="G1720" s="5" t="s">
        <v>80</v>
      </c>
    </row>
    <row r="1721">
      <c r="A1721" s="7"/>
      <c r="B1721" s="8"/>
      <c r="C1721" s="8"/>
      <c r="D1721" s="8"/>
      <c r="E1721" s="7" t="s">
        <v>211</v>
      </c>
      <c r="F1721" s="9" t="s">
        <v>64</v>
      </c>
      <c r="G1721" s="5" t="s">
        <v>80</v>
      </c>
    </row>
    <row r="1722">
      <c r="A1722" s="7"/>
      <c r="B1722" s="8"/>
      <c r="C1722" s="8"/>
      <c r="D1722" s="8"/>
      <c r="E1722" s="7" t="s">
        <v>211</v>
      </c>
      <c r="F1722" s="9" t="s">
        <v>65</v>
      </c>
      <c r="G1722" s="5" t="s">
        <v>80</v>
      </c>
    </row>
    <row r="1723">
      <c r="A1723" s="7"/>
      <c r="B1723" s="8"/>
      <c r="C1723" s="8"/>
      <c r="D1723" s="8"/>
      <c r="E1723" s="7" t="s">
        <v>211</v>
      </c>
      <c r="F1723" s="9" t="s">
        <v>66</v>
      </c>
      <c r="G1723" s="5" t="s">
        <v>80</v>
      </c>
    </row>
    <row r="1724">
      <c r="A1724" s="7"/>
      <c r="B1724" s="8"/>
      <c r="C1724" s="8"/>
      <c r="D1724" s="8"/>
      <c r="E1724" s="7" t="s">
        <v>211</v>
      </c>
      <c r="F1724" s="9" t="s">
        <v>67</v>
      </c>
      <c r="G1724" s="5" t="s">
        <v>80</v>
      </c>
    </row>
    <row r="1725">
      <c r="A1725" s="7"/>
      <c r="B1725" s="8"/>
      <c r="C1725" s="8"/>
      <c r="D1725" s="8"/>
      <c r="E1725" s="7" t="s">
        <v>211</v>
      </c>
      <c r="F1725" s="9" t="s">
        <v>68</v>
      </c>
      <c r="G1725" s="5" t="s">
        <v>80</v>
      </c>
    </row>
    <row r="1726">
      <c r="A1726" s="7"/>
      <c r="B1726" s="8"/>
      <c r="C1726" s="8"/>
      <c r="D1726" s="8"/>
      <c r="E1726" s="7" t="s">
        <v>211</v>
      </c>
      <c r="F1726" s="9" t="s">
        <v>69</v>
      </c>
      <c r="G1726" s="5" t="s">
        <v>80</v>
      </c>
    </row>
    <row r="1727">
      <c r="A1727" s="7"/>
      <c r="B1727" s="8"/>
      <c r="C1727" s="8"/>
      <c r="D1727" s="8"/>
      <c r="E1727" s="7" t="s">
        <v>211</v>
      </c>
      <c r="F1727" s="9" t="s">
        <v>70</v>
      </c>
      <c r="G1727" s="5" t="s">
        <v>80</v>
      </c>
    </row>
    <row r="1728">
      <c r="A1728" s="7"/>
      <c r="B1728" s="8"/>
      <c r="C1728" s="8"/>
      <c r="D1728" s="8"/>
      <c r="E1728" s="7" t="s">
        <v>211</v>
      </c>
      <c r="F1728" s="9" t="s">
        <v>71</v>
      </c>
      <c r="G1728" s="5" t="s">
        <v>80</v>
      </c>
    </row>
    <row r="1729">
      <c r="A1729" s="7"/>
      <c r="B1729" s="8"/>
      <c r="C1729" s="8"/>
      <c r="D1729" s="8"/>
      <c r="E1729" s="7" t="s">
        <v>211</v>
      </c>
      <c r="F1729" s="9" t="s">
        <v>72</v>
      </c>
      <c r="G1729" s="5" t="s">
        <v>80</v>
      </c>
    </row>
    <row r="1730">
      <c r="A1730" s="7"/>
      <c r="B1730" s="8"/>
      <c r="C1730" s="8"/>
      <c r="D1730" s="8"/>
      <c r="E1730" s="7" t="s">
        <v>211</v>
      </c>
      <c r="F1730" s="9" t="s">
        <v>73</v>
      </c>
      <c r="G1730" s="5" t="s">
        <v>80</v>
      </c>
    </row>
    <row r="1731">
      <c r="A1731" s="10">
        <v>5.2011621745E10</v>
      </c>
      <c r="B1731" s="11">
        <v>0.076</v>
      </c>
      <c r="C1731" s="11">
        <v>1052.0</v>
      </c>
      <c r="D1731" s="11">
        <v>0.078</v>
      </c>
      <c r="E1731" s="7" t="s">
        <v>212</v>
      </c>
      <c r="F1731" s="9" t="s">
        <v>60</v>
      </c>
      <c r="G1731" s="5" t="s">
        <v>80</v>
      </c>
    </row>
    <row r="1732">
      <c r="A1732" s="10">
        <v>5.3305639461E10</v>
      </c>
      <c r="B1732" s="11">
        <v>0.077</v>
      </c>
      <c r="C1732" s="11">
        <v>1052.0</v>
      </c>
      <c r="D1732" s="11">
        <v>0.076</v>
      </c>
      <c r="E1732" s="7" t="s">
        <v>212</v>
      </c>
      <c r="F1732" s="9" t="s">
        <v>62</v>
      </c>
      <c r="G1732" s="5" t="s">
        <v>80</v>
      </c>
    </row>
    <row r="1733">
      <c r="A1733" s="10">
        <v>6.6021205382E10</v>
      </c>
      <c r="B1733" s="11">
        <v>0.08</v>
      </c>
      <c r="C1733" s="11">
        <v>1244.0</v>
      </c>
      <c r="D1733" s="11">
        <v>0.072</v>
      </c>
      <c r="E1733" s="7" t="s">
        <v>212</v>
      </c>
      <c r="F1733" s="9" t="s">
        <v>63</v>
      </c>
      <c r="G1733" s="5" t="s">
        <v>80</v>
      </c>
    </row>
    <row r="1734">
      <c r="A1734" s="10">
        <v>8.7440435752E10</v>
      </c>
      <c r="B1734" s="11">
        <v>0.079</v>
      </c>
      <c r="C1734" s="11">
        <v>1602.0</v>
      </c>
      <c r="D1734" s="11">
        <v>0.07</v>
      </c>
      <c r="E1734" s="7" t="s">
        <v>212</v>
      </c>
      <c r="F1734" s="9" t="s">
        <v>64</v>
      </c>
      <c r="G1734" s="5" t="s">
        <v>80</v>
      </c>
    </row>
    <row r="1735">
      <c r="A1735" s="10">
        <v>1.03E11</v>
      </c>
      <c r="B1735" s="11">
        <v>0.08</v>
      </c>
      <c r="C1735" s="11">
        <v>1974.0</v>
      </c>
      <c r="D1735" s="11">
        <v>0.071</v>
      </c>
      <c r="E1735" s="7" t="s">
        <v>212</v>
      </c>
      <c r="F1735" s="9" t="s">
        <v>65</v>
      </c>
      <c r="G1735" s="5" t="s">
        <v>80</v>
      </c>
    </row>
    <row r="1736">
      <c r="A1736" s="10">
        <v>1.14E11</v>
      </c>
      <c r="B1736" s="11">
        <v>0.084</v>
      </c>
      <c r="C1736" s="11">
        <v>2288.0</v>
      </c>
      <c r="D1736" s="11">
        <v>0.078</v>
      </c>
      <c r="E1736" s="7" t="s">
        <v>212</v>
      </c>
      <c r="F1736" s="9" t="s">
        <v>66</v>
      </c>
      <c r="G1736" s="5" t="s">
        <v>80</v>
      </c>
    </row>
    <row r="1737">
      <c r="A1737" s="10">
        <v>1.1E11</v>
      </c>
      <c r="B1737" s="11">
        <v>0.088</v>
      </c>
      <c r="C1737" s="11">
        <v>2295.0</v>
      </c>
      <c r="D1737" s="11">
        <v>0.082</v>
      </c>
      <c r="E1737" s="7" t="s">
        <v>212</v>
      </c>
      <c r="F1737" s="9" t="s">
        <v>67</v>
      </c>
      <c r="G1737" s="5" t="s">
        <v>80</v>
      </c>
    </row>
    <row r="1738">
      <c r="A1738" s="10">
        <v>1.35E11</v>
      </c>
      <c r="B1738" s="11">
        <v>0.085</v>
      </c>
      <c r="C1738" s="11">
        <v>2694.0</v>
      </c>
      <c r="D1738" s="11">
        <v>0.086</v>
      </c>
      <c r="E1738" s="7" t="s">
        <v>212</v>
      </c>
      <c r="F1738" s="9" t="s">
        <v>68</v>
      </c>
      <c r="G1738" s="5" t="s">
        <v>80</v>
      </c>
    </row>
    <row r="1739">
      <c r="A1739" s="10">
        <v>1.3E11</v>
      </c>
      <c r="B1739" s="11">
        <v>0.093</v>
      </c>
      <c r="C1739" s="11">
        <v>2820.0</v>
      </c>
      <c r="D1739" s="11">
        <v>0.089</v>
      </c>
      <c r="E1739" s="7" t="s">
        <v>212</v>
      </c>
      <c r="F1739" s="9" t="s">
        <v>69</v>
      </c>
      <c r="G1739" s="5" t="s">
        <v>80</v>
      </c>
    </row>
    <row r="1740">
      <c r="A1740" s="10">
        <v>1.19E11</v>
      </c>
      <c r="B1740" s="11">
        <v>0.1</v>
      </c>
      <c r="C1740" s="11">
        <v>2702.0</v>
      </c>
      <c r="D1740" s="11">
        <v>0.067</v>
      </c>
      <c r="E1740" s="7" t="s">
        <v>212</v>
      </c>
      <c r="F1740" s="9" t="s">
        <v>70</v>
      </c>
      <c r="G1740" s="5" t="s">
        <v>80</v>
      </c>
    </row>
    <row r="1741">
      <c r="A1741" s="10">
        <v>1.43E11</v>
      </c>
      <c r="B1741" s="11">
        <v>0.102</v>
      </c>
      <c r="C1741" s="11">
        <v>3260.0</v>
      </c>
      <c r="D1741" s="11">
        <v>0.063</v>
      </c>
      <c r="E1741" s="7" t="s">
        <v>212</v>
      </c>
      <c r="F1741" s="9" t="s">
        <v>71</v>
      </c>
      <c r="G1741" s="5" t="s">
        <v>80</v>
      </c>
    </row>
    <row r="1742">
      <c r="A1742" s="10">
        <v>1.64E11</v>
      </c>
      <c r="B1742" s="11">
        <v>0.103</v>
      </c>
      <c r="C1742" s="11">
        <v>3715.0</v>
      </c>
      <c r="D1742" s="11">
        <v>0.061</v>
      </c>
      <c r="E1742" s="7" t="s">
        <v>212</v>
      </c>
      <c r="F1742" s="9" t="s">
        <v>72</v>
      </c>
      <c r="G1742" s="5" t="s">
        <v>80</v>
      </c>
    </row>
    <row r="1743">
      <c r="A1743" s="10">
        <v>1.71E11</v>
      </c>
      <c r="B1743" s="11">
        <v>0.103</v>
      </c>
      <c r="C1743" s="11">
        <v>3292.0</v>
      </c>
      <c r="D1743" s="11">
        <v>0.058</v>
      </c>
      <c r="E1743" s="7" t="s">
        <v>212</v>
      </c>
      <c r="F1743" s="9" t="s">
        <v>73</v>
      </c>
      <c r="G1743" s="5" t="s">
        <v>80</v>
      </c>
    </row>
    <row r="1744">
      <c r="A1744" s="10">
        <v>5.10732901E9</v>
      </c>
      <c r="B1744" s="11">
        <v>0.054</v>
      </c>
      <c r="C1744" s="11">
        <v>54.0</v>
      </c>
      <c r="D1744" s="11">
        <v>0.181</v>
      </c>
      <c r="E1744" s="7" t="s">
        <v>213</v>
      </c>
      <c r="F1744" s="9" t="s">
        <v>60</v>
      </c>
      <c r="G1744" s="5" t="s">
        <v>84</v>
      </c>
    </row>
    <row r="1745">
      <c r="A1745" s="10">
        <v>5.323146568E9</v>
      </c>
      <c r="B1745" s="11">
        <v>0.053</v>
      </c>
      <c r="C1745" s="11">
        <v>54.0</v>
      </c>
      <c r="D1745" s="11">
        <v>0.186</v>
      </c>
      <c r="E1745" s="7" t="s">
        <v>213</v>
      </c>
      <c r="F1745" s="9" t="s">
        <v>62</v>
      </c>
      <c r="G1745" s="5" t="s">
        <v>84</v>
      </c>
    </row>
    <row r="1746">
      <c r="A1746" s="10">
        <v>5.224213019E9</v>
      </c>
      <c r="B1746" s="11">
        <v>0.057</v>
      </c>
      <c r="C1746" s="11">
        <v>57.0</v>
      </c>
      <c r="D1746" s="11">
        <v>0.183</v>
      </c>
      <c r="E1746" s="7" t="s">
        <v>213</v>
      </c>
      <c r="F1746" s="9" t="s">
        <v>63</v>
      </c>
      <c r="G1746" s="5" t="s">
        <v>84</v>
      </c>
    </row>
    <row r="1747">
      <c r="A1747" s="10">
        <v>5.322437648E9</v>
      </c>
      <c r="B1747" s="11">
        <v>0.061</v>
      </c>
      <c r="C1747" s="11">
        <v>61.0</v>
      </c>
      <c r="D1747" s="11">
        <v>0.155</v>
      </c>
      <c r="E1747" s="7" t="s">
        <v>213</v>
      </c>
      <c r="F1747" s="9" t="s">
        <v>64</v>
      </c>
      <c r="G1747" s="5" t="s">
        <v>84</v>
      </c>
    </row>
    <row r="1748">
      <c r="A1748" s="10">
        <v>5.795568203E9</v>
      </c>
      <c r="B1748" s="11">
        <v>0.061</v>
      </c>
      <c r="C1748" s="11">
        <v>66.0</v>
      </c>
      <c r="D1748" s="11">
        <v>0.135</v>
      </c>
      <c r="E1748" s="7" t="s">
        <v>213</v>
      </c>
      <c r="F1748" s="9" t="s">
        <v>65</v>
      </c>
      <c r="G1748" s="5" t="s">
        <v>84</v>
      </c>
    </row>
    <row r="1749">
      <c r="A1749" s="10">
        <v>6.322582497E9</v>
      </c>
      <c r="B1749" s="11">
        <v>0.061</v>
      </c>
      <c r="C1749" s="11">
        <v>71.0</v>
      </c>
      <c r="D1749" s="11">
        <v>0.121</v>
      </c>
      <c r="E1749" s="7" t="s">
        <v>213</v>
      </c>
      <c r="F1749" s="9" t="s">
        <v>66</v>
      </c>
      <c r="G1749" s="5" t="s">
        <v>84</v>
      </c>
    </row>
    <row r="1750">
      <c r="A1750" s="10">
        <v>6.786340353E9</v>
      </c>
      <c r="B1750" s="11">
        <v>0.063</v>
      </c>
      <c r="C1750" s="11">
        <v>78.0</v>
      </c>
      <c r="D1750" s="11">
        <v>0.116</v>
      </c>
      <c r="E1750" s="7" t="s">
        <v>213</v>
      </c>
      <c r="F1750" s="9" t="s">
        <v>67</v>
      </c>
      <c r="G1750" s="5" t="s">
        <v>84</v>
      </c>
    </row>
    <row r="1751">
      <c r="A1751" s="10">
        <v>7.458167331E9</v>
      </c>
      <c r="B1751" s="11">
        <v>0.069</v>
      </c>
      <c r="C1751" s="11">
        <v>92.0</v>
      </c>
      <c r="D1751" s="11">
        <v>0.13</v>
      </c>
      <c r="E1751" s="7" t="s">
        <v>213</v>
      </c>
      <c r="F1751" s="9" t="s">
        <v>68</v>
      </c>
      <c r="G1751" s="5" t="s">
        <v>84</v>
      </c>
    </row>
    <row r="1752">
      <c r="A1752" s="10">
        <v>8.491371523E9</v>
      </c>
      <c r="B1752" s="11">
        <v>0.072</v>
      </c>
      <c r="C1752" s="11">
        <v>105.0</v>
      </c>
      <c r="D1752" s="11">
        <v>0.132</v>
      </c>
      <c r="E1752" s="7" t="s">
        <v>213</v>
      </c>
      <c r="F1752" s="9" t="s">
        <v>69</v>
      </c>
      <c r="G1752" s="5" t="s">
        <v>84</v>
      </c>
    </row>
    <row r="1753">
      <c r="A1753" s="10">
        <v>8.38073699E9</v>
      </c>
      <c r="B1753" s="11">
        <v>0.077</v>
      </c>
      <c r="C1753" s="11">
        <v>109.0</v>
      </c>
      <c r="D1753" s="11">
        <v>0.14</v>
      </c>
      <c r="E1753" s="7" t="s">
        <v>213</v>
      </c>
      <c r="F1753" s="9" t="s">
        <v>70</v>
      </c>
      <c r="G1753" s="5" t="s">
        <v>84</v>
      </c>
    </row>
    <row r="1754">
      <c r="A1754" s="10">
        <v>8.93821056E9</v>
      </c>
      <c r="B1754" s="11">
        <v>0.076</v>
      </c>
      <c r="C1754" s="11">
        <v>112.0</v>
      </c>
      <c r="D1754" s="11">
        <v>0.133</v>
      </c>
      <c r="E1754" s="7" t="s">
        <v>213</v>
      </c>
      <c r="F1754" s="9" t="s">
        <v>71</v>
      </c>
      <c r="G1754" s="5" t="s">
        <v>84</v>
      </c>
    </row>
    <row r="1755">
      <c r="A1755" s="10">
        <v>9.898547558E9</v>
      </c>
      <c r="B1755" s="11">
        <v>0.076</v>
      </c>
      <c r="C1755" s="11">
        <v>124.0</v>
      </c>
      <c r="D1755" s="11">
        <v>0.105</v>
      </c>
      <c r="E1755" s="7" t="s">
        <v>213</v>
      </c>
      <c r="F1755" s="9" t="s">
        <v>72</v>
      </c>
      <c r="G1755" s="5" t="s">
        <v>84</v>
      </c>
    </row>
    <row r="1756">
      <c r="A1756" s="10">
        <v>1.0644973606E10</v>
      </c>
      <c r="B1756" s="11">
        <v>0.082</v>
      </c>
      <c r="C1756" s="11">
        <v>144.0</v>
      </c>
      <c r="D1756" s="11">
        <v>0.12</v>
      </c>
      <c r="E1756" s="7" t="s">
        <v>213</v>
      </c>
      <c r="F1756" s="9" t="s">
        <v>73</v>
      </c>
      <c r="G1756" s="5" t="s">
        <v>84</v>
      </c>
    </row>
    <row r="1757">
      <c r="A1757" s="10">
        <v>1.798374533E9</v>
      </c>
      <c r="B1757" s="11">
        <v>0.064</v>
      </c>
      <c r="C1757" s="11">
        <v>10.0</v>
      </c>
      <c r="D1757" s="8"/>
      <c r="E1757" s="7" t="s">
        <v>214</v>
      </c>
      <c r="F1757" s="9" t="s">
        <v>60</v>
      </c>
      <c r="G1757" s="5" t="s">
        <v>77</v>
      </c>
    </row>
    <row r="1758">
      <c r="A1758" s="10">
        <v>1.945327546E9</v>
      </c>
      <c r="B1758" s="11">
        <v>0.074</v>
      </c>
      <c r="C1758" s="11">
        <v>12.0</v>
      </c>
      <c r="D1758" s="8"/>
      <c r="E1758" s="7" t="s">
        <v>214</v>
      </c>
      <c r="F1758" s="9" t="s">
        <v>62</v>
      </c>
      <c r="G1758" s="5" t="s">
        <v>77</v>
      </c>
    </row>
    <row r="1759">
      <c r="A1759" s="10">
        <v>2.170481498E9</v>
      </c>
      <c r="B1759" s="11">
        <v>0.07</v>
      </c>
      <c r="C1759" s="11">
        <v>12.0</v>
      </c>
      <c r="D1759" s="8"/>
      <c r="E1759" s="7" t="s">
        <v>214</v>
      </c>
      <c r="F1759" s="9" t="s">
        <v>63</v>
      </c>
      <c r="G1759" s="5" t="s">
        <v>77</v>
      </c>
    </row>
    <row r="1760">
      <c r="A1760" s="10">
        <v>2.731416281E9</v>
      </c>
      <c r="B1760" s="11">
        <v>0.068</v>
      </c>
      <c r="C1760" s="11">
        <v>15.0</v>
      </c>
      <c r="D1760" s="8"/>
      <c r="E1760" s="7" t="s">
        <v>214</v>
      </c>
      <c r="F1760" s="9" t="s">
        <v>64</v>
      </c>
      <c r="G1760" s="5" t="s">
        <v>77</v>
      </c>
    </row>
    <row r="1761">
      <c r="A1761" s="10">
        <v>3.052898686E9</v>
      </c>
      <c r="B1761" s="11">
        <v>0.071</v>
      </c>
      <c r="C1761" s="11">
        <v>16.0</v>
      </c>
      <c r="D1761" s="8"/>
      <c r="E1761" s="7" t="s">
        <v>214</v>
      </c>
      <c r="F1761" s="9" t="s">
        <v>65</v>
      </c>
      <c r="G1761" s="5" t="s">
        <v>77</v>
      </c>
    </row>
    <row r="1762">
      <c r="A1762" s="10">
        <v>3.405134555E9</v>
      </c>
      <c r="B1762" s="11">
        <v>0.077</v>
      </c>
      <c r="C1762" s="11">
        <v>20.0</v>
      </c>
      <c r="D1762" s="8"/>
      <c r="E1762" s="7" t="s">
        <v>214</v>
      </c>
      <c r="F1762" s="9" t="s">
        <v>66</v>
      </c>
      <c r="G1762" s="5" t="s">
        <v>77</v>
      </c>
    </row>
    <row r="1763">
      <c r="A1763" s="10">
        <v>3.646727993E9</v>
      </c>
      <c r="B1763" s="11">
        <v>0.079</v>
      </c>
      <c r="C1763" s="11">
        <v>21.0</v>
      </c>
      <c r="D1763" s="8"/>
      <c r="E1763" s="7" t="s">
        <v>214</v>
      </c>
      <c r="F1763" s="9" t="s">
        <v>67</v>
      </c>
      <c r="G1763" s="5" t="s">
        <v>77</v>
      </c>
    </row>
    <row r="1764">
      <c r="A1764" s="10">
        <v>4.291363547E9</v>
      </c>
      <c r="B1764" s="11">
        <v>0.074</v>
      </c>
      <c r="C1764" s="11">
        <v>22.0</v>
      </c>
      <c r="D1764" s="8"/>
      <c r="E1764" s="7" t="s">
        <v>214</v>
      </c>
      <c r="F1764" s="9" t="s">
        <v>68</v>
      </c>
      <c r="G1764" s="5" t="s">
        <v>77</v>
      </c>
    </row>
    <row r="1765">
      <c r="A1765" s="10">
        <v>5.403364454E9</v>
      </c>
      <c r="B1765" s="11">
        <v>0.071</v>
      </c>
      <c r="C1765" s="11">
        <v>26.0</v>
      </c>
      <c r="D1765" s="8"/>
      <c r="E1765" s="7" t="s">
        <v>214</v>
      </c>
      <c r="F1765" s="9" t="s">
        <v>69</v>
      </c>
      <c r="G1765" s="5" t="s">
        <v>77</v>
      </c>
    </row>
    <row r="1766">
      <c r="A1766" s="10">
        <v>5.397121962E9</v>
      </c>
      <c r="B1766" s="11">
        <v>0.077</v>
      </c>
      <c r="C1766" s="11">
        <v>27.0</v>
      </c>
      <c r="D1766" s="8"/>
      <c r="E1766" s="7" t="s">
        <v>214</v>
      </c>
      <c r="F1766" s="9" t="s">
        <v>70</v>
      </c>
      <c r="G1766" s="5" t="s">
        <v>77</v>
      </c>
    </row>
    <row r="1767">
      <c r="A1767" s="10">
        <v>5.71858955E9</v>
      </c>
      <c r="B1767" s="11">
        <v>0.069</v>
      </c>
      <c r="C1767" s="11">
        <v>24.0</v>
      </c>
      <c r="D1767" s="8"/>
      <c r="E1767" s="7" t="s">
        <v>214</v>
      </c>
      <c r="F1767" s="9" t="s">
        <v>71</v>
      </c>
      <c r="G1767" s="5" t="s">
        <v>77</v>
      </c>
    </row>
    <row r="1768">
      <c r="A1768" s="10">
        <v>6.411842066E9</v>
      </c>
      <c r="B1768" s="11">
        <v>0.068</v>
      </c>
      <c r="C1768" s="11">
        <v>25.0</v>
      </c>
      <c r="D1768" s="8"/>
      <c r="E1768" s="7" t="s">
        <v>214</v>
      </c>
      <c r="F1768" s="9" t="s">
        <v>72</v>
      </c>
      <c r="G1768" s="5" t="s">
        <v>77</v>
      </c>
    </row>
    <row r="1769">
      <c r="A1769" s="10">
        <v>6.773185511E9</v>
      </c>
      <c r="B1769" s="11">
        <v>0.072</v>
      </c>
      <c r="C1769" s="11">
        <v>25.0</v>
      </c>
      <c r="D1769" s="8"/>
      <c r="E1769" s="7" t="s">
        <v>214</v>
      </c>
      <c r="F1769" s="9" t="s">
        <v>73</v>
      </c>
      <c r="G1769" s="5" t="s">
        <v>77</v>
      </c>
    </row>
    <row r="1770">
      <c r="A1770" s="10">
        <v>4.6385996027E10</v>
      </c>
      <c r="B1770" s="11">
        <v>0.046</v>
      </c>
      <c r="C1770" s="11">
        <v>17.0</v>
      </c>
      <c r="D1770" s="11">
        <v>0.213</v>
      </c>
      <c r="E1770" s="7" t="s">
        <v>215</v>
      </c>
      <c r="F1770" s="9" t="s">
        <v>60</v>
      </c>
      <c r="G1770" s="5" t="s">
        <v>77</v>
      </c>
    </row>
    <row r="1771">
      <c r="A1771" s="10">
        <v>4.4138014092E10</v>
      </c>
      <c r="B1771" s="11">
        <v>0.048</v>
      </c>
      <c r="C1771" s="11">
        <v>18.0</v>
      </c>
      <c r="D1771" s="11">
        <v>0.234</v>
      </c>
      <c r="E1771" s="7" t="s">
        <v>215</v>
      </c>
      <c r="F1771" s="9" t="s">
        <v>62</v>
      </c>
      <c r="G1771" s="5" t="s">
        <v>77</v>
      </c>
    </row>
    <row r="1772">
      <c r="A1772" s="10">
        <v>5.911686825E10</v>
      </c>
      <c r="B1772" s="11">
        <v>0.039</v>
      </c>
      <c r="C1772" s="11">
        <v>18.0</v>
      </c>
      <c r="D1772" s="11">
        <v>0.248</v>
      </c>
      <c r="E1772" s="7" t="s">
        <v>215</v>
      </c>
      <c r="F1772" s="9" t="s">
        <v>63</v>
      </c>
      <c r="G1772" s="5" t="s">
        <v>77</v>
      </c>
    </row>
    <row r="1773">
      <c r="A1773" s="10">
        <v>6.7655840108E10</v>
      </c>
      <c r="B1773" s="11">
        <v>0.075</v>
      </c>
      <c r="C1773" s="11">
        <v>39.0</v>
      </c>
      <c r="D1773" s="11">
        <v>0.207</v>
      </c>
      <c r="E1773" s="7" t="s">
        <v>215</v>
      </c>
      <c r="F1773" s="9" t="s">
        <v>64</v>
      </c>
      <c r="G1773" s="5" t="s">
        <v>77</v>
      </c>
    </row>
    <row r="1774">
      <c r="A1774" s="10">
        <v>8.7845403978E10</v>
      </c>
      <c r="B1774" s="11">
        <v>0.07</v>
      </c>
      <c r="C1774" s="11">
        <v>45.0</v>
      </c>
      <c r="D1774" s="11">
        <v>0.192</v>
      </c>
      <c r="E1774" s="7" t="s">
        <v>215</v>
      </c>
      <c r="F1774" s="9" t="s">
        <v>65</v>
      </c>
      <c r="G1774" s="5" t="s">
        <v>77</v>
      </c>
    </row>
    <row r="1775">
      <c r="A1775" s="10">
        <v>1.12E11</v>
      </c>
      <c r="B1775" s="11">
        <v>0.066</v>
      </c>
      <c r="C1775" s="11">
        <v>53.0</v>
      </c>
      <c r="D1775" s="11">
        <v>0.179</v>
      </c>
      <c r="E1775" s="7" t="s">
        <v>215</v>
      </c>
      <c r="F1775" s="9" t="s">
        <v>66</v>
      </c>
      <c r="G1775" s="5" t="s">
        <v>77</v>
      </c>
    </row>
    <row r="1776">
      <c r="A1776" s="10">
        <v>1.45E11</v>
      </c>
      <c r="B1776" s="11">
        <v>0.057</v>
      </c>
      <c r="C1776" s="11">
        <v>59.0</v>
      </c>
      <c r="D1776" s="11">
        <v>0.169</v>
      </c>
      <c r="E1776" s="7" t="s">
        <v>215</v>
      </c>
      <c r="F1776" s="9" t="s">
        <v>67</v>
      </c>
      <c r="G1776" s="5" t="s">
        <v>77</v>
      </c>
    </row>
    <row r="1777">
      <c r="A1777" s="10">
        <v>1.66E11</v>
      </c>
      <c r="B1777" s="11">
        <v>0.072</v>
      </c>
      <c r="C1777" s="11">
        <v>81.0</v>
      </c>
      <c r="D1777" s="11">
        <v>0.169</v>
      </c>
      <c r="E1777" s="7" t="s">
        <v>215</v>
      </c>
      <c r="F1777" s="9" t="s">
        <v>68</v>
      </c>
      <c r="G1777" s="5" t="s">
        <v>77</v>
      </c>
    </row>
    <row r="1778">
      <c r="A1778" s="10">
        <v>2.08E11</v>
      </c>
      <c r="B1778" s="11">
        <v>0.065</v>
      </c>
      <c r="C1778" s="11">
        <v>88.0</v>
      </c>
      <c r="D1778" s="11">
        <v>0.155</v>
      </c>
      <c r="E1778" s="7" t="s">
        <v>215</v>
      </c>
      <c r="F1778" s="9" t="s">
        <v>69</v>
      </c>
      <c r="G1778" s="5" t="s">
        <v>77</v>
      </c>
    </row>
    <row r="1779">
      <c r="A1779" s="10">
        <v>1.69E11</v>
      </c>
      <c r="B1779" s="11">
        <v>0.068</v>
      </c>
      <c r="C1779" s="11">
        <v>74.0</v>
      </c>
      <c r="D1779" s="11">
        <v>0.184</v>
      </c>
      <c r="E1779" s="7" t="s">
        <v>215</v>
      </c>
      <c r="F1779" s="9" t="s">
        <v>70</v>
      </c>
      <c r="G1779" s="5" t="s">
        <v>77</v>
      </c>
    </row>
    <row r="1780">
      <c r="A1780" s="10">
        <v>3.69E11</v>
      </c>
      <c r="B1780" s="11">
        <v>0.056</v>
      </c>
      <c r="C1780" s="11">
        <v>80.0</v>
      </c>
      <c r="D1780" s="11">
        <v>0.176</v>
      </c>
      <c r="E1780" s="7" t="s">
        <v>215</v>
      </c>
      <c r="F1780" s="9" t="s">
        <v>71</v>
      </c>
      <c r="G1780" s="5" t="s">
        <v>77</v>
      </c>
    </row>
    <row r="1781">
      <c r="A1781" s="10">
        <v>4.12E11</v>
      </c>
      <c r="B1781" s="11">
        <v>0.057</v>
      </c>
      <c r="C1781" s="11">
        <v>85.0</v>
      </c>
      <c r="D1781" s="11">
        <v>0.16</v>
      </c>
      <c r="E1781" s="7" t="s">
        <v>215</v>
      </c>
      <c r="F1781" s="9" t="s">
        <v>72</v>
      </c>
      <c r="G1781" s="5" t="s">
        <v>77</v>
      </c>
    </row>
    <row r="1782">
      <c r="A1782" s="10">
        <v>4.63E11</v>
      </c>
      <c r="B1782" s="11">
        <v>0.061</v>
      </c>
      <c r="C1782" s="11">
        <v>94.0</v>
      </c>
      <c r="D1782" s="11">
        <v>0.168</v>
      </c>
      <c r="E1782" s="7" t="s">
        <v>215</v>
      </c>
      <c r="F1782" s="9" t="s">
        <v>73</v>
      </c>
      <c r="G1782" s="5" t="s">
        <v>77</v>
      </c>
    </row>
    <row r="1783">
      <c r="A1783" s="7"/>
      <c r="B1783" s="8"/>
      <c r="C1783" s="8"/>
      <c r="D1783" s="8"/>
      <c r="E1783" s="7" t="s">
        <v>216</v>
      </c>
      <c r="F1783" s="9" t="s">
        <v>60</v>
      </c>
      <c r="G1783" s="5" t="s">
        <v>61</v>
      </c>
    </row>
    <row r="1784">
      <c r="A1784" s="7"/>
      <c r="B1784" s="8"/>
      <c r="C1784" s="8"/>
      <c r="D1784" s="8"/>
      <c r="E1784" s="7" t="s">
        <v>216</v>
      </c>
      <c r="F1784" s="9" t="s">
        <v>62</v>
      </c>
      <c r="G1784" s="5" t="s">
        <v>61</v>
      </c>
    </row>
    <row r="1785">
      <c r="A1785" s="7"/>
      <c r="B1785" s="8"/>
      <c r="C1785" s="8"/>
      <c r="D1785" s="8"/>
      <c r="E1785" s="7" t="s">
        <v>216</v>
      </c>
      <c r="F1785" s="9" t="s">
        <v>63</v>
      </c>
      <c r="G1785" s="5" t="s">
        <v>61</v>
      </c>
    </row>
    <row r="1786">
      <c r="A1786" s="7"/>
      <c r="B1786" s="8"/>
      <c r="C1786" s="8"/>
      <c r="D1786" s="8"/>
      <c r="E1786" s="7" t="s">
        <v>216</v>
      </c>
      <c r="F1786" s="9" t="s">
        <v>64</v>
      </c>
      <c r="G1786" s="5" t="s">
        <v>61</v>
      </c>
    </row>
    <row r="1787">
      <c r="A1787" s="7"/>
      <c r="B1787" s="8"/>
      <c r="C1787" s="8"/>
      <c r="D1787" s="8"/>
      <c r="E1787" s="7" t="s">
        <v>216</v>
      </c>
      <c r="F1787" s="9" t="s">
        <v>65</v>
      </c>
      <c r="G1787" s="5" t="s">
        <v>61</v>
      </c>
    </row>
    <row r="1788">
      <c r="A1788" s="7"/>
      <c r="B1788" s="8"/>
      <c r="C1788" s="8"/>
      <c r="D1788" s="8"/>
      <c r="E1788" s="7" t="s">
        <v>216</v>
      </c>
      <c r="F1788" s="9" t="s">
        <v>66</v>
      </c>
      <c r="G1788" s="5" t="s">
        <v>61</v>
      </c>
    </row>
    <row r="1789">
      <c r="A1789" s="7"/>
      <c r="B1789" s="8"/>
      <c r="C1789" s="8"/>
      <c r="D1789" s="8"/>
      <c r="E1789" s="7" t="s">
        <v>216</v>
      </c>
      <c r="F1789" s="9" t="s">
        <v>67</v>
      </c>
      <c r="G1789" s="5" t="s">
        <v>61</v>
      </c>
    </row>
    <row r="1790">
      <c r="A1790" s="7"/>
      <c r="B1790" s="8"/>
      <c r="C1790" s="8"/>
      <c r="D1790" s="8"/>
      <c r="E1790" s="7" t="s">
        <v>216</v>
      </c>
      <c r="F1790" s="9" t="s">
        <v>68</v>
      </c>
      <c r="G1790" s="5" t="s">
        <v>61</v>
      </c>
    </row>
    <row r="1791">
      <c r="A1791" s="7"/>
      <c r="B1791" s="8"/>
      <c r="C1791" s="8"/>
      <c r="D1791" s="8"/>
      <c r="E1791" s="7" t="s">
        <v>216</v>
      </c>
      <c r="F1791" s="9" t="s">
        <v>69</v>
      </c>
      <c r="G1791" s="5" t="s">
        <v>61</v>
      </c>
    </row>
    <row r="1792">
      <c r="A1792" s="7"/>
      <c r="B1792" s="8"/>
      <c r="C1792" s="8"/>
      <c r="D1792" s="8"/>
      <c r="E1792" s="7" t="s">
        <v>216</v>
      </c>
      <c r="F1792" s="9" t="s">
        <v>70</v>
      </c>
      <c r="G1792" s="5" t="s">
        <v>61</v>
      </c>
    </row>
    <row r="1793">
      <c r="A1793" s="7"/>
      <c r="B1793" s="8"/>
      <c r="C1793" s="8"/>
      <c r="D1793" s="8"/>
      <c r="E1793" s="7" t="s">
        <v>216</v>
      </c>
      <c r="F1793" s="9" t="s">
        <v>71</v>
      </c>
      <c r="G1793" s="5" t="s">
        <v>61</v>
      </c>
    </row>
    <row r="1794">
      <c r="A1794" s="7"/>
      <c r="B1794" s="8"/>
      <c r="C1794" s="8"/>
      <c r="D1794" s="8"/>
      <c r="E1794" s="7" t="s">
        <v>216</v>
      </c>
      <c r="F1794" s="9" t="s">
        <v>72</v>
      </c>
      <c r="G1794" s="5" t="s">
        <v>61</v>
      </c>
    </row>
    <row r="1795">
      <c r="A1795" s="7"/>
      <c r="B1795" s="8"/>
      <c r="C1795" s="8"/>
      <c r="D1795" s="8"/>
      <c r="E1795" s="7" t="s">
        <v>216</v>
      </c>
      <c r="F1795" s="9" t="s">
        <v>73</v>
      </c>
      <c r="G1795" s="5" t="s">
        <v>61</v>
      </c>
    </row>
    <row r="1796">
      <c r="A1796" s="10">
        <v>3.586883989E9</v>
      </c>
      <c r="B1796" s="11">
        <v>0.087</v>
      </c>
      <c r="C1796" s="11">
        <v>153.0</v>
      </c>
      <c r="D1796" s="11">
        <v>0.189</v>
      </c>
      <c r="E1796" s="7" t="s">
        <v>217</v>
      </c>
      <c r="F1796" s="9" t="s">
        <v>60</v>
      </c>
      <c r="G1796" s="5" t="s">
        <v>75</v>
      </c>
    </row>
    <row r="1797">
      <c r="A1797" s="10">
        <v>3.436961385E9</v>
      </c>
      <c r="B1797" s="11">
        <v>0.085</v>
      </c>
      <c r="C1797" s="11">
        <v>141.0</v>
      </c>
      <c r="D1797" s="11">
        <v>0.194</v>
      </c>
      <c r="E1797" s="7" t="s">
        <v>217</v>
      </c>
      <c r="F1797" s="9" t="s">
        <v>62</v>
      </c>
      <c r="G1797" s="5" t="s">
        <v>75</v>
      </c>
    </row>
    <row r="1798">
      <c r="A1798" s="10">
        <v>3.791306758E9</v>
      </c>
      <c r="B1798" s="11">
        <v>0.093</v>
      </c>
      <c r="C1798" s="11">
        <v>170.0</v>
      </c>
      <c r="D1798" s="11">
        <v>0.184</v>
      </c>
      <c r="E1798" s="7" t="s">
        <v>217</v>
      </c>
      <c r="F1798" s="9" t="s">
        <v>63</v>
      </c>
      <c r="G1798" s="5" t="s">
        <v>75</v>
      </c>
    </row>
    <row r="1799">
      <c r="A1799" s="10">
        <v>4.756221629E9</v>
      </c>
      <c r="B1799" s="11">
        <v>0.093</v>
      </c>
      <c r="C1799" s="11">
        <v>212.0</v>
      </c>
      <c r="D1799" s="11">
        <v>0.16</v>
      </c>
      <c r="E1799" s="7" t="s">
        <v>217</v>
      </c>
      <c r="F1799" s="9" t="s">
        <v>64</v>
      </c>
      <c r="G1799" s="5" t="s">
        <v>75</v>
      </c>
    </row>
    <row r="1800">
      <c r="A1800" s="10">
        <v>5.514253043E9</v>
      </c>
      <c r="B1800" s="11">
        <v>0.087</v>
      </c>
      <c r="C1800" s="11">
        <v>230.0</v>
      </c>
      <c r="D1800" s="11">
        <v>0.124</v>
      </c>
      <c r="E1800" s="7" t="s">
        <v>217</v>
      </c>
      <c r="F1800" s="9" t="s">
        <v>65</v>
      </c>
      <c r="G1800" s="5" t="s">
        <v>75</v>
      </c>
    </row>
    <row r="1801">
      <c r="A1801" s="10">
        <v>5.98580906E9</v>
      </c>
      <c r="B1801" s="11">
        <v>0.081</v>
      </c>
      <c r="C1801" s="11">
        <v>231.0</v>
      </c>
      <c r="D1801" s="11">
        <v>0.121</v>
      </c>
      <c r="E1801" s="7" t="s">
        <v>217</v>
      </c>
      <c r="F1801" s="9" t="s">
        <v>66</v>
      </c>
      <c r="G1801" s="5" t="s">
        <v>75</v>
      </c>
    </row>
    <row r="1802">
      <c r="A1802" s="10">
        <v>6.5605469E9</v>
      </c>
      <c r="B1802" s="11">
        <v>0.078</v>
      </c>
      <c r="C1802" s="11">
        <v>246.0</v>
      </c>
      <c r="D1802" s="11">
        <v>0.113</v>
      </c>
      <c r="E1802" s="7" t="s">
        <v>217</v>
      </c>
      <c r="F1802" s="9" t="s">
        <v>67</v>
      </c>
      <c r="G1802" s="5" t="s">
        <v>75</v>
      </c>
    </row>
    <row r="1803">
      <c r="A1803" s="10">
        <v>8.15982562E9</v>
      </c>
      <c r="B1803" s="11">
        <v>0.07</v>
      </c>
      <c r="C1803" s="11">
        <v>272.0</v>
      </c>
      <c r="D1803" s="11">
        <v>0.102</v>
      </c>
      <c r="E1803" s="7" t="s">
        <v>217</v>
      </c>
      <c r="F1803" s="9" t="s">
        <v>68</v>
      </c>
      <c r="G1803" s="5" t="s">
        <v>75</v>
      </c>
    </row>
    <row r="1804">
      <c r="A1804" s="10">
        <v>9.834034351E9</v>
      </c>
      <c r="B1804" s="11">
        <v>0.069</v>
      </c>
      <c r="C1804" s="11">
        <v>325.0</v>
      </c>
      <c r="D1804" s="11">
        <v>0.097</v>
      </c>
      <c r="E1804" s="7" t="s">
        <v>217</v>
      </c>
      <c r="F1804" s="9" t="s">
        <v>69</v>
      </c>
      <c r="G1804" s="5" t="s">
        <v>75</v>
      </c>
    </row>
    <row r="1805">
      <c r="A1805" s="10">
        <v>9.313573965E9</v>
      </c>
      <c r="B1805" s="11">
        <v>0.069</v>
      </c>
      <c r="C1805" s="11">
        <v>306.0</v>
      </c>
      <c r="D1805" s="11">
        <v>0.101</v>
      </c>
      <c r="E1805" s="7" t="s">
        <v>217</v>
      </c>
      <c r="F1805" s="9" t="s">
        <v>70</v>
      </c>
      <c r="G1805" s="5" t="s">
        <v>75</v>
      </c>
    </row>
    <row r="1806">
      <c r="A1806" s="10">
        <v>9.338674078E9</v>
      </c>
      <c r="B1806" s="11">
        <v>0.07</v>
      </c>
      <c r="C1806" s="11">
        <v>309.0</v>
      </c>
      <c r="D1806" s="11">
        <v>0.095</v>
      </c>
      <c r="E1806" s="7" t="s">
        <v>217</v>
      </c>
      <c r="F1806" s="9" t="s">
        <v>71</v>
      </c>
      <c r="G1806" s="5" t="s">
        <v>75</v>
      </c>
    </row>
    <row r="1807">
      <c r="A1807" s="10">
        <v>1.0395222334E10</v>
      </c>
      <c r="B1807" s="11">
        <v>0.069</v>
      </c>
      <c r="C1807" s="11">
        <v>344.0</v>
      </c>
      <c r="D1807" s="11">
        <v>0.089</v>
      </c>
      <c r="E1807" s="7" t="s">
        <v>217</v>
      </c>
      <c r="F1807" s="9" t="s">
        <v>72</v>
      </c>
      <c r="G1807" s="5" t="s">
        <v>75</v>
      </c>
    </row>
    <row r="1808">
      <c r="A1808" s="10">
        <v>9.576482628E9</v>
      </c>
      <c r="B1808" s="11">
        <v>0.071</v>
      </c>
      <c r="C1808" s="11">
        <v>327.0</v>
      </c>
      <c r="D1808" s="11">
        <v>0.085</v>
      </c>
      <c r="E1808" s="7" t="s">
        <v>217</v>
      </c>
      <c r="F1808" s="9" t="s">
        <v>73</v>
      </c>
      <c r="G1808" s="5" t="s">
        <v>75</v>
      </c>
    </row>
    <row r="1809">
      <c r="A1809" s="10">
        <v>1.68E11</v>
      </c>
      <c r="B1809" s="11">
        <v>0.091</v>
      </c>
      <c r="C1809" s="11">
        <v>3432.0</v>
      </c>
      <c r="D1809" s="11">
        <v>0.089</v>
      </c>
      <c r="E1809" s="7" t="s">
        <v>218</v>
      </c>
      <c r="F1809" s="9" t="s">
        <v>60</v>
      </c>
      <c r="G1809" s="5" t="s">
        <v>75</v>
      </c>
    </row>
    <row r="1810">
      <c r="A1810" s="10">
        <v>1.71E11</v>
      </c>
      <c r="B1810" s="11">
        <v>0.098</v>
      </c>
      <c r="C1810" s="11">
        <v>3705.0</v>
      </c>
      <c r="D1810" s="11">
        <v>0.087</v>
      </c>
      <c r="E1810" s="7" t="s">
        <v>218</v>
      </c>
      <c r="F1810" s="9" t="s">
        <v>62</v>
      </c>
      <c r="G1810" s="5" t="s">
        <v>75</v>
      </c>
    </row>
    <row r="1811">
      <c r="A1811" s="10">
        <v>1.92E11</v>
      </c>
      <c r="B1811" s="11">
        <v>0.104</v>
      </c>
      <c r="C1811" s="11">
        <v>4418.0</v>
      </c>
      <c r="D1811" s="11">
        <v>0.087</v>
      </c>
      <c r="E1811" s="7" t="s">
        <v>218</v>
      </c>
      <c r="F1811" s="9" t="s">
        <v>63</v>
      </c>
      <c r="G1811" s="5" t="s">
        <v>75</v>
      </c>
    </row>
    <row r="1812">
      <c r="A1812" s="10">
        <v>2.25E11</v>
      </c>
      <c r="B1812" s="11">
        <v>0.106</v>
      </c>
      <c r="C1812" s="11">
        <v>5220.0</v>
      </c>
      <c r="D1812" s="11">
        <v>0.047</v>
      </c>
      <c r="E1812" s="7" t="s">
        <v>218</v>
      </c>
      <c r="F1812" s="9" t="s">
        <v>64</v>
      </c>
      <c r="G1812" s="5" t="s">
        <v>75</v>
      </c>
    </row>
    <row r="1813">
      <c r="A1813" s="10">
        <v>2.6E11</v>
      </c>
      <c r="B1813" s="11">
        <v>0.101</v>
      </c>
      <c r="C1813" s="11">
        <v>5733.0</v>
      </c>
      <c r="D1813" s="11">
        <v>0.04</v>
      </c>
      <c r="E1813" s="7" t="s">
        <v>218</v>
      </c>
      <c r="F1813" s="9" t="s">
        <v>65</v>
      </c>
      <c r="G1813" s="5" t="s">
        <v>75</v>
      </c>
    </row>
    <row r="1814">
      <c r="A1814" s="10">
        <v>3.04E11</v>
      </c>
      <c r="B1814" s="11">
        <v>0.095</v>
      </c>
      <c r="C1814" s="11">
        <v>6293.0</v>
      </c>
      <c r="D1814" s="11">
        <v>0.04</v>
      </c>
      <c r="E1814" s="7" t="s">
        <v>218</v>
      </c>
      <c r="F1814" s="9" t="s">
        <v>66</v>
      </c>
      <c r="G1814" s="5" t="s">
        <v>75</v>
      </c>
    </row>
    <row r="1815">
      <c r="A1815" s="10">
        <v>3.4E11</v>
      </c>
      <c r="B1815" s="11">
        <v>0.092</v>
      </c>
      <c r="C1815" s="11">
        <v>6778.0</v>
      </c>
      <c r="D1815" s="11">
        <v>0.047</v>
      </c>
      <c r="E1815" s="7" t="s">
        <v>218</v>
      </c>
      <c r="F1815" s="9" t="s">
        <v>67</v>
      </c>
      <c r="G1815" s="5" t="s">
        <v>75</v>
      </c>
    </row>
    <row r="1816">
      <c r="A1816" s="10">
        <v>3.93E11</v>
      </c>
      <c r="B1816" s="11">
        <v>0.095</v>
      </c>
      <c r="C1816" s="11">
        <v>7978.0</v>
      </c>
      <c r="D1816" s="11">
        <v>0.066</v>
      </c>
      <c r="E1816" s="7" t="s">
        <v>218</v>
      </c>
      <c r="F1816" s="9" t="s">
        <v>68</v>
      </c>
      <c r="G1816" s="5" t="s">
        <v>75</v>
      </c>
    </row>
    <row r="1817">
      <c r="A1817" s="10">
        <v>4.54E11</v>
      </c>
      <c r="B1817" s="11">
        <v>0.09</v>
      </c>
      <c r="C1817" s="11">
        <v>8626.0</v>
      </c>
      <c r="D1817" s="11">
        <v>0.073</v>
      </c>
      <c r="E1817" s="7" t="s">
        <v>218</v>
      </c>
      <c r="F1817" s="9" t="s">
        <v>69</v>
      </c>
      <c r="G1817" s="5" t="s">
        <v>75</v>
      </c>
    </row>
    <row r="1818">
      <c r="A1818" s="10">
        <v>3.79E11</v>
      </c>
      <c r="B1818" s="11">
        <v>0.101</v>
      </c>
      <c r="C1818" s="11">
        <v>7944.0</v>
      </c>
      <c r="D1818" s="11">
        <v>0.043</v>
      </c>
      <c r="E1818" s="7" t="s">
        <v>218</v>
      </c>
      <c r="F1818" s="9" t="s">
        <v>70</v>
      </c>
      <c r="G1818" s="5" t="s">
        <v>75</v>
      </c>
    </row>
    <row r="1819">
      <c r="A1819" s="10">
        <v>4.21E11</v>
      </c>
      <c r="B1819" s="11">
        <v>0.1</v>
      </c>
      <c r="C1819" s="11">
        <v>8694.0</v>
      </c>
      <c r="D1819" s="8"/>
      <c r="E1819" s="7" t="s">
        <v>218</v>
      </c>
      <c r="F1819" s="9" t="s">
        <v>71</v>
      </c>
      <c r="G1819" s="5" t="s">
        <v>75</v>
      </c>
    </row>
    <row r="1820">
      <c r="A1820" s="10">
        <v>4.91E11</v>
      </c>
      <c r="B1820" s="11">
        <v>0.099</v>
      </c>
      <c r="C1820" s="11">
        <v>9908.0</v>
      </c>
      <c r="D1820" s="8"/>
      <c r="E1820" s="7" t="s">
        <v>218</v>
      </c>
      <c r="F1820" s="9" t="s">
        <v>72</v>
      </c>
      <c r="G1820" s="5" t="s">
        <v>75</v>
      </c>
    </row>
    <row r="1821">
      <c r="A1821" s="10">
        <v>5.0E11</v>
      </c>
      <c r="B1821" s="11">
        <v>0.09</v>
      </c>
      <c r="C1821" s="11">
        <v>9055.0</v>
      </c>
      <c r="D1821" s="8"/>
      <c r="E1821" s="7" t="s">
        <v>218</v>
      </c>
      <c r="F1821" s="9" t="s">
        <v>73</v>
      </c>
      <c r="G1821" s="5" t="s">
        <v>75</v>
      </c>
    </row>
    <row r="1822">
      <c r="A1822" s="10">
        <v>1.986788055E10</v>
      </c>
      <c r="B1822" s="11">
        <v>0.031</v>
      </c>
      <c r="C1822" s="11">
        <v>264.0</v>
      </c>
      <c r="D1822" s="11">
        <v>0.101</v>
      </c>
      <c r="E1822" s="7" t="s">
        <v>219</v>
      </c>
      <c r="F1822" s="9" t="s">
        <v>60</v>
      </c>
      <c r="G1822" s="5" t="s">
        <v>93</v>
      </c>
    </row>
    <row r="1823">
      <c r="A1823" s="10">
        <v>1.9949284975E10</v>
      </c>
      <c r="B1823" s="11">
        <v>0.031</v>
      </c>
      <c r="C1823" s="11">
        <v>263.0</v>
      </c>
      <c r="D1823" s="11">
        <v>0.092</v>
      </c>
      <c r="E1823" s="7" t="s">
        <v>219</v>
      </c>
      <c r="F1823" s="9" t="s">
        <v>62</v>
      </c>
      <c r="G1823" s="5" t="s">
        <v>93</v>
      </c>
    </row>
    <row r="1824">
      <c r="A1824" s="10">
        <v>2.0049414986E10</v>
      </c>
      <c r="B1824" s="11">
        <v>0.032</v>
      </c>
      <c r="C1824" s="11">
        <v>278.0</v>
      </c>
      <c r="D1824" s="11">
        <v>0.085</v>
      </c>
      <c r="E1824" s="7" t="s">
        <v>219</v>
      </c>
      <c r="F1824" s="9" t="s">
        <v>63</v>
      </c>
      <c r="G1824" s="5" t="s">
        <v>93</v>
      </c>
    </row>
    <row r="1825">
      <c r="A1825" s="10">
        <v>2.1542262852E10</v>
      </c>
      <c r="B1825" s="11">
        <v>0.032</v>
      </c>
      <c r="C1825" s="11">
        <v>294.0</v>
      </c>
      <c r="D1825" s="11">
        <v>0.082</v>
      </c>
      <c r="E1825" s="7" t="s">
        <v>219</v>
      </c>
      <c r="F1825" s="9" t="s">
        <v>64</v>
      </c>
      <c r="G1825" s="5" t="s">
        <v>93</v>
      </c>
    </row>
    <row r="1826">
      <c r="A1826" s="10">
        <v>2.467360228E10</v>
      </c>
      <c r="B1826" s="11">
        <v>0.03</v>
      </c>
      <c r="C1826" s="11">
        <v>310.0</v>
      </c>
      <c r="D1826" s="11">
        <v>0.076</v>
      </c>
      <c r="E1826" s="7" t="s">
        <v>219</v>
      </c>
      <c r="F1826" s="9" t="s">
        <v>65</v>
      </c>
      <c r="G1826" s="5" t="s">
        <v>93</v>
      </c>
    </row>
    <row r="1827">
      <c r="A1827" s="10">
        <v>3.0905071771E10</v>
      </c>
      <c r="B1827" s="11">
        <v>0.026</v>
      </c>
      <c r="C1827" s="11">
        <v>331.0</v>
      </c>
      <c r="D1827" s="11">
        <v>0.071</v>
      </c>
      <c r="E1827" s="7" t="s">
        <v>219</v>
      </c>
      <c r="F1827" s="9" t="s">
        <v>66</v>
      </c>
      <c r="G1827" s="5" t="s">
        <v>93</v>
      </c>
    </row>
    <row r="1828">
      <c r="A1828" s="10">
        <v>3.6803641389E10</v>
      </c>
      <c r="B1828" s="11">
        <v>0.023</v>
      </c>
      <c r="C1828" s="11">
        <v>346.0</v>
      </c>
      <c r="D1828" s="11">
        <v>0.074</v>
      </c>
      <c r="E1828" s="7" t="s">
        <v>219</v>
      </c>
      <c r="F1828" s="9" t="s">
        <v>67</v>
      </c>
      <c r="G1828" s="5" t="s">
        <v>93</v>
      </c>
    </row>
    <row r="1829">
      <c r="A1829" s="10">
        <v>4.1901170689E10</v>
      </c>
      <c r="B1829" s="11">
        <v>0.025</v>
      </c>
      <c r="C1829" s="11">
        <v>403.0</v>
      </c>
      <c r="D1829" s="11">
        <v>0.073</v>
      </c>
      <c r="E1829" s="7" t="s">
        <v>219</v>
      </c>
      <c r="F1829" s="9" t="s">
        <v>68</v>
      </c>
      <c r="G1829" s="5" t="s">
        <v>93</v>
      </c>
    </row>
    <row r="1830">
      <c r="A1830" s="10">
        <v>6.0743823637E10</v>
      </c>
      <c r="B1830" s="11">
        <v>0.021</v>
      </c>
      <c r="C1830" s="11">
        <v>473.0</v>
      </c>
      <c r="D1830" s="11">
        <v>0.071</v>
      </c>
      <c r="E1830" s="7" t="s">
        <v>219</v>
      </c>
      <c r="F1830" s="9" t="s">
        <v>69</v>
      </c>
      <c r="G1830" s="5" t="s">
        <v>93</v>
      </c>
    </row>
    <row r="1831">
      <c r="A1831" s="10">
        <v>4.8242913263E10</v>
      </c>
      <c r="B1831" s="11">
        <v>0.03</v>
      </c>
      <c r="C1831" s="11">
        <v>511.0</v>
      </c>
      <c r="D1831" s="11">
        <v>0.074</v>
      </c>
      <c r="E1831" s="7" t="s">
        <v>219</v>
      </c>
      <c r="F1831" s="9" t="s">
        <v>70</v>
      </c>
      <c r="G1831" s="5" t="s">
        <v>93</v>
      </c>
    </row>
    <row r="1832">
      <c r="A1832" s="10">
        <v>5.8813004375E10</v>
      </c>
      <c r="B1832" s="11">
        <v>0.028</v>
      </c>
      <c r="C1832" s="11">
        <v>582.0</v>
      </c>
      <c r="D1832" s="11">
        <v>0.068</v>
      </c>
      <c r="E1832" s="7" t="s">
        <v>219</v>
      </c>
      <c r="F1832" s="9" t="s">
        <v>71</v>
      </c>
      <c r="G1832" s="5" t="s">
        <v>93</v>
      </c>
    </row>
    <row r="1833">
      <c r="A1833" s="10">
        <v>6.9971912138E10</v>
      </c>
      <c r="B1833" s="11">
        <v>0.024</v>
      </c>
      <c r="C1833" s="11">
        <v>610.0</v>
      </c>
      <c r="D1833" s="11">
        <v>0.062</v>
      </c>
      <c r="E1833" s="7" t="s">
        <v>219</v>
      </c>
      <c r="F1833" s="9" t="s">
        <v>72</v>
      </c>
      <c r="G1833" s="5" t="s">
        <v>93</v>
      </c>
    </row>
    <row r="1834">
      <c r="A1834" s="10">
        <v>7.8289467471E10</v>
      </c>
      <c r="B1834" s="11">
        <v>0.026</v>
      </c>
      <c r="C1834" s="11">
        <v>690.0</v>
      </c>
      <c r="D1834" s="11">
        <v>0.057</v>
      </c>
      <c r="E1834" s="7" t="s">
        <v>219</v>
      </c>
      <c r="F1834" s="9" t="s">
        <v>73</v>
      </c>
      <c r="G1834" s="5" t="s">
        <v>93</v>
      </c>
    </row>
    <row r="1835">
      <c r="A1835" s="10">
        <v>7.395237497E10</v>
      </c>
      <c r="B1835" s="11">
        <v>0.03</v>
      </c>
      <c r="C1835" s="11">
        <v>15.0</v>
      </c>
      <c r="D1835" s="8"/>
      <c r="E1835" s="7" t="s">
        <v>220</v>
      </c>
      <c r="F1835" s="9" t="s">
        <v>60</v>
      </c>
      <c r="G1835" s="5" t="s">
        <v>61</v>
      </c>
    </row>
    <row r="1836">
      <c r="A1836" s="10">
        <v>7.2309738921E10</v>
      </c>
      <c r="B1836" s="11">
        <v>0.028</v>
      </c>
      <c r="C1836" s="11">
        <v>13.0</v>
      </c>
      <c r="D1836" s="8"/>
      <c r="E1836" s="7" t="s">
        <v>220</v>
      </c>
      <c r="F1836" s="9" t="s">
        <v>62</v>
      </c>
      <c r="G1836" s="5" t="s">
        <v>61</v>
      </c>
    </row>
    <row r="1837">
      <c r="A1837" s="10">
        <v>7.2306820396E10</v>
      </c>
      <c r="B1837" s="11">
        <v>0.03</v>
      </c>
      <c r="C1837" s="11">
        <v>15.0</v>
      </c>
      <c r="D1837" s="8"/>
      <c r="E1837" s="7" t="s">
        <v>220</v>
      </c>
      <c r="F1837" s="9" t="s">
        <v>63</v>
      </c>
      <c r="G1837" s="5" t="s">
        <v>61</v>
      </c>
    </row>
    <row r="1838">
      <c r="A1838" s="10">
        <v>8.3244801093E10</v>
      </c>
      <c r="B1838" s="11">
        <v>0.029</v>
      </c>
      <c r="C1838" s="11">
        <v>16.0</v>
      </c>
      <c r="D1838" s="8"/>
      <c r="E1838" s="7" t="s">
        <v>220</v>
      </c>
      <c r="F1838" s="9" t="s">
        <v>64</v>
      </c>
      <c r="G1838" s="5" t="s">
        <v>61</v>
      </c>
    </row>
    <row r="1839">
      <c r="A1839" s="10">
        <v>9.7977766198E10</v>
      </c>
      <c r="B1839" s="11">
        <v>0.028</v>
      </c>
      <c r="C1839" s="11">
        <v>18.0</v>
      </c>
      <c r="D1839" s="11">
        <v>0.073</v>
      </c>
      <c r="E1839" s="7" t="s">
        <v>220</v>
      </c>
      <c r="F1839" s="9" t="s">
        <v>65</v>
      </c>
      <c r="G1839" s="5" t="s">
        <v>61</v>
      </c>
    </row>
    <row r="1840">
      <c r="A1840" s="10">
        <v>1.1E11</v>
      </c>
      <c r="B1840" s="11">
        <v>0.032</v>
      </c>
      <c r="C1840" s="11">
        <v>22.0</v>
      </c>
      <c r="D1840" s="11">
        <v>0.091</v>
      </c>
      <c r="E1840" s="7" t="s">
        <v>220</v>
      </c>
      <c r="F1840" s="9" t="s">
        <v>66</v>
      </c>
      <c r="G1840" s="5" t="s">
        <v>61</v>
      </c>
    </row>
    <row r="1841">
      <c r="A1841" s="10">
        <v>1.37E11</v>
      </c>
      <c r="B1841" s="11">
        <v>0.037</v>
      </c>
      <c r="C1841" s="11">
        <v>29.0</v>
      </c>
      <c r="D1841" s="11">
        <v>0.11</v>
      </c>
      <c r="E1841" s="7" t="s">
        <v>220</v>
      </c>
      <c r="F1841" s="9" t="s">
        <v>67</v>
      </c>
      <c r="G1841" s="5" t="s">
        <v>61</v>
      </c>
    </row>
    <row r="1842">
      <c r="A1842" s="10">
        <v>1.52E11</v>
      </c>
      <c r="B1842" s="11">
        <v>0.035</v>
      </c>
      <c r="C1842" s="11">
        <v>31.0</v>
      </c>
      <c r="D1842" s="11">
        <v>0.118</v>
      </c>
      <c r="E1842" s="7" t="s">
        <v>220</v>
      </c>
      <c r="F1842" s="9" t="s">
        <v>68</v>
      </c>
      <c r="G1842" s="5" t="s">
        <v>61</v>
      </c>
    </row>
    <row r="1843">
      <c r="A1843" s="10">
        <v>1.7E11</v>
      </c>
      <c r="B1843" s="11">
        <v>0.033</v>
      </c>
      <c r="C1843" s="11">
        <v>29.0</v>
      </c>
      <c r="D1843" s="11">
        <v>0.129</v>
      </c>
      <c r="E1843" s="7" t="s">
        <v>220</v>
      </c>
      <c r="F1843" s="9" t="s">
        <v>69</v>
      </c>
      <c r="G1843" s="5" t="s">
        <v>61</v>
      </c>
    </row>
    <row r="1844">
      <c r="A1844" s="10">
        <v>1.68E11</v>
      </c>
      <c r="B1844" s="11">
        <v>0.03</v>
      </c>
      <c r="C1844" s="11">
        <v>28.0</v>
      </c>
      <c r="D1844" s="11">
        <v>0.145</v>
      </c>
      <c r="E1844" s="7" t="s">
        <v>220</v>
      </c>
      <c r="F1844" s="9" t="s">
        <v>70</v>
      </c>
      <c r="G1844" s="5" t="s">
        <v>61</v>
      </c>
    </row>
    <row r="1845">
      <c r="A1845" s="10">
        <v>1.77E11</v>
      </c>
      <c r="B1845" s="11">
        <v>0.03</v>
      </c>
      <c r="C1845" s="11">
        <v>30.0</v>
      </c>
      <c r="D1845" s="11">
        <v>0.14</v>
      </c>
      <c r="E1845" s="7" t="s">
        <v>220</v>
      </c>
      <c r="F1845" s="9" t="s">
        <v>71</v>
      </c>
      <c r="G1845" s="5" t="s">
        <v>61</v>
      </c>
    </row>
    <row r="1846">
      <c r="A1846" s="10">
        <v>2.14E11</v>
      </c>
      <c r="B1846" s="11">
        <v>0.03</v>
      </c>
      <c r="C1846" s="11">
        <v>36.0</v>
      </c>
      <c r="D1846" s="11">
        <v>0.144</v>
      </c>
      <c r="E1846" s="7" t="s">
        <v>220</v>
      </c>
      <c r="F1846" s="9" t="s">
        <v>72</v>
      </c>
      <c r="G1846" s="5" t="s">
        <v>61</v>
      </c>
    </row>
    <row r="1847">
      <c r="A1847" s="10">
        <v>2.25E11</v>
      </c>
      <c r="B1847" s="11">
        <v>0.031</v>
      </c>
      <c r="C1847" s="11">
        <v>39.0</v>
      </c>
      <c r="D1847" s="11">
        <v>0.135</v>
      </c>
      <c r="E1847" s="7" t="s">
        <v>220</v>
      </c>
      <c r="F1847" s="9" t="s">
        <v>73</v>
      </c>
      <c r="G1847" s="5" t="s">
        <v>61</v>
      </c>
    </row>
    <row r="1848">
      <c r="A1848" s="10">
        <v>1.16205E10</v>
      </c>
      <c r="B1848" s="11">
        <v>0.078</v>
      </c>
      <c r="C1848" s="11">
        <v>295.0</v>
      </c>
      <c r="D1848" s="11">
        <v>0.105</v>
      </c>
      <c r="E1848" s="7" t="s">
        <v>221</v>
      </c>
      <c r="F1848" s="9" t="s">
        <v>60</v>
      </c>
      <c r="G1848" s="5" t="s">
        <v>84</v>
      </c>
    </row>
    <row r="1849">
      <c r="A1849" s="10">
        <v>1.18075E10</v>
      </c>
      <c r="B1849" s="11">
        <v>0.077</v>
      </c>
      <c r="C1849" s="11">
        <v>293.0</v>
      </c>
      <c r="D1849" s="11">
        <v>0.11</v>
      </c>
      <c r="E1849" s="7" t="s">
        <v>221</v>
      </c>
      <c r="F1849" s="9" t="s">
        <v>62</v>
      </c>
      <c r="G1849" s="5" t="s">
        <v>84</v>
      </c>
    </row>
    <row r="1850">
      <c r="A1850" s="10">
        <v>1.22724E10</v>
      </c>
      <c r="B1850" s="11">
        <v>0.08</v>
      </c>
      <c r="C1850" s="11">
        <v>310.0</v>
      </c>
      <c r="D1850" s="11">
        <v>0.106</v>
      </c>
      <c r="E1850" s="7" t="s">
        <v>221</v>
      </c>
      <c r="F1850" s="9" t="s">
        <v>63</v>
      </c>
      <c r="G1850" s="5" t="s">
        <v>84</v>
      </c>
    </row>
    <row r="1851">
      <c r="A1851" s="10">
        <v>1.29332E10</v>
      </c>
      <c r="B1851" s="11">
        <v>0.076</v>
      </c>
      <c r="C1851" s="11">
        <v>303.0</v>
      </c>
      <c r="D1851" s="11">
        <v>0.099</v>
      </c>
      <c r="E1851" s="7" t="s">
        <v>221</v>
      </c>
      <c r="F1851" s="9" t="s">
        <v>64</v>
      </c>
      <c r="G1851" s="5" t="s">
        <v>84</v>
      </c>
    </row>
    <row r="1852">
      <c r="A1852" s="10">
        <v>1.41793E10</v>
      </c>
      <c r="B1852" s="11">
        <v>0.081</v>
      </c>
      <c r="C1852" s="11">
        <v>347.0</v>
      </c>
      <c r="D1852" s="11">
        <v>0.088</v>
      </c>
      <c r="E1852" s="7" t="s">
        <v>221</v>
      </c>
      <c r="F1852" s="9" t="s">
        <v>65</v>
      </c>
      <c r="G1852" s="5" t="s">
        <v>84</v>
      </c>
    </row>
    <row r="1853">
      <c r="A1853" s="10">
        <v>1.54647E10</v>
      </c>
      <c r="B1853" s="11">
        <v>0.075</v>
      </c>
      <c r="C1853" s="11">
        <v>344.0</v>
      </c>
      <c r="D1853" s="11">
        <v>0.087</v>
      </c>
      <c r="E1853" s="7" t="s">
        <v>221</v>
      </c>
      <c r="F1853" s="9" t="s">
        <v>66</v>
      </c>
      <c r="G1853" s="5" t="s">
        <v>84</v>
      </c>
    </row>
    <row r="1854">
      <c r="A1854" s="10">
        <v>1.7137E10</v>
      </c>
      <c r="B1854" s="11">
        <v>0.07</v>
      </c>
      <c r="C1854" s="11">
        <v>350.0</v>
      </c>
      <c r="D1854" s="11">
        <v>0.084</v>
      </c>
      <c r="E1854" s="7" t="s">
        <v>221</v>
      </c>
      <c r="F1854" s="9" t="s">
        <v>67</v>
      </c>
      <c r="G1854" s="5" t="s">
        <v>84</v>
      </c>
    </row>
    <row r="1855">
      <c r="A1855" s="10">
        <v>2.11219E10</v>
      </c>
      <c r="B1855" s="11">
        <v>0.067</v>
      </c>
      <c r="C1855" s="11">
        <v>382.0</v>
      </c>
      <c r="D1855" s="11">
        <v>0.083</v>
      </c>
      <c r="E1855" s="7" t="s">
        <v>221</v>
      </c>
      <c r="F1855" s="9" t="s">
        <v>68</v>
      </c>
      <c r="G1855" s="5" t="s">
        <v>84</v>
      </c>
    </row>
    <row r="1856">
      <c r="A1856" s="10">
        <v>2.4884E10</v>
      </c>
      <c r="B1856" s="11">
        <v>0.073</v>
      </c>
      <c r="C1856" s="11">
        <v>473.0</v>
      </c>
      <c r="D1856" s="11">
        <v>0.082</v>
      </c>
      <c r="E1856" s="7" t="s">
        <v>221</v>
      </c>
      <c r="F1856" s="9" t="s">
        <v>69</v>
      </c>
      <c r="G1856" s="5" t="s">
        <v>84</v>
      </c>
    </row>
    <row r="1857">
      <c r="A1857" s="10">
        <v>2.59251E10</v>
      </c>
      <c r="B1857" s="11">
        <v>0.081</v>
      </c>
      <c r="C1857" s="11">
        <v>541.0</v>
      </c>
      <c r="D1857" s="11">
        <v>0.082</v>
      </c>
      <c r="E1857" s="7" t="s">
        <v>221</v>
      </c>
      <c r="F1857" s="9" t="s">
        <v>70</v>
      </c>
      <c r="G1857" s="5" t="s">
        <v>84</v>
      </c>
    </row>
    <row r="1858">
      <c r="A1858" s="10">
        <v>2.88141E10</v>
      </c>
      <c r="B1858" s="11">
        <v>0.085</v>
      </c>
      <c r="C1858" s="11">
        <v>627.0</v>
      </c>
      <c r="D1858" s="11">
        <v>0.077</v>
      </c>
      <c r="E1858" s="7" t="s">
        <v>221</v>
      </c>
      <c r="F1858" s="9" t="s">
        <v>71</v>
      </c>
      <c r="G1858" s="5" t="s">
        <v>84</v>
      </c>
    </row>
    <row r="1859">
      <c r="A1859" s="10">
        <v>3.32705E10</v>
      </c>
      <c r="B1859" s="11">
        <v>0.079</v>
      </c>
      <c r="C1859" s="11">
        <v>664.0</v>
      </c>
      <c r="D1859" s="11">
        <v>0.069</v>
      </c>
      <c r="E1859" s="7" t="s">
        <v>221</v>
      </c>
      <c r="F1859" s="9" t="s">
        <v>72</v>
      </c>
      <c r="G1859" s="5" t="s">
        <v>84</v>
      </c>
    </row>
    <row r="1860">
      <c r="A1860" s="10">
        <v>3.79562E10</v>
      </c>
      <c r="B1860" s="11">
        <v>0.076</v>
      </c>
      <c r="C1860" s="11">
        <v>723.0</v>
      </c>
      <c r="D1860" s="11">
        <v>0.069</v>
      </c>
      <c r="E1860" s="7" t="s">
        <v>221</v>
      </c>
      <c r="F1860" s="9" t="s">
        <v>73</v>
      </c>
      <c r="G1860" s="5" t="s">
        <v>84</v>
      </c>
    </row>
    <row r="1861">
      <c r="A1861" s="10">
        <v>3.521348155E9</v>
      </c>
      <c r="B1861" s="11">
        <v>0.04</v>
      </c>
      <c r="C1861" s="11">
        <v>26.0</v>
      </c>
      <c r="D1861" s="11">
        <v>0.175</v>
      </c>
      <c r="E1861" s="7" t="s">
        <v>222</v>
      </c>
      <c r="F1861" s="9" t="s">
        <v>60</v>
      </c>
      <c r="G1861" s="5" t="s">
        <v>80</v>
      </c>
    </row>
    <row r="1862">
      <c r="A1862" s="10">
        <v>3.081029666E9</v>
      </c>
      <c r="B1862" s="11">
        <v>0.045</v>
      </c>
      <c r="C1862" s="11">
        <v>25.0</v>
      </c>
      <c r="D1862" s="11">
        <v>0.162</v>
      </c>
      <c r="E1862" s="7" t="s">
        <v>222</v>
      </c>
      <c r="F1862" s="9" t="s">
        <v>62</v>
      </c>
      <c r="G1862" s="5" t="s">
        <v>80</v>
      </c>
    </row>
    <row r="1863">
      <c r="A1863" s="10">
        <v>2.999542369E9</v>
      </c>
      <c r="B1863" s="11">
        <v>0.046</v>
      </c>
      <c r="C1863" s="11">
        <v>24.0</v>
      </c>
      <c r="D1863" s="11">
        <v>0.139</v>
      </c>
      <c r="E1863" s="7" t="s">
        <v>222</v>
      </c>
      <c r="F1863" s="9" t="s">
        <v>63</v>
      </c>
      <c r="G1863" s="5" t="s">
        <v>80</v>
      </c>
    </row>
    <row r="1864">
      <c r="A1864" s="10">
        <v>3.53645912E9</v>
      </c>
      <c r="B1864" s="11">
        <v>0.041</v>
      </c>
      <c r="C1864" s="11">
        <v>25.0</v>
      </c>
      <c r="D1864" s="11">
        <v>0.134</v>
      </c>
      <c r="E1864" s="7" t="s">
        <v>222</v>
      </c>
      <c r="F1864" s="9" t="s">
        <v>64</v>
      </c>
      <c r="G1864" s="5" t="s">
        <v>80</v>
      </c>
    </row>
    <row r="1865">
      <c r="A1865" s="10">
        <v>3.927114457E9</v>
      </c>
      <c r="B1865" s="11">
        <v>0.046</v>
      </c>
      <c r="C1865" s="11">
        <v>30.0</v>
      </c>
      <c r="D1865" s="11">
        <v>0.133</v>
      </c>
      <c r="E1865" s="7" t="s">
        <v>222</v>
      </c>
      <c r="F1865" s="9" t="s">
        <v>65</v>
      </c>
      <c r="G1865" s="5" t="s">
        <v>80</v>
      </c>
    </row>
    <row r="1866">
      <c r="A1866" s="10">
        <v>4.901584516E9</v>
      </c>
      <c r="B1866" s="11">
        <v>0.04</v>
      </c>
      <c r="C1866" s="11">
        <v>32.0</v>
      </c>
      <c r="D1866" s="11">
        <v>0.115</v>
      </c>
      <c r="E1866" s="7" t="s">
        <v>222</v>
      </c>
      <c r="F1866" s="9" t="s">
        <v>66</v>
      </c>
      <c r="G1866" s="5" t="s">
        <v>80</v>
      </c>
    </row>
    <row r="1867">
      <c r="A1867" s="10">
        <v>5.598700444E9</v>
      </c>
      <c r="B1867" s="11">
        <v>0.035</v>
      </c>
      <c r="C1867" s="11">
        <v>31.0</v>
      </c>
      <c r="D1867" s="11">
        <v>0.106</v>
      </c>
      <c r="E1867" s="7" t="s">
        <v>222</v>
      </c>
      <c r="F1867" s="9" t="s">
        <v>67</v>
      </c>
      <c r="G1867" s="5" t="s">
        <v>80</v>
      </c>
    </row>
    <row r="1868">
      <c r="A1868" s="10">
        <v>6.329292929E9</v>
      </c>
      <c r="B1868" s="11">
        <v>0.042</v>
      </c>
      <c r="C1868" s="11">
        <v>41.0</v>
      </c>
      <c r="D1868" s="11">
        <v>0.098</v>
      </c>
      <c r="E1868" s="7" t="s">
        <v>222</v>
      </c>
      <c r="F1868" s="9" t="s">
        <v>68</v>
      </c>
      <c r="G1868" s="5" t="s">
        <v>80</v>
      </c>
    </row>
    <row r="1869">
      <c r="A1869" s="10">
        <v>8.01037037E9</v>
      </c>
      <c r="B1869" s="11">
        <v>0.046</v>
      </c>
      <c r="C1869" s="11">
        <v>56.0</v>
      </c>
      <c r="D1869" s="11">
        <v>0.092</v>
      </c>
      <c r="E1869" s="7" t="s">
        <v>222</v>
      </c>
      <c r="F1869" s="9" t="s">
        <v>69</v>
      </c>
      <c r="G1869" s="5" t="s">
        <v>80</v>
      </c>
    </row>
    <row r="1870">
      <c r="A1870" s="10">
        <v>7.914594203E9</v>
      </c>
      <c r="B1870" s="11">
        <v>0.042</v>
      </c>
      <c r="C1870" s="11">
        <v>50.0</v>
      </c>
      <c r="D1870" s="11">
        <v>0.101</v>
      </c>
      <c r="E1870" s="7" t="s">
        <v>222</v>
      </c>
      <c r="F1870" s="9" t="s">
        <v>70</v>
      </c>
      <c r="G1870" s="5" t="s">
        <v>80</v>
      </c>
    </row>
    <row r="1871">
      <c r="A1871" s="10">
        <v>9.480047959E9</v>
      </c>
      <c r="B1871" s="11">
        <v>0.041</v>
      </c>
      <c r="C1871" s="11">
        <v>57.0</v>
      </c>
      <c r="D1871" s="11">
        <v>0.104</v>
      </c>
      <c r="E1871" s="7" t="s">
        <v>222</v>
      </c>
      <c r="F1871" s="9" t="s">
        <v>71</v>
      </c>
      <c r="G1871" s="5" t="s">
        <v>80</v>
      </c>
    </row>
    <row r="1872">
      <c r="A1872" s="10">
        <v>1.2393604089E10</v>
      </c>
      <c r="B1872" s="11">
        <v>0.042</v>
      </c>
      <c r="C1872" s="11">
        <v>74.0</v>
      </c>
      <c r="D1872" s="11">
        <v>0.108</v>
      </c>
      <c r="E1872" s="7" t="s">
        <v>222</v>
      </c>
      <c r="F1872" s="9" t="s">
        <v>72</v>
      </c>
      <c r="G1872" s="5" t="s">
        <v>80</v>
      </c>
    </row>
    <row r="1873">
      <c r="A1873" s="10">
        <v>1.5653921367E10</v>
      </c>
      <c r="B1873" s="11">
        <v>0.052</v>
      </c>
      <c r="C1873" s="11">
        <v>114.0</v>
      </c>
      <c r="D1873" s="11">
        <v>0.108</v>
      </c>
      <c r="E1873" s="7" t="s">
        <v>222</v>
      </c>
      <c r="F1873" s="9" t="s">
        <v>73</v>
      </c>
      <c r="G1873" s="5" t="s">
        <v>80</v>
      </c>
    </row>
    <row r="1874">
      <c r="A1874" s="10">
        <v>8.195993231E9</v>
      </c>
      <c r="B1874" s="11">
        <v>0.081</v>
      </c>
      <c r="C1874" s="11">
        <v>124.0</v>
      </c>
      <c r="D1874" s="11">
        <v>0.268</v>
      </c>
      <c r="E1874" s="7" t="s">
        <v>223</v>
      </c>
      <c r="F1874" s="9" t="s">
        <v>60</v>
      </c>
      <c r="G1874" s="5" t="s">
        <v>84</v>
      </c>
    </row>
    <row r="1875">
      <c r="A1875" s="10">
        <v>7.662595076E9</v>
      </c>
      <c r="B1875" s="11">
        <v>0.076</v>
      </c>
      <c r="C1875" s="11">
        <v>107.0</v>
      </c>
      <c r="D1875" s="11">
        <v>0.283</v>
      </c>
      <c r="E1875" s="7" t="s">
        <v>223</v>
      </c>
      <c r="F1875" s="9" t="s">
        <v>62</v>
      </c>
      <c r="G1875" s="5" t="s">
        <v>84</v>
      </c>
    </row>
    <row r="1876">
      <c r="A1876" s="10">
        <v>6.32515176E9</v>
      </c>
      <c r="B1876" s="11">
        <v>0.07</v>
      </c>
      <c r="C1876" s="11">
        <v>79.0</v>
      </c>
      <c r="D1876" s="11">
        <v>0.387</v>
      </c>
      <c r="E1876" s="7" t="s">
        <v>223</v>
      </c>
      <c r="F1876" s="9" t="s">
        <v>63</v>
      </c>
      <c r="G1876" s="5" t="s">
        <v>84</v>
      </c>
    </row>
    <row r="1877">
      <c r="A1877" s="10">
        <v>6.588103836E9</v>
      </c>
      <c r="B1877" s="11">
        <v>0.061</v>
      </c>
      <c r="C1877" s="11">
        <v>71.0</v>
      </c>
      <c r="D1877" s="11">
        <v>0.5</v>
      </c>
      <c r="E1877" s="7" t="s">
        <v>223</v>
      </c>
      <c r="F1877" s="9" t="s">
        <v>64</v>
      </c>
      <c r="G1877" s="5" t="s">
        <v>84</v>
      </c>
    </row>
    <row r="1878">
      <c r="A1878" s="10">
        <v>8.03387736E9</v>
      </c>
      <c r="B1878" s="11">
        <v>0.059</v>
      </c>
      <c r="C1878" s="11">
        <v>82.0</v>
      </c>
      <c r="D1878" s="11">
        <v>0.335</v>
      </c>
      <c r="E1878" s="7" t="s">
        <v>223</v>
      </c>
      <c r="F1878" s="9" t="s">
        <v>65</v>
      </c>
      <c r="G1878" s="5" t="s">
        <v>84</v>
      </c>
    </row>
    <row r="1879">
      <c r="A1879" s="10">
        <v>8.734651406E9</v>
      </c>
      <c r="B1879" s="11">
        <v>0.056</v>
      </c>
      <c r="C1879" s="11">
        <v>82.0</v>
      </c>
      <c r="D1879" s="11">
        <v>0.299</v>
      </c>
      <c r="E1879" s="7" t="s">
        <v>223</v>
      </c>
      <c r="F1879" s="9" t="s">
        <v>66</v>
      </c>
      <c r="G1879" s="5" t="s">
        <v>84</v>
      </c>
    </row>
    <row r="1880">
      <c r="A1880" s="10">
        <v>1.0662013273E10</v>
      </c>
      <c r="B1880" s="11">
        <v>0.057</v>
      </c>
      <c r="C1880" s="11">
        <v>101.0</v>
      </c>
      <c r="D1880" s="11">
        <v>0.301</v>
      </c>
      <c r="E1880" s="7" t="s">
        <v>223</v>
      </c>
      <c r="F1880" s="9" t="s">
        <v>67</v>
      </c>
      <c r="G1880" s="5" t="s">
        <v>84</v>
      </c>
    </row>
    <row r="1881">
      <c r="A1881" s="10">
        <v>1.3794909537E10</v>
      </c>
      <c r="B1881" s="11">
        <v>0.06</v>
      </c>
      <c r="C1881" s="11">
        <v>135.0</v>
      </c>
      <c r="D1881" s="11">
        <v>0.25</v>
      </c>
      <c r="E1881" s="7" t="s">
        <v>223</v>
      </c>
      <c r="F1881" s="9" t="s">
        <v>68</v>
      </c>
      <c r="G1881" s="5" t="s">
        <v>84</v>
      </c>
    </row>
    <row r="1882">
      <c r="A1882" s="10">
        <v>1.8504128632E10</v>
      </c>
      <c r="B1882" s="11">
        <v>0.056</v>
      </c>
      <c r="C1882" s="11">
        <v>167.0</v>
      </c>
      <c r="D1882" s="11">
        <v>0.258</v>
      </c>
      <c r="E1882" s="7" t="s">
        <v>223</v>
      </c>
      <c r="F1882" s="9" t="s">
        <v>69</v>
      </c>
      <c r="G1882" s="5" t="s">
        <v>84</v>
      </c>
    </row>
    <row r="1883">
      <c r="A1883" s="10">
        <v>1.59299031E10</v>
      </c>
      <c r="B1883" s="11">
        <v>0.075</v>
      </c>
      <c r="C1883" s="11">
        <v>187.0</v>
      </c>
      <c r="D1883" s="11">
        <v>0.283</v>
      </c>
      <c r="E1883" s="7" t="s">
        <v>223</v>
      </c>
      <c r="F1883" s="9" t="s">
        <v>70</v>
      </c>
      <c r="G1883" s="5" t="s">
        <v>84</v>
      </c>
    </row>
    <row r="1884">
      <c r="A1884" s="10">
        <v>2.0030529733E10</v>
      </c>
      <c r="B1884" s="11">
        <v>0.087</v>
      </c>
      <c r="C1884" s="11">
        <v>271.0</v>
      </c>
      <c r="D1884" s="11">
        <v>0.26</v>
      </c>
      <c r="E1884" s="7" t="s">
        <v>223</v>
      </c>
      <c r="F1884" s="9" t="s">
        <v>71</v>
      </c>
      <c r="G1884" s="5" t="s">
        <v>84</v>
      </c>
    </row>
    <row r="1885">
      <c r="A1885" s="10">
        <v>2.5071193102E10</v>
      </c>
      <c r="B1885" s="11">
        <v>0.089</v>
      </c>
      <c r="C1885" s="11">
        <v>352.0</v>
      </c>
      <c r="D1885" s="11">
        <v>0.174</v>
      </c>
      <c r="E1885" s="7" t="s">
        <v>223</v>
      </c>
      <c r="F1885" s="9" t="s">
        <v>72</v>
      </c>
      <c r="G1885" s="5" t="s">
        <v>84</v>
      </c>
    </row>
    <row r="1886">
      <c r="A1886" s="10">
        <v>2.4611040343E10</v>
      </c>
      <c r="B1886" s="11">
        <v>0.103</v>
      </c>
      <c r="C1886" s="11">
        <v>392.0</v>
      </c>
      <c r="D1886" s="11">
        <v>0.172</v>
      </c>
      <c r="E1886" s="7" t="s">
        <v>223</v>
      </c>
      <c r="F1886" s="9" t="s">
        <v>73</v>
      </c>
      <c r="G1886" s="5" t="s">
        <v>84</v>
      </c>
    </row>
    <row r="1887">
      <c r="A1887" s="10">
        <v>5.0681123109E10</v>
      </c>
      <c r="B1887" s="11">
        <v>0.047</v>
      </c>
      <c r="C1887" s="11">
        <v>96.0</v>
      </c>
      <c r="D1887" s="11">
        <v>0.3</v>
      </c>
      <c r="E1887" s="7" t="s">
        <v>224</v>
      </c>
      <c r="F1887" s="9" t="s">
        <v>60</v>
      </c>
      <c r="G1887" s="5" t="s">
        <v>84</v>
      </c>
    </row>
    <row r="1888">
      <c r="A1888" s="10">
        <v>5.1295103189E10</v>
      </c>
      <c r="B1888" s="11">
        <v>0.047</v>
      </c>
      <c r="C1888" s="11">
        <v>96.0</v>
      </c>
      <c r="D1888" s="11">
        <v>0.25</v>
      </c>
      <c r="E1888" s="7" t="s">
        <v>224</v>
      </c>
      <c r="F1888" s="9" t="s">
        <v>62</v>
      </c>
      <c r="G1888" s="5" t="s">
        <v>84</v>
      </c>
    </row>
    <row r="1889">
      <c r="A1889" s="10">
        <v>5.39927551E10</v>
      </c>
      <c r="B1889" s="11">
        <v>0.048</v>
      </c>
      <c r="C1889" s="11">
        <v>102.0</v>
      </c>
      <c r="D1889" s="11">
        <v>0.208</v>
      </c>
      <c r="E1889" s="7" t="s">
        <v>224</v>
      </c>
      <c r="F1889" s="9" t="s">
        <v>63</v>
      </c>
      <c r="G1889" s="5" t="s">
        <v>84</v>
      </c>
    </row>
    <row r="1890">
      <c r="A1890" s="10">
        <v>5.7840001637E10</v>
      </c>
      <c r="B1890" s="11">
        <v>0.045</v>
      </c>
      <c r="C1890" s="11">
        <v>102.0</v>
      </c>
      <c r="D1890" s="11">
        <v>0.21</v>
      </c>
      <c r="E1890" s="7" t="s">
        <v>224</v>
      </c>
      <c r="F1890" s="9" t="s">
        <v>64</v>
      </c>
      <c r="G1890" s="5" t="s">
        <v>84</v>
      </c>
    </row>
    <row r="1891">
      <c r="A1891" s="10">
        <v>6.5702520516E10</v>
      </c>
      <c r="B1891" s="11">
        <v>0.044</v>
      </c>
      <c r="C1891" s="11">
        <v>111.0</v>
      </c>
      <c r="D1891" s="11">
        <v>0.247</v>
      </c>
      <c r="E1891" s="7" t="s">
        <v>224</v>
      </c>
      <c r="F1891" s="9" t="s">
        <v>65</v>
      </c>
      <c r="G1891" s="5" t="s">
        <v>84</v>
      </c>
    </row>
    <row r="1892">
      <c r="A1892" s="10">
        <v>7.4147754854E10</v>
      </c>
      <c r="B1892" s="11">
        <v>0.045</v>
      </c>
      <c r="C1892" s="11">
        <v>128.0</v>
      </c>
      <c r="D1892" s="11">
        <v>0.255</v>
      </c>
      <c r="E1892" s="7" t="s">
        <v>224</v>
      </c>
      <c r="F1892" s="9" t="s">
        <v>66</v>
      </c>
      <c r="G1892" s="5" t="s">
        <v>84</v>
      </c>
    </row>
    <row r="1893">
      <c r="A1893" s="10">
        <v>8.755412844E10</v>
      </c>
      <c r="B1893" s="11">
        <v>0.045</v>
      </c>
      <c r="C1893" s="11">
        <v>149.0</v>
      </c>
      <c r="D1893" s="11">
        <v>0.239</v>
      </c>
      <c r="E1893" s="7" t="s">
        <v>224</v>
      </c>
      <c r="F1893" s="9" t="s">
        <v>67</v>
      </c>
      <c r="G1893" s="5" t="s">
        <v>84</v>
      </c>
    </row>
    <row r="1894">
      <c r="A1894" s="10">
        <v>1.02E11</v>
      </c>
      <c r="B1894" s="11">
        <v>0.051</v>
      </c>
      <c r="C1894" s="11">
        <v>192.0</v>
      </c>
      <c r="D1894" s="11">
        <v>0.229</v>
      </c>
      <c r="E1894" s="7" t="s">
        <v>224</v>
      </c>
      <c r="F1894" s="9" t="s">
        <v>68</v>
      </c>
      <c r="G1894" s="5" t="s">
        <v>84</v>
      </c>
    </row>
    <row r="1895">
      <c r="A1895" s="10">
        <v>1.21E11</v>
      </c>
      <c r="B1895" s="11">
        <v>0.057</v>
      </c>
      <c r="C1895" s="11">
        <v>255.0</v>
      </c>
      <c r="D1895" s="11">
        <v>0.237</v>
      </c>
      <c r="E1895" s="7" t="s">
        <v>224</v>
      </c>
      <c r="F1895" s="9" t="s">
        <v>69</v>
      </c>
      <c r="G1895" s="5" t="s">
        <v>84</v>
      </c>
    </row>
    <row r="1896">
      <c r="A1896" s="10">
        <v>1.21E11</v>
      </c>
      <c r="B1896" s="11">
        <v>0.053</v>
      </c>
      <c r="C1896" s="11">
        <v>234.0</v>
      </c>
      <c r="D1896" s="11">
        <v>0.21</v>
      </c>
      <c r="E1896" s="7" t="s">
        <v>224</v>
      </c>
      <c r="F1896" s="9" t="s">
        <v>70</v>
      </c>
      <c r="G1896" s="5" t="s">
        <v>84</v>
      </c>
    </row>
    <row r="1897">
      <c r="A1897" s="10">
        <v>1.49E11</v>
      </c>
      <c r="B1897" s="11">
        <v>0.049</v>
      </c>
      <c r="C1897" s="11">
        <v>257.0</v>
      </c>
      <c r="D1897" s="11">
        <v>0.19</v>
      </c>
      <c r="E1897" s="7" t="s">
        <v>224</v>
      </c>
      <c r="F1897" s="9" t="s">
        <v>71</v>
      </c>
      <c r="G1897" s="5" t="s">
        <v>84</v>
      </c>
    </row>
    <row r="1898">
      <c r="A1898" s="10">
        <v>1.71E11</v>
      </c>
      <c r="B1898" s="11">
        <v>0.047</v>
      </c>
      <c r="C1898" s="11">
        <v>283.0</v>
      </c>
      <c r="D1898" s="11">
        <v>0.187</v>
      </c>
      <c r="E1898" s="7" t="s">
        <v>224</v>
      </c>
      <c r="F1898" s="9" t="s">
        <v>72</v>
      </c>
      <c r="G1898" s="5" t="s">
        <v>84</v>
      </c>
    </row>
    <row r="1899">
      <c r="A1899" s="10">
        <v>1.93E11</v>
      </c>
      <c r="B1899" s="11">
        <v>0.051</v>
      </c>
      <c r="C1899" s="11">
        <v>337.0</v>
      </c>
      <c r="D1899" s="11">
        <v>0.192</v>
      </c>
      <c r="E1899" s="7" t="s">
        <v>224</v>
      </c>
      <c r="F1899" s="9" t="s">
        <v>73</v>
      </c>
      <c r="G1899" s="5" t="s">
        <v>84</v>
      </c>
    </row>
    <row r="1900">
      <c r="A1900" s="10">
        <v>8.1026294681E10</v>
      </c>
      <c r="B1900" s="11">
        <v>0.032</v>
      </c>
      <c r="C1900" s="11">
        <v>33.0</v>
      </c>
      <c r="D1900" s="11">
        <v>0.109</v>
      </c>
      <c r="E1900" s="7" t="s">
        <v>225</v>
      </c>
      <c r="F1900" s="9" t="s">
        <v>60</v>
      </c>
      <c r="G1900" s="5" t="s">
        <v>61</v>
      </c>
    </row>
    <row r="1901">
      <c r="A1901" s="10">
        <v>7.6261998623E10</v>
      </c>
      <c r="B1901" s="11">
        <v>0.03</v>
      </c>
      <c r="C1901" s="11">
        <v>29.0</v>
      </c>
      <c r="D1901" s="11">
        <v>0.124</v>
      </c>
      <c r="E1901" s="7" t="s">
        <v>225</v>
      </c>
      <c r="F1901" s="9" t="s">
        <v>62</v>
      </c>
      <c r="G1901" s="5" t="s">
        <v>61</v>
      </c>
    </row>
    <row r="1902">
      <c r="A1902" s="10">
        <v>8.135765779E10</v>
      </c>
      <c r="B1902" s="11">
        <v>0.028</v>
      </c>
      <c r="C1902" s="11">
        <v>28.0</v>
      </c>
      <c r="D1902" s="11">
        <v>0.091</v>
      </c>
      <c r="E1902" s="7" t="s">
        <v>225</v>
      </c>
      <c r="F1902" s="9" t="s">
        <v>63</v>
      </c>
      <c r="G1902" s="5" t="s">
        <v>61</v>
      </c>
    </row>
    <row r="1903">
      <c r="A1903" s="10">
        <v>8.390820572E10</v>
      </c>
      <c r="B1903" s="11">
        <v>0.032</v>
      </c>
      <c r="C1903" s="11">
        <v>33.0</v>
      </c>
      <c r="D1903" s="11">
        <v>0.095</v>
      </c>
      <c r="E1903" s="7" t="s">
        <v>225</v>
      </c>
      <c r="F1903" s="9" t="s">
        <v>64</v>
      </c>
      <c r="G1903" s="5" t="s">
        <v>61</v>
      </c>
    </row>
    <row r="1904">
      <c r="A1904" s="10">
        <v>9.1371236939E10</v>
      </c>
      <c r="B1904" s="11">
        <v>0.032</v>
      </c>
      <c r="C1904" s="11">
        <v>35.0</v>
      </c>
      <c r="D1904" s="11">
        <v>0.101</v>
      </c>
      <c r="E1904" s="7" t="s">
        <v>225</v>
      </c>
      <c r="F1904" s="9" t="s">
        <v>65</v>
      </c>
      <c r="G1904" s="5" t="s">
        <v>61</v>
      </c>
    </row>
    <row r="1905">
      <c r="A1905" s="10">
        <v>1.03E11</v>
      </c>
      <c r="B1905" s="11">
        <v>0.039</v>
      </c>
      <c r="C1905" s="11">
        <v>47.0</v>
      </c>
      <c r="D1905" s="11">
        <v>0.102</v>
      </c>
      <c r="E1905" s="7" t="s">
        <v>225</v>
      </c>
      <c r="F1905" s="9" t="s">
        <v>66</v>
      </c>
      <c r="G1905" s="5" t="s">
        <v>61</v>
      </c>
    </row>
    <row r="1906">
      <c r="A1906" s="10">
        <v>1.22E11</v>
      </c>
      <c r="B1906" s="11">
        <v>0.04</v>
      </c>
      <c r="C1906" s="11">
        <v>55.0</v>
      </c>
      <c r="D1906" s="11">
        <v>0.098</v>
      </c>
      <c r="E1906" s="7" t="s">
        <v>225</v>
      </c>
      <c r="F1906" s="9" t="s">
        <v>67</v>
      </c>
      <c r="G1906" s="5" t="s">
        <v>61</v>
      </c>
    </row>
    <row r="1907">
      <c r="A1907" s="10">
        <v>1.49E11</v>
      </c>
      <c r="B1907" s="11">
        <v>0.039</v>
      </c>
      <c r="C1907" s="11">
        <v>65.0</v>
      </c>
      <c r="D1907" s="11">
        <v>0.087</v>
      </c>
      <c r="E1907" s="7" t="s">
        <v>225</v>
      </c>
      <c r="F1907" s="9" t="s">
        <v>68</v>
      </c>
      <c r="G1907" s="5" t="s">
        <v>61</v>
      </c>
    </row>
    <row r="1908">
      <c r="A1908" s="10">
        <v>1.74E11</v>
      </c>
      <c r="B1908" s="11">
        <v>0.038</v>
      </c>
      <c r="C1908" s="11">
        <v>74.0</v>
      </c>
      <c r="D1908" s="11">
        <v>0.088</v>
      </c>
      <c r="E1908" s="7" t="s">
        <v>225</v>
      </c>
      <c r="F1908" s="9" t="s">
        <v>69</v>
      </c>
      <c r="G1908" s="5" t="s">
        <v>61</v>
      </c>
    </row>
    <row r="1909">
      <c r="A1909" s="10">
        <v>1.68E11</v>
      </c>
      <c r="B1909" s="11">
        <v>0.043</v>
      </c>
      <c r="C1909" s="11">
        <v>78.0</v>
      </c>
      <c r="D1909" s="11">
        <v>0.086</v>
      </c>
      <c r="E1909" s="7" t="s">
        <v>225</v>
      </c>
      <c r="F1909" s="9" t="s">
        <v>70</v>
      </c>
      <c r="G1909" s="5" t="s">
        <v>61</v>
      </c>
    </row>
    <row r="1910">
      <c r="A1910" s="10">
        <v>2.0E11</v>
      </c>
      <c r="B1910" s="11">
        <v>0.042</v>
      </c>
      <c r="C1910" s="11">
        <v>90.0</v>
      </c>
      <c r="D1910" s="11">
        <v>0.077</v>
      </c>
      <c r="E1910" s="7" t="s">
        <v>225</v>
      </c>
      <c r="F1910" s="9" t="s">
        <v>71</v>
      </c>
      <c r="G1910" s="5" t="s">
        <v>61</v>
      </c>
    </row>
    <row r="1911">
      <c r="A1911" s="10">
        <v>2.24E11</v>
      </c>
      <c r="B1911" s="11">
        <v>0.044</v>
      </c>
      <c r="C1911" s="11">
        <v>105.0</v>
      </c>
      <c r="D1911" s="11">
        <v>0.067</v>
      </c>
      <c r="E1911" s="7" t="s">
        <v>225</v>
      </c>
      <c r="F1911" s="9" t="s">
        <v>72</v>
      </c>
      <c r="G1911" s="5" t="s">
        <v>61</v>
      </c>
    </row>
    <row r="1912">
      <c r="A1912" s="10">
        <v>2.5E11</v>
      </c>
      <c r="B1912" s="11">
        <v>0.046</v>
      </c>
      <c r="C1912" s="11">
        <v>119.0</v>
      </c>
      <c r="D1912" s="11">
        <v>0.057</v>
      </c>
      <c r="E1912" s="7" t="s">
        <v>225</v>
      </c>
      <c r="F1912" s="9" t="s">
        <v>73</v>
      </c>
      <c r="G1912" s="5" t="s">
        <v>61</v>
      </c>
    </row>
    <row r="1913">
      <c r="A1913" s="10">
        <v>1.71E11</v>
      </c>
      <c r="B1913" s="11">
        <v>0.055</v>
      </c>
      <c r="C1913" s="11">
        <v>247.0</v>
      </c>
      <c r="D1913" s="11">
        <v>0.2</v>
      </c>
      <c r="E1913" s="7" t="s">
        <v>226</v>
      </c>
      <c r="F1913" s="9" t="s">
        <v>60</v>
      </c>
      <c r="G1913" s="5" t="s">
        <v>75</v>
      </c>
    </row>
    <row r="1914">
      <c r="A1914" s="10">
        <v>1.9E11</v>
      </c>
      <c r="B1914" s="11">
        <v>0.059</v>
      </c>
      <c r="C1914" s="11">
        <v>292.0</v>
      </c>
      <c r="D1914" s="11">
        <v>0.184</v>
      </c>
      <c r="E1914" s="7" t="s">
        <v>226</v>
      </c>
      <c r="F1914" s="9" t="s">
        <v>62</v>
      </c>
      <c r="G1914" s="5" t="s">
        <v>75</v>
      </c>
    </row>
    <row r="1915">
      <c r="A1915" s="10">
        <v>1.98E11</v>
      </c>
      <c r="B1915" s="11">
        <v>0.063</v>
      </c>
      <c r="C1915" s="11">
        <v>328.0</v>
      </c>
      <c r="D1915" s="11">
        <v>0.12</v>
      </c>
      <c r="E1915" s="7" t="s">
        <v>226</v>
      </c>
      <c r="F1915" s="9" t="s">
        <v>63</v>
      </c>
      <c r="G1915" s="5" t="s">
        <v>75</v>
      </c>
    </row>
    <row r="1916">
      <c r="A1916" s="10">
        <v>2.17E11</v>
      </c>
      <c r="B1916" s="11">
        <v>0.062</v>
      </c>
      <c r="C1916" s="11">
        <v>354.0</v>
      </c>
      <c r="D1916" s="11">
        <v>0.073</v>
      </c>
      <c r="E1916" s="7" t="s">
        <v>226</v>
      </c>
      <c r="F1916" s="9" t="s">
        <v>64</v>
      </c>
      <c r="G1916" s="5" t="s">
        <v>75</v>
      </c>
    </row>
    <row r="1917">
      <c r="A1917" s="10">
        <v>2.53E11</v>
      </c>
      <c r="B1917" s="11">
        <v>0.062</v>
      </c>
      <c r="C1917" s="11">
        <v>410.0</v>
      </c>
      <c r="D1917" s="11">
        <v>0.076</v>
      </c>
      <c r="E1917" s="7" t="s">
        <v>226</v>
      </c>
      <c r="F1917" s="9" t="s">
        <v>65</v>
      </c>
      <c r="G1917" s="5" t="s">
        <v>75</v>
      </c>
    </row>
    <row r="1918">
      <c r="A1918" s="10">
        <v>3.04E11</v>
      </c>
      <c r="B1918" s="11">
        <v>0.062</v>
      </c>
      <c r="C1918" s="11">
        <v>494.0</v>
      </c>
      <c r="D1918" s="11">
        <v>0.068</v>
      </c>
      <c r="E1918" s="7" t="s">
        <v>226</v>
      </c>
      <c r="F1918" s="9" t="s">
        <v>66</v>
      </c>
      <c r="G1918" s="5" t="s">
        <v>75</v>
      </c>
    </row>
    <row r="1919">
      <c r="A1919" s="10">
        <v>3.42E11</v>
      </c>
      <c r="B1919" s="11">
        <v>0.062</v>
      </c>
      <c r="C1919" s="11">
        <v>554.0</v>
      </c>
      <c r="D1919" s="11">
        <v>0.055</v>
      </c>
      <c r="E1919" s="7" t="s">
        <v>226</v>
      </c>
      <c r="F1919" s="9" t="s">
        <v>67</v>
      </c>
      <c r="G1919" s="5" t="s">
        <v>75</v>
      </c>
    </row>
    <row r="1920">
      <c r="A1920" s="10">
        <v>4.25E11</v>
      </c>
      <c r="B1920" s="11">
        <v>0.063</v>
      </c>
      <c r="C1920" s="11">
        <v>706.0</v>
      </c>
      <c r="D1920" s="8"/>
      <c r="E1920" s="7" t="s">
        <v>226</v>
      </c>
      <c r="F1920" s="9" t="s">
        <v>68</v>
      </c>
      <c r="G1920" s="5" t="s">
        <v>75</v>
      </c>
    </row>
    <row r="1921">
      <c r="A1921" s="10">
        <v>5.29E11</v>
      </c>
      <c r="B1921" s="11">
        <v>0.069</v>
      </c>
      <c r="C1921" s="11">
        <v>956.0</v>
      </c>
      <c r="D1921" s="8"/>
      <c r="E1921" s="7" t="s">
        <v>226</v>
      </c>
      <c r="F1921" s="9" t="s">
        <v>69</v>
      </c>
      <c r="G1921" s="5" t="s">
        <v>75</v>
      </c>
    </row>
    <row r="1922">
      <c r="A1922" s="10">
        <v>4.31E11</v>
      </c>
      <c r="B1922" s="11">
        <v>0.072</v>
      </c>
      <c r="C1922" s="11">
        <v>813.0</v>
      </c>
      <c r="D1922" s="8"/>
      <c r="E1922" s="7" t="s">
        <v>226</v>
      </c>
      <c r="F1922" s="9" t="s">
        <v>70</v>
      </c>
      <c r="G1922" s="5" t="s">
        <v>75</v>
      </c>
    </row>
    <row r="1923">
      <c r="A1923" s="10">
        <v>4.7E11</v>
      </c>
      <c r="B1923" s="11">
        <v>0.07</v>
      </c>
      <c r="C1923" s="11">
        <v>860.0</v>
      </c>
      <c r="D1923" s="8"/>
      <c r="E1923" s="7" t="s">
        <v>226</v>
      </c>
      <c r="F1923" s="9" t="s">
        <v>71</v>
      </c>
      <c r="G1923" s="5" t="s">
        <v>75</v>
      </c>
    </row>
    <row r="1924">
      <c r="A1924" s="10">
        <v>5.16E11</v>
      </c>
      <c r="B1924" s="11">
        <v>0.068</v>
      </c>
      <c r="C1924" s="11">
        <v>915.0</v>
      </c>
      <c r="D1924" s="8"/>
      <c r="E1924" s="7" t="s">
        <v>226</v>
      </c>
      <c r="F1924" s="9" t="s">
        <v>72</v>
      </c>
      <c r="G1924" s="5" t="s">
        <v>75</v>
      </c>
    </row>
    <row r="1925">
      <c r="A1925" s="10">
        <v>4.9E11</v>
      </c>
      <c r="B1925" s="11">
        <v>0.067</v>
      </c>
      <c r="C1925" s="11">
        <v>854.0</v>
      </c>
      <c r="D1925" s="8"/>
      <c r="E1925" s="7" t="s">
        <v>226</v>
      </c>
      <c r="F1925" s="9" t="s">
        <v>73</v>
      </c>
      <c r="G1925" s="5" t="s">
        <v>75</v>
      </c>
    </row>
    <row r="1926">
      <c r="A1926" s="10">
        <v>1.17E11</v>
      </c>
      <c r="B1926" s="11">
        <v>0.093</v>
      </c>
      <c r="C1926" s="11">
        <v>1070.0</v>
      </c>
      <c r="D1926" s="8"/>
      <c r="E1926" s="7" t="s">
        <v>227</v>
      </c>
      <c r="F1926" s="9" t="s">
        <v>60</v>
      </c>
      <c r="G1926" s="5" t="s">
        <v>75</v>
      </c>
    </row>
    <row r="1927">
      <c r="A1927" s="10">
        <v>1.2E11</v>
      </c>
      <c r="B1927" s="11">
        <v>0.093</v>
      </c>
      <c r="C1927" s="11">
        <v>1087.0</v>
      </c>
      <c r="D1927" s="8"/>
      <c r="E1927" s="7" t="s">
        <v>227</v>
      </c>
      <c r="F1927" s="9" t="s">
        <v>62</v>
      </c>
      <c r="G1927" s="5" t="s">
        <v>75</v>
      </c>
    </row>
    <row r="1928">
      <c r="A1928" s="10">
        <v>1.32E11</v>
      </c>
      <c r="B1928" s="11">
        <v>0.093</v>
      </c>
      <c r="C1928" s="11">
        <v>1190.0</v>
      </c>
      <c r="D1928" s="8"/>
      <c r="E1928" s="7" t="s">
        <v>227</v>
      </c>
      <c r="F1928" s="9" t="s">
        <v>63</v>
      </c>
      <c r="G1928" s="5" t="s">
        <v>75</v>
      </c>
    </row>
    <row r="1929">
      <c r="A1929" s="10">
        <v>1.62E11</v>
      </c>
      <c r="B1929" s="11">
        <v>0.097</v>
      </c>
      <c r="C1929" s="11">
        <v>1514.0</v>
      </c>
      <c r="D1929" s="8"/>
      <c r="E1929" s="7" t="s">
        <v>227</v>
      </c>
      <c r="F1929" s="9" t="s">
        <v>64</v>
      </c>
      <c r="G1929" s="5" t="s">
        <v>75</v>
      </c>
    </row>
    <row r="1930">
      <c r="A1930" s="10">
        <v>1.85E11</v>
      </c>
      <c r="B1930" s="11">
        <v>0.1</v>
      </c>
      <c r="C1930" s="11">
        <v>1779.0</v>
      </c>
      <c r="D1930" s="8"/>
      <c r="E1930" s="7" t="s">
        <v>227</v>
      </c>
      <c r="F1930" s="9" t="s">
        <v>65</v>
      </c>
      <c r="G1930" s="5" t="s">
        <v>75</v>
      </c>
    </row>
    <row r="1931">
      <c r="A1931" s="10">
        <v>1.92E11</v>
      </c>
      <c r="B1931" s="11">
        <v>0.104</v>
      </c>
      <c r="C1931" s="11">
        <v>1886.0</v>
      </c>
      <c r="D1931" s="8"/>
      <c r="E1931" s="7" t="s">
        <v>227</v>
      </c>
      <c r="F1931" s="9" t="s">
        <v>66</v>
      </c>
      <c r="G1931" s="5" t="s">
        <v>75</v>
      </c>
    </row>
    <row r="1932">
      <c r="A1932" s="10">
        <v>2.02E11</v>
      </c>
      <c r="B1932" s="11">
        <v>0.1</v>
      </c>
      <c r="C1932" s="11">
        <v>1915.0</v>
      </c>
      <c r="D1932" s="8"/>
      <c r="E1932" s="7" t="s">
        <v>227</v>
      </c>
      <c r="F1932" s="9" t="s">
        <v>67</v>
      </c>
      <c r="G1932" s="5" t="s">
        <v>75</v>
      </c>
    </row>
    <row r="1933">
      <c r="A1933" s="10">
        <v>2.32E11</v>
      </c>
      <c r="B1933" s="11">
        <v>0.1</v>
      </c>
      <c r="C1933" s="11">
        <v>2185.0</v>
      </c>
      <c r="D1933" s="8"/>
      <c r="E1933" s="7" t="s">
        <v>227</v>
      </c>
      <c r="F1933" s="9" t="s">
        <v>68</v>
      </c>
      <c r="G1933" s="5" t="s">
        <v>75</v>
      </c>
    </row>
    <row r="1934">
      <c r="A1934" s="10">
        <v>2.52E11</v>
      </c>
      <c r="B1934" s="11">
        <v>0.102</v>
      </c>
      <c r="C1934" s="11">
        <v>2425.0</v>
      </c>
      <c r="D1934" s="8"/>
      <c r="E1934" s="7" t="s">
        <v>227</v>
      </c>
      <c r="F1934" s="9" t="s">
        <v>69</v>
      </c>
      <c r="G1934" s="5" t="s">
        <v>75</v>
      </c>
    </row>
    <row r="1935">
      <c r="A1935" s="10">
        <v>2.34E11</v>
      </c>
      <c r="B1935" s="11">
        <v>0.108</v>
      </c>
      <c r="C1935" s="11">
        <v>2382.0</v>
      </c>
      <c r="D1935" s="8"/>
      <c r="E1935" s="7" t="s">
        <v>227</v>
      </c>
      <c r="F1935" s="9" t="s">
        <v>70</v>
      </c>
      <c r="G1935" s="5" t="s">
        <v>75</v>
      </c>
    </row>
    <row r="1936">
      <c r="A1936" s="10">
        <v>2.29E11</v>
      </c>
      <c r="B1936" s="11">
        <v>0.108</v>
      </c>
      <c r="C1936" s="11">
        <v>2324.0</v>
      </c>
      <c r="D1936" s="8"/>
      <c r="E1936" s="7" t="s">
        <v>227</v>
      </c>
      <c r="F1936" s="9" t="s">
        <v>71</v>
      </c>
      <c r="G1936" s="5" t="s">
        <v>75</v>
      </c>
    </row>
    <row r="1937">
      <c r="A1937" s="10">
        <v>2.38E11</v>
      </c>
      <c r="B1937" s="11">
        <v>0.102</v>
      </c>
      <c r="C1937" s="11">
        <v>2302.0</v>
      </c>
      <c r="D1937" s="8"/>
      <c r="E1937" s="7" t="s">
        <v>227</v>
      </c>
      <c r="F1937" s="9" t="s">
        <v>72</v>
      </c>
      <c r="G1937" s="5" t="s">
        <v>75</v>
      </c>
    </row>
    <row r="1938">
      <c r="A1938" s="10">
        <v>2.12E11</v>
      </c>
      <c r="B1938" s="11">
        <v>0.094</v>
      </c>
      <c r="C1938" s="11">
        <v>1905.0</v>
      </c>
      <c r="D1938" s="8"/>
      <c r="E1938" s="7" t="s">
        <v>227</v>
      </c>
      <c r="F1938" s="9" t="s">
        <v>73</v>
      </c>
      <c r="G1938" s="5" t="s">
        <v>75</v>
      </c>
    </row>
    <row r="1939">
      <c r="A1939" s="10">
        <v>6.170181E10</v>
      </c>
      <c r="B1939" s="8"/>
      <c r="C1939" s="8"/>
      <c r="D1939" s="8"/>
      <c r="E1939" s="7" t="s">
        <v>228</v>
      </c>
      <c r="F1939" s="9" t="s">
        <v>60</v>
      </c>
      <c r="G1939" s="5" t="s">
        <v>84</v>
      </c>
    </row>
    <row r="1940">
      <c r="A1940" s="10">
        <v>6.9668635E10</v>
      </c>
      <c r="B1940" s="8"/>
      <c r="C1940" s="8"/>
      <c r="D1940" s="8"/>
      <c r="E1940" s="7" t="s">
        <v>228</v>
      </c>
      <c r="F1940" s="9" t="s">
        <v>62</v>
      </c>
      <c r="G1940" s="5" t="s">
        <v>84</v>
      </c>
    </row>
    <row r="1941">
      <c r="A1941" s="10">
        <v>7.2546194E10</v>
      </c>
      <c r="B1941" s="8"/>
      <c r="C1941" s="8"/>
      <c r="D1941" s="8"/>
      <c r="E1941" s="7" t="s">
        <v>228</v>
      </c>
      <c r="F1941" s="9" t="s">
        <v>63</v>
      </c>
      <c r="G1941" s="5" t="s">
        <v>84</v>
      </c>
    </row>
    <row r="1942">
      <c r="A1942" s="10">
        <v>7.5833996E10</v>
      </c>
      <c r="B1942" s="8"/>
      <c r="C1942" s="8"/>
      <c r="D1942" s="8"/>
      <c r="E1942" s="7" t="s">
        <v>228</v>
      </c>
      <c r="F1942" s="9" t="s">
        <v>64</v>
      </c>
      <c r="G1942" s="5" t="s">
        <v>84</v>
      </c>
    </row>
    <row r="1943">
      <c r="A1943" s="10">
        <v>8.0322313E10</v>
      </c>
      <c r="B1943" s="8"/>
      <c r="C1943" s="8"/>
      <c r="D1943" s="8"/>
      <c r="E1943" s="7" t="s">
        <v>228</v>
      </c>
      <c r="F1943" s="9" t="s">
        <v>65</v>
      </c>
      <c r="G1943" s="5" t="s">
        <v>84</v>
      </c>
    </row>
    <row r="1944">
      <c r="A1944" s="10">
        <v>8.3914521341E10</v>
      </c>
      <c r="B1944" s="8"/>
      <c r="C1944" s="8"/>
      <c r="D1944" s="8"/>
      <c r="E1944" s="7" t="s">
        <v>228</v>
      </c>
      <c r="F1944" s="9" t="s">
        <v>66</v>
      </c>
      <c r="G1944" s="5" t="s">
        <v>84</v>
      </c>
    </row>
    <row r="1945">
      <c r="A1945" s="10">
        <v>8.7276164365E10</v>
      </c>
      <c r="B1945" s="8"/>
      <c r="C1945" s="8"/>
      <c r="D1945" s="8"/>
      <c r="E1945" s="7" t="s">
        <v>228</v>
      </c>
      <c r="F1945" s="9" t="s">
        <v>67</v>
      </c>
      <c r="G1945" s="5" t="s">
        <v>84</v>
      </c>
    </row>
    <row r="1946">
      <c r="A1946" s="10">
        <v>8.9524131617E10</v>
      </c>
      <c r="B1946" s="8"/>
      <c r="C1946" s="8"/>
      <c r="D1946" s="8"/>
      <c r="E1946" s="7" t="s">
        <v>228</v>
      </c>
      <c r="F1946" s="9" t="s">
        <v>68</v>
      </c>
      <c r="G1946" s="5" t="s">
        <v>84</v>
      </c>
    </row>
    <row r="1947">
      <c r="A1947" s="10">
        <v>9.3639316E10</v>
      </c>
      <c r="B1947" s="8"/>
      <c r="C1947" s="8"/>
      <c r="D1947" s="8"/>
      <c r="E1947" s="7" t="s">
        <v>228</v>
      </c>
      <c r="F1947" s="9" t="s">
        <v>69</v>
      </c>
      <c r="G1947" s="5" t="s">
        <v>84</v>
      </c>
    </row>
    <row r="1948">
      <c r="A1948" s="10">
        <v>9.6385638E10</v>
      </c>
      <c r="B1948" s="8"/>
      <c r="C1948" s="8"/>
      <c r="D1948" s="8"/>
      <c r="E1948" s="7" t="s">
        <v>228</v>
      </c>
      <c r="F1948" s="9" t="s">
        <v>70</v>
      </c>
      <c r="G1948" s="5" t="s">
        <v>84</v>
      </c>
    </row>
    <row r="1949">
      <c r="A1949" s="10">
        <v>9.8381268E10</v>
      </c>
      <c r="B1949" s="8"/>
      <c r="C1949" s="8"/>
      <c r="D1949" s="8"/>
      <c r="E1949" s="7" t="s">
        <v>228</v>
      </c>
      <c r="F1949" s="9" t="s">
        <v>71</v>
      </c>
      <c r="G1949" s="5" t="s">
        <v>84</v>
      </c>
    </row>
    <row r="1950">
      <c r="A1950" s="10">
        <v>1.0E11</v>
      </c>
      <c r="B1950" s="8"/>
      <c r="C1950" s="8"/>
      <c r="D1950" s="8"/>
      <c r="E1950" s="7" t="s">
        <v>228</v>
      </c>
      <c r="F1950" s="9" t="s">
        <v>72</v>
      </c>
      <c r="G1950" s="5" t="s">
        <v>84</v>
      </c>
    </row>
    <row r="1951">
      <c r="A1951" s="10">
        <v>1.01E11</v>
      </c>
      <c r="B1951" s="8"/>
      <c r="C1951" s="8"/>
      <c r="D1951" s="8"/>
      <c r="E1951" s="7" t="s">
        <v>228</v>
      </c>
      <c r="F1951" s="9" t="s">
        <v>73</v>
      </c>
      <c r="G1951" s="5" t="s">
        <v>84</v>
      </c>
    </row>
    <row r="1952">
      <c r="A1952" s="10">
        <v>1.7759889598E10</v>
      </c>
      <c r="B1952" s="11">
        <v>0.022</v>
      </c>
      <c r="C1952" s="11">
        <v>652.0</v>
      </c>
      <c r="D1952" s="8"/>
      <c r="E1952" s="7" t="s">
        <v>229</v>
      </c>
      <c r="F1952" s="9" t="s">
        <v>60</v>
      </c>
      <c r="G1952" s="5" t="s">
        <v>93</v>
      </c>
    </row>
    <row r="1953">
      <c r="A1953" s="10">
        <v>1.7538461033E10</v>
      </c>
      <c r="B1953" s="11">
        <v>0.026</v>
      </c>
      <c r="C1953" s="11">
        <v>732.0</v>
      </c>
      <c r="D1953" s="8"/>
      <c r="E1953" s="7" t="s">
        <v>229</v>
      </c>
      <c r="F1953" s="9" t="s">
        <v>62</v>
      </c>
      <c r="G1953" s="5" t="s">
        <v>93</v>
      </c>
    </row>
    <row r="1954">
      <c r="A1954" s="10">
        <v>1.9363735706E10</v>
      </c>
      <c r="B1954" s="11">
        <v>0.027</v>
      </c>
      <c r="C1954" s="11">
        <v>833.0</v>
      </c>
      <c r="D1954" s="8"/>
      <c r="E1954" s="7" t="s">
        <v>229</v>
      </c>
      <c r="F1954" s="9" t="s">
        <v>63</v>
      </c>
      <c r="G1954" s="5" t="s">
        <v>93</v>
      </c>
    </row>
    <row r="1955">
      <c r="A1955" s="10">
        <v>2.3533790531E10</v>
      </c>
      <c r="B1955" s="11">
        <v>0.041</v>
      </c>
      <c r="C1955" s="11">
        <v>1476.0</v>
      </c>
      <c r="D1955" s="8"/>
      <c r="E1955" s="7" t="s">
        <v>229</v>
      </c>
      <c r="F1955" s="9" t="s">
        <v>64</v>
      </c>
      <c r="G1955" s="5" t="s">
        <v>93</v>
      </c>
    </row>
    <row r="1956">
      <c r="A1956" s="10">
        <v>3.1734065019E10</v>
      </c>
      <c r="B1956" s="11">
        <v>0.036</v>
      </c>
      <c r="C1956" s="11">
        <v>1589.0</v>
      </c>
      <c r="D1956" s="11">
        <v>0.07</v>
      </c>
      <c r="E1956" s="7" t="s">
        <v>229</v>
      </c>
      <c r="F1956" s="9" t="s">
        <v>65</v>
      </c>
      <c r="G1956" s="5" t="s">
        <v>93</v>
      </c>
    </row>
    <row r="1957">
      <c r="A1957" s="10">
        <v>4.4530493222E10</v>
      </c>
      <c r="B1957" s="11">
        <v>0.03</v>
      </c>
      <c r="C1957" s="11">
        <v>1634.0</v>
      </c>
      <c r="D1957" s="11">
        <v>0.067</v>
      </c>
      <c r="E1957" s="7" t="s">
        <v>229</v>
      </c>
      <c r="F1957" s="9" t="s">
        <v>66</v>
      </c>
      <c r="G1957" s="5" t="s">
        <v>93</v>
      </c>
    </row>
    <row r="1958">
      <c r="A1958" s="10">
        <v>6.0882141103E10</v>
      </c>
      <c r="B1958" s="11">
        <v>0.026</v>
      </c>
      <c r="C1958" s="11">
        <v>1625.0</v>
      </c>
      <c r="D1958" s="11">
        <v>0.072</v>
      </c>
      <c r="E1958" s="7" t="s">
        <v>229</v>
      </c>
      <c r="F1958" s="9" t="s">
        <v>67</v>
      </c>
      <c r="G1958" s="5" t="s">
        <v>93</v>
      </c>
    </row>
    <row r="1959">
      <c r="A1959" s="10">
        <v>7.9712085615E10</v>
      </c>
      <c r="B1959" s="11">
        <v>0.023</v>
      </c>
      <c r="C1959" s="11">
        <v>1600.0</v>
      </c>
      <c r="D1959" s="11">
        <v>0.074</v>
      </c>
      <c r="E1959" s="7" t="s">
        <v>229</v>
      </c>
      <c r="F1959" s="9" t="s">
        <v>68</v>
      </c>
      <c r="G1959" s="5" t="s">
        <v>93</v>
      </c>
    </row>
    <row r="1960">
      <c r="A1960" s="10">
        <v>1.15E11</v>
      </c>
      <c r="B1960" s="11">
        <v>0.019</v>
      </c>
      <c r="C1960" s="11">
        <v>1590.0</v>
      </c>
      <c r="D1960" s="11">
        <v>0.068</v>
      </c>
      <c r="E1960" s="7" t="s">
        <v>229</v>
      </c>
      <c r="F1960" s="9" t="s">
        <v>69</v>
      </c>
      <c r="G1960" s="5" t="s">
        <v>93</v>
      </c>
    </row>
    <row r="1961">
      <c r="A1961" s="10">
        <v>9.779834883E10</v>
      </c>
      <c r="B1961" s="11">
        <v>0.026</v>
      </c>
      <c r="C1961" s="11">
        <v>1647.0</v>
      </c>
      <c r="D1961" s="11">
        <v>0.07</v>
      </c>
      <c r="E1961" s="7" t="s">
        <v>229</v>
      </c>
      <c r="F1961" s="9" t="s">
        <v>70</v>
      </c>
      <c r="G1961" s="5" t="s">
        <v>93</v>
      </c>
    </row>
    <row r="1962">
      <c r="A1962" s="10">
        <v>1.25E11</v>
      </c>
      <c r="B1962" s="11">
        <v>0.021</v>
      </c>
      <c r="C1962" s="11">
        <v>1496.0</v>
      </c>
      <c r="D1962" s="11">
        <v>0.073</v>
      </c>
      <c r="E1962" s="7" t="s">
        <v>229</v>
      </c>
      <c r="F1962" s="9" t="s">
        <v>71</v>
      </c>
      <c r="G1962" s="5" t="s">
        <v>93</v>
      </c>
    </row>
    <row r="1963">
      <c r="A1963" s="10">
        <v>1.7E11</v>
      </c>
      <c r="B1963" s="11">
        <v>0.019</v>
      </c>
      <c r="C1963" s="11">
        <v>1738.0</v>
      </c>
      <c r="D1963" s="11">
        <v>0.055</v>
      </c>
      <c r="E1963" s="7" t="s">
        <v>229</v>
      </c>
      <c r="F1963" s="9" t="s">
        <v>72</v>
      </c>
      <c r="G1963" s="5" t="s">
        <v>93</v>
      </c>
    </row>
    <row r="1964">
      <c r="A1964" s="10">
        <v>1.9E11</v>
      </c>
      <c r="B1964" s="11">
        <v>0.022</v>
      </c>
      <c r="C1964" s="11">
        <v>2029.0</v>
      </c>
      <c r="D1964" s="11">
        <v>0.054</v>
      </c>
      <c r="E1964" s="7" t="s">
        <v>229</v>
      </c>
      <c r="F1964" s="9" t="s">
        <v>73</v>
      </c>
      <c r="G1964" s="5" t="s">
        <v>93</v>
      </c>
    </row>
    <row r="1965">
      <c r="A1965" s="10">
        <v>3.7305099928E10</v>
      </c>
      <c r="B1965" s="11">
        <v>0.043</v>
      </c>
      <c r="C1965" s="11">
        <v>72.0</v>
      </c>
      <c r="D1965" s="11">
        <v>0.539</v>
      </c>
      <c r="E1965" s="7" t="s">
        <v>230</v>
      </c>
      <c r="F1965" s="9" t="s">
        <v>60</v>
      </c>
      <c r="G1965" s="5" t="s">
        <v>75</v>
      </c>
    </row>
    <row r="1966">
      <c r="A1966" s="10">
        <v>4.0585886769E10</v>
      </c>
      <c r="B1966" s="11">
        <v>0.044</v>
      </c>
      <c r="C1966" s="11">
        <v>79.0</v>
      </c>
      <c r="D1966" s="11">
        <v>0.454</v>
      </c>
      <c r="E1966" s="7" t="s">
        <v>230</v>
      </c>
      <c r="F1966" s="9" t="s">
        <v>62</v>
      </c>
      <c r="G1966" s="5" t="s">
        <v>75</v>
      </c>
    </row>
    <row r="1967">
      <c r="A1967" s="10">
        <v>4.5988510814E10</v>
      </c>
      <c r="B1967" s="11">
        <v>0.046</v>
      </c>
      <c r="C1967" s="11">
        <v>97.0</v>
      </c>
      <c r="D1967" s="11">
        <v>0.354</v>
      </c>
      <c r="E1967" s="7" t="s">
        <v>230</v>
      </c>
      <c r="F1967" s="9" t="s">
        <v>63</v>
      </c>
      <c r="G1967" s="5" t="s">
        <v>75</v>
      </c>
    </row>
    <row r="1968">
      <c r="A1968" s="10">
        <v>5.9466017706E10</v>
      </c>
      <c r="B1968" s="11">
        <v>0.053</v>
      </c>
      <c r="C1968" s="11">
        <v>146.0</v>
      </c>
      <c r="D1968" s="11">
        <v>0.254</v>
      </c>
      <c r="E1968" s="7" t="s">
        <v>230</v>
      </c>
      <c r="F1968" s="9" t="s">
        <v>64</v>
      </c>
      <c r="G1968" s="5" t="s">
        <v>75</v>
      </c>
    </row>
    <row r="1969">
      <c r="A1969" s="10">
        <v>7.5794733525E10</v>
      </c>
      <c r="B1969" s="11">
        <v>0.054</v>
      </c>
      <c r="C1969" s="11">
        <v>190.0</v>
      </c>
      <c r="D1969" s="11">
        <v>0.256</v>
      </c>
      <c r="E1969" s="7" t="s">
        <v>230</v>
      </c>
      <c r="F1969" s="9" t="s">
        <v>65</v>
      </c>
      <c r="G1969" s="5" t="s">
        <v>75</v>
      </c>
    </row>
    <row r="1970">
      <c r="A1970" s="10">
        <v>9.9172613716E10</v>
      </c>
      <c r="B1970" s="11">
        <v>0.055</v>
      </c>
      <c r="C1970" s="11">
        <v>251.0</v>
      </c>
      <c r="D1970" s="11">
        <v>0.196</v>
      </c>
      <c r="E1970" s="7" t="s">
        <v>230</v>
      </c>
      <c r="F1970" s="9" t="s">
        <v>66</v>
      </c>
      <c r="G1970" s="5" t="s">
        <v>75</v>
      </c>
    </row>
    <row r="1971">
      <c r="A1971" s="10">
        <v>1.23E11</v>
      </c>
      <c r="B1971" s="11">
        <v>0.051</v>
      </c>
      <c r="C1971" s="11">
        <v>289.0</v>
      </c>
      <c r="D1971" s="11">
        <v>0.14</v>
      </c>
      <c r="E1971" s="7" t="s">
        <v>230</v>
      </c>
      <c r="F1971" s="9" t="s">
        <v>67</v>
      </c>
      <c r="G1971" s="5" t="s">
        <v>75</v>
      </c>
    </row>
    <row r="1972">
      <c r="A1972" s="10">
        <v>1.71E11</v>
      </c>
      <c r="B1972" s="11">
        <v>0.052</v>
      </c>
      <c r="C1972" s="11">
        <v>414.0</v>
      </c>
      <c r="D1972" s="11">
        <v>0.133</v>
      </c>
      <c r="E1972" s="7" t="s">
        <v>230</v>
      </c>
      <c r="F1972" s="9" t="s">
        <v>68</v>
      </c>
      <c r="G1972" s="5" t="s">
        <v>75</v>
      </c>
    </row>
    <row r="1973">
      <c r="A1973" s="10">
        <v>2.04E11</v>
      </c>
      <c r="B1973" s="11">
        <v>0.054</v>
      </c>
      <c r="C1973" s="11">
        <v>516.0</v>
      </c>
      <c r="D1973" s="11">
        <v>0.15</v>
      </c>
      <c r="E1973" s="7" t="s">
        <v>230</v>
      </c>
      <c r="F1973" s="9" t="s">
        <v>69</v>
      </c>
      <c r="G1973" s="5" t="s">
        <v>75</v>
      </c>
    </row>
    <row r="1974">
      <c r="A1974" s="10">
        <v>1.64E11</v>
      </c>
      <c r="B1974" s="11">
        <v>0.056</v>
      </c>
      <c r="C1974" s="11">
        <v>431.0</v>
      </c>
      <c r="D1974" s="11">
        <v>0.173</v>
      </c>
      <c r="E1974" s="7" t="s">
        <v>230</v>
      </c>
      <c r="F1974" s="9" t="s">
        <v>70</v>
      </c>
      <c r="G1974" s="5" t="s">
        <v>75</v>
      </c>
    </row>
    <row r="1975">
      <c r="A1975" s="10">
        <v>1.65E11</v>
      </c>
      <c r="B1975" s="11">
        <v>0.059</v>
      </c>
      <c r="C1975" s="11">
        <v>457.0</v>
      </c>
      <c r="D1975" s="11">
        <v>0.141</v>
      </c>
      <c r="E1975" s="7" t="s">
        <v>230</v>
      </c>
      <c r="F1975" s="9" t="s">
        <v>71</v>
      </c>
      <c r="G1975" s="5" t="s">
        <v>75</v>
      </c>
    </row>
    <row r="1976">
      <c r="A1976" s="10">
        <v>1.83E11</v>
      </c>
      <c r="B1976" s="11">
        <v>0.056</v>
      </c>
      <c r="C1976" s="11">
        <v>480.0</v>
      </c>
      <c r="D1976" s="11">
        <v>0.121</v>
      </c>
      <c r="E1976" s="7" t="s">
        <v>230</v>
      </c>
      <c r="F1976" s="9" t="s">
        <v>72</v>
      </c>
      <c r="G1976" s="5" t="s">
        <v>75</v>
      </c>
    </row>
    <row r="1977">
      <c r="A1977" s="10">
        <v>1.69E11</v>
      </c>
      <c r="B1977" s="11">
        <v>0.051</v>
      </c>
      <c r="C1977" s="11">
        <v>420.0</v>
      </c>
      <c r="D1977" s="11">
        <v>0.113</v>
      </c>
      <c r="E1977" s="7" t="s">
        <v>230</v>
      </c>
      <c r="F1977" s="9" t="s">
        <v>73</v>
      </c>
      <c r="G1977" s="5" t="s">
        <v>75</v>
      </c>
    </row>
    <row r="1978">
      <c r="A1978" s="10">
        <v>2.6E11</v>
      </c>
      <c r="B1978" s="11">
        <v>0.054</v>
      </c>
      <c r="C1978" s="11">
        <v>96.0</v>
      </c>
      <c r="D1978" s="11">
        <v>0.244</v>
      </c>
      <c r="E1978" s="7" t="s">
        <v>231</v>
      </c>
      <c r="F1978" s="9" t="s">
        <v>60</v>
      </c>
      <c r="G1978" s="5" t="s">
        <v>75</v>
      </c>
    </row>
    <row r="1979">
      <c r="A1979" s="10">
        <v>3.07E11</v>
      </c>
      <c r="B1979" s="11">
        <v>0.057</v>
      </c>
      <c r="C1979" s="11">
        <v>119.0</v>
      </c>
      <c r="D1979" s="11">
        <v>0.179</v>
      </c>
      <c r="E1979" s="7" t="s">
        <v>231</v>
      </c>
      <c r="F1979" s="9" t="s">
        <v>62</v>
      </c>
      <c r="G1979" s="5" t="s">
        <v>75</v>
      </c>
    </row>
    <row r="1980">
      <c r="A1980" s="10">
        <v>3.45E11</v>
      </c>
      <c r="B1980" s="11">
        <v>0.06</v>
      </c>
      <c r="C1980" s="11">
        <v>142.0</v>
      </c>
      <c r="D1980" s="11">
        <v>0.157</v>
      </c>
      <c r="E1980" s="7" t="s">
        <v>231</v>
      </c>
      <c r="F1980" s="9" t="s">
        <v>63</v>
      </c>
      <c r="G1980" s="5" t="s">
        <v>75</v>
      </c>
    </row>
    <row r="1981">
      <c r="A1981" s="10">
        <v>4.3E11</v>
      </c>
      <c r="B1981" s="11">
        <v>0.056</v>
      </c>
      <c r="C1981" s="11">
        <v>167.0</v>
      </c>
      <c r="D1981" s="11">
        <v>0.13</v>
      </c>
      <c r="E1981" s="7" t="s">
        <v>231</v>
      </c>
      <c r="F1981" s="9" t="s">
        <v>64</v>
      </c>
      <c r="G1981" s="5" t="s">
        <v>75</v>
      </c>
    </row>
    <row r="1982">
      <c r="A1982" s="10">
        <v>5.91E11</v>
      </c>
      <c r="B1982" s="11">
        <v>0.052</v>
      </c>
      <c r="C1982" s="11">
        <v>212.0</v>
      </c>
      <c r="D1982" s="11">
        <v>0.114</v>
      </c>
      <c r="E1982" s="7" t="s">
        <v>231</v>
      </c>
      <c r="F1982" s="9" t="s">
        <v>65</v>
      </c>
      <c r="G1982" s="5" t="s">
        <v>75</v>
      </c>
    </row>
    <row r="1983">
      <c r="A1983" s="10">
        <v>7.64E11</v>
      </c>
      <c r="B1983" s="11">
        <v>0.052</v>
      </c>
      <c r="C1983" s="11">
        <v>277.0</v>
      </c>
      <c r="D1983" s="11">
        <v>0.107</v>
      </c>
      <c r="E1983" s="7" t="s">
        <v>231</v>
      </c>
      <c r="F1983" s="9" t="s">
        <v>66</v>
      </c>
      <c r="G1983" s="5" t="s">
        <v>75</v>
      </c>
    </row>
    <row r="1984">
      <c r="A1984" s="10">
        <v>9.9E11</v>
      </c>
      <c r="B1984" s="11">
        <v>0.053</v>
      </c>
      <c r="C1984" s="11">
        <v>365.0</v>
      </c>
      <c r="D1984" s="11">
        <v>0.104</v>
      </c>
      <c r="E1984" s="7" t="s">
        <v>231</v>
      </c>
      <c r="F1984" s="9" t="s">
        <v>67</v>
      </c>
      <c r="G1984" s="5" t="s">
        <v>75</v>
      </c>
    </row>
    <row r="1985">
      <c r="A1985" s="10">
        <v>1.3E12</v>
      </c>
      <c r="B1985" s="11">
        <v>0.054</v>
      </c>
      <c r="C1985" s="11">
        <v>487.0</v>
      </c>
      <c r="D1985" s="11">
        <v>0.1</v>
      </c>
      <c r="E1985" s="7" t="s">
        <v>231</v>
      </c>
      <c r="F1985" s="9" t="s">
        <v>68</v>
      </c>
      <c r="G1985" s="5" t="s">
        <v>75</v>
      </c>
    </row>
    <row r="1986">
      <c r="A1986" s="10">
        <v>1.66E12</v>
      </c>
      <c r="B1986" s="11">
        <v>0.051</v>
      </c>
      <c r="C1986" s="11">
        <v>594.0</v>
      </c>
      <c r="D1986" s="11">
        <v>0.122</v>
      </c>
      <c r="E1986" s="7" t="s">
        <v>231</v>
      </c>
      <c r="F1986" s="9" t="s">
        <v>69</v>
      </c>
      <c r="G1986" s="5" t="s">
        <v>75</v>
      </c>
    </row>
    <row r="1987">
      <c r="A1987" s="10">
        <v>1.22E12</v>
      </c>
      <c r="B1987" s="11">
        <v>0.062</v>
      </c>
      <c r="C1987" s="11">
        <v>525.0</v>
      </c>
      <c r="D1987" s="11">
        <v>0.153</v>
      </c>
      <c r="E1987" s="7" t="s">
        <v>231</v>
      </c>
      <c r="F1987" s="9" t="s">
        <v>70</v>
      </c>
      <c r="G1987" s="5" t="s">
        <v>75</v>
      </c>
    </row>
    <row r="1988">
      <c r="A1988" s="10">
        <v>1.52E12</v>
      </c>
      <c r="B1988" s="11">
        <v>0.063</v>
      </c>
      <c r="C1988" s="11">
        <v>669.0</v>
      </c>
      <c r="D1988" s="11">
        <v>0.108</v>
      </c>
      <c r="E1988" s="7" t="s">
        <v>231</v>
      </c>
      <c r="F1988" s="9" t="s">
        <v>71</v>
      </c>
      <c r="G1988" s="5" t="s">
        <v>75</v>
      </c>
    </row>
    <row r="1989">
      <c r="A1989" s="10">
        <v>1.9E12</v>
      </c>
      <c r="B1989" s="11">
        <v>0.061</v>
      </c>
      <c r="C1989" s="11">
        <v>803.0</v>
      </c>
      <c r="D1989" s="11">
        <v>0.085</v>
      </c>
      <c r="E1989" s="7" t="s">
        <v>231</v>
      </c>
      <c r="F1989" s="9" t="s">
        <v>72</v>
      </c>
      <c r="G1989" s="5" t="s">
        <v>75</v>
      </c>
    </row>
    <row r="1990">
      <c r="A1990" s="10">
        <v>2.02E12</v>
      </c>
      <c r="B1990" s="11">
        <v>0.063</v>
      </c>
      <c r="C1990" s="11">
        <v>887.0</v>
      </c>
      <c r="D1990" s="11">
        <v>0.091</v>
      </c>
      <c r="E1990" s="7" t="s">
        <v>231</v>
      </c>
      <c r="F1990" s="9" t="s">
        <v>73</v>
      </c>
      <c r="G1990" s="5" t="s">
        <v>75</v>
      </c>
    </row>
    <row r="1991">
      <c r="A1991" s="10">
        <v>1.73493819E9</v>
      </c>
      <c r="B1991" s="11">
        <v>0.042</v>
      </c>
      <c r="C1991" s="11">
        <v>9.0</v>
      </c>
      <c r="D1991" s="11">
        <v>0.17</v>
      </c>
      <c r="E1991" s="7" t="s">
        <v>232</v>
      </c>
      <c r="F1991" s="9" t="s">
        <v>60</v>
      </c>
      <c r="G1991" s="5" t="s">
        <v>77</v>
      </c>
    </row>
    <row r="1992">
      <c r="A1992" s="10">
        <v>1.674685126E9</v>
      </c>
      <c r="B1992" s="11">
        <v>0.044</v>
      </c>
      <c r="C1992" s="11">
        <v>8.0</v>
      </c>
      <c r="D1992" s="11">
        <v>0.173</v>
      </c>
      <c r="E1992" s="7" t="s">
        <v>232</v>
      </c>
      <c r="F1992" s="9" t="s">
        <v>62</v>
      </c>
      <c r="G1992" s="5" t="s">
        <v>77</v>
      </c>
    </row>
    <row r="1993">
      <c r="A1993" s="10">
        <v>1.677447003E9</v>
      </c>
      <c r="B1993" s="11">
        <v>0.042</v>
      </c>
      <c r="C1993" s="11">
        <v>8.0</v>
      </c>
      <c r="D1993" s="11">
        <v>0.164</v>
      </c>
      <c r="E1993" s="7" t="s">
        <v>232</v>
      </c>
      <c r="F1993" s="9" t="s">
        <v>63</v>
      </c>
      <c r="G1993" s="5" t="s">
        <v>77</v>
      </c>
    </row>
    <row r="1994">
      <c r="A1994" s="10">
        <v>1.845979351E9</v>
      </c>
      <c r="B1994" s="11">
        <v>0.063</v>
      </c>
      <c r="C1994" s="11">
        <v>13.0</v>
      </c>
      <c r="D1994" s="11">
        <v>0.171</v>
      </c>
      <c r="E1994" s="7" t="s">
        <v>232</v>
      </c>
      <c r="F1994" s="9" t="s">
        <v>64</v>
      </c>
      <c r="G1994" s="5" t="s">
        <v>77</v>
      </c>
    </row>
    <row r="1995">
      <c r="A1995" s="10">
        <v>2.089188921E9</v>
      </c>
      <c r="B1995" s="11">
        <v>0.058</v>
      </c>
      <c r="C1995" s="11">
        <v>13.0</v>
      </c>
      <c r="D1995" s="11">
        <v>0.165</v>
      </c>
      <c r="E1995" s="7" t="s">
        <v>232</v>
      </c>
      <c r="F1995" s="9" t="s">
        <v>65</v>
      </c>
      <c r="G1995" s="5" t="s">
        <v>77</v>
      </c>
    </row>
    <row r="1996">
      <c r="A1996" s="10">
        <v>2.581286407E9</v>
      </c>
      <c r="B1996" s="11">
        <v>0.061</v>
      </c>
      <c r="C1996" s="11">
        <v>17.0</v>
      </c>
      <c r="D1996" s="11">
        <v>0.161</v>
      </c>
      <c r="E1996" s="7" t="s">
        <v>232</v>
      </c>
      <c r="F1996" s="9" t="s">
        <v>66</v>
      </c>
      <c r="G1996" s="5" t="s">
        <v>77</v>
      </c>
    </row>
    <row r="1997">
      <c r="A1997" s="10">
        <v>3.110327823E9</v>
      </c>
      <c r="B1997" s="11">
        <v>0.1</v>
      </c>
      <c r="C1997" s="11">
        <v>32.0</v>
      </c>
      <c r="D1997" s="11">
        <v>0.161</v>
      </c>
      <c r="E1997" s="7" t="s">
        <v>232</v>
      </c>
      <c r="F1997" s="9" t="s">
        <v>67</v>
      </c>
      <c r="G1997" s="5" t="s">
        <v>77</v>
      </c>
    </row>
    <row r="1998">
      <c r="A1998" s="10">
        <v>3.707800459E9</v>
      </c>
      <c r="B1998" s="11">
        <v>0.1</v>
      </c>
      <c r="C1998" s="11">
        <v>38.0</v>
      </c>
      <c r="D1998" s="11">
        <v>0.161</v>
      </c>
      <c r="E1998" s="7" t="s">
        <v>232</v>
      </c>
      <c r="F1998" s="9" t="s">
        <v>68</v>
      </c>
      <c r="G1998" s="5" t="s">
        <v>77</v>
      </c>
    </row>
    <row r="1999">
      <c r="A1999" s="10">
        <v>4.674053754E9</v>
      </c>
      <c r="B1999" s="11">
        <v>0.101</v>
      </c>
      <c r="C1999" s="11">
        <v>47.0</v>
      </c>
      <c r="D1999" s="11">
        <v>0.165</v>
      </c>
      <c r="E1999" s="7" t="s">
        <v>232</v>
      </c>
      <c r="F1999" s="9" t="s">
        <v>69</v>
      </c>
      <c r="G1999" s="5" t="s">
        <v>77</v>
      </c>
    </row>
    <row r="2000">
      <c r="A2000" s="10">
        <v>5.208687775E9</v>
      </c>
      <c r="B2000" s="11">
        <v>0.1</v>
      </c>
      <c r="C2000" s="11">
        <v>50.0</v>
      </c>
      <c r="D2000" s="11">
        <v>0.161</v>
      </c>
      <c r="E2000" s="7" t="s">
        <v>232</v>
      </c>
      <c r="F2000" s="9" t="s">
        <v>70</v>
      </c>
      <c r="G2000" s="5" t="s">
        <v>77</v>
      </c>
    </row>
    <row r="2001">
      <c r="A2001" s="10">
        <v>5.624809049E9</v>
      </c>
      <c r="B2001" s="11">
        <v>0.108</v>
      </c>
      <c r="C2001" s="11">
        <v>56.0</v>
      </c>
      <c r="D2001" s="11">
        <v>0.167</v>
      </c>
      <c r="E2001" s="7" t="s">
        <v>232</v>
      </c>
      <c r="F2001" s="9" t="s">
        <v>71</v>
      </c>
      <c r="G2001" s="5" t="s">
        <v>77</v>
      </c>
    </row>
    <row r="2002">
      <c r="A2002" s="10">
        <v>6.40672702E9</v>
      </c>
      <c r="B2002" s="11">
        <v>0.11</v>
      </c>
      <c r="C2002" s="11">
        <v>62.0</v>
      </c>
      <c r="D2002" s="8"/>
      <c r="E2002" s="7" t="s">
        <v>232</v>
      </c>
      <c r="F2002" s="9" t="s">
        <v>72</v>
      </c>
      <c r="G2002" s="5" t="s">
        <v>77</v>
      </c>
    </row>
    <row r="2003">
      <c r="A2003" s="10">
        <v>7.133378888E9</v>
      </c>
      <c r="B2003" s="11">
        <v>0.107</v>
      </c>
      <c r="C2003" s="11">
        <v>66.0</v>
      </c>
      <c r="D2003" s="8"/>
      <c r="E2003" s="7" t="s">
        <v>232</v>
      </c>
      <c r="F2003" s="9" t="s">
        <v>73</v>
      </c>
      <c r="G2003" s="5" t="s">
        <v>77</v>
      </c>
    </row>
    <row r="2004">
      <c r="A2004" s="10">
        <v>2.39698992E8</v>
      </c>
      <c r="B2004" s="11">
        <v>0.06</v>
      </c>
      <c r="C2004" s="11">
        <v>80.0</v>
      </c>
      <c r="D2004" s="8"/>
      <c r="E2004" s="7" t="s">
        <v>233</v>
      </c>
      <c r="F2004" s="9" t="s">
        <v>60</v>
      </c>
      <c r="G2004" s="5" t="s">
        <v>80</v>
      </c>
    </row>
    <row r="2005">
      <c r="A2005" s="10">
        <v>2.4332419E8</v>
      </c>
      <c r="B2005" s="11">
        <v>0.058</v>
      </c>
      <c r="C2005" s="11">
        <v>79.0</v>
      </c>
      <c r="D2005" s="8"/>
      <c r="E2005" s="7" t="s">
        <v>233</v>
      </c>
      <c r="F2005" s="9" t="s">
        <v>62</v>
      </c>
      <c r="G2005" s="5" t="s">
        <v>80</v>
      </c>
    </row>
    <row r="2006">
      <c r="A2006" s="10">
        <v>2.566777E8</v>
      </c>
      <c r="B2006" s="11">
        <v>0.055</v>
      </c>
      <c r="C2006" s="11">
        <v>83.0</v>
      </c>
      <c r="D2006" s="11">
        <v>0.114</v>
      </c>
      <c r="E2006" s="7" t="s">
        <v>233</v>
      </c>
      <c r="F2006" s="9" t="s">
        <v>63</v>
      </c>
      <c r="G2006" s="5" t="s">
        <v>80</v>
      </c>
    </row>
    <row r="2007">
      <c r="A2007" s="10">
        <v>3.01905953E8</v>
      </c>
      <c r="B2007" s="11">
        <v>0.051</v>
      </c>
      <c r="C2007" s="11">
        <v>93.0</v>
      </c>
      <c r="D2007" s="11">
        <v>0.113</v>
      </c>
      <c r="E2007" s="7" t="s">
        <v>233</v>
      </c>
      <c r="F2007" s="9" t="s">
        <v>64</v>
      </c>
      <c r="G2007" s="5" t="s">
        <v>80</v>
      </c>
    </row>
    <row r="2008">
      <c r="A2008" s="10">
        <v>3.74507188E8</v>
      </c>
      <c r="B2008" s="11">
        <v>0.049</v>
      </c>
      <c r="C2008" s="11">
        <v>106.0</v>
      </c>
      <c r="D2008" s="11">
        <v>0.112</v>
      </c>
      <c r="E2008" s="7" t="s">
        <v>233</v>
      </c>
      <c r="F2008" s="9" t="s">
        <v>65</v>
      </c>
      <c r="G2008" s="5" t="s">
        <v>80</v>
      </c>
    </row>
    <row r="2009">
      <c r="A2009" s="10">
        <v>4.1222056E8</v>
      </c>
      <c r="B2009" s="11">
        <v>0.05</v>
      </c>
      <c r="C2009" s="11">
        <v>114.0</v>
      </c>
      <c r="D2009" s="11">
        <v>0.114</v>
      </c>
      <c r="E2009" s="7" t="s">
        <v>233</v>
      </c>
      <c r="F2009" s="9" t="s">
        <v>66</v>
      </c>
      <c r="G2009" s="5" t="s">
        <v>80</v>
      </c>
    </row>
    <row r="2010">
      <c r="A2010" s="10">
        <v>4.530829E8</v>
      </c>
      <c r="B2010" s="11">
        <v>0.052</v>
      </c>
      <c r="C2010" s="11">
        <v>129.0</v>
      </c>
      <c r="D2010" s="11">
        <v>0.117</v>
      </c>
      <c r="E2010" s="7" t="s">
        <v>233</v>
      </c>
      <c r="F2010" s="9" t="s">
        <v>67</v>
      </c>
      <c r="G2010" s="5" t="s">
        <v>80</v>
      </c>
    </row>
    <row r="2011">
      <c r="A2011" s="10">
        <v>4.90916835E8</v>
      </c>
      <c r="B2011" s="11">
        <v>0.059</v>
      </c>
      <c r="C2011" s="11">
        <v>164.0</v>
      </c>
      <c r="D2011" s="11">
        <v>0.127</v>
      </c>
      <c r="E2011" s="7" t="s">
        <v>233</v>
      </c>
      <c r="F2011" s="9" t="s">
        <v>68</v>
      </c>
      <c r="G2011" s="5" t="s">
        <v>80</v>
      </c>
    </row>
    <row r="2012">
      <c r="A2012" s="10">
        <v>5.73939144E8</v>
      </c>
      <c r="B2012" s="11">
        <v>0.051</v>
      </c>
      <c r="C2012" s="11">
        <v>153.0</v>
      </c>
      <c r="D2012" s="11">
        <v>0.127</v>
      </c>
      <c r="E2012" s="7" t="s">
        <v>233</v>
      </c>
      <c r="F2012" s="9" t="s">
        <v>69</v>
      </c>
      <c r="G2012" s="5" t="s">
        <v>80</v>
      </c>
    </row>
    <row r="2013">
      <c r="A2013" s="10">
        <v>5.01065927E8</v>
      </c>
      <c r="B2013" s="11">
        <v>0.057</v>
      </c>
      <c r="C2013" s="11">
        <v>160.0</v>
      </c>
      <c r="D2013" s="11">
        <v>0.121</v>
      </c>
      <c r="E2013" s="7" t="s">
        <v>233</v>
      </c>
      <c r="F2013" s="9" t="s">
        <v>70</v>
      </c>
      <c r="G2013" s="5" t="s">
        <v>80</v>
      </c>
    </row>
    <row r="2014">
      <c r="A2014" s="10">
        <v>5.72971727E8</v>
      </c>
      <c r="B2014" s="11">
        <v>0.064</v>
      </c>
      <c r="C2014" s="11">
        <v>201.0</v>
      </c>
      <c r="D2014" s="11">
        <v>0.107</v>
      </c>
      <c r="E2014" s="7" t="s">
        <v>233</v>
      </c>
      <c r="F2014" s="9" t="s">
        <v>71</v>
      </c>
      <c r="G2014" s="5" t="s">
        <v>80</v>
      </c>
    </row>
    <row r="2015">
      <c r="A2015" s="10">
        <v>6.31791993E8</v>
      </c>
      <c r="B2015" s="11">
        <v>0.07</v>
      </c>
      <c r="C2015" s="11">
        <v>245.0</v>
      </c>
      <c r="D2015" s="11">
        <v>0.1</v>
      </c>
      <c r="E2015" s="7" t="s">
        <v>233</v>
      </c>
      <c r="F2015" s="9" t="s">
        <v>72</v>
      </c>
      <c r="G2015" s="5" t="s">
        <v>80</v>
      </c>
    </row>
    <row r="2016">
      <c r="A2016" s="10">
        <v>6.84273267E8</v>
      </c>
      <c r="B2016" s="11">
        <v>0.068</v>
      </c>
      <c r="C2016" s="11">
        <v>245.0</v>
      </c>
      <c r="D2016" s="11">
        <v>0.099</v>
      </c>
      <c r="E2016" s="7" t="s">
        <v>233</v>
      </c>
      <c r="F2016" s="9" t="s">
        <v>73</v>
      </c>
      <c r="G2016" s="5" t="s">
        <v>80</v>
      </c>
    </row>
    <row r="2017">
      <c r="A2017" s="10">
        <v>7.73907642E8</v>
      </c>
      <c r="B2017" s="11">
        <v>0.053</v>
      </c>
      <c r="C2017" s="11">
        <v>2161.0</v>
      </c>
      <c r="D2017" s="11">
        <v>0.092</v>
      </c>
      <c r="E2017" s="7" t="s">
        <v>234</v>
      </c>
      <c r="F2017" s="9" t="s">
        <v>60</v>
      </c>
      <c r="G2017" s="5" t="s">
        <v>75</v>
      </c>
    </row>
    <row r="2018">
      <c r="A2018" s="10">
        <v>8.15205233E8</v>
      </c>
      <c r="B2018" s="11">
        <v>0.052</v>
      </c>
      <c r="C2018" s="11">
        <v>2183.0</v>
      </c>
      <c r="D2018" s="11">
        <v>0.088</v>
      </c>
      <c r="E2018" s="7" t="s">
        <v>234</v>
      </c>
      <c r="F2018" s="9" t="s">
        <v>62</v>
      </c>
      <c r="G2018" s="5" t="s">
        <v>75</v>
      </c>
    </row>
    <row r="2019">
      <c r="A2019" s="10">
        <v>8.7995721E8</v>
      </c>
      <c r="B2019" s="11">
        <v>0.065</v>
      </c>
      <c r="C2019" s="11">
        <v>2894.0</v>
      </c>
      <c r="D2019" s="11">
        <v>0.08</v>
      </c>
      <c r="E2019" s="7" t="s">
        <v>234</v>
      </c>
      <c r="F2019" s="9" t="s">
        <v>63</v>
      </c>
      <c r="G2019" s="5" t="s">
        <v>75</v>
      </c>
    </row>
    <row r="2020">
      <c r="A2020" s="10">
        <v>1.122981525E9</v>
      </c>
      <c r="B2020" s="11">
        <v>0.051</v>
      </c>
      <c r="C2020" s="11">
        <v>2837.0</v>
      </c>
      <c r="D2020" s="11">
        <v>0.075</v>
      </c>
      <c r="E2020" s="7" t="s">
        <v>234</v>
      </c>
      <c r="F2020" s="9" t="s">
        <v>64</v>
      </c>
      <c r="G2020" s="5" t="s">
        <v>75</v>
      </c>
    </row>
    <row r="2021">
      <c r="A2021" s="10">
        <v>1.317357835E9</v>
      </c>
      <c r="B2021" s="11">
        <v>0.053</v>
      </c>
      <c r="C2021" s="11">
        <v>3359.0</v>
      </c>
      <c r="D2021" s="11">
        <v>0.071</v>
      </c>
      <c r="E2021" s="7" t="s">
        <v>234</v>
      </c>
      <c r="F2021" s="9" t="s">
        <v>65</v>
      </c>
      <c r="G2021" s="5" t="s">
        <v>75</v>
      </c>
    </row>
    <row r="2022">
      <c r="A2022" s="10">
        <v>1.375416604E9</v>
      </c>
      <c r="B2022" s="11">
        <v>0.053</v>
      </c>
      <c r="C2022" s="11">
        <v>3399.0</v>
      </c>
      <c r="D2022" s="11">
        <v>0.072</v>
      </c>
      <c r="E2022" s="7" t="s">
        <v>234</v>
      </c>
      <c r="F2022" s="9" t="s">
        <v>66</v>
      </c>
      <c r="G2022" s="5" t="s">
        <v>75</v>
      </c>
    </row>
    <row r="2023">
      <c r="A2023" s="10">
        <v>1.469075398E9</v>
      </c>
      <c r="B2023" s="11">
        <v>0.051</v>
      </c>
      <c r="C2023" s="11">
        <v>3444.0</v>
      </c>
      <c r="D2023" s="11">
        <v>0.067</v>
      </c>
      <c r="E2023" s="7" t="s">
        <v>234</v>
      </c>
      <c r="F2023" s="9" t="s">
        <v>67</v>
      </c>
      <c r="G2023" s="5" t="s">
        <v>75</v>
      </c>
    </row>
    <row r="2024">
      <c r="A2024" s="10">
        <v>1.687653983E9</v>
      </c>
      <c r="B2024" s="11">
        <v>0.05</v>
      </c>
      <c r="C2024" s="11">
        <v>3872.0</v>
      </c>
      <c r="D2024" s="11">
        <v>0.076</v>
      </c>
      <c r="E2024" s="7" t="s">
        <v>234</v>
      </c>
      <c r="F2024" s="9" t="s">
        <v>68</v>
      </c>
      <c r="G2024" s="5" t="s">
        <v>75</v>
      </c>
    </row>
    <row r="2025">
      <c r="A2025" s="10">
        <v>1.89980958E9</v>
      </c>
      <c r="B2025" s="11">
        <v>0.05</v>
      </c>
      <c r="C2025" s="11">
        <v>4069.0</v>
      </c>
      <c r="D2025" s="11">
        <v>0.079</v>
      </c>
      <c r="E2025" s="7" t="s">
        <v>234</v>
      </c>
      <c r="F2025" s="9" t="s">
        <v>69</v>
      </c>
      <c r="G2025" s="5" t="s">
        <v>75</v>
      </c>
    </row>
    <row r="2026">
      <c r="A2026" s="7"/>
      <c r="B2026" s="11">
        <v>0.051</v>
      </c>
      <c r="C2026" s="11">
        <v>3548.0</v>
      </c>
      <c r="D2026" s="11">
        <v>0.057</v>
      </c>
      <c r="E2026" s="7" t="s">
        <v>234</v>
      </c>
      <c r="F2026" s="9" t="s">
        <v>70</v>
      </c>
      <c r="G2026" s="5" t="s">
        <v>75</v>
      </c>
    </row>
    <row r="2027">
      <c r="A2027" s="7"/>
      <c r="B2027" s="11">
        <v>0.053</v>
      </c>
      <c r="C2027" s="11">
        <v>3319.0</v>
      </c>
      <c r="D2027" s="11">
        <v>0.054</v>
      </c>
      <c r="E2027" s="7" t="s">
        <v>234</v>
      </c>
      <c r="F2027" s="9" t="s">
        <v>71</v>
      </c>
      <c r="G2027" s="5" t="s">
        <v>75</v>
      </c>
    </row>
    <row r="2028">
      <c r="A2028" s="7"/>
      <c r="B2028" s="11">
        <v>0.055</v>
      </c>
      <c r="C2028" s="11">
        <v>3553.0</v>
      </c>
      <c r="D2028" s="11">
        <v>0.059</v>
      </c>
      <c r="E2028" s="7" t="s">
        <v>234</v>
      </c>
      <c r="F2028" s="9" t="s">
        <v>72</v>
      </c>
      <c r="G2028" s="5" t="s">
        <v>75</v>
      </c>
    </row>
    <row r="2029">
      <c r="A2029" s="7"/>
      <c r="B2029" s="11">
        <v>0.065</v>
      </c>
      <c r="C2029" s="11">
        <v>3792.0</v>
      </c>
      <c r="D2029" s="8"/>
      <c r="E2029" s="7" t="s">
        <v>234</v>
      </c>
      <c r="F2029" s="9" t="s">
        <v>73</v>
      </c>
      <c r="G2029" s="5" t="s">
        <v>75</v>
      </c>
    </row>
    <row r="2030">
      <c r="A2030" s="10">
        <v>7.6709305E7</v>
      </c>
      <c r="B2030" s="11">
        <v>0.089</v>
      </c>
      <c r="C2030" s="11">
        <v>46.0</v>
      </c>
      <c r="D2030" s="11">
        <v>0.397</v>
      </c>
      <c r="E2030" s="7" t="s">
        <v>235</v>
      </c>
      <c r="F2030" s="9" t="s">
        <v>60</v>
      </c>
      <c r="G2030" s="5" t="s">
        <v>77</v>
      </c>
    </row>
    <row r="2031">
      <c r="A2031" s="10">
        <v>7.6553443E7</v>
      </c>
      <c r="B2031" s="11">
        <v>0.103</v>
      </c>
      <c r="C2031" s="11">
        <v>52.0</v>
      </c>
      <c r="D2031" s="11">
        <v>0.37</v>
      </c>
      <c r="E2031" s="7" t="s">
        <v>235</v>
      </c>
      <c r="F2031" s="9" t="s">
        <v>62</v>
      </c>
      <c r="G2031" s="5" t="s">
        <v>77</v>
      </c>
    </row>
    <row r="2032">
      <c r="A2032" s="10">
        <v>8.4617971E7</v>
      </c>
      <c r="B2032" s="11">
        <v>0.106</v>
      </c>
      <c r="C2032" s="11">
        <v>59.0</v>
      </c>
      <c r="D2032" s="11">
        <v>0.374</v>
      </c>
      <c r="E2032" s="7" t="s">
        <v>235</v>
      </c>
      <c r="F2032" s="9" t="s">
        <v>63</v>
      </c>
      <c r="G2032" s="5" t="s">
        <v>77</v>
      </c>
    </row>
    <row r="2033">
      <c r="A2033" s="10">
        <v>1.013154E8</v>
      </c>
      <c r="B2033" s="11">
        <v>0.118</v>
      </c>
      <c r="C2033" s="11">
        <v>78.0</v>
      </c>
      <c r="D2033" s="11">
        <v>0.296</v>
      </c>
      <c r="E2033" s="7" t="s">
        <v>235</v>
      </c>
      <c r="F2033" s="9" t="s">
        <v>64</v>
      </c>
      <c r="G2033" s="5" t="s">
        <v>77</v>
      </c>
    </row>
    <row r="2034">
      <c r="A2034" s="10">
        <v>1.10723362E8</v>
      </c>
      <c r="B2034" s="11">
        <v>0.11</v>
      </c>
      <c r="C2034" s="11">
        <v>79.0</v>
      </c>
      <c r="D2034" s="11">
        <v>0.298</v>
      </c>
      <c r="E2034" s="7" t="s">
        <v>235</v>
      </c>
      <c r="F2034" s="9" t="s">
        <v>65</v>
      </c>
      <c r="G2034" s="5" t="s">
        <v>77</v>
      </c>
    </row>
    <row r="2035">
      <c r="A2035" s="10">
        <v>1.23258507E8</v>
      </c>
      <c r="B2035" s="11">
        <v>0.1</v>
      </c>
      <c r="C2035" s="11">
        <v>81.0</v>
      </c>
      <c r="D2035" s="11">
        <v>0.312</v>
      </c>
      <c r="E2035" s="7" t="s">
        <v>235</v>
      </c>
      <c r="F2035" s="9" t="s">
        <v>66</v>
      </c>
      <c r="G2035" s="5" t="s">
        <v>77</v>
      </c>
    </row>
    <row r="2036">
      <c r="A2036" s="10">
        <v>1.35181862E8</v>
      </c>
      <c r="B2036" s="11">
        <v>0.078</v>
      </c>
      <c r="C2036" s="11">
        <v>68.0</v>
      </c>
      <c r="D2036" s="11">
        <v>0.293</v>
      </c>
      <c r="E2036" s="7" t="s">
        <v>235</v>
      </c>
      <c r="F2036" s="9" t="s">
        <v>67</v>
      </c>
      <c r="G2036" s="5" t="s">
        <v>77</v>
      </c>
    </row>
    <row r="2037">
      <c r="A2037" s="10">
        <v>1.44259257E8</v>
      </c>
      <c r="B2037" s="11">
        <v>0.071</v>
      </c>
      <c r="C2037" s="11">
        <v>66.0</v>
      </c>
      <c r="D2037" s="11">
        <v>0.324</v>
      </c>
      <c r="E2037" s="7" t="s">
        <v>235</v>
      </c>
      <c r="F2037" s="9" t="s">
        <v>68</v>
      </c>
      <c r="G2037" s="5" t="s">
        <v>77</v>
      </c>
    </row>
    <row r="2038">
      <c r="A2038" s="10">
        <v>1.83464986E8</v>
      </c>
      <c r="B2038" s="11">
        <v>0.063</v>
      </c>
      <c r="C2038" s="11">
        <v>75.0</v>
      </c>
      <c r="D2038" s="11">
        <v>0.324</v>
      </c>
      <c r="E2038" s="7" t="s">
        <v>235</v>
      </c>
      <c r="F2038" s="9" t="s">
        <v>69</v>
      </c>
      <c r="G2038" s="5" t="s">
        <v>77</v>
      </c>
    </row>
    <row r="2039">
      <c r="A2039" s="10">
        <v>1.96473839E8</v>
      </c>
      <c r="B2039" s="11">
        <v>0.075</v>
      </c>
      <c r="C2039" s="11">
        <v>94.0</v>
      </c>
      <c r="D2039" s="11">
        <v>0.311</v>
      </c>
      <c r="E2039" s="7" t="s">
        <v>235</v>
      </c>
      <c r="F2039" s="9" t="s">
        <v>70</v>
      </c>
      <c r="G2039" s="5" t="s">
        <v>77</v>
      </c>
    </row>
    <row r="2040">
      <c r="A2040" s="10">
        <v>2.01037917E8</v>
      </c>
      <c r="B2040" s="11">
        <v>0.071</v>
      </c>
      <c r="C2040" s="11">
        <v>86.0</v>
      </c>
      <c r="D2040" s="11">
        <v>0.289</v>
      </c>
      <c r="E2040" s="7" t="s">
        <v>235</v>
      </c>
      <c r="F2040" s="9" t="s">
        <v>71</v>
      </c>
      <c r="G2040" s="5" t="s">
        <v>77</v>
      </c>
    </row>
    <row r="2041">
      <c r="A2041" s="10">
        <v>2.48286778E8</v>
      </c>
      <c r="B2041" s="11">
        <v>0.076</v>
      </c>
      <c r="C2041" s="11">
        <v>108.0</v>
      </c>
      <c r="D2041" s="11">
        <v>0.27</v>
      </c>
      <c r="E2041" s="7" t="s">
        <v>235</v>
      </c>
      <c r="F2041" s="9" t="s">
        <v>72</v>
      </c>
      <c r="G2041" s="5" t="s">
        <v>77</v>
      </c>
    </row>
    <row r="2042">
      <c r="A2042" s="10">
        <v>2.6332845E8</v>
      </c>
      <c r="B2042" s="11">
        <v>0.079</v>
      </c>
      <c r="C2042" s="11">
        <v>109.0</v>
      </c>
      <c r="D2042" s="11">
        <v>0.262</v>
      </c>
      <c r="E2042" s="7" t="s">
        <v>235</v>
      </c>
      <c r="F2042" s="9" t="s">
        <v>73</v>
      </c>
      <c r="G2042" s="5" t="s">
        <v>77</v>
      </c>
    </row>
    <row r="2043">
      <c r="A2043" s="10">
        <v>1.88E11</v>
      </c>
      <c r="B2043" s="11">
        <v>0.042</v>
      </c>
      <c r="C2043" s="11">
        <v>398.0</v>
      </c>
      <c r="D2043" s="8"/>
      <c r="E2043" s="7" t="s">
        <v>236</v>
      </c>
      <c r="F2043" s="9" t="s">
        <v>60</v>
      </c>
      <c r="G2043" s="5" t="s">
        <v>93</v>
      </c>
    </row>
    <row r="2044">
      <c r="A2044" s="10">
        <v>1.83E11</v>
      </c>
      <c r="B2044" s="11">
        <v>0.045</v>
      </c>
      <c r="C2044" s="11">
        <v>397.0</v>
      </c>
      <c r="D2044" s="8"/>
      <c r="E2044" s="7" t="s">
        <v>236</v>
      </c>
      <c r="F2044" s="9" t="s">
        <v>62</v>
      </c>
      <c r="G2044" s="5" t="s">
        <v>93</v>
      </c>
    </row>
    <row r="2045">
      <c r="A2045" s="10">
        <v>1.89E11</v>
      </c>
      <c r="B2045" s="11">
        <v>0.043</v>
      </c>
      <c r="C2045" s="11">
        <v>375.0</v>
      </c>
      <c r="D2045" s="8"/>
      <c r="E2045" s="7" t="s">
        <v>236</v>
      </c>
      <c r="F2045" s="9" t="s">
        <v>63</v>
      </c>
      <c r="G2045" s="5" t="s">
        <v>93</v>
      </c>
    </row>
    <row r="2046">
      <c r="A2046" s="10">
        <v>2.15E11</v>
      </c>
      <c r="B2046" s="11">
        <v>0.04</v>
      </c>
      <c r="C2046" s="11">
        <v>384.0</v>
      </c>
      <c r="D2046" s="8"/>
      <c r="E2046" s="7" t="s">
        <v>236</v>
      </c>
      <c r="F2046" s="9" t="s">
        <v>64</v>
      </c>
      <c r="G2046" s="5" t="s">
        <v>93</v>
      </c>
    </row>
    <row r="2047">
      <c r="A2047" s="10">
        <v>2.59E11</v>
      </c>
      <c r="B2047" s="11">
        <v>0.037</v>
      </c>
      <c r="C2047" s="11">
        <v>399.0</v>
      </c>
      <c r="D2047" s="8"/>
      <c r="E2047" s="7" t="s">
        <v>236</v>
      </c>
      <c r="F2047" s="9" t="s">
        <v>65</v>
      </c>
      <c r="G2047" s="5" t="s">
        <v>93</v>
      </c>
    </row>
    <row r="2048">
      <c r="A2048" s="10">
        <v>3.28E11</v>
      </c>
      <c r="B2048" s="11">
        <v>0.035</v>
      </c>
      <c r="C2048" s="11">
        <v>466.0</v>
      </c>
      <c r="D2048" s="8"/>
      <c r="E2048" s="7" t="s">
        <v>236</v>
      </c>
      <c r="F2048" s="9" t="s">
        <v>66</v>
      </c>
      <c r="G2048" s="5" t="s">
        <v>93</v>
      </c>
    </row>
    <row r="2049">
      <c r="A2049" s="10">
        <v>3.77E11</v>
      </c>
      <c r="B2049" s="11">
        <v>0.037</v>
      </c>
      <c r="C2049" s="11">
        <v>537.0</v>
      </c>
      <c r="D2049" s="8"/>
      <c r="E2049" s="7" t="s">
        <v>236</v>
      </c>
      <c r="F2049" s="9" t="s">
        <v>67</v>
      </c>
      <c r="G2049" s="5" t="s">
        <v>93</v>
      </c>
    </row>
    <row r="2050">
      <c r="A2050" s="10">
        <v>4.16E11</v>
      </c>
      <c r="B2050" s="11">
        <v>0.037</v>
      </c>
      <c r="C2050" s="11">
        <v>566.0</v>
      </c>
      <c r="D2050" s="8"/>
      <c r="E2050" s="7" t="s">
        <v>236</v>
      </c>
      <c r="F2050" s="9" t="s">
        <v>68</v>
      </c>
      <c r="G2050" s="5" t="s">
        <v>93</v>
      </c>
    </row>
    <row r="2051">
      <c r="A2051" s="10">
        <v>5.2E11</v>
      </c>
      <c r="B2051" s="11">
        <v>0.031</v>
      </c>
      <c r="C2051" s="11">
        <v>566.0</v>
      </c>
      <c r="D2051" s="8"/>
      <c r="E2051" s="7" t="s">
        <v>236</v>
      </c>
      <c r="F2051" s="9" t="s">
        <v>69</v>
      </c>
      <c r="G2051" s="5" t="s">
        <v>93</v>
      </c>
    </row>
    <row r="2052">
      <c r="A2052" s="10">
        <v>4.29E11</v>
      </c>
      <c r="B2052" s="11">
        <v>0.041</v>
      </c>
      <c r="C2052" s="11">
        <v>582.0</v>
      </c>
      <c r="D2052" s="8"/>
      <c r="E2052" s="7" t="s">
        <v>236</v>
      </c>
      <c r="F2052" s="9" t="s">
        <v>70</v>
      </c>
      <c r="G2052" s="5" t="s">
        <v>93</v>
      </c>
    </row>
    <row r="2053">
      <c r="A2053" s="10">
        <v>5.27E11</v>
      </c>
      <c r="B2053" s="11">
        <v>0.04</v>
      </c>
      <c r="C2053" s="11">
        <v>663.0</v>
      </c>
      <c r="D2053" s="8"/>
      <c r="E2053" s="7" t="s">
        <v>236</v>
      </c>
      <c r="F2053" s="9" t="s">
        <v>71</v>
      </c>
      <c r="G2053" s="5" t="s">
        <v>93</v>
      </c>
    </row>
    <row r="2054">
      <c r="A2054" s="10">
        <v>6.7E11</v>
      </c>
      <c r="B2054" s="11">
        <v>0.035</v>
      </c>
      <c r="C2054" s="11">
        <v>721.0</v>
      </c>
      <c r="D2054" s="8"/>
      <c r="E2054" s="7" t="s">
        <v>236</v>
      </c>
      <c r="F2054" s="9" t="s">
        <v>72</v>
      </c>
      <c r="G2054" s="5" t="s">
        <v>93</v>
      </c>
    </row>
    <row r="2055">
      <c r="A2055" s="10">
        <v>7.34E11</v>
      </c>
      <c r="B2055" s="11">
        <v>0.032</v>
      </c>
      <c r="C2055" s="11">
        <v>795.0</v>
      </c>
      <c r="D2055" s="8"/>
      <c r="E2055" s="7" t="s">
        <v>236</v>
      </c>
      <c r="F2055" s="9" t="s">
        <v>73</v>
      </c>
      <c r="G2055" s="5" t="s">
        <v>93</v>
      </c>
    </row>
    <row r="2056">
      <c r="A2056" s="10">
        <v>4.679604922E9</v>
      </c>
      <c r="B2056" s="11">
        <v>0.046</v>
      </c>
      <c r="C2056" s="11">
        <v>22.0</v>
      </c>
      <c r="D2056" s="8"/>
      <c r="E2056" s="7" t="s">
        <v>237</v>
      </c>
      <c r="F2056" s="9" t="s">
        <v>60</v>
      </c>
      <c r="G2056" s="5" t="s">
        <v>77</v>
      </c>
    </row>
    <row r="2057">
      <c r="A2057" s="10">
        <v>4.877602012E9</v>
      </c>
      <c r="B2057" s="11">
        <v>0.05</v>
      </c>
      <c r="C2057" s="11">
        <v>24.0</v>
      </c>
      <c r="D2057" s="8"/>
      <c r="E2057" s="7" t="s">
        <v>237</v>
      </c>
      <c r="F2057" s="9" t="s">
        <v>62</v>
      </c>
      <c r="G2057" s="5" t="s">
        <v>77</v>
      </c>
    </row>
    <row r="2058">
      <c r="A2058" s="10">
        <v>5.333862344E9</v>
      </c>
      <c r="B2058" s="11">
        <v>0.051</v>
      </c>
      <c r="C2058" s="11">
        <v>26.0</v>
      </c>
      <c r="D2058" s="8"/>
      <c r="E2058" s="7" t="s">
        <v>237</v>
      </c>
      <c r="F2058" s="9" t="s">
        <v>63</v>
      </c>
      <c r="G2058" s="5" t="s">
        <v>77</v>
      </c>
    </row>
    <row r="2059">
      <c r="A2059" s="10">
        <v>6.858952717E9</v>
      </c>
      <c r="B2059" s="11">
        <v>0.054</v>
      </c>
      <c r="C2059" s="11">
        <v>35.0</v>
      </c>
      <c r="D2059" s="8"/>
      <c r="E2059" s="7" t="s">
        <v>237</v>
      </c>
      <c r="F2059" s="9" t="s">
        <v>64</v>
      </c>
      <c r="G2059" s="5" t="s">
        <v>77</v>
      </c>
    </row>
    <row r="2060">
      <c r="A2060" s="10">
        <v>8.03134424E9</v>
      </c>
      <c r="B2060" s="11">
        <v>0.057</v>
      </c>
      <c r="C2060" s="11">
        <v>42.0</v>
      </c>
      <c r="D2060" s="8"/>
      <c r="E2060" s="7" t="s">
        <v>237</v>
      </c>
      <c r="F2060" s="9" t="s">
        <v>65</v>
      </c>
      <c r="G2060" s="5" t="s">
        <v>77</v>
      </c>
    </row>
    <row r="2061">
      <c r="A2061" s="10">
        <v>8.707015064E9</v>
      </c>
      <c r="B2061" s="11">
        <v>0.054</v>
      </c>
      <c r="C2061" s="11">
        <v>41.0</v>
      </c>
      <c r="D2061" s="8"/>
      <c r="E2061" s="7" t="s">
        <v>237</v>
      </c>
      <c r="F2061" s="9" t="s">
        <v>66</v>
      </c>
      <c r="G2061" s="5" t="s">
        <v>77</v>
      </c>
    </row>
    <row r="2062">
      <c r="A2062" s="10">
        <v>9.358710763E9</v>
      </c>
      <c r="B2062" s="11">
        <v>0.054</v>
      </c>
      <c r="C2062" s="11">
        <v>44.0</v>
      </c>
      <c r="D2062" s="8"/>
      <c r="E2062" s="7" t="s">
        <v>237</v>
      </c>
      <c r="F2062" s="9" t="s">
        <v>67</v>
      </c>
      <c r="G2062" s="5" t="s">
        <v>77</v>
      </c>
    </row>
    <row r="2063">
      <c r="A2063" s="10">
        <v>1.1284603481E10</v>
      </c>
      <c r="B2063" s="11">
        <v>0.047</v>
      </c>
      <c r="C2063" s="11">
        <v>45.0</v>
      </c>
      <c r="D2063" s="8"/>
      <c r="E2063" s="7" t="s">
        <v>237</v>
      </c>
      <c r="F2063" s="9" t="s">
        <v>68</v>
      </c>
      <c r="G2063" s="5" t="s">
        <v>77</v>
      </c>
    </row>
    <row r="2064">
      <c r="A2064" s="10">
        <v>1.3386346543E10</v>
      </c>
      <c r="B2064" s="11">
        <v>0.049</v>
      </c>
      <c r="C2064" s="11">
        <v>54.0</v>
      </c>
      <c r="D2064" s="8"/>
      <c r="E2064" s="7" t="s">
        <v>237</v>
      </c>
      <c r="F2064" s="9" t="s">
        <v>69</v>
      </c>
      <c r="G2064" s="5" t="s">
        <v>77</v>
      </c>
    </row>
    <row r="2065">
      <c r="A2065" s="10">
        <v>1.281299467E10</v>
      </c>
      <c r="B2065" s="11">
        <v>0.048</v>
      </c>
      <c r="C2065" s="11">
        <v>49.0</v>
      </c>
      <c r="D2065" s="8"/>
      <c r="E2065" s="7" t="s">
        <v>237</v>
      </c>
      <c r="F2065" s="9" t="s">
        <v>70</v>
      </c>
      <c r="G2065" s="5" t="s">
        <v>77</v>
      </c>
    </row>
    <row r="2066">
      <c r="A2066" s="10">
        <v>1.2932427724E10</v>
      </c>
      <c r="B2066" s="11">
        <v>0.048</v>
      </c>
      <c r="C2066" s="11">
        <v>48.0</v>
      </c>
      <c r="D2066" s="8"/>
      <c r="E2066" s="7" t="s">
        <v>237</v>
      </c>
      <c r="F2066" s="9" t="s">
        <v>71</v>
      </c>
      <c r="G2066" s="5" t="s">
        <v>77</v>
      </c>
    </row>
    <row r="2067">
      <c r="A2067" s="10">
        <v>1.4440676498E10</v>
      </c>
      <c r="B2067" s="11">
        <v>0.05</v>
      </c>
      <c r="C2067" s="11">
        <v>54.0</v>
      </c>
      <c r="D2067" s="8"/>
      <c r="E2067" s="7" t="s">
        <v>237</v>
      </c>
      <c r="F2067" s="9" t="s">
        <v>72</v>
      </c>
      <c r="G2067" s="5" t="s">
        <v>77</v>
      </c>
    </row>
    <row r="2068">
      <c r="A2068" s="10">
        <v>1.4045680427E10</v>
      </c>
      <c r="B2068" s="11">
        <v>0.05</v>
      </c>
      <c r="C2068" s="11">
        <v>51.0</v>
      </c>
      <c r="D2068" s="8"/>
      <c r="E2068" s="7" t="s">
        <v>237</v>
      </c>
      <c r="F2068" s="9" t="s">
        <v>73</v>
      </c>
      <c r="G2068" s="5" t="s">
        <v>77</v>
      </c>
    </row>
    <row r="2069">
      <c r="A2069" s="10">
        <v>6.082791506E9</v>
      </c>
      <c r="B2069" s="11">
        <v>0.074</v>
      </c>
      <c r="C2069" s="11">
        <v>51.0</v>
      </c>
      <c r="D2069" s="11">
        <v>0.063</v>
      </c>
      <c r="E2069" s="7" t="s">
        <v>238</v>
      </c>
      <c r="F2069" s="9" t="s">
        <v>60</v>
      </c>
      <c r="G2069" s="5" t="s">
        <v>75</v>
      </c>
    </row>
    <row r="2070">
      <c r="A2070" s="10">
        <v>1.1390468619E10</v>
      </c>
      <c r="B2070" s="11">
        <v>0.076</v>
      </c>
      <c r="C2070" s="11">
        <v>84.0</v>
      </c>
      <c r="D2070" s="11">
        <v>0.345</v>
      </c>
      <c r="E2070" s="7" t="s">
        <v>238</v>
      </c>
      <c r="F2070" s="9" t="s">
        <v>62</v>
      </c>
      <c r="G2070" s="5" t="s">
        <v>75</v>
      </c>
    </row>
    <row r="2071">
      <c r="A2071" s="10">
        <v>1.5102567925E10</v>
      </c>
      <c r="B2071" s="11">
        <v>0.089</v>
      </c>
      <c r="C2071" s="11">
        <v>179.0</v>
      </c>
      <c r="D2071" s="11">
        <v>0.197</v>
      </c>
      <c r="E2071" s="7" t="s">
        <v>238</v>
      </c>
      <c r="F2071" s="9" t="s">
        <v>63</v>
      </c>
      <c r="G2071" s="5" t="s">
        <v>75</v>
      </c>
    </row>
    <row r="2072">
      <c r="A2072" s="10">
        <v>1.9550781969E10</v>
      </c>
      <c r="B2072" s="11">
        <v>0.088</v>
      </c>
      <c r="C2072" s="11">
        <v>171.0</v>
      </c>
      <c r="D2072" s="11">
        <v>0.155</v>
      </c>
      <c r="E2072" s="7" t="s">
        <v>238</v>
      </c>
      <c r="F2072" s="9" t="s">
        <v>64</v>
      </c>
      <c r="G2072" s="5" t="s">
        <v>75</v>
      </c>
    </row>
    <row r="2073">
      <c r="A2073" s="10">
        <v>2.3649854234E10</v>
      </c>
      <c r="B2073" s="11">
        <v>0.087</v>
      </c>
      <c r="C2073" s="11">
        <v>204.0</v>
      </c>
      <c r="D2073" s="11">
        <v>0.155</v>
      </c>
      <c r="E2073" s="7" t="s">
        <v>238</v>
      </c>
      <c r="F2073" s="9" t="s">
        <v>65</v>
      </c>
      <c r="G2073" s="5" t="s">
        <v>75</v>
      </c>
    </row>
    <row r="2074">
      <c r="A2074" s="10">
        <v>2.5234408773E10</v>
      </c>
      <c r="B2074" s="11">
        <v>0.091</v>
      </c>
      <c r="C2074" s="11">
        <v>307.0</v>
      </c>
      <c r="D2074" s="11">
        <v>0.168</v>
      </c>
      <c r="E2074" s="7" t="s">
        <v>238</v>
      </c>
      <c r="F2074" s="9" t="s">
        <v>66</v>
      </c>
      <c r="G2074" s="5" t="s">
        <v>75</v>
      </c>
    </row>
    <row r="2075">
      <c r="A2075" s="10">
        <v>2.9221081587E10</v>
      </c>
      <c r="B2075" s="11">
        <v>0.094</v>
      </c>
      <c r="C2075" s="11">
        <v>371.0</v>
      </c>
      <c r="D2075" s="11">
        <v>0.166</v>
      </c>
      <c r="E2075" s="7" t="s">
        <v>238</v>
      </c>
      <c r="F2075" s="9" t="s">
        <v>67</v>
      </c>
      <c r="G2075" s="5" t="s">
        <v>75</v>
      </c>
    </row>
    <row r="2076">
      <c r="A2076" s="10">
        <v>3.8952093544E10</v>
      </c>
      <c r="B2076" s="11">
        <v>0.104</v>
      </c>
      <c r="C2076" s="11">
        <v>547.0</v>
      </c>
      <c r="D2076" s="11">
        <v>0.111</v>
      </c>
      <c r="E2076" s="7" t="s">
        <v>238</v>
      </c>
      <c r="F2076" s="9" t="s">
        <v>68</v>
      </c>
      <c r="G2076" s="5" t="s">
        <v>75</v>
      </c>
    </row>
    <row r="2077">
      <c r="A2077" s="10">
        <v>4.7760580366E10</v>
      </c>
      <c r="B2077" s="11">
        <v>0.104</v>
      </c>
      <c r="C2077" s="11">
        <v>673.0</v>
      </c>
      <c r="D2077" s="11">
        <v>0.161</v>
      </c>
      <c r="E2077" s="7" t="s">
        <v>238</v>
      </c>
      <c r="F2077" s="9" t="s">
        <v>69</v>
      </c>
      <c r="G2077" s="5" t="s">
        <v>75</v>
      </c>
    </row>
    <row r="2078">
      <c r="A2078" s="10">
        <v>4.0249472482E10</v>
      </c>
      <c r="B2078" s="11">
        <v>0.105</v>
      </c>
      <c r="C2078" s="11">
        <v>577.0</v>
      </c>
      <c r="D2078" s="11">
        <v>0.118</v>
      </c>
      <c r="E2078" s="7" t="s">
        <v>238</v>
      </c>
      <c r="F2078" s="9" t="s">
        <v>70</v>
      </c>
      <c r="G2078" s="5" t="s">
        <v>75</v>
      </c>
    </row>
    <row r="2079">
      <c r="A2079" s="10">
        <v>3.6990001284E10</v>
      </c>
      <c r="B2079" s="11">
        <v>0.107</v>
      </c>
      <c r="C2079" s="11">
        <v>546.0</v>
      </c>
      <c r="D2079" s="11">
        <v>0.173</v>
      </c>
      <c r="E2079" s="7" t="s">
        <v>238</v>
      </c>
      <c r="F2079" s="9" t="s">
        <v>71</v>
      </c>
      <c r="G2079" s="5" t="s">
        <v>75</v>
      </c>
    </row>
    <row r="2080">
      <c r="A2080" s="10">
        <v>4.3749934551E10</v>
      </c>
      <c r="B2080" s="11">
        <v>0.103</v>
      </c>
      <c r="C2080" s="11">
        <v>622.0</v>
      </c>
      <c r="D2080" s="11">
        <v>0.172</v>
      </c>
      <c r="E2080" s="7" t="s">
        <v>238</v>
      </c>
      <c r="F2080" s="9" t="s">
        <v>72</v>
      </c>
      <c r="G2080" s="5" t="s">
        <v>75</v>
      </c>
    </row>
    <row r="2081">
      <c r="A2081" s="10">
        <v>3.8110737579E10</v>
      </c>
      <c r="B2081" s="11">
        <v>0.105</v>
      </c>
      <c r="C2081" s="11">
        <v>561.0</v>
      </c>
      <c r="D2081" s="11">
        <v>0.182</v>
      </c>
      <c r="E2081" s="7" t="s">
        <v>238</v>
      </c>
      <c r="F2081" s="9" t="s">
        <v>73</v>
      </c>
      <c r="G2081" s="5" t="s">
        <v>75</v>
      </c>
    </row>
    <row r="2082">
      <c r="A2082" s="10">
        <v>6.14877971E8</v>
      </c>
      <c r="B2082" s="11">
        <v>0.048</v>
      </c>
      <c r="C2082" s="11">
        <v>371.0</v>
      </c>
      <c r="D2082" s="11">
        <v>0.107</v>
      </c>
      <c r="E2082" s="7" t="s">
        <v>239</v>
      </c>
      <c r="F2082" s="9" t="s">
        <v>60</v>
      </c>
      <c r="G2082" s="5" t="s">
        <v>77</v>
      </c>
    </row>
    <row r="2083">
      <c r="A2083" s="10">
        <v>6.18433501E8</v>
      </c>
      <c r="B2083" s="11">
        <v>0.047</v>
      </c>
      <c r="C2083" s="11">
        <v>356.0</v>
      </c>
      <c r="D2083" s="11">
        <v>0.106</v>
      </c>
      <c r="E2083" s="7" t="s">
        <v>239</v>
      </c>
      <c r="F2083" s="9" t="s">
        <v>62</v>
      </c>
      <c r="G2083" s="5" t="s">
        <v>77</v>
      </c>
    </row>
    <row r="2084">
      <c r="A2084" s="10">
        <v>6.98083345E8</v>
      </c>
      <c r="B2084" s="11">
        <v>0.044</v>
      </c>
      <c r="C2084" s="11">
        <v>371.0</v>
      </c>
      <c r="D2084" s="11">
        <v>0.106</v>
      </c>
      <c r="E2084" s="7" t="s">
        <v>239</v>
      </c>
      <c r="F2084" s="9" t="s">
        <v>63</v>
      </c>
      <c r="G2084" s="5" t="s">
        <v>77</v>
      </c>
    </row>
    <row r="2085">
      <c r="A2085" s="10">
        <v>7.03096503E8</v>
      </c>
      <c r="B2085" s="11">
        <v>0.048</v>
      </c>
      <c r="C2085" s="11">
        <v>403.0</v>
      </c>
      <c r="D2085" s="11">
        <v>0.106</v>
      </c>
      <c r="E2085" s="7" t="s">
        <v>239</v>
      </c>
      <c r="F2085" s="9" t="s">
        <v>64</v>
      </c>
      <c r="G2085" s="5" t="s">
        <v>77</v>
      </c>
    </row>
    <row r="2086">
      <c r="A2086" s="10">
        <v>8.39319935E8</v>
      </c>
      <c r="B2086" s="11">
        <v>0.043</v>
      </c>
      <c r="C2086" s="11">
        <v>421.0</v>
      </c>
      <c r="D2086" s="11">
        <v>0.1</v>
      </c>
      <c r="E2086" s="7" t="s">
        <v>239</v>
      </c>
      <c r="F2086" s="9" t="s">
        <v>65</v>
      </c>
      <c r="G2086" s="5" t="s">
        <v>77</v>
      </c>
    </row>
    <row r="2087">
      <c r="A2087" s="10">
        <v>9.19103262E8</v>
      </c>
      <c r="B2087" s="11">
        <v>0.04</v>
      </c>
      <c r="C2087" s="11">
        <v>423.0</v>
      </c>
      <c r="D2087" s="11">
        <v>0.098</v>
      </c>
      <c r="E2087" s="7" t="s">
        <v>239</v>
      </c>
      <c r="F2087" s="9" t="s">
        <v>66</v>
      </c>
      <c r="G2087" s="5" t="s">
        <v>77</v>
      </c>
    </row>
    <row r="2088">
      <c r="A2088" s="10">
        <v>1.016419769E9</v>
      </c>
      <c r="B2088" s="11">
        <v>0.038</v>
      </c>
      <c r="C2088" s="11">
        <v>438.0</v>
      </c>
      <c r="D2088" s="11">
        <v>0.1</v>
      </c>
      <c r="E2088" s="7" t="s">
        <v>239</v>
      </c>
      <c r="F2088" s="9" t="s">
        <v>67</v>
      </c>
      <c r="G2088" s="5" t="s">
        <v>77</v>
      </c>
    </row>
    <row r="2089">
      <c r="A2089" s="10">
        <v>1.033635773E9</v>
      </c>
      <c r="B2089" s="11">
        <v>0.034</v>
      </c>
      <c r="C2089" s="11">
        <v>393.0</v>
      </c>
      <c r="D2089" s="11">
        <v>0.109</v>
      </c>
      <c r="E2089" s="7" t="s">
        <v>239</v>
      </c>
      <c r="F2089" s="9" t="s">
        <v>68</v>
      </c>
      <c r="G2089" s="5" t="s">
        <v>77</v>
      </c>
    </row>
    <row r="2090">
      <c r="A2090" s="10">
        <v>9.67211975E8</v>
      </c>
      <c r="B2090" s="11">
        <v>0.027</v>
      </c>
      <c r="C2090" s="11">
        <v>289.0</v>
      </c>
      <c r="D2090" s="11">
        <v>0.118</v>
      </c>
      <c r="E2090" s="7" t="s">
        <v>239</v>
      </c>
      <c r="F2090" s="9" t="s">
        <v>69</v>
      </c>
      <c r="G2090" s="5" t="s">
        <v>77</v>
      </c>
    </row>
    <row r="2091">
      <c r="A2091" s="10">
        <v>8.47424852E8</v>
      </c>
      <c r="B2091" s="11">
        <v>0.027</v>
      </c>
      <c r="C2091" s="11">
        <v>250.0</v>
      </c>
      <c r="D2091" s="11">
        <v>0.153</v>
      </c>
      <c r="E2091" s="7" t="s">
        <v>239</v>
      </c>
      <c r="F2091" s="9" t="s">
        <v>70</v>
      </c>
      <c r="G2091" s="5" t="s">
        <v>77</v>
      </c>
    </row>
    <row r="2092">
      <c r="A2092" s="10">
        <v>9.73355738E8</v>
      </c>
      <c r="B2092" s="11">
        <v>0.037</v>
      </c>
      <c r="C2092" s="11">
        <v>394.0</v>
      </c>
      <c r="D2092" s="11">
        <v>0.127</v>
      </c>
      <c r="E2092" s="7" t="s">
        <v>239</v>
      </c>
      <c r="F2092" s="9" t="s">
        <v>71</v>
      </c>
      <c r="G2092" s="5" t="s">
        <v>77</v>
      </c>
    </row>
    <row r="2093">
      <c r="A2093" s="10">
        <v>1.059593023E9</v>
      </c>
      <c r="B2093" s="11">
        <v>0.036</v>
      </c>
      <c r="C2093" s="11">
        <v>413.0</v>
      </c>
      <c r="D2093" s="11">
        <v>0.112</v>
      </c>
      <c r="E2093" s="7" t="s">
        <v>239</v>
      </c>
      <c r="F2093" s="9" t="s">
        <v>72</v>
      </c>
      <c r="G2093" s="5" t="s">
        <v>77</v>
      </c>
    </row>
    <row r="2094">
      <c r="A2094" s="10">
        <v>1.032199341E9</v>
      </c>
      <c r="B2094" s="11">
        <v>0.047</v>
      </c>
      <c r="C2094" s="11">
        <v>521.0</v>
      </c>
      <c r="D2094" s="11">
        <v>0.122</v>
      </c>
      <c r="E2094" s="7" t="s">
        <v>239</v>
      </c>
      <c r="F2094" s="9" t="s">
        <v>73</v>
      </c>
      <c r="G2094" s="5" t="s">
        <v>77</v>
      </c>
    </row>
    <row r="2095">
      <c r="A2095" s="10">
        <v>6.35874002E8</v>
      </c>
      <c r="B2095" s="11">
        <v>0.184</v>
      </c>
      <c r="C2095" s="11">
        <v>28.0</v>
      </c>
      <c r="D2095" s="11">
        <v>0.263</v>
      </c>
      <c r="E2095" s="7" t="s">
        <v>240</v>
      </c>
      <c r="F2095" s="9" t="s">
        <v>60</v>
      </c>
      <c r="G2095" s="5" t="s">
        <v>77</v>
      </c>
    </row>
    <row r="2096">
      <c r="A2096" s="10">
        <v>1.079478388E9</v>
      </c>
      <c r="B2096" s="11">
        <v>0.16</v>
      </c>
      <c r="C2096" s="11">
        <v>40.0</v>
      </c>
      <c r="D2096" s="11">
        <v>0.243</v>
      </c>
      <c r="E2096" s="7" t="s">
        <v>240</v>
      </c>
      <c r="F2096" s="9" t="s">
        <v>62</v>
      </c>
      <c r="G2096" s="5" t="s">
        <v>77</v>
      </c>
    </row>
    <row r="2097">
      <c r="A2097" s="10">
        <v>1.239004288E9</v>
      </c>
      <c r="B2097" s="11">
        <v>0.16</v>
      </c>
      <c r="C2097" s="11">
        <v>44.0</v>
      </c>
      <c r="D2097" s="11">
        <v>0.222</v>
      </c>
      <c r="E2097" s="7" t="s">
        <v>240</v>
      </c>
      <c r="F2097" s="9" t="s">
        <v>63</v>
      </c>
      <c r="G2097" s="5" t="s">
        <v>77</v>
      </c>
    </row>
    <row r="2098">
      <c r="A2098" s="10">
        <v>1.371442566E9</v>
      </c>
      <c r="B2098" s="11">
        <v>0.155</v>
      </c>
      <c r="C2098" s="11">
        <v>45.0</v>
      </c>
      <c r="D2098" s="11">
        <v>0.2</v>
      </c>
      <c r="E2098" s="7" t="s">
        <v>240</v>
      </c>
      <c r="F2098" s="9" t="s">
        <v>64</v>
      </c>
      <c r="G2098" s="5" t="s">
        <v>77</v>
      </c>
    </row>
    <row r="2099">
      <c r="A2099" s="10">
        <v>1.431208677E9</v>
      </c>
      <c r="B2099" s="11">
        <v>0.154</v>
      </c>
      <c r="C2099" s="11">
        <v>45.0</v>
      </c>
      <c r="D2099" s="11">
        <v>0.221</v>
      </c>
      <c r="E2099" s="7" t="s">
        <v>240</v>
      </c>
      <c r="F2099" s="9" t="s">
        <v>65</v>
      </c>
      <c r="G2099" s="5" t="s">
        <v>77</v>
      </c>
    </row>
    <row r="2100">
      <c r="A2100" s="10">
        <v>1.627853086E9</v>
      </c>
      <c r="B2100" s="11">
        <v>0.159</v>
      </c>
      <c r="C2100" s="11">
        <v>51.0</v>
      </c>
      <c r="D2100" s="11">
        <v>0.246</v>
      </c>
      <c r="E2100" s="7" t="s">
        <v>240</v>
      </c>
      <c r="F2100" s="9" t="s">
        <v>66</v>
      </c>
      <c r="G2100" s="5" t="s">
        <v>77</v>
      </c>
    </row>
    <row r="2101">
      <c r="A2101" s="10">
        <v>1.887429109E9</v>
      </c>
      <c r="B2101" s="11">
        <v>0.142</v>
      </c>
      <c r="C2101" s="11">
        <v>51.0</v>
      </c>
      <c r="D2101" s="11">
        <v>0.24</v>
      </c>
      <c r="E2101" s="7" t="s">
        <v>240</v>
      </c>
      <c r="F2101" s="9" t="s">
        <v>67</v>
      </c>
      <c r="G2101" s="5" t="s">
        <v>77</v>
      </c>
    </row>
    <row r="2102">
      <c r="A2102" s="10">
        <v>2.158653216E9</v>
      </c>
      <c r="B2102" s="11">
        <v>0.14</v>
      </c>
      <c r="C2102" s="11">
        <v>56.0</v>
      </c>
      <c r="D2102" s="11">
        <v>0.25</v>
      </c>
      <c r="E2102" s="7" t="s">
        <v>240</v>
      </c>
      <c r="F2102" s="9" t="s">
        <v>68</v>
      </c>
      <c r="G2102" s="5" t="s">
        <v>77</v>
      </c>
    </row>
    <row r="2103">
      <c r="A2103" s="10">
        <v>2.505620416E9</v>
      </c>
      <c r="B2103" s="11">
        <v>0.142</v>
      </c>
      <c r="C2103" s="11">
        <v>64.0</v>
      </c>
      <c r="D2103" s="11">
        <v>0.245</v>
      </c>
      <c r="E2103" s="7" t="s">
        <v>240</v>
      </c>
      <c r="F2103" s="9" t="s">
        <v>69</v>
      </c>
      <c r="G2103" s="5" t="s">
        <v>77</v>
      </c>
    </row>
    <row r="2104">
      <c r="A2104" s="10">
        <v>2.453972797E9</v>
      </c>
      <c r="B2104" s="11">
        <v>0.169</v>
      </c>
      <c r="C2104" s="11">
        <v>74.0</v>
      </c>
      <c r="D2104" s="11">
        <v>0.222</v>
      </c>
      <c r="E2104" s="7" t="s">
        <v>240</v>
      </c>
      <c r="F2104" s="9" t="s">
        <v>70</v>
      </c>
      <c r="G2104" s="5" t="s">
        <v>77</v>
      </c>
    </row>
    <row r="2105">
      <c r="A2105" s="10">
        <v>2.578159463E9</v>
      </c>
      <c r="B2105" s="11">
        <v>0.154</v>
      </c>
      <c r="C2105" s="11">
        <v>69.0</v>
      </c>
      <c r="D2105" s="11">
        <v>0.213</v>
      </c>
      <c r="E2105" s="7" t="s">
        <v>240</v>
      </c>
      <c r="F2105" s="9" t="s">
        <v>71</v>
      </c>
      <c r="G2105" s="5" t="s">
        <v>77</v>
      </c>
    </row>
    <row r="2106">
      <c r="A2106" s="10">
        <v>2.932273988E9</v>
      </c>
      <c r="B2106" s="11">
        <v>0.163</v>
      </c>
      <c r="C2106" s="11">
        <v>82.0</v>
      </c>
      <c r="D2106" s="11">
        <v>0.21</v>
      </c>
      <c r="E2106" s="7" t="s">
        <v>240</v>
      </c>
      <c r="F2106" s="9" t="s">
        <v>72</v>
      </c>
      <c r="G2106" s="5" t="s">
        <v>77</v>
      </c>
    </row>
    <row r="2107">
      <c r="A2107" s="10">
        <v>3.787392596E9</v>
      </c>
      <c r="B2107" s="11">
        <v>0.151</v>
      </c>
      <c r="C2107" s="11">
        <v>96.0</v>
      </c>
      <c r="D2107" s="11">
        <v>0.21</v>
      </c>
      <c r="E2107" s="7" t="s">
        <v>240</v>
      </c>
      <c r="F2107" s="9" t="s">
        <v>73</v>
      </c>
      <c r="G2107" s="5" t="s">
        <v>77</v>
      </c>
    </row>
    <row r="2108">
      <c r="A2108" s="10">
        <v>9.5835970989E10</v>
      </c>
      <c r="B2108" s="11">
        <v>0.027</v>
      </c>
      <c r="C2108" s="11">
        <v>662.0</v>
      </c>
      <c r="D2108" s="11">
        <v>0.058</v>
      </c>
      <c r="E2108" s="7" t="s">
        <v>241</v>
      </c>
      <c r="F2108" s="9" t="s">
        <v>60</v>
      </c>
      <c r="G2108" s="5" t="s">
        <v>61</v>
      </c>
    </row>
    <row r="2109">
      <c r="A2109" s="10">
        <v>8.9285087395E10</v>
      </c>
      <c r="B2109" s="11">
        <v>0.024</v>
      </c>
      <c r="C2109" s="11">
        <v>526.0</v>
      </c>
      <c r="D2109" s="11">
        <v>0.056</v>
      </c>
      <c r="E2109" s="7" t="s">
        <v>241</v>
      </c>
      <c r="F2109" s="9" t="s">
        <v>62</v>
      </c>
      <c r="G2109" s="5" t="s">
        <v>61</v>
      </c>
    </row>
    <row r="2110">
      <c r="A2110" s="10">
        <v>9.1941791944E10</v>
      </c>
      <c r="B2110" s="11">
        <v>0.029</v>
      </c>
      <c r="C2110" s="11">
        <v>632.0</v>
      </c>
      <c r="D2110" s="11">
        <v>0.053</v>
      </c>
      <c r="E2110" s="7" t="s">
        <v>241</v>
      </c>
      <c r="F2110" s="9" t="s">
        <v>63</v>
      </c>
      <c r="G2110" s="5" t="s">
        <v>61</v>
      </c>
    </row>
    <row r="2111">
      <c r="A2111" s="10">
        <v>9.7002305536E10</v>
      </c>
      <c r="B2111" s="11">
        <v>0.036</v>
      </c>
      <c r="C2111" s="11">
        <v>823.0</v>
      </c>
      <c r="D2111" s="11">
        <v>0.053</v>
      </c>
      <c r="E2111" s="7" t="s">
        <v>241</v>
      </c>
      <c r="F2111" s="9" t="s">
        <v>64</v>
      </c>
      <c r="G2111" s="5" t="s">
        <v>61</v>
      </c>
    </row>
    <row r="2112">
      <c r="A2112" s="10">
        <v>1.14E11</v>
      </c>
      <c r="B2112" s="11">
        <v>0.032</v>
      </c>
      <c r="C2112" s="11">
        <v>826.0</v>
      </c>
      <c r="D2112" s="11">
        <v>0.053</v>
      </c>
      <c r="E2112" s="7" t="s">
        <v>241</v>
      </c>
      <c r="F2112" s="9" t="s">
        <v>65</v>
      </c>
      <c r="G2112" s="5" t="s">
        <v>61</v>
      </c>
    </row>
    <row r="2113">
      <c r="A2113" s="10">
        <v>1.27E11</v>
      </c>
      <c r="B2113" s="11">
        <v>0.038</v>
      </c>
      <c r="C2113" s="11">
        <v>1058.0</v>
      </c>
      <c r="D2113" s="11">
        <v>0.053</v>
      </c>
      <c r="E2113" s="7" t="s">
        <v>241</v>
      </c>
      <c r="F2113" s="9" t="s">
        <v>66</v>
      </c>
      <c r="G2113" s="5" t="s">
        <v>61</v>
      </c>
    </row>
    <row r="2114">
      <c r="A2114" s="10">
        <v>1.48E11</v>
      </c>
      <c r="B2114" s="11">
        <v>0.037</v>
      </c>
      <c r="C2114" s="11">
        <v>1167.0</v>
      </c>
      <c r="D2114" s="11">
        <v>0.053</v>
      </c>
      <c r="E2114" s="7" t="s">
        <v>241</v>
      </c>
      <c r="F2114" s="9" t="s">
        <v>67</v>
      </c>
      <c r="G2114" s="5" t="s">
        <v>61</v>
      </c>
    </row>
    <row r="2115">
      <c r="A2115" s="10">
        <v>1.8E11</v>
      </c>
      <c r="B2115" s="11">
        <v>0.035</v>
      </c>
      <c r="C2115" s="11">
        <v>1333.0</v>
      </c>
      <c r="D2115" s="11">
        <v>0.053</v>
      </c>
      <c r="E2115" s="7" t="s">
        <v>241</v>
      </c>
      <c r="F2115" s="9" t="s">
        <v>68</v>
      </c>
      <c r="G2115" s="5" t="s">
        <v>61</v>
      </c>
    </row>
    <row r="2116">
      <c r="A2116" s="10">
        <v>1.92E11</v>
      </c>
      <c r="B2116" s="11">
        <v>0.04</v>
      </c>
      <c r="C2116" s="11">
        <v>1577.0</v>
      </c>
      <c r="D2116" s="11">
        <v>0.054</v>
      </c>
      <c r="E2116" s="7" t="s">
        <v>241</v>
      </c>
      <c r="F2116" s="9" t="s">
        <v>69</v>
      </c>
      <c r="G2116" s="5" t="s">
        <v>61</v>
      </c>
    </row>
    <row r="2117">
      <c r="A2117" s="10">
        <v>1.92E11</v>
      </c>
      <c r="B2117" s="11">
        <v>0.045</v>
      </c>
      <c r="C2117" s="11">
        <v>1704.0</v>
      </c>
      <c r="D2117" s="11">
        <v>0.054</v>
      </c>
      <c r="E2117" s="7" t="s">
        <v>241</v>
      </c>
      <c r="F2117" s="9" t="s">
        <v>70</v>
      </c>
      <c r="G2117" s="5" t="s">
        <v>61</v>
      </c>
    </row>
    <row r="2118">
      <c r="A2118" s="10">
        <v>2.36E11</v>
      </c>
      <c r="B2118" s="11">
        <v>0.041</v>
      </c>
      <c r="C2118" s="11">
        <v>1893.0</v>
      </c>
      <c r="D2118" s="11">
        <v>0.054</v>
      </c>
      <c r="E2118" s="7" t="s">
        <v>241</v>
      </c>
      <c r="F2118" s="9" t="s">
        <v>71</v>
      </c>
      <c r="G2118" s="5" t="s">
        <v>61</v>
      </c>
    </row>
    <row r="2119">
      <c r="A2119" s="10">
        <v>2.74E11</v>
      </c>
      <c r="B2119" s="11">
        <v>0.042</v>
      </c>
      <c r="C2119" s="11">
        <v>2144.0</v>
      </c>
      <c r="D2119" s="11">
        <v>0.054</v>
      </c>
      <c r="E2119" s="7" t="s">
        <v>241</v>
      </c>
      <c r="F2119" s="9" t="s">
        <v>72</v>
      </c>
      <c r="G2119" s="5" t="s">
        <v>61</v>
      </c>
    </row>
    <row r="2120">
      <c r="A2120" s="10">
        <v>2.87E11</v>
      </c>
      <c r="B2120" s="11">
        <v>0.047</v>
      </c>
      <c r="C2120" s="11">
        <v>2426.0</v>
      </c>
      <c r="D2120" s="11">
        <v>0.054</v>
      </c>
      <c r="E2120" s="7" t="s">
        <v>241</v>
      </c>
      <c r="F2120" s="9" t="s">
        <v>73</v>
      </c>
      <c r="G2120" s="5" t="s">
        <v>61</v>
      </c>
    </row>
    <row r="2121">
      <c r="A2121" s="7"/>
      <c r="B2121" s="8"/>
      <c r="C2121" s="8"/>
      <c r="D2121" s="8"/>
      <c r="E2121" s="7" t="s">
        <v>242</v>
      </c>
      <c r="F2121" s="9" t="s">
        <v>60</v>
      </c>
      <c r="G2121" s="5" t="s">
        <v>84</v>
      </c>
    </row>
    <row r="2122">
      <c r="A2122" s="7"/>
      <c r="B2122" s="8"/>
      <c r="C2122" s="8"/>
      <c r="D2122" s="8"/>
      <c r="E2122" s="7" t="s">
        <v>242</v>
      </c>
      <c r="F2122" s="9" t="s">
        <v>62</v>
      </c>
      <c r="G2122" s="5" t="s">
        <v>84</v>
      </c>
    </row>
    <row r="2123">
      <c r="A2123" s="7"/>
      <c r="B2123" s="8"/>
      <c r="C2123" s="8"/>
      <c r="D2123" s="8"/>
      <c r="E2123" s="7" t="s">
        <v>242</v>
      </c>
      <c r="F2123" s="9" t="s">
        <v>63</v>
      </c>
      <c r="G2123" s="5" t="s">
        <v>84</v>
      </c>
    </row>
    <row r="2124">
      <c r="A2124" s="7"/>
      <c r="B2124" s="8"/>
      <c r="C2124" s="8"/>
      <c r="D2124" s="8"/>
      <c r="E2124" s="7" t="s">
        <v>242</v>
      </c>
      <c r="F2124" s="9" t="s">
        <v>64</v>
      </c>
      <c r="G2124" s="5" t="s">
        <v>84</v>
      </c>
    </row>
    <row r="2125">
      <c r="A2125" s="7"/>
      <c r="B2125" s="8"/>
      <c r="C2125" s="8"/>
      <c r="D2125" s="8"/>
      <c r="E2125" s="7" t="s">
        <v>242</v>
      </c>
      <c r="F2125" s="9" t="s">
        <v>65</v>
      </c>
      <c r="G2125" s="5" t="s">
        <v>84</v>
      </c>
    </row>
    <row r="2126">
      <c r="A2126" s="7"/>
      <c r="B2126" s="8"/>
      <c r="C2126" s="8"/>
      <c r="D2126" s="8"/>
      <c r="E2126" s="7" t="s">
        <v>242</v>
      </c>
      <c r="F2126" s="9" t="s">
        <v>66</v>
      </c>
      <c r="G2126" s="5" t="s">
        <v>84</v>
      </c>
    </row>
    <row r="2127">
      <c r="A2127" s="7"/>
      <c r="B2127" s="8"/>
      <c r="C2127" s="8"/>
      <c r="D2127" s="8"/>
      <c r="E2127" s="7" t="s">
        <v>242</v>
      </c>
      <c r="F2127" s="9" t="s">
        <v>67</v>
      </c>
      <c r="G2127" s="5" t="s">
        <v>84</v>
      </c>
    </row>
    <row r="2128">
      <c r="A2128" s="7"/>
      <c r="B2128" s="8"/>
      <c r="C2128" s="8"/>
      <c r="D2128" s="8"/>
      <c r="E2128" s="7" t="s">
        <v>242</v>
      </c>
      <c r="F2128" s="9" t="s">
        <v>68</v>
      </c>
      <c r="G2128" s="5" t="s">
        <v>84</v>
      </c>
    </row>
    <row r="2129">
      <c r="A2129" s="7"/>
      <c r="B2129" s="8"/>
      <c r="C2129" s="8"/>
      <c r="D2129" s="8"/>
      <c r="E2129" s="7" t="s">
        <v>242</v>
      </c>
      <c r="F2129" s="9" t="s">
        <v>69</v>
      </c>
      <c r="G2129" s="5" t="s">
        <v>84</v>
      </c>
    </row>
    <row r="2130">
      <c r="A2130" s="7"/>
      <c r="B2130" s="8"/>
      <c r="C2130" s="8"/>
      <c r="D2130" s="8"/>
      <c r="E2130" s="7" t="s">
        <v>242</v>
      </c>
      <c r="F2130" s="9" t="s">
        <v>70</v>
      </c>
      <c r="G2130" s="5" t="s">
        <v>84</v>
      </c>
    </row>
    <row r="2131">
      <c r="A2131" s="7"/>
      <c r="B2131" s="8"/>
      <c r="C2131" s="8"/>
      <c r="D2131" s="8"/>
      <c r="E2131" s="7" t="s">
        <v>242</v>
      </c>
      <c r="F2131" s="9" t="s">
        <v>71</v>
      </c>
      <c r="G2131" s="5" t="s">
        <v>84</v>
      </c>
    </row>
    <row r="2132">
      <c r="A2132" s="7"/>
      <c r="B2132" s="8"/>
      <c r="C2132" s="8"/>
      <c r="D2132" s="8"/>
      <c r="E2132" s="7" t="s">
        <v>242</v>
      </c>
      <c r="F2132" s="9" t="s">
        <v>72</v>
      </c>
      <c r="G2132" s="5" t="s">
        <v>84</v>
      </c>
    </row>
    <row r="2133">
      <c r="A2133" s="7"/>
      <c r="B2133" s="8"/>
      <c r="C2133" s="8"/>
      <c r="D2133" s="8"/>
      <c r="E2133" s="7" t="s">
        <v>242</v>
      </c>
      <c r="F2133" s="9" t="s">
        <v>73</v>
      </c>
      <c r="G2133" s="5" t="s">
        <v>84</v>
      </c>
    </row>
    <row r="2134">
      <c r="A2134" s="10">
        <v>2.8724041828E10</v>
      </c>
      <c r="B2134" s="11">
        <v>0.055</v>
      </c>
      <c r="C2134" s="11">
        <v>208.0</v>
      </c>
      <c r="D2134" s="11">
        <v>0.149</v>
      </c>
      <c r="E2134" s="7" t="s">
        <v>243</v>
      </c>
      <c r="F2134" s="9" t="s">
        <v>60</v>
      </c>
      <c r="G2134" s="5" t="s">
        <v>75</v>
      </c>
    </row>
    <row r="2135">
      <c r="A2135" s="10">
        <v>3.0318731991E10</v>
      </c>
      <c r="B2135" s="11">
        <v>0.055</v>
      </c>
      <c r="C2135" s="11">
        <v>216.0</v>
      </c>
      <c r="D2135" s="11">
        <v>0.112</v>
      </c>
      <c r="E2135" s="7" t="s">
        <v>243</v>
      </c>
      <c r="F2135" s="9" t="s">
        <v>62</v>
      </c>
      <c r="G2135" s="5" t="s">
        <v>75</v>
      </c>
    </row>
    <row r="2136">
      <c r="A2136" s="10">
        <v>3.4638306042E10</v>
      </c>
      <c r="B2136" s="11">
        <v>0.056</v>
      </c>
      <c r="C2136" s="11">
        <v>256.0</v>
      </c>
      <c r="D2136" s="11">
        <v>0.103</v>
      </c>
      <c r="E2136" s="7" t="s">
        <v>243</v>
      </c>
      <c r="F2136" s="9" t="s">
        <v>63</v>
      </c>
      <c r="G2136" s="5" t="s">
        <v>75</v>
      </c>
    </row>
    <row r="2137">
      <c r="A2137" s="10">
        <v>4.5837416479E10</v>
      </c>
      <c r="B2137" s="11">
        <v>0.058</v>
      </c>
      <c r="C2137" s="11">
        <v>360.0</v>
      </c>
      <c r="D2137" s="11">
        <v>0.085</v>
      </c>
      <c r="E2137" s="7" t="s">
        <v>243</v>
      </c>
      <c r="F2137" s="9" t="s">
        <v>64</v>
      </c>
      <c r="G2137" s="5" t="s">
        <v>75</v>
      </c>
    </row>
    <row r="2138">
      <c r="A2138" s="10">
        <v>5.6073225726E10</v>
      </c>
      <c r="B2138" s="11">
        <v>0.072</v>
      </c>
      <c r="C2138" s="11">
        <v>565.0</v>
      </c>
      <c r="D2138" s="11">
        <v>0.091</v>
      </c>
      <c r="E2138" s="7" t="s">
        <v>243</v>
      </c>
      <c r="F2138" s="9" t="s">
        <v>65</v>
      </c>
      <c r="G2138" s="5" t="s">
        <v>75</v>
      </c>
    </row>
    <row r="2139">
      <c r="A2139" s="10">
        <v>6.1328471583E10</v>
      </c>
      <c r="B2139" s="11">
        <v>0.07</v>
      </c>
      <c r="C2139" s="11">
        <v>627.0</v>
      </c>
      <c r="D2139" s="11">
        <v>0.067</v>
      </c>
      <c r="E2139" s="7" t="s">
        <v>243</v>
      </c>
      <c r="F2139" s="9" t="s">
        <v>66</v>
      </c>
      <c r="G2139" s="5" t="s">
        <v>75</v>
      </c>
    </row>
    <row r="2140">
      <c r="A2140" s="10">
        <v>6.9002095095E10</v>
      </c>
      <c r="B2140" s="11">
        <v>0.073</v>
      </c>
      <c r="C2140" s="11">
        <v>761.0</v>
      </c>
      <c r="D2140" s="11">
        <v>0.077</v>
      </c>
      <c r="E2140" s="7" t="s">
        <v>243</v>
      </c>
      <c r="F2140" s="9" t="s">
        <v>67</v>
      </c>
      <c r="G2140" s="5" t="s">
        <v>75</v>
      </c>
    </row>
    <row r="2141">
      <c r="A2141" s="10">
        <v>8.4108560088E10</v>
      </c>
      <c r="B2141" s="11">
        <v>0.078</v>
      </c>
      <c r="C2141" s="11">
        <v>1078.0</v>
      </c>
      <c r="D2141" s="11">
        <v>0.08</v>
      </c>
      <c r="E2141" s="7" t="s">
        <v>243</v>
      </c>
      <c r="F2141" s="9" t="s">
        <v>68</v>
      </c>
      <c r="G2141" s="5" t="s">
        <v>75</v>
      </c>
    </row>
    <row r="2142">
      <c r="A2142" s="10">
        <v>9.7908891167E10</v>
      </c>
      <c r="B2142" s="11">
        <v>0.08</v>
      </c>
      <c r="C2142" s="11">
        <v>1400.0</v>
      </c>
      <c r="D2142" s="11">
        <v>0.058</v>
      </c>
      <c r="E2142" s="7" t="s">
        <v>243</v>
      </c>
      <c r="F2142" s="9" t="s">
        <v>69</v>
      </c>
      <c r="G2142" s="5" t="s">
        <v>75</v>
      </c>
    </row>
    <row r="2143">
      <c r="A2143" s="10">
        <v>8.7239747152E10</v>
      </c>
      <c r="B2143" s="11">
        <v>0.092</v>
      </c>
      <c r="C2143" s="11">
        <v>1475.0</v>
      </c>
      <c r="D2143" s="8"/>
      <c r="E2143" s="7" t="s">
        <v>243</v>
      </c>
      <c r="F2143" s="9" t="s">
        <v>70</v>
      </c>
      <c r="G2143" s="5" t="s">
        <v>75</v>
      </c>
    </row>
    <row r="2144">
      <c r="A2144" s="10">
        <v>8.7077443709E10</v>
      </c>
      <c r="B2144" s="11">
        <v>0.09</v>
      </c>
      <c r="C2144" s="11">
        <v>1446.0</v>
      </c>
      <c r="D2144" s="8"/>
      <c r="E2144" s="7" t="s">
        <v>243</v>
      </c>
      <c r="F2144" s="9" t="s">
        <v>71</v>
      </c>
      <c r="G2144" s="5" t="s">
        <v>75</v>
      </c>
    </row>
    <row r="2145">
      <c r="A2145" s="10">
        <v>9.5877536836E10</v>
      </c>
      <c r="B2145" s="11">
        <v>0.079</v>
      </c>
      <c r="C2145" s="11">
        <v>1415.0</v>
      </c>
      <c r="D2145" s="8"/>
      <c r="E2145" s="7" t="s">
        <v>243</v>
      </c>
      <c r="F2145" s="9" t="s">
        <v>72</v>
      </c>
      <c r="G2145" s="5" t="s">
        <v>75</v>
      </c>
    </row>
    <row r="2146">
      <c r="A2146" s="10">
        <v>9.1347809328E10</v>
      </c>
      <c r="B2146" s="11">
        <v>0.078</v>
      </c>
      <c r="C2146" s="11">
        <v>1326.0</v>
      </c>
      <c r="D2146" s="8"/>
      <c r="E2146" s="7" t="s">
        <v>243</v>
      </c>
      <c r="F2146" s="9" t="s">
        <v>73</v>
      </c>
      <c r="G2146" s="5" t="s">
        <v>75</v>
      </c>
    </row>
    <row r="2147">
      <c r="A2147" s="10">
        <v>1.997946779E10</v>
      </c>
      <c r="B2147" s="11">
        <v>0.083</v>
      </c>
      <c r="C2147" s="11">
        <v>831.0</v>
      </c>
      <c r="D2147" s="11">
        <v>0.158</v>
      </c>
      <c r="E2147" s="7" t="s">
        <v>244</v>
      </c>
      <c r="F2147" s="9" t="s">
        <v>60</v>
      </c>
      <c r="G2147" s="5" t="s">
        <v>75</v>
      </c>
    </row>
    <row r="2148">
      <c r="A2148" s="10">
        <v>2.0498926981E10</v>
      </c>
      <c r="B2148" s="11">
        <v>0.086</v>
      </c>
      <c r="C2148" s="11">
        <v>883.0</v>
      </c>
      <c r="D2148" s="11">
        <v>0.151</v>
      </c>
      <c r="E2148" s="7" t="s">
        <v>244</v>
      </c>
      <c r="F2148" s="9" t="s">
        <v>62</v>
      </c>
      <c r="G2148" s="5" t="s">
        <v>75</v>
      </c>
    </row>
    <row r="2149">
      <c r="A2149" s="10">
        <v>2.3136352386E10</v>
      </c>
      <c r="B2149" s="11">
        <v>0.086</v>
      </c>
      <c r="C2149" s="11">
        <v>1000.0</v>
      </c>
      <c r="D2149" s="11">
        <v>0.132</v>
      </c>
      <c r="E2149" s="7" t="s">
        <v>244</v>
      </c>
      <c r="F2149" s="9" t="s">
        <v>63</v>
      </c>
      <c r="G2149" s="5" t="s">
        <v>75</v>
      </c>
    </row>
    <row r="2150">
      <c r="A2150" s="10">
        <v>2.9152072068E10</v>
      </c>
      <c r="B2150" s="11">
        <v>0.086</v>
      </c>
      <c r="C2150" s="11">
        <v>1263.0</v>
      </c>
      <c r="D2150" s="11">
        <v>0.108</v>
      </c>
      <c r="E2150" s="7" t="s">
        <v>244</v>
      </c>
      <c r="F2150" s="9" t="s">
        <v>64</v>
      </c>
      <c r="G2150" s="5" t="s">
        <v>75</v>
      </c>
    </row>
    <row r="2151">
      <c r="A2151" s="10">
        <v>3.3837749815E10</v>
      </c>
      <c r="B2151" s="11">
        <v>0.083</v>
      </c>
      <c r="C2151" s="11">
        <v>1415.0</v>
      </c>
      <c r="D2151" s="11">
        <v>0.087</v>
      </c>
      <c r="E2151" s="7" t="s">
        <v>244</v>
      </c>
      <c r="F2151" s="9" t="s">
        <v>65</v>
      </c>
      <c r="G2151" s="5" t="s">
        <v>75</v>
      </c>
    </row>
    <row r="2152">
      <c r="A2152" s="10">
        <v>3.5717733757E10</v>
      </c>
      <c r="B2152" s="11">
        <v>0.084</v>
      </c>
      <c r="C2152" s="11">
        <v>1494.0</v>
      </c>
      <c r="D2152" s="11">
        <v>0.078</v>
      </c>
      <c r="E2152" s="7" t="s">
        <v>244</v>
      </c>
      <c r="F2152" s="9" t="s">
        <v>66</v>
      </c>
      <c r="G2152" s="5" t="s">
        <v>75</v>
      </c>
    </row>
    <row r="2153">
      <c r="A2153" s="10">
        <v>3.89451465E10</v>
      </c>
      <c r="B2153" s="11">
        <v>0.083</v>
      </c>
      <c r="C2153" s="11">
        <v>1610.0</v>
      </c>
      <c r="D2153" s="11">
        <v>0.074</v>
      </c>
      <c r="E2153" s="7" t="s">
        <v>244</v>
      </c>
      <c r="F2153" s="9" t="s">
        <v>67</v>
      </c>
      <c r="G2153" s="5" t="s">
        <v>75</v>
      </c>
    </row>
    <row r="2154">
      <c r="A2154" s="10">
        <v>4.7349639895E10</v>
      </c>
      <c r="B2154" s="11">
        <v>0.079</v>
      </c>
      <c r="C2154" s="11">
        <v>1850.0</v>
      </c>
      <c r="D2154" s="11">
        <v>0.059</v>
      </c>
      <c r="E2154" s="7" t="s">
        <v>244</v>
      </c>
      <c r="F2154" s="9" t="s">
        <v>68</v>
      </c>
      <c r="G2154" s="5" t="s">
        <v>75</v>
      </c>
    </row>
    <row r="2155">
      <c r="A2155" s="10">
        <v>5.4554616826E10</v>
      </c>
      <c r="B2155" s="11">
        <v>0.083</v>
      </c>
      <c r="C2155" s="11">
        <v>2265.0</v>
      </c>
      <c r="D2155" s="11">
        <v>0.067</v>
      </c>
      <c r="E2155" s="7" t="s">
        <v>244</v>
      </c>
      <c r="F2155" s="9" t="s">
        <v>69</v>
      </c>
      <c r="G2155" s="5" t="s">
        <v>75</v>
      </c>
    </row>
    <row r="2156">
      <c r="A2156" s="10">
        <v>4.9208375314E10</v>
      </c>
      <c r="B2156" s="11">
        <v>0.092</v>
      </c>
      <c r="C2156" s="11">
        <v>2235.0</v>
      </c>
      <c r="D2156" s="11">
        <v>0.059</v>
      </c>
      <c r="E2156" s="7" t="s">
        <v>244</v>
      </c>
      <c r="F2156" s="9" t="s">
        <v>70</v>
      </c>
      <c r="G2156" s="5" t="s">
        <v>75</v>
      </c>
    </row>
    <row r="2157">
      <c r="A2157" s="10">
        <v>4.6999407184E10</v>
      </c>
      <c r="B2157" s="11">
        <v>0.089</v>
      </c>
      <c r="C2157" s="11">
        <v>2044.0</v>
      </c>
      <c r="D2157" s="8"/>
      <c r="E2157" s="7" t="s">
        <v>244</v>
      </c>
      <c r="F2157" s="9" t="s">
        <v>71</v>
      </c>
      <c r="G2157" s="5" t="s">
        <v>75</v>
      </c>
    </row>
    <row r="2158">
      <c r="A2158" s="10">
        <v>5.0250147802E10</v>
      </c>
      <c r="B2158" s="11">
        <v>0.089</v>
      </c>
      <c r="C2158" s="11">
        <v>2171.0</v>
      </c>
      <c r="D2158" s="8"/>
      <c r="E2158" s="7" t="s">
        <v>244</v>
      </c>
      <c r="F2158" s="9" t="s">
        <v>72</v>
      </c>
      <c r="G2158" s="5" t="s">
        <v>75</v>
      </c>
    </row>
    <row r="2159">
      <c r="A2159" s="10">
        <v>4.5379174408E10</v>
      </c>
      <c r="B2159" s="11">
        <v>0.088</v>
      </c>
      <c r="C2159" s="11">
        <v>1942.0</v>
      </c>
      <c r="D2159" s="8"/>
      <c r="E2159" s="7" t="s">
        <v>244</v>
      </c>
      <c r="F2159" s="9" t="s">
        <v>73</v>
      </c>
      <c r="G2159" s="5" t="s">
        <v>75</v>
      </c>
    </row>
    <row r="2160">
      <c r="A2160" s="10">
        <v>4.35101217E8</v>
      </c>
      <c r="B2160" s="11">
        <v>0.046</v>
      </c>
      <c r="C2160" s="11">
        <v>48.0</v>
      </c>
      <c r="D2160" s="11">
        <v>0.146</v>
      </c>
      <c r="E2160" s="7" t="s">
        <v>245</v>
      </c>
      <c r="F2160" s="9" t="s">
        <v>60</v>
      </c>
      <c r="G2160" s="5" t="s">
        <v>80</v>
      </c>
    </row>
    <row r="2161">
      <c r="A2161" s="10">
        <v>4.00464593E8</v>
      </c>
      <c r="B2161" s="11">
        <v>0.064</v>
      </c>
      <c r="C2161" s="11">
        <v>61.0</v>
      </c>
      <c r="D2161" s="11">
        <v>0.146</v>
      </c>
      <c r="E2161" s="7" t="s">
        <v>245</v>
      </c>
      <c r="F2161" s="9" t="s">
        <v>62</v>
      </c>
      <c r="G2161" s="5" t="s">
        <v>80</v>
      </c>
    </row>
    <row r="2162">
      <c r="A2162" s="10">
        <v>3.41663054E8</v>
      </c>
      <c r="B2162" s="11">
        <v>0.061</v>
      </c>
      <c r="C2162" s="11">
        <v>48.0</v>
      </c>
      <c r="D2162" s="11">
        <v>0.146</v>
      </c>
      <c r="E2162" s="7" t="s">
        <v>245</v>
      </c>
      <c r="F2162" s="9" t="s">
        <v>63</v>
      </c>
      <c r="G2162" s="5" t="s">
        <v>80</v>
      </c>
    </row>
    <row r="2163">
      <c r="A2163" s="10">
        <v>3.32736307E8</v>
      </c>
      <c r="B2163" s="11">
        <v>0.06</v>
      </c>
      <c r="C2163" s="11">
        <v>45.0</v>
      </c>
      <c r="D2163" s="11">
        <v>0.147</v>
      </c>
      <c r="E2163" s="7" t="s">
        <v>245</v>
      </c>
      <c r="F2163" s="9" t="s">
        <v>64</v>
      </c>
      <c r="G2163" s="5" t="s">
        <v>80</v>
      </c>
    </row>
    <row r="2164">
      <c r="A2164" s="10">
        <v>3.75109695E8</v>
      </c>
      <c r="B2164" s="11">
        <v>0.056</v>
      </c>
      <c r="C2164" s="11">
        <v>46.0</v>
      </c>
      <c r="D2164" s="11">
        <v>0.143</v>
      </c>
      <c r="E2164" s="7" t="s">
        <v>245</v>
      </c>
      <c r="F2164" s="9" t="s">
        <v>65</v>
      </c>
      <c r="G2164" s="5" t="s">
        <v>80</v>
      </c>
    </row>
    <row r="2165">
      <c r="A2165" s="10">
        <v>4.13909879E8</v>
      </c>
      <c r="B2165" s="11">
        <v>0.078</v>
      </c>
      <c r="C2165" s="11">
        <v>69.0</v>
      </c>
      <c r="D2165" s="11">
        <v>0.141</v>
      </c>
      <c r="E2165" s="7" t="s">
        <v>245</v>
      </c>
      <c r="F2165" s="9" t="s">
        <v>66</v>
      </c>
      <c r="G2165" s="5" t="s">
        <v>80</v>
      </c>
    </row>
    <row r="2166">
      <c r="A2166" s="10">
        <v>4.56735445E8</v>
      </c>
      <c r="B2166" s="11">
        <v>0.067</v>
      </c>
      <c r="C2166" s="11">
        <v>63.0</v>
      </c>
      <c r="D2166" s="11">
        <v>0.139</v>
      </c>
      <c r="E2166" s="7" t="s">
        <v>245</v>
      </c>
      <c r="F2166" s="9" t="s">
        <v>67</v>
      </c>
      <c r="G2166" s="5" t="s">
        <v>80</v>
      </c>
    </row>
    <row r="2167">
      <c r="A2167" s="10">
        <v>5.1620915E8</v>
      </c>
      <c r="B2167" s="11">
        <v>0.056</v>
      </c>
      <c r="C2167" s="11">
        <v>67.0</v>
      </c>
      <c r="D2167" s="11">
        <v>0.141</v>
      </c>
      <c r="E2167" s="7" t="s">
        <v>245</v>
      </c>
      <c r="F2167" s="9" t="s">
        <v>68</v>
      </c>
      <c r="G2167" s="5" t="s">
        <v>80</v>
      </c>
    </row>
    <row r="2168">
      <c r="A2168" s="10">
        <v>6.08292552E8</v>
      </c>
      <c r="B2168" s="11">
        <v>0.056</v>
      </c>
      <c r="C2168" s="11">
        <v>72.0</v>
      </c>
      <c r="D2168" s="11">
        <v>0.144</v>
      </c>
      <c r="E2168" s="7" t="s">
        <v>245</v>
      </c>
      <c r="F2168" s="9" t="s">
        <v>69</v>
      </c>
      <c r="G2168" s="5" t="s">
        <v>80</v>
      </c>
    </row>
    <row r="2169">
      <c r="A2169" s="10">
        <v>5.97765363E8</v>
      </c>
      <c r="B2169" s="11">
        <v>0.078</v>
      </c>
      <c r="C2169" s="11">
        <v>91.0</v>
      </c>
      <c r="D2169" s="11">
        <v>0.153</v>
      </c>
      <c r="E2169" s="7" t="s">
        <v>245</v>
      </c>
      <c r="F2169" s="9" t="s">
        <v>70</v>
      </c>
      <c r="G2169" s="5" t="s">
        <v>80</v>
      </c>
    </row>
    <row r="2170">
      <c r="A2170" s="10">
        <v>6.81587105E8</v>
      </c>
      <c r="B2170" s="11">
        <v>0.074</v>
      </c>
      <c r="C2170" s="11">
        <v>95.0</v>
      </c>
      <c r="D2170" s="11">
        <v>0.144</v>
      </c>
      <c r="E2170" s="7" t="s">
        <v>245</v>
      </c>
      <c r="F2170" s="9" t="s">
        <v>71</v>
      </c>
      <c r="G2170" s="5" t="s">
        <v>80</v>
      </c>
    </row>
    <row r="2171">
      <c r="A2171" s="10">
        <v>8.68574141E8</v>
      </c>
      <c r="B2171" s="11">
        <v>0.077</v>
      </c>
      <c r="C2171" s="11">
        <v>124.0</v>
      </c>
      <c r="D2171" s="11">
        <v>0.132</v>
      </c>
      <c r="E2171" s="7" t="s">
        <v>245</v>
      </c>
      <c r="F2171" s="9" t="s">
        <v>72</v>
      </c>
      <c r="G2171" s="5" t="s">
        <v>80</v>
      </c>
    </row>
    <row r="2172">
      <c r="A2172" s="10">
        <v>9.99972421E8</v>
      </c>
      <c r="B2172" s="11">
        <v>0.08</v>
      </c>
      <c r="C2172" s="11">
        <v>148.0</v>
      </c>
      <c r="D2172" s="11">
        <v>0.113</v>
      </c>
      <c r="E2172" s="7" t="s">
        <v>245</v>
      </c>
      <c r="F2172" s="9" t="s">
        <v>73</v>
      </c>
      <c r="G2172" s="5" t="s">
        <v>80</v>
      </c>
    </row>
    <row r="2173">
      <c r="A2173" s="7"/>
      <c r="B2173" s="8"/>
      <c r="C2173" s="8"/>
      <c r="D2173" s="8"/>
      <c r="E2173" s="7" t="s">
        <v>246</v>
      </c>
      <c r="F2173" s="9" t="s">
        <v>60</v>
      </c>
      <c r="G2173" s="5" t="s">
        <v>77</v>
      </c>
    </row>
    <row r="2174">
      <c r="A2174" s="7"/>
      <c r="B2174" s="8"/>
      <c r="C2174" s="8"/>
      <c r="D2174" s="8"/>
      <c r="E2174" s="7" t="s">
        <v>246</v>
      </c>
      <c r="F2174" s="9" t="s">
        <v>62</v>
      </c>
      <c r="G2174" s="5" t="s">
        <v>77</v>
      </c>
    </row>
    <row r="2175">
      <c r="A2175" s="7"/>
      <c r="B2175" s="8"/>
      <c r="C2175" s="8"/>
      <c r="D2175" s="8"/>
      <c r="E2175" s="7" t="s">
        <v>246</v>
      </c>
      <c r="F2175" s="9" t="s">
        <v>63</v>
      </c>
      <c r="G2175" s="5" t="s">
        <v>77</v>
      </c>
    </row>
    <row r="2176">
      <c r="A2176" s="7"/>
      <c r="B2176" s="8"/>
      <c r="C2176" s="8"/>
      <c r="D2176" s="8"/>
      <c r="E2176" s="7" t="s">
        <v>246</v>
      </c>
      <c r="F2176" s="9" t="s">
        <v>64</v>
      </c>
      <c r="G2176" s="5" t="s">
        <v>77</v>
      </c>
    </row>
    <row r="2177">
      <c r="A2177" s="7"/>
      <c r="B2177" s="8"/>
      <c r="C2177" s="8"/>
      <c r="D2177" s="8"/>
      <c r="E2177" s="7" t="s">
        <v>246</v>
      </c>
      <c r="F2177" s="9" t="s">
        <v>65</v>
      </c>
      <c r="G2177" s="5" t="s">
        <v>77</v>
      </c>
    </row>
    <row r="2178">
      <c r="A2178" s="7"/>
      <c r="B2178" s="8"/>
      <c r="C2178" s="8"/>
      <c r="D2178" s="8"/>
      <c r="E2178" s="7" t="s">
        <v>246</v>
      </c>
      <c r="F2178" s="9" t="s">
        <v>66</v>
      </c>
      <c r="G2178" s="5" t="s">
        <v>77</v>
      </c>
    </row>
    <row r="2179">
      <c r="A2179" s="7"/>
      <c r="B2179" s="8"/>
      <c r="C2179" s="8"/>
      <c r="D2179" s="8"/>
      <c r="E2179" s="7" t="s">
        <v>246</v>
      </c>
      <c r="F2179" s="9" t="s">
        <v>67</v>
      </c>
      <c r="G2179" s="5" t="s">
        <v>77</v>
      </c>
    </row>
    <row r="2180">
      <c r="A2180" s="7"/>
      <c r="B2180" s="8"/>
      <c r="C2180" s="8"/>
      <c r="D2180" s="8"/>
      <c r="E2180" s="7" t="s">
        <v>246</v>
      </c>
      <c r="F2180" s="9" t="s">
        <v>68</v>
      </c>
      <c r="G2180" s="5" t="s">
        <v>77</v>
      </c>
    </row>
    <row r="2181">
      <c r="A2181" s="7"/>
      <c r="B2181" s="8"/>
      <c r="C2181" s="8"/>
      <c r="D2181" s="8"/>
      <c r="E2181" s="7" t="s">
        <v>246</v>
      </c>
      <c r="F2181" s="9" t="s">
        <v>69</v>
      </c>
      <c r="G2181" s="5" t="s">
        <v>77</v>
      </c>
    </row>
    <row r="2182">
      <c r="A2182" s="7"/>
      <c r="B2182" s="8"/>
      <c r="C2182" s="8"/>
      <c r="D2182" s="8"/>
      <c r="E2182" s="7" t="s">
        <v>246</v>
      </c>
      <c r="F2182" s="9" t="s">
        <v>70</v>
      </c>
      <c r="G2182" s="5" t="s">
        <v>77</v>
      </c>
    </row>
    <row r="2183">
      <c r="A2183" s="7"/>
      <c r="B2183" s="8"/>
      <c r="C2183" s="8"/>
      <c r="D2183" s="8"/>
      <c r="E2183" s="7" t="s">
        <v>246</v>
      </c>
      <c r="F2183" s="9" t="s">
        <v>71</v>
      </c>
      <c r="G2183" s="5" t="s">
        <v>77</v>
      </c>
    </row>
    <row r="2184">
      <c r="A2184" s="7"/>
      <c r="B2184" s="8"/>
      <c r="C2184" s="8"/>
      <c r="D2184" s="8"/>
      <c r="E2184" s="7" t="s">
        <v>246</v>
      </c>
      <c r="F2184" s="9" t="s">
        <v>72</v>
      </c>
      <c r="G2184" s="5" t="s">
        <v>77</v>
      </c>
    </row>
    <row r="2185">
      <c r="A2185" s="7"/>
      <c r="B2185" s="8"/>
      <c r="C2185" s="8"/>
      <c r="D2185" s="8"/>
      <c r="E2185" s="7" t="s">
        <v>246</v>
      </c>
      <c r="F2185" s="9" t="s">
        <v>73</v>
      </c>
      <c r="G2185" s="5" t="s">
        <v>77</v>
      </c>
    </row>
    <row r="2186">
      <c r="A2186" s="10">
        <v>1.33E11</v>
      </c>
      <c r="B2186" s="11">
        <v>0.083</v>
      </c>
      <c r="C2186" s="11">
        <v>246.0</v>
      </c>
      <c r="D2186" s="11">
        <v>0.145</v>
      </c>
      <c r="E2186" s="7" t="s">
        <v>247</v>
      </c>
      <c r="F2186" s="9" t="s">
        <v>60</v>
      </c>
      <c r="G2186" s="5" t="s">
        <v>77</v>
      </c>
    </row>
    <row r="2187">
      <c r="A2187" s="10">
        <v>1.18E11</v>
      </c>
      <c r="B2187" s="11">
        <v>0.086</v>
      </c>
      <c r="C2187" s="11">
        <v>223.0</v>
      </c>
      <c r="D2187" s="11">
        <v>0.138</v>
      </c>
      <c r="E2187" s="7" t="s">
        <v>247</v>
      </c>
      <c r="F2187" s="9" t="s">
        <v>62</v>
      </c>
      <c r="G2187" s="5" t="s">
        <v>77</v>
      </c>
    </row>
    <row r="2188">
      <c r="A2188" s="10">
        <v>1.11E11</v>
      </c>
      <c r="B2188" s="11">
        <v>0.085</v>
      </c>
      <c r="C2188" s="11">
        <v>205.0</v>
      </c>
      <c r="D2188" s="11">
        <v>0.158</v>
      </c>
      <c r="E2188" s="7" t="s">
        <v>247</v>
      </c>
      <c r="F2188" s="9" t="s">
        <v>63</v>
      </c>
      <c r="G2188" s="5" t="s">
        <v>77</v>
      </c>
    </row>
    <row r="2189">
      <c r="A2189" s="10">
        <v>1.68E11</v>
      </c>
      <c r="B2189" s="11">
        <v>0.086</v>
      </c>
      <c r="C2189" s="11">
        <v>310.0</v>
      </c>
      <c r="D2189" s="11">
        <v>0.15</v>
      </c>
      <c r="E2189" s="7" t="s">
        <v>247</v>
      </c>
      <c r="F2189" s="9" t="s">
        <v>64</v>
      </c>
      <c r="G2189" s="5" t="s">
        <v>77</v>
      </c>
    </row>
    <row r="2190">
      <c r="A2190" s="10">
        <v>2.19E11</v>
      </c>
      <c r="B2190" s="11">
        <v>0.089</v>
      </c>
      <c r="C2190" s="11">
        <v>410.0</v>
      </c>
      <c r="D2190" s="11">
        <v>0.113</v>
      </c>
      <c r="E2190" s="7" t="s">
        <v>247</v>
      </c>
      <c r="F2190" s="9" t="s">
        <v>65</v>
      </c>
      <c r="G2190" s="5" t="s">
        <v>77</v>
      </c>
    </row>
    <row r="2191">
      <c r="A2191" s="10">
        <v>2.47E11</v>
      </c>
      <c r="B2191" s="11">
        <v>0.088</v>
      </c>
      <c r="C2191" s="11">
        <v>450.0</v>
      </c>
      <c r="D2191" s="11">
        <v>0.106</v>
      </c>
      <c r="E2191" s="7" t="s">
        <v>247</v>
      </c>
      <c r="F2191" s="9" t="s">
        <v>66</v>
      </c>
      <c r="G2191" s="5" t="s">
        <v>77</v>
      </c>
    </row>
    <row r="2192">
      <c r="A2192" s="10">
        <v>2.61E11</v>
      </c>
      <c r="B2192" s="11">
        <v>0.085</v>
      </c>
      <c r="C2192" s="11">
        <v>455.0</v>
      </c>
      <c r="D2192" s="11">
        <v>0.112</v>
      </c>
      <c r="E2192" s="7" t="s">
        <v>247</v>
      </c>
      <c r="F2192" s="9" t="s">
        <v>67</v>
      </c>
      <c r="G2192" s="5" t="s">
        <v>77</v>
      </c>
    </row>
    <row r="2193">
      <c r="A2193" s="10">
        <v>2.86E11</v>
      </c>
      <c r="B2193" s="11">
        <v>0.078</v>
      </c>
      <c r="C2193" s="11">
        <v>449.0</v>
      </c>
      <c r="D2193" s="11">
        <v>0.132</v>
      </c>
      <c r="E2193" s="7" t="s">
        <v>247</v>
      </c>
      <c r="F2193" s="9" t="s">
        <v>68</v>
      </c>
      <c r="G2193" s="5" t="s">
        <v>77</v>
      </c>
    </row>
    <row r="2194">
      <c r="A2194" s="10">
        <v>2.73E11</v>
      </c>
      <c r="B2194" s="11">
        <v>0.08</v>
      </c>
      <c r="C2194" s="11">
        <v>437.0</v>
      </c>
      <c r="D2194" s="11">
        <v>0.151</v>
      </c>
      <c r="E2194" s="7" t="s">
        <v>247</v>
      </c>
      <c r="F2194" s="9" t="s">
        <v>69</v>
      </c>
      <c r="G2194" s="5" t="s">
        <v>77</v>
      </c>
    </row>
    <row r="2195">
      <c r="A2195" s="10">
        <v>2.84E11</v>
      </c>
      <c r="B2195" s="11">
        <v>0.087</v>
      </c>
      <c r="C2195" s="11">
        <v>484.0</v>
      </c>
      <c r="D2195" s="11">
        <v>0.117</v>
      </c>
      <c r="E2195" s="7" t="s">
        <v>247</v>
      </c>
      <c r="F2195" s="9" t="s">
        <v>70</v>
      </c>
      <c r="G2195" s="5" t="s">
        <v>77</v>
      </c>
    </row>
    <row r="2196">
      <c r="A2196" s="10">
        <v>3.65E11</v>
      </c>
      <c r="B2196" s="11">
        <v>0.087</v>
      </c>
      <c r="C2196" s="11">
        <v>615.0</v>
      </c>
      <c r="D2196" s="11">
        <v>0.098</v>
      </c>
      <c r="E2196" s="7" t="s">
        <v>247</v>
      </c>
      <c r="F2196" s="9" t="s">
        <v>71</v>
      </c>
      <c r="G2196" s="5" t="s">
        <v>77</v>
      </c>
    </row>
    <row r="2197">
      <c r="A2197" s="10">
        <v>4.04E11</v>
      </c>
      <c r="B2197" s="11">
        <v>0.087</v>
      </c>
      <c r="C2197" s="11">
        <v>670.0</v>
      </c>
      <c r="D2197" s="11">
        <v>0.09</v>
      </c>
      <c r="E2197" s="7" t="s">
        <v>247</v>
      </c>
      <c r="F2197" s="9" t="s">
        <v>72</v>
      </c>
      <c r="G2197" s="5" t="s">
        <v>77</v>
      </c>
    </row>
    <row r="2198">
      <c r="A2198" s="10">
        <v>3.82E11</v>
      </c>
      <c r="B2198" s="11">
        <v>0.088</v>
      </c>
      <c r="C2198" s="11">
        <v>645.0</v>
      </c>
      <c r="D2198" s="11">
        <v>0.088</v>
      </c>
      <c r="E2198" s="7" t="s">
        <v>247</v>
      </c>
      <c r="F2198" s="9" t="s">
        <v>73</v>
      </c>
      <c r="G2198" s="5" t="s">
        <v>77</v>
      </c>
    </row>
    <row r="2199">
      <c r="A2199" s="10">
        <v>5.62E11</v>
      </c>
      <c r="B2199" s="11">
        <v>0.043</v>
      </c>
      <c r="C2199" s="11">
        <v>491.0</v>
      </c>
      <c r="D2199" s="11">
        <v>0.085</v>
      </c>
      <c r="E2199" s="7" t="s">
        <v>248</v>
      </c>
      <c r="F2199" s="9" t="s">
        <v>60</v>
      </c>
      <c r="G2199" s="5" t="s">
        <v>61</v>
      </c>
    </row>
    <row r="2200">
      <c r="A2200" s="10">
        <v>5.33E11</v>
      </c>
      <c r="B2200" s="11">
        <v>0.05</v>
      </c>
      <c r="C2200" s="11">
        <v>528.0</v>
      </c>
      <c r="D2200" s="11">
        <v>0.077</v>
      </c>
      <c r="E2200" s="7" t="s">
        <v>248</v>
      </c>
      <c r="F2200" s="9" t="s">
        <v>62</v>
      </c>
      <c r="G2200" s="5" t="s">
        <v>61</v>
      </c>
    </row>
    <row r="2201">
      <c r="A2201" s="10">
        <v>6.09E11</v>
      </c>
      <c r="B2201" s="11">
        <v>0.048</v>
      </c>
      <c r="C2201" s="11">
        <v>581.0</v>
      </c>
      <c r="D2201" s="11">
        <v>0.068</v>
      </c>
      <c r="E2201" s="7" t="s">
        <v>248</v>
      </c>
      <c r="F2201" s="9" t="s">
        <v>63</v>
      </c>
      <c r="G2201" s="5" t="s">
        <v>61</v>
      </c>
    </row>
    <row r="2202">
      <c r="A2202" s="10">
        <v>6.81E11</v>
      </c>
      <c r="B2202" s="11">
        <v>0.052</v>
      </c>
      <c r="C2202" s="11">
        <v>695.0</v>
      </c>
      <c r="D2202" s="11">
        <v>0.062</v>
      </c>
      <c r="E2202" s="7" t="s">
        <v>248</v>
      </c>
      <c r="F2202" s="9" t="s">
        <v>64</v>
      </c>
      <c r="G2202" s="5" t="s">
        <v>61</v>
      </c>
    </row>
    <row r="2203">
      <c r="A2203" s="10">
        <v>7.65E11</v>
      </c>
      <c r="B2203" s="11">
        <v>0.052</v>
      </c>
      <c r="C2203" s="11">
        <v>784.0</v>
      </c>
      <c r="D2203" s="11">
        <v>0.059</v>
      </c>
      <c r="E2203" s="7" t="s">
        <v>248</v>
      </c>
      <c r="F2203" s="9" t="s">
        <v>65</v>
      </c>
      <c r="G2203" s="5" t="s">
        <v>61</v>
      </c>
    </row>
    <row r="2204">
      <c r="A2204" s="10">
        <v>8.98E11</v>
      </c>
      <c r="B2204" s="11">
        <v>0.056</v>
      </c>
      <c r="C2204" s="11">
        <v>988.0</v>
      </c>
      <c r="D2204" s="11">
        <v>0.056</v>
      </c>
      <c r="E2204" s="7" t="s">
        <v>248</v>
      </c>
      <c r="F2204" s="9" t="s">
        <v>66</v>
      </c>
      <c r="G2204" s="5" t="s">
        <v>61</v>
      </c>
    </row>
    <row r="2205">
      <c r="A2205" s="10">
        <v>1.01E12</v>
      </c>
      <c r="B2205" s="11">
        <v>0.061</v>
      </c>
      <c r="C2205" s="11">
        <v>1201.0</v>
      </c>
      <c r="D2205" s="11">
        <v>0.06</v>
      </c>
      <c r="E2205" s="7" t="s">
        <v>248</v>
      </c>
      <c r="F2205" s="9" t="s">
        <v>67</v>
      </c>
      <c r="G2205" s="5" t="s">
        <v>61</v>
      </c>
    </row>
    <row r="2206">
      <c r="A2206" s="10">
        <v>1.12E12</v>
      </c>
      <c r="B2206" s="11">
        <v>0.064</v>
      </c>
      <c r="C2206" s="11">
        <v>1379.0</v>
      </c>
      <c r="D2206" s="11">
        <v>0.066</v>
      </c>
      <c r="E2206" s="7" t="s">
        <v>248</v>
      </c>
      <c r="F2206" s="9" t="s">
        <v>68</v>
      </c>
      <c r="G2206" s="5" t="s">
        <v>61</v>
      </c>
    </row>
    <row r="2207">
      <c r="A2207" s="10">
        <v>1.0E12</v>
      </c>
      <c r="B2207" s="11">
        <v>0.066</v>
      </c>
      <c r="C2207" s="11">
        <v>1253.0</v>
      </c>
      <c r="D2207" s="11">
        <v>0.072</v>
      </c>
      <c r="E2207" s="7" t="s">
        <v>248</v>
      </c>
      <c r="F2207" s="9" t="s">
        <v>69</v>
      </c>
      <c r="G2207" s="5" t="s">
        <v>61</v>
      </c>
    </row>
    <row r="2208">
      <c r="A2208" s="10">
        <v>9.02E11</v>
      </c>
      <c r="B2208" s="11">
        <v>0.071</v>
      </c>
      <c r="C2208" s="11">
        <v>1204.0</v>
      </c>
      <c r="D2208" s="11">
        <v>0.056</v>
      </c>
      <c r="E2208" s="7" t="s">
        <v>248</v>
      </c>
      <c r="F2208" s="9" t="s">
        <v>70</v>
      </c>
      <c r="G2208" s="5" t="s">
        <v>61</v>
      </c>
    </row>
    <row r="2209">
      <c r="A2209" s="10">
        <v>1.09E12</v>
      </c>
      <c r="B2209" s="11">
        <v>0.073</v>
      </c>
      <c r="C2209" s="11">
        <v>1498.0</v>
      </c>
      <c r="D2209" s="11">
        <v>0.055</v>
      </c>
      <c r="E2209" s="7" t="s">
        <v>248</v>
      </c>
      <c r="F2209" s="9" t="s">
        <v>71</v>
      </c>
      <c r="G2209" s="5" t="s">
        <v>61</v>
      </c>
    </row>
    <row r="2210">
      <c r="A2210" s="10">
        <v>1.2E12</v>
      </c>
      <c r="B2210" s="11">
        <v>0.074</v>
      </c>
      <c r="C2210" s="11">
        <v>1652.0</v>
      </c>
      <c r="D2210" s="11">
        <v>0.058</v>
      </c>
      <c r="E2210" s="7" t="s">
        <v>248</v>
      </c>
      <c r="F2210" s="9" t="s">
        <v>72</v>
      </c>
      <c r="G2210" s="5" t="s">
        <v>61</v>
      </c>
    </row>
    <row r="2211">
      <c r="A2211" s="10">
        <v>1.22E12</v>
      </c>
      <c r="B2211" s="11">
        <v>0.075</v>
      </c>
      <c r="C2211" s="11">
        <v>1703.0</v>
      </c>
      <c r="D2211" s="11">
        <v>0.054</v>
      </c>
      <c r="E2211" s="7" t="s">
        <v>248</v>
      </c>
      <c r="F2211" s="9" t="s">
        <v>73</v>
      </c>
      <c r="G2211" s="5" t="s">
        <v>61</v>
      </c>
    </row>
    <row r="2212">
      <c r="A2212" s="7"/>
      <c r="B2212" s="8"/>
      <c r="C2212" s="8"/>
      <c r="D2212" s="8"/>
      <c r="E2212" s="7" t="s">
        <v>249</v>
      </c>
      <c r="F2212" s="9" t="s">
        <v>60</v>
      </c>
      <c r="G2212" s="5" t="s">
        <v>77</v>
      </c>
    </row>
    <row r="2213">
      <c r="A2213" s="7"/>
      <c r="B2213" s="8"/>
      <c r="C2213" s="8"/>
      <c r="D2213" s="8"/>
      <c r="E2213" s="7" t="s">
        <v>249</v>
      </c>
      <c r="F2213" s="9" t="s">
        <v>62</v>
      </c>
      <c r="G2213" s="5" t="s">
        <v>77</v>
      </c>
    </row>
    <row r="2214">
      <c r="A2214" s="7"/>
      <c r="B2214" s="8"/>
      <c r="C2214" s="8"/>
      <c r="D2214" s="8"/>
      <c r="E2214" s="7" t="s">
        <v>249</v>
      </c>
      <c r="F2214" s="9" t="s">
        <v>63</v>
      </c>
      <c r="G2214" s="5" t="s">
        <v>77</v>
      </c>
    </row>
    <row r="2215">
      <c r="A2215" s="7"/>
      <c r="B2215" s="8"/>
      <c r="C2215" s="8"/>
      <c r="D2215" s="8"/>
      <c r="E2215" s="7" t="s">
        <v>249</v>
      </c>
      <c r="F2215" s="9" t="s">
        <v>64</v>
      </c>
      <c r="G2215" s="5" t="s">
        <v>77</v>
      </c>
    </row>
    <row r="2216">
      <c r="A2216" s="7"/>
      <c r="B2216" s="8"/>
      <c r="C2216" s="8"/>
      <c r="D2216" s="8"/>
      <c r="E2216" s="7" t="s">
        <v>249</v>
      </c>
      <c r="F2216" s="9" t="s">
        <v>65</v>
      </c>
      <c r="G2216" s="5" t="s">
        <v>77</v>
      </c>
    </row>
    <row r="2217">
      <c r="A2217" s="7"/>
      <c r="B2217" s="8"/>
      <c r="C2217" s="8"/>
      <c r="D2217" s="8"/>
      <c r="E2217" s="7" t="s">
        <v>249</v>
      </c>
      <c r="F2217" s="9" t="s">
        <v>66</v>
      </c>
      <c r="G2217" s="5" t="s">
        <v>77</v>
      </c>
    </row>
    <row r="2218">
      <c r="A2218" s="7"/>
      <c r="B2218" s="8"/>
      <c r="C2218" s="8"/>
      <c r="D2218" s="8"/>
      <c r="E2218" s="7" t="s">
        <v>249</v>
      </c>
      <c r="F2218" s="9" t="s">
        <v>67</v>
      </c>
      <c r="G2218" s="5" t="s">
        <v>77</v>
      </c>
    </row>
    <row r="2219">
      <c r="A2219" s="7"/>
      <c r="B2219" s="8"/>
      <c r="C2219" s="8"/>
      <c r="D2219" s="8"/>
      <c r="E2219" s="7" t="s">
        <v>249</v>
      </c>
      <c r="F2219" s="9" t="s">
        <v>68</v>
      </c>
      <c r="G2219" s="5" t="s">
        <v>77</v>
      </c>
    </row>
    <row r="2220">
      <c r="A2220" s="10">
        <v>1.6382632812E10</v>
      </c>
      <c r="B2220" s="11">
        <v>0.02</v>
      </c>
      <c r="C2220" s="11">
        <v>34.0</v>
      </c>
      <c r="D2220" s="8"/>
      <c r="E2220" s="7" t="s">
        <v>249</v>
      </c>
      <c r="F2220" s="9" t="s">
        <v>69</v>
      </c>
      <c r="G2220" s="5" t="s">
        <v>77</v>
      </c>
    </row>
    <row r="2221">
      <c r="A2221" s="10">
        <v>1.3298986925E10</v>
      </c>
      <c r="B2221" s="11">
        <v>0.024</v>
      </c>
      <c r="C2221" s="11">
        <v>30.0</v>
      </c>
      <c r="D2221" s="8"/>
      <c r="E2221" s="7" t="s">
        <v>249</v>
      </c>
      <c r="F2221" s="9" t="s">
        <v>70</v>
      </c>
      <c r="G2221" s="5" t="s">
        <v>77</v>
      </c>
    </row>
    <row r="2222">
      <c r="A2222" s="10">
        <v>1.6338510934E10</v>
      </c>
      <c r="B2222" s="11">
        <v>0.021</v>
      </c>
      <c r="C2222" s="11">
        <v>32.0</v>
      </c>
      <c r="D2222" s="8"/>
      <c r="E2222" s="7" t="s">
        <v>249</v>
      </c>
      <c r="F2222" s="9" t="s">
        <v>71</v>
      </c>
      <c r="G2222" s="5" t="s">
        <v>77</v>
      </c>
    </row>
    <row r="2223">
      <c r="A2223" s="10">
        <v>2.0782116982E10</v>
      </c>
      <c r="B2223" s="11">
        <v>0.017</v>
      </c>
      <c r="C2223" s="11">
        <v>32.0</v>
      </c>
      <c r="D2223" s="8"/>
      <c r="E2223" s="7" t="s">
        <v>249</v>
      </c>
      <c r="F2223" s="9" t="s">
        <v>72</v>
      </c>
      <c r="G2223" s="5" t="s">
        <v>77</v>
      </c>
    </row>
    <row r="2224">
      <c r="A2224" s="10">
        <v>1.056E10</v>
      </c>
      <c r="B2224" s="11">
        <v>0.026</v>
      </c>
      <c r="C2224" s="11">
        <v>27.0</v>
      </c>
      <c r="D2224" s="8"/>
      <c r="E2224" s="7" t="s">
        <v>249</v>
      </c>
      <c r="F2224" s="9" t="s">
        <v>73</v>
      </c>
      <c r="G2224" s="5" t="s">
        <v>77</v>
      </c>
    </row>
    <row r="2225">
      <c r="A2225" s="10">
        <v>5.8E11</v>
      </c>
      <c r="B2225" s="11">
        <v>0.072</v>
      </c>
      <c r="C2225" s="11">
        <v>1045.0</v>
      </c>
      <c r="D2225" s="11">
        <v>0.052</v>
      </c>
      <c r="E2225" s="7" t="s">
        <v>250</v>
      </c>
      <c r="F2225" s="9" t="s">
        <v>60</v>
      </c>
      <c r="G2225" s="5" t="s">
        <v>75</v>
      </c>
    </row>
    <row r="2226">
      <c r="A2226" s="10">
        <v>6.09E11</v>
      </c>
      <c r="B2226" s="11">
        <v>0.072</v>
      </c>
      <c r="C2226" s="11">
        <v>1089.0</v>
      </c>
      <c r="D2226" s="11">
        <v>0.052</v>
      </c>
      <c r="E2226" s="7" t="s">
        <v>250</v>
      </c>
      <c r="F2226" s="9" t="s">
        <v>62</v>
      </c>
      <c r="G2226" s="5" t="s">
        <v>75</v>
      </c>
    </row>
    <row r="2227">
      <c r="A2227" s="10">
        <v>6.86E11</v>
      </c>
      <c r="B2227" s="11">
        <v>0.073</v>
      </c>
      <c r="C2227" s="11">
        <v>1215.0</v>
      </c>
      <c r="D2227" s="11">
        <v>0.043</v>
      </c>
      <c r="E2227" s="7" t="s">
        <v>250</v>
      </c>
      <c r="F2227" s="9" t="s">
        <v>63</v>
      </c>
      <c r="G2227" s="5" t="s">
        <v>75</v>
      </c>
    </row>
    <row r="2228">
      <c r="A2228" s="10">
        <v>8.84E11</v>
      </c>
      <c r="B2228" s="11">
        <v>0.082</v>
      </c>
      <c r="C2228" s="11">
        <v>1730.0</v>
      </c>
      <c r="D2228" s="8"/>
      <c r="E2228" s="7" t="s">
        <v>250</v>
      </c>
      <c r="F2228" s="9" t="s">
        <v>64</v>
      </c>
      <c r="G2228" s="5" t="s">
        <v>75</v>
      </c>
    </row>
    <row r="2229">
      <c r="A2229" s="10">
        <v>1.04E12</v>
      </c>
      <c r="B2229" s="11">
        <v>0.082</v>
      </c>
      <c r="C2229" s="11">
        <v>2028.0</v>
      </c>
      <c r="D2229" s="8"/>
      <c r="E2229" s="7" t="s">
        <v>250</v>
      </c>
      <c r="F2229" s="9" t="s">
        <v>65</v>
      </c>
      <c r="G2229" s="5" t="s">
        <v>75</v>
      </c>
    </row>
    <row r="2230">
      <c r="A2230" s="10">
        <v>1.13E12</v>
      </c>
      <c r="B2230" s="11">
        <v>0.083</v>
      </c>
      <c r="C2230" s="11">
        <v>2178.0</v>
      </c>
      <c r="D2230" s="8"/>
      <c r="E2230" s="7" t="s">
        <v>250</v>
      </c>
      <c r="F2230" s="9" t="s">
        <v>66</v>
      </c>
      <c r="G2230" s="5" t="s">
        <v>75</v>
      </c>
    </row>
    <row r="2231">
      <c r="A2231" s="10">
        <v>1.24E12</v>
      </c>
      <c r="B2231" s="11">
        <v>0.084</v>
      </c>
      <c r="C2231" s="11">
        <v>2371.0</v>
      </c>
      <c r="D2231" s="8"/>
      <c r="E2231" s="7" t="s">
        <v>250</v>
      </c>
      <c r="F2231" s="9" t="s">
        <v>67</v>
      </c>
      <c r="G2231" s="5" t="s">
        <v>75</v>
      </c>
    </row>
    <row r="2232">
      <c r="A2232" s="10">
        <v>1.44E12</v>
      </c>
      <c r="B2232" s="11">
        <v>0.085</v>
      </c>
      <c r="C2232" s="11">
        <v>2752.0</v>
      </c>
      <c r="D2232" s="8"/>
      <c r="E2232" s="7" t="s">
        <v>250</v>
      </c>
      <c r="F2232" s="9" t="s">
        <v>68</v>
      </c>
      <c r="G2232" s="5" t="s">
        <v>75</v>
      </c>
    </row>
    <row r="2233">
      <c r="A2233" s="10">
        <v>1.59E12</v>
      </c>
      <c r="B2233" s="11">
        <v>0.089</v>
      </c>
      <c r="C2233" s="11">
        <v>3146.0</v>
      </c>
      <c r="D2233" s="8"/>
      <c r="E2233" s="7" t="s">
        <v>250</v>
      </c>
      <c r="F2233" s="9" t="s">
        <v>69</v>
      </c>
      <c r="G2233" s="5" t="s">
        <v>75</v>
      </c>
    </row>
    <row r="2234">
      <c r="A2234" s="10">
        <v>1.45E12</v>
      </c>
      <c r="B2234" s="11">
        <v>0.096</v>
      </c>
      <c r="C2234" s="11">
        <v>3058.0</v>
      </c>
      <c r="D2234" s="8"/>
      <c r="E2234" s="7" t="s">
        <v>250</v>
      </c>
      <c r="F2234" s="9" t="s">
        <v>70</v>
      </c>
      <c r="G2234" s="5" t="s">
        <v>75</v>
      </c>
    </row>
    <row r="2235">
      <c r="A2235" s="10">
        <v>1.38E12</v>
      </c>
      <c r="B2235" s="11">
        <v>0.096</v>
      </c>
      <c r="C2235" s="11">
        <v>2902.0</v>
      </c>
      <c r="D2235" s="8"/>
      <c r="E2235" s="7" t="s">
        <v>250</v>
      </c>
      <c r="F2235" s="9" t="s">
        <v>71</v>
      </c>
      <c r="G2235" s="5" t="s">
        <v>75</v>
      </c>
    </row>
    <row r="2236">
      <c r="A2236" s="10">
        <v>1.45E12</v>
      </c>
      <c r="B2236" s="11">
        <v>0.093</v>
      </c>
      <c r="C2236" s="11">
        <v>2978.0</v>
      </c>
      <c r="D2236" s="8"/>
      <c r="E2236" s="7" t="s">
        <v>250</v>
      </c>
      <c r="F2236" s="9" t="s">
        <v>72</v>
      </c>
      <c r="G2236" s="5" t="s">
        <v>75</v>
      </c>
    </row>
    <row r="2237">
      <c r="A2237" s="10">
        <v>1.32E12</v>
      </c>
      <c r="B2237" s="11">
        <v>0.096</v>
      </c>
      <c r="C2237" s="11">
        <v>2808.0</v>
      </c>
      <c r="D2237" s="8"/>
      <c r="E2237" s="7" t="s">
        <v>250</v>
      </c>
      <c r="F2237" s="9" t="s">
        <v>73</v>
      </c>
      <c r="G2237" s="5" t="s">
        <v>75</v>
      </c>
    </row>
    <row r="2238">
      <c r="A2238" s="10">
        <v>1.6330810304E10</v>
      </c>
      <c r="B2238" s="11">
        <v>0.037</v>
      </c>
      <c r="C2238" s="11">
        <v>32.0</v>
      </c>
      <c r="D2238" s="11">
        <v>0.162</v>
      </c>
      <c r="E2238" s="7" t="s">
        <v>251</v>
      </c>
      <c r="F2238" s="9" t="s">
        <v>60</v>
      </c>
      <c r="G2238" s="5" t="s">
        <v>61</v>
      </c>
    </row>
    <row r="2239">
      <c r="A2239" s="10">
        <v>1.574622441E10</v>
      </c>
      <c r="B2239" s="11">
        <v>0.037</v>
      </c>
      <c r="C2239" s="11">
        <v>31.0</v>
      </c>
      <c r="D2239" s="11">
        <v>0.194</v>
      </c>
      <c r="E2239" s="7" t="s">
        <v>251</v>
      </c>
      <c r="F2239" s="9" t="s">
        <v>62</v>
      </c>
      <c r="G2239" s="5" t="s">
        <v>61</v>
      </c>
    </row>
    <row r="2240">
      <c r="A2240" s="10">
        <v>1.7102623876E10</v>
      </c>
      <c r="B2240" s="11">
        <v>0.039</v>
      </c>
      <c r="C2240" s="11">
        <v>34.0</v>
      </c>
      <c r="D2240" s="11">
        <v>0.132</v>
      </c>
      <c r="E2240" s="7" t="s">
        <v>251</v>
      </c>
      <c r="F2240" s="9" t="s">
        <v>63</v>
      </c>
      <c r="G2240" s="5" t="s">
        <v>61</v>
      </c>
    </row>
    <row r="2241">
      <c r="A2241" s="10">
        <v>1.8881765437E10</v>
      </c>
      <c r="B2241" s="11">
        <v>0.039</v>
      </c>
      <c r="C2241" s="11">
        <v>38.0</v>
      </c>
      <c r="D2241" s="11">
        <v>0.103</v>
      </c>
      <c r="E2241" s="7" t="s">
        <v>251</v>
      </c>
      <c r="F2241" s="9" t="s">
        <v>64</v>
      </c>
      <c r="G2241" s="5" t="s">
        <v>61</v>
      </c>
    </row>
    <row r="2242">
      <c r="A2242" s="10">
        <v>2.0662525941E10</v>
      </c>
      <c r="B2242" s="11">
        <v>0.042</v>
      </c>
      <c r="C2242" s="11">
        <v>44.0</v>
      </c>
      <c r="D2242" s="11">
        <v>0.095</v>
      </c>
      <c r="E2242" s="7" t="s">
        <v>251</v>
      </c>
      <c r="F2242" s="9" t="s">
        <v>65</v>
      </c>
      <c r="G2242" s="5" t="s">
        <v>61</v>
      </c>
    </row>
    <row r="2243">
      <c r="A2243" s="10">
        <v>2.4405791045E10</v>
      </c>
      <c r="B2243" s="11">
        <v>0.04</v>
      </c>
      <c r="C2243" s="11">
        <v>49.0</v>
      </c>
      <c r="D2243" s="11">
        <v>0.108</v>
      </c>
      <c r="E2243" s="7" t="s">
        <v>251</v>
      </c>
      <c r="F2243" s="9" t="s">
        <v>66</v>
      </c>
      <c r="G2243" s="5" t="s">
        <v>61</v>
      </c>
    </row>
    <row r="2244">
      <c r="A2244" s="10">
        <v>2.8267410543E10</v>
      </c>
      <c r="B2244" s="11">
        <v>0.04</v>
      </c>
      <c r="C2244" s="11">
        <v>57.0</v>
      </c>
      <c r="D2244" s="11">
        <v>0.129</v>
      </c>
      <c r="E2244" s="7" t="s">
        <v>251</v>
      </c>
      <c r="F2244" s="9" t="s">
        <v>67</v>
      </c>
      <c r="G2244" s="5" t="s">
        <v>61</v>
      </c>
    </row>
    <row r="2245">
      <c r="A2245" s="10">
        <v>3.2351184234E10</v>
      </c>
      <c r="B2245" s="11">
        <v>0.037</v>
      </c>
      <c r="C2245" s="11">
        <v>59.0</v>
      </c>
      <c r="D2245" s="11">
        <v>0.171</v>
      </c>
      <c r="E2245" s="7" t="s">
        <v>251</v>
      </c>
      <c r="F2245" s="9" t="s">
        <v>68</v>
      </c>
      <c r="G2245" s="5" t="s">
        <v>61</v>
      </c>
    </row>
    <row r="2246">
      <c r="A2246" s="10">
        <v>4.0715240469E10</v>
      </c>
      <c r="B2246" s="11">
        <v>0.034</v>
      </c>
      <c r="C2246" s="11">
        <v>68.0</v>
      </c>
      <c r="D2246" s="11">
        <v>0.189</v>
      </c>
      <c r="E2246" s="7" t="s">
        <v>251</v>
      </c>
      <c r="F2246" s="9" t="s">
        <v>69</v>
      </c>
      <c r="G2246" s="5" t="s">
        <v>61</v>
      </c>
    </row>
    <row r="2247">
      <c r="A2247" s="10">
        <v>4.2067974595E10</v>
      </c>
      <c r="B2247" s="11">
        <v>0.033</v>
      </c>
      <c r="C2247" s="11">
        <v>68.0</v>
      </c>
      <c r="D2247" s="11">
        <v>0.157</v>
      </c>
      <c r="E2247" s="7" t="s">
        <v>251</v>
      </c>
      <c r="F2247" s="9" t="s">
        <v>70</v>
      </c>
      <c r="G2247" s="5" t="s">
        <v>61</v>
      </c>
    </row>
    <row r="2248">
      <c r="A2248" s="10">
        <v>4.956752167E10</v>
      </c>
      <c r="B2248" s="11">
        <v>0.034</v>
      </c>
      <c r="C2248" s="11">
        <v>82.0</v>
      </c>
      <c r="D2248" s="11">
        <v>0.102</v>
      </c>
      <c r="E2248" s="7" t="s">
        <v>251</v>
      </c>
      <c r="F2248" s="9" t="s">
        <v>71</v>
      </c>
      <c r="G2248" s="5" t="s">
        <v>61</v>
      </c>
    </row>
    <row r="2249">
      <c r="A2249" s="10">
        <v>5.9178013928E10</v>
      </c>
      <c r="B2249" s="11">
        <v>0.033</v>
      </c>
      <c r="C2249" s="11">
        <v>93.0</v>
      </c>
      <c r="D2249" s="11">
        <v>0.094</v>
      </c>
      <c r="E2249" s="7" t="s">
        <v>251</v>
      </c>
      <c r="F2249" s="9" t="s">
        <v>72</v>
      </c>
      <c r="G2249" s="5" t="s">
        <v>61</v>
      </c>
    </row>
    <row r="2250">
      <c r="A2250" s="10">
        <v>5.9393056426E10</v>
      </c>
      <c r="B2250" s="11">
        <v>0.031</v>
      </c>
      <c r="C2250" s="11">
        <v>89.0</v>
      </c>
      <c r="D2250" s="11">
        <v>0.133</v>
      </c>
      <c r="E2250" s="7" t="s">
        <v>251</v>
      </c>
      <c r="F2250" s="9" t="s">
        <v>73</v>
      </c>
      <c r="G2250" s="5" t="s">
        <v>61</v>
      </c>
    </row>
    <row r="2251">
      <c r="A2251" s="10">
        <v>4.16566954E8</v>
      </c>
      <c r="B2251" s="11">
        <v>0.043</v>
      </c>
      <c r="C2251" s="11">
        <v>392.0</v>
      </c>
      <c r="D2251" s="11">
        <v>0.111</v>
      </c>
      <c r="E2251" s="7" t="s">
        <v>252</v>
      </c>
      <c r="F2251" s="9" t="s">
        <v>60</v>
      </c>
      <c r="G2251" s="5" t="s">
        <v>84</v>
      </c>
    </row>
    <row r="2252">
      <c r="A2252" s="10">
        <v>4.55905602E8</v>
      </c>
      <c r="B2252" s="11">
        <v>0.038</v>
      </c>
      <c r="C2252" s="11">
        <v>378.0</v>
      </c>
      <c r="D2252" s="11">
        <v>0.111</v>
      </c>
      <c r="E2252" s="7" t="s">
        <v>252</v>
      </c>
      <c r="F2252" s="9" t="s">
        <v>62</v>
      </c>
      <c r="G2252" s="5" t="s">
        <v>84</v>
      </c>
    </row>
    <row r="2253">
      <c r="A2253" s="10">
        <v>4.78067954E8</v>
      </c>
      <c r="B2253" s="11">
        <v>0.037</v>
      </c>
      <c r="C2253" s="11">
        <v>374.0</v>
      </c>
      <c r="D2253" s="11">
        <v>0.109</v>
      </c>
      <c r="E2253" s="7" t="s">
        <v>252</v>
      </c>
      <c r="F2253" s="9" t="s">
        <v>63</v>
      </c>
      <c r="G2253" s="5" t="s">
        <v>84</v>
      </c>
    </row>
    <row r="2254">
      <c r="A2254" s="10">
        <v>4.61576906E8</v>
      </c>
      <c r="B2254" s="11">
        <v>0.037</v>
      </c>
      <c r="C2254" s="11">
        <v>359.0</v>
      </c>
      <c r="D2254" s="11">
        <v>0.122</v>
      </c>
      <c r="E2254" s="7" t="s">
        <v>252</v>
      </c>
      <c r="F2254" s="9" t="s">
        <v>64</v>
      </c>
      <c r="G2254" s="5" t="s">
        <v>84</v>
      </c>
    </row>
    <row r="2255">
      <c r="A2255" s="10">
        <v>4.97548517E8</v>
      </c>
      <c r="B2255" s="11">
        <v>0.035</v>
      </c>
      <c r="C2255" s="11">
        <v>363.0</v>
      </c>
      <c r="D2255" s="11">
        <v>0.103</v>
      </c>
      <c r="E2255" s="7" t="s">
        <v>252</v>
      </c>
      <c r="F2255" s="9" t="s">
        <v>65</v>
      </c>
      <c r="G2255" s="5" t="s">
        <v>84</v>
      </c>
    </row>
    <row r="2256">
      <c r="A2256" s="10">
        <v>5.36410666E8</v>
      </c>
      <c r="B2256" s="11">
        <v>0.036</v>
      </c>
      <c r="C2256" s="11">
        <v>389.0</v>
      </c>
      <c r="D2256" s="11">
        <v>0.1</v>
      </c>
      <c r="E2256" s="7" t="s">
        <v>252</v>
      </c>
      <c r="F2256" s="9" t="s">
        <v>66</v>
      </c>
      <c r="G2256" s="5" t="s">
        <v>84</v>
      </c>
    </row>
    <row r="2257">
      <c r="A2257" s="10">
        <v>6.29511778E8</v>
      </c>
      <c r="B2257" s="11">
        <v>0.04</v>
      </c>
      <c r="C2257" s="11">
        <v>517.0</v>
      </c>
      <c r="D2257" s="11">
        <v>0.093</v>
      </c>
      <c r="E2257" s="7" t="s">
        <v>252</v>
      </c>
      <c r="F2257" s="9" t="s">
        <v>67</v>
      </c>
      <c r="G2257" s="5" t="s">
        <v>84</v>
      </c>
    </row>
    <row r="2258">
      <c r="A2258" s="10">
        <v>6.84074062E8</v>
      </c>
      <c r="B2258" s="11">
        <v>0.041</v>
      </c>
      <c r="C2258" s="11">
        <v>551.0</v>
      </c>
      <c r="D2258" s="11">
        <v>0.093</v>
      </c>
      <c r="E2258" s="7" t="s">
        <v>252</v>
      </c>
      <c r="F2258" s="9" t="s">
        <v>68</v>
      </c>
      <c r="G2258" s="5" t="s">
        <v>84</v>
      </c>
    </row>
    <row r="2259">
      <c r="A2259" s="10">
        <v>7.34814815E8</v>
      </c>
      <c r="B2259" s="11">
        <v>0.042</v>
      </c>
      <c r="C2259" s="11">
        <v>603.0</v>
      </c>
      <c r="D2259" s="11">
        <v>0.087</v>
      </c>
      <c r="E2259" s="7" t="s">
        <v>252</v>
      </c>
      <c r="F2259" s="9" t="s">
        <v>69</v>
      </c>
      <c r="G2259" s="5" t="s">
        <v>84</v>
      </c>
    </row>
    <row r="2260">
      <c r="A2260" s="10">
        <v>7.08888889E8</v>
      </c>
      <c r="B2260" s="11">
        <v>0.05</v>
      </c>
      <c r="C2260" s="11">
        <v>686.0</v>
      </c>
      <c r="D2260" s="11">
        <v>0.088</v>
      </c>
      <c r="E2260" s="7" t="s">
        <v>252</v>
      </c>
      <c r="F2260" s="9" t="s">
        <v>70</v>
      </c>
      <c r="G2260" s="5" t="s">
        <v>84</v>
      </c>
    </row>
    <row r="2261">
      <c r="A2261" s="10">
        <v>6.92222222E8</v>
      </c>
      <c r="B2261" s="11">
        <v>0.054</v>
      </c>
      <c r="C2261" s="11">
        <v>739.0</v>
      </c>
      <c r="D2261" s="11">
        <v>0.086</v>
      </c>
      <c r="E2261" s="7" t="s">
        <v>252</v>
      </c>
      <c r="F2261" s="9" t="s">
        <v>71</v>
      </c>
      <c r="G2261" s="5" t="s">
        <v>84</v>
      </c>
    </row>
    <row r="2262">
      <c r="A2262" s="10">
        <v>7.28148148E8</v>
      </c>
      <c r="B2262" s="11">
        <v>0.058</v>
      </c>
      <c r="C2262" s="11">
        <v>820.0</v>
      </c>
      <c r="D2262" s="11">
        <v>0.094</v>
      </c>
      <c r="E2262" s="7" t="s">
        <v>252</v>
      </c>
      <c r="F2262" s="9" t="s">
        <v>72</v>
      </c>
      <c r="G2262" s="5" t="s">
        <v>84</v>
      </c>
    </row>
    <row r="2263">
      <c r="A2263" s="10">
        <v>7.31851852E8</v>
      </c>
      <c r="B2263" s="11">
        <v>0.059</v>
      </c>
      <c r="C2263" s="11">
        <v>825.0</v>
      </c>
      <c r="D2263" s="11">
        <v>0.087</v>
      </c>
      <c r="E2263" s="7" t="s">
        <v>252</v>
      </c>
      <c r="F2263" s="9" t="s">
        <v>73</v>
      </c>
      <c r="G2263" s="5" t="s">
        <v>84</v>
      </c>
    </row>
    <row r="2264">
      <c r="A2264" s="10">
        <v>7.64457723E8</v>
      </c>
      <c r="B2264" s="11">
        <v>0.056</v>
      </c>
      <c r="C2264" s="11">
        <v>272.0</v>
      </c>
      <c r="D2264" s="11">
        <v>0.131</v>
      </c>
      <c r="E2264" s="7" t="s">
        <v>253</v>
      </c>
      <c r="F2264" s="9" t="s">
        <v>60</v>
      </c>
      <c r="G2264" s="5" t="s">
        <v>84</v>
      </c>
    </row>
    <row r="2265">
      <c r="A2265" s="10">
        <v>7.08290496E8</v>
      </c>
      <c r="B2265" s="11">
        <v>0.062</v>
      </c>
      <c r="C2265" s="11">
        <v>278.0</v>
      </c>
      <c r="D2265" s="11">
        <v>0.13</v>
      </c>
      <c r="E2265" s="7" t="s">
        <v>253</v>
      </c>
      <c r="F2265" s="9" t="s">
        <v>62</v>
      </c>
      <c r="G2265" s="5" t="s">
        <v>84</v>
      </c>
    </row>
    <row r="2266">
      <c r="A2266" s="10">
        <v>7.23027643E8</v>
      </c>
      <c r="B2266" s="11">
        <v>0.064</v>
      </c>
      <c r="C2266" s="11">
        <v>289.0</v>
      </c>
      <c r="D2266" s="11">
        <v>0.126</v>
      </c>
      <c r="E2266" s="7" t="s">
        <v>253</v>
      </c>
      <c r="F2266" s="9" t="s">
        <v>63</v>
      </c>
      <c r="G2266" s="5" t="s">
        <v>84</v>
      </c>
    </row>
    <row r="2267">
      <c r="A2267" s="10">
        <v>7.81338353E8</v>
      </c>
      <c r="B2267" s="11">
        <v>0.062</v>
      </c>
      <c r="C2267" s="11">
        <v>299.0</v>
      </c>
      <c r="D2267" s="11">
        <v>0.15</v>
      </c>
      <c r="E2267" s="7" t="s">
        <v>253</v>
      </c>
      <c r="F2267" s="9" t="s">
        <v>64</v>
      </c>
      <c r="G2267" s="5" t="s">
        <v>84</v>
      </c>
    </row>
    <row r="2268">
      <c r="A2268" s="10">
        <v>8.5825538E8</v>
      </c>
      <c r="B2268" s="11">
        <v>0.063</v>
      </c>
      <c r="C2268" s="11">
        <v>330.0</v>
      </c>
      <c r="D2268" s="11">
        <v>0.111</v>
      </c>
      <c r="E2268" s="7" t="s">
        <v>253</v>
      </c>
      <c r="F2268" s="9" t="s">
        <v>65</v>
      </c>
      <c r="G2268" s="5" t="s">
        <v>84</v>
      </c>
    </row>
    <row r="2269">
      <c r="A2269" s="10">
        <v>9.08558307E8</v>
      </c>
      <c r="B2269" s="11">
        <v>0.063</v>
      </c>
      <c r="C2269" s="11">
        <v>348.0</v>
      </c>
      <c r="D2269" s="11">
        <v>0.106</v>
      </c>
      <c r="E2269" s="7" t="s">
        <v>253</v>
      </c>
      <c r="F2269" s="9" t="s">
        <v>66</v>
      </c>
      <c r="G2269" s="5" t="s">
        <v>84</v>
      </c>
    </row>
    <row r="2270">
      <c r="A2270" s="10">
        <v>1.018069267E9</v>
      </c>
      <c r="B2270" s="11">
        <v>0.065</v>
      </c>
      <c r="C2270" s="11">
        <v>393.0</v>
      </c>
      <c r="D2270" s="11">
        <v>0.108</v>
      </c>
      <c r="E2270" s="7" t="s">
        <v>253</v>
      </c>
      <c r="F2270" s="9" t="s">
        <v>67</v>
      </c>
      <c r="G2270" s="5" t="s">
        <v>84</v>
      </c>
    </row>
    <row r="2271">
      <c r="A2271" s="10">
        <v>1.145555535E9</v>
      </c>
      <c r="B2271" s="11">
        <v>0.068</v>
      </c>
      <c r="C2271" s="11">
        <v>452.0</v>
      </c>
      <c r="D2271" s="11">
        <v>0.101</v>
      </c>
      <c r="E2271" s="7" t="s">
        <v>253</v>
      </c>
      <c r="F2271" s="9" t="s">
        <v>68</v>
      </c>
      <c r="G2271" s="5" t="s">
        <v>84</v>
      </c>
    </row>
    <row r="2272">
      <c r="A2272" s="10">
        <v>1.184074074E9</v>
      </c>
      <c r="B2272" s="11">
        <v>0.075</v>
      </c>
      <c r="C2272" s="11">
        <v>503.0</v>
      </c>
      <c r="D2272" s="11">
        <v>0.101</v>
      </c>
      <c r="E2272" s="7" t="s">
        <v>253</v>
      </c>
      <c r="F2272" s="9" t="s">
        <v>69</v>
      </c>
      <c r="G2272" s="5" t="s">
        <v>84</v>
      </c>
    </row>
    <row r="2273">
      <c r="A2273" s="10">
        <v>1.18E9</v>
      </c>
      <c r="B2273" s="11">
        <v>0.081</v>
      </c>
      <c r="C2273" s="11">
        <v>537.0</v>
      </c>
      <c r="D2273" s="11">
        <v>0.106</v>
      </c>
      <c r="E2273" s="7" t="s">
        <v>253</v>
      </c>
      <c r="F2273" s="9" t="s">
        <v>70</v>
      </c>
      <c r="G2273" s="5" t="s">
        <v>84</v>
      </c>
    </row>
    <row r="2274">
      <c r="A2274" s="10">
        <v>1.252222222E9</v>
      </c>
      <c r="B2274" s="11">
        <v>0.078</v>
      </c>
      <c r="C2274" s="11">
        <v>525.0</v>
      </c>
      <c r="D2274" s="11">
        <v>0.106</v>
      </c>
      <c r="E2274" s="7" t="s">
        <v>253</v>
      </c>
      <c r="F2274" s="9" t="s">
        <v>71</v>
      </c>
      <c r="G2274" s="5" t="s">
        <v>84</v>
      </c>
    </row>
    <row r="2275">
      <c r="A2275" s="10">
        <v>1.295925926E9</v>
      </c>
      <c r="B2275" s="11">
        <v>0.076</v>
      </c>
      <c r="C2275" s="11">
        <v>513.0</v>
      </c>
      <c r="D2275" s="11">
        <v>0.1</v>
      </c>
      <c r="E2275" s="7" t="s">
        <v>253</v>
      </c>
      <c r="F2275" s="9" t="s">
        <v>72</v>
      </c>
      <c r="G2275" s="5" t="s">
        <v>84</v>
      </c>
    </row>
    <row r="2276">
      <c r="A2276" s="10">
        <v>1.318148148E9</v>
      </c>
      <c r="B2276" s="11">
        <v>0.085</v>
      </c>
      <c r="C2276" s="11">
        <v>556.0</v>
      </c>
      <c r="D2276" s="11">
        <v>0.095</v>
      </c>
      <c r="E2276" s="7" t="s">
        <v>253</v>
      </c>
      <c r="F2276" s="9" t="s">
        <v>73</v>
      </c>
      <c r="G2276" s="5" t="s">
        <v>84</v>
      </c>
    </row>
    <row r="2277">
      <c r="A2277" s="7"/>
      <c r="B2277" s="8"/>
      <c r="C2277" s="8"/>
      <c r="D2277" s="8"/>
      <c r="E2277" s="7" t="s">
        <v>254</v>
      </c>
      <c r="F2277" s="9" t="s">
        <v>60</v>
      </c>
      <c r="G2277" s="5" t="s">
        <v>84</v>
      </c>
    </row>
    <row r="2278">
      <c r="A2278" s="7"/>
      <c r="B2278" s="8"/>
      <c r="C2278" s="8"/>
      <c r="D2278" s="8"/>
      <c r="E2278" s="7" t="s">
        <v>254</v>
      </c>
      <c r="F2278" s="9" t="s">
        <v>62</v>
      </c>
      <c r="G2278" s="5" t="s">
        <v>84</v>
      </c>
    </row>
    <row r="2279">
      <c r="A2279" s="7"/>
      <c r="B2279" s="8"/>
      <c r="C2279" s="8"/>
      <c r="D2279" s="8"/>
      <c r="E2279" s="7" t="s">
        <v>254</v>
      </c>
      <c r="F2279" s="9" t="s">
        <v>63</v>
      </c>
      <c r="G2279" s="5" t="s">
        <v>84</v>
      </c>
    </row>
    <row r="2280">
      <c r="A2280" s="7"/>
      <c r="B2280" s="8"/>
      <c r="C2280" s="8"/>
      <c r="D2280" s="8"/>
      <c r="E2280" s="7" t="s">
        <v>254</v>
      </c>
      <c r="F2280" s="9" t="s">
        <v>64</v>
      </c>
      <c r="G2280" s="5" t="s">
        <v>84</v>
      </c>
    </row>
    <row r="2281">
      <c r="A2281" s="7"/>
      <c r="B2281" s="8"/>
      <c r="C2281" s="8"/>
      <c r="D2281" s="8"/>
      <c r="E2281" s="7" t="s">
        <v>254</v>
      </c>
      <c r="F2281" s="9" t="s">
        <v>65</v>
      </c>
      <c r="G2281" s="5" t="s">
        <v>84</v>
      </c>
    </row>
    <row r="2282">
      <c r="A2282" s="7"/>
      <c r="B2282" s="8"/>
      <c r="C2282" s="8"/>
      <c r="D2282" s="8"/>
      <c r="E2282" s="7" t="s">
        <v>254</v>
      </c>
      <c r="F2282" s="9" t="s">
        <v>66</v>
      </c>
      <c r="G2282" s="5" t="s">
        <v>84</v>
      </c>
    </row>
    <row r="2283">
      <c r="A2283" s="7"/>
      <c r="B2283" s="8"/>
      <c r="C2283" s="8"/>
      <c r="D2283" s="8"/>
      <c r="E2283" s="7" t="s">
        <v>254</v>
      </c>
      <c r="F2283" s="9" t="s">
        <v>67</v>
      </c>
      <c r="G2283" s="5" t="s">
        <v>84</v>
      </c>
    </row>
    <row r="2284">
      <c r="A2284" s="7"/>
      <c r="B2284" s="8"/>
      <c r="C2284" s="8"/>
      <c r="D2284" s="8"/>
      <c r="E2284" s="7" t="s">
        <v>254</v>
      </c>
      <c r="F2284" s="9" t="s">
        <v>68</v>
      </c>
      <c r="G2284" s="5" t="s">
        <v>84</v>
      </c>
    </row>
    <row r="2285">
      <c r="A2285" s="7"/>
      <c r="B2285" s="8"/>
      <c r="C2285" s="8"/>
      <c r="D2285" s="8"/>
      <c r="E2285" s="7" t="s">
        <v>254</v>
      </c>
      <c r="F2285" s="9" t="s">
        <v>69</v>
      </c>
      <c r="G2285" s="5" t="s">
        <v>84</v>
      </c>
    </row>
    <row r="2286">
      <c r="A2286" s="7"/>
      <c r="B2286" s="8"/>
      <c r="C2286" s="8"/>
      <c r="D2286" s="8"/>
      <c r="E2286" s="7" t="s">
        <v>254</v>
      </c>
      <c r="F2286" s="9" t="s">
        <v>70</v>
      </c>
      <c r="G2286" s="5" t="s">
        <v>84</v>
      </c>
    </row>
    <row r="2287">
      <c r="A2287" s="7"/>
      <c r="B2287" s="8"/>
      <c r="C2287" s="8"/>
      <c r="D2287" s="8"/>
      <c r="E2287" s="7" t="s">
        <v>254</v>
      </c>
      <c r="F2287" s="9" t="s">
        <v>71</v>
      </c>
      <c r="G2287" s="5" t="s">
        <v>84</v>
      </c>
    </row>
    <row r="2288">
      <c r="A2288" s="7"/>
      <c r="B2288" s="8"/>
      <c r="C2288" s="8"/>
      <c r="D2288" s="8"/>
      <c r="E2288" s="7" t="s">
        <v>254</v>
      </c>
      <c r="F2288" s="9" t="s">
        <v>72</v>
      </c>
      <c r="G2288" s="5" t="s">
        <v>84</v>
      </c>
    </row>
    <row r="2289">
      <c r="A2289" s="7"/>
      <c r="B2289" s="8"/>
      <c r="C2289" s="8"/>
      <c r="D2289" s="8"/>
      <c r="E2289" s="7" t="s">
        <v>254</v>
      </c>
      <c r="F2289" s="9" t="s">
        <v>73</v>
      </c>
      <c r="G2289" s="5" t="s">
        <v>84</v>
      </c>
    </row>
    <row r="2290">
      <c r="A2290" s="10">
        <v>3.97447007E8</v>
      </c>
      <c r="B2290" s="11">
        <v>0.037</v>
      </c>
      <c r="C2290" s="11">
        <v>137.0</v>
      </c>
      <c r="D2290" s="11">
        <v>0.115</v>
      </c>
      <c r="E2290" s="7" t="s">
        <v>255</v>
      </c>
      <c r="F2290" s="9" t="s">
        <v>60</v>
      </c>
      <c r="G2290" s="5" t="s">
        <v>84</v>
      </c>
    </row>
    <row r="2291">
      <c r="A2291" s="10">
        <v>4.31017935E8</v>
      </c>
      <c r="B2291" s="11">
        <v>0.036</v>
      </c>
      <c r="C2291" s="11">
        <v>145.0</v>
      </c>
      <c r="D2291" s="11">
        <v>0.116</v>
      </c>
      <c r="E2291" s="7" t="s">
        <v>255</v>
      </c>
      <c r="F2291" s="9" t="s">
        <v>62</v>
      </c>
      <c r="G2291" s="5" t="s">
        <v>84</v>
      </c>
    </row>
    <row r="2292">
      <c r="A2292" s="10">
        <v>4.6264161E8</v>
      </c>
      <c r="B2292" s="11">
        <v>0.039</v>
      </c>
      <c r="C2292" s="11">
        <v>168.0</v>
      </c>
      <c r="D2292" s="11">
        <v>0.116</v>
      </c>
      <c r="E2292" s="7" t="s">
        <v>255</v>
      </c>
      <c r="F2292" s="9" t="s">
        <v>63</v>
      </c>
      <c r="G2292" s="5" t="s">
        <v>84</v>
      </c>
    </row>
    <row r="2293">
      <c r="A2293" s="10">
        <v>4.82397041E8</v>
      </c>
      <c r="B2293" s="11">
        <v>0.039</v>
      </c>
      <c r="C2293" s="11">
        <v>174.0</v>
      </c>
      <c r="D2293" s="11">
        <v>0.118</v>
      </c>
      <c r="E2293" s="7" t="s">
        <v>255</v>
      </c>
      <c r="F2293" s="9" t="s">
        <v>64</v>
      </c>
      <c r="G2293" s="5" t="s">
        <v>84</v>
      </c>
    </row>
    <row r="2294">
      <c r="A2294" s="10">
        <v>5.22544702E8</v>
      </c>
      <c r="B2294" s="11">
        <v>0.037</v>
      </c>
      <c r="C2294" s="11">
        <v>179.0</v>
      </c>
      <c r="D2294" s="11">
        <v>0.097</v>
      </c>
      <c r="E2294" s="7" t="s">
        <v>255</v>
      </c>
      <c r="F2294" s="9" t="s">
        <v>65</v>
      </c>
      <c r="G2294" s="5" t="s">
        <v>84</v>
      </c>
    </row>
    <row r="2295">
      <c r="A2295" s="10">
        <v>5.51431645E8</v>
      </c>
      <c r="B2295" s="11">
        <v>0.037</v>
      </c>
      <c r="C2295" s="11">
        <v>185.0</v>
      </c>
      <c r="D2295" s="11">
        <v>0.096</v>
      </c>
      <c r="E2295" s="7" t="s">
        <v>255</v>
      </c>
      <c r="F2295" s="9" t="s">
        <v>66</v>
      </c>
      <c r="G2295" s="5" t="s">
        <v>84</v>
      </c>
    </row>
    <row r="2296">
      <c r="A2296" s="10">
        <v>6.11040126E8</v>
      </c>
      <c r="B2296" s="11">
        <v>0.039</v>
      </c>
      <c r="C2296" s="11">
        <v>218.0</v>
      </c>
      <c r="D2296" s="11">
        <v>0.097</v>
      </c>
      <c r="E2296" s="7" t="s">
        <v>255</v>
      </c>
      <c r="F2296" s="9" t="s">
        <v>67</v>
      </c>
      <c r="G2296" s="5" t="s">
        <v>84</v>
      </c>
    </row>
    <row r="2297">
      <c r="A2297" s="10">
        <v>6.84074074E8</v>
      </c>
      <c r="B2297" s="11">
        <v>0.039</v>
      </c>
      <c r="C2297" s="11">
        <v>246.0</v>
      </c>
      <c r="D2297" s="11">
        <v>0.096</v>
      </c>
      <c r="E2297" s="7" t="s">
        <v>255</v>
      </c>
      <c r="F2297" s="9" t="s">
        <v>68</v>
      </c>
      <c r="G2297" s="5" t="s">
        <v>84</v>
      </c>
    </row>
    <row r="2298">
      <c r="A2298" s="10">
        <v>6.95555556E8</v>
      </c>
      <c r="B2298" s="11">
        <v>0.047</v>
      </c>
      <c r="C2298" s="11">
        <v>299.0</v>
      </c>
      <c r="D2298" s="11">
        <v>0.095</v>
      </c>
      <c r="E2298" s="7" t="s">
        <v>255</v>
      </c>
      <c r="F2298" s="9" t="s">
        <v>69</v>
      </c>
      <c r="G2298" s="5" t="s">
        <v>84</v>
      </c>
    </row>
    <row r="2299">
      <c r="A2299" s="10">
        <v>6.74814815E8</v>
      </c>
      <c r="B2299" s="11">
        <v>0.051</v>
      </c>
      <c r="C2299" s="11">
        <v>317.0</v>
      </c>
      <c r="D2299" s="11">
        <v>0.092</v>
      </c>
      <c r="E2299" s="7" t="s">
        <v>255</v>
      </c>
      <c r="F2299" s="9" t="s">
        <v>70</v>
      </c>
      <c r="G2299" s="5" t="s">
        <v>84</v>
      </c>
    </row>
    <row r="2300">
      <c r="A2300" s="10">
        <v>6.81481481E8</v>
      </c>
      <c r="B2300" s="11">
        <v>0.047</v>
      </c>
      <c r="C2300" s="11">
        <v>293.0</v>
      </c>
      <c r="D2300" s="11">
        <v>0.092</v>
      </c>
      <c r="E2300" s="7" t="s">
        <v>255</v>
      </c>
      <c r="F2300" s="9" t="s">
        <v>71</v>
      </c>
      <c r="G2300" s="5" t="s">
        <v>84</v>
      </c>
    </row>
    <row r="2301">
      <c r="A2301" s="10">
        <v>6.77037037E8</v>
      </c>
      <c r="B2301" s="11">
        <v>0.049</v>
      </c>
      <c r="C2301" s="11">
        <v>310.0</v>
      </c>
      <c r="D2301" s="11">
        <v>0.091</v>
      </c>
      <c r="E2301" s="7" t="s">
        <v>255</v>
      </c>
      <c r="F2301" s="9" t="s">
        <v>72</v>
      </c>
      <c r="G2301" s="5" t="s">
        <v>84</v>
      </c>
    </row>
    <row r="2302">
      <c r="A2302" s="10">
        <v>6.94444444E8</v>
      </c>
      <c r="B2302" s="11">
        <v>0.052</v>
      </c>
      <c r="C2302" s="11">
        <v>340.0</v>
      </c>
      <c r="D2302" s="11">
        <v>0.094</v>
      </c>
      <c r="E2302" s="7" t="s">
        <v>255</v>
      </c>
      <c r="F2302" s="9" t="s">
        <v>73</v>
      </c>
      <c r="G2302" s="5" t="s">
        <v>84</v>
      </c>
    </row>
    <row r="2303">
      <c r="A2303" s="10">
        <v>1.2257299163E10</v>
      </c>
      <c r="B2303" s="11">
        <v>0.034</v>
      </c>
      <c r="C2303" s="11">
        <v>15.0</v>
      </c>
      <c r="D2303" s="8"/>
      <c r="E2303" s="7" t="s">
        <v>256</v>
      </c>
      <c r="F2303" s="9" t="s">
        <v>60</v>
      </c>
      <c r="G2303" s="5" t="s">
        <v>77</v>
      </c>
    </row>
    <row r="2304">
      <c r="A2304" s="10">
        <v>1.3182872555E10</v>
      </c>
      <c r="B2304" s="11">
        <v>0.035</v>
      </c>
      <c r="C2304" s="11">
        <v>16.0</v>
      </c>
      <c r="D2304" s="8"/>
      <c r="E2304" s="7" t="s">
        <v>256</v>
      </c>
      <c r="F2304" s="9" t="s">
        <v>62</v>
      </c>
      <c r="G2304" s="5" t="s">
        <v>77</v>
      </c>
    </row>
    <row r="2305">
      <c r="A2305" s="10">
        <v>1.4803423335E10</v>
      </c>
      <c r="B2305" s="11">
        <v>0.036</v>
      </c>
      <c r="C2305" s="11">
        <v>18.0</v>
      </c>
      <c r="D2305" s="8"/>
      <c r="E2305" s="7" t="s">
        <v>256</v>
      </c>
      <c r="F2305" s="9" t="s">
        <v>63</v>
      </c>
      <c r="G2305" s="5" t="s">
        <v>77</v>
      </c>
    </row>
    <row r="2306">
      <c r="A2306" s="10">
        <v>1.7646271397E10</v>
      </c>
      <c r="B2306" s="11">
        <v>0.038</v>
      </c>
      <c r="C2306" s="11">
        <v>23.0</v>
      </c>
      <c r="D2306" s="8"/>
      <c r="E2306" s="7" t="s">
        <v>256</v>
      </c>
      <c r="F2306" s="9" t="s">
        <v>64</v>
      </c>
      <c r="G2306" s="5" t="s">
        <v>77</v>
      </c>
    </row>
    <row r="2307">
      <c r="A2307" s="10">
        <v>2.1457886199E10</v>
      </c>
      <c r="B2307" s="11">
        <v>0.041</v>
      </c>
      <c r="C2307" s="11">
        <v>29.0</v>
      </c>
      <c r="D2307" s="8"/>
      <c r="E2307" s="7" t="s">
        <v>256</v>
      </c>
      <c r="F2307" s="9" t="s">
        <v>65</v>
      </c>
      <c r="G2307" s="5" t="s">
        <v>77</v>
      </c>
    </row>
    <row r="2308">
      <c r="A2308" s="10">
        <v>2.6524992225E10</v>
      </c>
      <c r="B2308" s="11">
        <v>0.041</v>
      </c>
      <c r="C2308" s="11">
        <v>35.0</v>
      </c>
      <c r="D2308" s="8"/>
      <c r="E2308" s="7" t="s">
        <v>256</v>
      </c>
      <c r="F2308" s="9" t="s">
        <v>66</v>
      </c>
      <c r="G2308" s="5" t="s">
        <v>77</v>
      </c>
    </row>
    <row r="2309">
      <c r="A2309" s="10">
        <v>3.5159250985E10</v>
      </c>
      <c r="B2309" s="11">
        <v>0.05</v>
      </c>
      <c r="C2309" s="11">
        <v>54.0</v>
      </c>
      <c r="D2309" s="8"/>
      <c r="E2309" s="7" t="s">
        <v>256</v>
      </c>
      <c r="F2309" s="9" t="s">
        <v>67</v>
      </c>
      <c r="G2309" s="5" t="s">
        <v>77</v>
      </c>
    </row>
    <row r="2310">
      <c r="A2310" s="10">
        <v>4.5456460335E10</v>
      </c>
      <c r="B2310" s="11">
        <v>0.062</v>
      </c>
      <c r="C2310" s="11">
        <v>85.0</v>
      </c>
      <c r="D2310" s="8"/>
      <c r="E2310" s="7" t="s">
        <v>256</v>
      </c>
      <c r="F2310" s="9" t="s">
        <v>68</v>
      </c>
      <c r="G2310" s="5" t="s">
        <v>77</v>
      </c>
    </row>
    <row r="2311">
      <c r="A2311" s="10">
        <v>5.4082389393E10</v>
      </c>
      <c r="B2311" s="11">
        <v>0.075</v>
      </c>
      <c r="C2311" s="11">
        <v>118.0</v>
      </c>
      <c r="D2311" s="8"/>
      <c r="E2311" s="7" t="s">
        <v>256</v>
      </c>
      <c r="F2311" s="9" t="s">
        <v>69</v>
      </c>
      <c r="G2311" s="5" t="s">
        <v>77</v>
      </c>
    </row>
    <row r="2312">
      <c r="A2312" s="10">
        <v>5.2839990731E10</v>
      </c>
      <c r="B2312" s="11">
        <v>0.074</v>
      </c>
      <c r="C2312" s="11">
        <v>112.0</v>
      </c>
      <c r="D2312" s="8"/>
      <c r="E2312" s="7" t="s">
        <v>256</v>
      </c>
      <c r="F2312" s="9" t="s">
        <v>70</v>
      </c>
      <c r="G2312" s="5" t="s">
        <v>77</v>
      </c>
    </row>
    <row r="2313">
      <c r="A2313" s="10">
        <v>6.5632237471E10</v>
      </c>
      <c r="B2313" s="11">
        <v>0.065</v>
      </c>
      <c r="C2313" s="11">
        <v>119.0</v>
      </c>
      <c r="D2313" s="8"/>
      <c r="E2313" s="7" t="s">
        <v>256</v>
      </c>
      <c r="F2313" s="9" t="s">
        <v>71</v>
      </c>
      <c r="G2313" s="5" t="s">
        <v>77</v>
      </c>
    </row>
    <row r="2314">
      <c r="A2314" s="10">
        <v>6.7320812663E10</v>
      </c>
      <c r="B2314" s="11">
        <v>0.067</v>
      </c>
      <c r="C2314" s="11">
        <v>119.0</v>
      </c>
      <c r="D2314" s="8"/>
      <c r="E2314" s="7" t="s">
        <v>256</v>
      </c>
      <c r="F2314" s="9" t="s">
        <v>72</v>
      </c>
      <c r="G2314" s="5" t="s">
        <v>77</v>
      </c>
    </row>
    <row r="2315">
      <c r="A2315" s="10">
        <v>6.3029562337E10</v>
      </c>
      <c r="B2315" s="11">
        <v>0.072</v>
      </c>
      <c r="C2315" s="11">
        <v>115.0</v>
      </c>
      <c r="D2315" s="8"/>
      <c r="E2315" s="7" t="s">
        <v>256</v>
      </c>
      <c r="F2315" s="9" t="s">
        <v>73</v>
      </c>
      <c r="G2315" s="5" t="s">
        <v>77</v>
      </c>
    </row>
    <row r="2316">
      <c r="A2316" s="10">
        <v>8.92164364E8</v>
      </c>
      <c r="B2316" s="11">
        <v>0.087</v>
      </c>
      <c r="C2316" s="11">
        <v>167.0</v>
      </c>
      <c r="D2316" s="11">
        <v>0.29</v>
      </c>
      <c r="E2316" s="7" t="s">
        <v>257</v>
      </c>
      <c r="F2316" s="9" t="s">
        <v>60</v>
      </c>
      <c r="G2316" s="5" t="s">
        <v>84</v>
      </c>
    </row>
    <row r="2317">
      <c r="A2317" s="10">
        <v>7.63465571E8</v>
      </c>
      <c r="B2317" s="11">
        <v>0.084</v>
      </c>
      <c r="C2317" s="11">
        <v>136.0</v>
      </c>
      <c r="D2317" s="11">
        <v>0.257</v>
      </c>
      <c r="E2317" s="7" t="s">
        <v>257</v>
      </c>
      <c r="F2317" s="9" t="s">
        <v>62</v>
      </c>
      <c r="G2317" s="5" t="s">
        <v>84</v>
      </c>
    </row>
    <row r="2318">
      <c r="A2318" s="10">
        <v>1.078402128E9</v>
      </c>
      <c r="B2318" s="11">
        <v>0.071</v>
      </c>
      <c r="C2318" s="11">
        <v>161.0</v>
      </c>
      <c r="D2318" s="11">
        <v>0.222</v>
      </c>
      <c r="E2318" s="7" t="s">
        <v>257</v>
      </c>
      <c r="F2318" s="9" t="s">
        <v>63</v>
      </c>
      <c r="G2318" s="5" t="s">
        <v>84</v>
      </c>
    </row>
    <row r="2319">
      <c r="A2319" s="10">
        <v>1.271196078E9</v>
      </c>
      <c r="B2319" s="11">
        <v>0.066</v>
      </c>
      <c r="C2319" s="11">
        <v>173.0</v>
      </c>
      <c r="D2319" s="11">
        <v>0.21</v>
      </c>
      <c r="E2319" s="7" t="s">
        <v>257</v>
      </c>
      <c r="F2319" s="9" t="s">
        <v>64</v>
      </c>
      <c r="G2319" s="5" t="s">
        <v>84</v>
      </c>
    </row>
    <row r="2320">
      <c r="A2320" s="10">
        <v>1.484092538E9</v>
      </c>
      <c r="B2320" s="11">
        <v>0.069</v>
      </c>
      <c r="C2320" s="11">
        <v>207.0</v>
      </c>
      <c r="D2320" s="11">
        <v>0.204</v>
      </c>
      <c r="E2320" s="7" t="s">
        <v>257</v>
      </c>
      <c r="F2320" s="9" t="s">
        <v>65</v>
      </c>
      <c r="G2320" s="5" t="s">
        <v>84</v>
      </c>
    </row>
    <row r="2321">
      <c r="A2321" s="10">
        <v>1.793557833E9</v>
      </c>
      <c r="B2321" s="11">
        <v>0.068</v>
      </c>
      <c r="C2321" s="11">
        <v>243.0</v>
      </c>
      <c r="D2321" s="11">
        <v>0.174</v>
      </c>
      <c r="E2321" s="7" t="s">
        <v>257</v>
      </c>
      <c r="F2321" s="9" t="s">
        <v>66</v>
      </c>
      <c r="G2321" s="5" t="s">
        <v>84</v>
      </c>
    </row>
    <row r="2322">
      <c r="A2322" s="10">
        <v>2.626093294E9</v>
      </c>
      <c r="B2322" s="11">
        <v>0.062</v>
      </c>
      <c r="C2322" s="11">
        <v>323.0</v>
      </c>
      <c r="D2322" s="11">
        <v>0.156</v>
      </c>
      <c r="E2322" s="7" t="s">
        <v>257</v>
      </c>
      <c r="F2322" s="9" t="s">
        <v>67</v>
      </c>
      <c r="G2322" s="5" t="s">
        <v>84</v>
      </c>
    </row>
    <row r="2323">
      <c r="A2323" s="10">
        <v>2.936612022E9</v>
      </c>
      <c r="B2323" s="11">
        <v>0.059</v>
      </c>
      <c r="C2323" s="11">
        <v>341.0</v>
      </c>
      <c r="D2323" s="11">
        <v>0.138</v>
      </c>
      <c r="E2323" s="7" t="s">
        <v>257</v>
      </c>
      <c r="F2323" s="9" t="s">
        <v>68</v>
      </c>
      <c r="G2323" s="5" t="s">
        <v>84</v>
      </c>
    </row>
    <row r="2324">
      <c r="A2324" s="10">
        <v>3.532969035E9</v>
      </c>
      <c r="B2324" s="11">
        <v>0.059</v>
      </c>
      <c r="C2324" s="11">
        <v>406.0</v>
      </c>
      <c r="D2324" s="11">
        <v>0.122</v>
      </c>
      <c r="E2324" s="7" t="s">
        <v>257</v>
      </c>
      <c r="F2324" s="9" t="s">
        <v>69</v>
      </c>
      <c r="G2324" s="5" t="s">
        <v>84</v>
      </c>
    </row>
    <row r="2325">
      <c r="A2325" s="10">
        <v>3.875409836E9</v>
      </c>
      <c r="B2325" s="11">
        <v>0.061</v>
      </c>
      <c r="C2325" s="11">
        <v>457.0</v>
      </c>
      <c r="D2325" s="11">
        <v>0.117</v>
      </c>
      <c r="E2325" s="7" t="s">
        <v>257</v>
      </c>
      <c r="F2325" s="9" t="s">
        <v>70</v>
      </c>
      <c r="G2325" s="5" t="s">
        <v>84</v>
      </c>
    </row>
    <row r="2326">
      <c r="A2326" s="10">
        <v>4.368033802E9</v>
      </c>
      <c r="B2326" s="11">
        <v>0.058</v>
      </c>
      <c r="C2326" s="11">
        <v>483.0</v>
      </c>
      <c r="D2326" s="11">
        <v>0.116</v>
      </c>
      <c r="E2326" s="7" t="s">
        <v>257</v>
      </c>
      <c r="F2326" s="9" t="s">
        <v>71</v>
      </c>
      <c r="G2326" s="5" t="s">
        <v>84</v>
      </c>
    </row>
    <row r="2327">
      <c r="A2327" s="10">
        <v>4.363219094E9</v>
      </c>
      <c r="B2327" s="11">
        <v>0.06</v>
      </c>
      <c r="C2327" s="11">
        <v>490.0</v>
      </c>
      <c r="D2327" s="11">
        <v>0.118</v>
      </c>
      <c r="E2327" s="7" t="s">
        <v>257</v>
      </c>
      <c r="F2327" s="9" t="s">
        <v>72</v>
      </c>
      <c r="G2327" s="5" t="s">
        <v>84</v>
      </c>
    </row>
    <row r="2328">
      <c r="A2328" s="10">
        <v>5.012121212E9</v>
      </c>
      <c r="B2328" s="11">
        <v>0.059</v>
      </c>
      <c r="C2328" s="11">
        <v>521.0</v>
      </c>
      <c r="D2328" s="11">
        <v>0.117</v>
      </c>
      <c r="E2328" s="7" t="s">
        <v>257</v>
      </c>
      <c r="F2328" s="9" t="s">
        <v>73</v>
      </c>
      <c r="G2328" s="5" t="s">
        <v>84</v>
      </c>
    </row>
    <row r="2329">
      <c r="A2329" s="10">
        <v>1.524490159E9</v>
      </c>
      <c r="B2329" s="11">
        <v>0.053</v>
      </c>
      <c r="C2329" s="11">
        <v>75.0</v>
      </c>
      <c r="D2329" s="11">
        <v>0.14</v>
      </c>
      <c r="E2329" s="7" t="s">
        <v>258</v>
      </c>
      <c r="F2329" s="9" t="s">
        <v>60</v>
      </c>
      <c r="G2329" s="5" t="s">
        <v>77</v>
      </c>
    </row>
    <row r="2330">
      <c r="A2330" s="10">
        <v>1.349326983E9</v>
      </c>
      <c r="B2330" s="11">
        <v>0.052</v>
      </c>
      <c r="C2330" s="11">
        <v>65.0</v>
      </c>
      <c r="D2330" s="11">
        <v>0.133</v>
      </c>
      <c r="E2330" s="7" t="s">
        <v>258</v>
      </c>
      <c r="F2330" s="9" t="s">
        <v>62</v>
      </c>
      <c r="G2330" s="5" t="s">
        <v>77</v>
      </c>
    </row>
    <row r="2331">
      <c r="A2331" s="10">
        <v>1.224220675E9</v>
      </c>
      <c r="B2331" s="11">
        <v>0.052</v>
      </c>
      <c r="C2331" s="11">
        <v>58.0</v>
      </c>
      <c r="D2331" s="11">
        <v>0.153</v>
      </c>
      <c r="E2331" s="7" t="s">
        <v>258</v>
      </c>
      <c r="F2331" s="9" t="s">
        <v>63</v>
      </c>
      <c r="G2331" s="5" t="s">
        <v>77</v>
      </c>
    </row>
    <row r="2332">
      <c r="A2332" s="10">
        <v>1.854020496E9</v>
      </c>
      <c r="B2332" s="11">
        <v>0.058</v>
      </c>
      <c r="C2332" s="11">
        <v>98.0</v>
      </c>
      <c r="D2332" s="11">
        <v>0.146</v>
      </c>
      <c r="E2332" s="7" t="s">
        <v>258</v>
      </c>
      <c r="F2332" s="9" t="s">
        <v>64</v>
      </c>
      <c r="G2332" s="5" t="s">
        <v>77</v>
      </c>
    </row>
    <row r="2333">
      <c r="A2333" s="10">
        <v>2.420610579E9</v>
      </c>
      <c r="B2333" s="11">
        <v>0.059</v>
      </c>
      <c r="C2333" s="11">
        <v>130.0</v>
      </c>
      <c r="D2333" s="11">
        <v>0.113</v>
      </c>
      <c r="E2333" s="7" t="s">
        <v>258</v>
      </c>
      <c r="F2333" s="9" t="s">
        <v>65</v>
      </c>
      <c r="G2333" s="5" t="s">
        <v>77</v>
      </c>
    </row>
    <row r="2334">
      <c r="A2334" s="10">
        <v>2.584077931E9</v>
      </c>
      <c r="B2334" s="11">
        <v>0.068</v>
      </c>
      <c r="C2334" s="11">
        <v>159.0</v>
      </c>
      <c r="D2334" s="11">
        <v>0.106</v>
      </c>
      <c r="E2334" s="7" t="s">
        <v>258</v>
      </c>
      <c r="F2334" s="9" t="s">
        <v>66</v>
      </c>
      <c r="G2334" s="5" t="s">
        <v>77</v>
      </c>
    </row>
    <row r="2335">
      <c r="A2335" s="10">
        <v>2.947922183E9</v>
      </c>
      <c r="B2335" s="11">
        <v>0.068</v>
      </c>
      <c r="C2335" s="11">
        <v>180.0</v>
      </c>
      <c r="D2335" s="11">
        <v>0.112</v>
      </c>
      <c r="E2335" s="7" t="s">
        <v>258</v>
      </c>
      <c r="F2335" s="9" t="s">
        <v>67</v>
      </c>
      <c r="G2335" s="5" t="s">
        <v>77</v>
      </c>
    </row>
    <row r="2336">
      <c r="A2336" s="10">
        <v>3.053823329E9</v>
      </c>
      <c r="B2336" s="11">
        <v>0.07</v>
      </c>
      <c r="C2336" s="11">
        <v>190.0</v>
      </c>
      <c r="D2336" s="11">
        <v>0.132</v>
      </c>
      <c r="E2336" s="7" t="s">
        <v>258</v>
      </c>
      <c r="F2336" s="9" t="s">
        <v>68</v>
      </c>
      <c r="G2336" s="5" t="s">
        <v>77</v>
      </c>
    </row>
    <row r="2337">
      <c r="A2337" s="10">
        <v>3.01977068E9</v>
      </c>
      <c r="B2337" s="11">
        <v>0.082</v>
      </c>
      <c r="C2337" s="11">
        <v>214.0</v>
      </c>
      <c r="D2337" s="11">
        <v>0.148</v>
      </c>
      <c r="E2337" s="7" t="s">
        <v>258</v>
      </c>
      <c r="F2337" s="9" t="s">
        <v>69</v>
      </c>
      <c r="G2337" s="5" t="s">
        <v>77</v>
      </c>
    </row>
    <row r="2338">
      <c r="A2338" s="10">
        <v>3.144680749E9</v>
      </c>
      <c r="B2338" s="11">
        <v>0.084</v>
      </c>
      <c r="C2338" s="11">
        <v>227.0</v>
      </c>
      <c r="D2338" s="11">
        <v>0.114</v>
      </c>
      <c r="E2338" s="7" t="s">
        <v>258</v>
      </c>
      <c r="F2338" s="9" t="s">
        <v>70</v>
      </c>
      <c r="G2338" s="5" t="s">
        <v>77</v>
      </c>
    </row>
    <row r="2339">
      <c r="A2339" s="10">
        <v>3.891563478E9</v>
      </c>
      <c r="B2339" s="11">
        <v>0.084</v>
      </c>
      <c r="C2339" s="11">
        <v>261.0</v>
      </c>
      <c r="D2339" s="11">
        <v>0.098</v>
      </c>
      <c r="E2339" s="7" t="s">
        <v>258</v>
      </c>
      <c r="F2339" s="9" t="s">
        <v>71</v>
      </c>
      <c r="G2339" s="5" t="s">
        <v>77</v>
      </c>
    </row>
    <row r="2340">
      <c r="A2340" s="10">
        <v>4.145772237E9</v>
      </c>
      <c r="B2340" s="11">
        <v>0.083</v>
      </c>
      <c r="C2340" s="11">
        <v>270.0</v>
      </c>
      <c r="D2340" s="11">
        <v>0.09</v>
      </c>
      <c r="E2340" s="7" t="s">
        <v>258</v>
      </c>
      <c r="F2340" s="9" t="s">
        <v>72</v>
      </c>
      <c r="G2340" s="5" t="s">
        <v>77</v>
      </c>
    </row>
    <row r="2341">
      <c r="A2341" s="10">
        <v>4.049589166E9</v>
      </c>
      <c r="B2341" s="11">
        <v>0.085</v>
      </c>
      <c r="C2341" s="11">
        <v>259.0</v>
      </c>
      <c r="D2341" s="11">
        <v>0.088</v>
      </c>
      <c r="E2341" s="7" t="s">
        <v>258</v>
      </c>
      <c r="F2341" s="9" t="s">
        <v>73</v>
      </c>
      <c r="G2341" s="5" t="s">
        <v>77</v>
      </c>
    </row>
    <row r="2342">
      <c r="A2342" s="10">
        <v>2.47E11</v>
      </c>
      <c r="B2342" s="11">
        <v>0.082</v>
      </c>
      <c r="C2342" s="11">
        <v>2282.0</v>
      </c>
      <c r="D2342" s="11">
        <v>0.058</v>
      </c>
      <c r="E2342" s="7" t="s">
        <v>259</v>
      </c>
      <c r="F2342" s="9" t="s">
        <v>60</v>
      </c>
      <c r="G2342" s="5" t="s">
        <v>75</v>
      </c>
    </row>
    <row r="2343">
      <c r="A2343" s="10">
        <v>2.27E11</v>
      </c>
      <c r="B2343" s="11">
        <v>0.089</v>
      </c>
      <c r="C2343" s="11">
        <v>2268.0</v>
      </c>
      <c r="D2343" s="11">
        <v>0.056</v>
      </c>
      <c r="E2343" s="7" t="s">
        <v>259</v>
      </c>
      <c r="F2343" s="9" t="s">
        <v>62</v>
      </c>
      <c r="G2343" s="5" t="s">
        <v>75</v>
      </c>
    </row>
    <row r="2344">
      <c r="A2344" s="10">
        <v>2.51E11</v>
      </c>
      <c r="B2344" s="11">
        <v>0.092</v>
      </c>
      <c r="C2344" s="11">
        <v>2599.0</v>
      </c>
      <c r="D2344" s="11">
        <v>0.056</v>
      </c>
      <c r="E2344" s="7" t="s">
        <v>259</v>
      </c>
      <c r="F2344" s="9" t="s">
        <v>63</v>
      </c>
      <c r="G2344" s="5" t="s">
        <v>75</v>
      </c>
    </row>
    <row r="2345">
      <c r="A2345" s="10">
        <v>3.15E11</v>
      </c>
      <c r="B2345" s="11">
        <v>0.093</v>
      </c>
      <c r="C2345" s="11">
        <v>3277.0</v>
      </c>
      <c r="D2345" s="11">
        <v>0.048</v>
      </c>
      <c r="E2345" s="7" t="s">
        <v>259</v>
      </c>
      <c r="F2345" s="9" t="s">
        <v>64</v>
      </c>
      <c r="G2345" s="5" t="s">
        <v>75</v>
      </c>
    </row>
    <row r="2346">
      <c r="A2346" s="10">
        <v>3.62E11</v>
      </c>
      <c r="B2346" s="11">
        <v>0.091</v>
      </c>
      <c r="C2346" s="11">
        <v>3666.0</v>
      </c>
      <c r="D2346" s="11">
        <v>0.04</v>
      </c>
      <c r="E2346" s="7" t="s">
        <v>259</v>
      </c>
      <c r="F2346" s="9" t="s">
        <v>65</v>
      </c>
      <c r="G2346" s="5" t="s">
        <v>75</v>
      </c>
    </row>
    <row r="2347">
      <c r="A2347" s="10">
        <v>3.71E11</v>
      </c>
      <c r="B2347" s="11">
        <v>0.091</v>
      </c>
      <c r="C2347" s="11">
        <v>3726.0</v>
      </c>
      <c r="D2347" s="11">
        <v>0.033</v>
      </c>
      <c r="E2347" s="7" t="s">
        <v>259</v>
      </c>
      <c r="F2347" s="9" t="s">
        <v>66</v>
      </c>
      <c r="G2347" s="5" t="s">
        <v>75</v>
      </c>
    </row>
    <row r="2348">
      <c r="A2348" s="10">
        <v>3.99E11</v>
      </c>
      <c r="B2348" s="11">
        <v>0.089</v>
      </c>
      <c r="C2348" s="11">
        <v>3947.0</v>
      </c>
      <c r="D2348" s="8"/>
      <c r="E2348" s="7" t="s">
        <v>259</v>
      </c>
      <c r="F2348" s="9" t="s">
        <v>67</v>
      </c>
      <c r="G2348" s="5" t="s">
        <v>75</v>
      </c>
    </row>
    <row r="2349">
      <c r="A2349" s="10">
        <v>4.63E11</v>
      </c>
      <c r="B2349" s="11">
        <v>0.089</v>
      </c>
      <c r="C2349" s="11">
        <v>4526.0</v>
      </c>
      <c r="D2349" s="8"/>
      <c r="E2349" s="7" t="s">
        <v>259</v>
      </c>
      <c r="F2349" s="9" t="s">
        <v>68</v>
      </c>
      <c r="G2349" s="5" t="s">
        <v>75</v>
      </c>
    </row>
    <row r="2350">
      <c r="A2350" s="10">
        <v>4.86E11</v>
      </c>
      <c r="B2350" s="11">
        <v>0.092</v>
      </c>
      <c r="C2350" s="11">
        <v>4886.0</v>
      </c>
      <c r="D2350" s="8"/>
      <c r="E2350" s="7" t="s">
        <v>259</v>
      </c>
      <c r="F2350" s="9" t="s">
        <v>69</v>
      </c>
      <c r="G2350" s="5" t="s">
        <v>75</v>
      </c>
    </row>
    <row r="2351">
      <c r="A2351" s="10">
        <v>4.06E11</v>
      </c>
      <c r="B2351" s="11">
        <v>0.099</v>
      </c>
      <c r="C2351" s="11">
        <v>4357.0</v>
      </c>
      <c r="D2351" s="8"/>
      <c r="E2351" s="7" t="s">
        <v>259</v>
      </c>
      <c r="F2351" s="9" t="s">
        <v>70</v>
      </c>
      <c r="G2351" s="5" t="s">
        <v>75</v>
      </c>
    </row>
    <row r="2352">
      <c r="A2352" s="10">
        <v>4.63E11</v>
      </c>
      <c r="B2352" s="11">
        <v>0.095</v>
      </c>
      <c r="C2352" s="11">
        <v>4694.0</v>
      </c>
      <c r="D2352" s="8"/>
      <c r="E2352" s="7" t="s">
        <v>259</v>
      </c>
      <c r="F2352" s="9" t="s">
        <v>71</v>
      </c>
      <c r="G2352" s="5" t="s">
        <v>75</v>
      </c>
    </row>
    <row r="2353">
      <c r="A2353" s="10">
        <v>5.36E11</v>
      </c>
      <c r="B2353" s="11">
        <v>0.095</v>
      </c>
      <c r="C2353" s="11">
        <v>5419.0</v>
      </c>
      <c r="D2353" s="8"/>
      <c r="E2353" s="7" t="s">
        <v>259</v>
      </c>
      <c r="F2353" s="9" t="s">
        <v>72</v>
      </c>
      <c r="G2353" s="5" t="s">
        <v>75</v>
      </c>
    </row>
    <row r="2354">
      <c r="A2354" s="10">
        <v>5.24E11</v>
      </c>
      <c r="B2354" s="11">
        <v>0.096</v>
      </c>
      <c r="C2354" s="11">
        <v>5319.0</v>
      </c>
      <c r="D2354" s="8"/>
      <c r="E2354" s="7" t="s">
        <v>259</v>
      </c>
      <c r="F2354" s="9" t="s">
        <v>73</v>
      </c>
      <c r="G2354" s="5" t="s">
        <v>75</v>
      </c>
    </row>
    <row r="2355">
      <c r="A2355" s="10">
        <v>2.56E11</v>
      </c>
      <c r="B2355" s="11">
        <v>0.099</v>
      </c>
      <c r="C2355" s="11">
        <v>3541.0</v>
      </c>
      <c r="D2355" s="11">
        <v>0.043</v>
      </c>
      <c r="E2355" s="7" t="s">
        <v>260</v>
      </c>
      <c r="F2355" s="9" t="s">
        <v>60</v>
      </c>
      <c r="G2355" s="5" t="s">
        <v>75</v>
      </c>
    </row>
    <row r="2356">
      <c r="A2356" s="10">
        <v>2.63E11</v>
      </c>
      <c r="B2356" s="11">
        <v>0.103</v>
      </c>
      <c r="C2356" s="11">
        <v>3748.0</v>
      </c>
      <c r="D2356" s="11">
        <v>0.043</v>
      </c>
      <c r="E2356" s="7" t="s">
        <v>260</v>
      </c>
      <c r="F2356" s="9" t="s">
        <v>62</v>
      </c>
      <c r="G2356" s="5" t="s">
        <v>75</v>
      </c>
    </row>
    <row r="2357">
      <c r="A2357" s="10">
        <v>2.87E11</v>
      </c>
      <c r="B2357" s="11">
        <v>0.106</v>
      </c>
      <c r="C2357" s="11">
        <v>4190.0</v>
      </c>
      <c r="D2357" s="11">
        <v>0.039</v>
      </c>
      <c r="E2357" s="7" t="s">
        <v>260</v>
      </c>
      <c r="F2357" s="9" t="s">
        <v>63</v>
      </c>
      <c r="G2357" s="5" t="s">
        <v>75</v>
      </c>
    </row>
    <row r="2358">
      <c r="A2358" s="10">
        <v>3.35E11</v>
      </c>
      <c r="B2358" s="11">
        <v>0.109</v>
      </c>
      <c r="C2358" s="11">
        <v>5002.0</v>
      </c>
      <c r="D2358" s="11">
        <v>0.033</v>
      </c>
      <c r="E2358" s="7" t="s">
        <v>260</v>
      </c>
      <c r="F2358" s="9" t="s">
        <v>64</v>
      </c>
      <c r="G2358" s="5" t="s">
        <v>75</v>
      </c>
    </row>
    <row r="2359">
      <c r="A2359" s="10">
        <v>3.74E11</v>
      </c>
      <c r="B2359" s="11">
        <v>0.11</v>
      </c>
      <c r="C2359" s="11">
        <v>5570.0</v>
      </c>
      <c r="D2359" s="11">
        <v>0.032</v>
      </c>
      <c r="E2359" s="7" t="s">
        <v>260</v>
      </c>
      <c r="F2359" s="9" t="s">
        <v>65</v>
      </c>
      <c r="G2359" s="5" t="s">
        <v>75</v>
      </c>
    </row>
    <row r="2360">
      <c r="A2360" s="10">
        <v>3.85E11</v>
      </c>
      <c r="B2360" s="11">
        <v>0.109</v>
      </c>
      <c r="C2360" s="11">
        <v>5637.0</v>
      </c>
      <c r="D2360" s="11">
        <v>0.031</v>
      </c>
      <c r="E2360" s="7" t="s">
        <v>260</v>
      </c>
      <c r="F2360" s="9" t="s">
        <v>66</v>
      </c>
      <c r="G2360" s="5" t="s">
        <v>75</v>
      </c>
    </row>
    <row r="2361">
      <c r="A2361" s="10">
        <v>4.05E11</v>
      </c>
      <c r="B2361" s="11">
        <v>0.104</v>
      </c>
      <c r="C2361" s="11">
        <v>5643.0</v>
      </c>
      <c r="D2361" s="11">
        <v>0.03</v>
      </c>
      <c r="E2361" s="7" t="s">
        <v>260</v>
      </c>
      <c r="F2361" s="9" t="s">
        <v>67</v>
      </c>
      <c r="G2361" s="5" t="s">
        <v>75</v>
      </c>
    </row>
    <row r="2362">
      <c r="A2362" s="10">
        <v>4.51E11</v>
      </c>
      <c r="B2362" s="11">
        <v>0.102</v>
      </c>
      <c r="C2362" s="11">
        <v>6126.0</v>
      </c>
      <c r="D2362" s="11">
        <v>0.032</v>
      </c>
      <c r="E2362" s="7" t="s">
        <v>260</v>
      </c>
      <c r="F2362" s="9" t="s">
        <v>68</v>
      </c>
      <c r="G2362" s="5" t="s">
        <v>75</v>
      </c>
    </row>
    <row r="2363">
      <c r="A2363" s="10">
        <v>5.24E11</v>
      </c>
      <c r="B2363" s="11">
        <v>0.103</v>
      </c>
      <c r="C2363" s="11">
        <v>7104.0</v>
      </c>
      <c r="D2363" s="11">
        <v>0.033</v>
      </c>
      <c r="E2363" s="7" t="s">
        <v>260</v>
      </c>
      <c r="F2363" s="9" t="s">
        <v>69</v>
      </c>
      <c r="G2363" s="5" t="s">
        <v>75</v>
      </c>
    </row>
    <row r="2364">
      <c r="A2364" s="10">
        <v>5.09E11</v>
      </c>
      <c r="B2364" s="11">
        <v>0.11</v>
      </c>
      <c r="C2364" s="11">
        <v>7277.0</v>
      </c>
      <c r="D2364" s="11">
        <v>0.028</v>
      </c>
      <c r="E2364" s="7" t="s">
        <v>260</v>
      </c>
      <c r="F2364" s="9" t="s">
        <v>70</v>
      </c>
      <c r="G2364" s="5" t="s">
        <v>75</v>
      </c>
    </row>
    <row r="2365">
      <c r="A2365" s="10">
        <v>5.49E11</v>
      </c>
      <c r="B2365" s="11">
        <v>0.109</v>
      </c>
      <c r="C2365" s="11">
        <v>7697.0</v>
      </c>
      <c r="D2365" s="11">
        <v>0.027</v>
      </c>
      <c r="E2365" s="7" t="s">
        <v>260</v>
      </c>
      <c r="F2365" s="9" t="s">
        <v>71</v>
      </c>
      <c r="G2365" s="5" t="s">
        <v>75</v>
      </c>
    </row>
    <row r="2366">
      <c r="A2366" s="10">
        <v>6.59E11</v>
      </c>
      <c r="B2366" s="11">
        <v>0.11</v>
      </c>
      <c r="C2366" s="11">
        <v>9248.0</v>
      </c>
      <c r="D2366" s="11">
        <v>0.027</v>
      </c>
      <c r="E2366" s="7" t="s">
        <v>260</v>
      </c>
      <c r="F2366" s="9" t="s">
        <v>72</v>
      </c>
      <c r="G2366" s="5" t="s">
        <v>75</v>
      </c>
    </row>
    <row r="2367">
      <c r="A2367" s="10">
        <v>6.31E11</v>
      </c>
      <c r="B2367" s="11">
        <v>0.113</v>
      </c>
      <c r="C2367" s="11">
        <v>8980.0</v>
      </c>
      <c r="D2367" s="11">
        <v>0.027</v>
      </c>
      <c r="E2367" s="7" t="s">
        <v>260</v>
      </c>
      <c r="F2367" s="9" t="s">
        <v>73</v>
      </c>
      <c r="G2367" s="5" t="s">
        <v>75</v>
      </c>
    </row>
    <row r="2368">
      <c r="A2368" s="10">
        <v>1.9325894913E10</v>
      </c>
      <c r="B2368" s="11">
        <v>0.049</v>
      </c>
      <c r="C2368" s="11">
        <v>59.0</v>
      </c>
      <c r="D2368" s="11">
        <v>0.09</v>
      </c>
      <c r="E2368" s="7" t="s">
        <v>261</v>
      </c>
      <c r="F2368" s="9" t="s">
        <v>60</v>
      </c>
      <c r="G2368" s="5" t="s">
        <v>93</v>
      </c>
    </row>
    <row r="2369">
      <c r="A2369" s="10">
        <v>2.1099833784E10</v>
      </c>
      <c r="B2369" s="11">
        <v>0.049</v>
      </c>
      <c r="C2369" s="11">
        <v>58.0</v>
      </c>
      <c r="D2369" s="11">
        <v>0.09</v>
      </c>
      <c r="E2369" s="7" t="s">
        <v>261</v>
      </c>
      <c r="F2369" s="9" t="s">
        <v>62</v>
      </c>
      <c r="G2369" s="5" t="s">
        <v>93</v>
      </c>
    </row>
    <row r="2370">
      <c r="A2370" s="10">
        <v>2.1582248882E10</v>
      </c>
      <c r="B2370" s="11">
        <v>0.049</v>
      </c>
      <c r="C2370" s="11">
        <v>57.0</v>
      </c>
      <c r="D2370" s="11">
        <v>0.09</v>
      </c>
      <c r="E2370" s="7" t="s">
        <v>261</v>
      </c>
      <c r="F2370" s="9" t="s">
        <v>63</v>
      </c>
      <c r="G2370" s="5" t="s">
        <v>93</v>
      </c>
    </row>
    <row r="2371">
      <c r="A2371" s="10">
        <v>2.1828144686E10</v>
      </c>
      <c r="B2371" s="11">
        <v>0.051</v>
      </c>
      <c r="C2371" s="11">
        <v>60.0</v>
      </c>
      <c r="D2371" s="11">
        <v>0.075</v>
      </c>
      <c r="E2371" s="7" t="s">
        <v>261</v>
      </c>
      <c r="F2371" s="9" t="s">
        <v>64</v>
      </c>
      <c r="G2371" s="5" t="s">
        <v>93</v>
      </c>
    </row>
    <row r="2372">
      <c r="A2372" s="10">
        <v>2.5086930693E10</v>
      </c>
      <c r="B2372" s="11">
        <v>0.045</v>
      </c>
      <c r="C2372" s="11">
        <v>61.0</v>
      </c>
      <c r="D2372" s="11">
        <v>0.075</v>
      </c>
      <c r="E2372" s="7" t="s">
        <v>261</v>
      </c>
      <c r="F2372" s="9" t="s">
        <v>65</v>
      </c>
      <c r="G2372" s="5" t="s">
        <v>93</v>
      </c>
    </row>
    <row r="2373">
      <c r="A2373" s="10">
        <v>2.8858965517E10</v>
      </c>
      <c r="B2373" s="11">
        <v>0.041</v>
      </c>
      <c r="C2373" s="11">
        <v>63.0</v>
      </c>
      <c r="D2373" s="11">
        <v>0.08</v>
      </c>
      <c r="E2373" s="7" t="s">
        <v>261</v>
      </c>
      <c r="F2373" s="9" t="s">
        <v>66</v>
      </c>
      <c r="G2373" s="5" t="s">
        <v>93</v>
      </c>
    </row>
    <row r="2374">
      <c r="A2374" s="10">
        <v>3.3332844575E10</v>
      </c>
      <c r="B2374" s="11">
        <v>0.038</v>
      </c>
      <c r="C2374" s="11">
        <v>66.0</v>
      </c>
      <c r="D2374" s="11">
        <v>0.08</v>
      </c>
      <c r="E2374" s="7" t="s">
        <v>261</v>
      </c>
      <c r="F2374" s="9" t="s">
        <v>67</v>
      </c>
      <c r="G2374" s="5" t="s">
        <v>93</v>
      </c>
    </row>
    <row r="2375">
      <c r="A2375" s="10">
        <v>4.0405006007E10</v>
      </c>
      <c r="B2375" s="11">
        <v>0.038</v>
      </c>
      <c r="C2375" s="11">
        <v>79.0</v>
      </c>
      <c r="D2375" s="11">
        <v>0.102</v>
      </c>
      <c r="E2375" s="7" t="s">
        <v>261</v>
      </c>
      <c r="F2375" s="9" t="s">
        <v>68</v>
      </c>
      <c r="G2375" s="5" t="s">
        <v>93</v>
      </c>
    </row>
    <row r="2376">
      <c r="A2376" s="7"/>
      <c r="B2376" s="11">
        <v>0.034</v>
      </c>
      <c r="C2376" s="11">
        <v>90.0</v>
      </c>
      <c r="D2376" s="11">
        <v>0.102</v>
      </c>
      <c r="E2376" s="7" t="s">
        <v>261</v>
      </c>
      <c r="F2376" s="9" t="s">
        <v>69</v>
      </c>
      <c r="G2376" s="5" t="s">
        <v>93</v>
      </c>
    </row>
    <row r="2377">
      <c r="A2377" s="7"/>
      <c r="B2377" s="11">
        <v>0.035</v>
      </c>
      <c r="C2377" s="11">
        <v>95.0</v>
      </c>
      <c r="D2377" s="11">
        <v>0.1</v>
      </c>
      <c r="E2377" s="7" t="s">
        <v>261</v>
      </c>
      <c r="F2377" s="9" t="s">
        <v>70</v>
      </c>
      <c r="G2377" s="5" t="s">
        <v>93</v>
      </c>
    </row>
    <row r="2378">
      <c r="A2378" s="7"/>
      <c r="B2378" s="11">
        <v>0.034</v>
      </c>
      <c r="C2378" s="11">
        <v>97.0</v>
      </c>
      <c r="D2378" s="11">
        <v>0.099</v>
      </c>
      <c r="E2378" s="7" t="s">
        <v>261</v>
      </c>
      <c r="F2378" s="9" t="s">
        <v>71</v>
      </c>
      <c r="G2378" s="5" t="s">
        <v>93</v>
      </c>
    </row>
    <row r="2379">
      <c r="A2379" s="7"/>
      <c r="B2379" s="11">
        <v>0.034</v>
      </c>
      <c r="C2379" s="11">
        <v>102.0</v>
      </c>
      <c r="D2379" s="8"/>
      <c r="E2379" s="7" t="s">
        <v>261</v>
      </c>
      <c r="F2379" s="9" t="s">
        <v>72</v>
      </c>
      <c r="G2379" s="5" t="s">
        <v>93</v>
      </c>
    </row>
    <row r="2380">
      <c r="A2380" s="7"/>
      <c r="B2380" s="11">
        <v>0.034</v>
      </c>
      <c r="C2380" s="11">
        <v>105.0</v>
      </c>
      <c r="D2380" s="8"/>
      <c r="E2380" s="7" t="s">
        <v>261</v>
      </c>
      <c r="F2380" s="9" t="s">
        <v>73</v>
      </c>
      <c r="G2380" s="5" t="s">
        <v>93</v>
      </c>
    </row>
    <row r="2381">
      <c r="A2381" s="10">
        <v>8.60550294E8</v>
      </c>
      <c r="B2381" s="11">
        <v>0.046</v>
      </c>
      <c r="C2381" s="11">
        <v>6.0</v>
      </c>
      <c r="D2381" s="11">
        <v>0.256</v>
      </c>
      <c r="E2381" s="7" t="s">
        <v>262</v>
      </c>
      <c r="F2381" s="9" t="s">
        <v>60</v>
      </c>
      <c r="G2381" s="5" t="s">
        <v>61</v>
      </c>
    </row>
    <row r="2382">
      <c r="A2382" s="10">
        <v>1.080774006E9</v>
      </c>
      <c r="B2382" s="11">
        <v>0.046</v>
      </c>
      <c r="C2382" s="11">
        <v>8.0</v>
      </c>
      <c r="D2382" s="11">
        <v>0.211</v>
      </c>
      <c r="E2382" s="7" t="s">
        <v>262</v>
      </c>
      <c r="F2382" s="9" t="s">
        <v>62</v>
      </c>
      <c r="G2382" s="5" t="s">
        <v>61</v>
      </c>
    </row>
    <row r="2383">
      <c r="A2383" s="10">
        <v>1.221113795E9</v>
      </c>
      <c r="B2383" s="11">
        <v>0.045</v>
      </c>
      <c r="C2383" s="11">
        <v>9.0</v>
      </c>
      <c r="D2383" s="11">
        <v>0.147</v>
      </c>
      <c r="E2383" s="7" t="s">
        <v>262</v>
      </c>
      <c r="F2383" s="9" t="s">
        <v>63</v>
      </c>
      <c r="G2383" s="5" t="s">
        <v>61</v>
      </c>
    </row>
    <row r="2384">
      <c r="A2384" s="10">
        <v>1.554125543E9</v>
      </c>
      <c r="B2384" s="11">
        <v>0.045</v>
      </c>
      <c r="C2384" s="11">
        <v>11.0</v>
      </c>
      <c r="D2384" s="11">
        <v>0.167</v>
      </c>
      <c r="E2384" s="7" t="s">
        <v>262</v>
      </c>
      <c r="F2384" s="9" t="s">
        <v>64</v>
      </c>
      <c r="G2384" s="5" t="s">
        <v>61</v>
      </c>
    </row>
    <row r="2385">
      <c r="A2385" s="10">
        <v>2.07614871E9</v>
      </c>
      <c r="B2385" s="11">
        <v>0.043</v>
      </c>
      <c r="C2385" s="11">
        <v>13.0</v>
      </c>
      <c r="D2385" s="11">
        <v>0.203</v>
      </c>
      <c r="E2385" s="7" t="s">
        <v>262</v>
      </c>
      <c r="F2385" s="9" t="s">
        <v>65</v>
      </c>
      <c r="G2385" s="5" t="s">
        <v>61</v>
      </c>
    </row>
    <row r="2386">
      <c r="A2386" s="10">
        <v>2.312319579E9</v>
      </c>
      <c r="B2386" s="11">
        <v>0.048</v>
      </c>
      <c r="C2386" s="11">
        <v>16.0</v>
      </c>
      <c r="D2386" s="11">
        <v>0.233</v>
      </c>
      <c r="E2386" s="7" t="s">
        <v>262</v>
      </c>
      <c r="F2386" s="9" t="s">
        <v>66</v>
      </c>
      <c r="G2386" s="5" t="s">
        <v>61</v>
      </c>
    </row>
    <row r="2387">
      <c r="A2387" s="10">
        <v>2.830236054E9</v>
      </c>
      <c r="B2387" s="11">
        <v>0.048</v>
      </c>
      <c r="C2387" s="11">
        <v>19.0</v>
      </c>
      <c r="D2387" s="11">
        <v>0.144</v>
      </c>
      <c r="E2387" s="7" t="s">
        <v>262</v>
      </c>
      <c r="F2387" s="9" t="s">
        <v>67</v>
      </c>
      <c r="G2387" s="5" t="s">
        <v>61</v>
      </c>
    </row>
    <row r="2388">
      <c r="A2388" s="10">
        <v>3.719497371E9</v>
      </c>
      <c r="B2388" s="11">
        <v>0.053</v>
      </c>
      <c r="C2388" s="11">
        <v>28.0</v>
      </c>
      <c r="D2388" s="11">
        <v>0.227</v>
      </c>
      <c r="E2388" s="7" t="s">
        <v>262</v>
      </c>
      <c r="F2388" s="9" t="s">
        <v>68</v>
      </c>
      <c r="G2388" s="5" t="s">
        <v>61</v>
      </c>
    </row>
    <row r="2389">
      <c r="A2389" s="10">
        <v>5.16133617E9</v>
      </c>
      <c r="B2389" s="11">
        <v>0.056</v>
      </c>
      <c r="C2389" s="11">
        <v>40.0</v>
      </c>
      <c r="D2389" s="11">
        <v>0.237</v>
      </c>
      <c r="E2389" s="7" t="s">
        <v>262</v>
      </c>
      <c r="F2389" s="9" t="s">
        <v>69</v>
      </c>
      <c r="G2389" s="5" t="s">
        <v>61</v>
      </c>
    </row>
    <row r="2390">
      <c r="A2390" s="10">
        <v>4.97948198E9</v>
      </c>
      <c r="B2390" s="11">
        <v>0.059</v>
      </c>
      <c r="C2390" s="11">
        <v>40.0</v>
      </c>
      <c r="D2390" s="11">
        <v>0.226</v>
      </c>
      <c r="E2390" s="7" t="s">
        <v>262</v>
      </c>
      <c r="F2390" s="9" t="s">
        <v>70</v>
      </c>
      <c r="G2390" s="5" t="s">
        <v>61</v>
      </c>
    </row>
    <row r="2391">
      <c r="A2391" s="10">
        <v>5.64217858E9</v>
      </c>
      <c r="B2391" s="11">
        <v>0.06</v>
      </c>
      <c r="C2391" s="11">
        <v>44.0</v>
      </c>
      <c r="D2391" s="11">
        <v>0.242</v>
      </c>
      <c r="E2391" s="7" t="s">
        <v>262</v>
      </c>
      <c r="F2391" s="9" t="s">
        <v>71</v>
      </c>
      <c r="G2391" s="5" t="s">
        <v>61</v>
      </c>
    </row>
    <row r="2392">
      <c r="A2392" s="10">
        <v>6.522732203E9</v>
      </c>
      <c r="B2392" s="11">
        <v>0.058</v>
      </c>
      <c r="C2392" s="11">
        <v>48.0</v>
      </c>
      <c r="D2392" s="11">
        <v>0.248</v>
      </c>
      <c r="E2392" s="7" t="s">
        <v>262</v>
      </c>
      <c r="F2392" s="9" t="s">
        <v>72</v>
      </c>
      <c r="G2392" s="5" t="s">
        <v>61</v>
      </c>
    </row>
    <row r="2393">
      <c r="A2393" s="10">
        <v>7.633049792E9</v>
      </c>
      <c r="B2393" s="11">
        <v>0.058</v>
      </c>
      <c r="C2393" s="11">
        <v>55.0</v>
      </c>
      <c r="D2393" s="11">
        <v>0.252</v>
      </c>
      <c r="E2393" s="7" t="s">
        <v>262</v>
      </c>
      <c r="F2393" s="9" t="s">
        <v>73</v>
      </c>
      <c r="G2393" s="5" t="s">
        <v>61</v>
      </c>
    </row>
    <row r="2394">
      <c r="A2394" s="10">
        <v>1.0185786171E10</v>
      </c>
      <c r="B2394" s="11">
        <v>0.034</v>
      </c>
      <c r="C2394" s="11">
        <v>10.0</v>
      </c>
      <c r="D2394" s="11">
        <v>0.216</v>
      </c>
      <c r="E2394" s="7" t="s">
        <v>263</v>
      </c>
      <c r="F2394" s="9" t="s">
        <v>60</v>
      </c>
      <c r="G2394" s="5" t="s">
        <v>77</v>
      </c>
    </row>
    <row r="2395">
      <c r="A2395" s="10">
        <v>1.0383560998E10</v>
      </c>
      <c r="B2395" s="11">
        <v>0.035</v>
      </c>
      <c r="C2395" s="11">
        <v>11.0</v>
      </c>
      <c r="D2395" s="11">
        <v>0.201</v>
      </c>
      <c r="E2395" s="7" t="s">
        <v>263</v>
      </c>
      <c r="F2395" s="9" t="s">
        <v>62</v>
      </c>
      <c r="G2395" s="5" t="s">
        <v>77</v>
      </c>
    </row>
    <row r="2396">
      <c r="A2396" s="10">
        <v>1.0805600069E10</v>
      </c>
      <c r="B2396" s="11">
        <v>0.034</v>
      </c>
      <c r="C2396" s="11">
        <v>10.0</v>
      </c>
      <c r="D2396" s="11">
        <v>0.164</v>
      </c>
      <c r="E2396" s="7" t="s">
        <v>263</v>
      </c>
      <c r="F2396" s="9" t="s">
        <v>63</v>
      </c>
      <c r="G2396" s="5" t="s">
        <v>77</v>
      </c>
    </row>
    <row r="2397">
      <c r="A2397" s="10">
        <v>1.1659129815E10</v>
      </c>
      <c r="B2397" s="11">
        <v>0.037</v>
      </c>
      <c r="C2397" s="11">
        <v>12.0</v>
      </c>
      <c r="D2397" s="11">
        <v>0.145</v>
      </c>
      <c r="E2397" s="7" t="s">
        <v>263</v>
      </c>
      <c r="F2397" s="9" t="s">
        <v>64</v>
      </c>
      <c r="G2397" s="5" t="s">
        <v>77</v>
      </c>
    </row>
    <row r="2398">
      <c r="A2398" s="10">
        <v>1.2825801917E10</v>
      </c>
      <c r="B2398" s="11">
        <v>0.034</v>
      </c>
      <c r="C2398" s="11">
        <v>12.0</v>
      </c>
      <c r="D2398" s="11">
        <v>0.141</v>
      </c>
      <c r="E2398" s="7" t="s">
        <v>263</v>
      </c>
      <c r="F2398" s="9" t="s">
        <v>65</v>
      </c>
      <c r="G2398" s="5" t="s">
        <v>77</v>
      </c>
    </row>
    <row r="2399">
      <c r="A2399" s="10">
        <v>1.4141916592E10</v>
      </c>
      <c r="B2399" s="11">
        <v>0.04</v>
      </c>
      <c r="C2399" s="11">
        <v>15.0</v>
      </c>
      <c r="D2399" s="11">
        <v>0.152</v>
      </c>
      <c r="E2399" s="7" t="s">
        <v>263</v>
      </c>
      <c r="F2399" s="9" t="s">
        <v>66</v>
      </c>
      <c r="G2399" s="5" t="s">
        <v>77</v>
      </c>
    </row>
    <row r="2400">
      <c r="A2400" s="10">
        <v>1.4331231239E10</v>
      </c>
      <c r="B2400" s="11">
        <v>0.065</v>
      </c>
      <c r="C2400" s="11">
        <v>23.0</v>
      </c>
      <c r="D2400" s="11">
        <v>0.157</v>
      </c>
      <c r="E2400" s="7" t="s">
        <v>263</v>
      </c>
      <c r="F2400" s="9" t="s">
        <v>67</v>
      </c>
      <c r="G2400" s="5" t="s">
        <v>77</v>
      </c>
    </row>
    <row r="2401">
      <c r="A2401" s="10">
        <v>1.6825547176E10</v>
      </c>
      <c r="B2401" s="11">
        <v>0.057</v>
      </c>
      <c r="C2401" s="11">
        <v>23.0</v>
      </c>
      <c r="D2401" s="11">
        <v>0.161</v>
      </c>
      <c r="E2401" s="7" t="s">
        <v>263</v>
      </c>
      <c r="F2401" s="9" t="s">
        <v>68</v>
      </c>
      <c r="G2401" s="5" t="s">
        <v>77</v>
      </c>
    </row>
    <row r="2402">
      <c r="A2402" s="10">
        <v>2.0715086119E10</v>
      </c>
      <c r="B2402" s="11">
        <v>0.054</v>
      </c>
      <c r="C2402" s="11">
        <v>26.0</v>
      </c>
      <c r="D2402" s="11">
        <v>0.15</v>
      </c>
      <c r="E2402" s="7" t="s">
        <v>263</v>
      </c>
      <c r="F2402" s="9" t="s">
        <v>69</v>
      </c>
      <c r="G2402" s="5" t="s">
        <v>77</v>
      </c>
    </row>
    <row r="2403">
      <c r="A2403" s="10">
        <v>2.13681654E10</v>
      </c>
      <c r="B2403" s="11">
        <v>0.056</v>
      </c>
      <c r="C2403" s="11">
        <v>28.0</v>
      </c>
      <c r="D2403" s="11">
        <v>0.15</v>
      </c>
      <c r="E2403" s="7" t="s">
        <v>263</v>
      </c>
      <c r="F2403" s="9" t="s">
        <v>70</v>
      </c>
      <c r="G2403" s="5" t="s">
        <v>77</v>
      </c>
    </row>
    <row r="2404">
      <c r="A2404" s="10">
        <v>2.2915004297E10</v>
      </c>
      <c r="B2404" s="11">
        <v>0.072</v>
      </c>
      <c r="C2404" s="11">
        <v>37.0</v>
      </c>
      <c r="D2404" s="11">
        <v>0.145</v>
      </c>
      <c r="E2404" s="7" t="s">
        <v>263</v>
      </c>
      <c r="F2404" s="9" t="s">
        <v>71</v>
      </c>
      <c r="G2404" s="5" t="s">
        <v>77</v>
      </c>
    </row>
    <row r="2405">
      <c r="A2405" s="10">
        <v>2.3874165047E10</v>
      </c>
      <c r="B2405" s="11">
        <v>0.074</v>
      </c>
      <c r="C2405" s="11">
        <v>38.0</v>
      </c>
      <c r="D2405" s="11">
        <v>0.15</v>
      </c>
      <c r="E2405" s="7" t="s">
        <v>263</v>
      </c>
      <c r="F2405" s="9" t="s">
        <v>72</v>
      </c>
      <c r="G2405" s="5" t="s">
        <v>77</v>
      </c>
    </row>
    <row r="2406">
      <c r="A2406" s="10">
        <v>2.8248631876E10</v>
      </c>
      <c r="B2406" s="11">
        <v>0.07</v>
      </c>
      <c r="C2406" s="11">
        <v>41.0</v>
      </c>
      <c r="D2406" s="11">
        <v>0.155</v>
      </c>
      <c r="E2406" s="7" t="s">
        <v>263</v>
      </c>
      <c r="F2406" s="9" t="s">
        <v>73</v>
      </c>
      <c r="G2406" s="5" t="s">
        <v>77</v>
      </c>
    </row>
    <row r="2407">
      <c r="A2407" s="10">
        <v>1.23E11</v>
      </c>
      <c r="B2407" s="11">
        <v>0.034</v>
      </c>
      <c r="C2407" s="11">
        <v>67.0</v>
      </c>
      <c r="D2407" s="11">
        <v>0.078</v>
      </c>
      <c r="E2407" s="7" t="s">
        <v>264</v>
      </c>
      <c r="F2407" s="9" t="s">
        <v>60</v>
      </c>
      <c r="G2407" s="5" t="s">
        <v>61</v>
      </c>
    </row>
    <row r="2408">
      <c r="A2408" s="10">
        <v>1.16E11</v>
      </c>
      <c r="B2408" s="11">
        <v>0.033</v>
      </c>
      <c r="C2408" s="11">
        <v>61.0</v>
      </c>
      <c r="D2408" s="11">
        <v>0.073</v>
      </c>
      <c r="E2408" s="7" t="s">
        <v>264</v>
      </c>
      <c r="F2408" s="9" t="s">
        <v>62</v>
      </c>
      <c r="G2408" s="5" t="s">
        <v>61</v>
      </c>
    </row>
    <row r="2409">
      <c r="A2409" s="10">
        <v>1.27E11</v>
      </c>
      <c r="B2409" s="11">
        <v>0.037</v>
      </c>
      <c r="C2409" s="11">
        <v>74.0</v>
      </c>
      <c r="D2409" s="11">
        <v>0.069</v>
      </c>
      <c r="E2409" s="7" t="s">
        <v>264</v>
      </c>
      <c r="F2409" s="9" t="s">
        <v>63</v>
      </c>
      <c r="G2409" s="5" t="s">
        <v>61</v>
      </c>
    </row>
    <row r="2410">
      <c r="A2410" s="10">
        <v>1.43E11</v>
      </c>
      <c r="B2410" s="11">
        <v>0.036</v>
      </c>
      <c r="C2410" s="11">
        <v>79.0</v>
      </c>
      <c r="D2410" s="11">
        <v>0.059</v>
      </c>
      <c r="E2410" s="7" t="s">
        <v>264</v>
      </c>
      <c r="F2410" s="9" t="s">
        <v>64</v>
      </c>
      <c r="G2410" s="5" t="s">
        <v>61</v>
      </c>
    </row>
    <row r="2411">
      <c r="A2411" s="10">
        <v>1.61E11</v>
      </c>
      <c r="B2411" s="11">
        <v>0.035</v>
      </c>
      <c r="C2411" s="11">
        <v>87.0</v>
      </c>
      <c r="D2411" s="11">
        <v>0.055</v>
      </c>
      <c r="E2411" s="7" t="s">
        <v>264</v>
      </c>
      <c r="F2411" s="9" t="s">
        <v>65</v>
      </c>
      <c r="G2411" s="5" t="s">
        <v>61</v>
      </c>
    </row>
    <row r="2412">
      <c r="A2412" s="10">
        <v>1.76E11</v>
      </c>
      <c r="B2412" s="11">
        <v>0.035</v>
      </c>
      <c r="C2412" s="11">
        <v>95.0</v>
      </c>
      <c r="D2412" s="11">
        <v>0.058</v>
      </c>
      <c r="E2412" s="7" t="s">
        <v>264</v>
      </c>
      <c r="F2412" s="9" t="s">
        <v>66</v>
      </c>
      <c r="G2412" s="5" t="s">
        <v>61</v>
      </c>
    </row>
    <row r="2413">
      <c r="A2413" s="10">
        <v>2.07E11</v>
      </c>
      <c r="B2413" s="11">
        <v>0.035</v>
      </c>
      <c r="C2413" s="11">
        <v>110.0</v>
      </c>
      <c r="D2413" s="11">
        <v>0.074</v>
      </c>
      <c r="E2413" s="7" t="s">
        <v>264</v>
      </c>
      <c r="F2413" s="9" t="s">
        <v>67</v>
      </c>
      <c r="G2413" s="5" t="s">
        <v>61</v>
      </c>
    </row>
    <row r="2414">
      <c r="A2414" s="10">
        <v>2.47E11</v>
      </c>
      <c r="B2414" s="11">
        <v>0.036</v>
      </c>
      <c r="C2414" s="11">
        <v>133.0</v>
      </c>
      <c r="D2414" s="11">
        <v>0.071</v>
      </c>
      <c r="E2414" s="7" t="s">
        <v>264</v>
      </c>
      <c r="F2414" s="9" t="s">
        <v>68</v>
      </c>
      <c r="G2414" s="5" t="s">
        <v>61</v>
      </c>
    </row>
    <row r="2415">
      <c r="A2415" s="10">
        <v>2.73E11</v>
      </c>
      <c r="B2415" s="11">
        <v>0.039</v>
      </c>
      <c r="C2415" s="11">
        <v>162.0</v>
      </c>
      <c r="D2415" s="11">
        <v>0.07</v>
      </c>
      <c r="E2415" s="7" t="s">
        <v>264</v>
      </c>
      <c r="F2415" s="9" t="s">
        <v>69</v>
      </c>
      <c r="G2415" s="5" t="s">
        <v>61</v>
      </c>
    </row>
    <row r="2416">
      <c r="A2416" s="10">
        <v>2.64E11</v>
      </c>
      <c r="B2416" s="11">
        <v>0.041</v>
      </c>
      <c r="C2416" s="11">
        <v>164.0</v>
      </c>
      <c r="D2416" s="11">
        <v>0.06</v>
      </c>
      <c r="E2416" s="7" t="s">
        <v>264</v>
      </c>
      <c r="F2416" s="9" t="s">
        <v>70</v>
      </c>
      <c r="G2416" s="5" t="s">
        <v>61</v>
      </c>
    </row>
    <row r="2417">
      <c r="A2417" s="10">
        <v>3.19E11</v>
      </c>
      <c r="B2417" s="11">
        <v>0.038</v>
      </c>
      <c r="C2417" s="11">
        <v>183.0</v>
      </c>
      <c r="D2417" s="11">
        <v>0.059</v>
      </c>
      <c r="E2417" s="7" t="s">
        <v>264</v>
      </c>
      <c r="F2417" s="9" t="s">
        <v>71</v>
      </c>
      <c r="G2417" s="5" t="s">
        <v>61</v>
      </c>
    </row>
    <row r="2418">
      <c r="A2418" s="10">
        <v>3.46E11</v>
      </c>
      <c r="B2418" s="11">
        <v>0.041</v>
      </c>
      <c r="C2418" s="11">
        <v>214.0</v>
      </c>
      <c r="D2418" s="11">
        <v>0.069</v>
      </c>
      <c r="E2418" s="7" t="s">
        <v>264</v>
      </c>
      <c r="F2418" s="9" t="s">
        <v>72</v>
      </c>
      <c r="G2418" s="5" t="s">
        <v>61</v>
      </c>
    </row>
    <row r="2419">
      <c r="A2419" s="10">
        <v>3.66E11</v>
      </c>
      <c r="B2419" s="11">
        <v>0.039</v>
      </c>
      <c r="C2419" s="11">
        <v>215.0</v>
      </c>
      <c r="D2419" s="11">
        <v>0.071</v>
      </c>
      <c r="E2419" s="7" t="s">
        <v>264</v>
      </c>
      <c r="F2419" s="9" t="s">
        <v>73</v>
      </c>
      <c r="G2419" s="5" t="s">
        <v>61</v>
      </c>
    </row>
    <row r="2420">
      <c r="A2420" s="10">
        <v>3.501E8</v>
      </c>
      <c r="B2420" s="11">
        <v>0.051</v>
      </c>
      <c r="C2420" s="11">
        <v>19.0</v>
      </c>
      <c r="D2420" s="8"/>
      <c r="E2420" s="7" t="s">
        <v>265</v>
      </c>
      <c r="F2420" s="9" t="s">
        <v>60</v>
      </c>
      <c r="G2420" s="5" t="s">
        <v>61</v>
      </c>
    </row>
    <row r="2421">
      <c r="A2421" s="10">
        <v>4.297E8</v>
      </c>
      <c r="B2421" s="11">
        <v>0.062</v>
      </c>
      <c r="C2421" s="11">
        <v>20.0</v>
      </c>
      <c r="D2421" s="8"/>
      <c r="E2421" s="7" t="s">
        <v>265</v>
      </c>
      <c r="F2421" s="9" t="s">
        <v>62</v>
      </c>
      <c r="G2421" s="5" t="s">
        <v>61</v>
      </c>
    </row>
    <row r="2422">
      <c r="A2422" s="10">
        <v>4.267E8</v>
      </c>
      <c r="B2422" s="11">
        <v>0.061</v>
      </c>
      <c r="C2422" s="11">
        <v>19.0</v>
      </c>
      <c r="D2422" s="8"/>
      <c r="E2422" s="7" t="s">
        <v>265</v>
      </c>
      <c r="F2422" s="9" t="s">
        <v>63</v>
      </c>
      <c r="G2422" s="5" t="s">
        <v>61</v>
      </c>
    </row>
    <row r="2423">
      <c r="A2423" s="10">
        <v>4.365E8</v>
      </c>
      <c r="B2423" s="11">
        <v>0.075</v>
      </c>
      <c r="C2423" s="11">
        <v>24.0</v>
      </c>
      <c r="D2423" s="11">
        <v>0.167</v>
      </c>
      <c r="E2423" s="7" t="s">
        <v>265</v>
      </c>
      <c r="F2423" s="9" t="s">
        <v>64</v>
      </c>
      <c r="G2423" s="5" t="s">
        <v>61</v>
      </c>
    </row>
    <row r="2424">
      <c r="A2424" s="10">
        <v>4.555E8</v>
      </c>
      <c r="B2424" s="11">
        <v>0.086</v>
      </c>
      <c r="C2424" s="11">
        <v>27.0</v>
      </c>
      <c r="D2424" s="11">
        <v>0.155</v>
      </c>
      <c r="E2424" s="7" t="s">
        <v>265</v>
      </c>
      <c r="F2424" s="9" t="s">
        <v>65</v>
      </c>
      <c r="G2424" s="5" t="s">
        <v>61</v>
      </c>
    </row>
    <row r="2425">
      <c r="A2425" s="10">
        <v>4.791E8</v>
      </c>
      <c r="B2425" s="11">
        <v>0.073</v>
      </c>
      <c r="C2425" s="11">
        <v>33.0</v>
      </c>
      <c r="D2425" s="11">
        <v>0.167</v>
      </c>
      <c r="E2425" s="7" t="s">
        <v>265</v>
      </c>
      <c r="F2425" s="9" t="s">
        <v>66</v>
      </c>
      <c r="G2425" s="5" t="s">
        <v>61</v>
      </c>
    </row>
    <row r="2426">
      <c r="A2426" s="10">
        <v>4.626E8</v>
      </c>
      <c r="B2426" s="11">
        <v>0.106</v>
      </c>
      <c r="C2426" s="11">
        <v>46.0</v>
      </c>
      <c r="D2426" s="11">
        <v>0.165</v>
      </c>
      <c r="E2426" s="7" t="s">
        <v>265</v>
      </c>
      <c r="F2426" s="9" t="s">
        <v>67</v>
      </c>
      <c r="G2426" s="5" t="s">
        <v>61</v>
      </c>
    </row>
    <row r="2427">
      <c r="A2427" s="10">
        <v>5.587E8</v>
      </c>
      <c r="B2427" s="11">
        <v>0.08</v>
      </c>
      <c r="C2427" s="11">
        <v>41.0</v>
      </c>
      <c r="D2427" s="11">
        <v>0.15</v>
      </c>
      <c r="E2427" s="7" t="s">
        <v>265</v>
      </c>
      <c r="F2427" s="9" t="s">
        <v>68</v>
      </c>
      <c r="G2427" s="5" t="s">
        <v>61</v>
      </c>
    </row>
    <row r="2428">
      <c r="A2428" s="10">
        <v>6.938E8</v>
      </c>
      <c r="B2428" s="11">
        <v>0.086</v>
      </c>
      <c r="C2428" s="11">
        <v>55.0</v>
      </c>
      <c r="D2428" s="11">
        <v>0.131</v>
      </c>
      <c r="E2428" s="7" t="s">
        <v>265</v>
      </c>
      <c r="F2428" s="9" t="s">
        <v>69</v>
      </c>
      <c r="G2428" s="5" t="s">
        <v>61</v>
      </c>
    </row>
    <row r="2429">
      <c r="A2429" s="10">
        <v>8.267E8</v>
      </c>
      <c r="B2429" s="11">
        <v>0.068</v>
      </c>
      <c r="C2429" s="11">
        <v>50.0</v>
      </c>
      <c r="D2429" s="11">
        <v>0.112</v>
      </c>
      <c r="E2429" s="7" t="s">
        <v>265</v>
      </c>
      <c r="F2429" s="9" t="s">
        <v>70</v>
      </c>
      <c r="G2429" s="5" t="s">
        <v>61</v>
      </c>
    </row>
    <row r="2430">
      <c r="A2430" s="10">
        <v>9.343E8</v>
      </c>
      <c r="B2430" s="11">
        <v>0.056</v>
      </c>
      <c r="C2430" s="11">
        <v>46.0</v>
      </c>
      <c r="D2430" s="11">
        <v>0.11</v>
      </c>
      <c r="E2430" s="7" t="s">
        <v>265</v>
      </c>
      <c r="F2430" s="9" t="s">
        <v>71</v>
      </c>
      <c r="G2430" s="5" t="s">
        <v>61</v>
      </c>
    </row>
    <row r="2431">
      <c r="A2431" s="10">
        <v>1.1283E9</v>
      </c>
      <c r="B2431" s="11">
        <v>0.046</v>
      </c>
      <c r="C2431" s="11">
        <v>46.0</v>
      </c>
      <c r="D2431" s="11">
        <v>0.11</v>
      </c>
      <c r="E2431" s="7" t="s">
        <v>265</v>
      </c>
      <c r="F2431" s="9" t="s">
        <v>72</v>
      </c>
      <c r="G2431" s="5" t="s">
        <v>61</v>
      </c>
    </row>
    <row r="2432">
      <c r="A2432" s="10">
        <v>1.355E9</v>
      </c>
      <c r="B2432" s="11">
        <v>0.043</v>
      </c>
      <c r="C2432" s="11">
        <v>50.0</v>
      </c>
      <c r="D2432" s="11">
        <v>0.122</v>
      </c>
      <c r="E2432" s="7" t="s">
        <v>265</v>
      </c>
      <c r="F2432" s="9" t="s">
        <v>73</v>
      </c>
      <c r="G2432" s="5" t="s">
        <v>61</v>
      </c>
    </row>
    <row r="2433">
      <c r="A2433" s="10">
        <v>1.29425028E9</v>
      </c>
      <c r="B2433" s="11">
        <v>0.053</v>
      </c>
      <c r="C2433" s="11">
        <v>14.0</v>
      </c>
      <c r="D2433" s="8"/>
      <c r="E2433" s="7" t="s">
        <v>266</v>
      </c>
      <c r="F2433" s="9" t="s">
        <v>60</v>
      </c>
      <c r="G2433" s="5" t="s">
        <v>77</v>
      </c>
    </row>
    <row r="2434">
      <c r="A2434" s="10">
        <v>1.332328986E9</v>
      </c>
      <c r="B2434" s="11">
        <v>0.052</v>
      </c>
      <c r="C2434" s="11">
        <v>14.0</v>
      </c>
      <c r="D2434" s="8"/>
      <c r="E2434" s="7" t="s">
        <v>266</v>
      </c>
      <c r="F2434" s="9" t="s">
        <v>62</v>
      </c>
      <c r="G2434" s="5" t="s">
        <v>77</v>
      </c>
    </row>
    <row r="2435">
      <c r="A2435" s="10">
        <v>1.474630199E9</v>
      </c>
      <c r="B2435" s="11">
        <v>0.05</v>
      </c>
      <c r="C2435" s="11">
        <v>14.0</v>
      </c>
      <c r="D2435" s="8"/>
      <c r="E2435" s="7" t="s">
        <v>266</v>
      </c>
      <c r="F2435" s="9" t="s">
        <v>63</v>
      </c>
      <c r="G2435" s="5" t="s">
        <v>77</v>
      </c>
    </row>
    <row r="2436">
      <c r="A2436" s="10">
        <v>1.67369039E9</v>
      </c>
      <c r="B2436" s="11">
        <v>0.056</v>
      </c>
      <c r="C2436" s="11">
        <v>18.0</v>
      </c>
      <c r="D2436" s="8"/>
      <c r="E2436" s="7" t="s">
        <v>266</v>
      </c>
      <c r="F2436" s="9" t="s">
        <v>64</v>
      </c>
      <c r="G2436" s="5" t="s">
        <v>77</v>
      </c>
    </row>
    <row r="2437">
      <c r="A2437" s="10">
        <v>1.937074538E9</v>
      </c>
      <c r="B2437" s="11">
        <v>0.059</v>
      </c>
      <c r="C2437" s="11">
        <v>21.0</v>
      </c>
      <c r="D2437" s="8"/>
      <c r="E2437" s="7" t="s">
        <v>266</v>
      </c>
      <c r="F2437" s="9" t="s">
        <v>65</v>
      </c>
      <c r="G2437" s="5" t="s">
        <v>77</v>
      </c>
    </row>
    <row r="2438">
      <c r="A2438" s="10">
        <v>2.11515409E9</v>
      </c>
      <c r="B2438" s="11">
        <v>0.066</v>
      </c>
      <c r="C2438" s="11">
        <v>25.0</v>
      </c>
      <c r="D2438" s="8"/>
      <c r="E2438" s="7" t="s">
        <v>266</v>
      </c>
      <c r="F2438" s="9" t="s">
        <v>66</v>
      </c>
      <c r="G2438" s="5" t="s">
        <v>77</v>
      </c>
    </row>
    <row r="2439">
      <c r="A2439" s="10">
        <v>2.202809211E9</v>
      </c>
      <c r="B2439" s="11">
        <v>0.064</v>
      </c>
      <c r="C2439" s="11">
        <v>25.0</v>
      </c>
      <c r="D2439" s="8"/>
      <c r="E2439" s="7" t="s">
        <v>266</v>
      </c>
      <c r="F2439" s="9" t="s">
        <v>67</v>
      </c>
      <c r="G2439" s="5" t="s">
        <v>77</v>
      </c>
    </row>
    <row r="2440">
      <c r="A2440" s="10">
        <v>2.523462649E9</v>
      </c>
      <c r="B2440" s="11">
        <v>0.065</v>
      </c>
      <c r="C2440" s="11">
        <v>28.0</v>
      </c>
      <c r="D2440" s="8"/>
      <c r="E2440" s="7" t="s">
        <v>266</v>
      </c>
      <c r="F2440" s="9" t="s">
        <v>68</v>
      </c>
      <c r="G2440" s="5" t="s">
        <v>77</v>
      </c>
    </row>
    <row r="2441">
      <c r="A2441" s="10">
        <v>3.163416556E9</v>
      </c>
      <c r="B2441" s="11">
        <v>0.065</v>
      </c>
      <c r="C2441" s="11">
        <v>34.0</v>
      </c>
      <c r="D2441" s="8"/>
      <c r="E2441" s="7" t="s">
        <v>266</v>
      </c>
      <c r="F2441" s="9" t="s">
        <v>69</v>
      </c>
      <c r="G2441" s="5" t="s">
        <v>77</v>
      </c>
    </row>
    <row r="2442">
      <c r="A2442" s="10">
        <v>3.163000591E9</v>
      </c>
      <c r="B2442" s="11">
        <v>0.072</v>
      </c>
      <c r="C2442" s="11">
        <v>37.0</v>
      </c>
      <c r="D2442" s="8"/>
      <c r="E2442" s="7" t="s">
        <v>266</v>
      </c>
      <c r="F2442" s="9" t="s">
        <v>70</v>
      </c>
      <c r="G2442" s="5" t="s">
        <v>77</v>
      </c>
    </row>
    <row r="2443">
      <c r="A2443" s="10">
        <v>3.172945506E9</v>
      </c>
      <c r="B2443" s="11">
        <v>0.075</v>
      </c>
      <c r="C2443" s="11">
        <v>37.0</v>
      </c>
      <c r="D2443" s="8"/>
      <c r="E2443" s="7" t="s">
        <v>266</v>
      </c>
      <c r="F2443" s="9" t="s">
        <v>71</v>
      </c>
      <c r="G2443" s="5" t="s">
        <v>77</v>
      </c>
    </row>
    <row r="2444">
      <c r="A2444" s="10">
        <v>3.756023048E9</v>
      </c>
      <c r="B2444" s="11">
        <v>0.08</v>
      </c>
      <c r="C2444" s="11">
        <v>43.0</v>
      </c>
      <c r="D2444" s="8"/>
      <c r="E2444" s="7" t="s">
        <v>266</v>
      </c>
      <c r="F2444" s="9" t="s">
        <v>72</v>
      </c>
      <c r="G2444" s="5" t="s">
        <v>77</v>
      </c>
    </row>
    <row r="2445">
      <c r="A2445" s="10">
        <v>3.915754216E9</v>
      </c>
      <c r="B2445" s="11">
        <v>0.086</v>
      </c>
      <c r="C2445" s="11">
        <v>41.0</v>
      </c>
      <c r="D2445" s="8"/>
      <c r="E2445" s="7" t="s">
        <v>266</v>
      </c>
      <c r="F2445" s="9" t="s">
        <v>73</v>
      </c>
      <c r="G2445" s="5" t="s">
        <v>77</v>
      </c>
    </row>
    <row r="2446">
      <c r="A2446" s="10">
        <v>1.88623258E8</v>
      </c>
      <c r="B2446" s="11">
        <v>0.048</v>
      </c>
      <c r="C2446" s="11">
        <v>92.0</v>
      </c>
      <c r="D2446" s="11">
        <v>0.113</v>
      </c>
      <c r="E2446" s="7" t="s">
        <v>267</v>
      </c>
      <c r="F2446" s="9" t="s">
        <v>60</v>
      </c>
      <c r="G2446" s="5" t="s">
        <v>80</v>
      </c>
    </row>
    <row r="2447">
      <c r="A2447" s="10">
        <v>1.6704288E8</v>
      </c>
      <c r="B2447" s="11">
        <v>0.057</v>
      </c>
      <c r="C2447" s="11">
        <v>96.0</v>
      </c>
      <c r="D2447" s="11">
        <v>0.113</v>
      </c>
      <c r="E2447" s="7" t="s">
        <v>267</v>
      </c>
      <c r="F2447" s="9" t="s">
        <v>62</v>
      </c>
      <c r="G2447" s="5" t="s">
        <v>80</v>
      </c>
    </row>
    <row r="2448">
      <c r="A2448" s="10">
        <v>1.81801947E8</v>
      </c>
      <c r="B2448" s="11">
        <v>0.05</v>
      </c>
      <c r="C2448" s="11">
        <v>92.0</v>
      </c>
      <c r="D2448" s="11">
        <v>0.114</v>
      </c>
      <c r="E2448" s="7" t="s">
        <v>267</v>
      </c>
      <c r="F2448" s="9" t="s">
        <v>63</v>
      </c>
      <c r="G2448" s="5" t="s">
        <v>80</v>
      </c>
    </row>
    <row r="2449">
      <c r="A2449" s="10">
        <v>2.08098552E8</v>
      </c>
      <c r="B2449" s="11">
        <v>0.051</v>
      </c>
      <c r="C2449" s="11">
        <v>106.0</v>
      </c>
      <c r="D2449" s="11">
        <v>0.113</v>
      </c>
      <c r="E2449" s="7" t="s">
        <v>267</v>
      </c>
      <c r="F2449" s="9" t="s">
        <v>64</v>
      </c>
      <c r="G2449" s="5" t="s">
        <v>80</v>
      </c>
    </row>
    <row r="2450">
      <c r="A2450" s="10">
        <v>2.40794581E8</v>
      </c>
      <c r="B2450" s="11">
        <v>0.048</v>
      </c>
      <c r="C2450" s="11">
        <v>115.0</v>
      </c>
      <c r="D2450" s="11">
        <v>0.116</v>
      </c>
      <c r="E2450" s="7" t="s">
        <v>267</v>
      </c>
      <c r="F2450" s="9" t="s">
        <v>65</v>
      </c>
      <c r="G2450" s="5" t="s">
        <v>80</v>
      </c>
    </row>
    <row r="2451">
      <c r="A2451" s="10">
        <v>2.64812954E8</v>
      </c>
      <c r="B2451" s="11">
        <v>0.064</v>
      </c>
      <c r="C2451" s="11">
        <v>167.0</v>
      </c>
      <c r="D2451" s="11">
        <v>0.114</v>
      </c>
      <c r="E2451" s="7" t="s">
        <v>267</v>
      </c>
      <c r="F2451" s="9" t="s">
        <v>66</v>
      </c>
      <c r="G2451" s="5" t="s">
        <v>80</v>
      </c>
    </row>
    <row r="2452">
      <c r="A2452" s="10">
        <v>2.95998379E8</v>
      </c>
      <c r="B2452" s="11">
        <v>0.055</v>
      </c>
      <c r="C2452" s="11">
        <v>159.0</v>
      </c>
      <c r="D2452" s="11">
        <v>0.12</v>
      </c>
      <c r="E2452" s="7" t="s">
        <v>267</v>
      </c>
      <c r="F2452" s="9" t="s">
        <v>67</v>
      </c>
      <c r="G2452" s="5" t="s">
        <v>80</v>
      </c>
    </row>
    <row r="2453">
      <c r="A2453" s="10">
        <v>3.01064027E8</v>
      </c>
      <c r="B2453" s="11">
        <v>0.069</v>
      </c>
      <c r="C2453" s="11">
        <v>205.0</v>
      </c>
      <c r="D2453" s="11">
        <v>0.122</v>
      </c>
      <c r="E2453" s="7" t="s">
        <v>267</v>
      </c>
      <c r="F2453" s="9" t="s">
        <v>68</v>
      </c>
      <c r="G2453" s="5" t="s">
        <v>80</v>
      </c>
    </row>
    <row r="2454">
      <c r="A2454" s="10">
        <v>3.46850176E8</v>
      </c>
      <c r="B2454" s="11">
        <v>0.063</v>
      </c>
      <c r="C2454" s="11">
        <v>207.0</v>
      </c>
      <c r="D2454" s="11">
        <v>0.125</v>
      </c>
      <c r="E2454" s="7" t="s">
        <v>267</v>
      </c>
      <c r="F2454" s="9" t="s">
        <v>69</v>
      </c>
      <c r="G2454" s="5" t="s">
        <v>80</v>
      </c>
    </row>
    <row r="2455">
      <c r="A2455" s="10">
        <v>3.18522296E8</v>
      </c>
      <c r="B2455" s="11">
        <v>0.046</v>
      </c>
      <c r="C2455" s="11">
        <v>145.0</v>
      </c>
      <c r="D2455" s="11">
        <v>0.125</v>
      </c>
      <c r="E2455" s="7" t="s">
        <v>267</v>
      </c>
      <c r="F2455" s="9" t="s">
        <v>70</v>
      </c>
      <c r="G2455" s="5" t="s">
        <v>80</v>
      </c>
    </row>
    <row r="2456">
      <c r="A2456" s="10">
        <v>3.69212477E8</v>
      </c>
      <c r="B2456" s="11">
        <v>0.048</v>
      </c>
      <c r="C2456" s="11">
        <v>172.0</v>
      </c>
      <c r="D2456" s="11">
        <v>0.115</v>
      </c>
      <c r="E2456" s="7" t="s">
        <v>267</v>
      </c>
      <c r="F2456" s="9" t="s">
        <v>71</v>
      </c>
      <c r="G2456" s="5" t="s">
        <v>80</v>
      </c>
    </row>
    <row r="2457">
      <c r="A2457" s="10">
        <v>4.23038017E8</v>
      </c>
      <c r="B2457" s="11">
        <v>0.05</v>
      </c>
      <c r="C2457" s="11">
        <v>219.0</v>
      </c>
      <c r="D2457" s="11">
        <v>0.114</v>
      </c>
      <c r="E2457" s="7" t="s">
        <v>267</v>
      </c>
      <c r="F2457" s="9" t="s">
        <v>72</v>
      </c>
      <c r="G2457" s="5" t="s">
        <v>80</v>
      </c>
    </row>
    <row r="2458">
      <c r="A2458" s="10">
        <v>4.71575497E8</v>
      </c>
      <c r="B2458" s="11">
        <v>0.054</v>
      </c>
      <c r="C2458" s="11">
        <v>238.0</v>
      </c>
      <c r="D2458" s="11">
        <v>0.1</v>
      </c>
      <c r="E2458" s="7" t="s">
        <v>267</v>
      </c>
      <c r="F2458" s="9" t="s">
        <v>73</v>
      </c>
      <c r="G2458" s="5" t="s">
        <v>80</v>
      </c>
    </row>
    <row r="2459">
      <c r="A2459" s="10">
        <v>8.154315708E9</v>
      </c>
      <c r="B2459" s="11">
        <v>0.04</v>
      </c>
      <c r="C2459" s="11">
        <v>260.0</v>
      </c>
      <c r="D2459" s="11">
        <v>0.165</v>
      </c>
      <c r="E2459" s="7" t="s">
        <v>268</v>
      </c>
      <c r="F2459" s="9" t="s">
        <v>60</v>
      </c>
      <c r="G2459" s="5" t="s">
        <v>84</v>
      </c>
    </row>
    <row r="2460">
      <c r="A2460" s="10">
        <v>8.824873156E9</v>
      </c>
      <c r="B2460" s="11">
        <v>0.044</v>
      </c>
      <c r="C2460" s="11">
        <v>305.0</v>
      </c>
      <c r="D2460" s="11">
        <v>0.157</v>
      </c>
      <c r="E2460" s="7" t="s">
        <v>268</v>
      </c>
      <c r="F2460" s="9" t="s">
        <v>62</v>
      </c>
      <c r="G2460" s="5" t="s">
        <v>84</v>
      </c>
    </row>
    <row r="2461">
      <c r="A2461" s="10">
        <v>9.008273516E9</v>
      </c>
      <c r="B2461" s="11">
        <v>0.05</v>
      </c>
      <c r="C2461" s="11">
        <v>352.0</v>
      </c>
      <c r="D2461" s="11">
        <v>0.125</v>
      </c>
      <c r="E2461" s="7" t="s">
        <v>268</v>
      </c>
      <c r="F2461" s="9" t="s">
        <v>63</v>
      </c>
      <c r="G2461" s="5" t="s">
        <v>84</v>
      </c>
    </row>
    <row r="2462">
      <c r="A2462" s="10">
        <v>1.1235960523E10</v>
      </c>
      <c r="B2462" s="11">
        <v>0.051</v>
      </c>
      <c r="C2462" s="11">
        <v>449.0</v>
      </c>
      <c r="D2462" s="11">
        <v>0.112</v>
      </c>
      <c r="E2462" s="7" t="s">
        <v>268</v>
      </c>
      <c r="F2462" s="9" t="s">
        <v>64</v>
      </c>
      <c r="G2462" s="5" t="s">
        <v>84</v>
      </c>
    </row>
    <row r="2463">
      <c r="A2463" s="10">
        <v>1.2884712296E10</v>
      </c>
      <c r="B2463" s="11">
        <v>0.052</v>
      </c>
      <c r="C2463" s="11">
        <v>522.0</v>
      </c>
      <c r="D2463" s="11">
        <v>0.093</v>
      </c>
      <c r="E2463" s="7" t="s">
        <v>268</v>
      </c>
      <c r="F2463" s="9" t="s">
        <v>65</v>
      </c>
      <c r="G2463" s="5" t="s">
        <v>84</v>
      </c>
    </row>
    <row r="2464">
      <c r="A2464" s="10">
        <v>1.6088526686E10</v>
      </c>
      <c r="B2464" s="11">
        <v>0.053</v>
      </c>
      <c r="C2464" s="11">
        <v>648.0</v>
      </c>
      <c r="D2464" s="11">
        <v>0.091</v>
      </c>
      <c r="E2464" s="7" t="s">
        <v>268</v>
      </c>
      <c r="F2464" s="9" t="s">
        <v>66</v>
      </c>
      <c r="G2464" s="5" t="s">
        <v>84</v>
      </c>
    </row>
    <row r="2465">
      <c r="A2465" s="10">
        <v>1.8460905284E10</v>
      </c>
      <c r="B2465" s="11">
        <v>0.044</v>
      </c>
      <c r="C2465" s="11">
        <v>625.0</v>
      </c>
      <c r="D2465" s="11">
        <v>0.109</v>
      </c>
      <c r="E2465" s="7" t="s">
        <v>268</v>
      </c>
      <c r="F2465" s="9" t="s">
        <v>67</v>
      </c>
      <c r="G2465" s="5" t="s">
        <v>84</v>
      </c>
    </row>
    <row r="2466">
      <c r="A2466" s="10">
        <v>2.1830397705E10</v>
      </c>
      <c r="B2466" s="11">
        <v>0.048</v>
      </c>
      <c r="C2466" s="11">
        <v>790.0</v>
      </c>
      <c r="D2466" s="11">
        <v>0.118</v>
      </c>
      <c r="E2466" s="7" t="s">
        <v>268</v>
      </c>
      <c r="F2466" s="9" t="s">
        <v>68</v>
      </c>
      <c r="G2466" s="5" t="s">
        <v>84</v>
      </c>
    </row>
    <row r="2467">
      <c r="A2467" s="10">
        <v>2.8165793618E10</v>
      </c>
      <c r="B2467" s="11">
        <v>0.044</v>
      </c>
      <c r="C2467" s="11">
        <v>924.0</v>
      </c>
      <c r="D2467" s="11">
        <v>0.124</v>
      </c>
      <c r="E2467" s="7" t="s">
        <v>268</v>
      </c>
      <c r="F2467" s="9" t="s">
        <v>69</v>
      </c>
      <c r="G2467" s="5" t="s">
        <v>84</v>
      </c>
    </row>
    <row r="2468">
      <c r="A2468" s="10">
        <v>1.9332270662E10</v>
      </c>
      <c r="B2468" s="11">
        <v>0.061</v>
      </c>
      <c r="C2468" s="11">
        <v>887.0</v>
      </c>
      <c r="D2468" s="11">
        <v>0.119</v>
      </c>
      <c r="E2468" s="7" t="s">
        <v>268</v>
      </c>
      <c r="F2468" s="9" t="s">
        <v>70</v>
      </c>
      <c r="G2468" s="5" t="s">
        <v>84</v>
      </c>
    </row>
    <row r="2469">
      <c r="A2469" s="10">
        <v>2.0758191858E10</v>
      </c>
      <c r="B2469" s="11">
        <v>0.052</v>
      </c>
      <c r="C2469" s="11">
        <v>805.0</v>
      </c>
      <c r="D2469" s="11">
        <v>0.093</v>
      </c>
      <c r="E2469" s="7" t="s">
        <v>268</v>
      </c>
      <c r="F2469" s="9" t="s">
        <v>71</v>
      </c>
      <c r="G2469" s="5" t="s">
        <v>84</v>
      </c>
    </row>
    <row r="2470">
      <c r="A2470" s="10">
        <v>2.3676348287E10</v>
      </c>
      <c r="B2470" s="11">
        <v>0.053</v>
      </c>
      <c r="C2470" s="11">
        <v>935.0</v>
      </c>
      <c r="D2470" s="11">
        <v>0.08</v>
      </c>
      <c r="E2470" s="7" t="s">
        <v>268</v>
      </c>
      <c r="F2470" s="9" t="s">
        <v>72</v>
      </c>
      <c r="G2470" s="5" t="s">
        <v>84</v>
      </c>
    </row>
    <row r="2471">
      <c r="A2471" s="10">
        <v>2.343634252E10</v>
      </c>
      <c r="B2471" s="11">
        <v>0.054</v>
      </c>
      <c r="C2471" s="11">
        <v>972.0</v>
      </c>
      <c r="D2471" s="11">
        <v>0.077</v>
      </c>
      <c r="E2471" s="7" t="s">
        <v>268</v>
      </c>
      <c r="F2471" s="9" t="s">
        <v>73</v>
      </c>
      <c r="G2471" s="5" t="s">
        <v>84</v>
      </c>
    </row>
    <row r="2472">
      <c r="A2472" s="10">
        <v>2.1473188882E10</v>
      </c>
      <c r="B2472" s="11">
        <v>0.054</v>
      </c>
      <c r="C2472" s="11">
        <v>123.0</v>
      </c>
      <c r="D2472" s="8"/>
      <c r="E2472" s="7" t="s">
        <v>269</v>
      </c>
      <c r="F2472" s="9" t="s">
        <v>60</v>
      </c>
      <c r="G2472" s="5" t="s">
        <v>77</v>
      </c>
    </row>
    <row r="2473">
      <c r="A2473" s="10">
        <v>2.2066101341E10</v>
      </c>
      <c r="B2473" s="11">
        <v>0.053</v>
      </c>
      <c r="C2473" s="11">
        <v>122.0</v>
      </c>
      <c r="D2473" s="8"/>
      <c r="E2473" s="7" t="s">
        <v>269</v>
      </c>
      <c r="F2473" s="9" t="s">
        <v>62</v>
      </c>
      <c r="G2473" s="5" t="s">
        <v>77</v>
      </c>
    </row>
    <row r="2474">
      <c r="A2474" s="10">
        <v>2.3141757278E10</v>
      </c>
      <c r="B2474" s="11">
        <v>0.053</v>
      </c>
      <c r="C2474" s="11">
        <v>128.0</v>
      </c>
      <c r="D2474" s="8"/>
      <c r="E2474" s="7" t="s">
        <v>269</v>
      </c>
      <c r="F2474" s="9" t="s">
        <v>63</v>
      </c>
      <c r="G2474" s="5" t="s">
        <v>77</v>
      </c>
    </row>
    <row r="2475">
      <c r="A2475" s="10">
        <v>2.7453084983E10</v>
      </c>
      <c r="B2475" s="11">
        <v>0.054</v>
      </c>
      <c r="C2475" s="11">
        <v>151.0</v>
      </c>
      <c r="D2475" s="8"/>
      <c r="E2475" s="7" t="s">
        <v>269</v>
      </c>
      <c r="F2475" s="9" t="s">
        <v>64</v>
      </c>
      <c r="G2475" s="5" t="s">
        <v>77</v>
      </c>
    </row>
    <row r="2476">
      <c r="A2476" s="10">
        <v>3.1183139301E10</v>
      </c>
      <c r="B2476" s="11">
        <v>0.056</v>
      </c>
      <c r="C2476" s="11">
        <v>179.0</v>
      </c>
      <c r="D2476" s="8"/>
      <c r="E2476" s="7" t="s">
        <v>269</v>
      </c>
      <c r="F2476" s="9" t="s">
        <v>65</v>
      </c>
      <c r="G2476" s="5" t="s">
        <v>77</v>
      </c>
    </row>
    <row r="2477">
      <c r="A2477" s="10">
        <v>3.2282960678E10</v>
      </c>
      <c r="B2477" s="11">
        <v>0.056</v>
      </c>
      <c r="C2477" s="11">
        <v>181.0</v>
      </c>
      <c r="D2477" s="8"/>
      <c r="E2477" s="7" t="s">
        <v>269</v>
      </c>
      <c r="F2477" s="9" t="s">
        <v>66</v>
      </c>
      <c r="G2477" s="5" t="s">
        <v>77</v>
      </c>
    </row>
    <row r="2478">
      <c r="A2478" s="10">
        <v>3.4378437265E10</v>
      </c>
      <c r="B2478" s="11">
        <v>0.056</v>
      </c>
      <c r="C2478" s="11">
        <v>194.0</v>
      </c>
      <c r="D2478" s="8"/>
      <c r="E2478" s="7" t="s">
        <v>269</v>
      </c>
      <c r="F2478" s="9" t="s">
        <v>67</v>
      </c>
      <c r="G2478" s="5" t="s">
        <v>77</v>
      </c>
    </row>
    <row r="2479">
      <c r="A2479" s="10">
        <v>3.8920218579E10</v>
      </c>
      <c r="B2479" s="11">
        <v>0.056</v>
      </c>
      <c r="C2479" s="11">
        <v>217.0</v>
      </c>
      <c r="D2479" s="8"/>
      <c r="E2479" s="7" t="s">
        <v>269</v>
      </c>
      <c r="F2479" s="9" t="s">
        <v>68</v>
      </c>
      <c r="G2479" s="5" t="s">
        <v>77</v>
      </c>
    </row>
    <row r="2480">
      <c r="A2480" s="10">
        <v>4.4856586316E10</v>
      </c>
      <c r="B2480" s="11">
        <v>0.056</v>
      </c>
      <c r="C2480" s="11">
        <v>246.0</v>
      </c>
      <c r="D2480" s="8"/>
      <c r="E2480" s="7" t="s">
        <v>269</v>
      </c>
      <c r="F2480" s="9" t="s">
        <v>69</v>
      </c>
      <c r="G2480" s="5" t="s">
        <v>77</v>
      </c>
    </row>
    <row r="2481">
      <c r="A2481" s="10">
        <v>4.345493594E10</v>
      </c>
      <c r="B2481" s="11">
        <v>0.062</v>
      </c>
      <c r="C2481" s="11">
        <v>259.0</v>
      </c>
      <c r="D2481" s="8"/>
      <c r="E2481" s="7" t="s">
        <v>269</v>
      </c>
      <c r="F2481" s="9" t="s">
        <v>70</v>
      </c>
      <c r="G2481" s="5" t="s">
        <v>77</v>
      </c>
    </row>
    <row r="2482">
      <c r="A2482" s="10">
        <v>4.4054072936E10</v>
      </c>
      <c r="B2482" s="11">
        <v>0.067</v>
      </c>
      <c r="C2482" s="11">
        <v>282.0</v>
      </c>
      <c r="D2482" s="8"/>
      <c r="E2482" s="7" t="s">
        <v>269</v>
      </c>
      <c r="F2482" s="9" t="s">
        <v>71</v>
      </c>
      <c r="G2482" s="5" t="s">
        <v>77</v>
      </c>
    </row>
    <row r="2483">
      <c r="A2483" s="10">
        <v>4.5951129422E10</v>
      </c>
      <c r="B2483" s="11">
        <v>0.07</v>
      </c>
      <c r="C2483" s="11">
        <v>304.0</v>
      </c>
      <c r="D2483" s="8"/>
      <c r="E2483" s="7" t="s">
        <v>269</v>
      </c>
      <c r="F2483" s="9" t="s">
        <v>72</v>
      </c>
      <c r="G2483" s="5" t="s">
        <v>77</v>
      </c>
    </row>
    <row r="2484">
      <c r="A2484" s="10">
        <v>4.5238491581E10</v>
      </c>
      <c r="B2484" s="11">
        <v>0.07</v>
      </c>
      <c r="C2484" s="11">
        <v>297.0</v>
      </c>
      <c r="D2484" s="8"/>
      <c r="E2484" s="7" t="s">
        <v>269</v>
      </c>
      <c r="F2484" s="9" t="s">
        <v>73</v>
      </c>
      <c r="G2484" s="5" t="s">
        <v>77</v>
      </c>
    </row>
    <row r="2485">
      <c r="A2485" s="10">
        <v>2.67E11</v>
      </c>
      <c r="B2485" s="11">
        <v>0.049</v>
      </c>
      <c r="C2485" s="11">
        <v>196.0</v>
      </c>
      <c r="D2485" s="8"/>
      <c r="E2485" s="7" t="s">
        <v>270</v>
      </c>
      <c r="F2485" s="9" t="s">
        <v>60</v>
      </c>
      <c r="G2485" s="5" t="s">
        <v>75</v>
      </c>
    </row>
    <row r="2486">
      <c r="A2486" s="10">
        <v>1.96E11</v>
      </c>
      <c r="B2486" s="11">
        <v>0.052</v>
      </c>
      <c r="C2486" s="11">
        <v>148.0</v>
      </c>
      <c r="D2486" s="8"/>
      <c r="E2486" s="7" t="s">
        <v>270</v>
      </c>
      <c r="F2486" s="9" t="s">
        <v>62</v>
      </c>
      <c r="G2486" s="5" t="s">
        <v>75</v>
      </c>
    </row>
    <row r="2487">
      <c r="A2487" s="10">
        <v>2.33E11</v>
      </c>
      <c r="B2487" s="11">
        <v>0.054</v>
      </c>
      <c r="C2487" s="11">
        <v>180.0</v>
      </c>
      <c r="D2487" s="8"/>
      <c r="E2487" s="7" t="s">
        <v>270</v>
      </c>
      <c r="F2487" s="9" t="s">
        <v>63</v>
      </c>
      <c r="G2487" s="5" t="s">
        <v>75</v>
      </c>
    </row>
    <row r="2488">
      <c r="A2488" s="10">
        <v>3.03E11</v>
      </c>
      <c r="B2488" s="11">
        <v>0.053</v>
      </c>
      <c r="C2488" s="11">
        <v>232.0</v>
      </c>
      <c r="D2488" s="8"/>
      <c r="E2488" s="7" t="s">
        <v>270</v>
      </c>
      <c r="F2488" s="9" t="s">
        <v>64</v>
      </c>
      <c r="G2488" s="5" t="s">
        <v>75</v>
      </c>
    </row>
    <row r="2489">
      <c r="A2489" s="10">
        <v>3.92E11</v>
      </c>
      <c r="B2489" s="11">
        <v>0.054</v>
      </c>
      <c r="C2489" s="11">
        <v>297.0</v>
      </c>
      <c r="D2489" s="8"/>
      <c r="E2489" s="7" t="s">
        <v>270</v>
      </c>
      <c r="F2489" s="9" t="s">
        <v>65</v>
      </c>
      <c r="G2489" s="5" t="s">
        <v>75</v>
      </c>
    </row>
    <row r="2490">
      <c r="A2490" s="10">
        <v>4.83E11</v>
      </c>
      <c r="B2490" s="11">
        <v>0.054</v>
      </c>
      <c r="C2490" s="11">
        <v>366.0</v>
      </c>
      <c r="D2490" s="8"/>
      <c r="E2490" s="7" t="s">
        <v>270</v>
      </c>
      <c r="F2490" s="9" t="s">
        <v>66</v>
      </c>
      <c r="G2490" s="5" t="s">
        <v>75</v>
      </c>
    </row>
    <row r="2491">
      <c r="A2491" s="10">
        <v>5.31E11</v>
      </c>
      <c r="B2491" s="11">
        <v>0.058</v>
      </c>
      <c r="C2491" s="11">
        <v>422.0</v>
      </c>
      <c r="D2491" s="8"/>
      <c r="E2491" s="7" t="s">
        <v>270</v>
      </c>
      <c r="F2491" s="9" t="s">
        <v>67</v>
      </c>
      <c r="G2491" s="5" t="s">
        <v>75</v>
      </c>
    </row>
    <row r="2492">
      <c r="A2492" s="10">
        <v>6.47E11</v>
      </c>
      <c r="B2492" s="11">
        <v>0.06</v>
      </c>
      <c r="C2492" s="11">
        <v>558.0</v>
      </c>
      <c r="D2492" s="8"/>
      <c r="E2492" s="7" t="s">
        <v>270</v>
      </c>
      <c r="F2492" s="9" t="s">
        <v>68</v>
      </c>
      <c r="G2492" s="5" t="s">
        <v>75</v>
      </c>
    </row>
    <row r="2493">
      <c r="A2493" s="10">
        <v>7.3E11</v>
      </c>
      <c r="B2493" s="11">
        <v>0.061</v>
      </c>
      <c r="C2493" s="11">
        <v>628.0</v>
      </c>
      <c r="D2493" s="8"/>
      <c r="E2493" s="7" t="s">
        <v>270</v>
      </c>
      <c r="F2493" s="9" t="s">
        <v>69</v>
      </c>
      <c r="G2493" s="5" t="s">
        <v>75</v>
      </c>
    </row>
    <row r="2494">
      <c r="A2494" s="10">
        <v>6.15E11</v>
      </c>
      <c r="B2494" s="11">
        <v>0.067</v>
      </c>
      <c r="C2494" s="11">
        <v>580.0</v>
      </c>
      <c r="D2494" s="8"/>
      <c r="E2494" s="7" t="s">
        <v>270</v>
      </c>
      <c r="F2494" s="9" t="s">
        <v>70</v>
      </c>
      <c r="G2494" s="5" t="s">
        <v>75</v>
      </c>
    </row>
    <row r="2495">
      <c r="A2495" s="10">
        <v>7.31E11</v>
      </c>
      <c r="B2495" s="11">
        <v>0.068</v>
      </c>
      <c r="C2495" s="11">
        <v>680.0</v>
      </c>
      <c r="D2495" s="8"/>
      <c r="E2495" s="7" t="s">
        <v>270</v>
      </c>
      <c r="F2495" s="9" t="s">
        <v>71</v>
      </c>
      <c r="G2495" s="5" t="s">
        <v>75</v>
      </c>
    </row>
    <row r="2496">
      <c r="A2496" s="10">
        <v>7.75E11</v>
      </c>
      <c r="B2496" s="11">
        <v>0.061</v>
      </c>
      <c r="C2496" s="11">
        <v>644.0</v>
      </c>
      <c r="D2496" s="8"/>
      <c r="E2496" s="7" t="s">
        <v>270</v>
      </c>
      <c r="F2496" s="9" t="s">
        <v>72</v>
      </c>
      <c r="G2496" s="5" t="s">
        <v>75</v>
      </c>
    </row>
    <row r="2497">
      <c r="A2497" s="10">
        <v>7.89E11</v>
      </c>
      <c r="B2497" s="11">
        <v>0.063</v>
      </c>
      <c r="C2497" s="11">
        <v>665.0</v>
      </c>
      <c r="D2497" s="8"/>
      <c r="E2497" s="7" t="s">
        <v>270</v>
      </c>
      <c r="F2497" s="9" t="s">
        <v>73</v>
      </c>
      <c r="G2497" s="5" t="s">
        <v>75</v>
      </c>
    </row>
    <row r="2498">
      <c r="A2498" s="10">
        <v>2.904662605E9</v>
      </c>
      <c r="B2498" s="11">
        <v>0.039</v>
      </c>
      <c r="C2498" s="11">
        <v>44.0</v>
      </c>
      <c r="D2498" s="8"/>
      <c r="E2498" s="7" t="s">
        <v>271</v>
      </c>
      <c r="F2498" s="9" t="s">
        <v>60</v>
      </c>
      <c r="G2498" s="5" t="s">
        <v>61</v>
      </c>
    </row>
    <row r="2499">
      <c r="A2499" s="10">
        <v>3.534771969E9</v>
      </c>
      <c r="B2499" s="11">
        <v>0.038</v>
      </c>
      <c r="C2499" s="11">
        <v>58.0</v>
      </c>
      <c r="D2499" s="8"/>
      <c r="E2499" s="7" t="s">
        <v>271</v>
      </c>
      <c r="F2499" s="9" t="s">
        <v>62</v>
      </c>
      <c r="G2499" s="5" t="s">
        <v>61</v>
      </c>
    </row>
    <row r="2500">
      <c r="A2500" s="10">
        <v>4.462028989E9</v>
      </c>
      <c r="B2500" s="11">
        <v>0.033</v>
      </c>
      <c r="C2500" s="11">
        <v>63.0</v>
      </c>
      <c r="D2500" s="8"/>
      <c r="E2500" s="7" t="s">
        <v>271</v>
      </c>
      <c r="F2500" s="9" t="s">
        <v>63</v>
      </c>
      <c r="G2500" s="5" t="s">
        <v>61</v>
      </c>
    </row>
    <row r="2501">
      <c r="A2501" s="10">
        <v>5.977440583E9</v>
      </c>
      <c r="B2501" s="11">
        <v>0.038</v>
      </c>
      <c r="C2501" s="11">
        <v>95.0</v>
      </c>
      <c r="D2501" s="8"/>
      <c r="E2501" s="7" t="s">
        <v>271</v>
      </c>
      <c r="F2501" s="9" t="s">
        <v>64</v>
      </c>
      <c r="G2501" s="5" t="s">
        <v>61</v>
      </c>
    </row>
    <row r="2502">
      <c r="A2502" s="10">
        <v>6.838351088E9</v>
      </c>
      <c r="B2502" s="11">
        <v>0.037</v>
      </c>
      <c r="C2502" s="11">
        <v>111.0</v>
      </c>
      <c r="D2502" s="8"/>
      <c r="E2502" s="7" t="s">
        <v>271</v>
      </c>
      <c r="F2502" s="9" t="s">
        <v>65</v>
      </c>
      <c r="G2502" s="5" t="s">
        <v>61</v>
      </c>
    </row>
    <row r="2503">
      <c r="A2503" s="10">
        <v>8.104355717E9</v>
      </c>
      <c r="B2503" s="11">
        <v>0.03</v>
      </c>
      <c r="C2503" s="11">
        <v>107.0</v>
      </c>
      <c r="D2503" s="8"/>
      <c r="E2503" s="7" t="s">
        <v>271</v>
      </c>
      <c r="F2503" s="9" t="s">
        <v>66</v>
      </c>
      <c r="G2503" s="5" t="s">
        <v>61</v>
      </c>
    </row>
    <row r="2504">
      <c r="A2504" s="10">
        <v>1.0277598152E10</v>
      </c>
      <c r="B2504" s="11">
        <v>0.022</v>
      </c>
      <c r="C2504" s="11">
        <v>98.0</v>
      </c>
      <c r="D2504" s="8"/>
      <c r="E2504" s="7" t="s">
        <v>271</v>
      </c>
      <c r="F2504" s="9" t="s">
        <v>67</v>
      </c>
      <c r="G2504" s="5" t="s">
        <v>61</v>
      </c>
    </row>
    <row r="2505">
      <c r="A2505" s="10">
        <v>1.2664165103E10</v>
      </c>
      <c r="B2505" s="11">
        <v>0.021</v>
      </c>
      <c r="C2505" s="11">
        <v>113.0</v>
      </c>
      <c r="D2505" s="8"/>
      <c r="E2505" s="7" t="s">
        <v>271</v>
      </c>
      <c r="F2505" s="9" t="s">
        <v>68</v>
      </c>
      <c r="G2505" s="5" t="s">
        <v>61</v>
      </c>
    </row>
    <row r="2506">
      <c r="A2506" s="10">
        <v>1.9271523179E10</v>
      </c>
      <c r="B2506" s="11">
        <v>0.019</v>
      </c>
      <c r="C2506" s="11">
        <v>81.0</v>
      </c>
      <c r="D2506" s="8"/>
      <c r="E2506" s="7" t="s">
        <v>271</v>
      </c>
      <c r="F2506" s="9" t="s">
        <v>69</v>
      </c>
      <c r="G2506" s="5" t="s">
        <v>61</v>
      </c>
    </row>
    <row r="2507">
      <c r="A2507" s="10">
        <v>2.0214385965E10</v>
      </c>
      <c r="B2507" s="11">
        <v>0.021</v>
      </c>
      <c r="C2507" s="11">
        <v>86.0</v>
      </c>
      <c r="D2507" s="8"/>
      <c r="E2507" s="7" t="s">
        <v>271</v>
      </c>
      <c r="F2507" s="9" t="s">
        <v>70</v>
      </c>
      <c r="G2507" s="5" t="s">
        <v>61</v>
      </c>
    </row>
    <row r="2508">
      <c r="A2508" s="10">
        <v>2.2148070175E10</v>
      </c>
      <c r="B2508" s="11">
        <v>0.021</v>
      </c>
      <c r="C2508" s="11">
        <v>95.0</v>
      </c>
      <c r="D2508" s="8"/>
      <c r="E2508" s="7" t="s">
        <v>271</v>
      </c>
      <c r="F2508" s="9" t="s">
        <v>71</v>
      </c>
      <c r="G2508" s="5" t="s">
        <v>61</v>
      </c>
    </row>
    <row r="2509">
      <c r="A2509" s="10">
        <v>2.9233333333E10</v>
      </c>
      <c r="B2509" s="11">
        <v>0.021</v>
      </c>
      <c r="C2509" s="11">
        <v>114.0</v>
      </c>
      <c r="D2509" s="8"/>
      <c r="E2509" s="7" t="s">
        <v>271</v>
      </c>
      <c r="F2509" s="9" t="s">
        <v>72</v>
      </c>
      <c r="G2509" s="5" t="s">
        <v>61</v>
      </c>
    </row>
    <row r="2510">
      <c r="A2510" s="10">
        <v>3.5164210526E10</v>
      </c>
      <c r="B2510" s="11">
        <v>0.02</v>
      </c>
      <c r="C2510" s="11">
        <v>129.0</v>
      </c>
      <c r="D2510" s="8"/>
      <c r="E2510" s="7" t="s">
        <v>271</v>
      </c>
      <c r="F2510" s="9" t="s">
        <v>73</v>
      </c>
      <c r="G2510" s="5" t="s">
        <v>61</v>
      </c>
    </row>
    <row r="2511">
      <c r="A2511" s="7"/>
      <c r="B2511" s="8"/>
      <c r="C2511" s="8"/>
      <c r="D2511" s="8"/>
      <c r="E2511" s="7" t="s">
        <v>272</v>
      </c>
      <c r="F2511" s="9" t="s">
        <v>60</v>
      </c>
      <c r="G2511" s="5" t="s">
        <v>84</v>
      </c>
    </row>
    <row r="2512">
      <c r="A2512" s="7"/>
      <c r="B2512" s="8"/>
      <c r="C2512" s="8"/>
      <c r="D2512" s="8"/>
      <c r="E2512" s="7" t="s">
        <v>272</v>
      </c>
      <c r="F2512" s="9" t="s">
        <v>62</v>
      </c>
      <c r="G2512" s="5" t="s">
        <v>84</v>
      </c>
    </row>
    <row r="2513">
      <c r="A2513" s="7"/>
      <c r="B2513" s="8"/>
      <c r="C2513" s="8"/>
      <c r="D2513" s="8"/>
      <c r="E2513" s="7" t="s">
        <v>272</v>
      </c>
      <c r="F2513" s="9" t="s">
        <v>63</v>
      </c>
      <c r="G2513" s="5" t="s">
        <v>84</v>
      </c>
    </row>
    <row r="2514">
      <c r="A2514" s="7"/>
      <c r="B2514" s="8"/>
      <c r="C2514" s="8"/>
      <c r="D2514" s="8"/>
      <c r="E2514" s="7" t="s">
        <v>272</v>
      </c>
      <c r="F2514" s="9" t="s">
        <v>64</v>
      </c>
      <c r="G2514" s="5" t="s">
        <v>84</v>
      </c>
    </row>
    <row r="2515">
      <c r="A2515" s="7"/>
      <c r="B2515" s="8"/>
      <c r="C2515" s="8"/>
      <c r="D2515" s="8"/>
      <c r="E2515" s="7" t="s">
        <v>272</v>
      </c>
      <c r="F2515" s="9" t="s">
        <v>65</v>
      </c>
      <c r="G2515" s="5" t="s">
        <v>84</v>
      </c>
    </row>
    <row r="2516">
      <c r="A2516" s="7"/>
      <c r="B2516" s="8"/>
      <c r="C2516" s="8"/>
      <c r="D2516" s="8"/>
      <c r="E2516" s="7" t="s">
        <v>272</v>
      </c>
      <c r="F2516" s="9" t="s">
        <v>66</v>
      </c>
      <c r="G2516" s="5" t="s">
        <v>84</v>
      </c>
    </row>
    <row r="2517">
      <c r="A2517" s="7"/>
      <c r="B2517" s="8"/>
      <c r="C2517" s="8"/>
      <c r="D2517" s="8"/>
      <c r="E2517" s="7" t="s">
        <v>272</v>
      </c>
      <c r="F2517" s="9" t="s">
        <v>67</v>
      </c>
      <c r="G2517" s="5" t="s">
        <v>84</v>
      </c>
    </row>
    <row r="2518">
      <c r="A2518" s="7"/>
      <c r="B2518" s="8"/>
      <c r="C2518" s="8"/>
      <c r="D2518" s="8"/>
      <c r="E2518" s="7" t="s">
        <v>272</v>
      </c>
      <c r="F2518" s="9" t="s">
        <v>68</v>
      </c>
      <c r="G2518" s="5" t="s">
        <v>84</v>
      </c>
    </row>
    <row r="2519">
      <c r="A2519" s="7"/>
      <c r="B2519" s="8"/>
      <c r="C2519" s="8"/>
      <c r="D2519" s="8"/>
      <c r="E2519" s="7" t="s">
        <v>272</v>
      </c>
      <c r="F2519" s="9" t="s">
        <v>69</v>
      </c>
      <c r="G2519" s="5" t="s">
        <v>84</v>
      </c>
    </row>
    <row r="2520">
      <c r="A2520" s="7"/>
      <c r="B2520" s="8"/>
      <c r="C2520" s="8"/>
      <c r="D2520" s="8"/>
      <c r="E2520" s="7" t="s">
        <v>272</v>
      </c>
      <c r="F2520" s="9" t="s">
        <v>70</v>
      </c>
      <c r="G2520" s="5" t="s">
        <v>84</v>
      </c>
    </row>
    <row r="2521">
      <c r="A2521" s="7"/>
      <c r="B2521" s="8"/>
      <c r="C2521" s="8"/>
      <c r="D2521" s="8"/>
      <c r="E2521" s="7" t="s">
        <v>272</v>
      </c>
      <c r="F2521" s="9" t="s">
        <v>71</v>
      </c>
      <c r="G2521" s="5" t="s">
        <v>84</v>
      </c>
    </row>
    <row r="2522">
      <c r="A2522" s="7"/>
      <c r="B2522" s="8"/>
      <c r="C2522" s="8"/>
      <c r="D2522" s="8"/>
      <c r="E2522" s="7" t="s">
        <v>272</v>
      </c>
      <c r="F2522" s="9" t="s">
        <v>72</v>
      </c>
      <c r="G2522" s="5" t="s">
        <v>84</v>
      </c>
    </row>
    <row r="2523">
      <c r="A2523" s="7"/>
      <c r="B2523" s="8"/>
      <c r="C2523" s="8"/>
      <c r="D2523" s="8"/>
      <c r="E2523" s="7" t="s">
        <v>272</v>
      </c>
      <c r="F2523" s="9" t="s">
        <v>73</v>
      </c>
      <c r="G2523" s="5" t="s">
        <v>84</v>
      </c>
    </row>
    <row r="2524">
      <c r="A2524" s="10">
        <v>6.193246632E9</v>
      </c>
      <c r="B2524" s="11">
        <v>0.066</v>
      </c>
      <c r="C2524" s="11">
        <v>16.0</v>
      </c>
      <c r="D2524" s="11">
        <v>0.229</v>
      </c>
      <c r="E2524" s="7" t="s">
        <v>273</v>
      </c>
      <c r="F2524" s="9" t="s">
        <v>60</v>
      </c>
      <c r="G2524" s="5" t="s">
        <v>77</v>
      </c>
    </row>
    <row r="2525">
      <c r="A2525" s="10">
        <v>5.840503703E9</v>
      </c>
      <c r="B2525" s="11">
        <v>0.072</v>
      </c>
      <c r="C2525" s="11">
        <v>17.0</v>
      </c>
      <c r="D2525" s="11">
        <v>0.227</v>
      </c>
      <c r="E2525" s="7" t="s">
        <v>273</v>
      </c>
      <c r="F2525" s="9" t="s">
        <v>62</v>
      </c>
      <c r="G2525" s="5" t="s">
        <v>77</v>
      </c>
    </row>
    <row r="2526">
      <c r="A2526" s="10">
        <v>6.178563467E9</v>
      </c>
      <c r="B2526" s="11">
        <v>0.075</v>
      </c>
      <c r="C2526" s="11">
        <v>18.0</v>
      </c>
      <c r="D2526" s="11">
        <v>0.191</v>
      </c>
      <c r="E2526" s="7" t="s">
        <v>273</v>
      </c>
      <c r="F2526" s="9" t="s">
        <v>63</v>
      </c>
      <c r="G2526" s="5" t="s">
        <v>77</v>
      </c>
    </row>
    <row r="2527">
      <c r="A2527" s="10">
        <v>6.336696289E9</v>
      </c>
      <c r="B2527" s="11">
        <v>0.076</v>
      </c>
      <c r="C2527" s="11">
        <v>18.0</v>
      </c>
      <c r="D2527" s="11">
        <v>0.189</v>
      </c>
      <c r="E2527" s="7" t="s">
        <v>273</v>
      </c>
      <c r="F2527" s="9" t="s">
        <v>64</v>
      </c>
      <c r="G2527" s="5" t="s">
        <v>77</v>
      </c>
    </row>
    <row r="2528">
      <c r="A2528" s="10">
        <v>7.940362663E9</v>
      </c>
      <c r="B2528" s="11">
        <v>0.079</v>
      </c>
      <c r="C2528" s="11">
        <v>24.0</v>
      </c>
      <c r="D2528" s="11">
        <v>0.206</v>
      </c>
      <c r="E2528" s="7" t="s">
        <v>273</v>
      </c>
      <c r="F2528" s="9" t="s">
        <v>65</v>
      </c>
      <c r="G2528" s="5" t="s">
        <v>77</v>
      </c>
    </row>
    <row r="2529">
      <c r="A2529" s="10">
        <v>9.01383449E9</v>
      </c>
      <c r="B2529" s="11">
        <v>0.092</v>
      </c>
      <c r="C2529" s="11">
        <v>29.0</v>
      </c>
      <c r="D2529" s="11">
        <v>0.196</v>
      </c>
      <c r="E2529" s="7" t="s">
        <v>273</v>
      </c>
      <c r="F2529" s="9" t="s">
        <v>66</v>
      </c>
      <c r="G2529" s="5" t="s">
        <v>77</v>
      </c>
    </row>
    <row r="2530">
      <c r="A2530" s="10">
        <v>9.942597753E9</v>
      </c>
      <c r="B2530" s="11">
        <v>0.096</v>
      </c>
      <c r="C2530" s="11">
        <v>32.0</v>
      </c>
      <c r="D2530" s="11">
        <v>0.187</v>
      </c>
      <c r="E2530" s="7" t="s">
        <v>273</v>
      </c>
      <c r="F2530" s="9" t="s">
        <v>67</v>
      </c>
      <c r="G2530" s="5" t="s">
        <v>77</v>
      </c>
    </row>
    <row r="2531">
      <c r="A2531" s="10">
        <v>1.2292813801E10</v>
      </c>
      <c r="B2531" s="11">
        <v>0.094</v>
      </c>
      <c r="C2531" s="11">
        <v>37.0</v>
      </c>
      <c r="D2531" s="11">
        <v>0.191</v>
      </c>
      <c r="E2531" s="7" t="s">
        <v>273</v>
      </c>
      <c r="F2531" s="9" t="s">
        <v>68</v>
      </c>
      <c r="G2531" s="5" t="s">
        <v>77</v>
      </c>
    </row>
    <row r="2532">
      <c r="A2532" s="10">
        <v>1.4239026768E10</v>
      </c>
      <c r="B2532" s="11">
        <v>0.088</v>
      </c>
      <c r="C2532" s="11">
        <v>39.0</v>
      </c>
      <c r="D2532" s="11">
        <v>0.205</v>
      </c>
      <c r="E2532" s="7" t="s">
        <v>273</v>
      </c>
      <c r="F2532" s="9" t="s">
        <v>69</v>
      </c>
      <c r="G2532" s="5" t="s">
        <v>77</v>
      </c>
    </row>
    <row r="2533">
      <c r="A2533" s="10">
        <v>1.4824492062E10</v>
      </c>
      <c r="B2533" s="11">
        <v>0.093</v>
      </c>
      <c r="C2533" s="11">
        <v>42.0</v>
      </c>
      <c r="D2533" s="11">
        <v>0.21</v>
      </c>
      <c r="E2533" s="7" t="s">
        <v>273</v>
      </c>
      <c r="F2533" s="9" t="s">
        <v>70</v>
      </c>
      <c r="G2533" s="5" t="s">
        <v>77</v>
      </c>
    </row>
    <row r="2534">
      <c r="A2534" s="10">
        <v>1.6030996179E10</v>
      </c>
      <c r="B2534" s="11">
        <v>0.092</v>
      </c>
      <c r="C2534" s="11">
        <v>43.0</v>
      </c>
      <c r="D2534" s="11">
        <v>0.202</v>
      </c>
      <c r="E2534" s="7" t="s">
        <v>273</v>
      </c>
      <c r="F2534" s="9" t="s">
        <v>71</v>
      </c>
      <c r="G2534" s="5" t="s">
        <v>77</v>
      </c>
    </row>
    <row r="2535">
      <c r="A2535" s="10">
        <v>1.5493320082E10</v>
      </c>
      <c r="B2535" s="11">
        <v>0.093</v>
      </c>
      <c r="C2535" s="11">
        <v>41.0</v>
      </c>
      <c r="D2535" s="11">
        <v>0.218</v>
      </c>
      <c r="E2535" s="7" t="s">
        <v>273</v>
      </c>
      <c r="F2535" s="9" t="s">
        <v>72</v>
      </c>
      <c r="G2535" s="5" t="s">
        <v>77</v>
      </c>
    </row>
    <row r="2536">
      <c r="A2536" s="10">
        <v>2.003223791E10</v>
      </c>
      <c r="B2536" s="11">
        <v>0.08</v>
      </c>
      <c r="C2536" s="11">
        <v>44.0</v>
      </c>
      <c r="D2536" s="11">
        <v>0.263</v>
      </c>
      <c r="E2536" s="7" t="s">
        <v>273</v>
      </c>
      <c r="F2536" s="9" t="s">
        <v>73</v>
      </c>
      <c r="G2536" s="5" t="s">
        <v>77</v>
      </c>
    </row>
    <row r="2537">
      <c r="A2537" s="10">
        <v>3.1261527363E10</v>
      </c>
      <c r="B2537" s="11">
        <v>0.056</v>
      </c>
      <c r="C2537" s="11">
        <v>36.0</v>
      </c>
      <c r="D2537" s="11">
        <v>0.415</v>
      </c>
      <c r="E2537" s="7" t="s">
        <v>274</v>
      </c>
      <c r="F2537" s="9" t="s">
        <v>60</v>
      </c>
      <c r="G2537" s="5" t="s">
        <v>75</v>
      </c>
    </row>
    <row r="2538">
      <c r="A2538" s="10">
        <v>3.8009344577E10</v>
      </c>
      <c r="B2538" s="11">
        <v>0.057</v>
      </c>
      <c r="C2538" s="11">
        <v>44.0</v>
      </c>
      <c r="D2538" s="11">
        <v>0.323</v>
      </c>
      <c r="E2538" s="7" t="s">
        <v>274</v>
      </c>
      <c r="F2538" s="9" t="s">
        <v>62</v>
      </c>
      <c r="G2538" s="5" t="s">
        <v>75</v>
      </c>
    </row>
    <row r="2539">
      <c r="A2539" s="10">
        <v>4.2392896031E10</v>
      </c>
      <c r="B2539" s="11">
        <v>0.063</v>
      </c>
      <c r="C2539" s="11">
        <v>55.0</v>
      </c>
      <c r="D2539" s="11">
        <v>0.253</v>
      </c>
      <c r="E2539" s="7" t="s">
        <v>274</v>
      </c>
      <c r="F2539" s="9" t="s">
        <v>63</v>
      </c>
      <c r="G2539" s="5" t="s">
        <v>75</v>
      </c>
    </row>
    <row r="2540">
      <c r="A2540" s="10">
        <v>5.0132953288E10</v>
      </c>
      <c r="B2540" s="11">
        <v>0.069</v>
      </c>
      <c r="C2540" s="11">
        <v>73.0</v>
      </c>
      <c r="D2540" s="11">
        <v>0.179</v>
      </c>
      <c r="E2540" s="7" t="s">
        <v>274</v>
      </c>
      <c r="F2540" s="9" t="s">
        <v>64</v>
      </c>
      <c r="G2540" s="5" t="s">
        <v>75</v>
      </c>
    </row>
    <row r="2541">
      <c r="A2541" s="10">
        <v>6.4883060726E10</v>
      </c>
      <c r="B2541" s="11">
        <v>0.066</v>
      </c>
      <c r="C2541" s="11">
        <v>90.0</v>
      </c>
      <c r="D2541" s="11">
        <v>0.174</v>
      </c>
      <c r="E2541" s="7" t="s">
        <v>274</v>
      </c>
      <c r="F2541" s="9" t="s">
        <v>65</v>
      </c>
      <c r="G2541" s="5" t="s">
        <v>75</v>
      </c>
    </row>
    <row r="2542">
      <c r="A2542" s="10">
        <v>8.6142018069E10</v>
      </c>
      <c r="B2542" s="11">
        <v>0.064</v>
      </c>
      <c r="C2542" s="11">
        <v>117.0</v>
      </c>
      <c r="D2542" s="11">
        <v>0.162</v>
      </c>
      <c r="E2542" s="7" t="s">
        <v>274</v>
      </c>
      <c r="F2542" s="9" t="s">
        <v>66</v>
      </c>
      <c r="G2542" s="5" t="s">
        <v>75</v>
      </c>
    </row>
    <row r="2543">
      <c r="A2543" s="10">
        <v>1.08E11</v>
      </c>
      <c r="B2543" s="11">
        <v>0.064</v>
      </c>
      <c r="C2543" s="11">
        <v>147.0</v>
      </c>
      <c r="D2543" s="11">
        <v>0.152</v>
      </c>
      <c r="E2543" s="7" t="s">
        <v>274</v>
      </c>
      <c r="F2543" s="9" t="s">
        <v>67</v>
      </c>
      <c r="G2543" s="5" t="s">
        <v>75</v>
      </c>
    </row>
    <row r="2544">
      <c r="A2544" s="10">
        <v>1.43E11</v>
      </c>
      <c r="B2544" s="11">
        <v>0.064</v>
      </c>
      <c r="C2544" s="11">
        <v>194.0</v>
      </c>
      <c r="D2544" s="11">
        <v>0.139</v>
      </c>
      <c r="E2544" s="7" t="s">
        <v>274</v>
      </c>
      <c r="F2544" s="9" t="s">
        <v>68</v>
      </c>
      <c r="G2544" s="5" t="s">
        <v>75</v>
      </c>
    </row>
    <row r="2545">
      <c r="A2545" s="10">
        <v>1.8E11</v>
      </c>
      <c r="B2545" s="11">
        <v>0.066</v>
      </c>
      <c r="C2545" s="11">
        <v>257.0</v>
      </c>
      <c r="D2545" s="11">
        <v>0.175</v>
      </c>
      <c r="E2545" s="7" t="s">
        <v>274</v>
      </c>
      <c r="F2545" s="9" t="s">
        <v>69</v>
      </c>
      <c r="G2545" s="5" t="s">
        <v>75</v>
      </c>
    </row>
    <row r="2546">
      <c r="A2546" s="10">
        <v>1.17E11</v>
      </c>
      <c r="B2546" s="11">
        <v>0.078</v>
      </c>
      <c r="C2546" s="11">
        <v>198.0</v>
      </c>
      <c r="D2546" s="11">
        <v>0.209</v>
      </c>
      <c r="E2546" s="7" t="s">
        <v>274</v>
      </c>
      <c r="F2546" s="9" t="s">
        <v>70</v>
      </c>
      <c r="G2546" s="5" t="s">
        <v>75</v>
      </c>
    </row>
    <row r="2547">
      <c r="A2547" s="10">
        <v>1.36E11</v>
      </c>
      <c r="B2547" s="11">
        <v>0.078</v>
      </c>
      <c r="C2547" s="11">
        <v>231.0</v>
      </c>
      <c r="D2547" s="11">
        <v>0.159</v>
      </c>
      <c r="E2547" s="7" t="s">
        <v>274</v>
      </c>
      <c r="F2547" s="9" t="s">
        <v>71</v>
      </c>
      <c r="G2547" s="5" t="s">
        <v>75</v>
      </c>
    </row>
    <row r="2548">
      <c r="A2548" s="10">
        <v>1.63E11</v>
      </c>
      <c r="B2548" s="11">
        <v>0.073</v>
      </c>
      <c r="C2548" s="11">
        <v>262.0</v>
      </c>
      <c r="D2548" s="11">
        <v>0.159</v>
      </c>
      <c r="E2548" s="7" t="s">
        <v>274</v>
      </c>
      <c r="F2548" s="9" t="s">
        <v>72</v>
      </c>
      <c r="G2548" s="5" t="s">
        <v>75</v>
      </c>
    </row>
    <row r="2549">
      <c r="A2549" s="10">
        <v>1.77E11</v>
      </c>
      <c r="B2549" s="11">
        <v>0.076</v>
      </c>
      <c r="C2549" s="11">
        <v>293.0</v>
      </c>
      <c r="D2549" s="11">
        <v>0.184</v>
      </c>
      <c r="E2549" s="7" t="s">
        <v>274</v>
      </c>
      <c r="F2549" s="9" t="s">
        <v>73</v>
      </c>
      <c r="G2549" s="5" t="s">
        <v>75</v>
      </c>
    </row>
    <row r="2550">
      <c r="A2550" s="10">
        <v>1.04E11</v>
      </c>
      <c r="B2550" s="11">
        <v>0.022</v>
      </c>
      <c r="C2550" s="11">
        <v>752.0</v>
      </c>
      <c r="D2550" s="11">
        <v>0.097</v>
      </c>
      <c r="E2550" s="7" t="s">
        <v>275</v>
      </c>
      <c r="F2550" s="9" t="s">
        <v>60</v>
      </c>
      <c r="G2550" s="5" t="s">
        <v>93</v>
      </c>
    </row>
    <row r="2551">
      <c r="A2551" s="10">
        <v>1.03E11</v>
      </c>
      <c r="B2551" s="11">
        <v>0.025</v>
      </c>
      <c r="C2551" s="11">
        <v>815.0</v>
      </c>
      <c r="D2551" s="11">
        <v>0.081</v>
      </c>
      <c r="E2551" s="7" t="s">
        <v>275</v>
      </c>
      <c r="F2551" s="9" t="s">
        <v>62</v>
      </c>
      <c r="G2551" s="5" t="s">
        <v>93</v>
      </c>
    </row>
    <row r="2552">
      <c r="A2552" s="10">
        <v>1.1E11</v>
      </c>
      <c r="B2552" s="11">
        <v>0.027</v>
      </c>
      <c r="C2552" s="11">
        <v>917.0</v>
      </c>
      <c r="D2552" s="8"/>
      <c r="E2552" s="7" t="s">
        <v>275</v>
      </c>
      <c r="F2552" s="9" t="s">
        <v>63</v>
      </c>
      <c r="G2552" s="5" t="s">
        <v>93</v>
      </c>
    </row>
    <row r="2553">
      <c r="A2553" s="10">
        <v>1.24E11</v>
      </c>
      <c r="B2553" s="11">
        <v>0.026</v>
      </c>
      <c r="C2553" s="11">
        <v>968.0</v>
      </c>
      <c r="D2553" s="8"/>
      <c r="E2553" s="7" t="s">
        <v>275</v>
      </c>
      <c r="F2553" s="9" t="s">
        <v>64</v>
      </c>
      <c r="G2553" s="5" t="s">
        <v>93</v>
      </c>
    </row>
    <row r="2554">
      <c r="A2554" s="10">
        <v>1.48E11</v>
      </c>
      <c r="B2554" s="11">
        <v>0.025</v>
      </c>
      <c r="C2554" s="11">
        <v>995.0</v>
      </c>
      <c r="D2554" s="8"/>
      <c r="E2554" s="7" t="s">
        <v>275</v>
      </c>
      <c r="F2554" s="9" t="s">
        <v>65</v>
      </c>
      <c r="G2554" s="5" t="s">
        <v>93</v>
      </c>
    </row>
    <row r="2555">
      <c r="A2555" s="10">
        <v>1.81E11</v>
      </c>
      <c r="B2555" s="11">
        <v>0.023</v>
      </c>
      <c r="C2555" s="11">
        <v>1030.0</v>
      </c>
      <c r="D2555" s="8"/>
      <c r="E2555" s="7" t="s">
        <v>275</v>
      </c>
      <c r="F2555" s="9" t="s">
        <v>66</v>
      </c>
      <c r="G2555" s="5" t="s">
        <v>93</v>
      </c>
    </row>
    <row r="2556">
      <c r="A2556" s="10">
        <v>2.22E11</v>
      </c>
      <c r="B2556" s="11">
        <v>0.023</v>
      </c>
      <c r="C2556" s="11">
        <v>1109.0</v>
      </c>
      <c r="D2556" s="8"/>
      <c r="E2556" s="7" t="s">
        <v>275</v>
      </c>
      <c r="F2556" s="9" t="s">
        <v>67</v>
      </c>
      <c r="G2556" s="5" t="s">
        <v>93</v>
      </c>
    </row>
    <row r="2557">
      <c r="A2557" s="10">
        <v>2.58E11</v>
      </c>
      <c r="B2557" s="11">
        <v>0.025</v>
      </c>
      <c r="C2557" s="11">
        <v>1184.0</v>
      </c>
      <c r="D2557" s="8"/>
      <c r="E2557" s="7" t="s">
        <v>275</v>
      </c>
      <c r="F2557" s="9" t="s">
        <v>68</v>
      </c>
      <c r="G2557" s="5" t="s">
        <v>93</v>
      </c>
    </row>
    <row r="2558">
      <c r="A2558" s="10">
        <v>3.15E11</v>
      </c>
      <c r="B2558" s="11">
        <v>0.027</v>
      </c>
      <c r="C2558" s="11">
        <v>1353.0</v>
      </c>
      <c r="D2558" s="8"/>
      <c r="E2558" s="7" t="s">
        <v>275</v>
      </c>
      <c r="F2558" s="9" t="s">
        <v>69</v>
      </c>
      <c r="G2558" s="5" t="s">
        <v>93</v>
      </c>
    </row>
    <row r="2559">
      <c r="A2559" s="10">
        <v>2.55E11</v>
      </c>
      <c r="B2559" s="11">
        <v>0.034</v>
      </c>
      <c r="C2559" s="11">
        <v>1336.0</v>
      </c>
      <c r="D2559" s="8"/>
      <c r="E2559" s="7" t="s">
        <v>275</v>
      </c>
      <c r="F2559" s="9" t="s">
        <v>70</v>
      </c>
      <c r="G2559" s="5" t="s">
        <v>93</v>
      </c>
    </row>
    <row r="2560">
      <c r="A2560" s="10">
        <v>2.87E11</v>
      </c>
      <c r="B2560" s="11">
        <v>0.032</v>
      </c>
      <c r="C2560" s="11">
        <v>1283.0</v>
      </c>
      <c r="D2560" s="8"/>
      <c r="E2560" s="7" t="s">
        <v>275</v>
      </c>
      <c r="F2560" s="9" t="s">
        <v>71</v>
      </c>
      <c r="G2560" s="5" t="s">
        <v>93</v>
      </c>
    </row>
    <row r="2561">
      <c r="A2561" s="10">
        <v>3.49E11</v>
      </c>
      <c r="B2561" s="11">
        <v>0.031</v>
      </c>
      <c r="C2561" s="11">
        <v>1375.0</v>
      </c>
      <c r="D2561" s="8"/>
      <c r="E2561" s="7" t="s">
        <v>275</v>
      </c>
      <c r="F2561" s="9" t="s">
        <v>72</v>
      </c>
      <c r="G2561" s="5" t="s">
        <v>93</v>
      </c>
    </row>
    <row r="2562">
      <c r="A2562" s="10">
        <v>3.84E11</v>
      </c>
      <c r="B2562" s="11">
        <v>0.028</v>
      </c>
      <c r="C2562" s="11">
        <v>1343.0</v>
      </c>
      <c r="D2562" s="8"/>
      <c r="E2562" s="7" t="s">
        <v>275</v>
      </c>
      <c r="F2562" s="9" t="s">
        <v>73</v>
      </c>
      <c r="G2562" s="5" t="s">
        <v>93</v>
      </c>
    </row>
    <row r="2563">
      <c r="A2563" s="10">
        <v>1.49E12</v>
      </c>
      <c r="B2563" s="11">
        <v>0.07</v>
      </c>
      <c r="C2563" s="11">
        <v>1761.0</v>
      </c>
      <c r="D2563" s="11">
        <v>0.06</v>
      </c>
      <c r="E2563" s="7" t="s">
        <v>276</v>
      </c>
      <c r="F2563" s="9" t="s">
        <v>60</v>
      </c>
      <c r="G2563" s="5" t="s">
        <v>75</v>
      </c>
    </row>
    <row r="2564">
      <c r="A2564" s="10">
        <v>1.49E12</v>
      </c>
      <c r="B2564" s="11">
        <v>0.073</v>
      </c>
      <c r="C2564" s="11">
        <v>1819.0</v>
      </c>
      <c r="D2564" s="11">
        <v>0.051</v>
      </c>
      <c r="E2564" s="7" t="s">
        <v>276</v>
      </c>
      <c r="F2564" s="9" t="s">
        <v>62</v>
      </c>
      <c r="G2564" s="5" t="s">
        <v>75</v>
      </c>
    </row>
    <row r="2565">
      <c r="A2565" s="10">
        <v>1.62E12</v>
      </c>
      <c r="B2565" s="11">
        <v>0.076</v>
      </c>
      <c r="C2565" s="11">
        <v>2065.0</v>
      </c>
      <c r="D2565" s="11">
        <v>0.04</v>
      </c>
      <c r="E2565" s="7" t="s">
        <v>276</v>
      </c>
      <c r="F2565" s="9" t="s">
        <v>63</v>
      </c>
      <c r="G2565" s="5" t="s">
        <v>75</v>
      </c>
    </row>
    <row r="2566">
      <c r="A2566" s="10">
        <v>1.88E12</v>
      </c>
      <c r="B2566" s="11">
        <v>0.078</v>
      </c>
      <c r="C2566" s="11">
        <v>2444.0</v>
      </c>
      <c r="D2566" s="11">
        <v>0.037</v>
      </c>
      <c r="E2566" s="7" t="s">
        <v>276</v>
      </c>
      <c r="F2566" s="9" t="s">
        <v>64</v>
      </c>
      <c r="G2566" s="5" t="s">
        <v>75</v>
      </c>
    </row>
    <row r="2567">
      <c r="A2567" s="10">
        <v>2.22E12</v>
      </c>
      <c r="B2567" s="11">
        <v>0.08</v>
      </c>
      <c r="C2567" s="11">
        <v>2955.0</v>
      </c>
      <c r="D2567" s="11">
        <v>0.044</v>
      </c>
      <c r="E2567" s="7" t="s">
        <v>276</v>
      </c>
      <c r="F2567" s="9" t="s">
        <v>65</v>
      </c>
      <c r="G2567" s="5" t="s">
        <v>75</v>
      </c>
    </row>
    <row r="2568">
      <c r="A2568" s="10">
        <v>2.32E12</v>
      </c>
      <c r="B2568" s="11">
        <v>0.083</v>
      </c>
      <c r="C2568" s="11">
        <v>3161.0</v>
      </c>
      <c r="D2568" s="11">
        <v>0.046</v>
      </c>
      <c r="E2568" s="7" t="s">
        <v>276</v>
      </c>
      <c r="F2568" s="9" t="s">
        <v>66</v>
      </c>
      <c r="G2568" s="5" t="s">
        <v>75</v>
      </c>
    </row>
    <row r="2569">
      <c r="A2569" s="10">
        <v>2.48E12</v>
      </c>
      <c r="B2569" s="11">
        <v>0.084</v>
      </c>
      <c r="C2569" s="11">
        <v>3423.0</v>
      </c>
      <c r="D2569" s="11">
        <v>0.046</v>
      </c>
      <c r="E2569" s="7" t="s">
        <v>276</v>
      </c>
      <c r="F2569" s="9" t="s">
        <v>67</v>
      </c>
      <c r="G2569" s="5" t="s">
        <v>75</v>
      </c>
    </row>
    <row r="2570">
      <c r="A2570" s="10">
        <v>2.86E12</v>
      </c>
      <c r="B2570" s="11">
        <v>0.085</v>
      </c>
      <c r="C2570" s="11">
        <v>3953.0</v>
      </c>
      <c r="D2570" s="11">
        <v>0.055</v>
      </c>
      <c r="E2570" s="7" t="s">
        <v>276</v>
      </c>
      <c r="F2570" s="9" t="s">
        <v>68</v>
      </c>
      <c r="G2570" s="5" t="s">
        <v>75</v>
      </c>
    </row>
    <row r="2571">
      <c r="A2571" s="10">
        <v>2.69E12</v>
      </c>
      <c r="B2571" s="11">
        <v>0.09</v>
      </c>
      <c r="C2571" s="11">
        <v>3875.0</v>
      </c>
      <c r="D2571" s="11">
        <v>0.046</v>
      </c>
      <c r="E2571" s="7" t="s">
        <v>276</v>
      </c>
      <c r="F2571" s="9" t="s">
        <v>69</v>
      </c>
      <c r="G2571" s="5" t="s">
        <v>75</v>
      </c>
    </row>
    <row r="2572">
      <c r="A2572" s="10">
        <v>2.21E12</v>
      </c>
      <c r="B2572" s="11">
        <v>0.099</v>
      </c>
      <c r="C2572" s="11">
        <v>3512.0</v>
      </c>
      <c r="D2572" s="11">
        <v>0.006</v>
      </c>
      <c r="E2572" s="7" t="s">
        <v>276</v>
      </c>
      <c r="F2572" s="9" t="s">
        <v>70</v>
      </c>
      <c r="G2572" s="5" t="s">
        <v>75</v>
      </c>
    </row>
    <row r="2573">
      <c r="A2573" s="10">
        <v>2.3E12</v>
      </c>
      <c r="B2573" s="11">
        <v>0.096</v>
      </c>
      <c r="C2573" s="11">
        <v>3489.0</v>
      </c>
      <c r="D2573" s="11">
        <v>0.005</v>
      </c>
      <c r="E2573" s="7" t="s">
        <v>276</v>
      </c>
      <c r="F2573" s="9" t="s">
        <v>71</v>
      </c>
      <c r="G2573" s="5" t="s">
        <v>75</v>
      </c>
    </row>
    <row r="2574">
      <c r="A2574" s="10">
        <v>2.46E12</v>
      </c>
      <c r="B2574" s="11">
        <v>0.094</v>
      </c>
      <c r="C2574" s="11">
        <v>3659.0</v>
      </c>
      <c r="D2574" s="11">
        <v>0.005</v>
      </c>
      <c r="E2574" s="7" t="s">
        <v>276</v>
      </c>
      <c r="F2574" s="9" t="s">
        <v>72</v>
      </c>
      <c r="G2574" s="5" t="s">
        <v>75</v>
      </c>
    </row>
    <row r="2575">
      <c r="A2575" s="10">
        <v>2.46E12</v>
      </c>
      <c r="B2575" s="11">
        <v>0.094</v>
      </c>
      <c r="C2575" s="11">
        <v>3647.0</v>
      </c>
      <c r="D2575" s="11">
        <v>0.005</v>
      </c>
      <c r="E2575" s="7" t="s">
        <v>276</v>
      </c>
      <c r="F2575" s="9" t="s">
        <v>73</v>
      </c>
      <c r="G2575" s="5" t="s">
        <v>75</v>
      </c>
    </row>
    <row r="2576">
      <c r="A2576" s="10">
        <v>1.03E13</v>
      </c>
      <c r="B2576" s="11">
        <v>0.136</v>
      </c>
      <c r="C2576" s="11">
        <v>4790.0</v>
      </c>
      <c r="D2576" s="11">
        <v>0.092</v>
      </c>
      <c r="E2576" s="7" t="s">
        <v>277</v>
      </c>
      <c r="F2576" s="9" t="s">
        <v>60</v>
      </c>
      <c r="G2576" s="5" t="s">
        <v>84</v>
      </c>
    </row>
    <row r="2577">
      <c r="A2577" s="10">
        <v>1.06E13</v>
      </c>
      <c r="B2577" s="11">
        <v>0.142</v>
      </c>
      <c r="C2577" s="11">
        <v>5138.0</v>
      </c>
      <c r="D2577" s="11">
        <v>0.069</v>
      </c>
      <c r="E2577" s="7" t="s">
        <v>277</v>
      </c>
      <c r="F2577" s="9" t="s">
        <v>62</v>
      </c>
      <c r="G2577" s="5" t="s">
        <v>84</v>
      </c>
    </row>
    <row r="2578">
      <c r="A2578" s="10">
        <v>1.1E13</v>
      </c>
      <c r="B2578" s="11">
        <v>0.151</v>
      </c>
      <c r="C2578" s="11">
        <v>5578.0</v>
      </c>
      <c r="D2578" s="11">
        <v>0.047</v>
      </c>
      <c r="E2578" s="7" t="s">
        <v>277</v>
      </c>
      <c r="F2578" s="9" t="s">
        <v>63</v>
      </c>
      <c r="G2578" s="5" t="s">
        <v>84</v>
      </c>
    </row>
    <row r="2579">
      <c r="A2579" s="10">
        <v>1.15E13</v>
      </c>
      <c r="B2579" s="11">
        <v>0.156</v>
      </c>
      <c r="C2579" s="11">
        <v>5993.0</v>
      </c>
      <c r="D2579" s="11">
        <v>0.041</v>
      </c>
      <c r="E2579" s="7" t="s">
        <v>277</v>
      </c>
      <c r="F2579" s="9" t="s">
        <v>64</v>
      </c>
      <c r="G2579" s="5" t="s">
        <v>84</v>
      </c>
    </row>
    <row r="2580">
      <c r="A2580" s="10">
        <v>1.23E13</v>
      </c>
      <c r="B2580" s="11">
        <v>0.157</v>
      </c>
      <c r="C2580" s="11">
        <v>6355.0</v>
      </c>
      <c r="D2580" s="11">
        <v>0.043</v>
      </c>
      <c r="E2580" s="7" t="s">
        <v>277</v>
      </c>
      <c r="F2580" s="9" t="s">
        <v>65</v>
      </c>
      <c r="G2580" s="5" t="s">
        <v>84</v>
      </c>
    </row>
    <row r="2581">
      <c r="A2581" s="10">
        <v>1.31E13</v>
      </c>
      <c r="B2581" s="11">
        <v>0.158</v>
      </c>
      <c r="C2581" s="11">
        <v>6732.0</v>
      </c>
      <c r="D2581" s="11">
        <v>0.062</v>
      </c>
      <c r="E2581" s="7" t="s">
        <v>277</v>
      </c>
      <c r="F2581" s="9" t="s">
        <v>66</v>
      </c>
      <c r="G2581" s="5" t="s">
        <v>84</v>
      </c>
    </row>
    <row r="2582">
      <c r="A2582" s="10">
        <v>1.39E13</v>
      </c>
      <c r="B2582" s="11">
        <v>0.159</v>
      </c>
      <c r="C2582" s="11">
        <v>7110.0</v>
      </c>
      <c r="D2582" s="11">
        <v>0.08</v>
      </c>
      <c r="E2582" s="7" t="s">
        <v>277</v>
      </c>
      <c r="F2582" s="9" t="s">
        <v>67</v>
      </c>
      <c r="G2582" s="5" t="s">
        <v>84</v>
      </c>
    </row>
    <row r="2583">
      <c r="A2583" s="10">
        <v>1.45E13</v>
      </c>
      <c r="B2583" s="11">
        <v>0.161</v>
      </c>
      <c r="C2583" s="11">
        <v>7486.0</v>
      </c>
      <c r="D2583" s="11">
        <v>0.081</v>
      </c>
      <c r="E2583" s="7" t="s">
        <v>277</v>
      </c>
      <c r="F2583" s="9" t="s">
        <v>68</v>
      </c>
      <c r="G2583" s="5" t="s">
        <v>84</v>
      </c>
    </row>
    <row r="2584">
      <c r="A2584" s="10">
        <v>1.47E13</v>
      </c>
      <c r="B2584" s="11">
        <v>0.165</v>
      </c>
      <c r="C2584" s="11">
        <v>7769.0</v>
      </c>
      <c r="D2584" s="11">
        <v>0.051</v>
      </c>
      <c r="E2584" s="7" t="s">
        <v>277</v>
      </c>
      <c r="F2584" s="9" t="s">
        <v>69</v>
      </c>
      <c r="G2584" s="5" t="s">
        <v>84</v>
      </c>
    </row>
    <row r="2585">
      <c r="A2585" s="10">
        <v>1.44E13</v>
      </c>
      <c r="B2585" s="11">
        <v>0.177</v>
      </c>
      <c r="C2585" s="11">
        <v>8009.0</v>
      </c>
      <c r="D2585" s="11">
        <v>0.033</v>
      </c>
      <c r="E2585" s="7" t="s">
        <v>277</v>
      </c>
      <c r="F2585" s="9" t="s">
        <v>70</v>
      </c>
      <c r="G2585" s="5" t="s">
        <v>84</v>
      </c>
    </row>
    <row r="2586">
      <c r="A2586" s="10">
        <v>1.5E13</v>
      </c>
      <c r="B2586" s="11">
        <v>0.177</v>
      </c>
      <c r="C2586" s="11">
        <v>8254.0</v>
      </c>
      <c r="D2586" s="11">
        <v>0.033</v>
      </c>
      <c r="E2586" s="7" t="s">
        <v>277</v>
      </c>
      <c r="F2586" s="9" t="s">
        <v>71</v>
      </c>
      <c r="G2586" s="5" t="s">
        <v>84</v>
      </c>
    </row>
    <row r="2587">
      <c r="A2587" s="10">
        <v>1.55E13</v>
      </c>
      <c r="B2587" s="11">
        <v>0.177</v>
      </c>
      <c r="C2587" s="11">
        <v>8467.0</v>
      </c>
      <c r="D2587" s="11">
        <v>0.033</v>
      </c>
      <c r="E2587" s="7" t="s">
        <v>277</v>
      </c>
      <c r="F2587" s="9" t="s">
        <v>72</v>
      </c>
      <c r="G2587" s="5" t="s">
        <v>84</v>
      </c>
    </row>
    <row r="2588">
      <c r="A2588" s="10">
        <v>1.62E13</v>
      </c>
      <c r="B2588" s="11">
        <v>0.179</v>
      </c>
      <c r="C2588" s="11">
        <v>8895.0</v>
      </c>
      <c r="D2588" s="11">
        <v>0.033</v>
      </c>
      <c r="E2588" s="7" t="s">
        <v>277</v>
      </c>
      <c r="F2588" s="9" t="s">
        <v>73</v>
      </c>
      <c r="G2588" s="5" t="s">
        <v>84</v>
      </c>
    </row>
    <row r="2589">
      <c r="A2589" s="10">
        <v>2.2823255806E10</v>
      </c>
      <c r="B2589" s="11">
        <v>0.112</v>
      </c>
      <c r="C2589" s="11">
        <v>773.0</v>
      </c>
      <c r="D2589" s="11">
        <v>0.461</v>
      </c>
      <c r="E2589" s="7" t="s">
        <v>278</v>
      </c>
      <c r="F2589" s="9" t="s">
        <v>60</v>
      </c>
      <c r="G2589" s="5" t="s">
        <v>84</v>
      </c>
    </row>
    <row r="2590">
      <c r="A2590" s="10">
        <v>2.089878842E10</v>
      </c>
      <c r="B2590" s="11">
        <v>0.112</v>
      </c>
      <c r="C2590" s="11">
        <v>703.0</v>
      </c>
      <c r="D2590" s="11">
        <v>0.486</v>
      </c>
      <c r="E2590" s="7" t="s">
        <v>278</v>
      </c>
      <c r="F2590" s="9" t="s">
        <v>62</v>
      </c>
      <c r="G2590" s="5" t="s">
        <v>84</v>
      </c>
    </row>
    <row r="2591">
      <c r="A2591" s="10">
        <v>1.3606494599E10</v>
      </c>
      <c r="B2591" s="11">
        <v>0.11</v>
      </c>
      <c r="C2591" s="11">
        <v>449.0</v>
      </c>
      <c r="D2591" s="11">
        <v>1.184</v>
      </c>
      <c r="E2591" s="7" t="s">
        <v>278</v>
      </c>
      <c r="F2591" s="9" t="s">
        <v>63</v>
      </c>
      <c r="G2591" s="5" t="s">
        <v>84</v>
      </c>
    </row>
    <row r="2592">
      <c r="A2592" s="10">
        <v>1.2045627411E10</v>
      </c>
      <c r="B2592" s="11">
        <v>0.097</v>
      </c>
      <c r="C2592" s="11">
        <v>351.0</v>
      </c>
      <c r="D2592" s="11">
        <v>0.589</v>
      </c>
      <c r="E2592" s="7" t="s">
        <v>278</v>
      </c>
      <c r="F2592" s="9" t="s">
        <v>64</v>
      </c>
      <c r="G2592" s="5" t="s">
        <v>84</v>
      </c>
    </row>
    <row r="2593">
      <c r="A2593" s="10">
        <v>1.3686333822E10</v>
      </c>
      <c r="B2593" s="11">
        <v>0.085</v>
      </c>
      <c r="C2593" s="11">
        <v>350.0</v>
      </c>
      <c r="D2593" s="11">
        <v>0.237</v>
      </c>
      <c r="E2593" s="7" t="s">
        <v>278</v>
      </c>
      <c r="F2593" s="9" t="s">
        <v>65</v>
      </c>
      <c r="G2593" s="5" t="s">
        <v>84</v>
      </c>
    </row>
    <row r="2594">
      <c r="A2594" s="10">
        <v>1.736287271E10</v>
      </c>
      <c r="B2594" s="11">
        <v>0.082</v>
      </c>
      <c r="C2594" s="11">
        <v>430.0</v>
      </c>
      <c r="D2594" s="11">
        <v>0.136</v>
      </c>
      <c r="E2594" s="7" t="s">
        <v>278</v>
      </c>
      <c r="F2594" s="9" t="s">
        <v>66</v>
      </c>
      <c r="G2594" s="5" t="s">
        <v>84</v>
      </c>
    </row>
    <row r="2595">
      <c r="A2595" s="10">
        <v>1.9579479147E10</v>
      </c>
      <c r="B2595" s="11">
        <v>0.083</v>
      </c>
      <c r="C2595" s="11">
        <v>491.0</v>
      </c>
      <c r="D2595" s="11">
        <v>0.093</v>
      </c>
      <c r="E2595" s="7" t="s">
        <v>278</v>
      </c>
      <c r="F2595" s="9" t="s">
        <v>67</v>
      </c>
      <c r="G2595" s="5" t="s">
        <v>84</v>
      </c>
    </row>
    <row r="2596">
      <c r="A2596" s="10">
        <v>2.3410536914E10</v>
      </c>
      <c r="B2596" s="11">
        <v>0.08</v>
      </c>
      <c r="C2596" s="11">
        <v>560.0</v>
      </c>
      <c r="D2596" s="11">
        <v>0.089</v>
      </c>
      <c r="E2596" s="7" t="s">
        <v>278</v>
      </c>
      <c r="F2596" s="9" t="s">
        <v>68</v>
      </c>
      <c r="G2596" s="5" t="s">
        <v>84</v>
      </c>
    </row>
    <row r="2597">
      <c r="A2597" s="10">
        <v>3.0366148205E10</v>
      </c>
      <c r="B2597" s="11">
        <v>0.08</v>
      </c>
      <c r="C2597" s="11">
        <v>722.0</v>
      </c>
      <c r="D2597" s="11">
        <v>0.124</v>
      </c>
      <c r="E2597" s="7" t="s">
        <v>278</v>
      </c>
      <c r="F2597" s="9" t="s">
        <v>69</v>
      </c>
      <c r="G2597" s="5" t="s">
        <v>84</v>
      </c>
    </row>
    <row r="2598">
      <c r="A2598" s="10">
        <v>3.0461322555E10</v>
      </c>
      <c r="B2598" s="11">
        <v>0.089</v>
      </c>
      <c r="C2598" s="11">
        <v>803.0</v>
      </c>
      <c r="D2598" s="11">
        <v>0.153</v>
      </c>
      <c r="E2598" s="7" t="s">
        <v>278</v>
      </c>
      <c r="F2598" s="9" t="s">
        <v>70</v>
      </c>
      <c r="G2598" s="5" t="s">
        <v>84</v>
      </c>
    </row>
    <row r="2599">
      <c r="A2599" s="10">
        <v>3.8881102075E10</v>
      </c>
      <c r="B2599" s="11">
        <v>0.087</v>
      </c>
      <c r="C2599" s="11">
        <v>998.0</v>
      </c>
      <c r="D2599" s="11">
        <v>0.103</v>
      </c>
      <c r="E2599" s="7" t="s">
        <v>278</v>
      </c>
      <c r="F2599" s="9" t="s">
        <v>71</v>
      </c>
      <c r="G2599" s="5" t="s">
        <v>84</v>
      </c>
    </row>
    <row r="2600">
      <c r="A2600" s="10">
        <v>4.7236710623E10</v>
      </c>
      <c r="B2600" s="11">
        <v>0.088</v>
      </c>
      <c r="C2600" s="11">
        <v>1213.0</v>
      </c>
      <c r="D2600" s="11">
        <v>0.098</v>
      </c>
      <c r="E2600" s="7" t="s">
        <v>278</v>
      </c>
      <c r="F2600" s="9" t="s">
        <v>72</v>
      </c>
      <c r="G2600" s="5" t="s">
        <v>84</v>
      </c>
    </row>
    <row r="2601">
      <c r="A2601" s="10">
        <v>5.0004354667E10</v>
      </c>
      <c r="B2601" s="11">
        <v>0.089</v>
      </c>
      <c r="C2601" s="11">
        <v>1308.0</v>
      </c>
      <c r="D2601" s="11">
        <v>0.112</v>
      </c>
      <c r="E2601" s="7" t="s">
        <v>278</v>
      </c>
      <c r="F2601" s="9" t="s">
        <v>73</v>
      </c>
      <c r="G2601" s="5" t="s">
        <v>84</v>
      </c>
    </row>
    <row r="2602">
      <c r="A2602" s="10">
        <v>1.3760374488E10</v>
      </c>
      <c r="B2602" s="11">
        <v>0.053</v>
      </c>
      <c r="C2602" s="11">
        <v>29.0</v>
      </c>
      <c r="D2602" s="8"/>
      <c r="E2602" s="7" t="s">
        <v>279</v>
      </c>
      <c r="F2602" s="9" t="s">
        <v>60</v>
      </c>
      <c r="G2602" s="5" t="s">
        <v>61</v>
      </c>
    </row>
    <row r="2603">
      <c r="A2603" s="10">
        <v>1.140135142E10</v>
      </c>
      <c r="B2603" s="11">
        <v>0.053</v>
      </c>
      <c r="C2603" s="11">
        <v>24.0</v>
      </c>
      <c r="D2603" s="8"/>
      <c r="E2603" s="7" t="s">
        <v>279</v>
      </c>
      <c r="F2603" s="9" t="s">
        <v>62</v>
      </c>
      <c r="G2603" s="5" t="s">
        <v>61</v>
      </c>
    </row>
    <row r="2604">
      <c r="A2604" s="10">
        <v>9.687951055E9</v>
      </c>
      <c r="B2604" s="11">
        <v>0.054</v>
      </c>
      <c r="C2604" s="11">
        <v>21.0</v>
      </c>
      <c r="D2604" s="8"/>
      <c r="E2604" s="7" t="s">
        <v>279</v>
      </c>
      <c r="F2604" s="9" t="s">
        <v>63</v>
      </c>
      <c r="G2604" s="5" t="s">
        <v>61</v>
      </c>
    </row>
    <row r="2605">
      <c r="A2605" s="10">
        <v>1.0128112401E10</v>
      </c>
      <c r="B2605" s="11">
        <v>0.052</v>
      </c>
      <c r="C2605" s="11">
        <v>20.0</v>
      </c>
      <c r="D2605" s="8"/>
      <c r="E2605" s="7" t="s">
        <v>279</v>
      </c>
      <c r="F2605" s="9" t="s">
        <v>64</v>
      </c>
      <c r="G2605" s="5" t="s">
        <v>61</v>
      </c>
    </row>
    <row r="2606">
      <c r="A2606" s="10">
        <v>1.2030023548E10</v>
      </c>
      <c r="B2606" s="11">
        <v>0.051</v>
      </c>
      <c r="C2606" s="11">
        <v>24.0</v>
      </c>
      <c r="D2606" s="8"/>
      <c r="E2606" s="7" t="s">
        <v>279</v>
      </c>
      <c r="F2606" s="9" t="s">
        <v>65</v>
      </c>
      <c r="G2606" s="5" t="s">
        <v>61</v>
      </c>
    </row>
    <row r="2607">
      <c r="A2607" s="10">
        <v>1.4307509839E10</v>
      </c>
      <c r="B2607" s="11">
        <v>0.051</v>
      </c>
      <c r="C2607" s="11">
        <v>28.0</v>
      </c>
      <c r="D2607" s="8"/>
      <c r="E2607" s="7" t="s">
        <v>279</v>
      </c>
      <c r="F2607" s="9" t="s">
        <v>66</v>
      </c>
      <c r="G2607" s="5" t="s">
        <v>61</v>
      </c>
    </row>
    <row r="2608">
      <c r="A2608" s="10">
        <v>1.7030896203E10</v>
      </c>
      <c r="B2608" s="11">
        <v>0.055</v>
      </c>
      <c r="C2608" s="11">
        <v>35.0</v>
      </c>
      <c r="D2608" s="8"/>
      <c r="E2608" s="7" t="s">
        <v>279</v>
      </c>
      <c r="F2608" s="9" t="s">
        <v>67</v>
      </c>
      <c r="G2608" s="5" t="s">
        <v>61</v>
      </c>
    </row>
    <row r="2609">
      <c r="A2609" s="10">
        <v>2.2311393928E10</v>
      </c>
      <c r="B2609" s="11">
        <v>0.054</v>
      </c>
      <c r="C2609" s="11">
        <v>46.0</v>
      </c>
      <c r="D2609" s="8"/>
      <c r="E2609" s="7" t="s">
        <v>279</v>
      </c>
      <c r="F2609" s="9" t="s">
        <v>68</v>
      </c>
      <c r="G2609" s="5" t="s">
        <v>61</v>
      </c>
    </row>
    <row r="2610">
      <c r="A2610" s="10">
        <v>2.7934030937E10</v>
      </c>
      <c r="B2610" s="11">
        <v>0.052</v>
      </c>
      <c r="C2610" s="11">
        <v>53.0</v>
      </c>
      <c r="D2610" s="8"/>
      <c r="E2610" s="7" t="s">
        <v>279</v>
      </c>
      <c r="F2610" s="9" t="s">
        <v>69</v>
      </c>
      <c r="G2610" s="5" t="s">
        <v>61</v>
      </c>
    </row>
    <row r="2611">
      <c r="A2611" s="10">
        <v>3.2816828373E10</v>
      </c>
      <c r="B2611" s="11">
        <v>0.054</v>
      </c>
      <c r="C2611" s="11">
        <v>64.0</v>
      </c>
      <c r="D2611" s="8"/>
      <c r="E2611" s="7" t="s">
        <v>279</v>
      </c>
      <c r="F2611" s="9" t="s">
        <v>70</v>
      </c>
      <c r="G2611" s="5" t="s">
        <v>61</v>
      </c>
    </row>
    <row r="2612">
      <c r="A2612" s="10">
        <v>3.9332770929E10</v>
      </c>
      <c r="B2612" s="11">
        <v>0.054</v>
      </c>
      <c r="C2612" s="11">
        <v>75.0</v>
      </c>
      <c r="D2612" s="8"/>
      <c r="E2612" s="7" t="s">
        <v>279</v>
      </c>
      <c r="F2612" s="9" t="s">
        <v>71</v>
      </c>
      <c r="G2612" s="5" t="s">
        <v>61</v>
      </c>
    </row>
    <row r="2613">
      <c r="A2613" s="10">
        <v>4.5324319955E10</v>
      </c>
      <c r="B2613" s="11">
        <v>0.056</v>
      </c>
      <c r="C2613" s="11">
        <v>91.0</v>
      </c>
      <c r="D2613" s="8"/>
      <c r="E2613" s="7" t="s">
        <v>279</v>
      </c>
      <c r="F2613" s="9" t="s">
        <v>72</v>
      </c>
      <c r="G2613" s="5" t="s">
        <v>61</v>
      </c>
    </row>
    <row r="2614">
      <c r="A2614" s="10">
        <v>5.1183443225E10</v>
      </c>
      <c r="B2614" s="11">
        <v>0.059</v>
      </c>
      <c r="C2614" s="11">
        <v>105.0</v>
      </c>
      <c r="D2614" s="8"/>
      <c r="E2614" s="7" t="s">
        <v>279</v>
      </c>
      <c r="F2614" s="9" t="s">
        <v>73</v>
      </c>
      <c r="G2614" s="5" t="s">
        <v>61</v>
      </c>
    </row>
    <row r="2615">
      <c r="A2615" s="10">
        <v>2.72014693E8</v>
      </c>
      <c r="B2615" s="11">
        <v>0.036</v>
      </c>
      <c r="C2615" s="11">
        <v>52.0</v>
      </c>
      <c r="D2615" s="11">
        <v>0.099</v>
      </c>
      <c r="E2615" s="7" t="s">
        <v>280</v>
      </c>
      <c r="F2615" s="9" t="s">
        <v>60</v>
      </c>
      <c r="G2615" s="5" t="s">
        <v>80</v>
      </c>
    </row>
    <row r="2616">
      <c r="A2616" s="10">
        <v>2.57926882E8</v>
      </c>
      <c r="B2616" s="11">
        <v>0.037</v>
      </c>
      <c r="C2616" s="11">
        <v>50.0</v>
      </c>
      <c r="D2616" s="11">
        <v>0.088</v>
      </c>
      <c r="E2616" s="7" t="s">
        <v>280</v>
      </c>
      <c r="F2616" s="9" t="s">
        <v>62</v>
      </c>
      <c r="G2616" s="5" t="s">
        <v>80</v>
      </c>
    </row>
    <row r="2617">
      <c r="A2617" s="10">
        <v>2.62603782E8</v>
      </c>
      <c r="B2617" s="11">
        <v>0.038</v>
      </c>
      <c r="C2617" s="11">
        <v>52.0</v>
      </c>
      <c r="D2617" s="11">
        <v>0.074</v>
      </c>
      <c r="E2617" s="7" t="s">
        <v>280</v>
      </c>
      <c r="F2617" s="9" t="s">
        <v>63</v>
      </c>
      <c r="G2617" s="5" t="s">
        <v>80</v>
      </c>
    </row>
    <row r="2618">
      <c r="A2618" s="10">
        <v>3.14463144E8</v>
      </c>
      <c r="B2618" s="11">
        <v>0.037</v>
      </c>
      <c r="C2618" s="11">
        <v>58.0</v>
      </c>
      <c r="D2618" s="11">
        <v>0.059</v>
      </c>
      <c r="E2618" s="7" t="s">
        <v>280</v>
      </c>
      <c r="F2618" s="9" t="s">
        <v>64</v>
      </c>
      <c r="G2618" s="5" t="s">
        <v>80</v>
      </c>
    </row>
    <row r="2619">
      <c r="A2619" s="10">
        <v>3.64996869E8</v>
      </c>
      <c r="B2619" s="11">
        <v>0.035</v>
      </c>
      <c r="C2619" s="11">
        <v>62.0</v>
      </c>
      <c r="D2619" s="11">
        <v>0.076</v>
      </c>
      <c r="E2619" s="7" t="s">
        <v>280</v>
      </c>
      <c r="F2619" s="9" t="s">
        <v>65</v>
      </c>
      <c r="G2619" s="5" t="s">
        <v>80</v>
      </c>
    </row>
    <row r="2620">
      <c r="A2620" s="10">
        <v>3.94962552E8</v>
      </c>
      <c r="B2620" s="11">
        <v>0.033</v>
      </c>
      <c r="C2620" s="11">
        <v>61.0</v>
      </c>
      <c r="D2620" s="11">
        <v>0.075</v>
      </c>
      <c r="E2620" s="7" t="s">
        <v>280</v>
      </c>
      <c r="F2620" s="9" t="s">
        <v>66</v>
      </c>
      <c r="G2620" s="5" t="s">
        <v>80</v>
      </c>
    </row>
    <row r="2621">
      <c r="A2621" s="10">
        <v>4.37072934E8</v>
      </c>
      <c r="B2621" s="11">
        <v>0.031</v>
      </c>
      <c r="C2621" s="11">
        <v>64.0</v>
      </c>
      <c r="D2621" s="11">
        <v>0.083</v>
      </c>
      <c r="E2621" s="7" t="s">
        <v>280</v>
      </c>
      <c r="F2621" s="9" t="s">
        <v>67</v>
      </c>
      <c r="G2621" s="5" t="s">
        <v>80</v>
      </c>
    </row>
    <row r="2622">
      <c r="A2622" s="10">
        <v>5.2642574E8</v>
      </c>
      <c r="B2622" s="11">
        <v>0.037</v>
      </c>
      <c r="C2622" s="11">
        <v>88.0</v>
      </c>
      <c r="D2622" s="11">
        <v>0.082</v>
      </c>
      <c r="E2622" s="7" t="s">
        <v>280</v>
      </c>
      <c r="F2622" s="9" t="s">
        <v>68</v>
      </c>
      <c r="G2622" s="5" t="s">
        <v>80</v>
      </c>
    </row>
    <row r="2623">
      <c r="A2623" s="10">
        <v>6.07983815E8</v>
      </c>
      <c r="B2623" s="11">
        <v>0.037</v>
      </c>
      <c r="C2623" s="11">
        <v>99.0</v>
      </c>
      <c r="D2623" s="11">
        <v>0.053</v>
      </c>
      <c r="E2623" s="7" t="s">
        <v>280</v>
      </c>
      <c r="F2623" s="9" t="s">
        <v>69</v>
      </c>
      <c r="G2623" s="5" t="s">
        <v>80</v>
      </c>
    </row>
    <row r="2624">
      <c r="A2624" s="10">
        <v>6.10075807E8</v>
      </c>
      <c r="B2624" s="11">
        <v>0.039</v>
      </c>
      <c r="C2624" s="11">
        <v>103.0</v>
      </c>
      <c r="D2624" s="11">
        <v>0.055</v>
      </c>
      <c r="E2624" s="7" t="s">
        <v>280</v>
      </c>
      <c r="F2624" s="9" t="s">
        <v>70</v>
      </c>
      <c r="G2624" s="5" t="s">
        <v>80</v>
      </c>
    </row>
    <row r="2625">
      <c r="A2625" s="10">
        <v>7.00804286E8</v>
      </c>
      <c r="B2625" s="11">
        <v>0.047</v>
      </c>
      <c r="C2625" s="11">
        <v>139.0</v>
      </c>
      <c r="D2625" s="11">
        <v>0.055</v>
      </c>
      <c r="E2625" s="7" t="s">
        <v>280</v>
      </c>
      <c r="F2625" s="9" t="s">
        <v>71</v>
      </c>
      <c r="G2625" s="5" t="s">
        <v>80</v>
      </c>
    </row>
    <row r="2626">
      <c r="A2626" s="10">
        <v>7.85745262E8</v>
      </c>
      <c r="B2626" s="11">
        <v>0.038</v>
      </c>
      <c r="C2626" s="11">
        <v>125.0</v>
      </c>
      <c r="D2626" s="11">
        <v>0.055</v>
      </c>
      <c r="E2626" s="7" t="s">
        <v>280</v>
      </c>
      <c r="F2626" s="9" t="s">
        <v>72</v>
      </c>
      <c r="G2626" s="5" t="s">
        <v>80</v>
      </c>
    </row>
    <row r="2627">
      <c r="A2627" s="10">
        <v>7.86938335E8</v>
      </c>
      <c r="B2627" s="11">
        <v>0.036</v>
      </c>
      <c r="C2627" s="11">
        <v>116.0</v>
      </c>
      <c r="D2627" s="11">
        <v>0.061</v>
      </c>
      <c r="E2627" s="7" t="s">
        <v>280</v>
      </c>
      <c r="F2627" s="9" t="s">
        <v>73</v>
      </c>
      <c r="G2627" s="5" t="s">
        <v>80</v>
      </c>
    </row>
    <row r="2628">
      <c r="A2628" s="10">
        <v>1.17E11</v>
      </c>
      <c r="B2628" s="11">
        <v>0.057</v>
      </c>
      <c r="C2628" s="11">
        <v>273.0</v>
      </c>
      <c r="D2628" s="11">
        <v>0.252</v>
      </c>
      <c r="E2628" s="7" t="s">
        <v>281</v>
      </c>
      <c r="F2628" s="9" t="s">
        <v>60</v>
      </c>
      <c r="G2628" s="5" t="s">
        <v>84</v>
      </c>
    </row>
    <row r="2629">
      <c r="A2629" s="10">
        <v>1.23E11</v>
      </c>
      <c r="B2629" s="11">
        <v>0.06</v>
      </c>
      <c r="C2629" s="11">
        <v>295.0</v>
      </c>
      <c r="D2629" s="11">
        <v>0.225</v>
      </c>
      <c r="E2629" s="7" t="s">
        <v>281</v>
      </c>
      <c r="F2629" s="9" t="s">
        <v>62</v>
      </c>
      <c r="G2629" s="5" t="s">
        <v>84</v>
      </c>
    </row>
    <row r="2630">
      <c r="A2630" s="10">
        <v>9.2889586976E10</v>
      </c>
      <c r="B2630" s="11">
        <v>0.057</v>
      </c>
      <c r="C2630" s="11">
        <v>207.0</v>
      </c>
      <c r="D2630" s="11">
        <v>0.366</v>
      </c>
      <c r="E2630" s="7" t="s">
        <v>281</v>
      </c>
      <c r="F2630" s="9" t="s">
        <v>63</v>
      </c>
      <c r="G2630" s="5" t="s">
        <v>84</v>
      </c>
    </row>
    <row r="2631">
      <c r="A2631" s="10">
        <v>8.3622191419E10</v>
      </c>
      <c r="B2631" s="11">
        <v>0.059</v>
      </c>
      <c r="C2631" s="11">
        <v>190.0</v>
      </c>
      <c r="D2631" s="11">
        <v>0.252</v>
      </c>
      <c r="E2631" s="7" t="s">
        <v>281</v>
      </c>
      <c r="F2631" s="9" t="s">
        <v>64</v>
      </c>
      <c r="G2631" s="5" t="s">
        <v>84</v>
      </c>
    </row>
    <row r="2632">
      <c r="A2632" s="10">
        <v>1.12E11</v>
      </c>
      <c r="B2632" s="11">
        <v>0.056</v>
      </c>
      <c r="C2632" s="11">
        <v>239.0</v>
      </c>
      <c r="D2632" s="11">
        <v>0.185</v>
      </c>
      <c r="E2632" s="7" t="s">
        <v>281</v>
      </c>
      <c r="F2632" s="9" t="s">
        <v>65</v>
      </c>
      <c r="G2632" s="5" t="s">
        <v>84</v>
      </c>
    </row>
    <row r="2633">
      <c r="A2633" s="10">
        <v>1.46E11</v>
      </c>
      <c r="B2633" s="11">
        <v>0.054</v>
      </c>
      <c r="C2633" s="11">
        <v>296.0</v>
      </c>
      <c r="D2633" s="11">
        <v>0.168</v>
      </c>
      <c r="E2633" s="7" t="s">
        <v>281</v>
      </c>
      <c r="F2633" s="9" t="s">
        <v>66</v>
      </c>
      <c r="G2633" s="5" t="s">
        <v>84</v>
      </c>
    </row>
    <row r="2634">
      <c r="A2634" s="10">
        <v>1.83E11</v>
      </c>
      <c r="B2634" s="11">
        <v>0.057</v>
      </c>
      <c r="C2634" s="11">
        <v>387.0</v>
      </c>
      <c r="D2634" s="11">
        <v>0.155</v>
      </c>
      <c r="E2634" s="7" t="s">
        <v>281</v>
      </c>
      <c r="F2634" s="9" t="s">
        <v>67</v>
      </c>
      <c r="G2634" s="5" t="s">
        <v>84</v>
      </c>
    </row>
    <row r="2635">
      <c r="A2635" s="10">
        <v>2.3E11</v>
      </c>
      <c r="B2635" s="11">
        <v>0.06</v>
      </c>
      <c r="C2635" s="11">
        <v>497.0</v>
      </c>
      <c r="D2635" s="11">
        <v>0.171</v>
      </c>
      <c r="E2635" s="7" t="s">
        <v>281</v>
      </c>
      <c r="F2635" s="9" t="s">
        <v>68</v>
      </c>
      <c r="G2635" s="5" t="s">
        <v>84</v>
      </c>
    </row>
    <row r="2636">
      <c r="A2636" s="10">
        <v>3.16E11</v>
      </c>
      <c r="B2636" s="11">
        <v>0.056</v>
      </c>
      <c r="C2636" s="11">
        <v>633.0</v>
      </c>
      <c r="D2636" s="11">
        <v>0.224</v>
      </c>
      <c r="E2636" s="7" t="s">
        <v>281</v>
      </c>
      <c r="F2636" s="9" t="s">
        <v>69</v>
      </c>
      <c r="G2636" s="5" t="s">
        <v>84</v>
      </c>
    </row>
    <row r="2637">
      <c r="A2637" s="10">
        <v>3.29E11</v>
      </c>
      <c r="B2637" s="11">
        <v>0.058</v>
      </c>
      <c r="C2637" s="11">
        <v>665.0</v>
      </c>
      <c r="D2637" s="11">
        <v>0.199</v>
      </c>
      <c r="E2637" s="7" t="s">
        <v>281</v>
      </c>
      <c r="F2637" s="9" t="s">
        <v>70</v>
      </c>
      <c r="G2637" s="5" t="s">
        <v>84</v>
      </c>
    </row>
    <row r="2638">
      <c r="A2638" s="10">
        <v>3.94E11</v>
      </c>
      <c r="B2638" s="11">
        <v>0.047</v>
      </c>
      <c r="C2638" s="11">
        <v>639.0</v>
      </c>
      <c r="D2638" s="11">
        <v>0.183</v>
      </c>
      <c r="E2638" s="7" t="s">
        <v>281</v>
      </c>
      <c r="F2638" s="9" t="s">
        <v>71</v>
      </c>
      <c r="G2638" s="5" t="s">
        <v>84</v>
      </c>
    </row>
    <row r="2639">
      <c r="A2639" s="10">
        <v>3.16E11</v>
      </c>
      <c r="B2639" s="11">
        <v>0.045</v>
      </c>
      <c r="C2639" s="11">
        <v>487.0</v>
      </c>
      <c r="D2639" s="11">
        <v>0.172</v>
      </c>
      <c r="E2639" s="7" t="s">
        <v>281</v>
      </c>
      <c r="F2639" s="9" t="s">
        <v>72</v>
      </c>
      <c r="G2639" s="5" t="s">
        <v>84</v>
      </c>
    </row>
    <row r="2640">
      <c r="A2640" s="10">
        <v>3.81E11</v>
      </c>
      <c r="B2640" s="11">
        <v>0.046</v>
      </c>
      <c r="C2640" s="11">
        <v>593.0</v>
      </c>
      <c r="D2640" s="11">
        <v>0.164</v>
      </c>
      <c r="E2640" s="7" t="s">
        <v>281</v>
      </c>
      <c r="F2640" s="9" t="s">
        <v>73</v>
      </c>
      <c r="G2640" s="5" t="s">
        <v>84</v>
      </c>
    </row>
    <row r="2641">
      <c r="A2641" s="10">
        <v>3.3640085728E10</v>
      </c>
      <c r="B2641" s="11">
        <v>0.053</v>
      </c>
      <c r="C2641" s="11">
        <v>20.0</v>
      </c>
      <c r="D2641" s="11">
        <v>0.106</v>
      </c>
      <c r="E2641" s="7" t="s">
        <v>282</v>
      </c>
      <c r="F2641" s="9" t="s">
        <v>60</v>
      </c>
      <c r="G2641" s="5" t="s">
        <v>61</v>
      </c>
    </row>
    <row r="2642">
      <c r="A2642" s="10">
        <v>3.5291349277E10</v>
      </c>
      <c r="B2642" s="11">
        <v>0.056</v>
      </c>
      <c r="C2642" s="11">
        <v>22.0</v>
      </c>
      <c r="D2642" s="11">
        <v>0.094</v>
      </c>
      <c r="E2642" s="7" t="s">
        <v>282</v>
      </c>
      <c r="F2642" s="9" t="s">
        <v>62</v>
      </c>
      <c r="G2642" s="5" t="s">
        <v>61</v>
      </c>
    </row>
    <row r="2643">
      <c r="A2643" s="10">
        <v>3.7947904054E10</v>
      </c>
      <c r="B2643" s="11">
        <v>0.051</v>
      </c>
      <c r="C2643" s="11">
        <v>22.0</v>
      </c>
      <c r="D2643" s="11">
        <v>0.091</v>
      </c>
      <c r="E2643" s="7" t="s">
        <v>282</v>
      </c>
      <c r="F2643" s="9" t="s">
        <v>63</v>
      </c>
      <c r="G2643" s="5" t="s">
        <v>61</v>
      </c>
    </row>
    <row r="2644">
      <c r="A2644" s="10">
        <v>4.2717072778E10</v>
      </c>
      <c r="B2644" s="11">
        <v>0.052</v>
      </c>
      <c r="C2644" s="11">
        <v>25.0</v>
      </c>
      <c r="D2644" s="11">
        <v>0.095</v>
      </c>
      <c r="E2644" s="7" t="s">
        <v>282</v>
      </c>
      <c r="F2644" s="9" t="s">
        <v>64</v>
      </c>
      <c r="G2644" s="5" t="s">
        <v>61</v>
      </c>
    </row>
    <row r="2645">
      <c r="A2645" s="10">
        <v>4.942410771E10</v>
      </c>
      <c r="B2645" s="11">
        <v>0.055</v>
      </c>
      <c r="C2645" s="11">
        <v>30.0</v>
      </c>
      <c r="D2645" s="11">
        <v>0.097</v>
      </c>
      <c r="E2645" s="7" t="s">
        <v>282</v>
      </c>
      <c r="F2645" s="9" t="s">
        <v>65</v>
      </c>
      <c r="G2645" s="5" t="s">
        <v>61</v>
      </c>
    </row>
    <row r="2646">
      <c r="A2646" s="10">
        <v>5.7633255739E10</v>
      </c>
      <c r="B2646" s="11">
        <v>0.059</v>
      </c>
      <c r="C2646" s="11">
        <v>36.0</v>
      </c>
      <c r="D2646" s="11">
        <v>0.11</v>
      </c>
      <c r="E2646" s="7" t="s">
        <v>282</v>
      </c>
      <c r="F2646" s="9" t="s">
        <v>66</v>
      </c>
      <c r="G2646" s="5" t="s">
        <v>61</v>
      </c>
    </row>
    <row r="2647">
      <c r="A2647" s="10">
        <v>6.6371664817E10</v>
      </c>
      <c r="B2647" s="11">
        <v>0.065</v>
      </c>
      <c r="C2647" s="11">
        <v>46.0</v>
      </c>
      <c r="D2647" s="11">
        <v>0.112</v>
      </c>
      <c r="E2647" s="7" t="s">
        <v>282</v>
      </c>
      <c r="F2647" s="9" t="s">
        <v>67</v>
      </c>
      <c r="G2647" s="5" t="s">
        <v>61</v>
      </c>
    </row>
    <row r="2648">
      <c r="A2648" s="10">
        <v>7.7414425532E10</v>
      </c>
      <c r="B2648" s="11">
        <v>0.071</v>
      </c>
      <c r="C2648" s="11">
        <v>58.0</v>
      </c>
      <c r="D2648" s="11">
        <v>0.112</v>
      </c>
      <c r="E2648" s="7" t="s">
        <v>282</v>
      </c>
      <c r="F2648" s="9" t="s">
        <v>68</v>
      </c>
      <c r="G2648" s="5" t="s">
        <v>61</v>
      </c>
    </row>
    <row r="2649">
      <c r="A2649" s="10">
        <v>9.9130304099E10</v>
      </c>
      <c r="B2649" s="11">
        <v>0.06</v>
      </c>
      <c r="C2649" s="11">
        <v>63.0</v>
      </c>
      <c r="D2649" s="11">
        <v>0.158</v>
      </c>
      <c r="E2649" s="7" t="s">
        <v>282</v>
      </c>
      <c r="F2649" s="9" t="s">
        <v>69</v>
      </c>
      <c r="G2649" s="5" t="s">
        <v>61</v>
      </c>
    </row>
    <row r="2650">
      <c r="A2650" s="10">
        <v>1.06E11</v>
      </c>
      <c r="B2650" s="11">
        <v>0.065</v>
      </c>
      <c r="C2650" s="11">
        <v>72.0</v>
      </c>
      <c r="D2650" s="11">
        <v>0.101</v>
      </c>
      <c r="E2650" s="7" t="s">
        <v>282</v>
      </c>
      <c r="F2650" s="9" t="s">
        <v>70</v>
      </c>
      <c r="G2650" s="5" t="s">
        <v>61</v>
      </c>
    </row>
    <row r="2651">
      <c r="A2651" s="10">
        <v>1.16E11</v>
      </c>
      <c r="B2651" s="11">
        <v>0.069</v>
      </c>
      <c r="C2651" s="11">
        <v>83.0</v>
      </c>
      <c r="D2651" s="11">
        <v>0.131</v>
      </c>
      <c r="E2651" s="7" t="s">
        <v>282</v>
      </c>
      <c r="F2651" s="9" t="s">
        <v>71</v>
      </c>
      <c r="G2651" s="5" t="s">
        <v>61</v>
      </c>
    </row>
    <row r="2652">
      <c r="A2652" s="10">
        <v>1.36E11</v>
      </c>
      <c r="B2652" s="11">
        <v>0.068</v>
      </c>
      <c r="C2652" s="11">
        <v>93.0</v>
      </c>
      <c r="D2652" s="11">
        <v>0.17</v>
      </c>
      <c r="E2652" s="7" t="s">
        <v>282</v>
      </c>
      <c r="F2652" s="9" t="s">
        <v>72</v>
      </c>
      <c r="G2652" s="5" t="s">
        <v>61</v>
      </c>
    </row>
    <row r="2653">
      <c r="A2653" s="10">
        <v>1.56E11</v>
      </c>
      <c r="B2653" s="11">
        <v>0.066</v>
      </c>
      <c r="C2653" s="11">
        <v>102.0</v>
      </c>
      <c r="D2653" s="11">
        <v>0.135</v>
      </c>
      <c r="E2653" s="7" t="s">
        <v>282</v>
      </c>
      <c r="F2653" s="9" t="s">
        <v>73</v>
      </c>
      <c r="G2653" s="5" t="s">
        <v>61</v>
      </c>
    </row>
    <row r="2654">
      <c r="A2654" s="10">
        <v>9.636342275E9</v>
      </c>
      <c r="B2654" s="11">
        <v>0.041</v>
      </c>
      <c r="C2654" s="11">
        <v>25.0</v>
      </c>
      <c r="D2654" s="11">
        <v>0.195</v>
      </c>
      <c r="E2654" s="7" t="s">
        <v>283</v>
      </c>
      <c r="F2654" s="9" t="s">
        <v>60</v>
      </c>
      <c r="G2654" s="5" t="s">
        <v>93</v>
      </c>
    </row>
    <row r="2655">
      <c r="A2655" s="10">
        <v>9.854042165E9</v>
      </c>
      <c r="B2655" s="11">
        <v>0.043</v>
      </c>
      <c r="C2655" s="11">
        <v>27.0</v>
      </c>
      <c r="D2655" s="11">
        <v>0.175</v>
      </c>
      <c r="E2655" s="7" t="s">
        <v>283</v>
      </c>
      <c r="F2655" s="9" t="s">
        <v>62</v>
      </c>
      <c r="G2655" s="5" t="s">
        <v>93</v>
      </c>
    </row>
    <row r="2656">
      <c r="A2656" s="10">
        <v>1.0693278292E10</v>
      </c>
      <c r="B2656" s="11">
        <v>0.042</v>
      </c>
      <c r="C2656" s="11">
        <v>27.0</v>
      </c>
      <c r="D2656" s="11">
        <v>0.177</v>
      </c>
      <c r="E2656" s="7" t="s">
        <v>283</v>
      </c>
      <c r="F2656" s="9" t="s">
        <v>63</v>
      </c>
      <c r="G2656" s="5" t="s">
        <v>93</v>
      </c>
    </row>
    <row r="2657">
      <c r="A2657" s="10">
        <v>1.1777768087E10</v>
      </c>
      <c r="B2657" s="11">
        <v>0.05</v>
      </c>
      <c r="C2657" s="11">
        <v>35.0</v>
      </c>
      <c r="D2657" s="11">
        <v>0.18</v>
      </c>
      <c r="E2657" s="7" t="s">
        <v>283</v>
      </c>
      <c r="F2657" s="9" t="s">
        <v>64</v>
      </c>
      <c r="G2657" s="5" t="s">
        <v>93</v>
      </c>
    </row>
    <row r="2658">
      <c r="A2658" s="10">
        <v>1.3873500888E10</v>
      </c>
      <c r="B2658" s="11">
        <v>0.049</v>
      </c>
      <c r="C2658" s="11">
        <v>38.0</v>
      </c>
      <c r="D2658" s="11">
        <v>0.185</v>
      </c>
      <c r="E2658" s="7" t="s">
        <v>283</v>
      </c>
      <c r="F2658" s="9" t="s">
        <v>65</v>
      </c>
      <c r="G2658" s="5" t="s">
        <v>93</v>
      </c>
    </row>
    <row r="2659">
      <c r="A2659" s="10">
        <v>1.6753787028E10</v>
      </c>
      <c r="B2659" s="11">
        <v>0.046</v>
      </c>
      <c r="C2659" s="11">
        <v>42.0</v>
      </c>
      <c r="D2659" s="11">
        <v>0.18</v>
      </c>
      <c r="E2659" s="7" t="s">
        <v>283</v>
      </c>
      <c r="F2659" s="9" t="s">
        <v>66</v>
      </c>
      <c r="G2659" s="5" t="s">
        <v>93</v>
      </c>
    </row>
    <row r="2660">
      <c r="A2660" s="10">
        <v>1.9081726103E10</v>
      </c>
      <c r="B2660" s="11">
        <v>0.048</v>
      </c>
      <c r="C2660" s="11">
        <v>52.0</v>
      </c>
      <c r="D2660" s="11">
        <v>0.18</v>
      </c>
      <c r="E2660" s="7" t="s">
        <v>283</v>
      </c>
      <c r="F2660" s="9" t="s">
        <v>67</v>
      </c>
      <c r="G2660" s="5" t="s">
        <v>93</v>
      </c>
    </row>
    <row r="2661">
      <c r="A2661" s="10">
        <v>2.5633674564E10</v>
      </c>
      <c r="B2661" s="11">
        <v>0.049</v>
      </c>
      <c r="C2661" s="11">
        <v>57.0</v>
      </c>
      <c r="D2661" s="11">
        <v>0.18</v>
      </c>
      <c r="E2661" s="7" t="s">
        <v>283</v>
      </c>
      <c r="F2661" s="9" t="s">
        <v>68</v>
      </c>
      <c r="G2661" s="5" t="s">
        <v>93</v>
      </c>
    </row>
    <row r="2662">
      <c r="A2662" s="10">
        <v>3.0397203369E10</v>
      </c>
      <c r="B2662" s="11">
        <v>0.051</v>
      </c>
      <c r="C2662" s="11">
        <v>69.0</v>
      </c>
      <c r="D2662" s="11">
        <v>0.18</v>
      </c>
      <c r="E2662" s="7" t="s">
        <v>283</v>
      </c>
      <c r="F2662" s="9" t="s">
        <v>69</v>
      </c>
      <c r="G2662" s="5" t="s">
        <v>93</v>
      </c>
    </row>
    <row r="2663">
      <c r="A2663" s="10">
        <v>2.7838718233E10</v>
      </c>
      <c r="B2663" s="11">
        <v>0.053</v>
      </c>
      <c r="C2663" s="11">
        <v>65.0</v>
      </c>
      <c r="D2663" s="11">
        <v>0.18</v>
      </c>
      <c r="E2663" s="7" t="s">
        <v>283</v>
      </c>
      <c r="F2663" s="9" t="s">
        <v>70</v>
      </c>
      <c r="G2663" s="5" t="s">
        <v>93</v>
      </c>
    </row>
    <row r="2664">
      <c r="A2664" s="10">
        <v>3.1743751169E10</v>
      </c>
      <c r="B2664" s="11">
        <v>0.051</v>
      </c>
      <c r="C2664" s="11">
        <v>66.0</v>
      </c>
      <c r="D2664" s="11">
        <v>0.238</v>
      </c>
      <c r="E2664" s="7" t="s">
        <v>283</v>
      </c>
      <c r="F2664" s="9" t="s">
        <v>71</v>
      </c>
      <c r="G2664" s="5" t="s">
        <v>93</v>
      </c>
    </row>
    <row r="2665">
      <c r="A2665" s="10">
        <v>2.9207296703E10</v>
      </c>
      <c r="B2665" s="11">
        <v>0.05</v>
      </c>
      <c r="C2665" s="11">
        <v>63.0</v>
      </c>
      <c r="D2665" s="11">
        <v>0.25</v>
      </c>
      <c r="E2665" s="7" t="s">
        <v>283</v>
      </c>
      <c r="F2665" s="9" t="s">
        <v>72</v>
      </c>
      <c r="G2665" s="5" t="s">
        <v>93</v>
      </c>
    </row>
    <row r="2666">
      <c r="A2666" s="10">
        <v>3.1992801303E10</v>
      </c>
      <c r="B2666" s="11">
        <v>0.055</v>
      </c>
      <c r="C2666" s="11">
        <v>71.0</v>
      </c>
      <c r="D2666" s="11">
        <v>0.245</v>
      </c>
      <c r="E2666" s="7" t="s">
        <v>283</v>
      </c>
      <c r="F2666" s="9" t="s">
        <v>73</v>
      </c>
      <c r="G2666" s="5" t="s">
        <v>93</v>
      </c>
    </row>
    <row r="2667">
      <c r="A2667" s="10">
        <v>3.25355175E9</v>
      </c>
      <c r="B2667" s="11">
        <v>0.056</v>
      </c>
      <c r="C2667" s="11">
        <v>18.0</v>
      </c>
      <c r="D2667" s="11">
        <v>0.388</v>
      </c>
      <c r="E2667" s="7" t="s">
        <v>284</v>
      </c>
      <c r="F2667" s="9" t="s">
        <v>60</v>
      </c>
      <c r="G2667" s="5" t="s">
        <v>77</v>
      </c>
    </row>
    <row r="2668">
      <c r="A2668" s="10">
        <v>3.653822712E9</v>
      </c>
      <c r="B2668" s="11">
        <v>0.06</v>
      </c>
      <c r="C2668" s="11">
        <v>21.0</v>
      </c>
      <c r="D2668" s="11">
        <v>0.462</v>
      </c>
      <c r="E2668" s="7" t="s">
        <v>284</v>
      </c>
      <c r="F2668" s="9" t="s">
        <v>62</v>
      </c>
      <c r="G2668" s="5" t="s">
        <v>77</v>
      </c>
    </row>
    <row r="2669">
      <c r="A2669" s="10">
        <v>3.711284087E9</v>
      </c>
      <c r="B2669" s="11">
        <v>0.067</v>
      </c>
      <c r="C2669" s="11">
        <v>24.0</v>
      </c>
      <c r="D2669" s="11">
        <v>0.452</v>
      </c>
      <c r="E2669" s="7" t="s">
        <v>284</v>
      </c>
      <c r="F2669" s="9" t="s">
        <v>63</v>
      </c>
      <c r="G2669" s="5" t="s">
        <v>77</v>
      </c>
    </row>
    <row r="2670">
      <c r="A2670" s="10">
        <v>4.341841414E9</v>
      </c>
      <c r="B2670" s="11">
        <v>0.067</v>
      </c>
      <c r="C2670" s="11">
        <v>27.0</v>
      </c>
      <c r="D2670" s="11">
        <v>0.406</v>
      </c>
      <c r="E2670" s="7" t="s">
        <v>284</v>
      </c>
      <c r="F2670" s="9" t="s">
        <v>64</v>
      </c>
      <c r="G2670" s="5" t="s">
        <v>77</v>
      </c>
    </row>
    <row r="2671">
      <c r="A2671" s="10">
        <v>5.439176376E9</v>
      </c>
      <c r="B2671" s="11">
        <v>0.067</v>
      </c>
      <c r="C2671" s="11">
        <v>33.0</v>
      </c>
      <c r="D2671" s="11">
        <v>0.307</v>
      </c>
      <c r="E2671" s="7" t="s">
        <v>284</v>
      </c>
      <c r="F2671" s="9" t="s">
        <v>65</v>
      </c>
      <c r="G2671" s="5" t="s">
        <v>77</v>
      </c>
    </row>
    <row r="2672">
      <c r="A2672" s="10">
        <v>7.178556337E9</v>
      </c>
      <c r="B2672" s="11">
        <v>0.071</v>
      </c>
      <c r="C2672" s="11">
        <v>44.0</v>
      </c>
      <c r="D2672" s="11">
        <v>0.282</v>
      </c>
      <c r="E2672" s="7" t="s">
        <v>284</v>
      </c>
      <c r="F2672" s="9" t="s">
        <v>66</v>
      </c>
      <c r="G2672" s="5" t="s">
        <v>77</v>
      </c>
    </row>
    <row r="2673">
      <c r="A2673" s="10">
        <v>1.0702200822E10</v>
      </c>
      <c r="B2673" s="11">
        <v>0.064</v>
      </c>
      <c r="C2673" s="11">
        <v>58.0</v>
      </c>
      <c r="D2673" s="11">
        <v>0.232</v>
      </c>
      <c r="E2673" s="7" t="s">
        <v>284</v>
      </c>
      <c r="F2673" s="9" t="s">
        <v>67</v>
      </c>
      <c r="G2673" s="5" t="s">
        <v>77</v>
      </c>
    </row>
    <row r="2674">
      <c r="A2674" s="10">
        <v>1.1541420981E10</v>
      </c>
      <c r="B2674" s="11">
        <v>0.06</v>
      </c>
      <c r="C2674" s="11">
        <v>57.0</v>
      </c>
      <c r="D2674" s="11">
        <v>0.189</v>
      </c>
      <c r="E2674" s="7" t="s">
        <v>284</v>
      </c>
      <c r="F2674" s="9" t="s">
        <v>68</v>
      </c>
      <c r="G2674" s="5" t="s">
        <v>77</v>
      </c>
    </row>
    <row r="2675">
      <c r="A2675" s="10">
        <v>1.46407921E10</v>
      </c>
      <c r="B2675" s="11">
        <v>0.066</v>
      </c>
      <c r="C2675" s="11">
        <v>78.0</v>
      </c>
      <c r="D2675" s="11">
        <v>0.191</v>
      </c>
      <c r="E2675" s="7" t="s">
        <v>284</v>
      </c>
      <c r="F2675" s="9" t="s">
        <v>69</v>
      </c>
      <c r="G2675" s="5" t="s">
        <v>77</v>
      </c>
    </row>
    <row r="2676">
      <c r="A2676" s="10">
        <v>1.2805029522E10</v>
      </c>
      <c r="B2676" s="11">
        <v>0.064</v>
      </c>
      <c r="C2676" s="11">
        <v>64.0</v>
      </c>
      <c r="D2676" s="11">
        <v>0.221</v>
      </c>
      <c r="E2676" s="7" t="s">
        <v>284</v>
      </c>
      <c r="F2676" s="9" t="s">
        <v>70</v>
      </c>
      <c r="G2676" s="5" t="s">
        <v>77</v>
      </c>
    </row>
    <row r="2677">
      <c r="A2677" s="10">
        <v>1.6190196832E10</v>
      </c>
      <c r="B2677" s="11">
        <v>0.061</v>
      </c>
      <c r="C2677" s="11">
        <v>75.0</v>
      </c>
      <c r="D2677" s="11">
        <v>0.209</v>
      </c>
      <c r="E2677" s="7" t="s">
        <v>284</v>
      </c>
      <c r="F2677" s="9" t="s">
        <v>71</v>
      </c>
      <c r="G2677" s="5" t="s">
        <v>77</v>
      </c>
    </row>
    <row r="2678">
      <c r="A2678" s="10">
        <v>1.9201691493E10</v>
      </c>
      <c r="B2678" s="11">
        <v>0.062</v>
      </c>
      <c r="C2678" s="11">
        <v>87.0</v>
      </c>
      <c r="D2678" s="11">
        <v>0.188</v>
      </c>
      <c r="E2678" s="7" t="s">
        <v>284</v>
      </c>
      <c r="F2678" s="9" t="s">
        <v>72</v>
      </c>
      <c r="G2678" s="5" t="s">
        <v>77</v>
      </c>
    </row>
    <row r="2679">
      <c r="A2679" s="10">
        <v>2.0596424325E10</v>
      </c>
      <c r="B2679" s="11">
        <v>0.065</v>
      </c>
      <c r="C2679" s="11">
        <v>96.0</v>
      </c>
      <c r="D2679" s="11">
        <v>0.121</v>
      </c>
      <c r="E2679" s="7" t="s">
        <v>284</v>
      </c>
      <c r="F2679" s="9" t="s">
        <v>73</v>
      </c>
      <c r="G2679" s="5" t="s">
        <v>77</v>
      </c>
    </row>
    <row r="2680">
      <c r="A2680" s="10">
        <v>6.68995761E9</v>
      </c>
      <c r="B2680" s="8"/>
      <c r="C2680" s="8"/>
      <c r="D2680" s="11">
        <v>0.682</v>
      </c>
      <c r="E2680" s="7" t="s">
        <v>285</v>
      </c>
      <c r="F2680" s="9" t="s">
        <v>60</v>
      </c>
      <c r="G2680" s="5" t="s">
        <v>77</v>
      </c>
    </row>
    <row r="2681">
      <c r="A2681" s="10">
        <v>6.777384733E9</v>
      </c>
      <c r="B2681" s="8"/>
      <c r="C2681" s="8"/>
      <c r="D2681" s="11">
        <v>0.38</v>
      </c>
      <c r="E2681" s="7" t="s">
        <v>285</v>
      </c>
      <c r="F2681" s="9" t="s">
        <v>62</v>
      </c>
      <c r="G2681" s="5" t="s">
        <v>77</v>
      </c>
    </row>
    <row r="2682">
      <c r="A2682" s="10">
        <v>6.342116354E9</v>
      </c>
      <c r="B2682" s="8"/>
      <c r="C2682" s="8"/>
      <c r="D2682" s="11">
        <v>0.365</v>
      </c>
      <c r="E2682" s="7" t="s">
        <v>285</v>
      </c>
      <c r="F2682" s="9" t="s">
        <v>63</v>
      </c>
      <c r="G2682" s="5" t="s">
        <v>77</v>
      </c>
    </row>
    <row r="2683">
      <c r="A2683" s="10">
        <v>5.727591778E9</v>
      </c>
      <c r="B2683" s="8"/>
      <c r="C2683" s="8"/>
      <c r="D2683" s="11">
        <v>0.973</v>
      </c>
      <c r="E2683" s="7" t="s">
        <v>285</v>
      </c>
      <c r="F2683" s="9" t="s">
        <v>64</v>
      </c>
      <c r="G2683" s="5" t="s">
        <v>77</v>
      </c>
    </row>
    <row r="2684">
      <c r="A2684" s="10">
        <v>5.805598443E9</v>
      </c>
      <c r="B2684" s="8"/>
      <c r="C2684" s="8"/>
      <c r="D2684" s="11">
        <v>2.789</v>
      </c>
      <c r="E2684" s="7" t="s">
        <v>285</v>
      </c>
      <c r="F2684" s="9" t="s">
        <v>65</v>
      </c>
      <c r="G2684" s="5" t="s">
        <v>77</v>
      </c>
    </row>
    <row r="2685">
      <c r="A2685" s="10">
        <v>5.755215232E9</v>
      </c>
      <c r="B2685" s="8"/>
      <c r="C2685" s="8"/>
      <c r="D2685" s="11">
        <v>2.357</v>
      </c>
      <c r="E2685" s="7" t="s">
        <v>285</v>
      </c>
      <c r="F2685" s="9" t="s">
        <v>66</v>
      </c>
      <c r="G2685" s="5" t="s">
        <v>77</v>
      </c>
    </row>
    <row r="2686">
      <c r="A2686" s="10">
        <v>5.4438965E9</v>
      </c>
      <c r="B2686" s="8"/>
      <c r="C2686" s="8"/>
      <c r="D2686" s="11">
        <v>4.965</v>
      </c>
      <c r="E2686" s="7" t="s">
        <v>285</v>
      </c>
      <c r="F2686" s="9" t="s">
        <v>67</v>
      </c>
      <c r="G2686" s="5" t="s">
        <v>77</v>
      </c>
    </row>
    <row r="2687">
      <c r="A2687" s="10">
        <v>5.291950101E9</v>
      </c>
      <c r="B2687" s="8"/>
      <c r="C2687" s="8"/>
      <c r="D2687" s="8"/>
      <c r="E2687" s="7" t="s">
        <v>285</v>
      </c>
      <c r="F2687" s="9" t="s">
        <v>68</v>
      </c>
      <c r="G2687" s="5" t="s">
        <v>77</v>
      </c>
    </row>
    <row r="2688">
      <c r="A2688" s="10">
        <v>4.415702801E9</v>
      </c>
      <c r="B2688" s="8"/>
      <c r="C2688" s="8"/>
      <c r="D2688" s="8"/>
      <c r="E2688" s="7" t="s">
        <v>285</v>
      </c>
      <c r="F2688" s="9" t="s">
        <v>69</v>
      </c>
      <c r="G2688" s="5" t="s">
        <v>77</v>
      </c>
    </row>
    <row r="2689">
      <c r="A2689" s="10">
        <v>8.157077422E9</v>
      </c>
      <c r="B2689" s="8"/>
      <c r="C2689" s="8"/>
      <c r="D2689" s="8"/>
      <c r="E2689" s="7" t="s">
        <v>285</v>
      </c>
      <c r="F2689" s="9" t="s">
        <v>70</v>
      </c>
      <c r="G2689" s="5" t="s">
        <v>77</v>
      </c>
    </row>
    <row r="2690">
      <c r="A2690" s="10">
        <v>9.456808151E9</v>
      </c>
      <c r="B2690" s="8"/>
      <c r="C2690" s="8"/>
      <c r="D2690" s="8"/>
      <c r="E2690" s="7" t="s">
        <v>285</v>
      </c>
      <c r="F2690" s="9" t="s">
        <v>71</v>
      </c>
      <c r="G2690" s="5" t="s">
        <v>77</v>
      </c>
    </row>
    <row r="2691">
      <c r="A2691" s="10">
        <v>1.0956226611E10</v>
      </c>
      <c r="B2691" s="8"/>
      <c r="C2691" s="8"/>
      <c r="D2691" s="8"/>
      <c r="E2691" s="7" t="s">
        <v>285</v>
      </c>
      <c r="F2691" s="9" t="s">
        <v>72</v>
      </c>
      <c r="G2691" s="5" t="s">
        <v>77</v>
      </c>
    </row>
    <row r="2692">
      <c r="A2692" s="10">
        <v>1.2472416688E10</v>
      </c>
      <c r="B2692" s="8"/>
      <c r="C2692" s="8"/>
      <c r="D2692" s="8"/>
      <c r="E2692" s="7" t="s">
        <v>285</v>
      </c>
      <c r="F2692" s="9" t="s">
        <v>73</v>
      </c>
      <c r="G2692" s="5" t="s">
        <v>77</v>
      </c>
    </row>
  </sheetData>
  <autoFilter ref="$A$1:$G$2692">
    <sortState ref="A1:G2692">
      <sortCondition ref="E1:E2692"/>
    </sortState>
  </autoFilter>
  <customSheetViews>
    <customSheetView guid="{9945A1B1-4CCD-4153-8EC7-FAC024173AA2}" filter="1" showAutoFilter="1">
      <autoFilter ref="$E$1:$E$2692"/>
    </customSheetView>
  </customSheetView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4.75"/>
  </cols>
  <sheetData>
    <row r="1">
      <c r="A1" s="5" t="s">
        <v>286</v>
      </c>
      <c r="B1" s="5" t="s">
        <v>4</v>
      </c>
      <c r="C1" s="5" t="s">
        <v>5</v>
      </c>
      <c r="D1" s="6" t="s">
        <v>58</v>
      </c>
      <c r="E1" s="5" t="s">
        <v>17</v>
      </c>
      <c r="F1" s="5" t="s">
        <v>19</v>
      </c>
    </row>
    <row r="2">
      <c r="A2" s="5">
        <f t="array" ref="A2:A2692">SEQUENCE(2691)</f>
        <v>1</v>
      </c>
      <c r="B2" s="5" t="s">
        <v>61</v>
      </c>
      <c r="C2" s="12" t="s">
        <v>59</v>
      </c>
      <c r="D2" s="9" t="s">
        <v>60</v>
      </c>
      <c r="E2" s="8"/>
      <c r="F2" s="8"/>
    </row>
    <row r="3">
      <c r="A3" s="5">
        <v>2.0</v>
      </c>
      <c r="B3" s="5" t="s">
        <v>61</v>
      </c>
      <c r="C3" s="12" t="s">
        <v>59</v>
      </c>
      <c r="D3" s="9" t="s">
        <v>62</v>
      </c>
      <c r="E3" s="8"/>
      <c r="F3" s="8"/>
    </row>
    <row r="4">
      <c r="A4" s="5">
        <v>3.0</v>
      </c>
      <c r="B4" s="5" t="s">
        <v>61</v>
      </c>
      <c r="C4" s="12" t="s">
        <v>59</v>
      </c>
      <c r="D4" s="9" t="s">
        <v>63</v>
      </c>
      <c r="E4" s="8"/>
      <c r="F4" s="11">
        <v>8236.0</v>
      </c>
    </row>
    <row r="5">
      <c r="A5" s="5">
        <v>4.0</v>
      </c>
      <c r="B5" s="5" t="s">
        <v>61</v>
      </c>
      <c r="C5" s="12" t="s">
        <v>59</v>
      </c>
      <c r="D5" s="9" t="s">
        <v>64</v>
      </c>
      <c r="E5" s="8"/>
      <c r="F5" s="11">
        <v>6524.0</v>
      </c>
    </row>
    <row r="6">
      <c r="A6" s="5">
        <v>5.0</v>
      </c>
      <c r="B6" s="5" t="s">
        <v>61</v>
      </c>
      <c r="C6" s="12" t="s">
        <v>59</v>
      </c>
      <c r="D6" s="9" t="s">
        <v>65</v>
      </c>
      <c r="E6" s="8"/>
      <c r="F6" s="11">
        <v>3927.0</v>
      </c>
    </row>
    <row r="7">
      <c r="A7" s="5">
        <v>6.0</v>
      </c>
      <c r="B7" s="5" t="s">
        <v>61</v>
      </c>
      <c r="C7" s="12" t="s">
        <v>59</v>
      </c>
      <c r="D7" s="9" t="s">
        <v>66</v>
      </c>
      <c r="E7" s="8"/>
      <c r="F7" s="11">
        <v>1991.0</v>
      </c>
    </row>
    <row r="8">
      <c r="A8" s="5">
        <v>7.0</v>
      </c>
      <c r="B8" s="5" t="s">
        <v>61</v>
      </c>
      <c r="C8" s="12" t="s">
        <v>59</v>
      </c>
      <c r="D8" s="9" t="s">
        <v>70</v>
      </c>
      <c r="E8" s="8"/>
      <c r="F8" s="11">
        <v>1338.0</v>
      </c>
    </row>
    <row r="9">
      <c r="A9" s="5">
        <v>8.0</v>
      </c>
      <c r="B9" s="5" t="s">
        <v>61</v>
      </c>
      <c r="C9" s="12" t="s">
        <v>59</v>
      </c>
      <c r="D9" s="9" t="s">
        <v>66</v>
      </c>
      <c r="E9" s="8"/>
      <c r="F9" s="11">
        <v>1016.0</v>
      </c>
    </row>
    <row r="10">
      <c r="A10" s="5">
        <v>9.0</v>
      </c>
      <c r="B10" s="5" t="s">
        <v>61</v>
      </c>
      <c r="C10" s="12" t="s">
        <v>59</v>
      </c>
      <c r="D10" s="9" t="s">
        <v>72</v>
      </c>
      <c r="E10" s="8"/>
      <c r="F10" s="11">
        <v>733.0</v>
      </c>
    </row>
    <row r="11">
      <c r="A11" s="5">
        <v>10.0</v>
      </c>
      <c r="B11" s="5" t="s">
        <v>61</v>
      </c>
      <c r="C11" s="12" t="s">
        <v>59</v>
      </c>
      <c r="D11" s="9" t="s">
        <v>69</v>
      </c>
      <c r="E11" s="8"/>
      <c r="F11" s="11">
        <v>583.0</v>
      </c>
    </row>
    <row r="12">
      <c r="A12" s="5">
        <v>11.0</v>
      </c>
      <c r="B12" s="5" t="s">
        <v>61</v>
      </c>
      <c r="C12" s="12" t="s">
        <v>59</v>
      </c>
      <c r="D12" s="9" t="s">
        <v>73</v>
      </c>
      <c r="E12" s="8"/>
      <c r="F12" s="11">
        <v>359.0</v>
      </c>
    </row>
    <row r="13">
      <c r="A13" s="5">
        <v>12.0</v>
      </c>
      <c r="B13" s="5" t="s">
        <v>61</v>
      </c>
      <c r="C13" s="12" t="s">
        <v>59</v>
      </c>
      <c r="D13" s="9" t="s">
        <v>72</v>
      </c>
      <c r="E13" s="8"/>
      <c r="F13" s="11">
        <v>645.0</v>
      </c>
    </row>
    <row r="14">
      <c r="A14" s="5">
        <v>13.0</v>
      </c>
      <c r="B14" s="5" t="s">
        <v>61</v>
      </c>
      <c r="C14" s="12" t="s">
        <v>59</v>
      </c>
      <c r="D14" s="9" t="s">
        <v>69</v>
      </c>
      <c r="E14" s="8"/>
      <c r="F14" s="11">
        <v>781.0</v>
      </c>
    </row>
    <row r="15">
      <c r="A15" s="5">
        <v>14.0</v>
      </c>
      <c r="B15" s="5" t="s">
        <v>75</v>
      </c>
      <c r="C15" s="12" t="s">
        <v>74</v>
      </c>
      <c r="D15" s="9" t="s">
        <v>60</v>
      </c>
      <c r="E15" s="8"/>
      <c r="F15" s="8"/>
    </row>
    <row r="16">
      <c r="A16" s="5">
        <v>15.0</v>
      </c>
      <c r="B16" s="5" t="s">
        <v>75</v>
      </c>
      <c r="C16" s="12" t="s">
        <v>74</v>
      </c>
      <c r="D16" s="9" t="s">
        <v>62</v>
      </c>
      <c r="E16" s="11">
        <v>2173.0</v>
      </c>
      <c r="F16" s="8"/>
    </row>
    <row r="17">
      <c r="A17" s="5">
        <v>16.0</v>
      </c>
      <c r="B17" s="5" t="s">
        <v>75</v>
      </c>
      <c r="C17" s="12" t="s">
        <v>74</v>
      </c>
      <c r="D17" s="9" t="s">
        <v>63</v>
      </c>
      <c r="E17" s="11">
        <v>2059.0</v>
      </c>
      <c r="F17" s="11">
        <v>4283.0</v>
      </c>
    </row>
    <row r="18">
      <c r="A18" s="5">
        <v>17.0</v>
      </c>
      <c r="B18" s="5" t="s">
        <v>75</v>
      </c>
      <c r="C18" s="12" t="s">
        <v>74</v>
      </c>
      <c r="D18" s="9" t="s">
        <v>64</v>
      </c>
      <c r="E18" s="11">
        <v>2068.0</v>
      </c>
      <c r="F18" s="11">
        <v>3880.0</v>
      </c>
    </row>
    <row r="19">
      <c r="A19" s="5">
        <v>18.0</v>
      </c>
      <c r="B19" s="5" t="s">
        <v>75</v>
      </c>
      <c r="C19" s="12" t="s">
        <v>74</v>
      </c>
      <c r="D19" s="9" t="s">
        <v>65</v>
      </c>
      <c r="E19" s="11">
        <v>2061.0</v>
      </c>
      <c r="F19" s="11">
        <v>4129.0</v>
      </c>
    </row>
    <row r="20">
      <c r="A20" s="5">
        <v>19.0</v>
      </c>
      <c r="B20" s="5" t="s">
        <v>75</v>
      </c>
      <c r="C20" s="12" t="s">
        <v>74</v>
      </c>
      <c r="D20" s="9" t="s">
        <v>66</v>
      </c>
      <c r="E20" s="11">
        <v>2025.0</v>
      </c>
      <c r="F20" s="11">
        <v>4056.0</v>
      </c>
    </row>
    <row r="21">
      <c r="A21" s="5">
        <v>20.0</v>
      </c>
      <c r="B21" s="5" t="s">
        <v>75</v>
      </c>
      <c r="C21" s="12" t="s">
        <v>74</v>
      </c>
      <c r="D21" s="9" t="s">
        <v>70</v>
      </c>
      <c r="E21" s="11">
        <v>2068.0</v>
      </c>
      <c r="F21" s="11">
        <v>3865.0</v>
      </c>
    </row>
    <row r="22">
      <c r="A22" s="5">
        <v>21.0</v>
      </c>
      <c r="B22" s="5" t="s">
        <v>75</v>
      </c>
      <c r="C22" s="12" t="s">
        <v>74</v>
      </c>
      <c r="D22" s="9" t="s">
        <v>66</v>
      </c>
      <c r="E22" s="11">
        <v>2172.0</v>
      </c>
      <c r="F22" s="11">
        <v>4254.0</v>
      </c>
    </row>
    <row r="23">
      <c r="A23" s="5">
        <v>22.0</v>
      </c>
      <c r="B23" s="5" t="s">
        <v>75</v>
      </c>
      <c r="C23" s="12" t="s">
        <v>74</v>
      </c>
      <c r="D23" s="9" t="s">
        <v>72</v>
      </c>
      <c r="E23" s="11">
        <v>2172.0</v>
      </c>
      <c r="F23" s="11">
        <v>4166.0</v>
      </c>
    </row>
    <row r="24">
      <c r="A24" s="5">
        <v>23.0</v>
      </c>
      <c r="B24" s="5" t="s">
        <v>75</v>
      </c>
      <c r="C24" s="12" t="s">
        <v>74</v>
      </c>
      <c r="D24" s="9" t="s">
        <v>69</v>
      </c>
      <c r="E24" s="11">
        <v>1976.0</v>
      </c>
      <c r="F24" s="11">
        <v>4294.0</v>
      </c>
    </row>
    <row r="25">
      <c r="A25" s="5">
        <v>24.0</v>
      </c>
      <c r="B25" s="5" t="s">
        <v>75</v>
      </c>
      <c r="C25" s="12" t="s">
        <v>74</v>
      </c>
      <c r="D25" s="9" t="s">
        <v>73</v>
      </c>
      <c r="E25" s="11">
        <v>1975.0</v>
      </c>
      <c r="F25" s="11">
        <v>3751.0</v>
      </c>
    </row>
    <row r="26">
      <c r="A26" s="5">
        <v>25.0</v>
      </c>
      <c r="B26" s="5" t="s">
        <v>75</v>
      </c>
      <c r="C26" s="12" t="s">
        <v>74</v>
      </c>
      <c r="D26" s="9" t="s">
        <v>72</v>
      </c>
      <c r="E26" s="11">
        <v>1783.0</v>
      </c>
      <c r="F26" s="11">
        <v>3223.0</v>
      </c>
    </row>
    <row r="27">
      <c r="A27" s="5">
        <v>26.0</v>
      </c>
      <c r="B27" s="5" t="s">
        <v>75</v>
      </c>
      <c r="C27" s="12" t="s">
        <v>74</v>
      </c>
      <c r="D27" s="9" t="s">
        <v>69</v>
      </c>
      <c r="E27" s="11">
        <v>1763.0</v>
      </c>
      <c r="F27" s="11">
        <v>3022.0</v>
      </c>
    </row>
    <row r="28">
      <c r="A28" s="5">
        <v>27.0</v>
      </c>
      <c r="B28" s="5" t="s">
        <v>77</v>
      </c>
      <c r="C28" s="12" t="s">
        <v>76</v>
      </c>
      <c r="D28" s="9" t="s">
        <v>60</v>
      </c>
      <c r="E28" s="8"/>
      <c r="F28" s="8"/>
    </row>
    <row r="29">
      <c r="A29" s="5">
        <v>28.0</v>
      </c>
      <c r="B29" s="5" t="s">
        <v>77</v>
      </c>
      <c r="C29" s="12" t="s">
        <v>76</v>
      </c>
      <c r="D29" s="9" t="s">
        <v>62</v>
      </c>
      <c r="E29" s="11">
        <v>41852.0</v>
      </c>
      <c r="F29" s="8"/>
    </row>
    <row r="30">
      <c r="A30" s="5">
        <v>29.0</v>
      </c>
      <c r="B30" s="5" t="s">
        <v>77</v>
      </c>
      <c r="C30" s="12" t="s">
        <v>76</v>
      </c>
      <c r="D30" s="9" t="s">
        <v>63</v>
      </c>
      <c r="E30" s="11">
        <v>40105.0</v>
      </c>
      <c r="F30" s="11">
        <v>123475.0</v>
      </c>
    </row>
    <row r="31">
      <c r="A31" s="5">
        <v>30.0</v>
      </c>
      <c r="B31" s="5" t="s">
        <v>77</v>
      </c>
      <c r="C31" s="12" t="s">
        <v>76</v>
      </c>
      <c r="D31" s="9" t="s">
        <v>64</v>
      </c>
      <c r="E31" s="11">
        <v>40823.0</v>
      </c>
      <c r="F31" s="11">
        <v>124586.0</v>
      </c>
    </row>
    <row r="32">
      <c r="A32" s="5">
        <v>31.0</v>
      </c>
      <c r="B32" s="5" t="s">
        <v>77</v>
      </c>
      <c r="C32" s="12" t="s">
        <v>76</v>
      </c>
      <c r="D32" s="9" t="s">
        <v>65</v>
      </c>
      <c r="E32" s="11">
        <v>37425.0</v>
      </c>
      <c r="F32" s="11">
        <v>114619.0</v>
      </c>
    </row>
    <row r="33">
      <c r="A33" s="5">
        <v>32.0</v>
      </c>
      <c r="B33" s="5" t="s">
        <v>77</v>
      </c>
      <c r="C33" s="12" t="s">
        <v>76</v>
      </c>
      <c r="D33" s="9" t="s">
        <v>66</v>
      </c>
      <c r="E33" s="11">
        <v>36793.0</v>
      </c>
      <c r="F33" s="11">
        <v>112339.0</v>
      </c>
    </row>
    <row r="34">
      <c r="A34" s="5">
        <v>33.0</v>
      </c>
      <c r="B34" s="5" t="s">
        <v>77</v>
      </c>
      <c r="C34" s="12" t="s">
        <v>76</v>
      </c>
      <c r="D34" s="9" t="s">
        <v>70</v>
      </c>
      <c r="E34" s="11">
        <v>34658.0</v>
      </c>
      <c r="F34" s="11">
        <v>103963.0</v>
      </c>
    </row>
    <row r="35">
      <c r="A35" s="5">
        <v>34.0</v>
      </c>
      <c r="B35" s="5" t="s">
        <v>77</v>
      </c>
      <c r="C35" s="12" t="s">
        <v>76</v>
      </c>
      <c r="D35" s="9" t="s">
        <v>66</v>
      </c>
      <c r="E35" s="11">
        <v>32335.0</v>
      </c>
      <c r="F35" s="11">
        <v>107128.0</v>
      </c>
    </row>
    <row r="36">
      <c r="A36" s="5">
        <v>35.0</v>
      </c>
      <c r="B36" s="5" t="s">
        <v>77</v>
      </c>
      <c r="C36" s="12" t="s">
        <v>76</v>
      </c>
      <c r="D36" s="9" t="s">
        <v>72</v>
      </c>
      <c r="E36" s="11">
        <v>30974.0</v>
      </c>
      <c r="F36" s="11">
        <v>89493.0</v>
      </c>
    </row>
    <row r="37">
      <c r="A37" s="5">
        <v>36.0</v>
      </c>
      <c r="B37" s="5" t="s">
        <v>77</v>
      </c>
      <c r="C37" s="12" t="s">
        <v>76</v>
      </c>
      <c r="D37" s="9" t="s">
        <v>69</v>
      </c>
      <c r="E37" s="11">
        <v>30698.0</v>
      </c>
      <c r="F37" s="11">
        <v>92533.0</v>
      </c>
    </row>
    <row r="38">
      <c r="A38" s="5">
        <v>37.0</v>
      </c>
      <c r="B38" s="5" t="s">
        <v>77</v>
      </c>
      <c r="C38" s="12" t="s">
        <v>76</v>
      </c>
      <c r="D38" s="9" t="s">
        <v>73</v>
      </c>
      <c r="E38" s="11">
        <v>28773.0</v>
      </c>
      <c r="F38" s="11">
        <v>90854.0</v>
      </c>
    </row>
    <row r="39">
      <c r="A39" s="5">
        <v>38.0</v>
      </c>
      <c r="B39" s="5" t="s">
        <v>77</v>
      </c>
      <c r="C39" s="12" t="s">
        <v>76</v>
      </c>
      <c r="D39" s="9" t="s">
        <v>72</v>
      </c>
      <c r="E39" s="11">
        <v>27072.0</v>
      </c>
      <c r="F39" s="11">
        <v>84293.0</v>
      </c>
    </row>
    <row r="40">
      <c r="A40" s="5">
        <v>39.0</v>
      </c>
      <c r="B40" s="5" t="s">
        <v>77</v>
      </c>
      <c r="C40" s="12" t="s">
        <v>76</v>
      </c>
      <c r="D40" s="9" t="s">
        <v>69</v>
      </c>
      <c r="E40" s="11">
        <v>26998.0</v>
      </c>
      <c r="F40" s="11">
        <v>87931.0</v>
      </c>
    </row>
    <row r="41">
      <c r="A41" s="5">
        <v>40.0</v>
      </c>
      <c r="B41" s="5" t="s">
        <v>80</v>
      </c>
      <c r="C41" s="12" t="s">
        <v>79</v>
      </c>
      <c r="D41" s="9" t="s">
        <v>60</v>
      </c>
      <c r="E41" s="8"/>
      <c r="F41" s="8"/>
    </row>
    <row r="42">
      <c r="A42" s="5">
        <v>41.0</v>
      </c>
      <c r="B42" s="5" t="s">
        <v>80</v>
      </c>
      <c r="C42" s="12" t="s">
        <v>79</v>
      </c>
      <c r="D42" s="9" t="s">
        <v>62</v>
      </c>
      <c r="E42" s="8"/>
      <c r="F42" s="8"/>
    </row>
    <row r="43">
      <c r="A43" s="5">
        <v>42.0</v>
      </c>
      <c r="B43" s="5" t="s">
        <v>80</v>
      </c>
      <c r="C43" s="12" t="s">
        <v>79</v>
      </c>
      <c r="D43" s="9" t="s">
        <v>63</v>
      </c>
      <c r="E43" s="8"/>
      <c r="F43" s="8"/>
    </row>
    <row r="44">
      <c r="A44" s="5">
        <v>43.0</v>
      </c>
      <c r="B44" s="5" t="s">
        <v>80</v>
      </c>
      <c r="C44" s="12" t="s">
        <v>79</v>
      </c>
      <c r="D44" s="9" t="s">
        <v>64</v>
      </c>
      <c r="E44" s="8"/>
      <c r="F44" s="8"/>
    </row>
    <row r="45">
      <c r="A45" s="5">
        <v>44.0</v>
      </c>
      <c r="B45" s="5" t="s">
        <v>80</v>
      </c>
      <c r="C45" s="12" t="s">
        <v>79</v>
      </c>
      <c r="D45" s="9" t="s">
        <v>65</v>
      </c>
      <c r="E45" s="8"/>
      <c r="F45" s="8"/>
    </row>
    <row r="46">
      <c r="A46" s="5">
        <v>45.0</v>
      </c>
      <c r="B46" s="5" t="s">
        <v>80</v>
      </c>
      <c r="C46" s="12" t="s">
        <v>79</v>
      </c>
      <c r="D46" s="9" t="s">
        <v>66</v>
      </c>
      <c r="E46" s="8"/>
      <c r="F46" s="8"/>
    </row>
    <row r="47">
      <c r="A47" s="5">
        <v>46.0</v>
      </c>
      <c r="B47" s="5" t="s">
        <v>80</v>
      </c>
      <c r="C47" s="12" t="s">
        <v>79</v>
      </c>
      <c r="D47" s="9" t="s">
        <v>70</v>
      </c>
      <c r="E47" s="8"/>
      <c r="F47" s="8"/>
    </row>
    <row r="48">
      <c r="A48" s="5">
        <v>47.0</v>
      </c>
      <c r="B48" s="5" t="s">
        <v>80</v>
      </c>
      <c r="C48" s="12" t="s">
        <v>79</v>
      </c>
      <c r="D48" s="9" t="s">
        <v>66</v>
      </c>
      <c r="E48" s="8"/>
      <c r="F48" s="8"/>
    </row>
    <row r="49">
      <c r="A49" s="5">
        <v>48.0</v>
      </c>
      <c r="B49" s="5" t="s">
        <v>80</v>
      </c>
      <c r="C49" s="12" t="s">
        <v>79</v>
      </c>
      <c r="D49" s="9" t="s">
        <v>72</v>
      </c>
      <c r="E49" s="8"/>
      <c r="F49" s="8"/>
    </row>
    <row r="50">
      <c r="A50" s="5">
        <v>49.0</v>
      </c>
      <c r="B50" s="5" t="s">
        <v>80</v>
      </c>
      <c r="C50" s="12" t="s">
        <v>79</v>
      </c>
      <c r="D50" s="9" t="s">
        <v>69</v>
      </c>
      <c r="E50" s="8"/>
      <c r="F50" s="8"/>
    </row>
    <row r="51">
      <c r="A51" s="5">
        <v>50.0</v>
      </c>
      <c r="B51" s="5" t="s">
        <v>80</v>
      </c>
      <c r="C51" s="12" t="s">
        <v>79</v>
      </c>
      <c r="D51" s="9" t="s">
        <v>73</v>
      </c>
      <c r="E51" s="8"/>
      <c r="F51" s="8"/>
    </row>
    <row r="52">
      <c r="A52" s="5">
        <v>51.0</v>
      </c>
      <c r="B52" s="5" t="s">
        <v>80</v>
      </c>
      <c r="C52" s="12" t="s">
        <v>79</v>
      </c>
      <c r="D52" s="9" t="s">
        <v>72</v>
      </c>
      <c r="E52" s="8"/>
      <c r="F52" s="8"/>
    </row>
    <row r="53">
      <c r="A53" s="5">
        <v>52.0</v>
      </c>
      <c r="B53" s="5" t="s">
        <v>80</v>
      </c>
      <c r="C53" s="12" t="s">
        <v>79</v>
      </c>
      <c r="D53" s="9" t="s">
        <v>69</v>
      </c>
      <c r="E53" s="8"/>
      <c r="F53" s="8"/>
    </row>
    <row r="54">
      <c r="A54" s="5">
        <v>53.0</v>
      </c>
      <c r="B54" s="5" t="s">
        <v>75</v>
      </c>
      <c r="C54" s="12" t="s">
        <v>81</v>
      </c>
      <c r="D54" s="9" t="s">
        <v>60</v>
      </c>
      <c r="E54" s="8"/>
      <c r="F54" s="8"/>
    </row>
    <row r="55">
      <c r="A55" s="5">
        <v>54.0</v>
      </c>
      <c r="B55" s="5" t="s">
        <v>75</v>
      </c>
      <c r="C55" s="12" t="s">
        <v>81</v>
      </c>
      <c r="D55" s="9" t="s">
        <v>62</v>
      </c>
      <c r="E55" s="8"/>
      <c r="F55" s="8"/>
    </row>
    <row r="56">
      <c r="A56" s="5">
        <v>55.0</v>
      </c>
      <c r="B56" s="5" t="s">
        <v>75</v>
      </c>
      <c r="C56" s="12" t="s">
        <v>81</v>
      </c>
      <c r="D56" s="9" t="s">
        <v>63</v>
      </c>
      <c r="E56" s="8"/>
      <c r="F56" s="11">
        <v>517.0</v>
      </c>
    </row>
    <row r="57">
      <c r="A57" s="5">
        <v>56.0</v>
      </c>
      <c r="B57" s="5" t="s">
        <v>75</v>
      </c>
      <c r="C57" s="12" t="s">
        <v>81</v>
      </c>
      <c r="D57" s="9" t="s">
        <v>64</v>
      </c>
      <c r="E57" s="8"/>
      <c r="F57" s="11">
        <v>517.0</v>
      </c>
    </row>
    <row r="58">
      <c r="A58" s="5">
        <v>57.0</v>
      </c>
      <c r="B58" s="5" t="s">
        <v>75</v>
      </c>
      <c r="C58" s="12" t="s">
        <v>81</v>
      </c>
      <c r="D58" s="9" t="s">
        <v>65</v>
      </c>
      <c r="E58" s="8"/>
      <c r="F58" s="11">
        <v>539.0</v>
      </c>
    </row>
    <row r="59">
      <c r="A59" s="5">
        <v>58.0</v>
      </c>
      <c r="B59" s="5" t="s">
        <v>75</v>
      </c>
      <c r="C59" s="12" t="s">
        <v>81</v>
      </c>
      <c r="D59" s="9" t="s">
        <v>66</v>
      </c>
      <c r="E59" s="8"/>
      <c r="F59" s="11">
        <v>539.0</v>
      </c>
    </row>
    <row r="60">
      <c r="A60" s="5">
        <v>59.0</v>
      </c>
      <c r="B60" s="5" t="s">
        <v>75</v>
      </c>
      <c r="C60" s="12" t="s">
        <v>81</v>
      </c>
      <c r="D60" s="9" t="s">
        <v>70</v>
      </c>
      <c r="E60" s="8"/>
      <c r="F60" s="11">
        <v>546.0</v>
      </c>
    </row>
    <row r="61">
      <c r="A61" s="5">
        <v>60.0</v>
      </c>
      <c r="B61" s="5" t="s">
        <v>75</v>
      </c>
      <c r="C61" s="12" t="s">
        <v>81</v>
      </c>
      <c r="D61" s="9" t="s">
        <v>66</v>
      </c>
      <c r="E61" s="8"/>
      <c r="F61" s="11">
        <v>576.0</v>
      </c>
    </row>
    <row r="62">
      <c r="A62" s="5">
        <v>61.0</v>
      </c>
      <c r="B62" s="5" t="s">
        <v>75</v>
      </c>
      <c r="C62" s="12" t="s">
        <v>81</v>
      </c>
      <c r="D62" s="9" t="s">
        <v>72</v>
      </c>
      <c r="E62" s="8"/>
      <c r="F62" s="11">
        <v>565.0</v>
      </c>
    </row>
    <row r="63">
      <c r="A63" s="5">
        <v>62.0</v>
      </c>
      <c r="B63" s="5" t="s">
        <v>75</v>
      </c>
      <c r="C63" s="12" t="s">
        <v>81</v>
      </c>
      <c r="D63" s="9" t="s">
        <v>69</v>
      </c>
      <c r="E63" s="8"/>
      <c r="F63" s="11">
        <v>535.0</v>
      </c>
    </row>
    <row r="64">
      <c r="A64" s="5">
        <v>63.0</v>
      </c>
      <c r="B64" s="5" t="s">
        <v>75</v>
      </c>
      <c r="C64" s="12" t="s">
        <v>81</v>
      </c>
      <c r="D64" s="9" t="s">
        <v>73</v>
      </c>
      <c r="E64" s="8"/>
      <c r="F64" s="11">
        <v>532.0</v>
      </c>
    </row>
    <row r="65">
      <c r="A65" s="5">
        <v>64.0</v>
      </c>
      <c r="B65" s="5" t="s">
        <v>75</v>
      </c>
      <c r="C65" s="12" t="s">
        <v>81</v>
      </c>
      <c r="D65" s="9" t="s">
        <v>72</v>
      </c>
      <c r="E65" s="8"/>
      <c r="F65" s="11">
        <v>524.0</v>
      </c>
    </row>
    <row r="66">
      <c r="A66" s="5">
        <v>65.0</v>
      </c>
      <c r="B66" s="5" t="s">
        <v>75</v>
      </c>
      <c r="C66" s="12" t="s">
        <v>81</v>
      </c>
      <c r="D66" s="9" t="s">
        <v>69</v>
      </c>
      <c r="E66" s="8"/>
      <c r="F66" s="11">
        <v>524.0</v>
      </c>
    </row>
    <row r="67">
      <c r="A67" s="5">
        <v>66.0</v>
      </c>
      <c r="B67" s="5" t="s">
        <v>77</v>
      </c>
      <c r="C67" s="12" t="s">
        <v>82</v>
      </c>
      <c r="D67" s="9" t="s">
        <v>60</v>
      </c>
      <c r="E67" s="8"/>
      <c r="F67" s="8"/>
    </row>
    <row r="68">
      <c r="A68" s="5">
        <v>67.0</v>
      </c>
      <c r="B68" s="5" t="s">
        <v>77</v>
      </c>
      <c r="C68" s="12" t="s">
        <v>82</v>
      </c>
      <c r="D68" s="9" t="s">
        <v>62</v>
      </c>
      <c r="E68" s="11">
        <v>13576.0</v>
      </c>
      <c r="F68" s="8"/>
    </row>
    <row r="69">
      <c r="A69" s="5">
        <v>68.0</v>
      </c>
      <c r="B69" s="5" t="s">
        <v>77</v>
      </c>
      <c r="C69" s="12" t="s">
        <v>82</v>
      </c>
      <c r="D69" s="9" t="s">
        <v>63</v>
      </c>
      <c r="E69" s="11">
        <v>13378.0</v>
      </c>
      <c r="F69" s="11">
        <v>30418.0</v>
      </c>
    </row>
    <row r="70">
      <c r="A70" s="5">
        <v>69.0</v>
      </c>
      <c r="B70" s="5" t="s">
        <v>77</v>
      </c>
      <c r="C70" s="12" t="s">
        <v>82</v>
      </c>
      <c r="D70" s="9" t="s">
        <v>64</v>
      </c>
      <c r="E70" s="11">
        <v>12586.0</v>
      </c>
      <c r="F70" s="11">
        <v>27836.0</v>
      </c>
    </row>
    <row r="71">
      <c r="A71" s="5">
        <v>70.0</v>
      </c>
      <c r="B71" s="5" t="s">
        <v>77</v>
      </c>
      <c r="C71" s="12" t="s">
        <v>82</v>
      </c>
      <c r="D71" s="9" t="s">
        <v>65</v>
      </c>
      <c r="E71" s="11">
        <v>11584.0</v>
      </c>
      <c r="F71" s="11">
        <v>26597.0</v>
      </c>
    </row>
    <row r="72">
      <c r="A72" s="5">
        <v>71.0</v>
      </c>
      <c r="B72" s="5" t="s">
        <v>77</v>
      </c>
      <c r="C72" s="12" t="s">
        <v>82</v>
      </c>
      <c r="D72" s="9" t="s">
        <v>66</v>
      </c>
      <c r="E72" s="11">
        <v>10697.0</v>
      </c>
      <c r="F72" s="11">
        <v>25152.0</v>
      </c>
    </row>
    <row r="73">
      <c r="A73" s="5">
        <v>72.0</v>
      </c>
      <c r="B73" s="5" t="s">
        <v>77</v>
      </c>
      <c r="C73" s="12" t="s">
        <v>82</v>
      </c>
      <c r="D73" s="9" t="s">
        <v>70</v>
      </c>
      <c r="E73" s="11">
        <v>10006.0</v>
      </c>
      <c r="F73" s="11">
        <v>22266.0</v>
      </c>
    </row>
    <row r="74">
      <c r="A74" s="5">
        <v>73.0</v>
      </c>
      <c r="B74" s="5" t="s">
        <v>77</v>
      </c>
      <c r="C74" s="12" t="s">
        <v>82</v>
      </c>
      <c r="D74" s="9" t="s">
        <v>66</v>
      </c>
      <c r="E74" s="11">
        <v>9356.0</v>
      </c>
      <c r="F74" s="11">
        <v>19156.0</v>
      </c>
    </row>
    <row r="75">
      <c r="A75" s="5">
        <v>74.0</v>
      </c>
      <c r="B75" s="5" t="s">
        <v>77</v>
      </c>
      <c r="C75" s="12" t="s">
        <v>82</v>
      </c>
      <c r="D75" s="9" t="s">
        <v>72</v>
      </c>
      <c r="E75" s="11">
        <v>9676.0</v>
      </c>
      <c r="F75" s="11">
        <v>18793.0</v>
      </c>
    </row>
    <row r="76">
      <c r="A76" s="5">
        <v>75.0</v>
      </c>
      <c r="B76" s="5" t="s">
        <v>77</v>
      </c>
      <c r="C76" s="12" t="s">
        <v>82</v>
      </c>
      <c r="D76" s="9" t="s">
        <v>69</v>
      </c>
      <c r="E76" s="11">
        <v>9004.0</v>
      </c>
      <c r="F76" s="11">
        <v>9065.0</v>
      </c>
    </row>
    <row r="77">
      <c r="A77" s="5">
        <v>76.0</v>
      </c>
      <c r="B77" s="5" t="s">
        <v>77</v>
      </c>
      <c r="C77" s="12" t="s">
        <v>82</v>
      </c>
      <c r="D77" s="9" t="s">
        <v>73</v>
      </c>
      <c r="E77" s="11">
        <v>8304.0</v>
      </c>
      <c r="F77" s="11">
        <v>12666.0</v>
      </c>
    </row>
    <row r="78">
      <c r="A78" s="5">
        <v>77.0</v>
      </c>
      <c r="B78" s="5" t="s">
        <v>77</v>
      </c>
      <c r="C78" s="12" t="s">
        <v>82</v>
      </c>
      <c r="D78" s="9" t="s">
        <v>72</v>
      </c>
      <c r="E78" s="11">
        <v>7883.0</v>
      </c>
      <c r="F78" s="11">
        <v>9732.0</v>
      </c>
    </row>
    <row r="79">
      <c r="A79" s="5">
        <v>78.0</v>
      </c>
      <c r="B79" s="5" t="s">
        <v>77</v>
      </c>
      <c r="C79" s="12" t="s">
        <v>82</v>
      </c>
      <c r="D79" s="9" t="s">
        <v>69</v>
      </c>
      <c r="E79" s="11">
        <v>7499.0</v>
      </c>
      <c r="F79" s="11">
        <v>9542.0</v>
      </c>
    </row>
    <row r="80">
      <c r="A80" s="5">
        <v>79.0</v>
      </c>
      <c r="B80" s="5" t="s">
        <v>84</v>
      </c>
      <c r="C80" s="12" t="s">
        <v>83</v>
      </c>
      <c r="D80" s="9" t="s">
        <v>60</v>
      </c>
      <c r="E80" s="8"/>
      <c r="F80" s="8"/>
    </row>
    <row r="81">
      <c r="A81" s="5">
        <v>80.0</v>
      </c>
      <c r="B81" s="5" t="s">
        <v>84</v>
      </c>
      <c r="C81" s="12" t="s">
        <v>83</v>
      </c>
      <c r="D81" s="9" t="s">
        <v>62</v>
      </c>
      <c r="E81" s="8"/>
      <c r="F81" s="8"/>
    </row>
    <row r="82">
      <c r="A82" s="5">
        <v>81.0</v>
      </c>
      <c r="B82" s="5" t="s">
        <v>84</v>
      </c>
      <c r="C82" s="12" t="s">
        <v>83</v>
      </c>
      <c r="D82" s="9" t="s">
        <v>63</v>
      </c>
      <c r="E82" s="8"/>
      <c r="F82" s="11">
        <v>513.0</v>
      </c>
    </row>
    <row r="83">
      <c r="A83" s="5">
        <v>82.0</v>
      </c>
      <c r="B83" s="5" t="s">
        <v>84</v>
      </c>
      <c r="C83" s="12" t="s">
        <v>83</v>
      </c>
      <c r="D83" s="9" t="s">
        <v>64</v>
      </c>
      <c r="E83" s="8"/>
      <c r="F83" s="11">
        <v>499.0</v>
      </c>
    </row>
    <row r="84">
      <c r="A84" s="5">
        <v>83.0</v>
      </c>
      <c r="B84" s="5" t="s">
        <v>84</v>
      </c>
      <c r="C84" s="12" t="s">
        <v>83</v>
      </c>
      <c r="D84" s="9" t="s">
        <v>65</v>
      </c>
      <c r="E84" s="8"/>
      <c r="F84" s="11">
        <v>458.0</v>
      </c>
    </row>
    <row r="85">
      <c r="A85" s="5">
        <v>84.0</v>
      </c>
      <c r="B85" s="5" t="s">
        <v>84</v>
      </c>
      <c r="C85" s="12" t="s">
        <v>83</v>
      </c>
      <c r="D85" s="9" t="s">
        <v>66</v>
      </c>
      <c r="E85" s="11">
        <v>146.0</v>
      </c>
      <c r="F85" s="11">
        <v>444.0</v>
      </c>
    </row>
    <row r="86">
      <c r="A86" s="5">
        <v>85.0</v>
      </c>
      <c r="B86" s="5" t="s">
        <v>84</v>
      </c>
      <c r="C86" s="12" t="s">
        <v>83</v>
      </c>
      <c r="D86" s="9" t="s">
        <v>70</v>
      </c>
      <c r="E86" s="11">
        <v>143.0</v>
      </c>
      <c r="F86" s="11">
        <v>425.0</v>
      </c>
    </row>
    <row r="87">
      <c r="A87" s="5">
        <v>86.0</v>
      </c>
      <c r="B87" s="5" t="s">
        <v>84</v>
      </c>
      <c r="C87" s="12" t="s">
        <v>83</v>
      </c>
      <c r="D87" s="9" t="s">
        <v>66</v>
      </c>
      <c r="E87" s="11">
        <v>137.0</v>
      </c>
      <c r="F87" s="11">
        <v>411.0</v>
      </c>
    </row>
    <row r="88">
      <c r="A88" s="5">
        <v>87.0</v>
      </c>
      <c r="B88" s="5" t="s">
        <v>84</v>
      </c>
      <c r="C88" s="12" t="s">
        <v>83</v>
      </c>
      <c r="D88" s="9" t="s">
        <v>73</v>
      </c>
      <c r="E88" s="11">
        <v>135.0</v>
      </c>
      <c r="F88" s="11">
        <v>407.0</v>
      </c>
    </row>
    <row r="89">
      <c r="A89" s="5">
        <v>88.0</v>
      </c>
      <c r="B89" s="5" t="s">
        <v>84</v>
      </c>
      <c r="C89" s="12" t="s">
        <v>83</v>
      </c>
      <c r="D89" s="9" t="s">
        <v>69</v>
      </c>
      <c r="E89" s="8"/>
      <c r="F89" s="11">
        <v>389.0</v>
      </c>
    </row>
    <row r="90">
      <c r="A90" s="5">
        <v>89.0</v>
      </c>
      <c r="B90" s="5" t="s">
        <v>84</v>
      </c>
      <c r="C90" s="12" t="s">
        <v>83</v>
      </c>
      <c r="D90" s="9" t="s">
        <v>73</v>
      </c>
      <c r="E90" s="8"/>
      <c r="F90" s="11">
        <v>363.0</v>
      </c>
    </row>
    <row r="91">
      <c r="A91" s="5">
        <v>90.0</v>
      </c>
      <c r="B91" s="5" t="s">
        <v>84</v>
      </c>
      <c r="C91" s="12" t="s">
        <v>83</v>
      </c>
      <c r="D91" s="9" t="s">
        <v>72</v>
      </c>
      <c r="E91" s="8"/>
      <c r="F91" s="11">
        <v>345.0</v>
      </c>
    </row>
    <row r="92">
      <c r="A92" s="5">
        <v>91.0</v>
      </c>
      <c r="B92" s="5" t="s">
        <v>84</v>
      </c>
      <c r="C92" s="12" t="s">
        <v>83</v>
      </c>
      <c r="D92" s="9" t="s">
        <v>69</v>
      </c>
      <c r="E92" s="8"/>
      <c r="F92" s="11">
        <v>345.0</v>
      </c>
    </row>
    <row r="93">
      <c r="A93" s="5">
        <v>92.0</v>
      </c>
      <c r="B93" s="5" t="s">
        <v>84</v>
      </c>
      <c r="C93" s="12" t="s">
        <v>85</v>
      </c>
      <c r="D93" s="9" t="s">
        <v>60</v>
      </c>
      <c r="E93" s="8"/>
      <c r="F93" s="8"/>
    </row>
    <row r="94">
      <c r="A94" s="5">
        <v>93.0</v>
      </c>
      <c r="B94" s="5" t="s">
        <v>84</v>
      </c>
      <c r="C94" s="12" t="s">
        <v>85</v>
      </c>
      <c r="D94" s="9" t="s">
        <v>62</v>
      </c>
      <c r="E94" s="11">
        <v>80112.0</v>
      </c>
      <c r="F94" s="8"/>
    </row>
    <row r="95">
      <c r="A95" s="5">
        <v>94.0</v>
      </c>
      <c r="B95" s="5" t="s">
        <v>84</v>
      </c>
      <c r="C95" s="12" t="s">
        <v>85</v>
      </c>
      <c r="D95" s="9" t="s">
        <v>63</v>
      </c>
      <c r="E95" s="11">
        <v>78162.0</v>
      </c>
      <c r="F95" s="11">
        <v>180512.0</v>
      </c>
    </row>
    <row r="96">
      <c r="A96" s="5">
        <v>95.0</v>
      </c>
      <c r="B96" s="5" t="s">
        <v>84</v>
      </c>
      <c r="C96" s="12" t="s">
        <v>85</v>
      </c>
      <c r="D96" s="9" t="s">
        <v>64</v>
      </c>
      <c r="E96" s="11">
        <v>76075.0</v>
      </c>
      <c r="F96" s="11">
        <v>179639.0</v>
      </c>
    </row>
    <row r="97">
      <c r="A97" s="5">
        <v>96.0</v>
      </c>
      <c r="B97" s="5" t="s">
        <v>84</v>
      </c>
      <c r="C97" s="12" t="s">
        <v>85</v>
      </c>
      <c r="D97" s="9" t="s">
        <v>65</v>
      </c>
      <c r="E97" s="11">
        <v>77794.0</v>
      </c>
      <c r="F97" s="11">
        <v>190057.0</v>
      </c>
    </row>
    <row r="98">
      <c r="A98" s="5">
        <v>97.0</v>
      </c>
      <c r="B98" s="5" t="s">
        <v>84</v>
      </c>
      <c r="C98" s="12" t="s">
        <v>85</v>
      </c>
      <c r="D98" s="9" t="s">
        <v>66</v>
      </c>
      <c r="E98" s="11">
        <v>73673.0</v>
      </c>
      <c r="F98" s="11">
        <v>180416.0</v>
      </c>
    </row>
    <row r="99">
      <c r="A99" s="5">
        <v>98.0</v>
      </c>
      <c r="B99" s="5" t="s">
        <v>84</v>
      </c>
      <c r="C99" s="12" t="s">
        <v>85</v>
      </c>
      <c r="D99" s="9" t="s">
        <v>70</v>
      </c>
      <c r="E99" s="11">
        <v>73128.0</v>
      </c>
      <c r="F99" s="11">
        <v>174238.0</v>
      </c>
    </row>
    <row r="100">
      <c r="A100" s="5">
        <v>99.0</v>
      </c>
      <c r="B100" s="5" t="s">
        <v>84</v>
      </c>
      <c r="C100" s="12" t="s">
        <v>85</v>
      </c>
      <c r="D100" s="9" t="s">
        <v>66</v>
      </c>
      <c r="E100" s="11">
        <v>66973.0</v>
      </c>
      <c r="F100" s="11">
        <v>160952.0</v>
      </c>
    </row>
    <row r="101">
      <c r="A101" s="5">
        <v>100.0</v>
      </c>
      <c r="B101" s="5" t="s">
        <v>84</v>
      </c>
      <c r="C101" s="12" t="s">
        <v>85</v>
      </c>
      <c r="D101" s="9" t="s">
        <v>73</v>
      </c>
      <c r="E101" s="11">
        <v>67303.0</v>
      </c>
      <c r="F101" s="11">
        <v>156170.0</v>
      </c>
    </row>
    <row r="102">
      <c r="A102" s="5">
        <v>101.0</v>
      </c>
      <c r="B102" s="5" t="s">
        <v>84</v>
      </c>
      <c r="C102" s="12" t="s">
        <v>85</v>
      </c>
      <c r="D102" s="9" t="s">
        <v>69</v>
      </c>
      <c r="E102" s="11">
        <v>59047.0</v>
      </c>
      <c r="F102" s="11">
        <v>133127.0</v>
      </c>
    </row>
    <row r="103">
      <c r="A103" s="5">
        <v>102.0</v>
      </c>
      <c r="B103" s="5" t="s">
        <v>84</v>
      </c>
      <c r="C103" s="12" t="s">
        <v>85</v>
      </c>
      <c r="D103" s="9" t="s">
        <v>73</v>
      </c>
      <c r="E103" s="11">
        <v>55386.0</v>
      </c>
      <c r="F103" s="11">
        <v>123266.0</v>
      </c>
    </row>
    <row r="104">
      <c r="A104" s="5">
        <v>103.0</v>
      </c>
      <c r="B104" s="5" t="s">
        <v>84</v>
      </c>
      <c r="C104" s="12" t="s">
        <v>85</v>
      </c>
      <c r="D104" s="9" t="s">
        <v>72</v>
      </c>
      <c r="E104" s="11">
        <v>57835.0</v>
      </c>
      <c r="F104" s="11">
        <v>132632.0</v>
      </c>
    </row>
    <row r="105">
      <c r="A105" s="5">
        <v>104.0</v>
      </c>
      <c r="B105" s="5" t="s">
        <v>84</v>
      </c>
      <c r="C105" s="12" t="s">
        <v>85</v>
      </c>
      <c r="D105" s="9" t="s">
        <v>69</v>
      </c>
      <c r="E105" s="11">
        <v>60954.0</v>
      </c>
      <c r="F105" s="11">
        <v>141077.0</v>
      </c>
    </row>
    <row r="106">
      <c r="A106" s="5">
        <v>105.0</v>
      </c>
      <c r="B106" s="5" t="s">
        <v>61</v>
      </c>
      <c r="C106" s="12" t="s">
        <v>86</v>
      </c>
      <c r="D106" s="9" t="s">
        <v>60</v>
      </c>
      <c r="E106" s="8"/>
      <c r="F106" s="8"/>
    </row>
    <row r="107">
      <c r="A107" s="5">
        <v>106.0</v>
      </c>
      <c r="B107" s="5" t="s">
        <v>61</v>
      </c>
      <c r="C107" s="12" t="s">
        <v>86</v>
      </c>
      <c r="D107" s="9" t="s">
        <v>62</v>
      </c>
      <c r="E107" s="11">
        <v>2716.0</v>
      </c>
      <c r="F107" s="8"/>
    </row>
    <row r="108">
      <c r="A108" s="5">
        <v>107.0</v>
      </c>
      <c r="B108" s="5" t="s">
        <v>61</v>
      </c>
      <c r="C108" s="12" t="s">
        <v>86</v>
      </c>
      <c r="D108" s="9" t="s">
        <v>63</v>
      </c>
      <c r="E108" s="11">
        <v>2483.0</v>
      </c>
      <c r="F108" s="11">
        <v>4221.0</v>
      </c>
    </row>
    <row r="109">
      <c r="A109" s="5">
        <v>108.0</v>
      </c>
      <c r="B109" s="5" t="s">
        <v>61</v>
      </c>
      <c r="C109" s="12" t="s">
        <v>86</v>
      </c>
      <c r="D109" s="9" t="s">
        <v>64</v>
      </c>
      <c r="E109" s="11">
        <v>2610.0</v>
      </c>
      <c r="F109" s="11">
        <v>4353.0</v>
      </c>
    </row>
    <row r="110">
      <c r="A110" s="5">
        <v>109.0</v>
      </c>
      <c r="B110" s="5" t="s">
        <v>61</v>
      </c>
      <c r="C110" s="12" t="s">
        <v>86</v>
      </c>
      <c r="D110" s="9" t="s">
        <v>65</v>
      </c>
      <c r="E110" s="11">
        <v>3004.0</v>
      </c>
      <c r="F110" s="11">
        <v>5556.0</v>
      </c>
    </row>
    <row r="111">
      <c r="A111" s="5">
        <v>110.0</v>
      </c>
      <c r="B111" s="5" t="s">
        <v>61</v>
      </c>
      <c r="C111" s="12" t="s">
        <v>86</v>
      </c>
      <c r="D111" s="9" t="s">
        <v>66</v>
      </c>
      <c r="E111" s="11">
        <v>2853.0</v>
      </c>
      <c r="F111" s="11">
        <v>5068.0</v>
      </c>
    </row>
    <row r="112">
      <c r="A112" s="5">
        <v>111.0</v>
      </c>
      <c r="B112" s="5" t="s">
        <v>61</v>
      </c>
      <c r="C112" s="12" t="s">
        <v>86</v>
      </c>
      <c r="D112" s="9" t="s">
        <v>70</v>
      </c>
      <c r="E112" s="11">
        <v>2559.0</v>
      </c>
      <c r="F112" s="11">
        <v>4382.0</v>
      </c>
    </row>
    <row r="113">
      <c r="A113" s="5">
        <v>112.0</v>
      </c>
      <c r="B113" s="5" t="s">
        <v>61</v>
      </c>
      <c r="C113" s="12" t="s">
        <v>86</v>
      </c>
      <c r="D113" s="9" t="s">
        <v>66</v>
      </c>
      <c r="E113" s="11">
        <v>2512.0</v>
      </c>
      <c r="F113" s="11">
        <v>4360.0</v>
      </c>
    </row>
    <row r="114">
      <c r="A114" s="5">
        <v>113.0</v>
      </c>
      <c r="B114" s="5" t="s">
        <v>61</v>
      </c>
      <c r="C114" s="12" t="s">
        <v>86</v>
      </c>
      <c r="D114" s="9" t="s">
        <v>73</v>
      </c>
      <c r="E114" s="11">
        <v>2095.0</v>
      </c>
      <c r="F114" s="11">
        <v>3645.0</v>
      </c>
    </row>
    <row r="115">
      <c r="A115" s="5">
        <v>114.0</v>
      </c>
      <c r="B115" s="5" t="s">
        <v>61</v>
      </c>
      <c r="C115" s="12" t="s">
        <v>86</v>
      </c>
      <c r="D115" s="9" t="s">
        <v>69</v>
      </c>
      <c r="E115" s="11">
        <v>1981.0</v>
      </c>
      <c r="F115" s="11">
        <v>3429.0</v>
      </c>
    </row>
    <row r="116">
      <c r="A116" s="5">
        <v>115.0</v>
      </c>
      <c r="B116" s="5" t="s">
        <v>61</v>
      </c>
      <c r="C116" s="12" t="s">
        <v>86</v>
      </c>
      <c r="D116" s="9" t="s">
        <v>73</v>
      </c>
      <c r="E116" s="11">
        <v>1876.0</v>
      </c>
      <c r="F116" s="11">
        <v>3044.0</v>
      </c>
    </row>
    <row r="117">
      <c r="A117" s="5">
        <v>116.0</v>
      </c>
      <c r="B117" s="5" t="s">
        <v>61</v>
      </c>
      <c r="C117" s="12" t="s">
        <v>86</v>
      </c>
      <c r="D117" s="9" t="s">
        <v>72</v>
      </c>
      <c r="E117" s="11">
        <v>2006.0</v>
      </c>
      <c r="F117" s="11">
        <v>3542.0</v>
      </c>
    </row>
    <row r="118">
      <c r="A118" s="5">
        <v>117.0</v>
      </c>
      <c r="B118" s="5" t="s">
        <v>61</v>
      </c>
      <c r="C118" s="12" t="s">
        <v>86</v>
      </c>
      <c r="D118" s="9" t="s">
        <v>69</v>
      </c>
      <c r="E118" s="11">
        <v>2015.0</v>
      </c>
      <c r="F118" s="11">
        <v>3465.0</v>
      </c>
    </row>
    <row r="119">
      <c r="A119" s="5">
        <v>118.0</v>
      </c>
      <c r="B119" s="5" t="s">
        <v>84</v>
      </c>
      <c r="C119" s="12" t="s">
        <v>87</v>
      </c>
      <c r="D119" s="9" t="s">
        <v>60</v>
      </c>
      <c r="E119" s="8"/>
      <c r="F119" s="8"/>
    </row>
    <row r="120">
      <c r="A120" s="5">
        <v>119.0</v>
      </c>
      <c r="B120" s="5" t="s">
        <v>84</v>
      </c>
      <c r="C120" s="12" t="s">
        <v>87</v>
      </c>
      <c r="D120" s="9" t="s">
        <v>62</v>
      </c>
      <c r="E120" s="8"/>
      <c r="F120" s="8"/>
    </row>
    <row r="121">
      <c r="A121" s="5">
        <v>120.0</v>
      </c>
      <c r="B121" s="5" t="s">
        <v>84</v>
      </c>
      <c r="C121" s="12" t="s">
        <v>87</v>
      </c>
      <c r="D121" s="9" t="s">
        <v>63</v>
      </c>
      <c r="E121" s="8"/>
      <c r="F121" s="11">
        <v>2321.0</v>
      </c>
    </row>
    <row r="122">
      <c r="A122" s="5">
        <v>121.0</v>
      </c>
      <c r="B122" s="5" t="s">
        <v>84</v>
      </c>
      <c r="C122" s="12" t="s">
        <v>87</v>
      </c>
      <c r="D122" s="9" t="s">
        <v>64</v>
      </c>
      <c r="E122" s="8"/>
      <c r="F122" s="11">
        <v>2296.0</v>
      </c>
    </row>
    <row r="123">
      <c r="A123" s="5">
        <v>122.0</v>
      </c>
      <c r="B123" s="5" t="s">
        <v>84</v>
      </c>
      <c r="C123" s="12" t="s">
        <v>87</v>
      </c>
      <c r="D123" s="9" t="s">
        <v>65</v>
      </c>
      <c r="E123" s="8"/>
      <c r="F123" s="11">
        <v>2288.0</v>
      </c>
    </row>
    <row r="124">
      <c r="A124" s="5">
        <v>123.0</v>
      </c>
      <c r="B124" s="5" t="s">
        <v>84</v>
      </c>
      <c r="C124" s="12" t="s">
        <v>87</v>
      </c>
      <c r="D124" s="9" t="s">
        <v>66</v>
      </c>
      <c r="E124" s="8"/>
      <c r="F124" s="11">
        <v>2358.0</v>
      </c>
    </row>
    <row r="125">
      <c r="A125" s="5">
        <v>124.0</v>
      </c>
      <c r="B125" s="5" t="s">
        <v>84</v>
      </c>
      <c r="C125" s="12" t="s">
        <v>87</v>
      </c>
      <c r="D125" s="9" t="s">
        <v>70</v>
      </c>
      <c r="E125" s="8"/>
      <c r="F125" s="11">
        <v>2274.0</v>
      </c>
    </row>
    <row r="126">
      <c r="A126" s="5">
        <v>125.0</v>
      </c>
      <c r="B126" s="5" t="s">
        <v>84</v>
      </c>
      <c r="C126" s="12" t="s">
        <v>87</v>
      </c>
      <c r="D126" s="9" t="s">
        <v>67</v>
      </c>
      <c r="E126" s="8"/>
      <c r="F126" s="11">
        <v>2274.0</v>
      </c>
    </row>
    <row r="127">
      <c r="A127" s="5">
        <v>126.0</v>
      </c>
      <c r="B127" s="5" t="s">
        <v>84</v>
      </c>
      <c r="C127" s="12" t="s">
        <v>87</v>
      </c>
      <c r="D127" s="9" t="s">
        <v>73</v>
      </c>
      <c r="E127" s="8"/>
      <c r="F127" s="11">
        <v>2259.0</v>
      </c>
    </row>
    <row r="128">
      <c r="A128" s="5">
        <v>127.0</v>
      </c>
      <c r="B128" s="5" t="s">
        <v>84</v>
      </c>
      <c r="C128" s="12" t="s">
        <v>87</v>
      </c>
      <c r="D128" s="9" t="s">
        <v>69</v>
      </c>
      <c r="E128" s="8"/>
      <c r="F128" s="11">
        <v>2255.0</v>
      </c>
    </row>
    <row r="129">
      <c r="A129" s="5">
        <v>128.0</v>
      </c>
      <c r="B129" s="5" t="s">
        <v>84</v>
      </c>
      <c r="C129" s="12" t="s">
        <v>87</v>
      </c>
      <c r="D129" s="9" t="s">
        <v>73</v>
      </c>
      <c r="E129" s="8"/>
      <c r="F129" s="11">
        <v>2255.0</v>
      </c>
    </row>
    <row r="130">
      <c r="A130" s="5">
        <v>129.0</v>
      </c>
      <c r="B130" s="5" t="s">
        <v>84</v>
      </c>
      <c r="C130" s="12" t="s">
        <v>87</v>
      </c>
      <c r="D130" s="9" t="s">
        <v>72</v>
      </c>
      <c r="E130" s="8"/>
      <c r="F130" s="11">
        <v>2237.0</v>
      </c>
    </row>
    <row r="131">
      <c r="A131" s="5">
        <v>130.0</v>
      </c>
      <c r="B131" s="5" t="s">
        <v>84</v>
      </c>
      <c r="C131" s="12" t="s">
        <v>87</v>
      </c>
      <c r="D131" s="9" t="s">
        <v>69</v>
      </c>
      <c r="E131" s="8"/>
      <c r="F131" s="11">
        <v>2233.0</v>
      </c>
    </row>
    <row r="132">
      <c r="A132" s="5">
        <v>131.0</v>
      </c>
      <c r="B132" s="5" t="s">
        <v>80</v>
      </c>
      <c r="C132" s="12" t="s">
        <v>88</v>
      </c>
      <c r="D132" s="9" t="s">
        <v>60</v>
      </c>
      <c r="E132" s="11">
        <v>133681.0</v>
      </c>
      <c r="F132" s="8"/>
    </row>
    <row r="133">
      <c r="A133" s="5">
        <v>132.0</v>
      </c>
      <c r="B133" s="5" t="s">
        <v>80</v>
      </c>
      <c r="C133" s="12" t="s">
        <v>88</v>
      </c>
      <c r="D133" s="9" t="s">
        <v>62</v>
      </c>
      <c r="E133" s="11">
        <v>122888.0</v>
      </c>
      <c r="F133" s="8"/>
    </row>
    <row r="134">
      <c r="A134" s="5">
        <v>133.0</v>
      </c>
      <c r="B134" s="5" t="s">
        <v>80</v>
      </c>
      <c r="C134" s="12" t="s">
        <v>88</v>
      </c>
      <c r="D134" s="9" t="s">
        <v>63</v>
      </c>
      <c r="E134" s="11">
        <v>122512.0</v>
      </c>
      <c r="F134" s="11">
        <v>373081.0</v>
      </c>
    </row>
    <row r="135">
      <c r="A135" s="5">
        <v>134.0</v>
      </c>
      <c r="B135" s="5" t="s">
        <v>80</v>
      </c>
      <c r="C135" s="12" t="s">
        <v>88</v>
      </c>
      <c r="D135" s="9" t="s">
        <v>64</v>
      </c>
      <c r="E135" s="11">
        <v>122108.0</v>
      </c>
      <c r="F135" s="11">
        <v>395094.0</v>
      </c>
    </row>
    <row r="136">
      <c r="A136" s="5">
        <v>135.0</v>
      </c>
      <c r="B136" s="5" t="s">
        <v>80</v>
      </c>
      <c r="C136" s="12" t="s">
        <v>88</v>
      </c>
      <c r="D136" s="9" t="s">
        <v>65</v>
      </c>
      <c r="E136" s="11">
        <v>122519.0</v>
      </c>
      <c r="F136" s="11">
        <v>387635.0</v>
      </c>
    </row>
    <row r="137">
      <c r="A137" s="5">
        <v>136.0</v>
      </c>
      <c r="B137" s="5" t="s">
        <v>80</v>
      </c>
      <c r="C137" s="12" t="s">
        <v>88</v>
      </c>
      <c r="D137" s="9" t="s">
        <v>66</v>
      </c>
      <c r="E137" s="11">
        <v>118655.0</v>
      </c>
      <c r="F137" s="11">
        <v>377235.0</v>
      </c>
    </row>
    <row r="138">
      <c r="A138" s="5">
        <v>137.0</v>
      </c>
      <c r="B138" s="5" t="s">
        <v>80</v>
      </c>
      <c r="C138" s="12" t="s">
        <v>88</v>
      </c>
      <c r="D138" s="9" t="s">
        <v>70</v>
      </c>
      <c r="E138" s="11">
        <v>115020.0</v>
      </c>
      <c r="F138" s="11">
        <v>371214.0</v>
      </c>
    </row>
    <row r="139">
      <c r="A139" s="5">
        <v>138.0</v>
      </c>
      <c r="B139" s="5" t="s">
        <v>80</v>
      </c>
      <c r="C139" s="12" t="s">
        <v>88</v>
      </c>
      <c r="D139" s="9" t="s">
        <v>67</v>
      </c>
      <c r="E139" s="11">
        <v>113503.0</v>
      </c>
      <c r="F139" s="11">
        <v>362685.0</v>
      </c>
    </row>
    <row r="140">
      <c r="A140" s="5">
        <v>139.0</v>
      </c>
      <c r="B140" s="5" t="s">
        <v>80</v>
      </c>
      <c r="C140" s="12" t="s">
        <v>88</v>
      </c>
      <c r="D140" s="9" t="s">
        <v>73</v>
      </c>
      <c r="E140" s="11">
        <v>112696.0</v>
      </c>
      <c r="F140" s="11">
        <v>348757.0</v>
      </c>
    </row>
    <row r="141">
      <c r="A141" s="5">
        <v>140.0</v>
      </c>
      <c r="B141" s="5" t="s">
        <v>80</v>
      </c>
      <c r="C141" s="12" t="s">
        <v>88</v>
      </c>
      <c r="D141" s="9" t="s">
        <v>69</v>
      </c>
      <c r="E141" s="11">
        <v>110814.0</v>
      </c>
      <c r="F141" s="11">
        <v>346476.0</v>
      </c>
    </row>
    <row r="142">
      <c r="A142" s="5">
        <v>141.0</v>
      </c>
      <c r="B142" s="5" t="s">
        <v>80</v>
      </c>
      <c r="C142" s="12" t="s">
        <v>88</v>
      </c>
      <c r="D142" s="9" t="s">
        <v>66</v>
      </c>
      <c r="E142" s="11">
        <v>109461.0</v>
      </c>
      <c r="F142" s="11">
        <v>341002.0</v>
      </c>
    </row>
    <row r="143">
      <c r="A143" s="5">
        <v>142.0</v>
      </c>
      <c r="B143" s="5" t="s">
        <v>80</v>
      </c>
      <c r="C143" s="12" t="s">
        <v>88</v>
      </c>
      <c r="D143" s="9" t="s">
        <v>72</v>
      </c>
      <c r="E143" s="11">
        <v>105751.0</v>
      </c>
      <c r="F143" s="11">
        <v>324860.0</v>
      </c>
    </row>
    <row r="144">
      <c r="A144" s="5">
        <v>143.0</v>
      </c>
      <c r="B144" s="5" t="s">
        <v>80</v>
      </c>
      <c r="C144" s="12" t="s">
        <v>88</v>
      </c>
      <c r="D144" s="9" t="s">
        <v>69</v>
      </c>
      <c r="E144" s="11">
        <v>108110.0</v>
      </c>
      <c r="F144" s="11">
        <v>329605.0</v>
      </c>
    </row>
    <row r="145">
      <c r="A145" s="5">
        <v>144.0</v>
      </c>
      <c r="B145" s="5" t="s">
        <v>75</v>
      </c>
      <c r="C145" s="12" t="s">
        <v>89</v>
      </c>
      <c r="D145" s="9" t="s">
        <v>60</v>
      </c>
      <c r="E145" s="11">
        <v>32896.0</v>
      </c>
      <c r="F145" s="8"/>
    </row>
    <row r="146">
      <c r="A146" s="5">
        <v>145.0</v>
      </c>
      <c r="B146" s="5" t="s">
        <v>75</v>
      </c>
      <c r="C146" s="12" t="s">
        <v>89</v>
      </c>
      <c r="D146" s="9" t="s">
        <v>62</v>
      </c>
      <c r="E146" s="11">
        <v>33019.0</v>
      </c>
      <c r="F146" s="8"/>
    </row>
    <row r="147">
      <c r="A147" s="5">
        <v>146.0</v>
      </c>
      <c r="B147" s="5" t="s">
        <v>75</v>
      </c>
      <c r="C147" s="12" t="s">
        <v>89</v>
      </c>
      <c r="D147" s="9" t="s">
        <v>63</v>
      </c>
      <c r="E147" s="11">
        <v>34228.0</v>
      </c>
      <c r="F147" s="11">
        <v>66897.0</v>
      </c>
    </row>
    <row r="148">
      <c r="A148" s="5">
        <v>147.0</v>
      </c>
      <c r="B148" s="5" t="s">
        <v>75</v>
      </c>
      <c r="C148" s="12" t="s">
        <v>89</v>
      </c>
      <c r="D148" s="9" t="s">
        <v>64</v>
      </c>
      <c r="E148" s="11">
        <v>31963.0</v>
      </c>
      <c r="F148" s="11">
        <v>62262.0</v>
      </c>
    </row>
    <row r="149">
      <c r="A149" s="5">
        <v>148.0</v>
      </c>
      <c r="B149" s="5" t="s">
        <v>75</v>
      </c>
      <c r="C149" s="12" t="s">
        <v>89</v>
      </c>
      <c r="D149" s="9" t="s">
        <v>65</v>
      </c>
      <c r="E149" s="11">
        <v>33545.0</v>
      </c>
      <c r="F149" s="11">
        <v>68269.0</v>
      </c>
    </row>
    <row r="150">
      <c r="A150" s="5">
        <v>149.0</v>
      </c>
      <c r="B150" s="5" t="s">
        <v>75</v>
      </c>
      <c r="C150" s="12" t="s">
        <v>89</v>
      </c>
      <c r="D150" s="9" t="s">
        <v>66</v>
      </c>
      <c r="E150" s="11">
        <v>33393.0</v>
      </c>
      <c r="F150" s="11">
        <v>69141.0</v>
      </c>
    </row>
    <row r="151">
      <c r="A151" s="5">
        <v>150.0</v>
      </c>
      <c r="B151" s="5" t="s">
        <v>75</v>
      </c>
      <c r="C151" s="12" t="s">
        <v>89</v>
      </c>
      <c r="D151" s="9" t="s">
        <v>70</v>
      </c>
      <c r="E151" s="11">
        <v>33799.0</v>
      </c>
      <c r="F151" s="11">
        <v>71565.0</v>
      </c>
    </row>
    <row r="152">
      <c r="A152" s="5">
        <v>151.0</v>
      </c>
      <c r="B152" s="5" t="s">
        <v>75</v>
      </c>
      <c r="C152" s="12" t="s">
        <v>89</v>
      </c>
      <c r="D152" s="9" t="s">
        <v>67</v>
      </c>
      <c r="E152" s="11">
        <v>33792.0</v>
      </c>
      <c r="F152" s="11">
        <v>74238.0</v>
      </c>
    </row>
    <row r="153">
      <c r="A153" s="5">
        <v>152.0</v>
      </c>
      <c r="B153" s="5" t="s">
        <v>75</v>
      </c>
      <c r="C153" s="12" t="s">
        <v>89</v>
      </c>
      <c r="D153" s="9" t="s">
        <v>73</v>
      </c>
      <c r="E153" s="11">
        <v>32690.0</v>
      </c>
      <c r="F153" s="11">
        <v>71866.0</v>
      </c>
    </row>
    <row r="154">
      <c r="A154" s="5">
        <v>153.0</v>
      </c>
      <c r="B154" s="5" t="s">
        <v>75</v>
      </c>
      <c r="C154" s="12" t="s">
        <v>89</v>
      </c>
      <c r="D154" s="9" t="s">
        <v>69</v>
      </c>
      <c r="E154" s="11">
        <v>32214.0</v>
      </c>
      <c r="F154" s="11">
        <v>72317.0</v>
      </c>
    </row>
    <row r="155">
      <c r="A155" s="5">
        <v>154.0</v>
      </c>
      <c r="B155" s="5" t="s">
        <v>75</v>
      </c>
      <c r="C155" s="12" t="s">
        <v>89</v>
      </c>
      <c r="D155" s="9" t="s">
        <v>66</v>
      </c>
      <c r="E155" s="11">
        <v>30447.0</v>
      </c>
      <c r="F155" s="11">
        <v>67179.0</v>
      </c>
    </row>
    <row r="156">
      <c r="A156" s="5">
        <v>155.0</v>
      </c>
      <c r="B156" s="5" t="s">
        <v>75</v>
      </c>
      <c r="C156" s="12" t="s">
        <v>89</v>
      </c>
      <c r="D156" s="9" t="s">
        <v>72</v>
      </c>
      <c r="E156" s="11">
        <v>30177.0</v>
      </c>
      <c r="F156" s="11">
        <v>65716.0</v>
      </c>
    </row>
    <row r="157">
      <c r="A157" s="5">
        <v>156.0</v>
      </c>
      <c r="B157" s="5" t="s">
        <v>75</v>
      </c>
      <c r="C157" s="12" t="s">
        <v>89</v>
      </c>
      <c r="D157" s="9" t="s">
        <v>69</v>
      </c>
      <c r="E157" s="11">
        <v>28558.0</v>
      </c>
      <c r="F157" s="11">
        <v>63696.0</v>
      </c>
    </row>
    <row r="158">
      <c r="A158" s="5">
        <v>157.0</v>
      </c>
      <c r="B158" s="5" t="s">
        <v>61</v>
      </c>
      <c r="C158" s="12" t="s">
        <v>90</v>
      </c>
      <c r="D158" s="9" t="s">
        <v>60</v>
      </c>
      <c r="E158" s="8"/>
      <c r="F158" s="8"/>
    </row>
    <row r="159">
      <c r="A159" s="5">
        <v>158.0</v>
      </c>
      <c r="B159" s="5" t="s">
        <v>61</v>
      </c>
      <c r="C159" s="12" t="s">
        <v>90</v>
      </c>
      <c r="D159" s="9" t="s">
        <v>62</v>
      </c>
      <c r="E159" s="11">
        <v>12561.0</v>
      </c>
      <c r="F159" s="8"/>
    </row>
    <row r="160">
      <c r="A160" s="5">
        <v>159.0</v>
      </c>
      <c r="B160" s="5" t="s">
        <v>61</v>
      </c>
      <c r="C160" s="12" t="s">
        <v>90</v>
      </c>
      <c r="D160" s="9" t="s">
        <v>63</v>
      </c>
      <c r="E160" s="11">
        <v>11586.0</v>
      </c>
      <c r="F160" s="11">
        <v>45731.0</v>
      </c>
    </row>
    <row r="161">
      <c r="A161" s="5">
        <v>160.0</v>
      </c>
      <c r="B161" s="5" t="s">
        <v>61</v>
      </c>
      <c r="C161" s="12" t="s">
        <v>90</v>
      </c>
      <c r="D161" s="9" t="s">
        <v>64</v>
      </c>
      <c r="E161" s="11">
        <v>11937.0</v>
      </c>
      <c r="F161" s="11">
        <v>42629.0</v>
      </c>
    </row>
    <row r="162">
      <c r="A162" s="5">
        <v>161.0</v>
      </c>
      <c r="B162" s="5" t="s">
        <v>61</v>
      </c>
      <c r="C162" s="12" t="s">
        <v>90</v>
      </c>
      <c r="D162" s="9" t="s">
        <v>65</v>
      </c>
      <c r="E162" s="11">
        <v>13322.0</v>
      </c>
      <c r="F162" s="11">
        <v>45702.0</v>
      </c>
    </row>
    <row r="163">
      <c r="A163" s="5">
        <v>162.0</v>
      </c>
      <c r="B163" s="5" t="s">
        <v>61</v>
      </c>
      <c r="C163" s="12" t="s">
        <v>90</v>
      </c>
      <c r="D163" s="9" t="s">
        <v>66</v>
      </c>
      <c r="E163" s="11">
        <v>12113.0</v>
      </c>
      <c r="F163" s="11">
        <v>41426.0</v>
      </c>
    </row>
    <row r="164">
      <c r="A164" s="5">
        <v>163.0</v>
      </c>
      <c r="B164" s="5" t="s">
        <v>61</v>
      </c>
      <c r="C164" s="12" t="s">
        <v>90</v>
      </c>
      <c r="D164" s="9" t="s">
        <v>70</v>
      </c>
      <c r="E164" s="11">
        <v>13232.0</v>
      </c>
      <c r="F164" s="11">
        <v>39167.0</v>
      </c>
    </row>
    <row r="165">
      <c r="A165" s="5">
        <v>164.0</v>
      </c>
      <c r="B165" s="5" t="s">
        <v>61</v>
      </c>
      <c r="C165" s="12" t="s">
        <v>90</v>
      </c>
      <c r="D165" s="9" t="s">
        <v>67</v>
      </c>
      <c r="E165" s="11">
        <v>13427.0</v>
      </c>
      <c r="F165" s="11">
        <v>34338.0</v>
      </c>
    </row>
    <row r="166">
      <c r="A166" s="5">
        <v>165.0</v>
      </c>
      <c r="B166" s="5" t="s">
        <v>61</v>
      </c>
      <c r="C166" s="12" t="s">
        <v>90</v>
      </c>
      <c r="D166" s="9" t="s">
        <v>73</v>
      </c>
      <c r="E166" s="11">
        <v>12786.0</v>
      </c>
      <c r="F166" s="11">
        <v>32090.0</v>
      </c>
    </row>
    <row r="167">
      <c r="A167" s="5">
        <v>166.0</v>
      </c>
      <c r="B167" s="5" t="s">
        <v>61</v>
      </c>
      <c r="C167" s="12" t="s">
        <v>90</v>
      </c>
      <c r="D167" s="9" t="s">
        <v>69</v>
      </c>
      <c r="E167" s="11">
        <v>12158.0</v>
      </c>
      <c r="F167" s="11">
        <v>30616.0</v>
      </c>
    </row>
    <row r="168">
      <c r="A168" s="5">
        <v>167.0</v>
      </c>
      <c r="B168" s="5" t="s">
        <v>61</v>
      </c>
      <c r="C168" s="12" t="s">
        <v>90</v>
      </c>
      <c r="D168" s="9" t="s">
        <v>66</v>
      </c>
      <c r="E168" s="11">
        <v>11559.0</v>
      </c>
      <c r="F168" s="11">
        <v>29615.0</v>
      </c>
    </row>
    <row r="169">
      <c r="A169" s="5">
        <v>168.0</v>
      </c>
      <c r="B169" s="5" t="s">
        <v>61</v>
      </c>
      <c r="C169" s="12" t="s">
        <v>90</v>
      </c>
      <c r="D169" s="9" t="s">
        <v>73</v>
      </c>
      <c r="E169" s="11">
        <v>11445.0</v>
      </c>
      <c r="F169" s="11">
        <v>28771.0</v>
      </c>
    </row>
    <row r="170">
      <c r="A170" s="5">
        <v>169.0</v>
      </c>
      <c r="B170" s="5" t="s">
        <v>61</v>
      </c>
      <c r="C170" s="12" t="s">
        <v>90</v>
      </c>
      <c r="D170" s="9" t="s">
        <v>69</v>
      </c>
      <c r="E170" s="11">
        <v>11296.0</v>
      </c>
      <c r="F170" s="11">
        <v>29508.0</v>
      </c>
    </row>
    <row r="171">
      <c r="A171" s="5">
        <v>170.0</v>
      </c>
      <c r="B171" s="5" t="s">
        <v>84</v>
      </c>
      <c r="C171" s="12" t="s">
        <v>91</v>
      </c>
      <c r="D171" s="9" t="s">
        <v>60</v>
      </c>
      <c r="E171" s="8"/>
      <c r="F171" s="8"/>
    </row>
    <row r="172">
      <c r="A172" s="5">
        <v>171.0</v>
      </c>
      <c r="B172" s="5" t="s">
        <v>84</v>
      </c>
      <c r="C172" s="12" t="s">
        <v>91</v>
      </c>
      <c r="D172" s="9" t="s">
        <v>62</v>
      </c>
      <c r="E172" s="8"/>
      <c r="F172" s="8"/>
    </row>
    <row r="173">
      <c r="A173" s="5">
        <v>172.0</v>
      </c>
      <c r="B173" s="5" t="s">
        <v>84</v>
      </c>
      <c r="C173" s="12" t="s">
        <v>91</v>
      </c>
      <c r="D173" s="9" t="s">
        <v>63</v>
      </c>
      <c r="E173" s="8"/>
      <c r="F173" s="11">
        <v>2464.0</v>
      </c>
    </row>
    <row r="174">
      <c r="A174" s="5">
        <v>173.0</v>
      </c>
      <c r="B174" s="5" t="s">
        <v>84</v>
      </c>
      <c r="C174" s="12" t="s">
        <v>91</v>
      </c>
      <c r="D174" s="9" t="s">
        <v>64</v>
      </c>
      <c r="E174" s="8"/>
      <c r="F174" s="11">
        <v>1643.0</v>
      </c>
    </row>
    <row r="175">
      <c r="A175" s="5">
        <v>174.0</v>
      </c>
      <c r="B175" s="5" t="s">
        <v>84</v>
      </c>
      <c r="C175" s="12" t="s">
        <v>91</v>
      </c>
      <c r="D175" s="9" t="s">
        <v>65</v>
      </c>
      <c r="E175" s="8"/>
      <c r="F175" s="11">
        <v>1045.0</v>
      </c>
    </row>
    <row r="176">
      <c r="A176" s="5">
        <v>175.0</v>
      </c>
      <c r="B176" s="5" t="s">
        <v>84</v>
      </c>
      <c r="C176" s="12" t="s">
        <v>91</v>
      </c>
      <c r="D176" s="9" t="s">
        <v>66</v>
      </c>
      <c r="E176" s="11">
        <v>709.0</v>
      </c>
      <c r="F176" s="11">
        <v>1547.0</v>
      </c>
    </row>
    <row r="177">
      <c r="A177" s="5">
        <v>176.0</v>
      </c>
      <c r="B177" s="5" t="s">
        <v>84</v>
      </c>
      <c r="C177" s="12" t="s">
        <v>91</v>
      </c>
      <c r="D177" s="9" t="s">
        <v>70</v>
      </c>
      <c r="E177" s="11">
        <v>706.0</v>
      </c>
      <c r="F177" s="11">
        <v>1522.0</v>
      </c>
    </row>
    <row r="178">
      <c r="A178" s="5">
        <v>177.0</v>
      </c>
      <c r="B178" s="5" t="s">
        <v>84</v>
      </c>
      <c r="C178" s="12" t="s">
        <v>91</v>
      </c>
      <c r="D178" s="9" t="s">
        <v>67</v>
      </c>
      <c r="E178" s="11">
        <v>696.0</v>
      </c>
      <c r="F178" s="11">
        <v>1599.0</v>
      </c>
    </row>
    <row r="179">
      <c r="A179" s="5">
        <v>178.0</v>
      </c>
      <c r="B179" s="5" t="s">
        <v>84</v>
      </c>
      <c r="C179" s="12" t="s">
        <v>91</v>
      </c>
      <c r="D179" s="9" t="s">
        <v>73</v>
      </c>
      <c r="E179" s="11">
        <v>664.0</v>
      </c>
      <c r="F179" s="11">
        <v>1723.0</v>
      </c>
    </row>
    <row r="180">
      <c r="A180" s="5">
        <v>179.0</v>
      </c>
      <c r="B180" s="5" t="s">
        <v>84</v>
      </c>
      <c r="C180" s="12" t="s">
        <v>91</v>
      </c>
      <c r="D180" s="9" t="s">
        <v>69</v>
      </c>
      <c r="E180" s="8"/>
      <c r="F180" s="11">
        <v>1518.0</v>
      </c>
    </row>
    <row r="181">
      <c r="A181" s="5">
        <v>180.0</v>
      </c>
      <c r="B181" s="5" t="s">
        <v>84</v>
      </c>
      <c r="C181" s="12" t="s">
        <v>91</v>
      </c>
      <c r="D181" s="9" t="s">
        <v>66</v>
      </c>
      <c r="E181" s="8"/>
      <c r="F181" s="11">
        <v>1577.0</v>
      </c>
    </row>
    <row r="182">
      <c r="A182" s="5">
        <v>181.0</v>
      </c>
      <c r="B182" s="5" t="s">
        <v>84</v>
      </c>
      <c r="C182" s="12" t="s">
        <v>91</v>
      </c>
      <c r="D182" s="9" t="s">
        <v>73</v>
      </c>
      <c r="E182" s="8"/>
      <c r="F182" s="11">
        <v>1569.0</v>
      </c>
    </row>
    <row r="183">
      <c r="A183" s="5">
        <v>182.0</v>
      </c>
      <c r="B183" s="5" t="s">
        <v>84</v>
      </c>
      <c r="C183" s="12" t="s">
        <v>91</v>
      </c>
      <c r="D183" s="9" t="s">
        <v>69</v>
      </c>
      <c r="E183" s="8"/>
      <c r="F183" s="11">
        <v>1668.0</v>
      </c>
    </row>
    <row r="184">
      <c r="A184" s="5">
        <v>183.0</v>
      </c>
      <c r="B184" s="5" t="s">
        <v>93</v>
      </c>
      <c r="C184" s="12" t="s">
        <v>92</v>
      </c>
      <c r="D184" s="9" t="s">
        <v>60</v>
      </c>
      <c r="E184" s="8"/>
      <c r="F184" s="8"/>
    </row>
    <row r="185">
      <c r="A185" s="5">
        <v>184.0</v>
      </c>
      <c r="B185" s="5" t="s">
        <v>93</v>
      </c>
      <c r="C185" s="12" t="s">
        <v>92</v>
      </c>
      <c r="D185" s="9" t="s">
        <v>62</v>
      </c>
      <c r="E185" s="11">
        <v>9506.0</v>
      </c>
      <c r="F185" s="8"/>
    </row>
    <row r="186">
      <c r="A186" s="5">
        <v>185.0</v>
      </c>
      <c r="B186" s="5" t="s">
        <v>93</v>
      </c>
      <c r="C186" s="12" t="s">
        <v>92</v>
      </c>
      <c r="D186" s="9" t="s">
        <v>63</v>
      </c>
      <c r="E186" s="11">
        <v>9472.0</v>
      </c>
      <c r="F186" s="11">
        <v>24202.0</v>
      </c>
    </row>
    <row r="187">
      <c r="A187" s="5">
        <v>186.0</v>
      </c>
      <c r="B187" s="5" t="s">
        <v>93</v>
      </c>
      <c r="C187" s="12" t="s">
        <v>92</v>
      </c>
      <c r="D187" s="9" t="s">
        <v>64</v>
      </c>
      <c r="E187" s="11">
        <v>9340.0</v>
      </c>
      <c r="F187" s="11">
        <v>24169.0</v>
      </c>
    </row>
    <row r="188">
      <c r="A188" s="5">
        <v>187.0</v>
      </c>
      <c r="B188" s="5" t="s">
        <v>93</v>
      </c>
      <c r="C188" s="12" t="s">
        <v>92</v>
      </c>
      <c r="D188" s="9" t="s">
        <v>65</v>
      </c>
      <c r="E188" s="11">
        <v>9771.0</v>
      </c>
      <c r="F188" s="11">
        <v>24301.0</v>
      </c>
    </row>
    <row r="189">
      <c r="A189" s="5">
        <v>188.0</v>
      </c>
      <c r="B189" s="5" t="s">
        <v>93</v>
      </c>
      <c r="C189" s="12" t="s">
        <v>92</v>
      </c>
      <c r="D189" s="9" t="s">
        <v>66</v>
      </c>
      <c r="E189" s="11">
        <v>8962.0</v>
      </c>
      <c r="F189" s="11">
        <v>22398.0</v>
      </c>
    </row>
    <row r="190">
      <c r="A190" s="5">
        <v>189.0</v>
      </c>
      <c r="B190" s="5" t="s">
        <v>93</v>
      </c>
      <c r="C190" s="12" t="s">
        <v>92</v>
      </c>
      <c r="D190" s="9" t="s">
        <v>70</v>
      </c>
      <c r="E190" s="11">
        <v>8093.0</v>
      </c>
      <c r="F190" s="11">
        <v>19497.0</v>
      </c>
    </row>
    <row r="191">
      <c r="A191" s="5">
        <v>190.0</v>
      </c>
      <c r="B191" s="5" t="s">
        <v>93</v>
      </c>
      <c r="C191" s="12" t="s">
        <v>92</v>
      </c>
      <c r="D191" s="9" t="s">
        <v>67</v>
      </c>
      <c r="E191" s="11">
        <v>7332.0</v>
      </c>
      <c r="F191" s="11">
        <v>19208.0</v>
      </c>
    </row>
    <row r="192">
      <c r="A192" s="5">
        <v>191.0</v>
      </c>
      <c r="B192" s="5" t="s">
        <v>93</v>
      </c>
      <c r="C192" s="12" t="s">
        <v>92</v>
      </c>
      <c r="D192" s="9" t="s">
        <v>73</v>
      </c>
      <c r="E192" s="11">
        <v>6970.0</v>
      </c>
      <c r="F192" s="11">
        <v>17510.0</v>
      </c>
    </row>
    <row r="193">
      <c r="A193" s="5">
        <v>192.0</v>
      </c>
      <c r="B193" s="5" t="s">
        <v>93</v>
      </c>
      <c r="C193" s="12" t="s">
        <v>92</v>
      </c>
      <c r="D193" s="9" t="s">
        <v>69</v>
      </c>
      <c r="E193" s="11">
        <v>6752.0</v>
      </c>
      <c r="F193" s="11">
        <v>16468.0</v>
      </c>
    </row>
    <row r="194">
      <c r="A194" s="5">
        <v>193.0</v>
      </c>
      <c r="B194" s="5" t="s">
        <v>93</v>
      </c>
      <c r="C194" s="12" t="s">
        <v>92</v>
      </c>
      <c r="D194" s="9" t="s">
        <v>66</v>
      </c>
      <c r="E194" s="11">
        <v>6433.0</v>
      </c>
      <c r="F194" s="11">
        <v>15698.0</v>
      </c>
    </row>
    <row r="195">
      <c r="A195" s="5">
        <v>194.0</v>
      </c>
      <c r="B195" s="5" t="s">
        <v>93</v>
      </c>
      <c r="C195" s="12" t="s">
        <v>92</v>
      </c>
      <c r="D195" s="9" t="s">
        <v>73</v>
      </c>
      <c r="E195" s="11">
        <v>6069.0</v>
      </c>
      <c r="F195" s="11">
        <v>13927.0</v>
      </c>
    </row>
    <row r="196">
      <c r="A196" s="5">
        <v>195.0</v>
      </c>
      <c r="B196" s="5" t="s">
        <v>93</v>
      </c>
      <c r="C196" s="12" t="s">
        <v>92</v>
      </c>
      <c r="D196" s="9" t="s">
        <v>69</v>
      </c>
      <c r="E196" s="11">
        <v>5865.0</v>
      </c>
      <c r="F196" s="11">
        <v>18643.0</v>
      </c>
    </row>
    <row r="197">
      <c r="A197" s="5">
        <v>196.0</v>
      </c>
      <c r="B197" s="5" t="s">
        <v>61</v>
      </c>
      <c r="C197" s="12" t="s">
        <v>94</v>
      </c>
      <c r="D197" s="9" t="s">
        <v>60</v>
      </c>
      <c r="E197" s="8"/>
      <c r="F197" s="8"/>
    </row>
    <row r="198">
      <c r="A198" s="5">
        <v>197.0</v>
      </c>
      <c r="B198" s="5" t="s">
        <v>61</v>
      </c>
      <c r="C198" s="12" t="s">
        <v>94</v>
      </c>
      <c r="D198" s="9" t="s">
        <v>62</v>
      </c>
      <c r="E198" s="11">
        <v>31294.0</v>
      </c>
      <c r="F198" s="8"/>
    </row>
    <row r="199">
      <c r="A199" s="5">
        <v>198.0</v>
      </c>
      <c r="B199" s="5" t="s">
        <v>61</v>
      </c>
      <c r="C199" s="12" t="s">
        <v>94</v>
      </c>
      <c r="D199" s="9" t="s">
        <v>63</v>
      </c>
      <c r="E199" s="11">
        <v>30756.0</v>
      </c>
      <c r="F199" s="11">
        <v>56153.0</v>
      </c>
    </row>
    <row r="200">
      <c r="A200" s="5">
        <v>199.0</v>
      </c>
      <c r="B200" s="5" t="s">
        <v>61</v>
      </c>
      <c r="C200" s="12" t="s">
        <v>94</v>
      </c>
      <c r="D200" s="9" t="s">
        <v>64</v>
      </c>
      <c r="E200" s="11">
        <v>29131.0</v>
      </c>
      <c r="F200" s="11">
        <v>52328.0</v>
      </c>
    </row>
    <row r="201">
      <c r="A201" s="5">
        <v>200.0</v>
      </c>
      <c r="B201" s="5" t="s">
        <v>61</v>
      </c>
      <c r="C201" s="12" t="s">
        <v>94</v>
      </c>
      <c r="D201" s="9" t="s">
        <v>65</v>
      </c>
      <c r="E201" s="11">
        <v>27873.0</v>
      </c>
      <c r="F201" s="11">
        <v>46435.0</v>
      </c>
    </row>
    <row r="202">
      <c r="A202" s="5">
        <v>201.0</v>
      </c>
      <c r="B202" s="5" t="s">
        <v>61</v>
      </c>
      <c r="C202" s="12" t="s">
        <v>94</v>
      </c>
      <c r="D202" s="9" t="s">
        <v>66</v>
      </c>
      <c r="E202" s="11">
        <v>26626.0</v>
      </c>
      <c r="F202" s="11">
        <v>48467.0</v>
      </c>
    </row>
    <row r="203">
      <c r="A203" s="5">
        <v>202.0</v>
      </c>
      <c r="B203" s="5" t="s">
        <v>61</v>
      </c>
      <c r="C203" s="12" t="s">
        <v>94</v>
      </c>
      <c r="D203" s="9" t="s">
        <v>70</v>
      </c>
      <c r="E203" s="11">
        <v>25332.0</v>
      </c>
      <c r="F203" s="11">
        <v>48137.0</v>
      </c>
    </row>
    <row r="204">
      <c r="A204" s="5">
        <v>203.0</v>
      </c>
      <c r="B204" s="5" t="s">
        <v>61</v>
      </c>
      <c r="C204" s="12" t="s">
        <v>94</v>
      </c>
      <c r="D204" s="9" t="s">
        <v>67</v>
      </c>
      <c r="E204" s="11">
        <v>23868.0</v>
      </c>
      <c r="F204" s="11">
        <v>37554.0</v>
      </c>
    </row>
    <row r="205">
      <c r="A205" s="5">
        <v>204.0</v>
      </c>
      <c r="B205" s="5" t="s">
        <v>61</v>
      </c>
      <c r="C205" s="12" t="s">
        <v>94</v>
      </c>
      <c r="D205" s="9" t="s">
        <v>73</v>
      </c>
      <c r="E205" s="11">
        <v>22554.0</v>
      </c>
      <c r="F205" s="11">
        <v>39750.0</v>
      </c>
    </row>
    <row r="206">
      <c r="A206" s="5">
        <v>205.0</v>
      </c>
      <c r="B206" s="5" t="s">
        <v>61</v>
      </c>
      <c r="C206" s="12" t="s">
        <v>94</v>
      </c>
      <c r="D206" s="9" t="s">
        <v>69</v>
      </c>
      <c r="E206" s="11">
        <v>21713.0</v>
      </c>
      <c r="F206" s="11">
        <v>33883.0</v>
      </c>
    </row>
    <row r="207">
      <c r="A207" s="5">
        <v>206.0</v>
      </c>
      <c r="B207" s="5" t="s">
        <v>61</v>
      </c>
      <c r="C207" s="12" t="s">
        <v>94</v>
      </c>
      <c r="D207" s="9" t="s">
        <v>66</v>
      </c>
      <c r="E207" s="11">
        <v>20756.0</v>
      </c>
      <c r="F207" s="11">
        <v>33707.0</v>
      </c>
    </row>
    <row r="208">
      <c r="A208" s="5">
        <v>207.0</v>
      </c>
      <c r="B208" s="5" t="s">
        <v>61</v>
      </c>
      <c r="C208" s="12" t="s">
        <v>94</v>
      </c>
      <c r="D208" s="9" t="s">
        <v>73</v>
      </c>
      <c r="E208" s="11">
        <v>20223.0</v>
      </c>
      <c r="F208" s="11">
        <v>32457.0</v>
      </c>
    </row>
    <row r="209">
      <c r="A209" s="5">
        <v>208.0</v>
      </c>
      <c r="B209" s="5" t="s">
        <v>61</v>
      </c>
      <c r="C209" s="12" t="s">
        <v>94</v>
      </c>
      <c r="D209" s="9" t="s">
        <v>69</v>
      </c>
      <c r="E209" s="11">
        <v>18591.0</v>
      </c>
      <c r="F209" s="11">
        <v>27869.0</v>
      </c>
    </row>
    <row r="210">
      <c r="A210" s="5">
        <v>209.0</v>
      </c>
      <c r="B210" s="5" t="s">
        <v>84</v>
      </c>
      <c r="C210" s="12" t="s">
        <v>95</v>
      </c>
      <c r="D210" s="9" t="s">
        <v>60</v>
      </c>
      <c r="E210" s="8"/>
      <c r="F210" s="8"/>
    </row>
    <row r="211">
      <c r="A211" s="5">
        <v>210.0</v>
      </c>
      <c r="B211" s="5" t="s">
        <v>84</v>
      </c>
      <c r="C211" s="12" t="s">
        <v>95</v>
      </c>
      <c r="D211" s="9" t="s">
        <v>62</v>
      </c>
      <c r="E211" s="8"/>
      <c r="F211" s="8"/>
    </row>
    <row r="212">
      <c r="A212" s="5">
        <v>211.0</v>
      </c>
      <c r="B212" s="5" t="s">
        <v>84</v>
      </c>
      <c r="C212" s="12" t="s">
        <v>95</v>
      </c>
      <c r="D212" s="9" t="s">
        <v>63</v>
      </c>
      <c r="E212" s="8"/>
      <c r="F212" s="11">
        <v>1503.0</v>
      </c>
    </row>
    <row r="213">
      <c r="A213" s="5">
        <v>212.0</v>
      </c>
      <c r="B213" s="5" t="s">
        <v>84</v>
      </c>
      <c r="C213" s="12" t="s">
        <v>95</v>
      </c>
      <c r="D213" s="9" t="s">
        <v>64</v>
      </c>
      <c r="E213" s="8"/>
      <c r="F213" s="11">
        <v>1624.0</v>
      </c>
    </row>
    <row r="214">
      <c r="A214" s="5">
        <v>213.0</v>
      </c>
      <c r="B214" s="5" t="s">
        <v>84</v>
      </c>
      <c r="C214" s="12" t="s">
        <v>95</v>
      </c>
      <c r="D214" s="9" t="s">
        <v>65</v>
      </c>
      <c r="E214" s="8"/>
      <c r="F214" s="11">
        <v>1635.0</v>
      </c>
    </row>
    <row r="215">
      <c r="A215" s="5">
        <v>214.0</v>
      </c>
      <c r="B215" s="5" t="s">
        <v>84</v>
      </c>
      <c r="C215" s="12" t="s">
        <v>95</v>
      </c>
      <c r="D215" s="9" t="s">
        <v>66</v>
      </c>
      <c r="E215" s="11">
        <v>401.0</v>
      </c>
      <c r="F215" s="11">
        <v>1426.0</v>
      </c>
    </row>
    <row r="216">
      <c r="A216" s="5">
        <v>215.0</v>
      </c>
      <c r="B216" s="5" t="s">
        <v>84</v>
      </c>
      <c r="C216" s="12" t="s">
        <v>95</v>
      </c>
      <c r="D216" s="9" t="s">
        <v>70</v>
      </c>
      <c r="E216" s="11">
        <v>398.0</v>
      </c>
      <c r="F216" s="11">
        <v>1371.0</v>
      </c>
    </row>
    <row r="217">
      <c r="A217" s="5">
        <v>216.0</v>
      </c>
      <c r="B217" s="5" t="s">
        <v>84</v>
      </c>
      <c r="C217" s="12" t="s">
        <v>95</v>
      </c>
      <c r="D217" s="9" t="s">
        <v>67</v>
      </c>
      <c r="E217" s="11">
        <v>390.0</v>
      </c>
      <c r="F217" s="11">
        <v>1353.0</v>
      </c>
    </row>
    <row r="218">
      <c r="A218" s="5">
        <v>217.0</v>
      </c>
      <c r="B218" s="5" t="s">
        <v>84</v>
      </c>
      <c r="C218" s="12" t="s">
        <v>95</v>
      </c>
      <c r="D218" s="9" t="s">
        <v>73</v>
      </c>
      <c r="E218" s="11">
        <v>375.0</v>
      </c>
      <c r="F218" s="11">
        <v>1294.0</v>
      </c>
    </row>
    <row r="219">
      <c r="A219" s="5">
        <v>218.0</v>
      </c>
      <c r="B219" s="5" t="s">
        <v>84</v>
      </c>
      <c r="C219" s="12" t="s">
        <v>95</v>
      </c>
      <c r="D219" s="9" t="s">
        <v>69</v>
      </c>
      <c r="E219" s="8"/>
      <c r="F219" s="11">
        <v>1269.0</v>
      </c>
    </row>
    <row r="220">
      <c r="A220" s="5">
        <v>219.0</v>
      </c>
      <c r="B220" s="5" t="s">
        <v>84</v>
      </c>
      <c r="C220" s="12" t="s">
        <v>95</v>
      </c>
      <c r="D220" s="9" t="s">
        <v>66</v>
      </c>
      <c r="E220" s="8"/>
      <c r="F220" s="11">
        <v>1228.0</v>
      </c>
    </row>
    <row r="221">
      <c r="A221" s="5">
        <v>220.0</v>
      </c>
      <c r="B221" s="5" t="s">
        <v>84</v>
      </c>
      <c r="C221" s="12" t="s">
        <v>95</v>
      </c>
      <c r="D221" s="9" t="s">
        <v>73</v>
      </c>
      <c r="E221" s="8"/>
      <c r="F221" s="11">
        <v>1221.0</v>
      </c>
    </row>
    <row r="222">
      <c r="A222" s="5">
        <v>221.0</v>
      </c>
      <c r="B222" s="5" t="s">
        <v>84</v>
      </c>
      <c r="C222" s="12" t="s">
        <v>95</v>
      </c>
      <c r="D222" s="9" t="s">
        <v>69</v>
      </c>
      <c r="E222" s="8"/>
      <c r="F222" s="11">
        <v>1188.0</v>
      </c>
    </row>
    <row r="223">
      <c r="A223" s="5">
        <v>222.0</v>
      </c>
      <c r="B223" s="5" t="s">
        <v>75</v>
      </c>
      <c r="C223" s="12" t="s">
        <v>96</v>
      </c>
      <c r="D223" s="9" t="s">
        <v>60</v>
      </c>
      <c r="E223" s="8"/>
      <c r="F223" s="8"/>
    </row>
    <row r="224">
      <c r="A224" s="5">
        <v>223.0</v>
      </c>
      <c r="B224" s="5" t="s">
        <v>75</v>
      </c>
      <c r="C224" s="12" t="s">
        <v>96</v>
      </c>
      <c r="D224" s="9" t="s">
        <v>62</v>
      </c>
      <c r="E224" s="11">
        <v>29501.0</v>
      </c>
      <c r="F224" s="8"/>
    </row>
    <row r="225">
      <c r="A225" s="5">
        <v>224.0</v>
      </c>
      <c r="B225" s="5" t="s">
        <v>75</v>
      </c>
      <c r="C225" s="12" t="s">
        <v>96</v>
      </c>
      <c r="D225" s="9" t="s">
        <v>63</v>
      </c>
      <c r="E225" s="11">
        <v>27686.0</v>
      </c>
      <c r="F225" s="11">
        <v>62222.0</v>
      </c>
    </row>
    <row r="226">
      <c r="A226" s="5">
        <v>225.0</v>
      </c>
      <c r="B226" s="5" t="s">
        <v>75</v>
      </c>
      <c r="C226" s="12" t="s">
        <v>96</v>
      </c>
      <c r="D226" s="9" t="s">
        <v>64</v>
      </c>
      <c r="E226" s="11">
        <v>26737.0</v>
      </c>
      <c r="F226" s="11">
        <v>60293.0</v>
      </c>
    </row>
    <row r="227">
      <c r="A227" s="5">
        <v>226.0</v>
      </c>
      <c r="B227" s="5" t="s">
        <v>75</v>
      </c>
      <c r="C227" s="12" t="s">
        <v>96</v>
      </c>
      <c r="D227" s="9" t="s">
        <v>65</v>
      </c>
      <c r="E227" s="11">
        <v>28098.0</v>
      </c>
      <c r="F227" s="11">
        <v>62816.0</v>
      </c>
    </row>
    <row r="228">
      <c r="A228" s="5">
        <v>227.0</v>
      </c>
      <c r="B228" s="5" t="s">
        <v>75</v>
      </c>
      <c r="C228" s="12" t="s">
        <v>96</v>
      </c>
      <c r="D228" s="9" t="s">
        <v>66</v>
      </c>
      <c r="E228" s="11">
        <v>28039.0</v>
      </c>
      <c r="F228" s="11">
        <v>60282.0</v>
      </c>
    </row>
    <row r="229">
      <c r="A229" s="5">
        <v>228.0</v>
      </c>
      <c r="B229" s="5" t="s">
        <v>75</v>
      </c>
      <c r="C229" s="12" t="s">
        <v>96</v>
      </c>
      <c r="D229" s="9" t="s">
        <v>70</v>
      </c>
      <c r="E229" s="11">
        <v>28621.0</v>
      </c>
      <c r="F229" s="11">
        <v>61829.0</v>
      </c>
    </row>
    <row r="230">
      <c r="A230" s="5">
        <v>229.0</v>
      </c>
      <c r="B230" s="5" t="s">
        <v>75</v>
      </c>
      <c r="C230" s="12" t="s">
        <v>96</v>
      </c>
      <c r="D230" s="9" t="s">
        <v>67</v>
      </c>
      <c r="E230" s="11">
        <v>26874.0</v>
      </c>
      <c r="F230" s="11">
        <v>59064.0</v>
      </c>
    </row>
    <row r="231">
      <c r="A231" s="5">
        <v>230.0</v>
      </c>
      <c r="B231" s="5" t="s">
        <v>75</v>
      </c>
      <c r="C231" s="12" t="s">
        <v>96</v>
      </c>
      <c r="D231" s="9" t="s">
        <v>73</v>
      </c>
      <c r="E231" s="11">
        <v>26888.0</v>
      </c>
      <c r="F231" s="11">
        <v>58038.0</v>
      </c>
    </row>
    <row r="232">
      <c r="A232" s="5">
        <v>231.0</v>
      </c>
      <c r="B232" s="5" t="s">
        <v>75</v>
      </c>
      <c r="C232" s="12" t="s">
        <v>96</v>
      </c>
      <c r="D232" s="9" t="s">
        <v>69</v>
      </c>
      <c r="E232" s="11">
        <v>26009.0</v>
      </c>
      <c r="F232" s="11">
        <v>53722.0</v>
      </c>
    </row>
    <row r="233">
      <c r="A233" s="5">
        <v>232.0</v>
      </c>
      <c r="B233" s="5" t="s">
        <v>75</v>
      </c>
      <c r="C233" s="12" t="s">
        <v>96</v>
      </c>
      <c r="D233" s="9" t="s">
        <v>66</v>
      </c>
      <c r="E233" s="11">
        <v>25262.0</v>
      </c>
      <c r="F233" s="11">
        <v>52390.0</v>
      </c>
    </row>
    <row r="234">
      <c r="A234" s="5">
        <v>233.0</v>
      </c>
      <c r="B234" s="5" t="s">
        <v>75</v>
      </c>
      <c r="C234" s="12" t="s">
        <v>96</v>
      </c>
      <c r="D234" s="9" t="s">
        <v>73</v>
      </c>
      <c r="E234" s="11">
        <v>24785.0</v>
      </c>
      <c r="F234" s="11">
        <v>52596.0</v>
      </c>
    </row>
    <row r="235">
      <c r="A235" s="5">
        <v>234.0</v>
      </c>
      <c r="B235" s="5" t="s">
        <v>75</v>
      </c>
      <c r="C235" s="12" t="s">
        <v>96</v>
      </c>
      <c r="D235" s="9" t="s">
        <v>69</v>
      </c>
      <c r="E235" s="11">
        <v>24695.0</v>
      </c>
      <c r="F235" s="11">
        <v>53469.0</v>
      </c>
    </row>
    <row r="236">
      <c r="A236" s="5">
        <v>235.0</v>
      </c>
      <c r="B236" s="5" t="s">
        <v>75</v>
      </c>
      <c r="C236" s="12" t="s">
        <v>97</v>
      </c>
      <c r="D236" s="9" t="s">
        <v>60</v>
      </c>
      <c r="E236" s="11">
        <v>57286.0</v>
      </c>
      <c r="F236" s="8"/>
    </row>
    <row r="237">
      <c r="A237" s="5">
        <v>236.0</v>
      </c>
      <c r="B237" s="5" t="s">
        <v>75</v>
      </c>
      <c r="C237" s="12" t="s">
        <v>97</v>
      </c>
      <c r="D237" s="9" t="s">
        <v>62</v>
      </c>
      <c r="E237" s="11">
        <v>59094.0</v>
      </c>
      <c r="F237" s="8"/>
    </row>
    <row r="238">
      <c r="A238" s="5">
        <v>237.0</v>
      </c>
      <c r="B238" s="5" t="s">
        <v>75</v>
      </c>
      <c r="C238" s="12" t="s">
        <v>97</v>
      </c>
      <c r="D238" s="9" t="s">
        <v>63</v>
      </c>
      <c r="E238" s="11">
        <v>60892.0</v>
      </c>
      <c r="F238" s="11">
        <v>108947.0</v>
      </c>
    </row>
    <row r="239">
      <c r="A239" s="5">
        <v>238.0</v>
      </c>
      <c r="B239" s="5" t="s">
        <v>75</v>
      </c>
      <c r="C239" s="12" t="s">
        <v>97</v>
      </c>
      <c r="D239" s="9" t="s">
        <v>64</v>
      </c>
      <c r="E239" s="11">
        <v>57096.0</v>
      </c>
      <c r="F239" s="11">
        <v>104194.0</v>
      </c>
    </row>
    <row r="240">
      <c r="A240" s="5">
        <v>239.0</v>
      </c>
      <c r="B240" s="5" t="s">
        <v>75</v>
      </c>
      <c r="C240" s="12" t="s">
        <v>97</v>
      </c>
      <c r="D240" s="9" t="s">
        <v>65</v>
      </c>
      <c r="E240" s="11">
        <v>58600.0</v>
      </c>
      <c r="F240" s="11">
        <v>103882.0</v>
      </c>
    </row>
    <row r="241">
      <c r="A241" s="5">
        <v>240.0</v>
      </c>
      <c r="B241" s="5" t="s">
        <v>75</v>
      </c>
      <c r="C241" s="12" t="s">
        <v>97</v>
      </c>
      <c r="D241" s="9" t="s">
        <v>67</v>
      </c>
      <c r="E241" s="11">
        <v>57019.0</v>
      </c>
      <c r="F241" s="11">
        <v>103215.0</v>
      </c>
    </row>
    <row r="242">
      <c r="A242" s="5">
        <v>241.0</v>
      </c>
      <c r="B242" s="5" t="s">
        <v>75</v>
      </c>
      <c r="C242" s="12" t="s">
        <v>97</v>
      </c>
      <c r="D242" s="9" t="s">
        <v>70</v>
      </c>
      <c r="E242" s="11">
        <v>58111.0</v>
      </c>
      <c r="F242" s="11">
        <v>106834.0</v>
      </c>
    </row>
    <row r="243">
      <c r="A243" s="5">
        <v>242.0</v>
      </c>
      <c r="B243" s="5" t="s">
        <v>75</v>
      </c>
      <c r="C243" s="12" t="s">
        <v>97</v>
      </c>
      <c r="D243" s="9" t="s">
        <v>67</v>
      </c>
      <c r="E243" s="11">
        <v>58688.0</v>
      </c>
      <c r="F243" s="11">
        <v>108525.0</v>
      </c>
    </row>
    <row r="244">
      <c r="A244" s="5">
        <v>243.0</v>
      </c>
      <c r="B244" s="5" t="s">
        <v>75</v>
      </c>
      <c r="C244" s="12" t="s">
        <v>97</v>
      </c>
      <c r="D244" s="9" t="s">
        <v>73</v>
      </c>
      <c r="E244" s="11">
        <v>58895.0</v>
      </c>
      <c r="F244" s="11">
        <v>111282.0</v>
      </c>
    </row>
    <row r="245">
      <c r="A245" s="5">
        <v>244.0</v>
      </c>
      <c r="B245" s="5" t="s">
        <v>75</v>
      </c>
      <c r="C245" s="12" t="s">
        <v>97</v>
      </c>
      <c r="D245" s="9" t="s">
        <v>69</v>
      </c>
      <c r="E245" s="11">
        <v>59242.0</v>
      </c>
      <c r="F245" s="11">
        <v>114836.0</v>
      </c>
    </row>
    <row r="246">
      <c r="A246" s="5">
        <v>245.0</v>
      </c>
      <c r="B246" s="5" t="s">
        <v>75</v>
      </c>
      <c r="C246" s="12" t="s">
        <v>97</v>
      </c>
      <c r="D246" s="9" t="s">
        <v>66</v>
      </c>
      <c r="E246" s="11">
        <v>56375.0</v>
      </c>
      <c r="F246" s="11">
        <v>107531.0</v>
      </c>
    </row>
    <row r="247">
      <c r="A247" s="5">
        <v>246.0</v>
      </c>
      <c r="B247" s="5" t="s">
        <v>75</v>
      </c>
      <c r="C247" s="12" t="s">
        <v>97</v>
      </c>
      <c r="D247" s="9" t="s">
        <v>73</v>
      </c>
      <c r="E247" s="11">
        <v>58391.0</v>
      </c>
      <c r="F247" s="11">
        <v>114766.0</v>
      </c>
    </row>
    <row r="248">
      <c r="A248" s="5">
        <v>247.0</v>
      </c>
      <c r="B248" s="5" t="s">
        <v>75</v>
      </c>
      <c r="C248" s="12" t="s">
        <v>97</v>
      </c>
      <c r="D248" s="9" t="s">
        <v>69</v>
      </c>
      <c r="E248" s="11">
        <v>58508.0</v>
      </c>
      <c r="F248" s="11">
        <v>115709.0</v>
      </c>
    </row>
    <row r="249">
      <c r="A249" s="5">
        <v>248.0</v>
      </c>
      <c r="B249" s="5" t="s">
        <v>84</v>
      </c>
      <c r="C249" s="12" t="s">
        <v>98</v>
      </c>
      <c r="D249" s="9" t="s">
        <v>60</v>
      </c>
      <c r="E249" s="8"/>
      <c r="F249" s="8"/>
    </row>
    <row r="250">
      <c r="A250" s="5">
        <v>249.0</v>
      </c>
      <c r="B250" s="5" t="s">
        <v>84</v>
      </c>
      <c r="C250" s="12" t="s">
        <v>98</v>
      </c>
      <c r="D250" s="9" t="s">
        <v>62</v>
      </c>
      <c r="E250" s="8"/>
      <c r="F250" s="8"/>
    </row>
    <row r="251">
      <c r="A251" s="5">
        <v>250.0</v>
      </c>
      <c r="B251" s="5" t="s">
        <v>84</v>
      </c>
      <c r="C251" s="12" t="s">
        <v>98</v>
      </c>
      <c r="D251" s="9" t="s">
        <v>63</v>
      </c>
      <c r="E251" s="8"/>
      <c r="F251" s="11">
        <v>422.0</v>
      </c>
    </row>
    <row r="252">
      <c r="A252" s="5">
        <v>251.0</v>
      </c>
      <c r="B252" s="5" t="s">
        <v>84</v>
      </c>
      <c r="C252" s="12" t="s">
        <v>98</v>
      </c>
      <c r="D252" s="9" t="s">
        <v>64</v>
      </c>
      <c r="E252" s="8"/>
      <c r="F252" s="11">
        <v>414.0</v>
      </c>
    </row>
    <row r="253">
      <c r="A253" s="5">
        <v>252.0</v>
      </c>
      <c r="B253" s="5" t="s">
        <v>84</v>
      </c>
      <c r="C253" s="12" t="s">
        <v>98</v>
      </c>
      <c r="D253" s="9" t="s">
        <v>65</v>
      </c>
      <c r="E253" s="8"/>
      <c r="F253" s="11">
        <v>407.0</v>
      </c>
    </row>
    <row r="254">
      <c r="A254" s="5">
        <v>253.0</v>
      </c>
      <c r="B254" s="5" t="s">
        <v>84</v>
      </c>
      <c r="C254" s="12" t="s">
        <v>98</v>
      </c>
      <c r="D254" s="9" t="s">
        <v>67</v>
      </c>
      <c r="E254" s="11">
        <v>178.0</v>
      </c>
      <c r="F254" s="11">
        <v>425.0</v>
      </c>
    </row>
    <row r="255">
      <c r="A255" s="5">
        <v>254.0</v>
      </c>
      <c r="B255" s="5" t="s">
        <v>84</v>
      </c>
      <c r="C255" s="12" t="s">
        <v>98</v>
      </c>
      <c r="D255" s="9" t="s">
        <v>70</v>
      </c>
      <c r="E255" s="11">
        <v>172.0</v>
      </c>
      <c r="F255" s="11">
        <v>407.0</v>
      </c>
    </row>
    <row r="256">
      <c r="A256" s="5">
        <v>255.0</v>
      </c>
      <c r="B256" s="5" t="s">
        <v>84</v>
      </c>
      <c r="C256" s="12" t="s">
        <v>98</v>
      </c>
      <c r="D256" s="9" t="s">
        <v>67</v>
      </c>
      <c r="E256" s="11">
        <v>161.0</v>
      </c>
      <c r="F256" s="11">
        <v>396.0</v>
      </c>
    </row>
    <row r="257">
      <c r="A257" s="5">
        <v>256.0</v>
      </c>
      <c r="B257" s="5" t="s">
        <v>84</v>
      </c>
      <c r="C257" s="12" t="s">
        <v>98</v>
      </c>
      <c r="D257" s="9" t="s">
        <v>73</v>
      </c>
      <c r="E257" s="11">
        <v>155.0</v>
      </c>
      <c r="F257" s="11">
        <v>381.0</v>
      </c>
    </row>
    <row r="258">
      <c r="A258" s="5">
        <v>257.0</v>
      </c>
      <c r="B258" s="5" t="s">
        <v>84</v>
      </c>
      <c r="C258" s="12" t="s">
        <v>98</v>
      </c>
      <c r="D258" s="9" t="s">
        <v>69</v>
      </c>
      <c r="E258" s="8"/>
      <c r="F258" s="11">
        <v>374.0</v>
      </c>
    </row>
    <row r="259">
      <c r="A259" s="5">
        <v>258.0</v>
      </c>
      <c r="B259" s="5" t="s">
        <v>84</v>
      </c>
      <c r="C259" s="12" t="s">
        <v>98</v>
      </c>
      <c r="D259" s="9" t="s">
        <v>66</v>
      </c>
      <c r="E259" s="8"/>
      <c r="F259" s="11">
        <v>359.0</v>
      </c>
    </row>
    <row r="260">
      <c r="A260" s="5">
        <v>259.0</v>
      </c>
      <c r="B260" s="5" t="s">
        <v>84</v>
      </c>
      <c r="C260" s="12" t="s">
        <v>98</v>
      </c>
      <c r="D260" s="9" t="s">
        <v>73</v>
      </c>
      <c r="E260" s="8"/>
      <c r="F260" s="11">
        <v>711.0</v>
      </c>
    </row>
    <row r="261">
      <c r="A261" s="5">
        <v>260.0</v>
      </c>
      <c r="B261" s="5" t="s">
        <v>84</v>
      </c>
      <c r="C261" s="12" t="s">
        <v>98</v>
      </c>
      <c r="D261" s="9" t="s">
        <v>69</v>
      </c>
      <c r="E261" s="8"/>
      <c r="F261" s="11">
        <v>689.0</v>
      </c>
    </row>
    <row r="262">
      <c r="A262" s="5">
        <v>261.0</v>
      </c>
      <c r="B262" s="5" t="s">
        <v>77</v>
      </c>
      <c r="C262" s="12" t="s">
        <v>99</v>
      </c>
      <c r="D262" s="9" t="s">
        <v>60</v>
      </c>
      <c r="E262" s="8"/>
      <c r="F262" s="8"/>
    </row>
    <row r="263">
      <c r="A263" s="5">
        <v>262.0</v>
      </c>
      <c r="B263" s="5" t="s">
        <v>77</v>
      </c>
      <c r="C263" s="12" t="s">
        <v>99</v>
      </c>
      <c r="D263" s="9" t="s">
        <v>62</v>
      </c>
      <c r="E263" s="11">
        <v>3761.0</v>
      </c>
      <c r="F263" s="8"/>
    </row>
    <row r="264">
      <c r="A264" s="5">
        <v>263.0</v>
      </c>
      <c r="B264" s="5" t="s">
        <v>77</v>
      </c>
      <c r="C264" s="12" t="s">
        <v>99</v>
      </c>
      <c r="D264" s="9" t="s">
        <v>63</v>
      </c>
      <c r="E264" s="11">
        <v>3653.0</v>
      </c>
      <c r="F264" s="11">
        <v>5189.0</v>
      </c>
    </row>
    <row r="265">
      <c r="A265" s="5">
        <v>264.0</v>
      </c>
      <c r="B265" s="5" t="s">
        <v>77</v>
      </c>
      <c r="C265" s="12" t="s">
        <v>99</v>
      </c>
      <c r="D265" s="9" t="s">
        <v>64</v>
      </c>
      <c r="E265" s="11">
        <v>3439.0</v>
      </c>
      <c r="F265" s="11">
        <v>4756.0</v>
      </c>
    </row>
    <row r="266">
      <c r="A266" s="5">
        <v>265.0</v>
      </c>
      <c r="B266" s="5" t="s">
        <v>77</v>
      </c>
      <c r="C266" s="12" t="s">
        <v>99</v>
      </c>
      <c r="D266" s="9" t="s">
        <v>65</v>
      </c>
      <c r="E266" s="11">
        <v>3278.0</v>
      </c>
      <c r="F266" s="11">
        <v>4492.0</v>
      </c>
    </row>
    <row r="267">
      <c r="A267" s="5">
        <v>266.0</v>
      </c>
      <c r="B267" s="5" t="s">
        <v>77</v>
      </c>
      <c r="C267" s="12" t="s">
        <v>99</v>
      </c>
      <c r="D267" s="9" t="s">
        <v>67</v>
      </c>
      <c r="E267" s="11">
        <v>3206.0</v>
      </c>
      <c r="F267" s="11">
        <v>4499.0</v>
      </c>
    </row>
    <row r="268">
      <c r="A268" s="5">
        <v>267.0</v>
      </c>
      <c r="B268" s="5" t="s">
        <v>77</v>
      </c>
      <c r="C268" s="12" t="s">
        <v>99</v>
      </c>
      <c r="D268" s="9" t="s">
        <v>70</v>
      </c>
      <c r="E268" s="11">
        <v>2949.0</v>
      </c>
      <c r="F268" s="11">
        <v>3876.0</v>
      </c>
    </row>
    <row r="269">
      <c r="A269" s="5">
        <v>268.0</v>
      </c>
      <c r="B269" s="5" t="s">
        <v>77</v>
      </c>
      <c r="C269" s="12" t="s">
        <v>99</v>
      </c>
      <c r="D269" s="9" t="s">
        <v>67</v>
      </c>
      <c r="E269" s="11">
        <v>2499.0</v>
      </c>
      <c r="F269" s="11">
        <v>2398.0</v>
      </c>
    </row>
    <row r="270">
      <c r="A270" s="5">
        <v>269.0</v>
      </c>
      <c r="B270" s="5" t="s">
        <v>77</v>
      </c>
      <c r="C270" s="12" t="s">
        <v>99</v>
      </c>
      <c r="D270" s="9" t="s">
        <v>73</v>
      </c>
      <c r="E270" s="11">
        <v>2491.0</v>
      </c>
      <c r="F270" s="11">
        <v>2512.0</v>
      </c>
    </row>
    <row r="271">
      <c r="A271" s="5">
        <v>270.0</v>
      </c>
      <c r="B271" s="5" t="s">
        <v>77</v>
      </c>
      <c r="C271" s="12" t="s">
        <v>99</v>
      </c>
      <c r="D271" s="9" t="s">
        <v>69</v>
      </c>
      <c r="E271" s="11">
        <v>2386.0</v>
      </c>
      <c r="F271" s="11">
        <v>2321.0</v>
      </c>
    </row>
    <row r="272">
      <c r="A272" s="5">
        <v>271.0</v>
      </c>
      <c r="B272" s="5" t="s">
        <v>77</v>
      </c>
      <c r="C272" s="12" t="s">
        <v>99</v>
      </c>
      <c r="D272" s="9" t="s">
        <v>66</v>
      </c>
      <c r="E272" s="11">
        <v>2262.0</v>
      </c>
      <c r="F272" s="11">
        <v>2054.0</v>
      </c>
    </row>
    <row r="273">
      <c r="A273" s="5">
        <v>272.0</v>
      </c>
      <c r="B273" s="5" t="s">
        <v>77</v>
      </c>
      <c r="C273" s="12" t="s">
        <v>99</v>
      </c>
      <c r="D273" s="9" t="s">
        <v>73</v>
      </c>
      <c r="E273" s="11">
        <v>2109.0</v>
      </c>
      <c r="F273" s="11">
        <v>1738.0</v>
      </c>
    </row>
    <row r="274">
      <c r="A274" s="5">
        <v>273.0</v>
      </c>
      <c r="B274" s="5" t="s">
        <v>77</v>
      </c>
      <c r="C274" s="12" t="s">
        <v>99</v>
      </c>
      <c r="D274" s="9" t="s">
        <v>69</v>
      </c>
      <c r="E274" s="11">
        <v>1983.0</v>
      </c>
      <c r="F274" s="11">
        <v>1617.0</v>
      </c>
    </row>
    <row r="275">
      <c r="A275" s="5">
        <v>274.0</v>
      </c>
      <c r="B275" s="5" t="s">
        <v>84</v>
      </c>
      <c r="C275" s="12" t="s">
        <v>100</v>
      </c>
      <c r="D275" s="9" t="s">
        <v>60</v>
      </c>
      <c r="E275" s="8"/>
      <c r="F275" s="8"/>
    </row>
    <row r="276">
      <c r="A276" s="5">
        <v>275.0</v>
      </c>
      <c r="B276" s="5" t="s">
        <v>84</v>
      </c>
      <c r="C276" s="12" t="s">
        <v>100</v>
      </c>
      <c r="D276" s="9" t="s">
        <v>62</v>
      </c>
      <c r="E276" s="8"/>
      <c r="F276" s="8"/>
    </row>
    <row r="277">
      <c r="A277" s="5">
        <v>276.0</v>
      </c>
      <c r="B277" s="5" t="s">
        <v>84</v>
      </c>
      <c r="C277" s="12" t="s">
        <v>100</v>
      </c>
      <c r="D277" s="9" t="s">
        <v>63</v>
      </c>
      <c r="E277" s="8"/>
      <c r="F277" s="11">
        <v>477.0</v>
      </c>
    </row>
    <row r="278">
      <c r="A278" s="5">
        <v>277.0</v>
      </c>
      <c r="B278" s="5" t="s">
        <v>84</v>
      </c>
      <c r="C278" s="12" t="s">
        <v>100</v>
      </c>
      <c r="D278" s="9" t="s">
        <v>64</v>
      </c>
      <c r="E278" s="8"/>
      <c r="F278" s="11">
        <v>466.0</v>
      </c>
    </row>
    <row r="279">
      <c r="A279" s="5">
        <v>278.0</v>
      </c>
      <c r="B279" s="5" t="s">
        <v>84</v>
      </c>
      <c r="C279" s="12" t="s">
        <v>100</v>
      </c>
      <c r="D279" s="9" t="s">
        <v>65</v>
      </c>
      <c r="E279" s="8"/>
      <c r="F279" s="11">
        <v>389.0</v>
      </c>
    </row>
    <row r="280">
      <c r="A280" s="5">
        <v>279.0</v>
      </c>
      <c r="B280" s="5" t="s">
        <v>84</v>
      </c>
      <c r="C280" s="12" t="s">
        <v>100</v>
      </c>
      <c r="D280" s="9" t="s">
        <v>67</v>
      </c>
      <c r="E280" s="8"/>
      <c r="F280" s="11">
        <v>517.0</v>
      </c>
    </row>
    <row r="281">
      <c r="A281" s="5">
        <v>280.0</v>
      </c>
      <c r="B281" s="5" t="s">
        <v>84</v>
      </c>
      <c r="C281" s="12" t="s">
        <v>100</v>
      </c>
      <c r="D281" s="9" t="s">
        <v>70</v>
      </c>
      <c r="E281" s="8"/>
      <c r="F281" s="11">
        <v>521.0</v>
      </c>
    </row>
    <row r="282">
      <c r="A282" s="5">
        <v>281.0</v>
      </c>
      <c r="B282" s="5" t="s">
        <v>84</v>
      </c>
      <c r="C282" s="12" t="s">
        <v>100</v>
      </c>
      <c r="D282" s="9" t="s">
        <v>67</v>
      </c>
      <c r="E282" s="8"/>
      <c r="F282" s="11">
        <v>444.0</v>
      </c>
    </row>
    <row r="283">
      <c r="A283" s="5">
        <v>282.0</v>
      </c>
      <c r="B283" s="5" t="s">
        <v>84</v>
      </c>
      <c r="C283" s="12" t="s">
        <v>100</v>
      </c>
      <c r="D283" s="9" t="s">
        <v>73</v>
      </c>
      <c r="E283" s="8"/>
      <c r="F283" s="11">
        <v>671.0</v>
      </c>
    </row>
    <row r="284">
      <c r="A284" s="5">
        <v>283.0</v>
      </c>
      <c r="B284" s="5" t="s">
        <v>84</v>
      </c>
      <c r="C284" s="12" t="s">
        <v>100</v>
      </c>
      <c r="D284" s="9" t="s">
        <v>69</v>
      </c>
      <c r="E284" s="8"/>
      <c r="F284" s="11">
        <v>510.0</v>
      </c>
    </row>
    <row r="285">
      <c r="A285" s="5">
        <v>284.0</v>
      </c>
      <c r="B285" s="5" t="s">
        <v>84</v>
      </c>
      <c r="C285" s="12" t="s">
        <v>100</v>
      </c>
      <c r="D285" s="9" t="s">
        <v>66</v>
      </c>
      <c r="E285" s="8"/>
      <c r="F285" s="11">
        <v>524.0</v>
      </c>
    </row>
    <row r="286">
      <c r="A286" s="5">
        <v>285.0</v>
      </c>
      <c r="B286" s="5" t="s">
        <v>84</v>
      </c>
      <c r="C286" s="12" t="s">
        <v>100</v>
      </c>
      <c r="D286" s="9" t="s">
        <v>73</v>
      </c>
      <c r="E286" s="8"/>
      <c r="F286" s="11">
        <v>495.0</v>
      </c>
    </row>
    <row r="287">
      <c r="A287" s="5">
        <v>286.0</v>
      </c>
      <c r="B287" s="5" t="s">
        <v>84</v>
      </c>
      <c r="C287" s="12" t="s">
        <v>100</v>
      </c>
      <c r="D287" s="9" t="s">
        <v>69</v>
      </c>
      <c r="E287" s="8"/>
      <c r="F287" s="11">
        <v>495.0</v>
      </c>
    </row>
    <row r="288">
      <c r="A288" s="5">
        <v>287.0</v>
      </c>
      <c r="B288" s="5" t="s">
        <v>61</v>
      </c>
      <c r="C288" s="12" t="s">
        <v>101</v>
      </c>
      <c r="D288" s="9" t="s">
        <v>60</v>
      </c>
      <c r="E288" s="8"/>
      <c r="F288" s="8"/>
    </row>
    <row r="289">
      <c r="A289" s="5">
        <v>288.0</v>
      </c>
      <c r="B289" s="5" t="s">
        <v>61</v>
      </c>
      <c r="C289" s="12" t="s">
        <v>101</v>
      </c>
      <c r="D289" s="9" t="s">
        <v>62</v>
      </c>
      <c r="E289" s="8"/>
      <c r="F289" s="8"/>
    </row>
    <row r="290">
      <c r="A290" s="5">
        <v>289.0</v>
      </c>
      <c r="B290" s="5" t="s">
        <v>61</v>
      </c>
      <c r="C290" s="12" t="s">
        <v>101</v>
      </c>
      <c r="D290" s="9" t="s">
        <v>63</v>
      </c>
      <c r="E290" s="8"/>
      <c r="F290" s="11">
        <v>477.0</v>
      </c>
    </row>
    <row r="291">
      <c r="A291" s="5">
        <v>290.0</v>
      </c>
      <c r="B291" s="5" t="s">
        <v>61</v>
      </c>
      <c r="C291" s="12" t="s">
        <v>101</v>
      </c>
      <c r="D291" s="9" t="s">
        <v>64</v>
      </c>
      <c r="E291" s="8"/>
      <c r="F291" s="11">
        <v>389.0</v>
      </c>
    </row>
    <row r="292">
      <c r="A292" s="5">
        <v>291.0</v>
      </c>
      <c r="B292" s="5" t="s">
        <v>61</v>
      </c>
      <c r="C292" s="12" t="s">
        <v>101</v>
      </c>
      <c r="D292" s="9" t="s">
        <v>65</v>
      </c>
      <c r="E292" s="8"/>
      <c r="F292" s="11">
        <v>422.0</v>
      </c>
    </row>
    <row r="293">
      <c r="A293" s="5">
        <v>292.0</v>
      </c>
      <c r="B293" s="5" t="s">
        <v>61</v>
      </c>
      <c r="C293" s="12" t="s">
        <v>101</v>
      </c>
      <c r="D293" s="9" t="s">
        <v>67</v>
      </c>
      <c r="E293" s="11">
        <v>244.0</v>
      </c>
      <c r="F293" s="11">
        <v>392.0</v>
      </c>
    </row>
    <row r="294">
      <c r="A294" s="5">
        <v>293.0</v>
      </c>
      <c r="B294" s="5" t="s">
        <v>61</v>
      </c>
      <c r="C294" s="12" t="s">
        <v>101</v>
      </c>
      <c r="D294" s="9" t="s">
        <v>70</v>
      </c>
      <c r="E294" s="11">
        <v>211.0</v>
      </c>
      <c r="F294" s="11">
        <v>392.0</v>
      </c>
    </row>
    <row r="295">
      <c r="A295" s="5">
        <v>294.0</v>
      </c>
      <c r="B295" s="5" t="s">
        <v>61</v>
      </c>
      <c r="C295" s="12" t="s">
        <v>101</v>
      </c>
      <c r="D295" s="9" t="s">
        <v>67</v>
      </c>
      <c r="E295" s="11">
        <v>204.0</v>
      </c>
      <c r="F295" s="11">
        <v>396.0</v>
      </c>
    </row>
    <row r="296">
      <c r="A296" s="5">
        <v>295.0</v>
      </c>
      <c r="B296" s="5" t="s">
        <v>61</v>
      </c>
      <c r="C296" s="12" t="s">
        <v>101</v>
      </c>
      <c r="D296" s="9" t="s">
        <v>73</v>
      </c>
      <c r="E296" s="11">
        <v>180.0</v>
      </c>
      <c r="F296" s="11">
        <v>308.0</v>
      </c>
    </row>
    <row r="297">
      <c r="A297" s="5">
        <v>296.0</v>
      </c>
      <c r="B297" s="5" t="s">
        <v>61</v>
      </c>
      <c r="C297" s="12" t="s">
        <v>101</v>
      </c>
      <c r="D297" s="9" t="s">
        <v>69</v>
      </c>
      <c r="E297" s="8"/>
      <c r="F297" s="11">
        <v>378.0</v>
      </c>
    </row>
    <row r="298">
      <c r="A298" s="5">
        <v>297.0</v>
      </c>
      <c r="B298" s="5" t="s">
        <v>61</v>
      </c>
      <c r="C298" s="12" t="s">
        <v>101</v>
      </c>
      <c r="D298" s="9" t="s">
        <v>66</v>
      </c>
      <c r="E298" s="8"/>
      <c r="F298" s="11">
        <v>418.0</v>
      </c>
    </row>
    <row r="299">
      <c r="A299" s="5">
        <v>298.0</v>
      </c>
      <c r="B299" s="5" t="s">
        <v>61</v>
      </c>
      <c r="C299" s="12" t="s">
        <v>101</v>
      </c>
      <c r="D299" s="9" t="s">
        <v>73</v>
      </c>
      <c r="E299" s="8"/>
      <c r="F299" s="11">
        <v>389.0</v>
      </c>
    </row>
    <row r="300">
      <c r="A300" s="5">
        <v>299.0</v>
      </c>
      <c r="B300" s="5" t="s">
        <v>61</v>
      </c>
      <c r="C300" s="12" t="s">
        <v>101</v>
      </c>
      <c r="D300" s="9" t="s">
        <v>69</v>
      </c>
      <c r="E300" s="8"/>
      <c r="F300" s="11">
        <v>400.0</v>
      </c>
    </row>
    <row r="301">
      <c r="A301" s="5">
        <v>300.0</v>
      </c>
      <c r="B301" s="5" t="s">
        <v>84</v>
      </c>
      <c r="C301" s="12" t="s">
        <v>102</v>
      </c>
      <c r="D301" s="9" t="s">
        <v>60</v>
      </c>
      <c r="E301" s="8"/>
      <c r="F301" s="8"/>
    </row>
    <row r="302">
      <c r="A302" s="5">
        <v>301.0</v>
      </c>
      <c r="B302" s="5" t="s">
        <v>84</v>
      </c>
      <c r="C302" s="12" t="s">
        <v>102</v>
      </c>
      <c r="D302" s="9" t="s">
        <v>62</v>
      </c>
      <c r="E302" s="11">
        <v>7704.0</v>
      </c>
      <c r="F302" s="8"/>
    </row>
    <row r="303">
      <c r="A303" s="5">
        <v>302.0</v>
      </c>
      <c r="B303" s="5" t="s">
        <v>84</v>
      </c>
      <c r="C303" s="12" t="s">
        <v>102</v>
      </c>
      <c r="D303" s="9" t="s">
        <v>63</v>
      </c>
      <c r="E303" s="11">
        <v>7341.0</v>
      </c>
      <c r="F303" s="11">
        <v>15456.0</v>
      </c>
    </row>
    <row r="304">
      <c r="A304" s="5">
        <v>303.0</v>
      </c>
      <c r="B304" s="5" t="s">
        <v>84</v>
      </c>
      <c r="C304" s="12" t="s">
        <v>102</v>
      </c>
      <c r="D304" s="9" t="s">
        <v>64</v>
      </c>
      <c r="E304" s="11">
        <v>6203.0</v>
      </c>
      <c r="F304" s="11">
        <v>14408.0</v>
      </c>
    </row>
    <row r="305">
      <c r="A305" s="5">
        <v>304.0</v>
      </c>
      <c r="B305" s="5" t="s">
        <v>84</v>
      </c>
      <c r="C305" s="12" t="s">
        <v>102</v>
      </c>
      <c r="D305" s="9" t="s">
        <v>65</v>
      </c>
      <c r="E305" s="11">
        <v>5973.0</v>
      </c>
      <c r="F305" s="11">
        <v>13773.0</v>
      </c>
    </row>
    <row r="306">
      <c r="A306" s="5">
        <v>305.0</v>
      </c>
      <c r="B306" s="5" t="s">
        <v>84</v>
      </c>
      <c r="C306" s="12" t="s">
        <v>102</v>
      </c>
      <c r="D306" s="9" t="s">
        <v>67</v>
      </c>
      <c r="E306" s="11">
        <v>5372.0</v>
      </c>
      <c r="F306" s="11">
        <v>12757.0</v>
      </c>
    </row>
    <row r="307">
      <c r="A307" s="5">
        <v>306.0</v>
      </c>
      <c r="B307" s="5" t="s">
        <v>84</v>
      </c>
      <c r="C307" s="12" t="s">
        <v>102</v>
      </c>
      <c r="D307" s="9" t="s">
        <v>71</v>
      </c>
      <c r="E307" s="11">
        <v>6439.0</v>
      </c>
      <c r="F307" s="11">
        <v>14910.0</v>
      </c>
    </row>
    <row r="308">
      <c r="A308" s="5">
        <v>307.0</v>
      </c>
      <c r="B308" s="5" t="s">
        <v>84</v>
      </c>
      <c r="C308" s="12" t="s">
        <v>102</v>
      </c>
      <c r="D308" s="9" t="s">
        <v>67</v>
      </c>
      <c r="E308" s="11">
        <v>5183.0</v>
      </c>
      <c r="F308" s="11">
        <v>12325.0</v>
      </c>
    </row>
    <row r="309">
      <c r="A309" s="5">
        <v>308.0</v>
      </c>
      <c r="B309" s="5" t="s">
        <v>84</v>
      </c>
      <c r="C309" s="12" t="s">
        <v>102</v>
      </c>
      <c r="D309" s="9" t="s">
        <v>73</v>
      </c>
      <c r="E309" s="11">
        <v>3622.0</v>
      </c>
      <c r="F309" s="11">
        <v>13084.0</v>
      </c>
    </row>
    <row r="310">
      <c r="A310" s="5">
        <v>309.0</v>
      </c>
      <c r="B310" s="5" t="s">
        <v>84</v>
      </c>
      <c r="C310" s="12" t="s">
        <v>102</v>
      </c>
      <c r="D310" s="9" t="s">
        <v>69</v>
      </c>
      <c r="E310" s="11">
        <v>3688.0</v>
      </c>
      <c r="F310" s="11">
        <v>14129.0</v>
      </c>
    </row>
    <row r="311">
      <c r="A311" s="5">
        <v>310.0</v>
      </c>
      <c r="B311" s="5" t="s">
        <v>84</v>
      </c>
      <c r="C311" s="12" t="s">
        <v>102</v>
      </c>
      <c r="D311" s="9" t="s">
        <v>67</v>
      </c>
      <c r="E311" s="11">
        <v>3527.0</v>
      </c>
      <c r="F311" s="11">
        <v>9567.0</v>
      </c>
    </row>
    <row r="312">
      <c r="A312" s="5">
        <v>311.0</v>
      </c>
      <c r="B312" s="5" t="s">
        <v>84</v>
      </c>
      <c r="C312" s="12" t="s">
        <v>102</v>
      </c>
      <c r="D312" s="9" t="s">
        <v>73</v>
      </c>
      <c r="E312" s="11">
        <v>2903.0</v>
      </c>
      <c r="F312" s="11">
        <v>9824.0</v>
      </c>
    </row>
    <row r="313">
      <c r="A313" s="5">
        <v>312.0</v>
      </c>
      <c r="B313" s="5" t="s">
        <v>84</v>
      </c>
      <c r="C313" s="12" t="s">
        <v>102</v>
      </c>
      <c r="D313" s="9" t="s">
        <v>69</v>
      </c>
      <c r="E313" s="11">
        <v>3737.0</v>
      </c>
      <c r="F313" s="11">
        <v>10224.0</v>
      </c>
    </row>
    <row r="314">
      <c r="A314" s="5">
        <v>313.0</v>
      </c>
      <c r="B314" s="5" t="s">
        <v>75</v>
      </c>
      <c r="C314" s="12" t="s">
        <v>103</v>
      </c>
      <c r="D314" s="9" t="s">
        <v>60</v>
      </c>
      <c r="E314" s="8"/>
      <c r="F314" s="8"/>
    </row>
    <row r="315">
      <c r="A315" s="5">
        <v>314.0</v>
      </c>
      <c r="B315" s="5" t="s">
        <v>75</v>
      </c>
      <c r="C315" s="12" t="s">
        <v>103</v>
      </c>
      <c r="D315" s="9" t="s">
        <v>62</v>
      </c>
      <c r="E315" s="11">
        <v>7095.0</v>
      </c>
      <c r="F315" s="8"/>
    </row>
    <row r="316">
      <c r="A316" s="5">
        <v>315.0</v>
      </c>
      <c r="B316" s="5" t="s">
        <v>75</v>
      </c>
      <c r="C316" s="12" t="s">
        <v>103</v>
      </c>
      <c r="D316" s="9" t="s">
        <v>63</v>
      </c>
      <c r="E316" s="11">
        <v>6451.0</v>
      </c>
      <c r="F316" s="11">
        <v>31125.0</v>
      </c>
    </row>
    <row r="317">
      <c r="A317" s="5">
        <v>316.0</v>
      </c>
      <c r="B317" s="5" t="s">
        <v>75</v>
      </c>
      <c r="C317" s="12" t="s">
        <v>103</v>
      </c>
      <c r="D317" s="9" t="s">
        <v>64</v>
      </c>
      <c r="E317" s="11">
        <v>6161.0</v>
      </c>
      <c r="F317" s="11">
        <v>30590.0</v>
      </c>
    </row>
    <row r="318">
      <c r="A318" s="5">
        <v>317.0</v>
      </c>
      <c r="B318" s="5" t="s">
        <v>75</v>
      </c>
      <c r="C318" s="12" t="s">
        <v>103</v>
      </c>
      <c r="D318" s="9" t="s">
        <v>65</v>
      </c>
      <c r="E318" s="11">
        <v>5954.0</v>
      </c>
      <c r="F318" s="11">
        <v>30997.0</v>
      </c>
    </row>
    <row r="319">
      <c r="A319" s="5">
        <v>318.0</v>
      </c>
      <c r="B319" s="5" t="s">
        <v>75</v>
      </c>
      <c r="C319" s="12" t="s">
        <v>103</v>
      </c>
      <c r="D319" s="9" t="s">
        <v>67</v>
      </c>
      <c r="E319" s="11">
        <v>5305.0</v>
      </c>
      <c r="F319" s="11">
        <v>27884.0</v>
      </c>
    </row>
    <row r="320">
      <c r="A320" s="5">
        <v>319.0</v>
      </c>
      <c r="B320" s="5" t="s">
        <v>75</v>
      </c>
      <c r="C320" s="12" t="s">
        <v>103</v>
      </c>
      <c r="D320" s="9" t="s">
        <v>71</v>
      </c>
      <c r="E320" s="11">
        <v>5301.0</v>
      </c>
      <c r="F320" s="11">
        <v>27169.0</v>
      </c>
    </row>
    <row r="321">
      <c r="A321" s="5">
        <v>320.0</v>
      </c>
      <c r="B321" s="5" t="s">
        <v>75</v>
      </c>
      <c r="C321" s="12" t="s">
        <v>103</v>
      </c>
      <c r="D321" s="9" t="s">
        <v>67</v>
      </c>
      <c r="E321" s="11">
        <v>5042.0</v>
      </c>
      <c r="F321" s="11">
        <v>25618.0</v>
      </c>
    </row>
    <row r="322">
      <c r="A322" s="5">
        <v>321.0</v>
      </c>
      <c r="B322" s="5" t="s">
        <v>75</v>
      </c>
      <c r="C322" s="12" t="s">
        <v>103</v>
      </c>
      <c r="D322" s="9" t="s">
        <v>73</v>
      </c>
      <c r="E322" s="11">
        <v>4811.0</v>
      </c>
      <c r="F322" s="11">
        <v>24617.0</v>
      </c>
    </row>
    <row r="323">
      <c r="A323" s="5">
        <v>322.0</v>
      </c>
      <c r="B323" s="5" t="s">
        <v>75</v>
      </c>
      <c r="C323" s="12" t="s">
        <v>103</v>
      </c>
      <c r="D323" s="9" t="s">
        <v>69</v>
      </c>
      <c r="E323" s="11">
        <v>4400.0</v>
      </c>
      <c r="F323" s="11">
        <v>23238.0</v>
      </c>
    </row>
    <row r="324">
      <c r="A324" s="5">
        <v>323.0</v>
      </c>
      <c r="B324" s="5" t="s">
        <v>75</v>
      </c>
      <c r="C324" s="12" t="s">
        <v>103</v>
      </c>
      <c r="D324" s="9" t="s">
        <v>67</v>
      </c>
      <c r="E324" s="11">
        <v>4407.0</v>
      </c>
      <c r="F324" s="11">
        <v>22919.0</v>
      </c>
    </row>
    <row r="325">
      <c r="A325" s="5">
        <v>324.0</v>
      </c>
      <c r="B325" s="5" t="s">
        <v>75</v>
      </c>
      <c r="C325" s="12" t="s">
        <v>103</v>
      </c>
      <c r="D325" s="9" t="s">
        <v>73</v>
      </c>
      <c r="E325" s="11">
        <v>4201.0</v>
      </c>
      <c r="F325" s="11">
        <v>20700.0</v>
      </c>
    </row>
    <row r="326">
      <c r="A326" s="5">
        <v>325.0</v>
      </c>
      <c r="B326" s="5" t="s">
        <v>75</v>
      </c>
      <c r="C326" s="12" t="s">
        <v>103</v>
      </c>
      <c r="D326" s="9" t="s">
        <v>69</v>
      </c>
      <c r="E326" s="11">
        <v>4346.0</v>
      </c>
      <c r="F326" s="11">
        <v>23223.0</v>
      </c>
    </row>
    <row r="327">
      <c r="A327" s="5">
        <v>326.0</v>
      </c>
      <c r="B327" s="5" t="s">
        <v>77</v>
      </c>
      <c r="C327" s="12" t="s">
        <v>104</v>
      </c>
      <c r="D327" s="9" t="s">
        <v>60</v>
      </c>
      <c r="E327" s="8"/>
      <c r="F327" s="8"/>
    </row>
    <row r="328">
      <c r="A328" s="5">
        <v>327.0</v>
      </c>
      <c r="B328" s="5" t="s">
        <v>77</v>
      </c>
      <c r="C328" s="12" t="s">
        <v>104</v>
      </c>
      <c r="D328" s="9" t="s">
        <v>62</v>
      </c>
      <c r="E328" s="11">
        <v>2215.0</v>
      </c>
      <c r="F328" s="8"/>
    </row>
    <row r="329">
      <c r="A329" s="5">
        <v>328.0</v>
      </c>
      <c r="B329" s="5" t="s">
        <v>77</v>
      </c>
      <c r="C329" s="12" t="s">
        <v>104</v>
      </c>
      <c r="D329" s="9" t="s">
        <v>63</v>
      </c>
      <c r="E329" s="11">
        <v>2263.0</v>
      </c>
      <c r="F329" s="11">
        <v>5233.0</v>
      </c>
    </row>
    <row r="330">
      <c r="A330" s="5">
        <v>329.0</v>
      </c>
      <c r="B330" s="5" t="s">
        <v>77</v>
      </c>
      <c r="C330" s="12" t="s">
        <v>104</v>
      </c>
      <c r="D330" s="9" t="s">
        <v>64</v>
      </c>
      <c r="E330" s="11">
        <v>2023.0</v>
      </c>
      <c r="F330" s="11">
        <v>4397.0</v>
      </c>
    </row>
    <row r="331">
      <c r="A331" s="5">
        <v>330.0</v>
      </c>
      <c r="B331" s="5" t="s">
        <v>77</v>
      </c>
      <c r="C331" s="12" t="s">
        <v>104</v>
      </c>
      <c r="D331" s="9" t="s">
        <v>65</v>
      </c>
      <c r="E331" s="11">
        <v>2151.0</v>
      </c>
      <c r="F331" s="11">
        <v>4980.0</v>
      </c>
    </row>
    <row r="332">
      <c r="A332" s="5">
        <v>331.0</v>
      </c>
      <c r="B332" s="5" t="s">
        <v>77</v>
      </c>
      <c r="C332" s="12" t="s">
        <v>104</v>
      </c>
      <c r="D332" s="9" t="s">
        <v>67</v>
      </c>
      <c r="E332" s="11">
        <v>2033.0</v>
      </c>
      <c r="F332" s="11">
        <v>4701.0</v>
      </c>
    </row>
    <row r="333">
      <c r="A333" s="5">
        <v>332.0</v>
      </c>
      <c r="B333" s="5" t="s">
        <v>77</v>
      </c>
      <c r="C333" s="12" t="s">
        <v>104</v>
      </c>
      <c r="D333" s="9" t="s">
        <v>71</v>
      </c>
      <c r="E333" s="11">
        <v>1956.0</v>
      </c>
      <c r="F333" s="11">
        <v>4646.0</v>
      </c>
    </row>
    <row r="334">
      <c r="A334" s="5">
        <v>333.0</v>
      </c>
      <c r="B334" s="5" t="s">
        <v>77</v>
      </c>
      <c r="C334" s="12" t="s">
        <v>104</v>
      </c>
      <c r="D334" s="9" t="s">
        <v>67</v>
      </c>
      <c r="E334" s="11">
        <v>1929.0</v>
      </c>
      <c r="F334" s="11">
        <v>4613.0</v>
      </c>
    </row>
    <row r="335">
      <c r="A335" s="5">
        <v>334.0</v>
      </c>
      <c r="B335" s="5" t="s">
        <v>77</v>
      </c>
      <c r="C335" s="12" t="s">
        <v>104</v>
      </c>
      <c r="D335" s="9" t="s">
        <v>73</v>
      </c>
      <c r="E335" s="11">
        <v>1857.0</v>
      </c>
      <c r="F335" s="11">
        <v>4378.0</v>
      </c>
    </row>
    <row r="336">
      <c r="A336" s="5">
        <v>335.0</v>
      </c>
      <c r="B336" s="5" t="s">
        <v>77</v>
      </c>
      <c r="C336" s="12" t="s">
        <v>104</v>
      </c>
      <c r="D336" s="9" t="s">
        <v>70</v>
      </c>
      <c r="E336" s="11">
        <v>1907.0</v>
      </c>
      <c r="F336" s="11">
        <v>4265.0</v>
      </c>
    </row>
    <row r="337">
      <c r="A337" s="5">
        <v>336.0</v>
      </c>
      <c r="B337" s="5" t="s">
        <v>77</v>
      </c>
      <c r="C337" s="12" t="s">
        <v>104</v>
      </c>
      <c r="D337" s="9" t="s">
        <v>67</v>
      </c>
      <c r="E337" s="11">
        <v>1916.0</v>
      </c>
      <c r="F337" s="11">
        <v>4485.0</v>
      </c>
    </row>
    <row r="338">
      <c r="A338" s="5">
        <v>337.0</v>
      </c>
      <c r="B338" s="5" t="s">
        <v>77</v>
      </c>
      <c r="C338" s="12" t="s">
        <v>104</v>
      </c>
      <c r="D338" s="9" t="s">
        <v>73</v>
      </c>
      <c r="E338" s="11">
        <v>1868.0</v>
      </c>
      <c r="F338" s="11">
        <v>4334.0</v>
      </c>
    </row>
    <row r="339">
      <c r="A339" s="5">
        <v>338.0</v>
      </c>
      <c r="B339" s="5" t="s">
        <v>77</v>
      </c>
      <c r="C339" s="12" t="s">
        <v>104</v>
      </c>
      <c r="D339" s="9" t="s">
        <v>69</v>
      </c>
      <c r="E339" s="11">
        <v>1836.0</v>
      </c>
      <c r="F339" s="11">
        <v>4276.0</v>
      </c>
    </row>
    <row r="340">
      <c r="A340" s="5">
        <v>339.0</v>
      </c>
      <c r="B340" s="5" t="s">
        <v>84</v>
      </c>
      <c r="C340" s="12" t="s">
        <v>105</v>
      </c>
      <c r="D340" s="9" t="s">
        <v>60</v>
      </c>
      <c r="E340" s="8"/>
      <c r="F340" s="8"/>
    </row>
    <row r="341">
      <c r="A341" s="5">
        <v>340.0</v>
      </c>
      <c r="B341" s="5" t="s">
        <v>84</v>
      </c>
      <c r="C341" s="12" t="s">
        <v>105</v>
      </c>
      <c r="D341" s="9" t="s">
        <v>62</v>
      </c>
      <c r="E341" s="11">
        <v>270028.0</v>
      </c>
      <c r="F341" s="8"/>
    </row>
    <row r="342">
      <c r="A342" s="5">
        <v>341.0</v>
      </c>
      <c r="B342" s="5" t="s">
        <v>84</v>
      </c>
      <c r="C342" s="12" t="s">
        <v>105</v>
      </c>
      <c r="D342" s="9" t="s">
        <v>63</v>
      </c>
      <c r="E342" s="11">
        <v>265887.0</v>
      </c>
      <c r="F342" s="11">
        <v>419754.0</v>
      </c>
    </row>
    <row r="343">
      <c r="A343" s="5">
        <v>342.0</v>
      </c>
      <c r="B343" s="5" t="s">
        <v>84</v>
      </c>
      <c r="C343" s="12" t="s">
        <v>105</v>
      </c>
      <c r="D343" s="9" t="s">
        <v>64</v>
      </c>
      <c r="E343" s="11">
        <v>240464.0</v>
      </c>
      <c r="F343" s="11">
        <v>367147.0</v>
      </c>
    </row>
    <row r="344">
      <c r="A344" s="5">
        <v>343.0</v>
      </c>
      <c r="B344" s="5" t="s">
        <v>84</v>
      </c>
      <c r="C344" s="12" t="s">
        <v>105</v>
      </c>
      <c r="D344" s="9" t="s">
        <v>65</v>
      </c>
      <c r="E344" s="11">
        <v>248594.0</v>
      </c>
      <c r="F344" s="11">
        <v>387675.0</v>
      </c>
    </row>
    <row r="345">
      <c r="A345" s="5">
        <v>344.0</v>
      </c>
      <c r="B345" s="5" t="s">
        <v>84</v>
      </c>
      <c r="C345" s="12" t="s">
        <v>105</v>
      </c>
      <c r="D345" s="9" t="s">
        <v>67</v>
      </c>
      <c r="E345" s="11">
        <v>235460.0</v>
      </c>
      <c r="F345" s="11">
        <v>363213.0</v>
      </c>
    </row>
    <row r="346">
      <c r="A346" s="5">
        <v>345.0</v>
      </c>
      <c r="B346" s="5" t="s">
        <v>84</v>
      </c>
      <c r="C346" s="12" t="s">
        <v>105</v>
      </c>
      <c r="D346" s="9" t="s">
        <v>71</v>
      </c>
      <c r="E346" s="11">
        <v>222818.0</v>
      </c>
      <c r="F346" s="11">
        <v>347668.0</v>
      </c>
    </row>
    <row r="347">
      <c r="A347" s="5">
        <v>346.0</v>
      </c>
      <c r="B347" s="5" t="s">
        <v>84</v>
      </c>
      <c r="C347" s="12" t="s">
        <v>105</v>
      </c>
      <c r="D347" s="9" t="s">
        <v>67</v>
      </c>
      <c r="E347" s="11">
        <v>215332.0</v>
      </c>
      <c r="F347" s="11">
        <v>347309.0</v>
      </c>
    </row>
    <row r="348">
      <c r="A348" s="5">
        <v>347.0</v>
      </c>
      <c r="B348" s="5" t="s">
        <v>84</v>
      </c>
      <c r="C348" s="12" t="s">
        <v>105</v>
      </c>
      <c r="D348" s="9" t="s">
        <v>73</v>
      </c>
      <c r="E348" s="11">
        <v>210042.0</v>
      </c>
      <c r="F348" s="11">
        <v>337826.0</v>
      </c>
    </row>
    <row r="349">
      <c r="A349" s="5">
        <v>348.0</v>
      </c>
      <c r="B349" s="5" t="s">
        <v>84</v>
      </c>
      <c r="C349" s="12" t="s">
        <v>105</v>
      </c>
      <c r="D349" s="9" t="s">
        <v>70</v>
      </c>
      <c r="E349" s="11">
        <v>198976.0</v>
      </c>
      <c r="F349" s="11">
        <v>321622.0</v>
      </c>
    </row>
    <row r="350">
      <c r="A350" s="5">
        <v>349.0</v>
      </c>
      <c r="B350" s="5" t="s">
        <v>84</v>
      </c>
      <c r="C350" s="12" t="s">
        <v>105</v>
      </c>
      <c r="D350" s="9" t="s">
        <v>67</v>
      </c>
      <c r="E350" s="11">
        <v>195759.0</v>
      </c>
      <c r="F350" s="11">
        <v>332267.0</v>
      </c>
    </row>
    <row r="351">
      <c r="A351" s="5">
        <v>350.0</v>
      </c>
      <c r="B351" s="5" t="s">
        <v>84</v>
      </c>
      <c r="C351" s="12" t="s">
        <v>105</v>
      </c>
      <c r="D351" s="9" t="s">
        <v>73</v>
      </c>
      <c r="E351" s="11">
        <v>190712.0</v>
      </c>
      <c r="F351" s="11">
        <v>337434.0</v>
      </c>
    </row>
    <row r="352">
      <c r="A352" s="5">
        <v>351.0</v>
      </c>
      <c r="B352" s="5" t="s">
        <v>84</v>
      </c>
      <c r="C352" s="12" t="s">
        <v>105</v>
      </c>
      <c r="D352" s="9" t="s">
        <v>69</v>
      </c>
      <c r="E352" s="11">
        <v>187442.0</v>
      </c>
      <c r="F352" s="11">
        <v>327984.0</v>
      </c>
    </row>
    <row r="353">
      <c r="A353" s="5">
        <v>352.0</v>
      </c>
      <c r="B353" s="5" t="s">
        <v>61</v>
      </c>
      <c r="C353" s="12" t="s">
        <v>106</v>
      </c>
      <c r="D353" s="9" t="s">
        <v>60</v>
      </c>
      <c r="E353" s="8"/>
      <c r="F353" s="8"/>
    </row>
    <row r="354">
      <c r="A354" s="5">
        <v>353.0</v>
      </c>
      <c r="B354" s="5" t="s">
        <v>61</v>
      </c>
      <c r="C354" s="12" t="s">
        <v>106</v>
      </c>
      <c r="D354" s="9" t="s">
        <v>62</v>
      </c>
      <c r="E354" s="11">
        <v>3832.0</v>
      </c>
      <c r="F354" s="8"/>
    </row>
    <row r="355">
      <c r="A355" s="5">
        <v>354.0</v>
      </c>
      <c r="B355" s="5" t="s">
        <v>61</v>
      </c>
      <c r="C355" s="12" t="s">
        <v>106</v>
      </c>
      <c r="D355" s="9" t="s">
        <v>63</v>
      </c>
      <c r="E355" s="11">
        <v>3240.0</v>
      </c>
      <c r="F355" s="11">
        <v>9160.0</v>
      </c>
    </row>
    <row r="356">
      <c r="A356" s="5">
        <v>355.0</v>
      </c>
      <c r="B356" s="5" t="s">
        <v>61</v>
      </c>
      <c r="C356" s="12" t="s">
        <v>106</v>
      </c>
      <c r="D356" s="9" t="s">
        <v>64</v>
      </c>
      <c r="E356" s="11">
        <v>3043.0</v>
      </c>
      <c r="F356" s="11">
        <v>9094.0</v>
      </c>
    </row>
    <row r="357">
      <c r="A357" s="5">
        <v>356.0</v>
      </c>
      <c r="B357" s="5" t="s">
        <v>61</v>
      </c>
      <c r="C357" s="12" t="s">
        <v>106</v>
      </c>
      <c r="D357" s="9" t="s">
        <v>65</v>
      </c>
      <c r="E357" s="11">
        <v>3542.0</v>
      </c>
      <c r="F357" s="11">
        <v>10583.0</v>
      </c>
    </row>
    <row r="358">
      <c r="A358" s="5">
        <v>357.0</v>
      </c>
      <c r="B358" s="5" t="s">
        <v>61</v>
      </c>
      <c r="C358" s="12" t="s">
        <v>106</v>
      </c>
      <c r="D358" s="9" t="s">
        <v>67</v>
      </c>
      <c r="E358" s="11">
        <v>3227.0</v>
      </c>
      <c r="F358" s="11">
        <v>10176.0</v>
      </c>
    </row>
    <row r="359">
      <c r="A359" s="5">
        <v>358.0</v>
      </c>
      <c r="B359" s="5" t="s">
        <v>61</v>
      </c>
      <c r="C359" s="12" t="s">
        <v>106</v>
      </c>
      <c r="D359" s="9" t="s">
        <v>71</v>
      </c>
      <c r="E359" s="11">
        <v>3152.0</v>
      </c>
      <c r="F359" s="11">
        <v>4822.0</v>
      </c>
    </row>
    <row r="360">
      <c r="A360" s="5">
        <v>359.0</v>
      </c>
      <c r="B360" s="5" t="s">
        <v>61</v>
      </c>
      <c r="C360" s="12" t="s">
        <v>106</v>
      </c>
      <c r="D360" s="9" t="s">
        <v>67</v>
      </c>
      <c r="E360" s="11">
        <v>2217.0</v>
      </c>
      <c r="F360" s="11">
        <v>5126.0</v>
      </c>
    </row>
    <row r="361">
      <c r="A361" s="5">
        <v>360.0</v>
      </c>
      <c r="B361" s="5" t="s">
        <v>61</v>
      </c>
      <c r="C361" s="12" t="s">
        <v>106</v>
      </c>
      <c r="D361" s="9" t="s">
        <v>73</v>
      </c>
      <c r="E361" s="11">
        <v>2296.0</v>
      </c>
      <c r="F361" s="11">
        <v>5361.0</v>
      </c>
    </row>
    <row r="362">
      <c r="A362" s="5">
        <v>361.0</v>
      </c>
      <c r="B362" s="5" t="s">
        <v>61</v>
      </c>
      <c r="C362" s="12" t="s">
        <v>106</v>
      </c>
      <c r="D362" s="9" t="s">
        <v>70</v>
      </c>
      <c r="E362" s="11">
        <v>2505.0</v>
      </c>
      <c r="F362" s="11">
        <v>5357.0</v>
      </c>
    </row>
    <row r="363">
      <c r="A363" s="5">
        <v>362.0</v>
      </c>
      <c r="B363" s="5" t="s">
        <v>61</v>
      </c>
      <c r="C363" s="12" t="s">
        <v>106</v>
      </c>
      <c r="D363" s="9" t="s">
        <v>67</v>
      </c>
      <c r="E363" s="11">
        <v>2157.0</v>
      </c>
      <c r="F363" s="11">
        <v>5321.0</v>
      </c>
    </row>
    <row r="364">
      <c r="A364" s="5">
        <v>363.0</v>
      </c>
      <c r="B364" s="5" t="s">
        <v>61</v>
      </c>
      <c r="C364" s="12" t="s">
        <v>106</v>
      </c>
      <c r="D364" s="9" t="s">
        <v>65</v>
      </c>
      <c r="E364" s="11">
        <v>2208.0</v>
      </c>
      <c r="F364" s="11">
        <v>6197.0</v>
      </c>
    </row>
    <row r="365">
      <c r="A365" s="5">
        <v>364.0</v>
      </c>
      <c r="B365" s="5" t="s">
        <v>61</v>
      </c>
      <c r="C365" s="12" t="s">
        <v>106</v>
      </c>
      <c r="D365" s="9" t="s">
        <v>69</v>
      </c>
      <c r="E365" s="11">
        <v>2385.0</v>
      </c>
      <c r="F365" s="11">
        <v>6527.0</v>
      </c>
    </row>
    <row r="366">
      <c r="A366" s="5">
        <v>365.0</v>
      </c>
      <c r="B366" s="5" t="s">
        <v>75</v>
      </c>
      <c r="C366" s="12" t="s">
        <v>107</v>
      </c>
      <c r="D366" s="9" t="s">
        <v>60</v>
      </c>
      <c r="E366" s="8"/>
      <c r="F366" s="8"/>
    </row>
    <row r="367">
      <c r="A367" s="5">
        <v>366.0</v>
      </c>
      <c r="B367" s="5" t="s">
        <v>75</v>
      </c>
      <c r="C367" s="12" t="s">
        <v>107</v>
      </c>
      <c r="D367" s="9" t="s">
        <v>62</v>
      </c>
      <c r="E367" s="11">
        <v>19216.0</v>
      </c>
      <c r="F367" s="8"/>
    </row>
    <row r="368">
      <c r="A368" s="5">
        <v>367.0</v>
      </c>
      <c r="B368" s="5" t="s">
        <v>75</v>
      </c>
      <c r="C368" s="12" t="s">
        <v>107</v>
      </c>
      <c r="D368" s="9" t="s">
        <v>63</v>
      </c>
      <c r="E368" s="11">
        <v>17897.0</v>
      </c>
      <c r="F368" s="11">
        <v>44679.0</v>
      </c>
    </row>
    <row r="369">
      <c r="A369" s="5">
        <v>368.0</v>
      </c>
      <c r="B369" s="5" t="s">
        <v>75</v>
      </c>
      <c r="C369" s="12" t="s">
        <v>107</v>
      </c>
      <c r="D369" s="9" t="s">
        <v>64</v>
      </c>
      <c r="E369" s="11">
        <v>17512.0</v>
      </c>
      <c r="F369" s="11">
        <v>42805.0</v>
      </c>
    </row>
    <row r="370">
      <c r="A370" s="5">
        <v>369.0</v>
      </c>
      <c r="B370" s="5" t="s">
        <v>75</v>
      </c>
      <c r="C370" s="12" t="s">
        <v>107</v>
      </c>
      <c r="D370" s="9" t="s">
        <v>65</v>
      </c>
      <c r="E370" s="11">
        <v>19815.0</v>
      </c>
      <c r="F370" s="11">
        <v>50792.0</v>
      </c>
    </row>
    <row r="371">
      <c r="A371" s="5">
        <v>370.0</v>
      </c>
      <c r="B371" s="5" t="s">
        <v>75</v>
      </c>
      <c r="C371" s="12" t="s">
        <v>107</v>
      </c>
      <c r="D371" s="9" t="s">
        <v>67</v>
      </c>
      <c r="E371" s="11">
        <v>20117.0</v>
      </c>
      <c r="F371" s="11">
        <v>52812.0</v>
      </c>
    </row>
    <row r="372">
      <c r="A372" s="5">
        <v>371.0</v>
      </c>
      <c r="B372" s="5" t="s">
        <v>75</v>
      </c>
      <c r="C372" s="12" t="s">
        <v>107</v>
      </c>
      <c r="D372" s="9" t="s">
        <v>71</v>
      </c>
      <c r="E372" s="11">
        <v>20459.0</v>
      </c>
      <c r="F372" s="11">
        <v>48943.0</v>
      </c>
    </row>
    <row r="373">
      <c r="A373" s="5">
        <v>372.0</v>
      </c>
      <c r="B373" s="5" t="s">
        <v>75</v>
      </c>
      <c r="C373" s="12" t="s">
        <v>107</v>
      </c>
      <c r="D373" s="9" t="s">
        <v>67</v>
      </c>
      <c r="E373" s="11">
        <v>19898.0</v>
      </c>
      <c r="F373" s="11">
        <v>47909.0</v>
      </c>
    </row>
    <row r="374">
      <c r="A374" s="5">
        <v>373.0</v>
      </c>
      <c r="B374" s="5" t="s">
        <v>75</v>
      </c>
      <c r="C374" s="12" t="s">
        <v>107</v>
      </c>
      <c r="D374" s="9" t="s">
        <v>73</v>
      </c>
      <c r="E374" s="11">
        <v>18833.0</v>
      </c>
      <c r="F374" s="11">
        <v>46787.0</v>
      </c>
    </row>
    <row r="375">
      <c r="A375" s="5">
        <v>374.0</v>
      </c>
      <c r="B375" s="5" t="s">
        <v>75</v>
      </c>
      <c r="C375" s="12" t="s">
        <v>107</v>
      </c>
      <c r="D375" s="9" t="s">
        <v>70</v>
      </c>
      <c r="E375" s="11">
        <v>19399.0</v>
      </c>
      <c r="F375" s="11">
        <v>47308.0</v>
      </c>
    </row>
    <row r="376">
      <c r="A376" s="5">
        <v>375.0</v>
      </c>
      <c r="B376" s="5" t="s">
        <v>75</v>
      </c>
      <c r="C376" s="12" t="s">
        <v>107</v>
      </c>
      <c r="D376" s="9" t="s">
        <v>67</v>
      </c>
      <c r="E376" s="11">
        <v>18861.0</v>
      </c>
      <c r="F376" s="11">
        <v>44635.0</v>
      </c>
    </row>
    <row r="377">
      <c r="A377" s="5">
        <v>376.0</v>
      </c>
      <c r="B377" s="5" t="s">
        <v>75</v>
      </c>
      <c r="C377" s="12" t="s">
        <v>107</v>
      </c>
      <c r="D377" s="9" t="s">
        <v>65</v>
      </c>
      <c r="E377" s="11">
        <v>19416.0</v>
      </c>
      <c r="F377" s="11">
        <v>46454.0</v>
      </c>
    </row>
    <row r="378">
      <c r="A378" s="5">
        <v>377.0</v>
      </c>
      <c r="B378" s="5" t="s">
        <v>75</v>
      </c>
      <c r="C378" s="12" t="s">
        <v>107</v>
      </c>
      <c r="D378" s="9" t="s">
        <v>69</v>
      </c>
      <c r="E378" s="11">
        <v>18688.0</v>
      </c>
      <c r="F378" s="11">
        <v>43531.0</v>
      </c>
    </row>
    <row r="379">
      <c r="A379" s="5">
        <v>378.0</v>
      </c>
      <c r="B379" s="5" t="s">
        <v>77</v>
      </c>
      <c r="C379" s="12" t="s">
        <v>108</v>
      </c>
      <c r="D379" s="9" t="s">
        <v>60</v>
      </c>
      <c r="E379" s="8"/>
      <c r="F379" s="8"/>
    </row>
    <row r="380">
      <c r="A380" s="5">
        <v>379.0</v>
      </c>
      <c r="B380" s="5" t="s">
        <v>77</v>
      </c>
      <c r="C380" s="12" t="s">
        <v>108</v>
      </c>
      <c r="D380" s="9" t="s">
        <v>62</v>
      </c>
      <c r="E380" s="8"/>
      <c r="F380" s="8"/>
    </row>
    <row r="381">
      <c r="A381" s="5">
        <v>380.0</v>
      </c>
      <c r="B381" s="5" t="s">
        <v>77</v>
      </c>
      <c r="C381" s="12" t="s">
        <v>108</v>
      </c>
      <c r="D381" s="9" t="s">
        <v>63</v>
      </c>
      <c r="E381" s="8"/>
      <c r="F381" s="11">
        <v>1683.0</v>
      </c>
    </row>
    <row r="382">
      <c r="A382" s="5">
        <v>381.0</v>
      </c>
      <c r="B382" s="5" t="s">
        <v>77</v>
      </c>
      <c r="C382" s="12" t="s">
        <v>108</v>
      </c>
      <c r="D382" s="9" t="s">
        <v>64</v>
      </c>
      <c r="E382" s="8"/>
      <c r="F382" s="11">
        <v>1665.0</v>
      </c>
    </row>
    <row r="383">
      <c r="A383" s="5">
        <v>382.0</v>
      </c>
      <c r="B383" s="5" t="s">
        <v>77</v>
      </c>
      <c r="C383" s="12" t="s">
        <v>108</v>
      </c>
      <c r="D383" s="9" t="s">
        <v>65</v>
      </c>
      <c r="E383" s="8"/>
      <c r="F383" s="11">
        <v>1698.0</v>
      </c>
    </row>
    <row r="384">
      <c r="A384" s="5">
        <v>383.0</v>
      </c>
      <c r="B384" s="5" t="s">
        <v>77</v>
      </c>
      <c r="C384" s="12" t="s">
        <v>108</v>
      </c>
      <c r="D384" s="9" t="s">
        <v>67</v>
      </c>
      <c r="E384" s="8"/>
      <c r="F384" s="11">
        <v>1646.0</v>
      </c>
    </row>
    <row r="385">
      <c r="A385" s="5">
        <v>384.0</v>
      </c>
      <c r="B385" s="5" t="s">
        <v>77</v>
      </c>
      <c r="C385" s="12" t="s">
        <v>108</v>
      </c>
      <c r="D385" s="9" t="s">
        <v>71</v>
      </c>
      <c r="E385" s="8"/>
      <c r="F385" s="11">
        <v>1360.0</v>
      </c>
    </row>
    <row r="386">
      <c r="A386" s="5">
        <v>385.0</v>
      </c>
      <c r="B386" s="5" t="s">
        <v>77</v>
      </c>
      <c r="C386" s="12" t="s">
        <v>108</v>
      </c>
      <c r="D386" s="9" t="s">
        <v>67</v>
      </c>
      <c r="E386" s="8"/>
      <c r="F386" s="11">
        <v>1126.0</v>
      </c>
    </row>
    <row r="387">
      <c r="A387" s="5">
        <v>386.0</v>
      </c>
      <c r="B387" s="5" t="s">
        <v>77</v>
      </c>
      <c r="C387" s="12" t="s">
        <v>108</v>
      </c>
      <c r="D387" s="9" t="s">
        <v>73</v>
      </c>
      <c r="E387" s="8"/>
      <c r="F387" s="11">
        <v>1104.0</v>
      </c>
    </row>
    <row r="388">
      <c r="A388" s="5">
        <v>387.0</v>
      </c>
      <c r="B388" s="5" t="s">
        <v>77</v>
      </c>
      <c r="C388" s="12" t="s">
        <v>108</v>
      </c>
      <c r="D388" s="9" t="s">
        <v>70</v>
      </c>
      <c r="E388" s="8"/>
      <c r="F388" s="11">
        <v>1078.0</v>
      </c>
    </row>
    <row r="389">
      <c r="A389" s="5">
        <v>388.0</v>
      </c>
      <c r="B389" s="5" t="s">
        <v>77</v>
      </c>
      <c r="C389" s="12" t="s">
        <v>108</v>
      </c>
      <c r="D389" s="9" t="s">
        <v>67</v>
      </c>
      <c r="E389" s="8"/>
      <c r="F389" s="11">
        <v>1005.0</v>
      </c>
    </row>
    <row r="390">
      <c r="A390" s="5">
        <v>389.0</v>
      </c>
      <c r="B390" s="5" t="s">
        <v>77</v>
      </c>
      <c r="C390" s="12" t="s">
        <v>108</v>
      </c>
      <c r="D390" s="9" t="s">
        <v>65</v>
      </c>
      <c r="E390" s="8"/>
      <c r="F390" s="11">
        <v>997.0</v>
      </c>
    </row>
    <row r="391">
      <c r="A391" s="5">
        <v>390.0</v>
      </c>
      <c r="B391" s="5" t="s">
        <v>77</v>
      </c>
      <c r="C391" s="12" t="s">
        <v>108</v>
      </c>
      <c r="D391" s="9" t="s">
        <v>69</v>
      </c>
      <c r="E391" s="8"/>
      <c r="F391" s="11">
        <v>1041.0</v>
      </c>
    </row>
    <row r="392">
      <c r="A392" s="5">
        <v>391.0</v>
      </c>
      <c r="B392" s="5" t="s">
        <v>77</v>
      </c>
      <c r="C392" s="12" t="s">
        <v>109</v>
      </c>
      <c r="D392" s="9" t="s">
        <v>60</v>
      </c>
      <c r="E392" s="8"/>
      <c r="F392" s="8"/>
    </row>
    <row r="393">
      <c r="A393" s="5">
        <v>392.0</v>
      </c>
      <c r="B393" s="5" t="s">
        <v>77</v>
      </c>
      <c r="C393" s="12" t="s">
        <v>109</v>
      </c>
      <c r="D393" s="9" t="s">
        <v>62</v>
      </c>
      <c r="E393" s="8"/>
      <c r="F393" s="8"/>
    </row>
    <row r="394">
      <c r="A394" s="5">
        <v>393.0</v>
      </c>
      <c r="B394" s="5" t="s">
        <v>77</v>
      </c>
      <c r="C394" s="12" t="s">
        <v>109</v>
      </c>
      <c r="D394" s="9" t="s">
        <v>63</v>
      </c>
      <c r="E394" s="8"/>
      <c r="F394" s="11">
        <v>308.0</v>
      </c>
    </row>
    <row r="395">
      <c r="A395" s="5">
        <v>394.0</v>
      </c>
      <c r="B395" s="5" t="s">
        <v>77</v>
      </c>
      <c r="C395" s="12" t="s">
        <v>109</v>
      </c>
      <c r="D395" s="9" t="s">
        <v>64</v>
      </c>
      <c r="E395" s="8"/>
      <c r="F395" s="11">
        <v>180.0</v>
      </c>
    </row>
    <row r="396">
      <c r="A396" s="5">
        <v>395.0</v>
      </c>
      <c r="B396" s="5" t="s">
        <v>77</v>
      </c>
      <c r="C396" s="12" t="s">
        <v>109</v>
      </c>
      <c r="D396" s="9" t="s">
        <v>65</v>
      </c>
      <c r="E396" s="8"/>
      <c r="F396" s="11">
        <v>249.0</v>
      </c>
    </row>
    <row r="397">
      <c r="A397" s="5">
        <v>396.0</v>
      </c>
      <c r="B397" s="5" t="s">
        <v>77</v>
      </c>
      <c r="C397" s="12" t="s">
        <v>109</v>
      </c>
      <c r="D397" s="9" t="s">
        <v>67</v>
      </c>
      <c r="E397" s="8"/>
      <c r="F397" s="11">
        <v>191.0</v>
      </c>
    </row>
    <row r="398">
      <c r="A398" s="5">
        <v>397.0</v>
      </c>
      <c r="B398" s="5" t="s">
        <v>77</v>
      </c>
      <c r="C398" s="12" t="s">
        <v>109</v>
      </c>
      <c r="D398" s="9" t="s">
        <v>71</v>
      </c>
      <c r="E398" s="8"/>
      <c r="F398" s="11">
        <v>187.0</v>
      </c>
    </row>
    <row r="399">
      <c r="A399" s="5">
        <v>398.0</v>
      </c>
      <c r="B399" s="5" t="s">
        <v>77</v>
      </c>
      <c r="C399" s="12" t="s">
        <v>109</v>
      </c>
      <c r="D399" s="9" t="s">
        <v>67</v>
      </c>
      <c r="E399" s="8"/>
      <c r="F399" s="11">
        <v>154.0</v>
      </c>
    </row>
    <row r="400">
      <c r="A400" s="5">
        <v>399.0</v>
      </c>
      <c r="B400" s="5" t="s">
        <v>77</v>
      </c>
      <c r="C400" s="12" t="s">
        <v>109</v>
      </c>
      <c r="D400" s="9" t="s">
        <v>73</v>
      </c>
      <c r="E400" s="8"/>
      <c r="F400" s="11">
        <v>198.0</v>
      </c>
    </row>
    <row r="401">
      <c r="A401" s="5">
        <v>400.0</v>
      </c>
      <c r="B401" s="5" t="s">
        <v>77</v>
      </c>
      <c r="C401" s="12" t="s">
        <v>109</v>
      </c>
      <c r="D401" s="9" t="s">
        <v>70</v>
      </c>
      <c r="E401" s="8"/>
      <c r="F401" s="11">
        <v>165.0</v>
      </c>
    </row>
    <row r="402">
      <c r="A402" s="5">
        <v>401.0</v>
      </c>
      <c r="B402" s="5" t="s">
        <v>77</v>
      </c>
      <c r="C402" s="12" t="s">
        <v>109</v>
      </c>
      <c r="D402" s="9" t="s">
        <v>67</v>
      </c>
      <c r="E402" s="8"/>
      <c r="F402" s="11">
        <v>220.0</v>
      </c>
    </row>
    <row r="403">
      <c r="A403" s="5">
        <v>402.0</v>
      </c>
      <c r="B403" s="5" t="s">
        <v>77</v>
      </c>
      <c r="C403" s="12" t="s">
        <v>109</v>
      </c>
      <c r="D403" s="9" t="s">
        <v>65</v>
      </c>
      <c r="E403" s="8"/>
      <c r="F403" s="11">
        <v>216.0</v>
      </c>
    </row>
    <row r="404">
      <c r="A404" s="5">
        <v>403.0</v>
      </c>
      <c r="B404" s="5" t="s">
        <v>77</v>
      </c>
      <c r="C404" s="12" t="s">
        <v>109</v>
      </c>
      <c r="D404" s="9" t="s">
        <v>69</v>
      </c>
      <c r="E404" s="8"/>
      <c r="F404" s="11">
        <v>301.0</v>
      </c>
    </row>
    <row r="405">
      <c r="A405" s="5">
        <v>404.0</v>
      </c>
      <c r="B405" s="5" t="s">
        <v>61</v>
      </c>
      <c r="C405" s="12" t="s">
        <v>110</v>
      </c>
      <c r="D405" s="9" t="s">
        <v>60</v>
      </c>
      <c r="E405" s="8"/>
      <c r="F405" s="8"/>
    </row>
    <row r="406">
      <c r="A406" s="5">
        <v>405.0</v>
      </c>
      <c r="B406" s="5" t="s">
        <v>61</v>
      </c>
      <c r="C406" s="12" t="s">
        <v>110</v>
      </c>
      <c r="D406" s="9" t="s">
        <v>62</v>
      </c>
      <c r="E406" s="11">
        <v>5333.0</v>
      </c>
      <c r="F406" s="8"/>
    </row>
    <row r="407">
      <c r="A407" s="5">
        <v>406.0</v>
      </c>
      <c r="B407" s="5" t="s">
        <v>61</v>
      </c>
      <c r="C407" s="12" t="s">
        <v>110</v>
      </c>
      <c r="D407" s="9" t="s">
        <v>63</v>
      </c>
      <c r="E407" s="11">
        <v>5024.0</v>
      </c>
      <c r="F407" s="11">
        <v>4180.0</v>
      </c>
    </row>
    <row r="408">
      <c r="A408" s="5">
        <v>407.0</v>
      </c>
      <c r="B408" s="5" t="s">
        <v>61</v>
      </c>
      <c r="C408" s="12" t="s">
        <v>110</v>
      </c>
      <c r="D408" s="9" t="s">
        <v>64</v>
      </c>
      <c r="E408" s="11">
        <v>4907.0</v>
      </c>
      <c r="F408" s="11">
        <v>4052.0</v>
      </c>
    </row>
    <row r="409">
      <c r="A409" s="5">
        <v>408.0</v>
      </c>
      <c r="B409" s="5" t="s">
        <v>61</v>
      </c>
      <c r="C409" s="12" t="s">
        <v>110</v>
      </c>
      <c r="D409" s="9" t="s">
        <v>65</v>
      </c>
      <c r="E409" s="11">
        <v>3514.0</v>
      </c>
      <c r="F409" s="11">
        <v>3975.0</v>
      </c>
    </row>
    <row r="410">
      <c r="A410" s="5">
        <v>409.0</v>
      </c>
      <c r="B410" s="5" t="s">
        <v>61</v>
      </c>
      <c r="C410" s="12" t="s">
        <v>110</v>
      </c>
      <c r="D410" s="9" t="s">
        <v>67</v>
      </c>
      <c r="E410" s="11">
        <v>3482.0</v>
      </c>
      <c r="F410" s="11">
        <v>3484.0</v>
      </c>
    </row>
    <row r="411">
      <c r="A411" s="5">
        <v>410.0</v>
      </c>
      <c r="B411" s="5" t="s">
        <v>61</v>
      </c>
      <c r="C411" s="12" t="s">
        <v>110</v>
      </c>
      <c r="D411" s="9" t="s">
        <v>71</v>
      </c>
      <c r="E411" s="11">
        <v>3429.0</v>
      </c>
      <c r="F411" s="11">
        <v>3000.0</v>
      </c>
    </row>
    <row r="412">
      <c r="A412" s="5">
        <v>411.0</v>
      </c>
      <c r="B412" s="5" t="s">
        <v>61</v>
      </c>
      <c r="C412" s="12" t="s">
        <v>110</v>
      </c>
      <c r="D412" s="9" t="s">
        <v>67</v>
      </c>
      <c r="E412" s="11">
        <v>3436.0</v>
      </c>
      <c r="F412" s="11">
        <v>2776.0</v>
      </c>
    </row>
    <row r="413">
      <c r="A413" s="5">
        <v>412.0</v>
      </c>
      <c r="B413" s="5" t="s">
        <v>61</v>
      </c>
      <c r="C413" s="12" t="s">
        <v>110</v>
      </c>
      <c r="D413" s="9" t="s">
        <v>73</v>
      </c>
      <c r="E413" s="11">
        <v>3389.0</v>
      </c>
      <c r="F413" s="11">
        <v>2446.0</v>
      </c>
    </row>
    <row r="414">
      <c r="A414" s="5">
        <v>413.0</v>
      </c>
      <c r="B414" s="5" t="s">
        <v>61</v>
      </c>
      <c r="C414" s="12" t="s">
        <v>110</v>
      </c>
      <c r="D414" s="9" t="s">
        <v>70</v>
      </c>
      <c r="E414" s="11">
        <v>4115.0</v>
      </c>
      <c r="F414" s="11">
        <v>2380.0</v>
      </c>
    </row>
    <row r="415">
      <c r="A415" s="5">
        <v>414.0</v>
      </c>
      <c r="B415" s="5" t="s">
        <v>61</v>
      </c>
      <c r="C415" s="12" t="s">
        <v>110</v>
      </c>
      <c r="D415" s="9" t="s">
        <v>67</v>
      </c>
      <c r="E415" s="11">
        <v>3994.0</v>
      </c>
      <c r="F415" s="11">
        <v>2208.0</v>
      </c>
    </row>
    <row r="416">
      <c r="A416" s="5">
        <v>415.0</v>
      </c>
      <c r="B416" s="5" t="s">
        <v>61</v>
      </c>
      <c r="C416" s="12" t="s">
        <v>110</v>
      </c>
      <c r="D416" s="9" t="s">
        <v>65</v>
      </c>
      <c r="E416" s="11">
        <v>3430.0</v>
      </c>
      <c r="F416" s="11">
        <v>2252.0</v>
      </c>
    </row>
    <row r="417">
      <c r="A417" s="5">
        <v>416.0</v>
      </c>
      <c r="B417" s="5" t="s">
        <v>61</v>
      </c>
      <c r="C417" s="12" t="s">
        <v>110</v>
      </c>
      <c r="D417" s="9" t="s">
        <v>70</v>
      </c>
      <c r="E417" s="11">
        <v>3412.0</v>
      </c>
      <c r="F417" s="11">
        <v>1977.0</v>
      </c>
    </row>
    <row r="418">
      <c r="A418" s="5">
        <v>417.0</v>
      </c>
      <c r="B418" s="5" t="s">
        <v>77</v>
      </c>
      <c r="C418" s="12" t="s">
        <v>111</v>
      </c>
      <c r="D418" s="9" t="s">
        <v>60</v>
      </c>
      <c r="E418" s="8"/>
      <c r="F418" s="8"/>
    </row>
    <row r="419">
      <c r="A419" s="5">
        <v>418.0</v>
      </c>
      <c r="B419" s="5" t="s">
        <v>77</v>
      </c>
      <c r="C419" s="12" t="s">
        <v>111</v>
      </c>
      <c r="D419" s="9" t="s">
        <v>62</v>
      </c>
      <c r="E419" s="11">
        <v>6720.0</v>
      </c>
      <c r="F419" s="8"/>
    </row>
    <row r="420">
      <c r="A420" s="5">
        <v>419.0</v>
      </c>
      <c r="B420" s="5" t="s">
        <v>77</v>
      </c>
      <c r="C420" s="12" t="s">
        <v>111</v>
      </c>
      <c r="D420" s="9" t="s">
        <v>63</v>
      </c>
      <c r="E420" s="11">
        <v>6944.0</v>
      </c>
      <c r="F420" s="11">
        <v>7235.0</v>
      </c>
    </row>
    <row r="421">
      <c r="A421" s="5">
        <v>420.0</v>
      </c>
      <c r="B421" s="5" t="s">
        <v>77</v>
      </c>
      <c r="C421" s="12" t="s">
        <v>111</v>
      </c>
      <c r="D421" s="9" t="s">
        <v>64</v>
      </c>
      <c r="E421" s="11">
        <v>6914.0</v>
      </c>
      <c r="F421" s="11">
        <v>6674.0</v>
      </c>
    </row>
    <row r="422">
      <c r="A422" s="5">
        <v>421.0</v>
      </c>
      <c r="B422" s="5" t="s">
        <v>77</v>
      </c>
      <c r="C422" s="12" t="s">
        <v>111</v>
      </c>
      <c r="D422" s="9" t="s">
        <v>65</v>
      </c>
      <c r="E422" s="11">
        <v>6395.0</v>
      </c>
      <c r="F422" s="11">
        <v>5545.0</v>
      </c>
    </row>
    <row r="423">
      <c r="A423" s="5">
        <v>422.0</v>
      </c>
      <c r="B423" s="5" t="s">
        <v>77</v>
      </c>
      <c r="C423" s="12" t="s">
        <v>111</v>
      </c>
      <c r="D423" s="9" t="s">
        <v>67</v>
      </c>
      <c r="E423" s="11">
        <v>6340.0</v>
      </c>
      <c r="F423" s="11">
        <v>5834.0</v>
      </c>
    </row>
    <row r="424">
      <c r="A424" s="5">
        <v>423.0</v>
      </c>
      <c r="B424" s="5" t="s">
        <v>77</v>
      </c>
      <c r="C424" s="12" t="s">
        <v>111</v>
      </c>
      <c r="D424" s="9" t="s">
        <v>71</v>
      </c>
      <c r="E424" s="11">
        <v>6723.0</v>
      </c>
      <c r="F424" s="11">
        <v>3828.0</v>
      </c>
    </row>
    <row r="425">
      <c r="A425" s="5">
        <v>424.0</v>
      </c>
      <c r="B425" s="5" t="s">
        <v>77</v>
      </c>
      <c r="C425" s="12" t="s">
        <v>111</v>
      </c>
      <c r="D425" s="9" t="s">
        <v>67</v>
      </c>
      <c r="E425" s="11">
        <v>6981.0</v>
      </c>
      <c r="F425" s="11">
        <v>3696.0</v>
      </c>
    </row>
    <row r="426">
      <c r="A426" s="5">
        <v>425.0</v>
      </c>
      <c r="B426" s="5" t="s">
        <v>77</v>
      </c>
      <c r="C426" s="12" t="s">
        <v>111</v>
      </c>
      <c r="D426" s="9" t="s">
        <v>73</v>
      </c>
      <c r="E426" s="11">
        <v>6959.0</v>
      </c>
      <c r="F426" s="11">
        <v>3957.0</v>
      </c>
    </row>
    <row r="427">
      <c r="A427" s="5">
        <v>426.0</v>
      </c>
      <c r="B427" s="5" t="s">
        <v>77</v>
      </c>
      <c r="C427" s="12" t="s">
        <v>111</v>
      </c>
      <c r="D427" s="9" t="s">
        <v>70</v>
      </c>
      <c r="E427" s="11">
        <v>6766.0</v>
      </c>
      <c r="F427" s="11">
        <v>3795.0</v>
      </c>
    </row>
    <row r="428">
      <c r="A428" s="5">
        <v>427.0</v>
      </c>
      <c r="B428" s="5" t="s">
        <v>77</v>
      </c>
      <c r="C428" s="12" t="s">
        <v>111</v>
      </c>
      <c r="D428" s="9" t="s">
        <v>67</v>
      </c>
      <c r="E428" s="11">
        <v>6518.0</v>
      </c>
      <c r="F428" s="11">
        <v>3418.0</v>
      </c>
    </row>
    <row r="429">
      <c r="A429" s="5">
        <v>428.0</v>
      </c>
      <c r="B429" s="5" t="s">
        <v>77</v>
      </c>
      <c r="C429" s="12" t="s">
        <v>111</v>
      </c>
      <c r="D429" s="9" t="s">
        <v>65</v>
      </c>
      <c r="E429" s="11">
        <v>6384.0</v>
      </c>
      <c r="F429" s="11">
        <v>3421.0</v>
      </c>
    </row>
    <row r="430">
      <c r="A430" s="5">
        <v>429.0</v>
      </c>
      <c r="B430" s="5" t="s">
        <v>77</v>
      </c>
      <c r="C430" s="12" t="s">
        <v>111</v>
      </c>
      <c r="D430" s="9" t="s">
        <v>70</v>
      </c>
      <c r="E430" s="11">
        <v>6310.0</v>
      </c>
      <c r="F430" s="11">
        <v>3432.0</v>
      </c>
    </row>
    <row r="431">
      <c r="A431" s="5">
        <v>430.0</v>
      </c>
      <c r="B431" s="5" t="s">
        <v>84</v>
      </c>
      <c r="C431" s="12" t="s">
        <v>112</v>
      </c>
      <c r="D431" s="9" t="s">
        <v>60</v>
      </c>
      <c r="E431" s="11">
        <v>252651.0</v>
      </c>
      <c r="F431" s="8"/>
    </row>
    <row r="432">
      <c r="A432" s="5">
        <v>431.0</v>
      </c>
      <c r="B432" s="5" t="s">
        <v>84</v>
      </c>
      <c r="C432" s="12" t="s">
        <v>112</v>
      </c>
      <c r="D432" s="9" t="s">
        <v>62</v>
      </c>
      <c r="E432" s="11">
        <v>251845.0</v>
      </c>
      <c r="F432" s="8"/>
    </row>
    <row r="433">
      <c r="A433" s="5">
        <v>432.0</v>
      </c>
      <c r="B433" s="5" t="s">
        <v>84</v>
      </c>
      <c r="C433" s="12" t="s">
        <v>112</v>
      </c>
      <c r="D433" s="9" t="s">
        <v>63</v>
      </c>
      <c r="E433" s="11">
        <v>250992.0</v>
      </c>
      <c r="F433" s="11">
        <v>499137.0</v>
      </c>
    </row>
    <row r="434">
      <c r="A434" s="5">
        <v>433.0</v>
      </c>
      <c r="B434" s="5" t="s">
        <v>84</v>
      </c>
      <c r="C434" s="12" t="s">
        <v>112</v>
      </c>
      <c r="D434" s="9" t="s">
        <v>64</v>
      </c>
      <c r="E434" s="11">
        <v>251326.0</v>
      </c>
      <c r="F434" s="11">
        <v>513937.0</v>
      </c>
    </row>
    <row r="435">
      <c r="A435" s="5">
        <v>434.0</v>
      </c>
      <c r="B435" s="5" t="s">
        <v>84</v>
      </c>
      <c r="C435" s="12" t="s">
        <v>112</v>
      </c>
      <c r="D435" s="9" t="s">
        <v>65</v>
      </c>
      <c r="E435" s="11">
        <v>264724.0</v>
      </c>
      <c r="F435" s="11">
        <v>544975.0</v>
      </c>
    </row>
    <row r="436">
      <c r="A436" s="5">
        <v>435.0</v>
      </c>
      <c r="B436" s="5" t="s">
        <v>84</v>
      </c>
      <c r="C436" s="12" t="s">
        <v>112</v>
      </c>
      <c r="D436" s="9" t="s">
        <v>67</v>
      </c>
      <c r="E436" s="11">
        <v>271728.0</v>
      </c>
      <c r="F436" s="11">
        <v>560802.0</v>
      </c>
    </row>
    <row r="437">
      <c r="A437" s="5">
        <v>436.0</v>
      </c>
      <c r="B437" s="5" t="s">
        <v>84</v>
      </c>
      <c r="C437" s="12" t="s">
        <v>112</v>
      </c>
      <c r="D437" s="9" t="s">
        <v>71</v>
      </c>
      <c r="E437" s="11">
        <v>268302.0</v>
      </c>
      <c r="F437" s="11">
        <v>550233.0</v>
      </c>
    </row>
    <row r="438">
      <c r="A438" s="5">
        <v>437.0</v>
      </c>
      <c r="B438" s="5" t="s">
        <v>84</v>
      </c>
      <c r="C438" s="12" t="s">
        <v>112</v>
      </c>
      <c r="D438" s="9" t="s">
        <v>67</v>
      </c>
      <c r="E438" s="11">
        <v>272206.0</v>
      </c>
      <c r="F438" s="11">
        <v>563072.0</v>
      </c>
    </row>
    <row r="439">
      <c r="A439" s="5">
        <v>438.0</v>
      </c>
      <c r="B439" s="5" t="s">
        <v>84</v>
      </c>
      <c r="C439" s="12" t="s">
        <v>112</v>
      </c>
      <c r="D439" s="9" t="s">
        <v>73</v>
      </c>
      <c r="E439" s="11">
        <v>267619.0</v>
      </c>
      <c r="F439" s="11">
        <v>552349.0</v>
      </c>
    </row>
    <row r="440">
      <c r="A440" s="5">
        <v>439.0</v>
      </c>
      <c r="B440" s="5" t="s">
        <v>84</v>
      </c>
      <c r="C440" s="12" t="s">
        <v>112</v>
      </c>
      <c r="D440" s="9" t="s">
        <v>70</v>
      </c>
      <c r="E440" s="11">
        <v>262038.0</v>
      </c>
      <c r="F440" s="11">
        <v>553185.0</v>
      </c>
    </row>
    <row r="441">
      <c r="A441" s="5">
        <v>440.0</v>
      </c>
      <c r="B441" s="5" t="s">
        <v>84</v>
      </c>
      <c r="C441" s="12" t="s">
        <v>112</v>
      </c>
      <c r="D441" s="9" t="s">
        <v>67</v>
      </c>
      <c r="E441" s="11">
        <v>248220.0</v>
      </c>
      <c r="F441" s="11">
        <v>519163.0</v>
      </c>
    </row>
    <row r="442">
      <c r="A442" s="5">
        <v>441.0</v>
      </c>
      <c r="B442" s="5" t="s">
        <v>84</v>
      </c>
      <c r="C442" s="12" t="s">
        <v>112</v>
      </c>
      <c r="D442" s="9" t="s">
        <v>65</v>
      </c>
      <c r="E442" s="11">
        <v>247878.0</v>
      </c>
      <c r="F442" s="11">
        <v>525690.0</v>
      </c>
    </row>
    <row r="443">
      <c r="A443" s="5">
        <v>442.0</v>
      </c>
      <c r="B443" s="5" t="s">
        <v>84</v>
      </c>
      <c r="C443" s="12" t="s">
        <v>112</v>
      </c>
      <c r="D443" s="9" t="s">
        <v>70</v>
      </c>
      <c r="E443" s="11">
        <v>251450.0</v>
      </c>
      <c r="F443" s="11">
        <v>534484.0</v>
      </c>
    </row>
    <row r="444">
      <c r="A444" s="5">
        <v>443.0</v>
      </c>
      <c r="B444" s="5" t="s">
        <v>84</v>
      </c>
      <c r="C444" s="12" t="s">
        <v>113</v>
      </c>
      <c r="D444" s="9" t="s">
        <v>60</v>
      </c>
      <c r="E444" s="8"/>
      <c r="F444" s="8"/>
    </row>
    <row r="445">
      <c r="A445" s="5">
        <v>444.0</v>
      </c>
      <c r="B445" s="5" t="s">
        <v>84</v>
      </c>
      <c r="C445" s="12" t="s">
        <v>113</v>
      </c>
      <c r="D445" s="9" t="s">
        <v>62</v>
      </c>
      <c r="E445" s="8"/>
      <c r="F445" s="8"/>
    </row>
    <row r="446">
      <c r="A446" s="5">
        <v>445.0</v>
      </c>
      <c r="B446" s="5" t="s">
        <v>84</v>
      </c>
      <c r="C446" s="12" t="s">
        <v>113</v>
      </c>
      <c r="D446" s="9" t="s">
        <v>63</v>
      </c>
      <c r="E446" s="8"/>
      <c r="F446" s="11">
        <v>590.0</v>
      </c>
    </row>
    <row r="447">
      <c r="A447" s="5">
        <v>446.0</v>
      </c>
      <c r="B447" s="5" t="s">
        <v>84</v>
      </c>
      <c r="C447" s="12" t="s">
        <v>113</v>
      </c>
      <c r="D447" s="9" t="s">
        <v>64</v>
      </c>
      <c r="E447" s="8"/>
      <c r="F447" s="11">
        <v>587.0</v>
      </c>
    </row>
    <row r="448">
      <c r="A448" s="5">
        <v>447.0</v>
      </c>
      <c r="B448" s="5" t="s">
        <v>84</v>
      </c>
      <c r="C448" s="12" t="s">
        <v>113</v>
      </c>
      <c r="D448" s="9" t="s">
        <v>65</v>
      </c>
      <c r="E448" s="8"/>
      <c r="F448" s="11">
        <v>631.0</v>
      </c>
    </row>
    <row r="449">
      <c r="A449" s="5">
        <v>448.0</v>
      </c>
      <c r="B449" s="5" t="s">
        <v>84</v>
      </c>
      <c r="C449" s="12" t="s">
        <v>113</v>
      </c>
      <c r="D449" s="9" t="s">
        <v>67</v>
      </c>
      <c r="E449" s="8"/>
      <c r="F449" s="11">
        <v>612.0</v>
      </c>
    </row>
    <row r="450">
      <c r="A450" s="5">
        <v>449.0</v>
      </c>
      <c r="B450" s="5" t="s">
        <v>84</v>
      </c>
      <c r="C450" s="12" t="s">
        <v>113</v>
      </c>
      <c r="D450" s="9" t="s">
        <v>71</v>
      </c>
      <c r="E450" s="8"/>
      <c r="F450" s="11">
        <v>517.0</v>
      </c>
    </row>
    <row r="451">
      <c r="A451" s="5">
        <v>450.0</v>
      </c>
      <c r="B451" s="5" t="s">
        <v>84</v>
      </c>
      <c r="C451" s="12" t="s">
        <v>113</v>
      </c>
      <c r="D451" s="9" t="s">
        <v>67</v>
      </c>
      <c r="E451" s="8"/>
      <c r="F451" s="11">
        <v>513.0</v>
      </c>
    </row>
    <row r="452">
      <c r="A452" s="5">
        <v>451.0</v>
      </c>
      <c r="B452" s="5" t="s">
        <v>84</v>
      </c>
      <c r="C452" s="12" t="s">
        <v>113</v>
      </c>
      <c r="D452" s="9" t="s">
        <v>73</v>
      </c>
      <c r="E452" s="8"/>
      <c r="F452" s="11">
        <v>499.0</v>
      </c>
    </row>
    <row r="453">
      <c r="A453" s="5">
        <v>452.0</v>
      </c>
      <c r="B453" s="5" t="s">
        <v>84</v>
      </c>
      <c r="C453" s="12" t="s">
        <v>113</v>
      </c>
      <c r="D453" s="9" t="s">
        <v>70</v>
      </c>
      <c r="E453" s="8"/>
      <c r="F453" s="11">
        <v>480.0</v>
      </c>
    </row>
    <row r="454">
      <c r="A454" s="5">
        <v>453.0</v>
      </c>
      <c r="B454" s="5" t="s">
        <v>84</v>
      </c>
      <c r="C454" s="12" t="s">
        <v>113</v>
      </c>
      <c r="D454" s="9" t="s">
        <v>67</v>
      </c>
      <c r="E454" s="8"/>
      <c r="F454" s="11">
        <v>469.0</v>
      </c>
    </row>
    <row r="455">
      <c r="A455" s="5">
        <v>454.0</v>
      </c>
      <c r="B455" s="5" t="s">
        <v>84</v>
      </c>
      <c r="C455" s="12" t="s">
        <v>113</v>
      </c>
      <c r="D455" s="9" t="s">
        <v>65</v>
      </c>
      <c r="E455" s="8"/>
      <c r="F455" s="11">
        <v>455.0</v>
      </c>
    </row>
    <row r="456">
      <c r="A456" s="5">
        <v>455.0</v>
      </c>
      <c r="B456" s="5" t="s">
        <v>84</v>
      </c>
      <c r="C456" s="12" t="s">
        <v>113</v>
      </c>
      <c r="D456" s="9" t="s">
        <v>70</v>
      </c>
      <c r="E456" s="8"/>
      <c r="F456" s="11">
        <v>455.0</v>
      </c>
    </row>
    <row r="457">
      <c r="A457" s="5">
        <v>456.0</v>
      </c>
      <c r="B457" s="5" t="s">
        <v>77</v>
      </c>
      <c r="C457" s="12" t="s">
        <v>114</v>
      </c>
      <c r="D457" s="9" t="s">
        <v>60</v>
      </c>
      <c r="E457" s="8"/>
      <c r="F457" s="8"/>
    </row>
    <row r="458">
      <c r="A458" s="5">
        <v>457.0</v>
      </c>
      <c r="B458" s="5" t="s">
        <v>77</v>
      </c>
      <c r="C458" s="12" t="s">
        <v>114</v>
      </c>
      <c r="D458" s="9" t="s">
        <v>62</v>
      </c>
      <c r="E458" s="8"/>
      <c r="F458" s="8"/>
    </row>
    <row r="459">
      <c r="A459" s="5">
        <v>458.0</v>
      </c>
      <c r="B459" s="5" t="s">
        <v>77</v>
      </c>
      <c r="C459" s="12" t="s">
        <v>114</v>
      </c>
      <c r="D459" s="9" t="s">
        <v>63</v>
      </c>
      <c r="E459" s="8"/>
      <c r="F459" s="11">
        <v>264.0</v>
      </c>
    </row>
    <row r="460">
      <c r="A460" s="5">
        <v>459.0</v>
      </c>
      <c r="B460" s="5" t="s">
        <v>77</v>
      </c>
      <c r="C460" s="12" t="s">
        <v>114</v>
      </c>
      <c r="D460" s="9" t="s">
        <v>64</v>
      </c>
      <c r="E460" s="8"/>
      <c r="F460" s="11">
        <v>235.0</v>
      </c>
    </row>
    <row r="461">
      <c r="A461" s="5">
        <v>460.0</v>
      </c>
      <c r="B461" s="5" t="s">
        <v>77</v>
      </c>
      <c r="C461" s="12" t="s">
        <v>114</v>
      </c>
      <c r="D461" s="9" t="s">
        <v>65</v>
      </c>
      <c r="E461" s="8"/>
      <c r="F461" s="11">
        <v>235.0</v>
      </c>
    </row>
    <row r="462">
      <c r="A462" s="5">
        <v>461.0</v>
      </c>
      <c r="B462" s="5" t="s">
        <v>77</v>
      </c>
      <c r="C462" s="12" t="s">
        <v>114</v>
      </c>
      <c r="D462" s="9" t="s">
        <v>67</v>
      </c>
      <c r="E462" s="8"/>
      <c r="F462" s="11">
        <v>235.0</v>
      </c>
    </row>
    <row r="463">
      <c r="A463" s="5">
        <v>462.0</v>
      </c>
      <c r="B463" s="5" t="s">
        <v>77</v>
      </c>
      <c r="C463" s="12" t="s">
        <v>114</v>
      </c>
      <c r="D463" s="9" t="s">
        <v>71</v>
      </c>
      <c r="E463" s="8"/>
      <c r="F463" s="11">
        <v>227.0</v>
      </c>
    </row>
    <row r="464">
      <c r="A464" s="5">
        <v>463.0</v>
      </c>
      <c r="B464" s="5" t="s">
        <v>77</v>
      </c>
      <c r="C464" s="12" t="s">
        <v>114</v>
      </c>
      <c r="D464" s="9" t="s">
        <v>67</v>
      </c>
      <c r="E464" s="8"/>
      <c r="F464" s="11">
        <v>213.0</v>
      </c>
    </row>
    <row r="465">
      <c r="A465" s="5">
        <v>464.0</v>
      </c>
      <c r="B465" s="5" t="s">
        <v>77</v>
      </c>
      <c r="C465" s="12" t="s">
        <v>114</v>
      </c>
      <c r="D465" s="9" t="s">
        <v>73</v>
      </c>
      <c r="E465" s="8"/>
      <c r="F465" s="11">
        <v>213.0</v>
      </c>
    </row>
    <row r="466">
      <c r="A466" s="5">
        <v>465.0</v>
      </c>
      <c r="B466" s="5" t="s">
        <v>77</v>
      </c>
      <c r="C466" s="12" t="s">
        <v>114</v>
      </c>
      <c r="D466" s="9" t="s">
        <v>70</v>
      </c>
      <c r="E466" s="8"/>
      <c r="F466" s="11">
        <v>235.0</v>
      </c>
    </row>
    <row r="467">
      <c r="A467" s="5">
        <v>466.0</v>
      </c>
      <c r="B467" s="5" t="s">
        <v>77</v>
      </c>
      <c r="C467" s="12" t="s">
        <v>114</v>
      </c>
      <c r="D467" s="9" t="s">
        <v>67</v>
      </c>
      <c r="E467" s="8"/>
      <c r="F467" s="11">
        <v>246.0</v>
      </c>
    </row>
    <row r="468">
      <c r="A468" s="5">
        <v>467.0</v>
      </c>
      <c r="B468" s="5" t="s">
        <v>77</v>
      </c>
      <c r="C468" s="12" t="s">
        <v>114</v>
      </c>
      <c r="D468" s="9" t="s">
        <v>65</v>
      </c>
      <c r="E468" s="8"/>
      <c r="F468" s="11">
        <v>246.0</v>
      </c>
    </row>
    <row r="469">
      <c r="A469" s="5">
        <v>468.0</v>
      </c>
      <c r="B469" s="5" t="s">
        <v>77</v>
      </c>
      <c r="C469" s="12" t="s">
        <v>114</v>
      </c>
      <c r="D469" s="9" t="s">
        <v>70</v>
      </c>
      <c r="E469" s="8"/>
      <c r="F469" s="11">
        <v>268.0</v>
      </c>
    </row>
    <row r="470">
      <c r="A470" s="5">
        <v>469.0</v>
      </c>
      <c r="B470" s="5" t="s">
        <v>77</v>
      </c>
      <c r="C470" s="12" t="s">
        <v>115</v>
      </c>
      <c r="D470" s="9" t="s">
        <v>60</v>
      </c>
      <c r="E470" s="8"/>
      <c r="F470" s="8"/>
    </row>
    <row r="471">
      <c r="A471" s="5">
        <v>470.0</v>
      </c>
      <c r="B471" s="5" t="s">
        <v>77</v>
      </c>
      <c r="C471" s="12" t="s">
        <v>115</v>
      </c>
      <c r="D471" s="9" t="s">
        <v>62</v>
      </c>
      <c r="E471" s="8"/>
      <c r="F471" s="8"/>
    </row>
    <row r="472">
      <c r="A472" s="5">
        <v>471.0</v>
      </c>
      <c r="B472" s="5" t="s">
        <v>77</v>
      </c>
      <c r="C472" s="12" t="s">
        <v>115</v>
      </c>
      <c r="D472" s="9" t="s">
        <v>63</v>
      </c>
      <c r="E472" s="8"/>
      <c r="F472" s="11">
        <v>469.0</v>
      </c>
    </row>
    <row r="473">
      <c r="A473" s="5">
        <v>472.0</v>
      </c>
      <c r="B473" s="5" t="s">
        <v>77</v>
      </c>
      <c r="C473" s="12" t="s">
        <v>115</v>
      </c>
      <c r="D473" s="9" t="s">
        <v>64</v>
      </c>
      <c r="E473" s="8"/>
      <c r="F473" s="11">
        <v>444.0</v>
      </c>
    </row>
    <row r="474">
      <c r="A474" s="5">
        <v>473.0</v>
      </c>
      <c r="B474" s="5" t="s">
        <v>77</v>
      </c>
      <c r="C474" s="12" t="s">
        <v>115</v>
      </c>
      <c r="D474" s="9" t="s">
        <v>65</v>
      </c>
      <c r="E474" s="8"/>
      <c r="F474" s="11">
        <v>510.0</v>
      </c>
    </row>
    <row r="475">
      <c r="A475" s="5">
        <v>474.0</v>
      </c>
      <c r="B475" s="5" t="s">
        <v>77</v>
      </c>
      <c r="C475" s="12" t="s">
        <v>115</v>
      </c>
      <c r="D475" s="9" t="s">
        <v>67</v>
      </c>
      <c r="E475" s="8"/>
      <c r="F475" s="11">
        <v>462.0</v>
      </c>
    </row>
    <row r="476">
      <c r="A476" s="5">
        <v>475.0</v>
      </c>
      <c r="B476" s="5" t="s">
        <v>77</v>
      </c>
      <c r="C476" s="12" t="s">
        <v>115</v>
      </c>
      <c r="D476" s="9" t="s">
        <v>71</v>
      </c>
      <c r="E476" s="8"/>
      <c r="F476" s="11">
        <v>407.0</v>
      </c>
    </row>
    <row r="477">
      <c r="A477" s="5">
        <v>476.0</v>
      </c>
      <c r="B477" s="5" t="s">
        <v>77</v>
      </c>
      <c r="C477" s="12" t="s">
        <v>115</v>
      </c>
      <c r="D477" s="9" t="s">
        <v>67</v>
      </c>
      <c r="E477" s="8"/>
      <c r="F477" s="11">
        <v>400.0</v>
      </c>
    </row>
    <row r="478">
      <c r="A478" s="5">
        <v>477.0</v>
      </c>
      <c r="B478" s="5" t="s">
        <v>77</v>
      </c>
      <c r="C478" s="12" t="s">
        <v>115</v>
      </c>
      <c r="D478" s="9" t="s">
        <v>73</v>
      </c>
      <c r="E478" s="8"/>
      <c r="F478" s="11">
        <v>378.0</v>
      </c>
    </row>
    <row r="479">
      <c r="A479" s="5">
        <v>478.0</v>
      </c>
      <c r="B479" s="5" t="s">
        <v>77</v>
      </c>
      <c r="C479" s="12" t="s">
        <v>115</v>
      </c>
      <c r="D479" s="9" t="s">
        <v>70</v>
      </c>
      <c r="E479" s="8"/>
      <c r="F479" s="11">
        <v>381.0</v>
      </c>
    </row>
    <row r="480">
      <c r="A480" s="5">
        <v>479.0</v>
      </c>
      <c r="B480" s="5" t="s">
        <v>77</v>
      </c>
      <c r="C480" s="12" t="s">
        <v>115</v>
      </c>
      <c r="D480" s="9" t="s">
        <v>68</v>
      </c>
      <c r="E480" s="8"/>
      <c r="F480" s="11">
        <v>169.0</v>
      </c>
    </row>
    <row r="481">
      <c r="A481" s="5">
        <v>480.0</v>
      </c>
      <c r="B481" s="5" t="s">
        <v>77</v>
      </c>
      <c r="C481" s="12" t="s">
        <v>115</v>
      </c>
      <c r="D481" s="9" t="s">
        <v>65</v>
      </c>
      <c r="E481" s="8"/>
      <c r="F481" s="11">
        <v>172.0</v>
      </c>
    </row>
    <row r="482">
      <c r="A482" s="5">
        <v>481.0</v>
      </c>
      <c r="B482" s="5" t="s">
        <v>77</v>
      </c>
      <c r="C482" s="12" t="s">
        <v>115</v>
      </c>
      <c r="D482" s="9" t="s">
        <v>70</v>
      </c>
      <c r="E482" s="8"/>
      <c r="F482" s="11">
        <v>176.0</v>
      </c>
    </row>
    <row r="483">
      <c r="A483" s="5">
        <v>482.0</v>
      </c>
      <c r="B483" s="5" t="s">
        <v>84</v>
      </c>
      <c r="C483" s="12" t="s">
        <v>116</v>
      </c>
      <c r="D483" s="9" t="s">
        <v>60</v>
      </c>
      <c r="E483" s="11">
        <v>32720.0</v>
      </c>
      <c r="F483" s="8"/>
    </row>
    <row r="484">
      <c r="A484" s="5">
        <v>483.0</v>
      </c>
      <c r="B484" s="5" t="s">
        <v>84</v>
      </c>
      <c r="C484" s="12" t="s">
        <v>116</v>
      </c>
      <c r="D484" s="9" t="s">
        <v>62</v>
      </c>
      <c r="E484" s="11">
        <v>33574.0</v>
      </c>
      <c r="F484" s="8"/>
    </row>
    <row r="485">
      <c r="A485" s="5">
        <v>484.0</v>
      </c>
      <c r="B485" s="5" t="s">
        <v>84</v>
      </c>
      <c r="C485" s="12" t="s">
        <v>116</v>
      </c>
      <c r="D485" s="9" t="s">
        <v>63</v>
      </c>
      <c r="E485" s="11">
        <v>30920.0</v>
      </c>
      <c r="F485" s="11">
        <v>72258.0</v>
      </c>
    </row>
    <row r="486">
      <c r="A486" s="5">
        <v>485.0</v>
      </c>
      <c r="B486" s="5" t="s">
        <v>84</v>
      </c>
      <c r="C486" s="12" t="s">
        <v>116</v>
      </c>
      <c r="D486" s="9" t="s">
        <v>64</v>
      </c>
      <c r="E486" s="11">
        <v>29484.0</v>
      </c>
      <c r="F486" s="11">
        <v>67267.0</v>
      </c>
    </row>
    <row r="487">
      <c r="A487" s="5">
        <v>486.0</v>
      </c>
      <c r="B487" s="5" t="s">
        <v>84</v>
      </c>
      <c r="C487" s="12" t="s">
        <v>116</v>
      </c>
      <c r="D487" s="9" t="s">
        <v>65</v>
      </c>
      <c r="E487" s="11">
        <v>30310.0</v>
      </c>
      <c r="F487" s="11">
        <v>71224.0</v>
      </c>
    </row>
    <row r="488">
      <c r="A488" s="5">
        <v>487.0</v>
      </c>
      <c r="B488" s="5" t="s">
        <v>84</v>
      </c>
      <c r="C488" s="12" t="s">
        <v>116</v>
      </c>
      <c r="D488" s="9" t="s">
        <v>67</v>
      </c>
      <c r="E488" s="11">
        <v>30565.0</v>
      </c>
      <c r="F488" s="11">
        <v>71154.0</v>
      </c>
    </row>
    <row r="489">
      <c r="A489" s="5">
        <v>488.0</v>
      </c>
      <c r="B489" s="5" t="s">
        <v>84</v>
      </c>
      <c r="C489" s="12" t="s">
        <v>116</v>
      </c>
      <c r="D489" s="9" t="s">
        <v>71</v>
      </c>
      <c r="E489" s="11">
        <v>29507.0</v>
      </c>
      <c r="F489" s="11">
        <v>64393.0</v>
      </c>
    </row>
    <row r="490">
      <c r="A490" s="5">
        <v>489.0</v>
      </c>
      <c r="B490" s="5" t="s">
        <v>84</v>
      </c>
      <c r="C490" s="12" t="s">
        <v>116</v>
      </c>
      <c r="D490" s="9" t="s">
        <v>67</v>
      </c>
      <c r="E490" s="11">
        <v>28352.0</v>
      </c>
      <c r="F490" s="11">
        <v>61730.0</v>
      </c>
    </row>
    <row r="491">
      <c r="A491" s="5">
        <v>490.0</v>
      </c>
      <c r="B491" s="5" t="s">
        <v>84</v>
      </c>
      <c r="C491" s="12" t="s">
        <v>116</v>
      </c>
      <c r="D491" s="9" t="s">
        <v>73</v>
      </c>
      <c r="E491" s="11">
        <v>27514.0</v>
      </c>
      <c r="F491" s="11">
        <v>60047.0</v>
      </c>
    </row>
    <row r="492">
      <c r="A492" s="5">
        <v>491.0</v>
      </c>
      <c r="B492" s="5" t="s">
        <v>84</v>
      </c>
      <c r="C492" s="12" t="s">
        <v>116</v>
      </c>
      <c r="D492" s="9" t="s">
        <v>70</v>
      </c>
      <c r="E492" s="11">
        <v>25833.0</v>
      </c>
      <c r="F492" s="11">
        <v>55078.0</v>
      </c>
    </row>
    <row r="493">
      <c r="A493" s="5">
        <v>492.0</v>
      </c>
      <c r="B493" s="5" t="s">
        <v>84</v>
      </c>
      <c r="C493" s="12" t="s">
        <v>116</v>
      </c>
      <c r="D493" s="9" t="s">
        <v>68</v>
      </c>
      <c r="E493" s="11">
        <v>25568.0</v>
      </c>
      <c r="F493" s="11">
        <v>55361.0</v>
      </c>
    </row>
    <row r="494">
      <c r="A494" s="5">
        <v>493.0</v>
      </c>
      <c r="B494" s="5" t="s">
        <v>84</v>
      </c>
      <c r="C494" s="12" t="s">
        <v>116</v>
      </c>
      <c r="D494" s="9" t="s">
        <v>65</v>
      </c>
      <c r="E494" s="11">
        <v>24697.0</v>
      </c>
      <c r="F494" s="11">
        <v>52757.0</v>
      </c>
    </row>
    <row r="495">
      <c r="A495" s="5">
        <v>494.0</v>
      </c>
      <c r="B495" s="5" t="s">
        <v>84</v>
      </c>
      <c r="C495" s="12" t="s">
        <v>116</v>
      </c>
      <c r="D495" s="9" t="s">
        <v>70</v>
      </c>
      <c r="E495" s="11">
        <v>25174.0</v>
      </c>
      <c r="F495" s="11">
        <v>58694.0</v>
      </c>
    </row>
    <row r="496">
      <c r="A496" s="5">
        <v>495.0</v>
      </c>
      <c r="B496" s="5" t="s">
        <v>61</v>
      </c>
      <c r="C496" s="12" t="s">
        <v>117</v>
      </c>
      <c r="D496" s="9" t="s">
        <v>60</v>
      </c>
      <c r="E496" s="8"/>
      <c r="F496" s="8"/>
    </row>
    <row r="497">
      <c r="A497" s="5">
        <v>496.0</v>
      </c>
      <c r="B497" s="5" t="s">
        <v>61</v>
      </c>
      <c r="C497" s="12" t="s">
        <v>117</v>
      </c>
      <c r="D497" s="9" t="s">
        <v>62</v>
      </c>
      <c r="E497" s="11">
        <v>2727728.0</v>
      </c>
      <c r="F497" s="8"/>
    </row>
    <row r="498">
      <c r="A498" s="5">
        <v>497.0</v>
      </c>
      <c r="B498" s="5" t="s">
        <v>61</v>
      </c>
      <c r="C498" s="12" t="s">
        <v>117</v>
      </c>
      <c r="D498" s="9" t="s">
        <v>63</v>
      </c>
      <c r="E498" s="11">
        <v>2516731.0</v>
      </c>
      <c r="F498" s="11">
        <v>8286892.0</v>
      </c>
    </row>
    <row r="499">
      <c r="A499" s="5">
        <v>498.0</v>
      </c>
      <c r="B499" s="5" t="s">
        <v>61</v>
      </c>
      <c r="C499" s="12" t="s">
        <v>117</v>
      </c>
      <c r="D499" s="9" t="s">
        <v>64</v>
      </c>
      <c r="E499" s="11">
        <v>2286137.0</v>
      </c>
      <c r="F499" s="11">
        <v>7692211.0</v>
      </c>
    </row>
    <row r="500">
      <c r="A500" s="5">
        <v>499.0</v>
      </c>
      <c r="B500" s="5" t="s">
        <v>61</v>
      </c>
      <c r="C500" s="12" t="s">
        <v>117</v>
      </c>
      <c r="D500" s="9" t="s">
        <v>65</v>
      </c>
      <c r="E500" s="11">
        <v>2120814.0</v>
      </c>
      <c r="F500" s="11">
        <v>7035444.0</v>
      </c>
    </row>
    <row r="501">
      <c r="A501" s="5">
        <v>500.0</v>
      </c>
      <c r="B501" s="5" t="s">
        <v>61</v>
      </c>
      <c r="C501" s="12" t="s">
        <v>117</v>
      </c>
      <c r="D501" s="9" t="s">
        <v>67</v>
      </c>
      <c r="E501" s="11">
        <v>2044606.0</v>
      </c>
      <c r="F501" s="11">
        <v>6791805.0</v>
      </c>
    </row>
    <row r="502">
      <c r="A502" s="5">
        <v>501.0</v>
      </c>
      <c r="B502" s="5" t="s">
        <v>61</v>
      </c>
      <c r="C502" s="12" t="s">
        <v>117</v>
      </c>
      <c r="D502" s="9" t="s">
        <v>71</v>
      </c>
      <c r="E502" s="11">
        <v>1938944.0</v>
      </c>
      <c r="F502" s="11">
        <v>6414463.0</v>
      </c>
    </row>
    <row r="503">
      <c r="A503" s="5">
        <v>502.0</v>
      </c>
      <c r="B503" s="5" t="s">
        <v>61</v>
      </c>
      <c r="C503" s="12" t="s">
        <v>117</v>
      </c>
      <c r="D503" s="9" t="s">
        <v>67</v>
      </c>
      <c r="E503" s="11">
        <v>1775677.0</v>
      </c>
      <c r="F503" s="11">
        <v>5790017.0</v>
      </c>
    </row>
    <row r="504">
      <c r="A504" s="5">
        <v>503.0</v>
      </c>
      <c r="B504" s="5" t="s">
        <v>61</v>
      </c>
      <c r="C504" s="12" t="s">
        <v>117</v>
      </c>
      <c r="D504" s="9" t="s">
        <v>73</v>
      </c>
      <c r="E504" s="11">
        <v>1639854.0</v>
      </c>
      <c r="F504" s="11">
        <v>5288166.0</v>
      </c>
    </row>
    <row r="505">
      <c r="A505" s="5">
        <v>504.0</v>
      </c>
      <c r="B505" s="5" t="s">
        <v>61</v>
      </c>
      <c r="C505" s="12" t="s">
        <v>117</v>
      </c>
      <c r="D505" s="9" t="s">
        <v>70</v>
      </c>
      <c r="E505" s="11">
        <v>1427554.0</v>
      </c>
      <c r="F505" s="11">
        <v>4525177.0</v>
      </c>
    </row>
    <row r="506">
      <c r="A506" s="5">
        <v>505.0</v>
      </c>
      <c r="B506" s="5" t="s">
        <v>61</v>
      </c>
      <c r="C506" s="12" t="s">
        <v>117</v>
      </c>
      <c r="D506" s="9" t="s">
        <v>68</v>
      </c>
      <c r="E506" s="11">
        <v>1253831.0</v>
      </c>
      <c r="F506" s="11">
        <v>3694242.0</v>
      </c>
    </row>
    <row r="507">
      <c r="A507" s="5">
        <v>506.0</v>
      </c>
      <c r="B507" s="5" t="s">
        <v>61</v>
      </c>
      <c r="C507" s="12" t="s">
        <v>117</v>
      </c>
      <c r="D507" s="9" t="s">
        <v>65</v>
      </c>
      <c r="E507" s="11">
        <v>1186797.0</v>
      </c>
      <c r="F507" s="11">
        <v>3487566.0</v>
      </c>
    </row>
    <row r="508">
      <c r="A508" s="5">
        <v>507.0</v>
      </c>
      <c r="B508" s="5" t="s">
        <v>61</v>
      </c>
      <c r="C508" s="12" t="s">
        <v>117</v>
      </c>
      <c r="D508" s="9" t="s">
        <v>70</v>
      </c>
      <c r="E508" s="11">
        <v>1161353.0</v>
      </c>
      <c r="F508" s="11">
        <v>3405180.0</v>
      </c>
    </row>
    <row r="509">
      <c r="A509" s="5">
        <v>508.0</v>
      </c>
      <c r="B509" s="5" t="s">
        <v>84</v>
      </c>
      <c r="C509" s="12" t="s">
        <v>118</v>
      </c>
      <c r="D509" s="9" t="s">
        <v>60</v>
      </c>
      <c r="E509" s="8"/>
      <c r="F509" s="8"/>
    </row>
    <row r="510">
      <c r="A510" s="5">
        <v>509.0</v>
      </c>
      <c r="B510" s="5" t="s">
        <v>84</v>
      </c>
      <c r="C510" s="12" t="s">
        <v>118</v>
      </c>
      <c r="D510" s="9" t="s">
        <v>62</v>
      </c>
      <c r="E510" s="11">
        <v>31613.0</v>
      </c>
      <c r="F510" s="8"/>
    </row>
    <row r="511">
      <c r="A511" s="5">
        <v>510.0</v>
      </c>
      <c r="B511" s="5" t="s">
        <v>84</v>
      </c>
      <c r="C511" s="12" t="s">
        <v>118</v>
      </c>
      <c r="D511" s="9" t="s">
        <v>63</v>
      </c>
      <c r="E511" s="11">
        <v>32235.0</v>
      </c>
      <c r="F511" s="11">
        <v>75680.0</v>
      </c>
    </row>
    <row r="512">
      <c r="A512" s="5">
        <v>511.0</v>
      </c>
      <c r="B512" s="5" t="s">
        <v>84</v>
      </c>
      <c r="C512" s="12" t="s">
        <v>118</v>
      </c>
      <c r="D512" s="9" t="s">
        <v>64</v>
      </c>
      <c r="E512" s="11">
        <v>30815.0</v>
      </c>
      <c r="F512" s="11">
        <v>70850.0</v>
      </c>
    </row>
    <row r="513">
      <c r="A513" s="5">
        <v>512.0</v>
      </c>
      <c r="B513" s="5" t="s">
        <v>84</v>
      </c>
      <c r="C513" s="12" t="s">
        <v>118</v>
      </c>
      <c r="D513" s="9" t="s">
        <v>65</v>
      </c>
      <c r="E513" s="11">
        <v>29208.0</v>
      </c>
      <c r="F513" s="11">
        <v>66439.0</v>
      </c>
    </row>
    <row r="514">
      <c r="A514" s="5">
        <v>513.0</v>
      </c>
      <c r="B514" s="5" t="s">
        <v>84</v>
      </c>
      <c r="C514" s="12" t="s">
        <v>118</v>
      </c>
      <c r="D514" s="9" t="s">
        <v>67</v>
      </c>
      <c r="E514" s="11">
        <v>27919.0</v>
      </c>
      <c r="F514" s="11">
        <v>63439.0</v>
      </c>
    </row>
    <row r="515">
      <c r="A515" s="5">
        <v>514.0</v>
      </c>
      <c r="B515" s="5" t="s">
        <v>84</v>
      </c>
      <c r="C515" s="12" t="s">
        <v>118</v>
      </c>
      <c r="D515" s="9" t="s">
        <v>71</v>
      </c>
      <c r="E515" s="11">
        <v>28568.0</v>
      </c>
      <c r="F515" s="11">
        <v>62940.0</v>
      </c>
    </row>
    <row r="516">
      <c r="A516" s="5">
        <v>515.0</v>
      </c>
      <c r="B516" s="5" t="s">
        <v>84</v>
      </c>
      <c r="C516" s="12" t="s">
        <v>118</v>
      </c>
      <c r="D516" s="9" t="s">
        <v>67</v>
      </c>
      <c r="E516" s="11">
        <v>27085.0</v>
      </c>
      <c r="F516" s="11">
        <v>60946.0</v>
      </c>
    </row>
    <row r="517">
      <c r="A517" s="5">
        <v>516.0</v>
      </c>
      <c r="B517" s="5" t="s">
        <v>84</v>
      </c>
      <c r="C517" s="12" t="s">
        <v>118</v>
      </c>
      <c r="D517" s="9" t="s">
        <v>73</v>
      </c>
      <c r="E517" s="11">
        <v>26001.0</v>
      </c>
      <c r="F517" s="11">
        <v>55071.0</v>
      </c>
    </row>
    <row r="518">
      <c r="A518" s="5">
        <v>517.0</v>
      </c>
      <c r="B518" s="5" t="s">
        <v>84</v>
      </c>
      <c r="C518" s="12" t="s">
        <v>118</v>
      </c>
      <c r="D518" s="9" t="s">
        <v>70</v>
      </c>
      <c r="E518" s="11">
        <v>25736.0</v>
      </c>
      <c r="F518" s="11">
        <v>57422.0</v>
      </c>
    </row>
    <row r="519">
      <c r="A519" s="5">
        <v>518.0</v>
      </c>
      <c r="B519" s="5" t="s">
        <v>84</v>
      </c>
      <c r="C519" s="12" t="s">
        <v>118</v>
      </c>
      <c r="D519" s="9" t="s">
        <v>68</v>
      </c>
      <c r="E519" s="11">
        <v>25205.0</v>
      </c>
      <c r="F519" s="11">
        <v>55661.0</v>
      </c>
    </row>
    <row r="520">
      <c r="A520" s="5">
        <v>519.0</v>
      </c>
      <c r="B520" s="5" t="s">
        <v>84</v>
      </c>
      <c r="C520" s="12" t="s">
        <v>118</v>
      </c>
      <c r="D520" s="9" t="s">
        <v>65</v>
      </c>
      <c r="E520" s="11">
        <v>25708.0</v>
      </c>
      <c r="F520" s="11">
        <v>56274.0</v>
      </c>
    </row>
    <row r="521">
      <c r="A521" s="5">
        <v>520.0</v>
      </c>
      <c r="B521" s="5" t="s">
        <v>84</v>
      </c>
      <c r="C521" s="12" t="s">
        <v>118</v>
      </c>
      <c r="D521" s="9" t="s">
        <v>70</v>
      </c>
      <c r="E521" s="11">
        <v>25814.0</v>
      </c>
      <c r="F521" s="11">
        <v>57924.0</v>
      </c>
    </row>
    <row r="522">
      <c r="A522" s="5">
        <v>521.0</v>
      </c>
      <c r="B522" s="5" t="s">
        <v>77</v>
      </c>
      <c r="C522" s="12" t="s">
        <v>119</v>
      </c>
      <c r="D522" s="9" t="s">
        <v>60</v>
      </c>
      <c r="E522" s="8"/>
      <c r="F522" s="8"/>
    </row>
    <row r="523">
      <c r="A523" s="5">
        <v>522.0</v>
      </c>
      <c r="B523" s="5" t="s">
        <v>77</v>
      </c>
      <c r="C523" s="12" t="s">
        <v>119</v>
      </c>
      <c r="D523" s="9" t="s">
        <v>62</v>
      </c>
      <c r="E523" s="8"/>
      <c r="F523" s="8"/>
    </row>
    <row r="524">
      <c r="A524" s="5">
        <v>523.0</v>
      </c>
      <c r="B524" s="5" t="s">
        <v>77</v>
      </c>
      <c r="C524" s="12" t="s">
        <v>119</v>
      </c>
      <c r="D524" s="9" t="s">
        <v>63</v>
      </c>
      <c r="E524" s="8"/>
      <c r="F524" s="11">
        <v>139.0</v>
      </c>
    </row>
    <row r="525">
      <c r="A525" s="5">
        <v>524.0</v>
      </c>
      <c r="B525" s="5" t="s">
        <v>77</v>
      </c>
      <c r="C525" s="12" t="s">
        <v>119</v>
      </c>
      <c r="D525" s="9" t="s">
        <v>64</v>
      </c>
      <c r="E525" s="8"/>
      <c r="F525" s="11">
        <v>125.0</v>
      </c>
    </row>
    <row r="526">
      <c r="A526" s="5">
        <v>525.0</v>
      </c>
      <c r="B526" s="5" t="s">
        <v>77</v>
      </c>
      <c r="C526" s="12" t="s">
        <v>119</v>
      </c>
      <c r="D526" s="9" t="s">
        <v>65</v>
      </c>
      <c r="E526" s="8"/>
      <c r="F526" s="11">
        <v>125.0</v>
      </c>
    </row>
    <row r="527">
      <c r="A527" s="5">
        <v>526.0</v>
      </c>
      <c r="B527" s="5" t="s">
        <v>77</v>
      </c>
      <c r="C527" s="12" t="s">
        <v>119</v>
      </c>
      <c r="D527" s="9" t="s">
        <v>67</v>
      </c>
      <c r="E527" s="11">
        <v>41.0</v>
      </c>
      <c r="F527" s="11">
        <v>121.0</v>
      </c>
    </row>
    <row r="528">
      <c r="A528" s="5">
        <v>527.0</v>
      </c>
      <c r="B528" s="5" t="s">
        <v>77</v>
      </c>
      <c r="C528" s="12" t="s">
        <v>119</v>
      </c>
      <c r="D528" s="9" t="s">
        <v>71</v>
      </c>
      <c r="E528" s="11">
        <v>42.0</v>
      </c>
      <c r="F528" s="11">
        <v>121.0</v>
      </c>
    </row>
    <row r="529">
      <c r="A529" s="5">
        <v>528.0</v>
      </c>
      <c r="B529" s="5" t="s">
        <v>77</v>
      </c>
      <c r="C529" s="12" t="s">
        <v>119</v>
      </c>
      <c r="D529" s="9" t="s">
        <v>67</v>
      </c>
      <c r="E529" s="11">
        <v>37.0</v>
      </c>
      <c r="F529" s="11">
        <v>110.0</v>
      </c>
    </row>
    <row r="530">
      <c r="A530" s="5">
        <v>529.0</v>
      </c>
      <c r="B530" s="5" t="s">
        <v>77</v>
      </c>
      <c r="C530" s="12" t="s">
        <v>119</v>
      </c>
      <c r="D530" s="9" t="s">
        <v>66</v>
      </c>
      <c r="E530" s="11">
        <v>34.0</v>
      </c>
      <c r="F530" s="11">
        <v>103.0</v>
      </c>
    </row>
    <row r="531">
      <c r="A531" s="5">
        <v>530.0</v>
      </c>
      <c r="B531" s="5" t="s">
        <v>77</v>
      </c>
      <c r="C531" s="12" t="s">
        <v>119</v>
      </c>
      <c r="D531" s="9" t="s">
        <v>70</v>
      </c>
      <c r="E531" s="8"/>
      <c r="F531" s="11">
        <v>99.0</v>
      </c>
    </row>
    <row r="532">
      <c r="A532" s="5">
        <v>531.0</v>
      </c>
      <c r="B532" s="5" t="s">
        <v>77</v>
      </c>
      <c r="C532" s="12" t="s">
        <v>119</v>
      </c>
      <c r="D532" s="9" t="s">
        <v>68</v>
      </c>
      <c r="E532" s="8"/>
      <c r="F532" s="11">
        <v>92.0</v>
      </c>
    </row>
    <row r="533">
      <c r="A533" s="5">
        <v>532.0</v>
      </c>
      <c r="B533" s="5" t="s">
        <v>77</v>
      </c>
      <c r="C533" s="12" t="s">
        <v>119</v>
      </c>
      <c r="D533" s="9" t="s">
        <v>65</v>
      </c>
      <c r="E533" s="8"/>
      <c r="F533" s="11">
        <v>88.0</v>
      </c>
    </row>
    <row r="534">
      <c r="A534" s="5">
        <v>533.0</v>
      </c>
      <c r="B534" s="5" t="s">
        <v>77</v>
      </c>
      <c r="C534" s="12" t="s">
        <v>119</v>
      </c>
      <c r="D534" s="9" t="s">
        <v>70</v>
      </c>
      <c r="E534" s="8"/>
      <c r="F534" s="11">
        <v>84.0</v>
      </c>
    </row>
    <row r="535">
      <c r="A535" s="5">
        <v>534.0</v>
      </c>
      <c r="B535" s="5" t="s">
        <v>77</v>
      </c>
      <c r="C535" s="12" t="s">
        <v>120</v>
      </c>
      <c r="D535" s="9" t="s">
        <v>60</v>
      </c>
      <c r="E535" s="8"/>
      <c r="F535" s="8"/>
    </row>
    <row r="536">
      <c r="A536" s="5">
        <v>535.0</v>
      </c>
      <c r="B536" s="5" t="s">
        <v>77</v>
      </c>
      <c r="C536" s="12" t="s">
        <v>120</v>
      </c>
      <c r="D536" s="9" t="s">
        <v>62</v>
      </c>
      <c r="E536" s="11">
        <v>1659.0</v>
      </c>
      <c r="F536" s="8"/>
    </row>
    <row r="537">
      <c r="A537" s="5">
        <v>536.0</v>
      </c>
      <c r="B537" s="5" t="s">
        <v>77</v>
      </c>
      <c r="C537" s="12" t="s">
        <v>120</v>
      </c>
      <c r="D537" s="9" t="s">
        <v>63</v>
      </c>
      <c r="E537" s="11">
        <v>1511.0</v>
      </c>
      <c r="F537" s="11">
        <v>2028.0</v>
      </c>
    </row>
    <row r="538">
      <c r="A538" s="5">
        <v>537.0</v>
      </c>
      <c r="B538" s="5" t="s">
        <v>77</v>
      </c>
      <c r="C538" s="12" t="s">
        <v>120</v>
      </c>
      <c r="D538" s="9" t="s">
        <v>64</v>
      </c>
      <c r="E538" s="11">
        <v>1416.0</v>
      </c>
      <c r="F538" s="11">
        <v>1885.0</v>
      </c>
    </row>
    <row r="539">
      <c r="A539" s="5">
        <v>538.0</v>
      </c>
      <c r="B539" s="5" t="s">
        <v>77</v>
      </c>
      <c r="C539" s="12" t="s">
        <v>120</v>
      </c>
      <c r="D539" s="9" t="s">
        <v>65</v>
      </c>
      <c r="E539" s="11">
        <v>1260.0</v>
      </c>
      <c r="F539" s="11">
        <v>1474.0</v>
      </c>
    </row>
    <row r="540">
      <c r="A540" s="5">
        <v>539.0</v>
      </c>
      <c r="B540" s="5" t="s">
        <v>77</v>
      </c>
      <c r="C540" s="12" t="s">
        <v>120</v>
      </c>
      <c r="D540" s="9" t="s">
        <v>67</v>
      </c>
      <c r="E540" s="11">
        <v>1209.0</v>
      </c>
      <c r="F540" s="11">
        <v>1437.0</v>
      </c>
    </row>
    <row r="541">
      <c r="A541" s="5">
        <v>540.0</v>
      </c>
      <c r="B541" s="5" t="s">
        <v>77</v>
      </c>
      <c r="C541" s="12" t="s">
        <v>120</v>
      </c>
      <c r="D541" s="9" t="s">
        <v>71</v>
      </c>
      <c r="E541" s="11">
        <v>1154.0</v>
      </c>
      <c r="F541" s="11">
        <v>1338.0</v>
      </c>
    </row>
    <row r="542">
      <c r="A542" s="5">
        <v>541.0</v>
      </c>
      <c r="B542" s="5" t="s">
        <v>77</v>
      </c>
      <c r="C542" s="12" t="s">
        <v>120</v>
      </c>
      <c r="D542" s="9" t="s">
        <v>67</v>
      </c>
      <c r="E542" s="11">
        <v>1083.0</v>
      </c>
      <c r="F542" s="11">
        <v>1456.0</v>
      </c>
    </row>
    <row r="543">
      <c r="A543" s="5">
        <v>542.0</v>
      </c>
      <c r="B543" s="5" t="s">
        <v>77</v>
      </c>
      <c r="C543" s="12" t="s">
        <v>120</v>
      </c>
      <c r="D543" s="9" t="s">
        <v>66</v>
      </c>
      <c r="E543" s="11">
        <v>1020.0</v>
      </c>
      <c r="F543" s="11">
        <v>1181.0</v>
      </c>
    </row>
    <row r="544">
      <c r="A544" s="5">
        <v>543.0</v>
      </c>
      <c r="B544" s="5" t="s">
        <v>77</v>
      </c>
      <c r="C544" s="12" t="s">
        <v>120</v>
      </c>
      <c r="D544" s="9" t="s">
        <v>70</v>
      </c>
      <c r="E544" s="11">
        <v>999.0</v>
      </c>
      <c r="F544" s="11">
        <v>1085.0</v>
      </c>
    </row>
    <row r="545">
      <c r="A545" s="5">
        <v>544.0</v>
      </c>
      <c r="B545" s="5" t="s">
        <v>77</v>
      </c>
      <c r="C545" s="12" t="s">
        <v>120</v>
      </c>
      <c r="D545" s="9" t="s">
        <v>68</v>
      </c>
      <c r="E545" s="11">
        <v>869.0</v>
      </c>
      <c r="F545" s="11">
        <v>708.0</v>
      </c>
    </row>
    <row r="546">
      <c r="A546" s="5">
        <v>545.0</v>
      </c>
      <c r="B546" s="5" t="s">
        <v>77</v>
      </c>
      <c r="C546" s="12" t="s">
        <v>120</v>
      </c>
      <c r="D546" s="9" t="s">
        <v>65</v>
      </c>
      <c r="E546" s="11">
        <v>884.0</v>
      </c>
      <c r="F546" s="11">
        <v>862.0</v>
      </c>
    </row>
    <row r="547">
      <c r="A547" s="5">
        <v>546.0</v>
      </c>
      <c r="B547" s="5" t="s">
        <v>77</v>
      </c>
      <c r="C547" s="12" t="s">
        <v>120</v>
      </c>
      <c r="D547" s="9" t="s">
        <v>70</v>
      </c>
      <c r="E547" s="11">
        <v>814.0</v>
      </c>
      <c r="F547" s="11">
        <v>1049.0</v>
      </c>
    </row>
    <row r="548">
      <c r="A548" s="5">
        <v>547.0</v>
      </c>
      <c r="B548" s="5" t="s">
        <v>77</v>
      </c>
      <c r="C548" s="12" t="s">
        <v>121</v>
      </c>
      <c r="D548" s="9" t="s">
        <v>60</v>
      </c>
      <c r="E548" s="8"/>
      <c r="F548" s="8"/>
    </row>
    <row r="549">
      <c r="A549" s="5">
        <v>548.0</v>
      </c>
      <c r="B549" s="5" t="s">
        <v>77</v>
      </c>
      <c r="C549" s="12" t="s">
        <v>121</v>
      </c>
      <c r="D549" s="9" t="s">
        <v>62</v>
      </c>
      <c r="E549" s="11">
        <v>24497.0</v>
      </c>
      <c r="F549" s="8"/>
    </row>
    <row r="550">
      <c r="A550" s="5">
        <v>549.0</v>
      </c>
      <c r="B550" s="5" t="s">
        <v>77</v>
      </c>
      <c r="C550" s="12" t="s">
        <v>121</v>
      </c>
      <c r="D550" s="9" t="s">
        <v>63</v>
      </c>
      <c r="E550" s="11">
        <v>23766.0</v>
      </c>
      <c r="F550" s="11">
        <v>3040.0</v>
      </c>
    </row>
    <row r="551">
      <c r="A551" s="5">
        <v>550.0</v>
      </c>
      <c r="B551" s="5" t="s">
        <v>77</v>
      </c>
      <c r="C551" s="12" t="s">
        <v>121</v>
      </c>
      <c r="D551" s="9" t="s">
        <v>64</v>
      </c>
      <c r="E551" s="11">
        <v>22925.0</v>
      </c>
      <c r="F551" s="11">
        <v>2721.0</v>
      </c>
    </row>
    <row r="552">
      <c r="A552" s="5">
        <v>551.0</v>
      </c>
      <c r="B552" s="5" t="s">
        <v>77</v>
      </c>
      <c r="C552" s="12" t="s">
        <v>121</v>
      </c>
      <c r="D552" s="9" t="s">
        <v>65</v>
      </c>
      <c r="E552" s="11">
        <v>22246.0</v>
      </c>
      <c r="F552" s="11">
        <v>2820.0</v>
      </c>
    </row>
    <row r="553">
      <c r="A553" s="5">
        <v>552.0</v>
      </c>
      <c r="B553" s="5" t="s">
        <v>77</v>
      </c>
      <c r="C553" s="12" t="s">
        <v>121</v>
      </c>
      <c r="D553" s="9" t="s">
        <v>67</v>
      </c>
      <c r="E553" s="11">
        <v>21459.0</v>
      </c>
      <c r="F553" s="11">
        <v>2604.0</v>
      </c>
    </row>
    <row r="554">
      <c r="A554" s="5">
        <v>553.0</v>
      </c>
      <c r="B554" s="5" t="s">
        <v>77</v>
      </c>
      <c r="C554" s="12" t="s">
        <v>121</v>
      </c>
      <c r="D554" s="9" t="s">
        <v>71</v>
      </c>
      <c r="E554" s="11">
        <v>20715.0</v>
      </c>
      <c r="F554" s="11">
        <v>2417.0</v>
      </c>
    </row>
    <row r="555">
      <c r="A555" s="5">
        <v>554.0</v>
      </c>
      <c r="B555" s="5" t="s">
        <v>77</v>
      </c>
      <c r="C555" s="12" t="s">
        <v>121</v>
      </c>
      <c r="D555" s="9" t="s">
        <v>67</v>
      </c>
      <c r="E555" s="11">
        <v>19971.0</v>
      </c>
      <c r="F555" s="11">
        <v>2226.0</v>
      </c>
    </row>
    <row r="556">
      <c r="A556" s="5">
        <v>555.0</v>
      </c>
      <c r="B556" s="5" t="s">
        <v>77</v>
      </c>
      <c r="C556" s="12" t="s">
        <v>121</v>
      </c>
      <c r="D556" s="9" t="s">
        <v>66</v>
      </c>
      <c r="E556" s="11">
        <v>19231.0</v>
      </c>
      <c r="F556" s="11">
        <v>1936.0</v>
      </c>
    </row>
    <row r="557">
      <c r="A557" s="5">
        <v>556.0</v>
      </c>
      <c r="B557" s="5" t="s">
        <v>77</v>
      </c>
      <c r="C557" s="12" t="s">
        <v>121</v>
      </c>
      <c r="D557" s="9" t="s">
        <v>70</v>
      </c>
      <c r="E557" s="11">
        <v>18503.0</v>
      </c>
      <c r="F557" s="11">
        <v>1698.0</v>
      </c>
    </row>
    <row r="558">
      <c r="A558" s="5">
        <v>557.0</v>
      </c>
      <c r="B558" s="5" t="s">
        <v>77</v>
      </c>
      <c r="C558" s="12" t="s">
        <v>121</v>
      </c>
      <c r="D558" s="9" t="s">
        <v>68</v>
      </c>
      <c r="E558" s="11">
        <v>17841.0</v>
      </c>
      <c r="F558" s="11">
        <v>1544.0</v>
      </c>
    </row>
    <row r="559">
      <c r="A559" s="5">
        <v>558.0</v>
      </c>
      <c r="B559" s="5" t="s">
        <v>77</v>
      </c>
      <c r="C559" s="12" t="s">
        <v>121</v>
      </c>
      <c r="D559" s="9" t="s">
        <v>65</v>
      </c>
      <c r="E559" s="11">
        <v>17242.0</v>
      </c>
      <c r="F559" s="11">
        <v>1566.0</v>
      </c>
    </row>
    <row r="560">
      <c r="A560" s="5">
        <v>559.0</v>
      </c>
      <c r="B560" s="5" t="s">
        <v>77</v>
      </c>
      <c r="C560" s="12" t="s">
        <v>121</v>
      </c>
      <c r="D560" s="9" t="s">
        <v>70</v>
      </c>
      <c r="E560" s="11">
        <v>16679.0</v>
      </c>
      <c r="F560" s="11">
        <v>1646.0</v>
      </c>
    </row>
    <row r="561">
      <c r="A561" s="5">
        <v>560.0</v>
      </c>
      <c r="B561" s="5" t="s">
        <v>84</v>
      </c>
      <c r="C561" s="12" t="s">
        <v>122</v>
      </c>
      <c r="D561" s="9" t="s">
        <v>60</v>
      </c>
      <c r="E561" s="8"/>
      <c r="F561" s="8"/>
    </row>
    <row r="562">
      <c r="A562" s="5">
        <v>561.0</v>
      </c>
      <c r="B562" s="5" t="s">
        <v>84</v>
      </c>
      <c r="C562" s="12" t="s">
        <v>122</v>
      </c>
      <c r="D562" s="9" t="s">
        <v>62</v>
      </c>
      <c r="E562" s="11">
        <v>4655.0</v>
      </c>
      <c r="F562" s="8"/>
    </row>
    <row r="563">
      <c r="A563" s="5">
        <v>562.0</v>
      </c>
      <c r="B563" s="5" t="s">
        <v>84</v>
      </c>
      <c r="C563" s="12" t="s">
        <v>122</v>
      </c>
      <c r="D563" s="9" t="s">
        <v>63</v>
      </c>
      <c r="E563" s="11">
        <v>4646.0</v>
      </c>
      <c r="F563" s="11">
        <v>7770.0</v>
      </c>
    </row>
    <row r="564">
      <c r="A564" s="5">
        <v>563.0</v>
      </c>
      <c r="B564" s="5" t="s">
        <v>84</v>
      </c>
      <c r="C564" s="12" t="s">
        <v>122</v>
      </c>
      <c r="D564" s="9" t="s">
        <v>64</v>
      </c>
      <c r="E564" s="11">
        <v>4561.0</v>
      </c>
      <c r="F564" s="11">
        <v>7818.0</v>
      </c>
    </row>
    <row r="565">
      <c r="A565" s="5">
        <v>564.0</v>
      </c>
      <c r="B565" s="5" t="s">
        <v>84</v>
      </c>
      <c r="C565" s="12" t="s">
        <v>122</v>
      </c>
      <c r="D565" s="9" t="s">
        <v>65</v>
      </c>
      <c r="E565" s="11">
        <v>4586.0</v>
      </c>
      <c r="F565" s="11">
        <v>8647.0</v>
      </c>
    </row>
    <row r="566">
      <c r="A566" s="5">
        <v>565.0</v>
      </c>
      <c r="B566" s="5" t="s">
        <v>84</v>
      </c>
      <c r="C566" s="12" t="s">
        <v>122</v>
      </c>
      <c r="D566" s="9" t="s">
        <v>67</v>
      </c>
      <c r="E566" s="11">
        <v>4508.0</v>
      </c>
      <c r="F566" s="11">
        <v>8573.0</v>
      </c>
    </row>
    <row r="567">
      <c r="A567" s="5">
        <v>566.0</v>
      </c>
      <c r="B567" s="5" t="s">
        <v>84</v>
      </c>
      <c r="C567" s="12" t="s">
        <v>122</v>
      </c>
      <c r="D567" s="9" t="s">
        <v>71</v>
      </c>
      <c r="E567" s="11">
        <v>4182.0</v>
      </c>
      <c r="F567" s="11">
        <v>7437.0</v>
      </c>
    </row>
    <row r="568">
      <c r="A568" s="5">
        <v>567.0</v>
      </c>
      <c r="B568" s="5" t="s">
        <v>84</v>
      </c>
      <c r="C568" s="12" t="s">
        <v>122</v>
      </c>
      <c r="D568" s="9" t="s">
        <v>68</v>
      </c>
      <c r="E568" s="11">
        <v>3865.0</v>
      </c>
      <c r="F568" s="11">
        <v>7088.0</v>
      </c>
    </row>
    <row r="569">
      <c r="A569" s="5">
        <v>568.0</v>
      </c>
      <c r="B569" s="5" t="s">
        <v>84</v>
      </c>
      <c r="C569" s="12" t="s">
        <v>122</v>
      </c>
      <c r="D569" s="9" t="s">
        <v>66</v>
      </c>
      <c r="E569" s="11">
        <v>3880.0</v>
      </c>
      <c r="F569" s="11">
        <v>6931.0</v>
      </c>
    </row>
    <row r="570">
      <c r="A570" s="5">
        <v>569.0</v>
      </c>
      <c r="B570" s="5" t="s">
        <v>84</v>
      </c>
      <c r="C570" s="12" t="s">
        <v>122</v>
      </c>
      <c r="D570" s="9" t="s">
        <v>70</v>
      </c>
      <c r="E570" s="11">
        <v>3297.0</v>
      </c>
      <c r="F570" s="11">
        <v>6626.0</v>
      </c>
    </row>
    <row r="571">
      <c r="A571" s="5">
        <v>570.0</v>
      </c>
      <c r="B571" s="5" t="s">
        <v>84</v>
      </c>
      <c r="C571" s="12" t="s">
        <v>122</v>
      </c>
      <c r="D571" s="9" t="s">
        <v>68</v>
      </c>
      <c r="E571" s="11">
        <v>3073.0</v>
      </c>
      <c r="F571" s="11">
        <v>6326.0</v>
      </c>
    </row>
    <row r="572">
      <c r="A572" s="5">
        <v>571.0</v>
      </c>
      <c r="B572" s="5" t="s">
        <v>84</v>
      </c>
      <c r="C572" s="12" t="s">
        <v>122</v>
      </c>
      <c r="D572" s="9" t="s">
        <v>65</v>
      </c>
      <c r="E572" s="11">
        <v>2889.0</v>
      </c>
      <c r="F572" s="11">
        <v>5761.0</v>
      </c>
    </row>
    <row r="573">
      <c r="A573" s="5">
        <v>572.0</v>
      </c>
      <c r="B573" s="5" t="s">
        <v>84</v>
      </c>
      <c r="C573" s="12" t="s">
        <v>122</v>
      </c>
      <c r="D573" s="9" t="s">
        <v>70</v>
      </c>
      <c r="E573" s="11">
        <v>2874.0</v>
      </c>
      <c r="F573" s="11">
        <v>5475.0</v>
      </c>
    </row>
    <row r="574">
      <c r="A574" s="5">
        <v>573.0</v>
      </c>
      <c r="B574" s="5" t="s">
        <v>77</v>
      </c>
      <c r="C574" s="12" t="s">
        <v>123</v>
      </c>
      <c r="D574" s="9" t="s">
        <v>60</v>
      </c>
      <c r="E574" s="8"/>
      <c r="F574" s="8"/>
    </row>
    <row r="575">
      <c r="A575" s="5">
        <v>574.0</v>
      </c>
      <c r="B575" s="5" t="s">
        <v>77</v>
      </c>
      <c r="C575" s="12" t="s">
        <v>123</v>
      </c>
      <c r="D575" s="9" t="s">
        <v>62</v>
      </c>
      <c r="E575" s="11">
        <v>11233.0</v>
      </c>
      <c r="F575" s="8"/>
    </row>
    <row r="576">
      <c r="A576" s="5">
        <v>575.0</v>
      </c>
      <c r="B576" s="5" t="s">
        <v>77</v>
      </c>
      <c r="C576" s="12" t="s">
        <v>123</v>
      </c>
      <c r="D576" s="9" t="s">
        <v>63</v>
      </c>
      <c r="E576" s="11">
        <v>9800.0</v>
      </c>
      <c r="F576" s="11">
        <v>5805.0</v>
      </c>
    </row>
    <row r="577">
      <c r="A577" s="5">
        <v>576.0</v>
      </c>
      <c r="B577" s="5" t="s">
        <v>77</v>
      </c>
      <c r="C577" s="12" t="s">
        <v>123</v>
      </c>
      <c r="D577" s="9" t="s">
        <v>64</v>
      </c>
      <c r="E577" s="11">
        <v>9489.0</v>
      </c>
      <c r="F577" s="11">
        <v>5856.0</v>
      </c>
    </row>
    <row r="578">
      <c r="A578" s="5">
        <v>577.0</v>
      </c>
      <c r="B578" s="5" t="s">
        <v>77</v>
      </c>
      <c r="C578" s="12" t="s">
        <v>123</v>
      </c>
      <c r="D578" s="9" t="s">
        <v>65</v>
      </c>
      <c r="E578" s="11">
        <v>10278.0</v>
      </c>
      <c r="F578" s="11">
        <v>6872.0</v>
      </c>
    </row>
    <row r="579">
      <c r="A579" s="5">
        <v>578.0</v>
      </c>
      <c r="B579" s="5" t="s">
        <v>77</v>
      </c>
      <c r="C579" s="12" t="s">
        <v>123</v>
      </c>
      <c r="D579" s="9" t="s">
        <v>67</v>
      </c>
      <c r="E579" s="11">
        <v>10233.0</v>
      </c>
      <c r="F579" s="11">
        <v>6883.0</v>
      </c>
    </row>
    <row r="580">
      <c r="A580" s="5">
        <v>579.0</v>
      </c>
      <c r="B580" s="5" t="s">
        <v>77</v>
      </c>
      <c r="C580" s="12" t="s">
        <v>123</v>
      </c>
      <c r="D580" s="9" t="s">
        <v>71</v>
      </c>
      <c r="E580" s="11">
        <v>9537.0</v>
      </c>
      <c r="F580" s="11">
        <v>6997.0</v>
      </c>
    </row>
    <row r="581">
      <c r="A581" s="5">
        <v>580.0</v>
      </c>
      <c r="B581" s="5" t="s">
        <v>77</v>
      </c>
      <c r="C581" s="12" t="s">
        <v>123</v>
      </c>
      <c r="D581" s="9" t="s">
        <v>68</v>
      </c>
      <c r="E581" s="11">
        <v>9634.0</v>
      </c>
      <c r="F581" s="11">
        <v>7825.0</v>
      </c>
    </row>
    <row r="582">
      <c r="A582" s="5">
        <v>581.0</v>
      </c>
      <c r="B582" s="5" t="s">
        <v>77</v>
      </c>
      <c r="C582" s="12" t="s">
        <v>123</v>
      </c>
      <c r="D582" s="9" t="s">
        <v>66</v>
      </c>
      <c r="E582" s="11">
        <v>9302.0</v>
      </c>
      <c r="F582" s="11">
        <v>7664.0</v>
      </c>
    </row>
    <row r="583">
      <c r="A583" s="5">
        <v>582.0</v>
      </c>
      <c r="B583" s="5" t="s">
        <v>77</v>
      </c>
      <c r="C583" s="12" t="s">
        <v>123</v>
      </c>
      <c r="D583" s="9" t="s">
        <v>70</v>
      </c>
      <c r="E583" s="11">
        <v>6578.0</v>
      </c>
      <c r="F583" s="11">
        <v>5460.0</v>
      </c>
    </row>
    <row r="584">
      <c r="A584" s="5">
        <v>583.0</v>
      </c>
      <c r="B584" s="5" t="s">
        <v>77</v>
      </c>
      <c r="C584" s="12" t="s">
        <v>123</v>
      </c>
      <c r="D584" s="9" t="s">
        <v>68</v>
      </c>
      <c r="E584" s="11">
        <v>6946.0</v>
      </c>
      <c r="F584" s="11">
        <v>7286.0</v>
      </c>
    </row>
    <row r="585">
      <c r="A585" s="5">
        <v>584.0</v>
      </c>
      <c r="B585" s="5" t="s">
        <v>77</v>
      </c>
      <c r="C585" s="12" t="s">
        <v>123</v>
      </c>
      <c r="D585" s="9" t="s">
        <v>65</v>
      </c>
      <c r="E585" s="11">
        <v>6483.0</v>
      </c>
      <c r="F585" s="11">
        <v>7726.0</v>
      </c>
    </row>
    <row r="586">
      <c r="A586" s="5">
        <v>585.0</v>
      </c>
      <c r="B586" s="5" t="s">
        <v>77</v>
      </c>
      <c r="C586" s="12" t="s">
        <v>123</v>
      </c>
      <c r="D586" s="9" t="s">
        <v>70</v>
      </c>
      <c r="E586" s="11">
        <v>6734.0</v>
      </c>
      <c r="F586" s="11">
        <v>6791.0</v>
      </c>
    </row>
    <row r="587">
      <c r="A587" s="5">
        <v>586.0</v>
      </c>
      <c r="B587" s="5" t="s">
        <v>75</v>
      </c>
      <c r="C587" s="12" t="s">
        <v>124</v>
      </c>
      <c r="D587" s="9" t="s">
        <v>60</v>
      </c>
      <c r="E587" s="8"/>
      <c r="F587" s="8"/>
    </row>
    <row r="588">
      <c r="A588" s="5">
        <v>587.0</v>
      </c>
      <c r="B588" s="5" t="s">
        <v>75</v>
      </c>
      <c r="C588" s="12" t="s">
        <v>124</v>
      </c>
      <c r="D588" s="9" t="s">
        <v>62</v>
      </c>
      <c r="E588" s="11">
        <v>8439.0</v>
      </c>
      <c r="F588" s="8"/>
    </row>
    <row r="589">
      <c r="A589" s="5">
        <v>588.0</v>
      </c>
      <c r="B589" s="5" t="s">
        <v>75</v>
      </c>
      <c r="C589" s="12" t="s">
        <v>124</v>
      </c>
      <c r="D589" s="9" t="s">
        <v>63</v>
      </c>
      <c r="E589" s="11">
        <v>8564.0</v>
      </c>
      <c r="F589" s="11">
        <v>20884.0</v>
      </c>
    </row>
    <row r="590">
      <c r="A590" s="5">
        <v>589.0</v>
      </c>
      <c r="B590" s="5" t="s">
        <v>75</v>
      </c>
      <c r="C590" s="12" t="s">
        <v>124</v>
      </c>
      <c r="D590" s="9" t="s">
        <v>64</v>
      </c>
      <c r="E590" s="11">
        <v>8722.0</v>
      </c>
      <c r="F590" s="11">
        <v>21555.0</v>
      </c>
    </row>
    <row r="591">
      <c r="A591" s="5">
        <v>590.0</v>
      </c>
      <c r="B591" s="5" t="s">
        <v>75</v>
      </c>
      <c r="C591" s="12" t="s">
        <v>124</v>
      </c>
      <c r="D591" s="9" t="s">
        <v>65</v>
      </c>
      <c r="E591" s="11">
        <v>9084.0</v>
      </c>
      <c r="F591" s="11">
        <v>23366.0</v>
      </c>
    </row>
    <row r="592">
      <c r="A592" s="5">
        <v>591.0</v>
      </c>
      <c r="B592" s="5" t="s">
        <v>75</v>
      </c>
      <c r="C592" s="12" t="s">
        <v>124</v>
      </c>
      <c r="D592" s="9" t="s">
        <v>67</v>
      </c>
      <c r="E592" s="11">
        <v>9325.0</v>
      </c>
      <c r="F592" s="11">
        <v>24389.0</v>
      </c>
    </row>
    <row r="593">
      <c r="A593" s="5">
        <v>592.0</v>
      </c>
      <c r="B593" s="5" t="s">
        <v>75</v>
      </c>
      <c r="C593" s="12" t="s">
        <v>124</v>
      </c>
      <c r="D593" s="9" t="s">
        <v>71</v>
      </c>
      <c r="E593" s="11">
        <v>8944.0</v>
      </c>
      <c r="F593" s="11">
        <v>23175.0</v>
      </c>
    </row>
    <row r="594">
      <c r="A594" s="5">
        <v>593.0</v>
      </c>
      <c r="B594" s="5" t="s">
        <v>75</v>
      </c>
      <c r="C594" s="12" t="s">
        <v>124</v>
      </c>
      <c r="D594" s="9" t="s">
        <v>68</v>
      </c>
      <c r="E594" s="11">
        <v>8905.0</v>
      </c>
      <c r="F594" s="11">
        <v>23106.0</v>
      </c>
    </row>
    <row r="595">
      <c r="A595" s="5">
        <v>594.0</v>
      </c>
      <c r="B595" s="5" t="s">
        <v>75</v>
      </c>
      <c r="C595" s="12" t="s">
        <v>124</v>
      </c>
      <c r="D595" s="9" t="s">
        <v>66</v>
      </c>
      <c r="E595" s="11">
        <v>8831.0</v>
      </c>
      <c r="F595" s="11">
        <v>23047.0</v>
      </c>
    </row>
    <row r="596">
      <c r="A596" s="5">
        <v>595.0</v>
      </c>
      <c r="B596" s="5" t="s">
        <v>75</v>
      </c>
      <c r="C596" s="12" t="s">
        <v>124</v>
      </c>
      <c r="D596" s="9" t="s">
        <v>70</v>
      </c>
      <c r="E596" s="11">
        <v>8812.0</v>
      </c>
      <c r="F596" s="11">
        <v>23542.0</v>
      </c>
    </row>
    <row r="597">
      <c r="A597" s="5">
        <v>596.0</v>
      </c>
      <c r="B597" s="5" t="s">
        <v>75</v>
      </c>
      <c r="C597" s="12" t="s">
        <v>124</v>
      </c>
      <c r="D597" s="9" t="s">
        <v>68</v>
      </c>
      <c r="E597" s="11">
        <v>8245.0</v>
      </c>
      <c r="F597" s="11">
        <v>21877.0</v>
      </c>
    </row>
    <row r="598">
      <c r="A598" s="5">
        <v>597.0</v>
      </c>
      <c r="B598" s="5" t="s">
        <v>75</v>
      </c>
      <c r="C598" s="12" t="s">
        <v>124</v>
      </c>
      <c r="D598" s="9" t="s">
        <v>65</v>
      </c>
      <c r="E598" s="11">
        <v>7948.0</v>
      </c>
      <c r="F598" s="11">
        <v>20715.0</v>
      </c>
    </row>
    <row r="599">
      <c r="A599" s="5">
        <v>598.0</v>
      </c>
      <c r="B599" s="5" t="s">
        <v>75</v>
      </c>
      <c r="C599" s="12" t="s">
        <v>124</v>
      </c>
      <c r="D599" s="9" t="s">
        <v>70</v>
      </c>
      <c r="E599" s="11">
        <v>7790.0</v>
      </c>
      <c r="F599" s="11">
        <v>19644.0</v>
      </c>
    </row>
    <row r="600">
      <c r="A600" s="5">
        <v>599.0</v>
      </c>
      <c r="B600" s="5" t="s">
        <v>84</v>
      </c>
      <c r="C600" s="12" t="s">
        <v>125</v>
      </c>
      <c r="D600" s="9" t="s">
        <v>60</v>
      </c>
      <c r="E600" s="8"/>
      <c r="F600" s="8"/>
    </row>
    <row r="601">
      <c r="A601" s="5">
        <v>600.0</v>
      </c>
      <c r="B601" s="5" t="s">
        <v>84</v>
      </c>
      <c r="C601" s="12" t="s">
        <v>125</v>
      </c>
      <c r="D601" s="9" t="s">
        <v>62</v>
      </c>
      <c r="E601" s="11">
        <v>11187.0</v>
      </c>
      <c r="F601" s="8"/>
    </row>
    <row r="602">
      <c r="A602" s="5">
        <v>601.0</v>
      </c>
      <c r="B602" s="5" t="s">
        <v>84</v>
      </c>
      <c r="C602" s="12" t="s">
        <v>125</v>
      </c>
      <c r="D602" s="9" t="s">
        <v>63</v>
      </c>
      <c r="E602" s="11">
        <v>11308.0</v>
      </c>
      <c r="F602" s="11">
        <v>38364.0</v>
      </c>
    </row>
    <row r="603">
      <c r="A603" s="5">
        <v>602.0</v>
      </c>
      <c r="B603" s="5" t="s">
        <v>84</v>
      </c>
      <c r="C603" s="12" t="s">
        <v>125</v>
      </c>
      <c r="D603" s="9" t="s">
        <v>64</v>
      </c>
      <c r="E603" s="11">
        <v>12346.0</v>
      </c>
      <c r="F603" s="11">
        <v>29901.0</v>
      </c>
    </row>
    <row r="604">
      <c r="A604" s="5">
        <v>603.0</v>
      </c>
      <c r="B604" s="5" t="s">
        <v>84</v>
      </c>
      <c r="C604" s="12" t="s">
        <v>125</v>
      </c>
      <c r="D604" s="9" t="s">
        <v>65</v>
      </c>
      <c r="E604" s="11">
        <v>10566.0</v>
      </c>
      <c r="F604" s="11">
        <v>30443.0</v>
      </c>
    </row>
    <row r="605">
      <c r="A605" s="5">
        <v>604.0</v>
      </c>
      <c r="B605" s="5" t="s">
        <v>84</v>
      </c>
      <c r="C605" s="12" t="s">
        <v>125</v>
      </c>
      <c r="D605" s="9" t="s">
        <v>67</v>
      </c>
      <c r="E605" s="11">
        <v>10137.0</v>
      </c>
      <c r="F605" s="11">
        <v>26736.0</v>
      </c>
    </row>
    <row r="606">
      <c r="A606" s="5">
        <v>605.0</v>
      </c>
      <c r="B606" s="5" t="s">
        <v>84</v>
      </c>
      <c r="C606" s="12" t="s">
        <v>125</v>
      </c>
      <c r="D606" s="9" t="s">
        <v>71</v>
      </c>
      <c r="E606" s="11">
        <v>10847.0</v>
      </c>
      <c r="F606" s="11">
        <v>27407.0</v>
      </c>
    </row>
    <row r="607">
      <c r="A607" s="5">
        <v>606.0</v>
      </c>
      <c r="B607" s="5" t="s">
        <v>84</v>
      </c>
      <c r="C607" s="12" t="s">
        <v>125</v>
      </c>
      <c r="D607" s="9" t="s">
        <v>68</v>
      </c>
      <c r="E607" s="11">
        <v>10758.0</v>
      </c>
      <c r="F607" s="11">
        <v>26006.0</v>
      </c>
    </row>
    <row r="608">
      <c r="A608" s="5">
        <v>607.0</v>
      </c>
      <c r="B608" s="5" t="s">
        <v>84</v>
      </c>
      <c r="C608" s="12" t="s">
        <v>125</v>
      </c>
      <c r="D608" s="9" t="s">
        <v>66</v>
      </c>
      <c r="E608" s="11">
        <v>11312.0</v>
      </c>
      <c r="F608" s="11">
        <v>25005.0</v>
      </c>
    </row>
    <row r="609">
      <c r="A609" s="5">
        <v>608.0</v>
      </c>
      <c r="B609" s="5" t="s">
        <v>84</v>
      </c>
      <c r="C609" s="12" t="s">
        <v>125</v>
      </c>
      <c r="D609" s="9" t="s">
        <v>70</v>
      </c>
      <c r="E609" s="11">
        <v>11662.0</v>
      </c>
      <c r="F609" s="11">
        <v>25486.0</v>
      </c>
    </row>
    <row r="610">
      <c r="A610" s="5">
        <v>609.0</v>
      </c>
      <c r="B610" s="5" t="s">
        <v>84</v>
      </c>
      <c r="C610" s="12" t="s">
        <v>125</v>
      </c>
      <c r="D610" s="9" t="s">
        <v>68</v>
      </c>
      <c r="E610" s="11">
        <v>11729.0</v>
      </c>
      <c r="F610" s="11">
        <v>26091.0</v>
      </c>
    </row>
    <row r="611">
      <c r="A611" s="5">
        <v>610.0</v>
      </c>
      <c r="B611" s="5" t="s">
        <v>84</v>
      </c>
      <c r="C611" s="12" t="s">
        <v>125</v>
      </c>
      <c r="D611" s="9" t="s">
        <v>65</v>
      </c>
      <c r="E611" s="11">
        <v>12588.0</v>
      </c>
      <c r="F611" s="11">
        <v>25453.0</v>
      </c>
    </row>
    <row r="612">
      <c r="A612" s="5">
        <v>611.0</v>
      </c>
      <c r="B612" s="5" t="s">
        <v>84</v>
      </c>
      <c r="C612" s="12" t="s">
        <v>125</v>
      </c>
      <c r="D612" s="9" t="s">
        <v>70</v>
      </c>
      <c r="E612" s="11">
        <v>12859.0</v>
      </c>
      <c r="F612" s="11">
        <v>26039.0</v>
      </c>
    </row>
    <row r="613">
      <c r="A613" s="5">
        <v>612.0</v>
      </c>
      <c r="B613" s="5" t="s">
        <v>84</v>
      </c>
      <c r="C613" s="12" t="s">
        <v>126</v>
      </c>
      <c r="D613" s="9" t="s">
        <v>60</v>
      </c>
      <c r="E613" s="8"/>
      <c r="F613" s="8"/>
    </row>
    <row r="614">
      <c r="A614" s="5">
        <v>613.0</v>
      </c>
      <c r="B614" s="5" t="s">
        <v>84</v>
      </c>
      <c r="C614" s="12" t="s">
        <v>126</v>
      </c>
      <c r="D614" s="9" t="s">
        <v>62</v>
      </c>
      <c r="E614" s="8"/>
      <c r="F614" s="8"/>
    </row>
    <row r="615">
      <c r="A615" s="5">
        <v>614.0</v>
      </c>
      <c r="B615" s="5" t="s">
        <v>84</v>
      </c>
      <c r="C615" s="12" t="s">
        <v>126</v>
      </c>
      <c r="D615" s="9" t="s">
        <v>63</v>
      </c>
      <c r="E615" s="8"/>
      <c r="F615" s="8"/>
    </row>
    <row r="616">
      <c r="A616" s="5">
        <v>615.0</v>
      </c>
      <c r="B616" s="5" t="s">
        <v>84</v>
      </c>
      <c r="C616" s="12" t="s">
        <v>126</v>
      </c>
      <c r="D616" s="9" t="s">
        <v>64</v>
      </c>
      <c r="E616" s="8"/>
      <c r="F616" s="8"/>
    </row>
    <row r="617">
      <c r="A617" s="5">
        <v>616.0</v>
      </c>
      <c r="B617" s="5" t="s">
        <v>84</v>
      </c>
      <c r="C617" s="12" t="s">
        <v>126</v>
      </c>
      <c r="D617" s="9" t="s">
        <v>65</v>
      </c>
      <c r="E617" s="8"/>
      <c r="F617" s="8"/>
    </row>
    <row r="618">
      <c r="A618" s="5">
        <v>617.0</v>
      </c>
      <c r="B618" s="5" t="s">
        <v>84</v>
      </c>
      <c r="C618" s="12" t="s">
        <v>126</v>
      </c>
      <c r="D618" s="9" t="s">
        <v>67</v>
      </c>
      <c r="E618" s="8"/>
      <c r="F618" s="8"/>
    </row>
    <row r="619">
      <c r="A619" s="5">
        <v>618.0</v>
      </c>
      <c r="B619" s="5" t="s">
        <v>84</v>
      </c>
      <c r="C619" s="12" t="s">
        <v>126</v>
      </c>
      <c r="D619" s="9" t="s">
        <v>71</v>
      </c>
      <c r="E619" s="8"/>
      <c r="F619" s="8"/>
    </row>
    <row r="620">
      <c r="A620" s="5">
        <v>619.0</v>
      </c>
      <c r="B620" s="5" t="s">
        <v>84</v>
      </c>
      <c r="C620" s="12" t="s">
        <v>126</v>
      </c>
      <c r="D620" s="9" t="s">
        <v>68</v>
      </c>
      <c r="E620" s="8"/>
      <c r="F620" s="8"/>
    </row>
    <row r="621">
      <c r="A621" s="5">
        <v>620.0</v>
      </c>
      <c r="B621" s="5" t="s">
        <v>84</v>
      </c>
      <c r="C621" s="12" t="s">
        <v>126</v>
      </c>
      <c r="D621" s="9" t="s">
        <v>66</v>
      </c>
      <c r="E621" s="8"/>
      <c r="F621" s="8"/>
    </row>
    <row r="622">
      <c r="A622" s="5">
        <v>621.0</v>
      </c>
      <c r="B622" s="5" t="s">
        <v>84</v>
      </c>
      <c r="C622" s="12" t="s">
        <v>126</v>
      </c>
      <c r="D622" s="9" t="s">
        <v>70</v>
      </c>
      <c r="E622" s="8"/>
      <c r="F622" s="8"/>
    </row>
    <row r="623">
      <c r="A623" s="5">
        <v>622.0</v>
      </c>
      <c r="B623" s="5" t="s">
        <v>84</v>
      </c>
      <c r="C623" s="12" t="s">
        <v>126</v>
      </c>
      <c r="D623" s="9" t="s">
        <v>68</v>
      </c>
      <c r="E623" s="8"/>
      <c r="F623" s="8"/>
    </row>
    <row r="624">
      <c r="A624" s="5">
        <v>623.0</v>
      </c>
      <c r="B624" s="5" t="s">
        <v>84</v>
      </c>
      <c r="C624" s="12" t="s">
        <v>126</v>
      </c>
      <c r="D624" s="9" t="s">
        <v>65</v>
      </c>
      <c r="E624" s="8"/>
      <c r="F624" s="8"/>
    </row>
    <row r="625">
      <c r="A625" s="5">
        <v>624.0</v>
      </c>
      <c r="B625" s="5" t="s">
        <v>84</v>
      </c>
      <c r="C625" s="12" t="s">
        <v>126</v>
      </c>
      <c r="D625" s="9" t="s">
        <v>70</v>
      </c>
      <c r="E625" s="8"/>
      <c r="F625" s="8"/>
    </row>
    <row r="626">
      <c r="A626" s="5">
        <v>625.0</v>
      </c>
      <c r="B626" s="5" t="s">
        <v>75</v>
      </c>
      <c r="C626" s="12" t="s">
        <v>127</v>
      </c>
      <c r="D626" s="9" t="s">
        <v>60</v>
      </c>
      <c r="E626" s="8"/>
      <c r="F626" s="8"/>
    </row>
    <row r="627">
      <c r="A627" s="5">
        <v>626.0</v>
      </c>
      <c r="B627" s="5" t="s">
        <v>75</v>
      </c>
      <c r="C627" s="12" t="s">
        <v>127</v>
      </c>
      <c r="D627" s="9" t="s">
        <v>62</v>
      </c>
      <c r="E627" s="11">
        <v>2368.0</v>
      </c>
      <c r="F627" s="8"/>
    </row>
    <row r="628">
      <c r="A628" s="5">
        <v>627.0</v>
      </c>
      <c r="B628" s="5" t="s">
        <v>75</v>
      </c>
      <c r="C628" s="12" t="s">
        <v>127</v>
      </c>
      <c r="D628" s="9" t="s">
        <v>63</v>
      </c>
      <c r="E628" s="11">
        <v>2443.0</v>
      </c>
      <c r="F628" s="11">
        <v>7708.0</v>
      </c>
    </row>
    <row r="629">
      <c r="A629" s="5">
        <v>628.0</v>
      </c>
      <c r="B629" s="5" t="s">
        <v>75</v>
      </c>
      <c r="C629" s="12" t="s">
        <v>127</v>
      </c>
      <c r="D629" s="9" t="s">
        <v>64</v>
      </c>
      <c r="E629" s="11">
        <v>2525.0</v>
      </c>
      <c r="F629" s="11">
        <v>8141.0</v>
      </c>
    </row>
    <row r="630">
      <c r="A630" s="5">
        <v>629.0</v>
      </c>
      <c r="B630" s="5" t="s">
        <v>75</v>
      </c>
      <c r="C630" s="12" t="s">
        <v>127</v>
      </c>
      <c r="D630" s="9" t="s">
        <v>65</v>
      </c>
      <c r="E630" s="11">
        <v>2574.0</v>
      </c>
      <c r="F630" s="11">
        <v>8555.0</v>
      </c>
    </row>
    <row r="631">
      <c r="A631" s="5">
        <v>630.0</v>
      </c>
      <c r="B631" s="5" t="s">
        <v>75</v>
      </c>
      <c r="C631" s="12" t="s">
        <v>127</v>
      </c>
      <c r="D631" s="9" t="s">
        <v>67</v>
      </c>
      <c r="E631" s="11">
        <v>2437.0</v>
      </c>
      <c r="F631" s="11">
        <v>8196.0</v>
      </c>
    </row>
    <row r="632">
      <c r="A632" s="5">
        <v>631.0</v>
      </c>
      <c r="B632" s="5" t="s">
        <v>75</v>
      </c>
      <c r="C632" s="12" t="s">
        <v>127</v>
      </c>
      <c r="D632" s="9" t="s">
        <v>71</v>
      </c>
      <c r="E632" s="11">
        <v>2308.0</v>
      </c>
      <c r="F632" s="11">
        <v>7789.0</v>
      </c>
    </row>
    <row r="633">
      <c r="A633" s="5">
        <v>632.0</v>
      </c>
      <c r="B633" s="5" t="s">
        <v>75</v>
      </c>
      <c r="C633" s="12" t="s">
        <v>127</v>
      </c>
      <c r="D633" s="9" t="s">
        <v>68</v>
      </c>
      <c r="E633" s="11">
        <v>2219.0</v>
      </c>
      <c r="F633" s="11">
        <v>7503.0</v>
      </c>
    </row>
    <row r="634">
      <c r="A634" s="5">
        <v>633.0</v>
      </c>
      <c r="B634" s="5" t="s">
        <v>75</v>
      </c>
      <c r="C634" s="12" t="s">
        <v>127</v>
      </c>
      <c r="D634" s="9" t="s">
        <v>66</v>
      </c>
      <c r="E634" s="11">
        <v>2184.0</v>
      </c>
      <c r="F634" s="11">
        <v>7334.0</v>
      </c>
    </row>
    <row r="635">
      <c r="A635" s="5">
        <v>634.0</v>
      </c>
      <c r="B635" s="5" t="s">
        <v>75</v>
      </c>
      <c r="C635" s="12" t="s">
        <v>127</v>
      </c>
      <c r="D635" s="9" t="s">
        <v>70</v>
      </c>
      <c r="E635" s="11">
        <v>2332.0</v>
      </c>
      <c r="F635" s="11">
        <v>7748.0</v>
      </c>
    </row>
    <row r="636">
      <c r="A636" s="5">
        <v>635.0</v>
      </c>
      <c r="B636" s="5" t="s">
        <v>75</v>
      </c>
      <c r="C636" s="12" t="s">
        <v>127</v>
      </c>
      <c r="D636" s="9" t="s">
        <v>68</v>
      </c>
      <c r="E636" s="11">
        <v>2143.0</v>
      </c>
      <c r="F636" s="11">
        <v>7022.0</v>
      </c>
    </row>
    <row r="637">
      <c r="A637" s="5">
        <v>636.0</v>
      </c>
      <c r="B637" s="5" t="s">
        <v>75</v>
      </c>
      <c r="C637" s="12" t="s">
        <v>127</v>
      </c>
      <c r="D637" s="9" t="s">
        <v>65</v>
      </c>
      <c r="E637" s="11">
        <v>2114.0</v>
      </c>
      <c r="F637" s="11">
        <v>6846.0</v>
      </c>
    </row>
    <row r="638">
      <c r="A638" s="5">
        <v>637.0</v>
      </c>
      <c r="B638" s="5" t="s">
        <v>75</v>
      </c>
      <c r="C638" s="12" t="s">
        <v>127</v>
      </c>
      <c r="D638" s="9" t="s">
        <v>70</v>
      </c>
      <c r="E638" s="11">
        <v>2137.0</v>
      </c>
      <c r="F638" s="11">
        <v>6850.0</v>
      </c>
    </row>
    <row r="639">
      <c r="A639" s="5">
        <v>638.0</v>
      </c>
      <c r="B639" s="5" t="s">
        <v>75</v>
      </c>
      <c r="C639" s="12" t="s">
        <v>128</v>
      </c>
      <c r="D639" s="9" t="s">
        <v>60</v>
      </c>
      <c r="E639" s="11">
        <v>42823.0</v>
      </c>
      <c r="F639" s="8"/>
    </row>
    <row r="640">
      <c r="A640" s="5">
        <v>639.0</v>
      </c>
      <c r="B640" s="5" t="s">
        <v>75</v>
      </c>
      <c r="C640" s="12" t="s">
        <v>128</v>
      </c>
      <c r="D640" s="9" t="s">
        <v>62</v>
      </c>
      <c r="E640" s="11">
        <v>43429.0</v>
      </c>
      <c r="F640" s="8"/>
    </row>
    <row r="641">
      <c r="A641" s="5">
        <v>640.0</v>
      </c>
      <c r="B641" s="5" t="s">
        <v>75</v>
      </c>
      <c r="C641" s="12" t="s">
        <v>128</v>
      </c>
      <c r="D641" s="9" t="s">
        <v>63</v>
      </c>
      <c r="E641" s="11">
        <v>44043.0</v>
      </c>
      <c r="F641" s="11">
        <v>111752.0</v>
      </c>
    </row>
    <row r="642">
      <c r="A642" s="5">
        <v>641.0</v>
      </c>
      <c r="B642" s="5" t="s">
        <v>75</v>
      </c>
      <c r="C642" s="12" t="s">
        <v>128</v>
      </c>
      <c r="D642" s="9" t="s">
        <v>64</v>
      </c>
      <c r="E642" s="11">
        <v>42044.0</v>
      </c>
      <c r="F642" s="11">
        <v>108121.0</v>
      </c>
    </row>
    <row r="643">
      <c r="A643" s="5">
        <v>642.0</v>
      </c>
      <c r="B643" s="5" t="s">
        <v>75</v>
      </c>
      <c r="C643" s="12" t="s">
        <v>128</v>
      </c>
      <c r="D643" s="9" t="s">
        <v>65</v>
      </c>
      <c r="E643" s="11">
        <v>44870.0</v>
      </c>
      <c r="F643" s="11">
        <v>117014.0</v>
      </c>
    </row>
    <row r="644">
      <c r="A644" s="5">
        <v>643.0</v>
      </c>
      <c r="B644" s="5" t="s">
        <v>75</v>
      </c>
      <c r="C644" s="12" t="s">
        <v>128</v>
      </c>
      <c r="D644" s="9" t="s">
        <v>67</v>
      </c>
      <c r="E644" s="11">
        <v>45845.0</v>
      </c>
      <c r="F644" s="11">
        <v>123948.0</v>
      </c>
    </row>
    <row r="645">
      <c r="A645" s="5">
        <v>644.0</v>
      </c>
      <c r="B645" s="5" t="s">
        <v>75</v>
      </c>
      <c r="C645" s="12" t="s">
        <v>128</v>
      </c>
      <c r="D645" s="9" t="s">
        <v>71</v>
      </c>
      <c r="E645" s="11">
        <v>45904.0</v>
      </c>
      <c r="F645" s="11">
        <v>122764.0</v>
      </c>
    </row>
    <row r="646">
      <c r="A646" s="5">
        <v>645.0</v>
      </c>
      <c r="B646" s="5" t="s">
        <v>75</v>
      </c>
      <c r="C646" s="12" t="s">
        <v>128</v>
      </c>
      <c r="D646" s="9" t="s">
        <v>68</v>
      </c>
      <c r="E646" s="11">
        <v>44941.0</v>
      </c>
      <c r="F646" s="11">
        <v>120736.0</v>
      </c>
    </row>
    <row r="647">
      <c r="A647" s="5">
        <v>646.0</v>
      </c>
      <c r="B647" s="5" t="s">
        <v>75</v>
      </c>
      <c r="C647" s="12" t="s">
        <v>128</v>
      </c>
      <c r="D647" s="9" t="s">
        <v>66</v>
      </c>
      <c r="E647" s="11">
        <v>45511.0</v>
      </c>
      <c r="F647" s="11">
        <v>122709.0</v>
      </c>
    </row>
    <row r="648">
      <c r="A648" s="5">
        <v>647.0</v>
      </c>
      <c r="B648" s="5" t="s">
        <v>75</v>
      </c>
      <c r="C648" s="12" t="s">
        <v>128</v>
      </c>
      <c r="D648" s="9" t="s">
        <v>70</v>
      </c>
      <c r="E648" s="11">
        <v>44415.0</v>
      </c>
      <c r="F648" s="11">
        <v>122379.0</v>
      </c>
    </row>
    <row r="649">
      <c r="A649" s="5">
        <v>648.0</v>
      </c>
      <c r="B649" s="5" t="s">
        <v>75</v>
      </c>
      <c r="C649" s="12" t="s">
        <v>128</v>
      </c>
      <c r="D649" s="9" t="s">
        <v>69</v>
      </c>
      <c r="E649" s="11">
        <v>42535.0</v>
      </c>
      <c r="F649" s="11">
        <v>120193.0</v>
      </c>
    </row>
    <row r="650">
      <c r="A650" s="5">
        <v>649.0</v>
      </c>
      <c r="B650" s="5" t="s">
        <v>75</v>
      </c>
      <c r="C650" s="12" t="s">
        <v>128</v>
      </c>
      <c r="D650" s="9" t="s">
        <v>65</v>
      </c>
      <c r="E650" s="11">
        <v>42078.0</v>
      </c>
      <c r="F650" s="11">
        <v>124407.0</v>
      </c>
    </row>
    <row r="651">
      <c r="A651" s="5">
        <v>650.0</v>
      </c>
      <c r="B651" s="5" t="s">
        <v>75</v>
      </c>
      <c r="C651" s="12" t="s">
        <v>128</v>
      </c>
      <c r="D651" s="9" t="s">
        <v>70</v>
      </c>
      <c r="E651" s="11">
        <v>40993.0</v>
      </c>
      <c r="F651" s="11">
        <v>124649.0</v>
      </c>
    </row>
    <row r="652">
      <c r="A652" s="5">
        <v>651.0</v>
      </c>
      <c r="B652" s="5" t="s">
        <v>75</v>
      </c>
      <c r="C652" s="12" t="s">
        <v>129</v>
      </c>
      <c r="D652" s="9" t="s">
        <v>60</v>
      </c>
      <c r="E652" s="11">
        <v>17041.0</v>
      </c>
      <c r="F652" s="8"/>
    </row>
    <row r="653">
      <c r="A653" s="5">
        <v>652.0</v>
      </c>
      <c r="B653" s="5" t="s">
        <v>75</v>
      </c>
      <c r="C653" s="12" t="s">
        <v>129</v>
      </c>
      <c r="D653" s="9" t="s">
        <v>62</v>
      </c>
      <c r="E653" s="11">
        <v>17997.0</v>
      </c>
      <c r="F653" s="8"/>
    </row>
    <row r="654">
      <c r="A654" s="5">
        <v>653.0</v>
      </c>
      <c r="B654" s="5" t="s">
        <v>75</v>
      </c>
      <c r="C654" s="12" t="s">
        <v>129</v>
      </c>
      <c r="D654" s="9" t="s">
        <v>63</v>
      </c>
      <c r="E654" s="11">
        <v>19307.0</v>
      </c>
      <c r="F654" s="11">
        <v>46303.0</v>
      </c>
    </row>
    <row r="655">
      <c r="A655" s="5">
        <v>654.0</v>
      </c>
      <c r="B655" s="5" t="s">
        <v>75</v>
      </c>
      <c r="C655" s="12" t="s">
        <v>129</v>
      </c>
      <c r="D655" s="9" t="s">
        <v>64</v>
      </c>
      <c r="E655" s="11">
        <v>18358.0</v>
      </c>
      <c r="F655" s="11">
        <v>44503.0</v>
      </c>
    </row>
    <row r="656">
      <c r="A656" s="5">
        <v>655.0</v>
      </c>
      <c r="B656" s="5" t="s">
        <v>75</v>
      </c>
      <c r="C656" s="12" t="s">
        <v>129</v>
      </c>
      <c r="D656" s="9" t="s">
        <v>65</v>
      </c>
      <c r="E656" s="11">
        <v>19200.0</v>
      </c>
      <c r="F656" s="11">
        <v>46960.0</v>
      </c>
    </row>
    <row r="657">
      <c r="A657" s="5">
        <v>656.0</v>
      </c>
      <c r="B657" s="5" t="s">
        <v>75</v>
      </c>
      <c r="C657" s="12" t="s">
        <v>129</v>
      </c>
      <c r="D657" s="9" t="s">
        <v>67</v>
      </c>
      <c r="E657" s="11">
        <v>19763.0</v>
      </c>
      <c r="F657" s="11">
        <v>50253.0</v>
      </c>
    </row>
    <row r="658">
      <c r="A658" s="5">
        <v>657.0</v>
      </c>
      <c r="B658" s="5" t="s">
        <v>75</v>
      </c>
      <c r="C658" s="12" t="s">
        <v>129</v>
      </c>
      <c r="D658" s="9" t="s">
        <v>71</v>
      </c>
      <c r="E658" s="11">
        <v>20252.0</v>
      </c>
      <c r="F658" s="11">
        <v>55005.0</v>
      </c>
    </row>
    <row r="659">
      <c r="A659" s="5">
        <v>658.0</v>
      </c>
      <c r="B659" s="5" t="s">
        <v>75</v>
      </c>
      <c r="C659" s="12" t="s">
        <v>129</v>
      </c>
      <c r="D659" s="9" t="s">
        <v>68</v>
      </c>
      <c r="E659" s="11">
        <v>18888.0</v>
      </c>
      <c r="F659" s="11">
        <v>47099.0</v>
      </c>
    </row>
    <row r="660">
      <c r="A660" s="5">
        <v>659.0</v>
      </c>
      <c r="B660" s="5" t="s">
        <v>75</v>
      </c>
      <c r="C660" s="12" t="s">
        <v>129</v>
      </c>
      <c r="D660" s="9" t="s">
        <v>66</v>
      </c>
      <c r="E660" s="11">
        <v>19428.0</v>
      </c>
      <c r="F660" s="11">
        <v>50597.0</v>
      </c>
    </row>
    <row r="661">
      <c r="A661" s="5">
        <v>660.0</v>
      </c>
      <c r="B661" s="5" t="s">
        <v>75</v>
      </c>
      <c r="C661" s="12" t="s">
        <v>129</v>
      </c>
      <c r="D661" s="9" t="s">
        <v>70</v>
      </c>
      <c r="E661" s="11">
        <v>20087.0</v>
      </c>
      <c r="F661" s="11">
        <v>55735.0</v>
      </c>
    </row>
    <row r="662">
      <c r="A662" s="5">
        <v>661.0</v>
      </c>
      <c r="B662" s="5" t="s">
        <v>75</v>
      </c>
      <c r="C662" s="12" t="s">
        <v>129</v>
      </c>
      <c r="D662" s="9" t="s">
        <v>69</v>
      </c>
      <c r="E662" s="11">
        <v>19004.0</v>
      </c>
      <c r="F662" s="11">
        <v>49266.0</v>
      </c>
    </row>
    <row r="663">
      <c r="A663" s="5">
        <v>662.0</v>
      </c>
      <c r="B663" s="5" t="s">
        <v>75</v>
      </c>
      <c r="C663" s="12" t="s">
        <v>129</v>
      </c>
      <c r="D663" s="9" t="s">
        <v>65</v>
      </c>
      <c r="E663" s="11">
        <v>19203.0</v>
      </c>
      <c r="F663" s="11">
        <v>49035.0</v>
      </c>
    </row>
    <row r="664">
      <c r="A664" s="5">
        <v>663.0</v>
      </c>
      <c r="B664" s="5" t="s">
        <v>75</v>
      </c>
      <c r="C664" s="12" t="s">
        <v>129</v>
      </c>
      <c r="D664" s="9" t="s">
        <v>70</v>
      </c>
      <c r="E664" s="11">
        <v>18634.0</v>
      </c>
      <c r="F664" s="11">
        <v>47260.0</v>
      </c>
    </row>
    <row r="665">
      <c r="A665" s="5">
        <v>664.0</v>
      </c>
      <c r="B665" s="5" t="s">
        <v>77</v>
      </c>
      <c r="C665" s="12" t="s">
        <v>130</v>
      </c>
      <c r="D665" s="9" t="s">
        <v>60</v>
      </c>
      <c r="E665" s="8"/>
      <c r="F665" s="8"/>
    </row>
    <row r="666">
      <c r="A666" s="5">
        <v>665.0</v>
      </c>
      <c r="B666" s="5" t="s">
        <v>77</v>
      </c>
      <c r="C666" s="12" t="s">
        <v>130</v>
      </c>
      <c r="D666" s="9" t="s">
        <v>62</v>
      </c>
      <c r="E666" s="8"/>
      <c r="F666" s="8"/>
    </row>
    <row r="667">
      <c r="A667" s="5">
        <v>666.0</v>
      </c>
      <c r="B667" s="5" t="s">
        <v>77</v>
      </c>
      <c r="C667" s="12" t="s">
        <v>130</v>
      </c>
      <c r="D667" s="9" t="s">
        <v>63</v>
      </c>
      <c r="E667" s="8"/>
      <c r="F667" s="11">
        <v>539.0</v>
      </c>
    </row>
    <row r="668">
      <c r="A668" s="5">
        <v>667.0</v>
      </c>
      <c r="B668" s="5" t="s">
        <v>77</v>
      </c>
      <c r="C668" s="12" t="s">
        <v>130</v>
      </c>
      <c r="D668" s="9" t="s">
        <v>64</v>
      </c>
      <c r="E668" s="8"/>
      <c r="F668" s="11">
        <v>532.0</v>
      </c>
    </row>
    <row r="669">
      <c r="A669" s="5">
        <v>668.0</v>
      </c>
      <c r="B669" s="5" t="s">
        <v>77</v>
      </c>
      <c r="C669" s="12" t="s">
        <v>130</v>
      </c>
      <c r="D669" s="9" t="s">
        <v>65</v>
      </c>
      <c r="E669" s="8"/>
      <c r="F669" s="11">
        <v>524.0</v>
      </c>
    </row>
    <row r="670">
      <c r="A670" s="5">
        <v>669.0</v>
      </c>
      <c r="B670" s="5" t="s">
        <v>77</v>
      </c>
      <c r="C670" s="12" t="s">
        <v>130</v>
      </c>
      <c r="D670" s="9" t="s">
        <v>67</v>
      </c>
      <c r="E670" s="11">
        <v>143.0</v>
      </c>
      <c r="F670" s="11">
        <v>488.0</v>
      </c>
    </row>
    <row r="671">
      <c r="A671" s="5">
        <v>670.0</v>
      </c>
      <c r="B671" s="5" t="s">
        <v>77</v>
      </c>
      <c r="C671" s="12" t="s">
        <v>130</v>
      </c>
      <c r="D671" s="9" t="s">
        <v>71</v>
      </c>
      <c r="E671" s="11">
        <v>143.0</v>
      </c>
      <c r="F671" s="11">
        <v>488.0</v>
      </c>
    </row>
    <row r="672">
      <c r="A672" s="5">
        <v>671.0</v>
      </c>
      <c r="B672" s="5" t="s">
        <v>77</v>
      </c>
      <c r="C672" s="12" t="s">
        <v>130</v>
      </c>
      <c r="D672" s="9" t="s">
        <v>68</v>
      </c>
      <c r="E672" s="11">
        <v>139.0</v>
      </c>
      <c r="F672" s="11">
        <v>473.0</v>
      </c>
    </row>
    <row r="673">
      <c r="A673" s="5">
        <v>672.0</v>
      </c>
      <c r="B673" s="5" t="s">
        <v>77</v>
      </c>
      <c r="C673" s="12" t="s">
        <v>130</v>
      </c>
      <c r="D673" s="9" t="s">
        <v>66</v>
      </c>
      <c r="E673" s="11">
        <v>133.0</v>
      </c>
      <c r="F673" s="11">
        <v>458.0</v>
      </c>
    </row>
    <row r="674">
      <c r="A674" s="5">
        <v>673.0</v>
      </c>
      <c r="B674" s="5" t="s">
        <v>77</v>
      </c>
      <c r="C674" s="12" t="s">
        <v>130</v>
      </c>
      <c r="D674" s="9" t="s">
        <v>70</v>
      </c>
      <c r="E674" s="8"/>
      <c r="F674" s="11">
        <v>407.0</v>
      </c>
    </row>
    <row r="675">
      <c r="A675" s="5">
        <v>674.0</v>
      </c>
      <c r="B675" s="5" t="s">
        <v>77</v>
      </c>
      <c r="C675" s="12" t="s">
        <v>130</v>
      </c>
      <c r="D675" s="9" t="s">
        <v>69</v>
      </c>
      <c r="E675" s="8"/>
      <c r="F675" s="11">
        <v>400.0</v>
      </c>
    </row>
    <row r="676">
      <c r="A676" s="5">
        <v>675.0</v>
      </c>
      <c r="B676" s="5" t="s">
        <v>77</v>
      </c>
      <c r="C676" s="12" t="s">
        <v>130</v>
      </c>
      <c r="D676" s="9" t="s">
        <v>65</v>
      </c>
      <c r="E676" s="8"/>
      <c r="F676" s="11">
        <v>385.0</v>
      </c>
    </row>
    <row r="677">
      <c r="A677" s="5">
        <v>676.0</v>
      </c>
      <c r="B677" s="5" t="s">
        <v>77</v>
      </c>
      <c r="C677" s="12" t="s">
        <v>130</v>
      </c>
      <c r="D677" s="9" t="s">
        <v>70</v>
      </c>
      <c r="E677" s="8"/>
      <c r="F677" s="11">
        <v>403.0</v>
      </c>
    </row>
    <row r="678">
      <c r="A678" s="5">
        <v>677.0</v>
      </c>
      <c r="B678" s="5" t="s">
        <v>84</v>
      </c>
      <c r="C678" s="12" t="s">
        <v>131</v>
      </c>
      <c r="D678" s="9" t="s">
        <v>60</v>
      </c>
      <c r="E678" s="8"/>
      <c r="F678" s="8"/>
    </row>
    <row r="679">
      <c r="A679" s="5">
        <v>678.0</v>
      </c>
      <c r="B679" s="5" t="s">
        <v>84</v>
      </c>
      <c r="C679" s="12" t="s">
        <v>131</v>
      </c>
      <c r="D679" s="9" t="s">
        <v>62</v>
      </c>
      <c r="E679" s="8"/>
      <c r="F679" s="8"/>
    </row>
    <row r="680">
      <c r="A680" s="5">
        <v>679.0</v>
      </c>
      <c r="B680" s="5" t="s">
        <v>84</v>
      </c>
      <c r="C680" s="12" t="s">
        <v>131</v>
      </c>
      <c r="D680" s="9" t="s">
        <v>63</v>
      </c>
      <c r="E680" s="8"/>
      <c r="F680" s="11">
        <v>136.0</v>
      </c>
    </row>
    <row r="681">
      <c r="A681" s="5">
        <v>680.0</v>
      </c>
      <c r="B681" s="5" t="s">
        <v>84</v>
      </c>
      <c r="C681" s="12" t="s">
        <v>131</v>
      </c>
      <c r="D681" s="9" t="s">
        <v>64</v>
      </c>
      <c r="E681" s="8"/>
      <c r="F681" s="11">
        <v>128.0</v>
      </c>
    </row>
    <row r="682">
      <c r="A682" s="5">
        <v>681.0</v>
      </c>
      <c r="B682" s="5" t="s">
        <v>84</v>
      </c>
      <c r="C682" s="12" t="s">
        <v>131</v>
      </c>
      <c r="D682" s="9" t="s">
        <v>65</v>
      </c>
      <c r="E682" s="8"/>
      <c r="F682" s="11">
        <v>128.0</v>
      </c>
    </row>
    <row r="683">
      <c r="A683" s="5">
        <v>682.0</v>
      </c>
      <c r="B683" s="5" t="s">
        <v>84</v>
      </c>
      <c r="C683" s="12" t="s">
        <v>131</v>
      </c>
      <c r="D683" s="9" t="s">
        <v>67</v>
      </c>
      <c r="E683" s="11">
        <v>43.0</v>
      </c>
      <c r="F683" s="11">
        <v>150.0</v>
      </c>
    </row>
    <row r="684">
      <c r="A684" s="5">
        <v>683.0</v>
      </c>
      <c r="B684" s="5" t="s">
        <v>84</v>
      </c>
      <c r="C684" s="12" t="s">
        <v>131</v>
      </c>
      <c r="D684" s="9" t="s">
        <v>71</v>
      </c>
      <c r="E684" s="11">
        <v>42.0</v>
      </c>
      <c r="F684" s="11">
        <v>110.0</v>
      </c>
    </row>
    <row r="685">
      <c r="A685" s="5">
        <v>684.0</v>
      </c>
      <c r="B685" s="5" t="s">
        <v>84</v>
      </c>
      <c r="C685" s="12" t="s">
        <v>131</v>
      </c>
      <c r="D685" s="9" t="s">
        <v>68</v>
      </c>
      <c r="E685" s="11">
        <v>41.0</v>
      </c>
      <c r="F685" s="11">
        <v>114.0</v>
      </c>
    </row>
    <row r="686">
      <c r="A686" s="5">
        <v>685.0</v>
      </c>
      <c r="B686" s="5" t="s">
        <v>84</v>
      </c>
      <c r="C686" s="12" t="s">
        <v>131</v>
      </c>
      <c r="D686" s="9" t="s">
        <v>66</v>
      </c>
      <c r="E686" s="11">
        <v>39.0</v>
      </c>
      <c r="F686" s="11">
        <v>110.0</v>
      </c>
    </row>
    <row r="687">
      <c r="A687" s="5">
        <v>686.0</v>
      </c>
      <c r="B687" s="5" t="s">
        <v>84</v>
      </c>
      <c r="C687" s="12" t="s">
        <v>131</v>
      </c>
      <c r="D687" s="9" t="s">
        <v>70</v>
      </c>
      <c r="E687" s="8"/>
      <c r="F687" s="11">
        <v>114.0</v>
      </c>
    </row>
    <row r="688">
      <c r="A688" s="5">
        <v>687.0</v>
      </c>
      <c r="B688" s="5" t="s">
        <v>84</v>
      </c>
      <c r="C688" s="12" t="s">
        <v>131</v>
      </c>
      <c r="D688" s="9" t="s">
        <v>69</v>
      </c>
      <c r="E688" s="8"/>
      <c r="F688" s="11">
        <v>103.0</v>
      </c>
    </row>
    <row r="689">
      <c r="A689" s="5">
        <v>688.0</v>
      </c>
      <c r="B689" s="5" t="s">
        <v>84</v>
      </c>
      <c r="C689" s="12" t="s">
        <v>131</v>
      </c>
      <c r="D689" s="9" t="s">
        <v>65</v>
      </c>
      <c r="E689" s="8"/>
      <c r="F689" s="11">
        <v>114.0</v>
      </c>
    </row>
    <row r="690">
      <c r="A690" s="5">
        <v>689.0</v>
      </c>
      <c r="B690" s="5" t="s">
        <v>84</v>
      </c>
      <c r="C690" s="12" t="s">
        <v>131</v>
      </c>
      <c r="D690" s="9" t="s">
        <v>70</v>
      </c>
      <c r="E690" s="8"/>
      <c r="F690" s="11">
        <v>103.0</v>
      </c>
    </row>
    <row r="691">
      <c r="A691" s="5">
        <v>690.0</v>
      </c>
      <c r="B691" s="5" t="s">
        <v>84</v>
      </c>
      <c r="C691" s="12" t="s">
        <v>132</v>
      </c>
      <c r="D691" s="9" t="s">
        <v>60</v>
      </c>
      <c r="E691" s="8"/>
      <c r="F691" s="8"/>
    </row>
    <row r="692">
      <c r="A692" s="5">
        <v>691.0</v>
      </c>
      <c r="B692" s="5" t="s">
        <v>84</v>
      </c>
      <c r="C692" s="12" t="s">
        <v>132</v>
      </c>
      <c r="D692" s="9" t="s">
        <v>62</v>
      </c>
      <c r="E692" s="11">
        <v>7382.0</v>
      </c>
      <c r="F692" s="8"/>
    </row>
    <row r="693">
      <c r="A693" s="5">
        <v>692.0</v>
      </c>
      <c r="B693" s="5" t="s">
        <v>84</v>
      </c>
      <c r="C693" s="12" t="s">
        <v>132</v>
      </c>
      <c r="D693" s="9" t="s">
        <v>63</v>
      </c>
      <c r="E693" s="11">
        <v>7178.0</v>
      </c>
      <c r="F693" s="11">
        <v>20964.0</v>
      </c>
    </row>
    <row r="694">
      <c r="A694" s="5">
        <v>693.0</v>
      </c>
      <c r="B694" s="5" t="s">
        <v>84</v>
      </c>
      <c r="C694" s="12" t="s">
        <v>132</v>
      </c>
      <c r="D694" s="9" t="s">
        <v>64</v>
      </c>
      <c r="E694" s="11">
        <v>6941.0</v>
      </c>
      <c r="F694" s="11">
        <v>20323.0</v>
      </c>
    </row>
    <row r="695">
      <c r="A695" s="5">
        <v>694.0</v>
      </c>
      <c r="B695" s="5" t="s">
        <v>84</v>
      </c>
      <c r="C695" s="12" t="s">
        <v>132</v>
      </c>
      <c r="D695" s="9" t="s">
        <v>65</v>
      </c>
      <c r="E695" s="11">
        <v>7104.0</v>
      </c>
      <c r="F695" s="11">
        <v>21019.0</v>
      </c>
    </row>
    <row r="696">
      <c r="A696" s="5">
        <v>695.0</v>
      </c>
      <c r="B696" s="5" t="s">
        <v>84</v>
      </c>
      <c r="C696" s="12" t="s">
        <v>132</v>
      </c>
      <c r="D696" s="9" t="s">
        <v>67</v>
      </c>
      <c r="E696" s="11">
        <v>7058.0</v>
      </c>
      <c r="F696" s="11">
        <v>21430.0</v>
      </c>
    </row>
    <row r="697">
      <c r="A697" s="5">
        <v>696.0</v>
      </c>
      <c r="B697" s="5" t="s">
        <v>84</v>
      </c>
      <c r="C697" s="12" t="s">
        <v>132</v>
      </c>
      <c r="D697" s="9" t="s">
        <v>71</v>
      </c>
      <c r="E697" s="11">
        <v>7068.0</v>
      </c>
      <c r="F697" s="11">
        <v>20693.0</v>
      </c>
    </row>
    <row r="698">
      <c r="A698" s="5">
        <v>697.0</v>
      </c>
      <c r="B698" s="5" t="s">
        <v>84</v>
      </c>
      <c r="C698" s="12" t="s">
        <v>132</v>
      </c>
      <c r="D698" s="9" t="s">
        <v>68</v>
      </c>
      <c r="E698" s="11">
        <v>6840.0</v>
      </c>
      <c r="F698" s="11">
        <v>19651.0</v>
      </c>
    </row>
    <row r="699">
      <c r="A699" s="5">
        <v>698.0</v>
      </c>
      <c r="B699" s="5" t="s">
        <v>84</v>
      </c>
      <c r="C699" s="12" t="s">
        <v>132</v>
      </c>
      <c r="D699" s="9" t="s">
        <v>66</v>
      </c>
      <c r="E699" s="11">
        <v>6528.0</v>
      </c>
      <c r="F699" s="11">
        <v>18786.0</v>
      </c>
    </row>
    <row r="700">
      <c r="A700" s="5">
        <v>699.0</v>
      </c>
      <c r="B700" s="5" t="s">
        <v>84</v>
      </c>
      <c r="C700" s="12" t="s">
        <v>132</v>
      </c>
      <c r="D700" s="9" t="s">
        <v>70</v>
      </c>
      <c r="E700" s="11">
        <v>7479.0</v>
      </c>
      <c r="F700" s="11">
        <v>21888.0</v>
      </c>
    </row>
    <row r="701">
      <c r="A701" s="5">
        <v>700.0</v>
      </c>
      <c r="B701" s="5" t="s">
        <v>84</v>
      </c>
      <c r="C701" s="12" t="s">
        <v>132</v>
      </c>
      <c r="D701" s="9" t="s">
        <v>69</v>
      </c>
      <c r="E701" s="11">
        <v>7476.0</v>
      </c>
      <c r="F701" s="11">
        <v>21500.0</v>
      </c>
    </row>
    <row r="702">
      <c r="A702" s="5">
        <v>701.0</v>
      </c>
      <c r="B702" s="5" t="s">
        <v>84</v>
      </c>
      <c r="C702" s="12" t="s">
        <v>132</v>
      </c>
      <c r="D702" s="9" t="s">
        <v>65</v>
      </c>
      <c r="E702" s="11">
        <v>7291.0</v>
      </c>
      <c r="F702" s="11">
        <v>20235.0</v>
      </c>
    </row>
    <row r="703">
      <c r="A703" s="5">
        <v>702.0</v>
      </c>
      <c r="B703" s="5" t="s">
        <v>84</v>
      </c>
      <c r="C703" s="12" t="s">
        <v>132</v>
      </c>
      <c r="D703" s="9" t="s">
        <v>70</v>
      </c>
      <c r="E703" s="11">
        <v>7499.0</v>
      </c>
      <c r="F703" s="11">
        <v>20117.0</v>
      </c>
    </row>
    <row r="704">
      <c r="A704" s="5">
        <v>703.0</v>
      </c>
      <c r="B704" s="5" t="s">
        <v>84</v>
      </c>
      <c r="C704" s="12" t="s">
        <v>133</v>
      </c>
      <c r="D704" s="9" t="s">
        <v>60</v>
      </c>
      <c r="E704" s="8"/>
      <c r="F704" s="8"/>
    </row>
    <row r="705">
      <c r="A705" s="5">
        <v>704.0</v>
      </c>
      <c r="B705" s="5" t="s">
        <v>84</v>
      </c>
      <c r="C705" s="12" t="s">
        <v>133</v>
      </c>
      <c r="D705" s="9" t="s">
        <v>62</v>
      </c>
      <c r="E705" s="11">
        <v>12942.0</v>
      </c>
      <c r="F705" s="8"/>
    </row>
    <row r="706">
      <c r="A706" s="5">
        <v>705.0</v>
      </c>
      <c r="B706" s="5" t="s">
        <v>84</v>
      </c>
      <c r="C706" s="12" t="s">
        <v>133</v>
      </c>
      <c r="D706" s="9" t="s">
        <v>63</v>
      </c>
      <c r="E706" s="11">
        <v>12428.0</v>
      </c>
      <c r="F706" s="11">
        <v>32636.0</v>
      </c>
    </row>
    <row r="707">
      <c r="A707" s="5">
        <v>706.0</v>
      </c>
      <c r="B707" s="5" t="s">
        <v>84</v>
      </c>
      <c r="C707" s="12" t="s">
        <v>133</v>
      </c>
      <c r="D707" s="9" t="s">
        <v>64</v>
      </c>
      <c r="E707" s="11">
        <v>12678.0</v>
      </c>
      <c r="F707" s="11">
        <v>30473.0</v>
      </c>
    </row>
    <row r="708">
      <c r="A708" s="5">
        <v>707.0</v>
      </c>
      <c r="B708" s="5" t="s">
        <v>84</v>
      </c>
      <c r="C708" s="12" t="s">
        <v>133</v>
      </c>
      <c r="D708" s="9" t="s">
        <v>65</v>
      </c>
      <c r="E708" s="11">
        <v>10973.0</v>
      </c>
      <c r="F708" s="11">
        <v>29670.0</v>
      </c>
    </row>
    <row r="709">
      <c r="A709" s="5">
        <v>708.0</v>
      </c>
      <c r="B709" s="5" t="s">
        <v>84</v>
      </c>
      <c r="C709" s="12" t="s">
        <v>133</v>
      </c>
      <c r="D709" s="9" t="s">
        <v>67</v>
      </c>
      <c r="E709" s="11">
        <v>11332.0</v>
      </c>
      <c r="F709" s="11">
        <v>30759.0</v>
      </c>
    </row>
    <row r="710">
      <c r="A710" s="5">
        <v>709.0</v>
      </c>
      <c r="B710" s="5" t="s">
        <v>84</v>
      </c>
      <c r="C710" s="12" t="s">
        <v>133</v>
      </c>
      <c r="D710" s="9" t="s">
        <v>71</v>
      </c>
      <c r="E710" s="11">
        <v>10255.0</v>
      </c>
      <c r="F710" s="11">
        <v>29688.0</v>
      </c>
    </row>
    <row r="711">
      <c r="A711" s="5">
        <v>710.0</v>
      </c>
      <c r="B711" s="5" t="s">
        <v>84</v>
      </c>
      <c r="C711" s="12" t="s">
        <v>133</v>
      </c>
      <c r="D711" s="9" t="s">
        <v>68</v>
      </c>
      <c r="E711" s="11">
        <v>11048.0</v>
      </c>
      <c r="F711" s="11">
        <v>29908.0</v>
      </c>
    </row>
    <row r="712">
      <c r="A712" s="5">
        <v>711.0</v>
      </c>
      <c r="B712" s="5" t="s">
        <v>84</v>
      </c>
      <c r="C712" s="12" t="s">
        <v>133</v>
      </c>
      <c r="D712" s="9" t="s">
        <v>66</v>
      </c>
      <c r="E712" s="11">
        <v>10278.0</v>
      </c>
      <c r="F712" s="11">
        <v>28658.0</v>
      </c>
    </row>
    <row r="713">
      <c r="A713" s="5">
        <v>712.0</v>
      </c>
      <c r="B713" s="5" t="s">
        <v>84</v>
      </c>
      <c r="C713" s="12" t="s">
        <v>133</v>
      </c>
      <c r="D713" s="9" t="s">
        <v>70</v>
      </c>
      <c r="E713" s="11">
        <v>9712.0</v>
      </c>
      <c r="F713" s="11">
        <v>26523.0</v>
      </c>
    </row>
    <row r="714">
      <c r="A714" s="5">
        <v>713.0</v>
      </c>
      <c r="B714" s="5" t="s">
        <v>84</v>
      </c>
      <c r="C714" s="12" t="s">
        <v>133</v>
      </c>
      <c r="D714" s="9" t="s">
        <v>69</v>
      </c>
      <c r="E714" s="11">
        <v>9177.0</v>
      </c>
      <c r="F714" s="11">
        <v>24690.0</v>
      </c>
    </row>
    <row r="715">
      <c r="A715" s="5">
        <v>714.0</v>
      </c>
      <c r="B715" s="5" t="s">
        <v>84</v>
      </c>
      <c r="C715" s="12" t="s">
        <v>133</v>
      </c>
      <c r="D715" s="9" t="s">
        <v>65</v>
      </c>
      <c r="E715" s="11">
        <v>8442.0</v>
      </c>
      <c r="F715" s="11">
        <v>23447.0</v>
      </c>
    </row>
    <row r="716">
      <c r="A716" s="5">
        <v>715.0</v>
      </c>
      <c r="B716" s="5" t="s">
        <v>84</v>
      </c>
      <c r="C716" s="12" t="s">
        <v>133</v>
      </c>
      <c r="D716" s="9" t="s">
        <v>70</v>
      </c>
      <c r="E716" s="11">
        <v>7815.0</v>
      </c>
      <c r="F716" s="11">
        <v>20942.0</v>
      </c>
    </row>
    <row r="717">
      <c r="A717" s="5">
        <v>716.0</v>
      </c>
      <c r="B717" s="5" t="s">
        <v>77</v>
      </c>
      <c r="C717" s="12" t="s">
        <v>134</v>
      </c>
      <c r="D717" s="9" t="s">
        <v>60</v>
      </c>
      <c r="E717" s="8"/>
      <c r="F717" s="8"/>
    </row>
    <row r="718">
      <c r="A718" s="5">
        <v>717.0</v>
      </c>
      <c r="B718" s="5" t="s">
        <v>77</v>
      </c>
      <c r="C718" s="12" t="s">
        <v>134</v>
      </c>
      <c r="D718" s="9" t="s">
        <v>62</v>
      </c>
      <c r="E718" s="11">
        <v>77649.0</v>
      </c>
      <c r="F718" s="8"/>
    </row>
    <row r="719">
      <c r="A719" s="5">
        <v>718.0</v>
      </c>
      <c r="B719" s="5" t="s">
        <v>77</v>
      </c>
      <c r="C719" s="12" t="s">
        <v>134</v>
      </c>
      <c r="D719" s="9" t="s">
        <v>63</v>
      </c>
      <c r="E719" s="11">
        <v>73575.0</v>
      </c>
      <c r="F719" s="11">
        <v>204776.0</v>
      </c>
    </row>
    <row r="720">
      <c r="A720" s="5">
        <v>719.0</v>
      </c>
      <c r="B720" s="5" t="s">
        <v>77</v>
      </c>
      <c r="C720" s="12" t="s">
        <v>134</v>
      </c>
      <c r="D720" s="9" t="s">
        <v>64</v>
      </c>
      <c r="E720" s="11">
        <v>71465.0</v>
      </c>
      <c r="F720" s="11">
        <v>197871.0</v>
      </c>
    </row>
    <row r="721">
      <c r="A721" s="5">
        <v>720.0</v>
      </c>
      <c r="B721" s="5" t="s">
        <v>77</v>
      </c>
      <c r="C721" s="12" t="s">
        <v>134</v>
      </c>
      <c r="D721" s="9" t="s">
        <v>65</v>
      </c>
      <c r="E721" s="11">
        <v>72050.0</v>
      </c>
      <c r="F721" s="11">
        <v>196797.0</v>
      </c>
    </row>
    <row r="722">
      <c r="A722" s="5">
        <v>721.0</v>
      </c>
      <c r="B722" s="5" t="s">
        <v>77</v>
      </c>
      <c r="C722" s="12" t="s">
        <v>134</v>
      </c>
      <c r="D722" s="9" t="s">
        <v>67</v>
      </c>
      <c r="E722" s="11">
        <v>71189.0</v>
      </c>
      <c r="F722" s="11">
        <v>192382.0</v>
      </c>
    </row>
    <row r="723">
      <c r="A723" s="5">
        <v>722.0</v>
      </c>
      <c r="B723" s="5" t="s">
        <v>77</v>
      </c>
      <c r="C723" s="12" t="s">
        <v>134</v>
      </c>
      <c r="D723" s="9" t="s">
        <v>71</v>
      </c>
      <c r="E723" s="11">
        <v>66269.0</v>
      </c>
      <c r="F723" s="11">
        <v>178616.0</v>
      </c>
    </row>
    <row r="724">
      <c r="A724" s="5">
        <v>723.0</v>
      </c>
      <c r="B724" s="5" t="s">
        <v>77</v>
      </c>
      <c r="C724" s="12" t="s">
        <v>134</v>
      </c>
      <c r="D724" s="9" t="s">
        <v>68</v>
      </c>
      <c r="E724" s="11">
        <v>62741.0</v>
      </c>
      <c r="F724" s="11">
        <v>167208.0</v>
      </c>
    </row>
    <row r="725">
      <c r="A725" s="5">
        <v>724.0</v>
      </c>
      <c r="B725" s="5" t="s">
        <v>77</v>
      </c>
      <c r="C725" s="12" t="s">
        <v>134</v>
      </c>
      <c r="D725" s="9" t="s">
        <v>66</v>
      </c>
      <c r="E725" s="11">
        <v>53536.0</v>
      </c>
      <c r="F725" s="11">
        <v>150912.0</v>
      </c>
    </row>
    <row r="726">
      <c r="A726" s="5">
        <v>725.0</v>
      </c>
      <c r="B726" s="5" t="s">
        <v>77</v>
      </c>
      <c r="C726" s="12" t="s">
        <v>134</v>
      </c>
      <c r="D726" s="9" t="s">
        <v>70</v>
      </c>
      <c r="E726" s="11">
        <v>48971.0</v>
      </c>
      <c r="F726" s="11">
        <v>147963.0</v>
      </c>
    </row>
    <row r="727">
      <c r="A727" s="5">
        <v>726.0</v>
      </c>
      <c r="B727" s="5" t="s">
        <v>77</v>
      </c>
      <c r="C727" s="12" t="s">
        <v>134</v>
      </c>
      <c r="D727" s="9" t="s">
        <v>69</v>
      </c>
      <c r="E727" s="11">
        <v>47162.0</v>
      </c>
      <c r="F727" s="11">
        <v>127194.0</v>
      </c>
    </row>
    <row r="728">
      <c r="A728" s="5">
        <v>727.0</v>
      </c>
      <c r="B728" s="5" t="s">
        <v>77</v>
      </c>
      <c r="C728" s="12" t="s">
        <v>134</v>
      </c>
      <c r="D728" s="9" t="s">
        <v>65</v>
      </c>
      <c r="E728" s="11">
        <v>45698.0</v>
      </c>
      <c r="F728" s="11">
        <v>125452.0</v>
      </c>
    </row>
    <row r="729">
      <c r="A729" s="5">
        <v>728.0</v>
      </c>
      <c r="B729" s="5" t="s">
        <v>77</v>
      </c>
      <c r="C729" s="12" t="s">
        <v>134</v>
      </c>
      <c r="D729" s="9" t="s">
        <v>70</v>
      </c>
      <c r="E729" s="11">
        <v>40658.0</v>
      </c>
      <c r="F729" s="11">
        <v>141326.0</v>
      </c>
    </row>
    <row r="730">
      <c r="A730" s="5">
        <v>729.0</v>
      </c>
      <c r="B730" s="5" t="s">
        <v>84</v>
      </c>
      <c r="C730" s="12" t="s">
        <v>135</v>
      </c>
      <c r="D730" s="9" t="s">
        <v>60</v>
      </c>
      <c r="E730" s="8"/>
      <c r="F730" s="8"/>
    </row>
    <row r="731">
      <c r="A731" s="5">
        <v>730.0</v>
      </c>
      <c r="B731" s="5" t="s">
        <v>84</v>
      </c>
      <c r="C731" s="12" t="s">
        <v>135</v>
      </c>
      <c r="D731" s="9" t="s">
        <v>62</v>
      </c>
      <c r="E731" s="11">
        <v>4319.0</v>
      </c>
      <c r="F731" s="8"/>
    </row>
    <row r="732">
      <c r="A732" s="5">
        <v>731.0</v>
      </c>
      <c r="B732" s="5" t="s">
        <v>84</v>
      </c>
      <c r="C732" s="12" t="s">
        <v>135</v>
      </c>
      <c r="D732" s="9" t="s">
        <v>63</v>
      </c>
      <c r="E732" s="11">
        <v>4210.0</v>
      </c>
      <c r="F732" s="11">
        <v>6249.0</v>
      </c>
    </row>
    <row r="733">
      <c r="A733" s="5">
        <v>732.0</v>
      </c>
      <c r="B733" s="5" t="s">
        <v>84</v>
      </c>
      <c r="C733" s="12" t="s">
        <v>135</v>
      </c>
      <c r="D733" s="9" t="s">
        <v>64</v>
      </c>
      <c r="E733" s="11">
        <v>4214.0</v>
      </c>
      <c r="F733" s="11">
        <v>6476.0</v>
      </c>
    </row>
    <row r="734">
      <c r="A734" s="5">
        <v>733.0</v>
      </c>
      <c r="B734" s="5" t="s">
        <v>84</v>
      </c>
      <c r="C734" s="12" t="s">
        <v>135</v>
      </c>
      <c r="D734" s="9" t="s">
        <v>65</v>
      </c>
      <c r="E734" s="11">
        <v>4499.0</v>
      </c>
      <c r="F734" s="11">
        <v>6546.0</v>
      </c>
    </row>
    <row r="735">
      <c r="A735" s="5">
        <v>734.0</v>
      </c>
      <c r="B735" s="5" t="s">
        <v>84</v>
      </c>
      <c r="C735" s="12" t="s">
        <v>135</v>
      </c>
      <c r="D735" s="9" t="s">
        <v>67</v>
      </c>
      <c r="E735" s="11">
        <v>4479.0</v>
      </c>
      <c r="F735" s="11">
        <v>6898.0</v>
      </c>
    </row>
    <row r="736">
      <c r="A736" s="5">
        <v>735.0</v>
      </c>
      <c r="B736" s="5" t="s">
        <v>84</v>
      </c>
      <c r="C736" s="12" t="s">
        <v>135</v>
      </c>
      <c r="D736" s="9" t="s">
        <v>71</v>
      </c>
      <c r="E736" s="11">
        <v>4735.0</v>
      </c>
      <c r="F736" s="11">
        <v>6846.0</v>
      </c>
    </row>
    <row r="737">
      <c r="A737" s="5">
        <v>736.0</v>
      </c>
      <c r="B737" s="5" t="s">
        <v>84</v>
      </c>
      <c r="C737" s="12" t="s">
        <v>135</v>
      </c>
      <c r="D737" s="9" t="s">
        <v>68</v>
      </c>
      <c r="E737" s="11">
        <v>4509.0</v>
      </c>
      <c r="F737" s="11">
        <v>6454.0</v>
      </c>
    </row>
    <row r="738">
      <c r="A738" s="5">
        <v>737.0</v>
      </c>
      <c r="B738" s="5" t="s">
        <v>84</v>
      </c>
      <c r="C738" s="12" t="s">
        <v>135</v>
      </c>
      <c r="D738" s="9" t="s">
        <v>66</v>
      </c>
      <c r="E738" s="11">
        <v>4382.0</v>
      </c>
      <c r="F738" s="11">
        <v>6366.0</v>
      </c>
    </row>
    <row r="739">
      <c r="A739" s="5">
        <v>738.0</v>
      </c>
      <c r="B739" s="5" t="s">
        <v>84</v>
      </c>
      <c r="C739" s="12" t="s">
        <v>135</v>
      </c>
      <c r="D739" s="9" t="s">
        <v>70</v>
      </c>
      <c r="E739" s="11">
        <v>4418.0</v>
      </c>
      <c r="F739" s="11">
        <v>6553.0</v>
      </c>
    </row>
    <row r="740">
      <c r="A740" s="5">
        <v>739.0</v>
      </c>
      <c r="B740" s="5" t="s">
        <v>84</v>
      </c>
      <c r="C740" s="12" t="s">
        <v>135</v>
      </c>
      <c r="D740" s="9" t="s">
        <v>69</v>
      </c>
      <c r="E740" s="11">
        <v>4232.0</v>
      </c>
      <c r="F740" s="11">
        <v>6040.0</v>
      </c>
    </row>
    <row r="741">
      <c r="A741" s="5">
        <v>740.0</v>
      </c>
      <c r="B741" s="5" t="s">
        <v>84</v>
      </c>
      <c r="C741" s="12" t="s">
        <v>135</v>
      </c>
      <c r="D741" s="9" t="s">
        <v>65</v>
      </c>
      <c r="E741" s="11">
        <v>4151.0</v>
      </c>
      <c r="F741" s="11">
        <v>5948.0</v>
      </c>
    </row>
    <row r="742">
      <c r="A742" s="5">
        <v>741.0</v>
      </c>
      <c r="B742" s="5" t="s">
        <v>84</v>
      </c>
      <c r="C742" s="12" t="s">
        <v>135</v>
      </c>
      <c r="D742" s="9" t="s">
        <v>70</v>
      </c>
      <c r="E742" s="11">
        <v>3968.0</v>
      </c>
      <c r="F742" s="11">
        <v>5743.0</v>
      </c>
    </row>
    <row r="743">
      <c r="A743" s="5">
        <v>742.0</v>
      </c>
      <c r="B743" s="5" t="s">
        <v>77</v>
      </c>
      <c r="C743" s="12" t="s">
        <v>136</v>
      </c>
      <c r="D743" s="9" t="s">
        <v>60</v>
      </c>
      <c r="E743" s="8"/>
      <c r="F743" s="8"/>
    </row>
    <row r="744">
      <c r="A744" s="5">
        <v>743.0</v>
      </c>
      <c r="B744" s="5" t="s">
        <v>77</v>
      </c>
      <c r="C744" s="12" t="s">
        <v>136</v>
      </c>
      <c r="D744" s="9" t="s">
        <v>62</v>
      </c>
      <c r="E744" s="8"/>
      <c r="F744" s="8"/>
    </row>
    <row r="745">
      <c r="A745" s="5">
        <v>744.0</v>
      </c>
      <c r="B745" s="5" t="s">
        <v>77</v>
      </c>
      <c r="C745" s="12" t="s">
        <v>136</v>
      </c>
      <c r="D745" s="9" t="s">
        <v>63</v>
      </c>
      <c r="E745" s="8"/>
      <c r="F745" s="11">
        <v>4679.0</v>
      </c>
    </row>
    <row r="746">
      <c r="A746" s="5">
        <v>745.0</v>
      </c>
      <c r="B746" s="5" t="s">
        <v>77</v>
      </c>
      <c r="C746" s="12" t="s">
        <v>136</v>
      </c>
      <c r="D746" s="9" t="s">
        <v>64</v>
      </c>
      <c r="E746" s="8"/>
      <c r="F746" s="11">
        <v>4620.0</v>
      </c>
    </row>
    <row r="747">
      <c r="A747" s="5">
        <v>746.0</v>
      </c>
      <c r="B747" s="5" t="s">
        <v>77</v>
      </c>
      <c r="C747" s="12" t="s">
        <v>136</v>
      </c>
      <c r="D747" s="9" t="s">
        <v>65</v>
      </c>
      <c r="E747" s="8"/>
      <c r="F747" s="11">
        <v>4503.0</v>
      </c>
    </row>
    <row r="748">
      <c r="A748" s="5">
        <v>747.0</v>
      </c>
      <c r="B748" s="5" t="s">
        <v>77</v>
      </c>
      <c r="C748" s="12" t="s">
        <v>136</v>
      </c>
      <c r="D748" s="9" t="s">
        <v>67</v>
      </c>
      <c r="E748" s="11">
        <v>1759.0</v>
      </c>
      <c r="F748" s="11">
        <v>4796.0</v>
      </c>
    </row>
    <row r="749">
      <c r="A749" s="5">
        <v>748.0</v>
      </c>
      <c r="B749" s="5" t="s">
        <v>77</v>
      </c>
      <c r="C749" s="12" t="s">
        <v>136</v>
      </c>
      <c r="D749" s="9" t="s">
        <v>71</v>
      </c>
      <c r="E749" s="11">
        <v>1503.0</v>
      </c>
      <c r="F749" s="11">
        <v>4752.0</v>
      </c>
    </row>
    <row r="750">
      <c r="A750" s="5">
        <v>749.0</v>
      </c>
      <c r="B750" s="5" t="s">
        <v>77</v>
      </c>
      <c r="C750" s="12" t="s">
        <v>136</v>
      </c>
      <c r="D750" s="9" t="s">
        <v>68</v>
      </c>
      <c r="E750" s="11">
        <v>1249.0</v>
      </c>
      <c r="F750" s="11">
        <v>4712.0</v>
      </c>
    </row>
    <row r="751">
      <c r="A751" s="5">
        <v>750.0</v>
      </c>
      <c r="B751" s="5" t="s">
        <v>77</v>
      </c>
      <c r="C751" s="12" t="s">
        <v>136</v>
      </c>
      <c r="D751" s="9" t="s">
        <v>66</v>
      </c>
      <c r="E751" s="11">
        <v>762.0</v>
      </c>
      <c r="F751" s="11">
        <v>5218.0</v>
      </c>
    </row>
    <row r="752">
      <c r="A752" s="5">
        <v>751.0</v>
      </c>
      <c r="B752" s="5" t="s">
        <v>77</v>
      </c>
      <c r="C752" s="12" t="s">
        <v>136</v>
      </c>
      <c r="D752" s="9" t="s">
        <v>70</v>
      </c>
      <c r="E752" s="8"/>
      <c r="F752" s="11">
        <v>6018.0</v>
      </c>
    </row>
    <row r="753">
      <c r="A753" s="5">
        <v>752.0</v>
      </c>
      <c r="B753" s="5" t="s">
        <v>77</v>
      </c>
      <c r="C753" s="12" t="s">
        <v>136</v>
      </c>
      <c r="D753" s="9" t="s">
        <v>69</v>
      </c>
      <c r="E753" s="8"/>
      <c r="F753" s="11">
        <v>4980.0</v>
      </c>
    </row>
    <row r="754">
      <c r="A754" s="5">
        <v>753.0</v>
      </c>
      <c r="B754" s="5" t="s">
        <v>77</v>
      </c>
      <c r="C754" s="12" t="s">
        <v>136</v>
      </c>
      <c r="D754" s="9" t="s">
        <v>65</v>
      </c>
      <c r="E754" s="8"/>
      <c r="F754" s="11">
        <v>3095.0</v>
      </c>
    </row>
    <row r="755">
      <c r="A755" s="5">
        <v>754.0</v>
      </c>
      <c r="B755" s="5" t="s">
        <v>77</v>
      </c>
      <c r="C755" s="12" t="s">
        <v>136</v>
      </c>
      <c r="D755" s="9" t="s">
        <v>70</v>
      </c>
      <c r="E755" s="8"/>
      <c r="F755" s="11">
        <v>455.0</v>
      </c>
    </row>
    <row r="756">
      <c r="A756" s="5">
        <v>755.0</v>
      </c>
      <c r="B756" s="5" t="s">
        <v>77</v>
      </c>
      <c r="C756" s="12" t="s">
        <v>137</v>
      </c>
      <c r="D756" s="9" t="s">
        <v>60</v>
      </c>
      <c r="E756" s="8"/>
      <c r="F756" s="8"/>
    </row>
    <row r="757">
      <c r="A757" s="5">
        <v>756.0</v>
      </c>
      <c r="B757" s="5" t="s">
        <v>77</v>
      </c>
      <c r="C757" s="12" t="s">
        <v>137</v>
      </c>
      <c r="D757" s="9" t="s">
        <v>62</v>
      </c>
      <c r="E757" s="11">
        <v>765.0</v>
      </c>
      <c r="F757" s="8"/>
    </row>
    <row r="758">
      <c r="A758" s="5">
        <v>757.0</v>
      </c>
      <c r="B758" s="5" t="s">
        <v>77</v>
      </c>
      <c r="C758" s="12" t="s">
        <v>137</v>
      </c>
      <c r="D758" s="9" t="s">
        <v>63</v>
      </c>
      <c r="E758" s="11">
        <v>745.0</v>
      </c>
      <c r="F758" s="11">
        <v>513.0</v>
      </c>
    </row>
    <row r="759">
      <c r="A759" s="5">
        <v>758.0</v>
      </c>
      <c r="B759" s="5" t="s">
        <v>77</v>
      </c>
      <c r="C759" s="12" t="s">
        <v>137</v>
      </c>
      <c r="D759" s="9" t="s">
        <v>64</v>
      </c>
      <c r="E759" s="11">
        <v>726.0</v>
      </c>
      <c r="F759" s="11">
        <v>513.0</v>
      </c>
    </row>
    <row r="760">
      <c r="A760" s="5">
        <v>759.0</v>
      </c>
      <c r="B760" s="5" t="s">
        <v>77</v>
      </c>
      <c r="C760" s="12" t="s">
        <v>137</v>
      </c>
      <c r="D760" s="9" t="s">
        <v>65</v>
      </c>
      <c r="E760" s="11">
        <v>677.0</v>
      </c>
      <c r="F760" s="11">
        <v>414.0</v>
      </c>
    </row>
    <row r="761">
      <c r="A761" s="5">
        <v>760.0</v>
      </c>
      <c r="B761" s="5" t="s">
        <v>77</v>
      </c>
      <c r="C761" s="12" t="s">
        <v>137</v>
      </c>
      <c r="D761" s="9" t="s">
        <v>67</v>
      </c>
      <c r="E761" s="11">
        <v>721.0</v>
      </c>
      <c r="F761" s="11">
        <v>579.0</v>
      </c>
    </row>
    <row r="762">
      <c r="A762" s="5">
        <v>761.0</v>
      </c>
      <c r="B762" s="5" t="s">
        <v>77</v>
      </c>
      <c r="C762" s="12" t="s">
        <v>137</v>
      </c>
      <c r="D762" s="9" t="s">
        <v>71</v>
      </c>
      <c r="E762" s="11">
        <v>697.0</v>
      </c>
      <c r="F762" s="11">
        <v>561.0</v>
      </c>
    </row>
    <row r="763">
      <c r="A763" s="5">
        <v>762.0</v>
      </c>
      <c r="B763" s="5" t="s">
        <v>77</v>
      </c>
      <c r="C763" s="12" t="s">
        <v>137</v>
      </c>
      <c r="D763" s="9" t="s">
        <v>68</v>
      </c>
      <c r="E763" s="11">
        <v>763.0</v>
      </c>
      <c r="F763" s="11">
        <v>766.0</v>
      </c>
    </row>
    <row r="764">
      <c r="A764" s="5">
        <v>763.0</v>
      </c>
      <c r="B764" s="5" t="s">
        <v>77</v>
      </c>
      <c r="C764" s="12" t="s">
        <v>137</v>
      </c>
      <c r="D764" s="9" t="s">
        <v>66</v>
      </c>
      <c r="E764" s="11">
        <v>744.0</v>
      </c>
      <c r="F764" s="11">
        <v>770.0</v>
      </c>
    </row>
    <row r="765">
      <c r="A765" s="5">
        <v>764.0</v>
      </c>
      <c r="B765" s="5" t="s">
        <v>77</v>
      </c>
      <c r="C765" s="12" t="s">
        <v>137</v>
      </c>
      <c r="D765" s="9" t="s">
        <v>70</v>
      </c>
      <c r="E765" s="11">
        <v>804.0</v>
      </c>
      <c r="F765" s="11">
        <v>726.0</v>
      </c>
    </row>
    <row r="766">
      <c r="A766" s="5">
        <v>765.0</v>
      </c>
      <c r="B766" s="5" t="s">
        <v>77</v>
      </c>
      <c r="C766" s="12" t="s">
        <v>137</v>
      </c>
      <c r="D766" s="9" t="s">
        <v>69</v>
      </c>
      <c r="E766" s="11">
        <v>748.0</v>
      </c>
      <c r="F766" s="11">
        <v>605.0</v>
      </c>
    </row>
    <row r="767">
      <c r="A767" s="5">
        <v>766.0</v>
      </c>
      <c r="B767" s="5" t="s">
        <v>77</v>
      </c>
      <c r="C767" s="12" t="s">
        <v>137</v>
      </c>
      <c r="D767" s="9" t="s">
        <v>65</v>
      </c>
      <c r="E767" s="11">
        <v>742.0</v>
      </c>
      <c r="F767" s="11">
        <v>631.0</v>
      </c>
    </row>
    <row r="768">
      <c r="A768" s="5">
        <v>767.0</v>
      </c>
      <c r="B768" s="5" t="s">
        <v>77</v>
      </c>
      <c r="C768" s="12" t="s">
        <v>137</v>
      </c>
      <c r="D768" s="9" t="s">
        <v>70</v>
      </c>
      <c r="E768" s="11">
        <v>708.0</v>
      </c>
      <c r="F768" s="11">
        <v>609.0</v>
      </c>
    </row>
    <row r="769">
      <c r="A769" s="5">
        <v>768.0</v>
      </c>
      <c r="B769" s="5" t="s">
        <v>75</v>
      </c>
      <c r="C769" s="12" t="s">
        <v>138</v>
      </c>
      <c r="D769" s="9" t="s">
        <v>60</v>
      </c>
      <c r="E769" s="11">
        <v>5721.0</v>
      </c>
      <c r="F769" s="8"/>
    </row>
    <row r="770">
      <c r="A770" s="5">
        <v>769.0</v>
      </c>
      <c r="B770" s="5" t="s">
        <v>75</v>
      </c>
      <c r="C770" s="12" t="s">
        <v>138</v>
      </c>
      <c r="D770" s="9" t="s">
        <v>62</v>
      </c>
      <c r="E770" s="11">
        <v>5603.0</v>
      </c>
      <c r="F770" s="8"/>
    </row>
    <row r="771">
      <c r="A771" s="5">
        <v>770.0</v>
      </c>
      <c r="B771" s="5" t="s">
        <v>75</v>
      </c>
      <c r="C771" s="12" t="s">
        <v>138</v>
      </c>
      <c r="D771" s="9" t="s">
        <v>63</v>
      </c>
      <c r="E771" s="11">
        <v>5568.0</v>
      </c>
      <c r="F771" s="11">
        <v>18339.0</v>
      </c>
    </row>
    <row r="772">
      <c r="A772" s="5">
        <v>771.0</v>
      </c>
      <c r="B772" s="5" t="s">
        <v>75</v>
      </c>
      <c r="C772" s="12" t="s">
        <v>138</v>
      </c>
      <c r="D772" s="9" t="s">
        <v>64</v>
      </c>
      <c r="E772" s="11">
        <v>4749.0</v>
      </c>
      <c r="F772" s="11">
        <v>14745.0</v>
      </c>
    </row>
    <row r="773">
      <c r="A773" s="5">
        <v>772.0</v>
      </c>
      <c r="B773" s="5" t="s">
        <v>75</v>
      </c>
      <c r="C773" s="12" t="s">
        <v>138</v>
      </c>
      <c r="D773" s="9" t="s">
        <v>65</v>
      </c>
      <c r="E773" s="11">
        <v>5440.0</v>
      </c>
      <c r="F773" s="11">
        <v>17492.0</v>
      </c>
    </row>
    <row r="774">
      <c r="A774" s="5">
        <v>773.0</v>
      </c>
      <c r="B774" s="5" t="s">
        <v>75</v>
      </c>
      <c r="C774" s="12" t="s">
        <v>138</v>
      </c>
      <c r="D774" s="9" t="s">
        <v>67</v>
      </c>
      <c r="E774" s="11">
        <v>5624.0</v>
      </c>
      <c r="F774" s="11">
        <v>18845.0</v>
      </c>
    </row>
    <row r="775">
      <c r="A775" s="5">
        <v>774.0</v>
      </c>
      <c r="B775" s="5" t="s">
        <v>75</v>
      </c>
      <c r="C775" s="12" t="s">
        <v>138</v>
      </c>
      <c r="D775" s="9" t="s">
        <v>71</v>
      </c>
      <c r="E775" s="11">
        <v>5038.0</v>
      </c>
      <c r="F775" s="11">
        <v>16190.0</v>
      </c>
    </row>
    <row r="776">
      <c r="A776" s="5">
        <v>775.0</v>
      </c>
      <c r="B776" s="5" t="s">
        <v>75</v>
      </c>
      <c r="C776" s="12" t="s">
        <v>138</v>
      </c>
      <c r="D776" s="9" t="s">
        <v>68</v>
      </c>
      <c r="E776" s="11">
        <v>5164.0</v>
      </c>
      <c r="F776" s="11">
        <v>16780.0</v>
      </c>
    </row>
    <row r="777">
      <c r="A777" s="5">
        <v>776.0</v>
      </c>
      <c r="B777" s="5" t="s">
        <v>75</v>
      </c>
      <c r="C777" s="12" t="s">
        <v>138</v>
      </c>
      <c r="D777" s="9" t="s">
        <v>66</v>
      </c>
      <c r="E777" s="11">
        <v>5282.0</v>
      </c>
      <c r="F777" s="11">
        <v>17217.0</v>
      </c>
    </row>
    <row r="778">
      <c r="A778" s="5">
        <v>777.0</v>
      </c>
      <c r="B778" s="5" t="s">
        <v>75</v>
      </c>
      <c r="C778" s="12" t="s">
        <v>138</v>
      </c>
      <c r="D778" s="9" t="s">
        <v>70</v>
      </c>
      <c r="E778" s="11">
        <v>5188.0</v>
      </c>
      <c r="F778" s="11">
        <v>17052.0</v>
      </c>
    </row>
    <row r="779">
      <c r="A779" s="5">
        <v>778.0</v>
      </c>
      <c r="B779" s="5" t="s">
        <v>75</v>
      </c>
      <c r="C779" s="12" t="s">
        <v>138</v>
      </c>
      <c r="D779" s="9" t="s">
        <v>69</v>
      </c>
      <c r="E779" s="11">
        <v>4713.0</v>
      </c>
      <c r="F779" s="11">
        <v>14936.0</v>
      </c>
    </row>
    <row r="780">
      <c r="A780" s="5">
        <v>779.0</v>
      </c>
      <c r="B780" s="5" t="s">
        <v>75</v>
      </c>
      <c r="C780" s="12" t="s">
        <v>138</v>
      </c>
      <c r="D780" s="9" t="s">
        <v>65</v>
      </c>
      <c r="E780" s="11">
        <v>4919.0</v>
      </c>
      <c r="F780" s="11">
        <v>15596.0</v>
      </c>
    </row>
    <row r="781">
      <c r="A781" s="5">
        <v>780.0</v>
      </c>
      <c r="B781" s="5" t="s">
        <v>75</v>
      </c>
      <c r="C781" s="12" t="s">
        <v>138</v>
      </c>
      <c r="D781" s="9" t="s">
        <v>70</v>
      </c>
      <c r="E781" s="11">
        <v>4715.0</v>
      </c>
      <c r="F781" s="11">
        <v>15181.0</v>
      </c>
    </row>
    <row r="782">
      <c r="A782" s="5">
        <v>781.0</v>
      </c>
      <c r="B782" s="5" t="s">
        <v>77</v>
      </c>
      <c r="C782" s="12" t="s">
        <v>139</v>
      </c>
      <c r="D782" s="9" t="s">
        <v>60</v>
      </c>
      <c r="E782" s="8"/>
      <c r="F782" s="8"/>
    </row>
    <row r="783">
      <c r="A783" s="5">
        <v>782.0</v>
      </c>
      <c r="B783" s="5" t="s">
        <v>77</v>
      </c>
      <c r="C783" s="12" t="s">
        <v>139</v>
      </c>
      <c r="D783" s="9" t="s">
        <v>62</v>
      </c>
      <c r="E783" s="11">
        <v>34064.0</v>
      </c>
      <c r="F783" s="8"/>
    </row>
    <row r="784">
      <c r="A784" s="5">
        <v>783.0</v>
      </c>
      <c r="B784" s="5" t="s">
        <v>77</v>
      </c>
      <c r="C784" s="12" t="s">
        <v>139</v>
      </c>
      <c r="D784" s="9" t="s">
        <v>63</v>
      </c>
      <c r="E784" s="11">
        <v>33250.0</v>
      </c>
      <c r="F784" s="11">
        <v>6494.0</v>
      </c>
    </row>
    <row r="785">
      <c r="A785" s="5">
        <v>784.0</v>
      </c>
      <c r="B785" s="5" t="s">
        <v>77</v>
      </c>
      <c r="C785" s="12" t="s">
        <v>139</v>
      </c>
      <c r="D785" s="9" t="s">
        <v>64</v>
      </c>
      <c r="E785" s="11">
        <v>32378.0</v>
      </c>
      <c r="F785" s="11">
        <v>6659.0</v>
      </c>
    </row>
    <row r="786">
      <c r="A786" s="5">
        <v>785.0</v>
      </c>
      <c r="B786" s="5" t="s">
        <v>77</v>
      </c>
      <c r="C786" s="12" t="s">
        <v>139</v>
      </c>
      <c r="D786" s="9" t="s">
        <v>65</v>
      </c>
      <c r="E786" s="11">
        <v>31482.0</v>
      </c>
      <c r="F786" s="11">
        <v>6370.0</v>
      </c>
    </row>
    <row r="787">
      <c r="A787" s="5">
        <v>786.0</v>
      </c>
      <c r="B787" s="5" t="s">
        <v>77</v>
      </c>
      <c r="C787" s="12" t="s">
        <v>139</v>
      </c>
      <c r="D787" s="9" t="s">
        <v>67</v>
      </c>
      <c r="E787" s="11">
        <v>30536.0</v>
      </c>
      <c r="F787" s="11">
        <v>5915.0</v>
      </c>
    </row>
    <row r="788">
      <c r="A788" s="5">
        <v>787.0</v>
      </c>
      <c r="B788" s="5" t="s">
        <v>77</v>
      </c>
      <c r="C788" s="12" t="s">
        <v>139</v>
      </c>
      <c r="D788" s="9" t="s">
        <v>71</v>
      </c>
      <c r="E788" s="11">
        <v>29705.0</v>
      </c>
      <c r="F788" s="11">
        <v>5420.0</v>
      </c>
    </row>
    <row r="789">
      <c r="A789" s="5">
        <v>788.0</v>
      </c>
      <c r="B789" s="5" t="s">
        <v>77</v>
      </c>
      <c r="C789" s="12" t="s">
        <v>139</v>
      </c>
      <c r="D789" s="9" t="s">
        <v>68</v>
      </c>
      <c r="E789" s="11">
        <v>28935.0</v>
      </c>
      <c r="F789" s="11">
        <v>5053.0</v>
      </c>
    </row>
    <row r="790">
      <c r="A790" s="5">
        <v>789.0</v>
      </c>
      <c r="B790" s="5" t="s">
        <v>77</v>
      </c>
      <c r="C790" s="12" t="s">
        <v>139</v>
      </c>
      <c r="D790" s="9" t="s">
        <v>66</v>
      </c>
      <c r="E790" s="11">
        <v>28377.0</v>
      </c>
      <c r="F790" s="11">
        <v>5244.0</v>
      </c>
    </row>
    <row r="791">
      <c r="A791" s="5">
        <v>790.0</v>
      </c>
      <c r="B791" s="5" t="s">
        <v>77</v>
      </c>
      <c r="C791" s="12" t="s">
        <v>139</v>
      </c>
      <c r="D791" s="9" t="s">
        <v>70</v>
      </c>
      <c r="E791" s="11">
        <v>27648.0</v>
      </c>
      <c r="F791" s="11">
        <v>4947.0</v>
      </c>
    </row>
    <row r="792">
      <c r="A792" s="5">
        <v>791.0</v>
      </c>
      <c r="B792" s="5" t="s">
        <v>77</v>
      </c>
      <c r="C792" s="12" t="s">
        <v>139</v>
      </c>
      <c r="D792" s="9" t="s">
        <v>69</v>
      </c>
      <c r="E792" s="11">
        <v>26867.0</v>
      </c>
      <c r="F792" s="11">
        <v>4481.0</v>
      </c>
    </row>
    <row r="793">
      <c r="A793" s="5">
        <v>792.0</v>
      </c>
      <c r="B793" s="5" t="s">
        <v>77</v>
      </c>
      <c r="C793" s="12" t="s">
        <v>139</v>
      </c>
      <c r="D793" s="9" t="s">
        <v>65</v>
      </c>
      <c r="E793" s="11">
        <v>26171.0</v>
      </c>
      <c r="F793" s="11">
        <v>4309.0</v>
      </c>
    </row>
    <row r="794">
      <c r="A794" s="5">
        <v>793.0</v>
      </c>
      <c r="B794" s="5" t="s">
        <v>77</v>
      </c>
      <c r="C794" s="12" t="s">
        <v>139</v>
      </c>
      <c r="D794" s="9" t="s">
        <v>70</v>
      </c>
      <c r="E794" s="11">
        <v>25242.0</v>
      </c>
      <c r="F794" s="11">
        <v>5831.0</v>
      </c>
    </row>
    <row r="795">
      <c r="A795" s="5">
        <v>794.0</v>
      </c>
      <c r="B795" s="5" t="s">
        <v>75</v>
      </c>
      <c r="C795" s="12" t="s">
        <v>140</v>
      </c>
      <c r="D795" s="9" t="s">
        <v>60</v>
      </c>
      <c r="E795" s="8"/>
      <c r="F795" s="8"/>
    </row>
    <row r="796">
      <c r="A796" s="5">
        <v>795.0</v>
      </c>
      <c r="B796" s="5" t="s">
        <v>75</v>
      </c>
      <c r="C796" s="12" t="s">
        <v>140</v>
      </c>
      <c r="D796" s="9" t="s">
        <v>62</v>
      </c>
      <c r="E796" s="8"/>
      <c r="F796" s="8"/>
    </row>
    <row r="797">
      <c r="A797" s="5">
        <v>796.0</v>
      </c>
      <c r="B797" s="5" t="s">
        <v>75</v>
      </c>
      <c r="C797" s="12" t="s">
        <v>140</v>
      </c>
      <c r="D797" s="9" t="s">
        <v>63</v>
      </c>
      <c r="E797" s="8"/>
      <c r="F797" s="11">
        <v>711.0</v>
      </c>
    </row>
    <row r="798">
      <c r="A798" s="5">
        <v>797.0</v>
      </c>
      <c r="B798" s="5" t="s">
        <v>75</v>
      </c>
      <c r="C798" s="12" t="s">
        <v>140</v>
      </c>
      <c r="D798" s="9" t="s">
        <v>64</v>
      </c>
      <c r="E798" s="8"/>
      <c r="F798" s="11">
        <v>667.0</v>
      </c>
    </row>
    <row r="799">
      <c r="A799" s="5">
        <v>798.0</v>
      </c>
      <c r="B799" s="5" t="s">
        <v>75</v>
      </c>
      <c r="C799" s="12" t="s">
        <v>140</v>
      </c>
      <c r="D799" s="9" t="s">
        <v>65</v>
      </c>
      <c r="E799" s="8"/>
      <c r="F799" s="11">
        <v>719.0</v>
      </c>
    </row>
    <row r="800">
      <c r="A800" s="5">
        <v>799.0</v>
      </c>
      <c r="B800" s="5" t="s">
        <v>75</v>
      </c>
      <c r="C800" s="12" t="s">
        <v>140</v>
      </c>
      <c r="D800" s="9" t="s">
        <v>67</v>
      </c>
      <c r="E800" s="8"/>
      <c r="F800" s="11">
        <v>774.0</v>
      </c>
    </row>
    <row r="801">
      <c r="A801" s="5">
        <v>800.0</v>
      </c>
      <c r="B801" s="5" t="s">
        <v>75</v>
      </c>
      <c r="C801" s="12" t="s">
        <v>140</v>
      </c>
      <c r="D801" s="9" t="s">
        <v>71</v>
      </c>
      <c r="E801" s="8"/>
      <c r="F801" s="11">
        <v>766.0</v>
      </c>
    </row>
    <row r="802">
      <c r="A802" s="5">
        <v>801.0</v>
      </c>
      <c r="B802" s="5" t="s">
        <v>75</v>
      </c>
      <c r="C802" s="12" t="s">
        <v>140</v>
      </c>
      <c r="D802" s="9" t="s">
        <v>68</v>
      </c>
      <c r="E802" s="8"/>
      <c r="F802" s="11">
        <v>766.0</v>
      </c>
    </row>
    <row r="803">
      <c r="A803" s="5">
        <v>802.0</v>
      </c>
      <c r="B803" s="5" t="s">
        <v>75</v>
      </c>
      <c r="C803" s="12" t="s">
        <v>140</v>
      </c>
      <c r="D803" s="9" t="s">
        <v>66</v>
      </c>
      <c r="E803" s="8"/>
      <c r="F803" s="11">
        <v>796.0</v>
      </c>
    </row>
    <row r="804">
      <c r="A804" s="5">
        <v>803.0</v>
      </c>
      <c r="B804" s="5" t="s">
        <v>75</v>
      </c>
      <c r="C804" s="12" t="s">
        <v>140</v>
      </c>
      <c r="D804" s="9" t="s">
        <v>70</v>
      </c>
      <c r="E804" s="8"/>
      <c r="F804" s="11">
        <v>777.0</v>
      </c>
    </row>
    <row r="805">
      <c r="A805" s="5">
        <v>804.0</v>
      </c>
      <c r="B805" s="5" t="s">
        <v>75</v>
      </c>
      <c r="C805" s="12" t="s">
        <v>140</v>
      </c>
      <c r="D805" s="9" t="s">
        <v>69</v>
      </c>
      <c r="E805" s="8"/>
      <c r="F805" s="11">
        <v>763.0</v>
      </c>
    </row>
    <row r="806">
      <c r="A806" s="5">
        <v>805.0</v>
      </c>
      <c r="B806" s="5" t="s">
        <v>75</v>
      </c>
      <c r="C806" s="12" t="s">
        <v>140</v>
      </c>
      <c r="D806" s="9" t="s">
        <v>65</v>
      </c>
      <c r="E806" s="8"/>
      <c r="F806" s="11">
        <v>792.0</v>
      </c>
    </row>
    <row r="807">
      <c r="A807" s="5">
        <v>806.0</v>
      </c>
      <c r="B807" s="5" t="s">
        <v>75</v>
      </c>
      <c r="C807" s="12" t="s">
        <v>140</v>
      </c>
      <c r="D807" s="9" t="s">
        <v>70</v>
      </c>
      <c r="E807" s="8"/>
      <c r="F807" s="11">
        <v>711.0</v>
      </c>
    </row>
    <row r="808">
      <c r="A808" s="5">
        <v>807.0</v>
      </c>
      <c r="B808" s="5" t="s">
        <v>80</v>
      </c>
      <c r="C808" s="12" t="s">
        <v>141</v>
      </c>
      <c r="D808" s="9" t="s">
        <v>60</v>
      </c>
      <c r="E808" s="8"/>
      <c r="F808" s="8"/>
    </row>
    <row r="809">
      <c r="A809" s="5">
        <v>808.0</v>
      </c>
      <c r="B809" s="5" t="s">
        <v>80</v>
      </c>
      <c r="C809" s="12" t="s">
        <v>141</v>
      </c>
      <c r="D809" s="9" t="s">
        <v>62</v>
      </c>
      <c r="E809" s="8"/>
      <c r="F809" s="8"/>
    </row>
    <row r="810">
      <c r="A810" s="5">
        <v>809.0</v>
      </c>
      <c r="B810" s="5" t="s">
        <v>80</v>
      </c>
      <c r="C810" s="12" t="s">
        <v>141</v>
      </c>
      <c r="D810" s="9" t="s">
        <v>63</v>
      </c>
      <c r="E810" s="8"/>
      <c r="F810" s="11">
        <v>1291.0</v>
      </c>
    </row>
    <row r="811">
      <c r="A811" s="5">
        <v>810.0</v>
      </c>
      <c r="B811" s="5" t="s">
        <v>80</v>
      </c>
      <c r="C811" s="12" t="s">
        <v>141</v>
      </c>
      <c r="D811" s="9" t="s">
        <v>64</v>
      </c>
      <c r="E811" s="8"/>
      <c r="F811" s="11">
        <v>847.0</v>
      </c>
    </row>
    <row r="812">
      <c r="A812" s="5">
        <v>811.0</v>
      </c>
      <c r="B812" s="5" t="s">
        <v>80</v>
      </c>
      <c r="C812" s="12" t="s">
        <v>141</v>
      </c>
      <c r="D812" s="9" t="s">
        <v>65</v>
      </c>
      <c r="E812" s="8"/>
      <c r="F812" s="11">
        <v>1078.0</v>
      </c>
    </row>
    <row r="813">
      <c r="A813" s="5">
        <v>812.0</v>
      </c>
      <c r="B813" s="5" t="s">
        <v>80</v>
      </c>
      <c r="C813" s="12" t="s">
        <v>141</v>
      </c>
      <c r="D813" s="9" t="s">
        <v>67</v>
      </c>
      <c r="E813" s="11">
        <v>524.0</v>
      </c>
      <c r="F813" s="11">
        <v>1203.0</v>
      </c>
    </row>
    <row r="814">
      <c r="A814" s="5">
        <v>813.0</v>
      </c>
      <c r="B814" s="5" t="s">
        <v>80</v>
      </c>
      <c r="C814" s="12" t="s">
        <v>141</v>
      </c>
      <c r="D814" s="9" t="s">
        <v>71</v>
      </c>
      <c r="E814" s="11">
        <v>559.0</v>
      </c>
      <c r="F814" s="11">
        <v>1360.0</v>
      </c>
    </row>
    <row r="815">
      <c r="A815" s="5">
        <v>814.0</v>
      </c>
      <c r="B815" s="5" t="s">
        <v>80</v>
      </c>
      <c r="C815" s="12" t="s">
        <v>141</v>
      </c>
      <c r="D815" s="9" t="s">
        <v>68</v>
      </c>
      <c r="E815" s="11">
        <v>578.0</v>
      </c>
      <c r="F815" s="11">
        <v>1364.0</v>
      </c>
    </row>
    <row r="816">
      <c r="A816" s="5">
        <v>815.0</v>
      </c>
      <c r="B816" s="5" t="s">
        <v>80</v>
      </c>
      <c r="C816" s="12" t="s">
        <v>141</v>
      </c>
      <c r="D816" s="9" t="s">
        <v>66</v>
      </c>
      <c r="E816" s="11">
        <v>666.0</v>
      </c>
      <c r="F816" s="11">
        <v>1133.0</v>
      </c>
    </row>
    <row r="817">
      <c r="A817" s="5">
        <v>816.0</v>
      </c>
      <c r="B817" s="5" t="s">
        <v>80</v>
      </c>
      <c r="C817" s="12" t="s">
        <v>141</v>
      </c>
      <c r="D817" s="9" t="s">
        <v>70</v>
      </c>
      <c r="E817" s="8"/>
      <c r="F817" s="11">
        <v>862.0</v>
      </c>
    </row>
    <row r="818">
      <c r="A818" s="5">
        <v>817.0</v>
      </c>
      <c r="B818" s="5" t="s">
        <v>80</v>
      </c>
      <c r="C818" s="12" t="s">
        <v>141</v>
      </c>
      <c r="D818" s="9" t="s">
        <v>70</v>
      </c>
      <c r="E818" s="8"/>
      <c r="F818" s="11">
        <v>836.0</v>
      </c>
    </row>
    <row r="819">
      <c r="A819" s="5">
        <v>818.0</v>
      </c>
      <c r="B819" s="5" t="s">
        <v>80</v>
      </c>
      <c r="C819" s="12" t="s">
        <v>141</v>
      </c>
      <c r="D819" s="9" t="s">
        <v>66</v>
      </c>
      <c r="E819" s="8"/>
      <c r="F819" s="11">
        <v>1115.0</v>
      </c>
    </row>
    <row r="820">
      <c r="A820" s="5">
        <v>819.0</v>
      </c>
      <c r="B820" s="5" t="s">
        <v>80</v>
      </c>
      <c r="C820" s="12" t="s">
        <v>141</v>
      </c>
      <c r="D820" s="9" t="s">
        <v>70</v>
      </c>
      <c r="E820" s="8"/>
      <c r="F820" s="11">
        <v>865.0</v>
      </c>
    </row>
    <row r="821">
      <c r="A821" s="5">
        <v>820.0</v>
      </c>
      <c r="B821" s="5" t="s">
        <v>75</v>
      </c>
      <c r="C821" s="12" t="s">
        <v>142</v>
      </c>
      <c r="D821" s="9" t="s">
        <v>60</v>
      </c>
      <c r="E821" s="11">
        <v>33475.0</v>
      </c>
      <c r="F821" s="8"/>
    </row>
    <row r="822">
      <c r="A822" s="5">
        <v>821.0</v>
      </c>
      <c r="B822" s="5" t="s">
        <v>75</v>
      </c>
      <c r="C822" s="12" t="s">
        <v>142</v>
      </c>
      <c r="D822" s="9" t="s">
        <v>62</v>
      </c>
      <c r="E822" s="11">
        <v>34749.0</v>
      </c>
      <c r="F822" s="8"/>
    </row>
    <row r="823">
      <c r="A823" s="5">
        <v>822.0</v>
      </c>
      <c r="B823" s="5" t="s">
        <v>75</v>
      </c>
      <c r="C823" s="12" t="s">
        <v>142</v>
      </c>
      <c r="D823" s="9" t="s">
        <v>63</v>
      </c>
      <c r="E823" s="11">
        <v>36429.0</v>
      </c>
      <c r="F823" s="11">
        <v>61844.0</v>
      </c>
    </row>
    <row r="824">
      <c r="A824" s="5">
        <v>823.0</v>
      </c>
      <c r="B824" s="5" t="s">
        <v>75</v>
      </c>
      <c r="C824" s="12" t="s">
        <v>142</v>
      </c>
      <c r="D824" s="9" t="s">
        <v>64</v>
      </c>
      <c r="E824" s="11">
        <v>33259.0</v>
      </c>
      <c r="F824" s="11">
        <v>53168.0</v>
      </c>
    </row>
    <row r="825">
      <c r="A825" s="5">
        <v>824.0</v>
      </c>
      <c r="B825" s="5" t="s">
        <v>75</v>
      </c>
      <c r="C825" s="12" t="s">
        <v>142</v>
      </c>
      <c r="D825" s="9" t="s">
        <v>65</v>
      </c>
      <c r="E825" s="11">
        <v>35284.0</v>
      </c>
      <c r="F825" s="11">
        <v>56593.0</v>
      </c>
    </row>
    <row r="826">
      <c r="A826" s="5">
        <v>825.0</v>
      </c>
      <c r="B826" s="5" t="s">
        <v>75</v>
      </c>
      <c r="C826" s="12" t="s">
        <v>142</v>
      </c>
      <c r="D826" s="9" t="s">
        <v>67</v>
      </c>
      <c r="E826" s="11">
        <v>36803.0</v>
      </c>
      <c r="F826" s="11">
        <v>63982.0</v>
      </c>
    </row>
    <row r="827">
      <c r="A827" s="5">
        <v>826.0</v>
      </c>
      <c r="B827" s="5" t="s">
        <v>75</v>
      </c>
      <c r="C827" s="12" t="s">
        <v>142</v>
      </c>
      <c r="D827" s="9" t="s">
        <v>71</v>
      </c>
      <c r="E827" s="11">
        <v>37334.0</v>
      </c>
      <c r="F827" s="11">
        <v>66197.0</v>
      </c>
    </row>
    <row r="828">
      <c r="A828" s="5">
        <v>827.0</v>
      </c>
      <c r="B828" s="5" t="s">
        <v>75</v>
      </c>
      <c r="C828" s="12" t="s">
        <v>142</v>
      </c>
      <c r="D828" s="9" t="s">
        <v>68</v>
      </c>
      <c r="E828" s="11">
        <v>34263.0</v>
      </c>
      <c r="F828" s="11">
        <v>54646.0</v>
      </c>
    </row>
    <row r="829">
      <c r="A829" s="5">
        <v>828.0</v>
      </c>
      <c r="B829" s="5" t="s">
        <v>75</v>
      </c>
      <c r="C829" s="12" t="s">
        <v>142</v>
      </c>
      <c r="D829" s="9" t="s">
        <v>66</v>
      </c>
      <c r="E829" s="11">
        <v>37120.0</v>
      </c>
      <c r="F829" s="11">
        <v>67091.0</v>
      </c>
    </row>
    <row r="830">
      <c r="A830" s="5">
        <v>829.0</v>
      </c>
      <c r="B830" s="5" t="s">
        <v>75</v>
      </c>
      <c r="C830" s="12" t="s">
        <v>142</v>
      </c>
      <c r="D830" s="9" t="s">
        <v>70</v>
      </c>
      <c r="E830" s="11">
        <v>36747.0</v>
      </c>
      <c r="F830" s="11">
        <v>68888.0</v>
      </c>
    </row>
    <row r="831">
      <c r="A831" s="5">
        <v>830.0</v>
      </c>
      <c r="B831" s="5" t="s">
        <v>75</v>
      </c>
      <c r="C831" s="12" t="s">
        <v>142</v>
      </c>
      <c r="D831" s="9" t="s">
        <v>70</v>
      </c>
      <c r="E831" s="11">
        <v>34819.0</v>
      </c>
      <c r="F831" s="11">
        <v>61078.0</v>
      </c>
    </row>
    <row r="832">
      <c r="A832" s="5">
        <v>831.0</v>
      </c>
      <c r="B832" s="5" t="s">
        <v>75</v>
      </c>
      <c r="C832" s="12" t="s">
        <v>142</v>
      </c>
      <c r="D832" s="9" t="s">
        <v>66</v>
      </c>
      <c r="E832" s="11">
        <v>33150.0</v>
      </c>
      <c r="F832" s="11">
        <v>56424.0</v>
      </c>
    </row>
    <row r="833">
      <c r="A833" s="5">
        <v>832.0</v>
      </c>
      <c r="B833" s="5" t="s">
        <v>75</v>
      </c>
      <c r="C833" s="12" t="s">
        <v>142</v>
      </c>
      <c r="D833" s="9" t="s">
        <v>70</v>
      </c>
      <c r="E833" s="11">
        <v>32233.0</v>
      </c>
      <c r="F833" s="11">
        <v>52141.0</v>
      </c>
    </row>
    <row r="834">
      <c r="A834" s="5">
        <v>833.0</v>
      </c>
      <c r="B834" s="5" t="s">
        <v>75</v>
      </c>
      <c r="C834" s="12" t="s">
        <v>143</v>
      </c>
      <c r="D834" s="9" t="s">
        <v>60</v>
      </c>
      <c r="E834" s="11">
        <v>251706.0</v>
      </c>
      <c r="F834" s="8"/>
    </row>
    <row r="835">
      <c r="A835" s="5">
        <v>834.0</v>
      </c>
      <c r="B835" s="5" t="s">
        <v>75</v>
      </c>
      <c r="C835" s="12" t="s">
        <v>143</v>
      </c>
      <c r="D835" s="9" t="s">
        <v>62</v>
      </c>
      <c r="E835" s="11">
        <v>252827.0</v>
      </c>
      <c r="F835" s="8"/>
    </row>
    <row r="836">
      <c r="A836" s="5">
        <v>835.0</v>
      </c>
      <c r="B836" s="5" t="s">
        <v>75</v>
      </c>
      <c r="C836" s="12" t="s">
        <v>143</v>
      </c>
      <c r="D836" s="9" t="s">
        <v>63</v>
      </c>
      <c r="E836" s="11">
        <v>261157.0</v>
      </c>
      <c r="F836" s="11">
        <v>361273.0</v>
      </c>
    </row>
    <row r="837">
      <c r="A837" s="5">
        <v>836.0</v>
      </c>
      <c r="B837" s="5" t="s">
        <v>75</v>
      </c>
      <c r="C837" s="12" t="s">
        <v>143</v>
      </c>
      <c r="D837" s="9" t="s">
        <v>64</v>
      </c>
      <c r="E837" s="11">
        <v>253469.0</v>
      </c>
      <c r="F837" s="11">
        <v>356924.0</v>
      </c>
    </row>
    <row r="838">
      <c r="A838" s="5">
        <v>837.0</v>
      </c>
      <c r="B838" s="5" t="s">
        <v>75</v>
      </c>
      <c r="C838" s="12" t="s">
        <v>143</v>
      </c>
      <c r="D838" s="9" t="s">
        <v>65</v>
      </c>
      <c r="E838" s="11">
        <v>264803.0</v>
      </c>
      <c r="F838" s="11">
        <v>372564.0</v>
      </c>
    </row>
    <row r="839">
      <c r="A839" s="5">
        <v>838.0</v>
      </c>
      <c r="B839" s="5" t="s">
        <v>75</v>
      </c>
      <c r="C839" s="12" t="s">
        <v>143</v>
      </c>
      <c r="D839" s="9" t="s">
        <v>67</v>
      </c>
      <c r="E839" s="11">
        <v>263542.0</v>
      </c>
      <c r="F839" s="11">
        <v>375882.0</v>
      </c>
    </row>
    <row r="840">
      <c r="A840" s="5">
        <v>839.0</v>
      </c>
      <c r="B840" s="5" t="s">
        <v>75</v>
      </c>
      <c r="C840" s="12" t="s">
        <v>143</v>
      </c>
      <c r="D840" s="9" t="s">
        <v>71</v>
      </c>
      <c r="E840" s="11">
        <v>266793.0</v>
      </c>
      <c r="F840" s="11">
        <v>382582.0</v>
      </c>
    </row>
    <row r="841">
      <c r="A841" s="5">
        <v>840.0</v>
      </c>
      <c r="B841" s="5" t="s">
        <v>75</v>
      </c>
      <c r="C841" s="12" t="s">
        <v>143</v>
      </c>
      <c r="D841" s="9" t="s">
        <v>68</v>
      </c>
      <c r="E841" s="11">
        <v>270660.0</v>
      </c>
      <c r="F841" s="11">
        <v>392072.0</v>
      </c>
    </row>
    <row r="842">
      <c r="A842" s="5">
        <v>841.0</v>
      </c>
      <c r="B842" s="5" t="s">
        <v>75</v>
      </c>
      <c r="C842" s="12" t="s">
        <v>143</v>
      </c>
      <c r="D842" s="9" t="s">
        <v>66</v>
      </c>
      <c r="E842" s="11">
        <v>269777.0</v>
      </c>
      <c r="F842" s="11">
        <v>390103.0</v>
      </c>
    </row>
    <row r="843">
      <c r="A843" s="5">
        <v>842.0</v>
      </c>
      <c r="B843" s="5" t="s">
        <v>75</v>
      </c>
      <c r="C843" s="12" t="s">
        <v>143</v>
      </c>
      <c r="D843" s="9" t="s">
        <v>70</v>
      </c>
      <c r="E843" s="11">
        <v>265879.0</v>
      </c>
      <c r="F843" s="11">
        <v>387591.0</v>
      </c>
    </row>
    <row r="844">
      <c r="A844" s="5">
        <v>843.0</v>
      </c>
      <c r="B844" s="5" t="s">
        <v>75</v>
      </c>
      <c r="C844" s="12" t="s">
        <v>143</v>
      </c>
      <c r="D844" s="9" t="s">
        <v>70</v>
      </c>
      <c r="E844" s="11">
        <v>261182.0</v>
      </c>
      <c r="F844" s="11">
        <v>380840.0</v>
      </c>
    </row>
    <row r="845">
      <c r="A845" s="5">
        <v>844.0</v>
      </c>
      <c r="B845" s="5" t="s">
        <v>75</v>
      </c>
      <c r="C845" s="12" t="s">
        <v>143</v>
      </c>
      <c r="D845" s="9" t="s">
        <v>66</v>
      </c>
      <c r="E845" s="11">
        <v>260565.0</v>
      </c>
      <c r="F845" s="11">
        <v>385827.0</v>
      </c>
    </row>
    <row r="846">
      <c r="A846" s="5">
        <v>845.0</v>
      </c>
      <c r="B846" s="5" t="s">
        <v>75</v>
      </c>
      <c r="C846" s="12" t="s">
        <v>143</v>
      </c>
      <c r="D846" s="9" t="s">
        <v>70</v>
      </c>
      <c r="E846" s="11">
        <v>251981.0</v>
      </c>
      <c r="F846" s="11">
        <v>365560.0</v>
      </c>
    </row>
    <row r="847">
      <c r="A847" s="5">
        <v>846.0</v>
      </c>
      <c r="B847" s="5" t="s">
        <v>80</v>
      </c>
      <c r="C847" s="12" t="s">
        <v>144</v>
      </c>
      <c r="D847" s="9" t="s">
        <v>60</v>
      </c>
      <c r="E847" s="8"/>
      <c r="F847" s="8"/>
    </row>
    <row r="848">
      <c r="A848" s="5">
        <v>847.0</v>
      </c>
      <c r="B848" s="5" t="s">
        <v>80</v>
      </c>
      <c r="C848" s="12" t="s">
        <v>144</v>
      </c>
      <c r="D848" s="9" t="s">
        <v>62</v>
      </c>
      <c r="E848" s="8"/>
      <c r="F848" s="8"/>
    </row>
    <row r="849">
      <c r="A849" s="5">
        <v>848.0</v>
      </c>
      <c r="B849" s="5" t="s">
        <v>80</v>
      </c>
      <c r="C849" s="12" t="s">
        <v>144</v>
      </c>
      <c r="D849" s="9" t="s">
        <v>63</v>
      </c>
      <c r="E849" s="8"/>
      <c r="F849" s="11">
        <v>884.0</v>
      </c>
    </row>
    <row r="850">
      <c r="A850" s="5">
        <v>849.0</v>
      </c>
      <c r="B850" s="5" t="s">
        <v>80</v>
      </c>
      <c r="C850" s="12" t="s">
        <v>144</v>
      </c>
      <c r="D850" s="9" t="s">
        <v>64</v>
      </c>
      <c r="E850" s="8"/>
      <c r="F850" s="11">
        <v>873.0</v>
      </c>
    </row>
    <row r="851">
      <c r="A851" s="5">
        <v>850.0</v>
      </c>
      <c r="B851" s="5" t="s">
        <v>80</v>
      </c>
      <c r="C851" s="12" t="s">
        <v>144</v>
      </c>
      <c r="D851" s="9" t="s">
        <v>65</v>
      </c>
      <c r="E851" s="8"/>
      <c r="F851" s="11">
        <v>869.0</v>
      </c>
    </row>
    <row r="852">
      <c r="A852" s="5">
        <v>851.0</v>
      </c>
      <c r="B852" s="5" t="s">
        <v>80</v>
      </c>
      <c r="C852" s="12" t="s">
        <v>144</v>
      </c>
      <c r="D852" s="9" t="s">
        <v>67</v>
      </c>
      <c r="E852" s="8"/>
      <c r="F852" s="11">
        <v>843.0</v>
      </c>
    </row>
    <row r="853">
      <c r="A853" s="5">
        <v>852.0</v>
      </c>
      <c r="B853" s="5" t="s">
        <v>80</v>
      </c>
      <c r="C853" s="12" t="s">
        <v>144</v>
      </c>
      <c r="D853" s="9" t="s">
        <v>71</v>
      </c>
      <c r="E853" s="8"/>
      <c r="F853" s="11">
        <v>851.0</v>
      </c>
    </row>
    <row r="854">
      <c r="A854" s="5">
        <v>853.0</v>
      </c>
      <c r="B854" s="5" t="s">
        <v>80</v>
      </c>
      <c r="C854" s="12" t="s">
        <v>144</v>
      </c>
      <c r="D854" s="9" t="s">
        <v>68</v>
      </c>
      <c r="E854" s="8"/>
      <c r="F854" s="11">
        <v>851.0</v>
      </c>
    </row>
    <row r="855">
      <c r="A855" s="5">
        <v>854.0</v>
      </c>
      <c r="B855" s="5" t="s">
        <v>80</v>
      </c>
      <c r="C855" s="12" t="s">
        <v>144</v>
      </c>
      <c r="D855" s="9" t="s">
        <v>66</v>
      </c>
      <c r="E855" s="8"/>
      <c r="F855" s="11">
        <v>788.0</v>
      </c>
    </row>
    <row r="856">
      <c r="A856" s="5">
        <v>855.0</v>
      </c>
      <c r="B856" s="5" t="s">
        <v>80</v>
      </c>
      <c r="C856" s="12" t="s">
        <v>144</v>
      </c>
      <c r="D856" s="9" t="s">
        <v>70</v>
      </c>
      <c r="E856" s="8"/>
      <c r="F856" s="11">
        <v>799.0</v>
      </c>
    </row>
    <row r="857">
      <c r="A857" s="5">
        <v>856.0</v>
      </c>
      <c r="B857" s="5" t="s">
        <v>80</v>
      </c>
      <c r="C857" s="12" t="s">
        <v>144</v>
      </c>
      <c r="D857" s="9" t="s">
        <v>70</v>
      </c>
      <c r="E857" s="8"/>
      <c r="F857" s="11">
        <v>737.0</v>
      </c>
    </row>
    <row r="858">
      <c r="A858" s="5">
        <v>857.0</v>
      </c>
      <c r="B858" s="5" t="s">
        <v>80</v>
      </c>
      <c r="C858" s="12" t="s">
        <v>144</v>
      </c>
      <c r="D858" s="9" t="s">
        <v>66</v>
      </c>
      <c r="E858" s="8"/>
      <c r="F858" s="11">
        <v>737.0</v>
      </c>
    </row>
    <row r="859">
      <c r="A859" s="5">
        <v>858.0</v>
      </c>
      <c r="B859" s="5" t="s">
        <v>80</v>
      </c>
      <c r="C859" s="12" t="s">
        <v>144</v>
      </c>
      <c r="D859" s="9" t="s">
        <v>70</v>
      </c>
      <c r="E859" s="8"/>
      <c r="F859" s="11">
        <v>631.0</v>
      </c>
    </row>
    <row r="860">
      <c r="A860" s="5">
        <v>859.0</v>
      </c>
      <c r="B860" s="5" t="s">
        <v>77</v>
      </c>
      <c r="C860" s="12" t="s">
        <v>145</v>
      </c>
      <c r="D860" s="9" t="s">
        <v>60</v>
      </c>
      <c r="E860" s="8"/>
      <c r="F860" s="8"/>
    </row>
    <row r="861">
      <c r="A861" s="5">
        <v>860.0</v>
      </c>
      <c r="B861" s="5" t="s">
        <v>77</v>
      </c>
      <c r="C861" s="12" t="s">
        <v>145</v>
      </c>
      <c r="D861" s="9" t="s">
        <v>62</v>
      </c>
      <c r="E861" s="11">
        <v>1997.0</v>
      </c>
      <c r="F861" s="8"/>
    </row>
    <row r="862">
      <c r="A862" s="5">
        <v>861.0</v>
      </c>
      <c r="B862" s="5" t="s">
        <v>77</v>
      </c>
      <c r="C862" s="12" t="s">
        <v>145</v>
      </c>
      <c r="D862" s="9" t="s">
        <v>63</v>
      </c>
      <c r="E862" s="11">
        <v>1984.0</v>
      </c>
      <c r="F862" s="11">
        <v>2574.0</v>
      </c>
    </row>
    <row r="863">
      <c r="A863" s="5">
        <v>862.0</v>
      </c>
      <c r="B863" s="5" t="s">
        <v>77</v>
      </c>
      <c r="C863" s="12" t="s">
        <v>145</v>
      </c>
      <c r="D863" s="9" t="s">
        <v>64</v>
      </c>
      <c r="E863" s="11">
        <v>1925.0</v>
      </c>
      <c r="F863" s="11">
        <v>81.0</v>
      </c>
    </row>
    <row r="864">
      <c r="A864" s="5">
        <v>863.0</v>
      </c>
      <c r="B864" s="5" t="s">
        <v>77</v>
      </c>
      <c r="C864" s="12" t="s">
        <v>145</v>
      </c>
      <c r="D864" s="9" t="s">
        <v>65</v>
      </c>
      <c r="E864" s="11">
        <v>1880.0</v>
      </c>
      <c r="F864" s="11">
        <v>1566.0</v>
      </c>
    </row>
    <row r="865">
      <c r="A865" s="5">
        <v>864.0</v>
      </c>
      <c r="B865" s="5" t="s">
        <v>77</v>
      </c>
      <c r="C865" s="12" t="s">
        <v>145</v>
      </c>
      <c r="D865" s="9" t="s">
        <v>67</v>
      </c>
      <c r="E865" s="11">
        <v>1832.0</v>
      </c>
      <c r="F865" s="11">
        <v>2332.0</v>
      </c>
    </row>
    <row r="866">
      <c r="A866" s="5">
        <v>865.0</v>
      </c>
      <c r="B866" s="5" t="s">
        <v>77</v>
      </c>
      <c r="C866" s="12" t="s">
        <v>145</v>
      </c>
      <c r="D866" s="9" t="s">
        <v>71</v>
      </c>
      <c r="E866" s="11">
        <v>1768.0</v>
      </c>
      <c r="F866" s="11">
        <v>1977.0</v>
      </c>
    </row>
    <row r="867">
      <c r="A867" s="5">
        <v>866.0</v>
      </c>
      <c r="B867" s="5" t="s">
        <v>77</v>
      </c>
      <c r="C867" s="12" t="s">
        <v>145</v>
      </c>
      <c r="D867" s="9" t="s">
        <v>68</v>
      </c>
      <c r="E867" s="11">
        <v>1718.0</v>
      </c>
      <c r="F867" s="11">
        <v>2087.0</v>
      </c>
    </row>
    <row r="868">
      <c r="A868" s="5">
        <v>867.0</v>
      </c>
      <c r="B868" s="5" t="s">
        <v>77</v>
      </c>
      <c r="C868" s="12" t="s">
        <v>145</v>
      </c>
      <c r="D868" s="9" t="s">
        <v>66</v>
      </c>
      <c r="E868" s="11">
        <v>1629.0</v>
      </c>
      <c r="F868" s="11">
        <v>1767.0</v>
      </c>
    </row>
    <row r="869">
      <c r="A869" s="5">
        <v>868.0</v>
      </c>
      <c r="B869" s="5" t="s">
        <v>77</v>
      </c>
      <c r="C869" s="12" t="s">
        <v>145</v>
      </c>
      <c r="D869" s="9" t="s">
        <v>70</v>
      </c>
      <c r="E869" s="11">
        <v>1593.0</v>
      </c>
      <c r="F869" s="11">
        <v>1335.0</v>
      </c>
    </row>
    <row r="870">
      <c r="A870" s="5">
        <v>869.0</v>
      </c>
      <c r="B870" s="5" t="s">
        <v>77</v>
      </c>
      <c r="C870" s="12" t="s">
        <v>145</v>
      </c>
      <c r="D870" s="9" t="s">
        <v>70</v>
      </c>
      <c r="E870" s="11">
        <v>1583.0</v>
      </c>
      <c r="F870" s="11">
        <v>1778.0</v>
      </c>
    </row>
    <row r="871">
      <c r="A871" s="5">
        <v>870.0</v>
      </c>
      <c r="B871" s="5" t="s">
        <v>77</v>
      </c>
      <c r="C871" s="12" t="s">
        <v>145</v>
      </c>
      <c r="D871" s="9" t="s">
        <v>66</v>
      </c>
      <c r="E871" s="11">
        <v>1579.0</v>
      </c>
      <c r="F871" s="11">
        <v>1782.0</v>
      </c>
    </row>
    <row r="872">
      <c r="A872" s="5">
        <v>871.0</v>
      </c>
      <c r="B872" s="5" t="s">
        <v>77</v>
      </c>
      <c r="C872" s="12" t="s">
        <v>145</v>
      </c>
      <c r="D872" s="9" t="s">
        <v>70</v>
      </c>
      <c r="E872" s="11">
        <v>1463.0</v>
      </c>
      <c r="F872" s="11">
        <v>1052.0</v>
      </c>
    </row>
    <row r="873">
      <c r="A873" s="5">
        <v>872.0</v>
      </c>
      <c r="B873" s="5" t="s">
        <v>77</v>
      </c>
      <c r="C873" s="12" t="s">
        <v>146</v>
      </c>
      <c r="D873" s="9" t="s">
        <v>60</v>
      </c>
      <c r="E873" s="8"/>
      <c r="F873" s="8"/>
    </row>
    <row r="874">
      <c r="A874" s="5">
        <v>873.0</v>
      </c>
      <c r="B874" s="5" t="s">
        <v>77</v>
      </c>
      <c r="C874" s="12" t="s">
        <v>146</v>
      </c>
      <c r="D874" s="9" t="s">
        <v>62</v>
      </c>
      <c r="E874" s="8"/>
      <c r="F874" s="8"/>
    </row>
    <row r="875">
      <c r="A875" s="5">
        <v>874.0</v>
      </c>
      <c r="B875" s="5" t="s">
        <v>77</v>
      </c>
      <c r="C875" s="12" t="s">
        <v>146</v>
      </c>
      <c r="D875" s="9" t="s">
        <v>63</v>
      </c>
      <c r="E875" s="8"/>
      <c r="F875" s="11">
        <v>473.0</v>
      </c>
    </row>
    <row r="876">
      <c r="A876" s="5">
        <v>875.0</v>
      </c>
      <c r="B876" s="5" t="s">
        <v>77</v>
      </c>
      <c r="C876" s="12" t="s">
        <v>146</v>
      </c>
      <c r="D876" s="9" t="s">
        <v>64</v>
      </c>
      <c r="E876" s="8"/>
      <c r="F876" s="11">
        <v>436.0</v>
      </c>
    </row>
    <row r="877">
      <c r="A877" s="5">
        <v>876.0</v>
      </c>
      <c r="B877" s="5" t="s">
        <v>77</v>
      </c>
      <c r="C877" s="12" t="s">
        <v>146</v>
      </c>
      <c r="D877" s="9" t="s">
        <v>65</v>
      </c>
      <c r="E877" s="8"/>
      <c r="F877" s="11">
        <v>411.0</v>
      </c>
    </row>
    <row r="878">
      <c r="A878" s="5">
        <v>877.0</v>
      </c>
      <c r="B878" s="5" t="s">
        <v>77</v>
      </c>
      <c r="C878" s="12" t="s">
        <v>146</v>
      </c>
      <c r="D878" s="9" t="s">
        <v>67</v>
      </c>
      <c r="E878" s="11">
        <v>133.0</v>
      </c>
      <c r="F878" s="11">
        <v>396.0</v>
      </c>
    </row>
    <row r="879">
      <c r="A879" s="5">
        <v>878.0</v>
      </c>
      <c r="B879" s="5" t="s">
        <v>77</v>
      </c>
      <c r="C879" s="12" t="s">
        <v>146</v>
      </c>
      <c r="D879" s="9" t="s">
        <v>71</v>
      </c>
      <c r="E879" s="11">
        <v>114.0</v>
      </c>
      <c r="F879" s="11">
        <v>337.0</v>
      </c>
    </row>
    <row r="880">
      <c r="A880" s="5">
        <v>879.0</v>
      </c>
      <c r="B880" s="5" t="s">
        <v>77</v>
      </c>
      <c r="C880" s="12" t="s">
        <v>146</v>
      </c>
      <c r="D880" s="9" t="s">
        <v>68</v>
      </c>
      <c r="E880" s="11">
        <v>108.0</v>
      </c>
      <c r="F880" s="11">
        <v>323.0</v>
      </c>
    </row>
    <row r="881">
      <c r="A881" s="5">
        <v>880.0</v>
      </c>
      <c r="B881" s="5" t="s">
        <v>77</v>
      </c>
      <c r="C881" s="12" t="s">
        <v>146</v>
      </c>
      <c r="D881" s="9" t="s">
        <v>66</v>
      </c>
      <c r="E881" s="11">
        <v>108.0</v>
      </c>
      <c r="F881" s="11">
        <v>323.0</v>
      </c>
    </row>
    <row r="882">
      <c r="A882" s="5">
        <v>881.0</v>
      </c>
      <c r="B882" s="5" t="s">
        <v>77</v>
      </c>
      <c r="C882" s="12" t="s">
        <v>146</v>
      </c>
      <c r="D882" s="9" t="s">
        <v>70</v>
      </c>
      <c r="E882" s="8"/>
      <c r="F882" s="11">
        <v>315.0</v>
      </c>
    </row>
    <row r="883">
      <c r="A883" s="5">
        <v>882.0</v>
      </c>
      <c r="B883" s="5" t="s">
        <v>77</v>
      </c>
      <c r="C883" s="12" t="s">
        <v>146</v>
      </c>
      <c r="D883" s="9" t="s">
        <v>70</v>
      </c>
      <c r="E883" s="8"/>
      <c r="F883" s="11">
        <v>315.0</v>
      </c>
    </row>
    <row r="884">
      <c r="A884" s="5">
        <v>883.0</v>
      </c>
      <c r="B884" s="5" t="s">
        <v>77</v>
      </c>
      <c r="C884" s="12" t="s">
        <v>146</v>
      </c>
      <c r="D884" s="9" t="s">
        <v>66</v>
      </c>
      <c r="E884" s="8"/>
      <c r="F884" s="11">
        <v>282.0</v>
      </c>
    </row>
    <row r="885">
      <c r="A885" s="5">
        <v>884.0</v>
      </c>
      <c r="B885" s="5" t="s">
        <v>77</v>
      </c>
      <c r="C885" s="12" t="s">
        <v>146</v>
      </c>
      <c r="D885" s="9" t="s">
        <v>70</v>
      </c>
      <c r="E885" s="8"/>
      <c r="F885" s="11">
        <v>275.0</v>
      </c>
    </row>
    <row r="886">
      <c r="A886" s="5">
        <v>885.0</v>
      </c>
      <c r="B886" s="5" t="s">
        <v>61</v>
      </c>
      <c r="C886" s="12" t="s">
        <v>147</v>
      </c>
      <c r="D886" s="9" t="s">
        <v>60</v>
      </c>
      <c r="E886" s="8"/>
      <c r="F886" s="8"/>
    </row>
    <row r="887">
      <c r="A887" s="5">
        <v>886.0</v>
      </c>
      <c r="B887" s="5" t="s">
        <v>61</v>
      </c>
      <c r="C887" s="12" t="s">
        <v>147</v>
      </c>
      <c r="D887" s="9" t="s">
        <v>62</v>
      </c>
      <c r="E887" s="11">
        <v>3543.0</v>
      </c>
      <c r="F887" s="8"/>
    </row>
    <row r="888">
      <c r="A888" s="5">
        <v>887.0</v>
      </c>
      <c r="B888" s="5" t="s">
        <v>61</v>
      </c>
      <c r="C888" s="12" t="s">
        <v>147</v>
      </c>
      <c r="D888" s="9" t="s">
        <v>63</v>
      </c>
      <c r="E888" s="11">
        <v>3122.0</v>
      </c>
      <c r="F888" s="11">
        <v>6241.0</v>
      </c>
    </row>
    <row r="889">
      <c r="A889" s="5">
        <v>888.0</v>
      </c>
      <c r="B889" s="5" t="s">
        <v>61</v>
      </c>
      <c r="C889" s="12" t="s">
        <v>147</v>
      </c>
      <c r="D889" s="9" t="s">
        <v>64</v>
      </c>
      <c r="E889" s="11">
        <v>3096.0</v>
      </c>
      <c r="F889" s="11">
        <v>6058.0</v>
      </c>
    </row>
    <row r="890">
      <c r="A890" s="5">
        <v>889.0</v>
      </c>
      <c r="B890" s="5" t="s">
        <v>61</v>
      </c>
      <c r="C890" s="12" t="s">
        <v>147</v>
      </c>
      <c r="D890" s="9" t="s">
        <v>65</v>
      </c>
      <c r="E890" s="11">
        <v>3005.0</v>
      </c>
      <c r="F890" s="11">
        <v>6238.0</v>
      </c>
    </row>
    <row r="891">
      <c r="A891" s="5">
        <v>890.0</v>
      </c>
      <c r="B891" s="5" t="s">
        <v>61</v>
      </c>
      <c r="C891" s="12" t="s">
        <v>147</v>
      </c>
      <c r="D891" s="9" t="s">
        <v>67</v>
      </c>
      <c r="E891" s="11">
        <v>3341.0</v>
      </c>
      <c r="F891" s="11">
        <v>6190.0</v>
      </c>
    </row>
    <row r="892">
      <c r="A892" s="5">
        <v>891.0</v>
      </c>
      <c r="B892" s="5" t="s">
        <v>61</v>
      </c>
      <c r="C892" s="12" t="s">
        <v>147</v>
      </c>
      <c r="D892" s="9" t="s">
        <v>71</v>
      </c>
      <c r="E892" s="11">
        <v>3032.0</v>
      </c>
      <c r="F892" s="11">
        <v>6150.0</v>
      </c>
    </row>
    <row r="893">
      <c r="A893" s="5">
        <v>892.0</v>
      </c>
      <c r="B893" s="5" t="s">
        <v>61</v>
      </c>
      <c r="C893" s="12" t="s">
        <v>147</v>
      </c>
      <c r="D893" s="9" t="s">
        <v>68</v>
      </c>
      <c r="E893" s="11">
        <v>2841.0</v>
      </c>
      <c r="F893" s="11">
        <v>5068.0</v>
      </c>
    </row>
    <row r="894">
      <c r="A894" s="5">
        <v>893.0</v>
      </c>
      <c r="B894" s="5" t="s">
        <v>61</v>
      </c>
      <c r="C894" s="12" t="s">
        <v>147</v>
      </c>
      <c r="D894" s="9" t="s">
        <v>66</v>
      </c>
      <c r="E894" s="11">
        <v>2781.0</v>
      </c>
      <c r="F894" s="11">
        <v>4323.0</v>
      </c>
    </row>
    <row r="895">
      <c r="A895" s="5">
        <v>894.0</v>
      </c>
      <c r="B895" s="5" t="s">
        <v>61</v>
      </c>
      <c r="C895" s="12" t="s">
        <v>147</v>
      </c>
      <c r="D895" s="9" t="s">
        <v>70</v>
      </c>
      <c r="E895" s="11">
        <v>2705.0</v>
      </c>
      <c r="F895" s="11">
        <v>3773.0</v>
      </c>
    </row>
    <row r="896">
      <c r="A896" s="5">
        <v>895.0</v>
      </c>
      <c r="B896" s="5" t="s">
        <v>61</v>
      </c>
      <c r="C896" s="12" t="s">
        <v>147</v>
      </c>
      <c r="D896" s="9" t="s">
        <v>70</v>
      </c>
      <c r="E896" s="11">
        <v>2544.0</v>
      </c>
      <c r="F896" s="11">
        <v>3388.0</v>
      </c>
    </row>
    <row r="897">
      <c r="A897" s="5">
        <v>896.0</v>
      </c>
      <c r="B897" s="5" t="s">
        <v>61</v>
      </c>
      <c r="C897" s="12" t="s">
        <v>147</v>
      </c>
      <c r="D897" s="9" t="s">
        <v>66</v>
      </c>
      <c r="E897" s="11">
        <v>2570.0</v>
      </c>
      <c r="F897" s="11">
        <v>3770.0</v>
      </c>
    </row>
    <row r="898">
      <c r="A898" s="5">
        <v>897.0</v>
      </c>
      <c r="B898" s="5" t="s">
        <v>61</v>
      </c>
      <c r="C898" s="12" t="s">
        <v>147</v>
      </c>
      <c r="D898" s="9" t="s">
        <v>70</v>
      </c>
      <c r="E898" s="11">
        <v>2869.0</v>
      </c>
      <c r="F898" s="11">
        <v>4536.0</v>
      </c>
    </row>
    <row r="899">
      <c r="A899" s="5">
        <v>898.0</v>
      </c>
      <c r="B899" s="5" t="s">
        <v>75</v>
      </c>
      <c r="C899" s="12" t="s">
        <v>148</v>
      </c>
      <c r="D899" s="9" t="s">
        <v>60</v>
      </c>
      <c r="E899" s="11">
        <v>307381.0</v>
      </c>
      <c r="F899" s="8"/>
    </row>
    <row r="900">
      <c r="A900" s="5">
        <v>899.0</v>
      </c>
      <c r="B900" s="5" t="s">
        <v>75</v>
      </c>
      <c r="C900" s="12" t="s">
        <v>148</v>
      </c>
      <c r="D900" s="9" t="s">
        <v>62</v>
      </c>
      <c r="E900" s="11">
        <v>311770.0</v>
      </c>
      <c r="F900" s="8"/>
    </row>
    <row r="901">
      <c r="A901" s="5">
        <v>900.0</v>
      </c>
      <c r="B901" s="5" t="s">
        <v>75</v>
      </c>
      <c r="C901" s="12" t="s">
        <v>148</v>
      </c>
      <c r="D901" s="9" t="s">
        <v>63</v>
      </c>
      <c r="E901" s="11">
        <v>329769.0</v>
      </c>
      <c r="F901" s="11">
        <v>745384.0</v>
      </c>
    </row>
    <row r="902">
      <c r="A902" s="5">
        <v>901.0</v>
      </c>
      <c r="B902" s="5" t="s">
        <v>75</v>
      </c>
      <c r="C902" s="12" t="s">
        <v>148</v>
      </c>
      <c r="D902" s="9" t="s">
        <v>64</v>
      </c>
      <c r="E902" s="11">
        <v>313249.0</v>
      </c>
      <c r="F902" s="11">
        <v>732249.0</v>
      </c>
    </row>
    <row r="903">
      <c r="A903" s="5">
        <v>902.0</v>
      </c>
      <c r="B903" s="5" t="s">
        <v>75</v>
      </c>
      <c r="C903" s="12" t="s">
        <v>148</v>
      </c>
      <c r="D903" s="9" t="s">
        <v>65</v>
      </c>
      <c r="E903" s="11">
        <v>334634.0</v>
      </c>
      <c r="F903" s="11">
        <v>783359.0</v>
      </c>
    </row>
    <row r="904">
      <c r="A904" s="5">
        <v>903.0</v>
      </c>
      <c r="B904" s="5" t="s">
        <v>75</v>
      </c>
      <c r="C904" s="12" t="s">
        <v>148</v>
      </c>
      <c r="D904" s="9" t="s">
        <v>67</v>
      </c>
      <c r="E904" s="11">
        <v>330719.0</v>
      </c>
      <c r="F904" s="11">
        <v>784016.0</v>
      </c>
    </row>
    <row r="905">
      <c r="A905" s="5">
        <v>904.0</v>
      </c>
      <c r="B905" s="5" t="s">
        <v>75</v>
      </c>
      <c r="C905" s="12" t="s">
        <v>148</v>
      </c>
      <c r="D905" s="9" t="s">
        <v>71</v>
      </c>
      <c r="E905" s="11">
        <v>340492.0</v>
      </c>
      <c r="F905" s="11">
        <v>808860.0</v>
      </c>
    </row>
    <row r="906">
      <c r="A906" s="5">
        <v>905.0</v>
      </c>
      <c r="B906" s="5" t="s">
        <v>75</v>
      </c>
      <c r="C906" s="12" t="s">
        <v>148</v>
      </c>
      <c r="D906" s="9" t="s">
        <v>68</v>
      </c>
      <c r="E906" s="11">
        <v>335185.0</v>
      </c>
      <c r="F906" s="11">
        <v>806703.0</v>
      </c>
    </row>
    <row r="907">
      <c r="A907" s="5">
        <v>906.0</v>
      </c>
      <c r="B907" s="5" t="s">
        <v>75</v>
      </c>
      <c r="C907" s="12" t="s">
        <v>148</v>
      </c>
      <c r="D907" s="9" t="s">
        <v>66</v>
      </c>
      <c r="E907" s="11">
        <v>340676.0</v>
      </c>
      <c r="F907" s="11">
        <v>825896.0</v>
      </c>
    </row>
    <row r="908">
      <c r="A908" s="5">
        <v>907.0</v>
      </c>
      <c r="B908" s="5" t="s">
        <v>75</v>
      </c>
      <c r="C908" s="12" t="s">
        <v>148</v>
      </c>
      <c r="D908" s="9" t="s">
        <v>70</v>
      </c>
      <c r="E908" s="11">
        <v>338070.0</v>
      </c>
      <c r="F908" s="11">
        <v>833406.0</v>
      </c>
    </row>
    <row r="909">
      <c r="A909" s="5">
        <v>908.0</v>
      </c>
      <c r="B909" s="5" t="s">
        <v>75</v>
      </c>
      <c r="C909" s="12" t="s">
        <v>148</v>
      </c>
      <c r="D909" s="9" t="s">
        <v>70</v>
      </c>
      <c r="E909" s="11">
        <v>338553.0</v>
      </c>
      <c r="F909" s="11">
        <v>828771.0</v>
      </c>
    </row>
    <row r="910">
      <c r="A910" s="5">
        <v>909.0</v>
      </c>
      <c r="B910" s="5" t="s">
        <v>75</v>
      </c>
      <c r="C910" s="12" t="s">
        <v>148</v>
      </c>
      <c r="D910" s="9" t="s">
        <v>66</v>
      </c>
      <c r="E910" s="11">
        <v>346679.0</v>
      </c>
      <c r="F910" s="11">
        <v>853663.0</v>
      </c>
    </row>
    <row r="911">
      <c r="A911" s="5">
        <v>910.0</v>
      </c>
      <c r="B911" s="5" t="s">
        <v>75</v>
      </c>
      <c r="C911" s="12" t="s">
        <v>148</v>
      </c>
      <c r="D911" s="9" t="s">
        <v>70</v>
      </c>
      <c r="E911" s="11">
        <v>336584.0</v>
      </c>
      <c r="F911" s="11">
        <v>829978.0</v>
      </c>
    </row>
    <row r="912">
      <c r="A912" s="5">
        <v>911.0</v>
      </c>
      <c r="B912" s="5" t="s">
        <v>77</v>
      </c>
      <c r="C912" s="12" t="s">
        <v>149</v>
      </c>
      <c r="D912" s="9" t="s">
        <v>60</v>
      </c>
      <c r="E912" s="8"/>
      <c r="F912" s="8"/>
    </row>
    <row r="913">
      <c r="A913" s="5">
        <v>912.0</v>
      </c>
      <c r="B913" s="5" t="s">
        <v>77</v>
      </c>
      <c r="C913" s="12" t="s">
        <v>149</v>
      </c>
      <c r="D913" s="9" t="s">
        <v>62</v>
      </c>
      <c r="E913" s="11">
        <v>10550.0</v>
      </c>
      <c r="F913" s="8"/>
    </row>
    <row r="914">
      <c r="A914" s="5">
        <v>913.0</v>
      </c>
      <c r="B914" s="5" t="s">
        <v>77</v>
      </c>
      <c r="C914" s="12" t="s">
        <v>149</v>
      </c>
      <c r="D914" s="9" t="s">
        <v>63</v>
      </c>
      <c r="E914" s="11">
        <v>10011.0</v>
      </c>
      <c r="F914" s="11">
        <v>8999.0</v>
      </c>
    </row>
    <row r="915">
      <c r="A915" s="5">
        <v>914.0</v>
      </c>
      <c r="B915" s="5" t="s">
        <v>77</v>
      </c>
      <c r="C915" s="12" t="s">
        <v>149</v>
      </c>
      <c r="D915" s="9" t="s">
        <v>64</v>
      </c>
      <c r="E915" s="11">
        <v>9320.0</v>
      </c>
      <c r="F915" s="11">
        <v>7444.0</v>
      </c>
    </row>
    <row r="916">
      <c r="A916" s="5">
        <v>915.0</v>
      </c>
      <c r="B916" s="5" t="s">
        <v>77</v>
      </c>
      <c r="C916" s="12" t="s">
        <v>149</v>
      </c>
      <c r="D916" s="9" t="s">
        <v>65</v>
      </c>
      <c r="E916" s="11">
        <v>8958.0</v>
      </c>
      <c r="F916" s="11">
        <v>8529.0</v>
      </c>
    </row>
    <row r="917">
      <c r="A917" s="5">
        <v>916.0</v>
      </c>
      <c r="B917" s="5" t="s">
        <v>77</v>
      </c>
      <c r="C917" s="12" t="s">
        <v>149</v>
      </c>
      <c r="D917" s="9" t="s">
        <v>67</v>
      </c>
      <c r="E917" s="11">
        <v>9064.0</v>
      </c>
      <c r="F917" s="11">
        <v>9578.0</v>
      </c>
    </row>
    <row r="918">
      <c r="A918" s="5">
        <v>917.0</v>
      </c>
      <c r="B918" s="5" t="s">
        <v>77</v>
      </c>
      <c r="C918" s="12" t="s">
        <v>149</v>
      </c>
      <c r="D918" s="9" t="s">
        <v>71</v>
      </c>
      <c r="E918" s="11">
        <v>9062.0</v>
      </c>
      <c r="F918" s="11">
        <v>9289.0</v>
      </c>
    </row>
    <row r="919">
      <c r="A919" s="5">
        <v>918.0</v>
      </c>
      <c r="B919" s="5" t="s">
        <v>77</v>
      </c>
      <c r="C919" s="12" t="s">
        <v>149</v>
      </c>
      <c r="D919" s="9" t="s">
        <v>68</v>
      </c>
      <c r="E919" s="11">
        <v>8229.0</v>
      </c>
      <c r="F919" s="11">
        <v>6956.0</v>
      </c>
    </row>
    <row r="920">
      <c r="A920" s="5">
        <v>919.0</v>
      </c>
      <c r="B920" s="5" t="s">
        <v>77</v>
      </c>
      <c r="C920" s="12" t="s">
        <v>149</v>
      </c>
      <c r="D920" s="9" t="s">
        <v>66</v>
      </c>
      <c r="E920" s="11">
        <v>8267.0</v>
      </c>
      <c r="F920" s="11">
        <v>7349.0</v>
      </c>
    </row>
    <row r="921">
      <c r="A921" s="5">
        <v>920.0</v>
      </c>
      <c r="B921" s="5" t="s">
        <v>77</v>
      </c>
      <c r="C921" s="12" t="s">
        <v>149</v>
      </c>
      <c r="D921" s="9" t="s">
        <v>70</v>
      </c>
      <c r="E921" s="11">
        <v>8226.0</v>
      </c>
      <c r="F921" s="11">
        <v>7631.0</v>
      </c>
    </row>
    <row r="922">
      <c r="A922" s="5">
        <v>921.0</v>
      </c>
      <c r="B922" s="5" t="s">
        <v>77</v>
      </c>
      <c r="C922" s="12" t="s">
        <v>149</v>
      </c>
      <c r="D922" s="9" t="s">
        <v>70</v>
      </c>
      <c r="E922" s="11">
        <v>8264.0</v>
      </c>
      <c r="F922" s="11">
        <v>7437.0</v>
      </c>
    </row>
    <row r="923">
      <c r="A923" s="5">
        <v>922.0</v>
      </c>
      <c r="B923" s="5" t="s">
        <v>77</v>
      </c>
      <c r="C923" s="12" t="s">
        <v>149</v>
      </c>
      <c r="D923" s="9" t="s">
        <v>66</v>
      </c>
      <c r="E923" s="11">
        <v>8045.0</v>
      </c>
      <c r="F923" s="11">
        <v>6920.0</v>
      </c>
    </row>
    <row r="924">
      <c r="A924" s="5">
        <v>923.0</v>
      </c>
      <c r="B924" s="5" t="s">
        <v>77</v>
      </c>
      <c r="C924" s="12" t="s">
        <v>149</v>
      </c>
      <c r="D924" s="9" t="s">
        <v>70</v>
      </c>
      <c r="E924" s="11">
        <v>7736.0</v>
      </c>
      <c r="F924" s="11">
        <v>6289.0</v>
      </c>
    </row>
    <row r="925">
      <c r="A925" s="5">
        <v>924.0</v>
      </c>
      <c r="B925" s="5" t="s">
        <v>75</v>
      </c>
      <c r="C925" s="12" t="s">
        <v>150</v>
      </c>
      <c r="D925" s="9" t="s">
        <v>60</v>
      </c>
      <c r="E925" s="11">
        <v>25991.0</v>
      </c>
      <c r="F925" s="8"/>
    </row>
    <row r="926">
      <c r="A926" s="5">
        <v>925.0</v>
      </c>
      <c r="B926" s="5" t="s">
        <v>75</v>
      </c>
      <c r="C926" s="12" t="s">
        <v>150</v>
      </c>
      <c r="D926" s="9" t="s">
        <v>62</v>
      </c>
      <c r="E926" s="11">
        <v>26723.0</v>
      </c>
      <c r="F926" s="8"/>
    </row>
    <row r="927">
      <c r="A927" s="5">
        <v>926.0</v>
      </c>
      <c r="B927" s="5" t="s">
        <v>75</v>
      </c>
      <c r="C927" s="12" t="s">
        <v>150</v>
      </c>
      <c r="D927" s="9" t="s">
        <v>63</v>
      </c>
      <c r="E927" s="11">
        <v>27615.0</v>
      </c>
      <c r="F927" s="11">
        <v>86717.0</v>
      </c>
    </row>
    <row r="928">
      <c r="A928" s="5">
        <v>927.0</v>
      </c>
      <c r="B928" s="5" t="s">
        <v>75</v>
      </c>
      <c r="C928" s="12" t="s">
        <v>150</v>
      </c>
      <c r="D928" s="9" t="s">
        <v>64</v>
      </c>
      <c r="E928" s="11">
        <v>29436.0</v>
      </c>
      <c r="F928" s="11">
        <v>94902.0</v>
      </c>
    </row>
    <row r="929">
      <c r="A929" s="5">
        <v>928.0</v>
      </c>
      <c r="B929" s="5" t="s">
        <v>75</v>
      </c>
      <c r="C929" s="12" t="s">
        <v>150</v>
      </c>
      <c r="D929" s="9" t="s">
        <v>65</v>
      </c>
      <c r="E929" s="11">
        <v>30419.0</v>
      </c>
      <c r="F929" s="11">
        <v>97810.0</v>
      </c>
    </row>
    <row r="930">
      <c r="A930" s="5">
        <v>929.0</v>
      </c>
      <c r="B930" s="5" t="s">
        <v>75</v>
      </c>
      <c r="C930" s="12" t="s">
        <v>150</v>
      </c>
      <c r="D930" s="9" t="s">
        <v>68</v>
      </c>
      <c r="E930" s="11">
        <v>30217.0</v>
      </c>
      <c r="F930" s="11">
        <v>98246.0</v>
      </c>
    </row>
    <row r="931">
      <c r="A931" s="5">
        <v>930.0</v>
      </c>
      <c r="B931" s="5" t="s">
        <v>75</v>
      </c>
      <c r="C931" s="12" t="s">
        <v>150</v>
      </c>
      <c r="D931" s="9" t="s">
        <v>71</v>
      </c>
      <c r="E931" s="11">
        <v>30223.0</v>
      </c>
      <c r="F931" s="11">
        <v>97286.0</v>
      </c>
    </row>
    <row r="932">
      <c r="A932" s="5">
        <v>931.0</v>
      </c>
      <c r="B932" s="5" t="s">
        <v>75</v>
      </c>
      <c r="C932" s="12" t="s">
        <v>150</v>
      </c>
      <c r="D932" s="9" t="s">
        <v>68</v>
      </c>
      <c r="E932" s="11">
        <v>30248.0</v>
      </c>
      <c r="F932" s="11">
        <v>98675.0</v>
      </c>
    </row>
    <row r="933">
      <c r="A933" s="5">
        <v>932.0</v>
      </c>
      <c r="B933" s="5" t="s">
        <v>75</v>
      </c>
      <c r="C933" s="12" t="s">
        <v>150</v>
      </c>
      <c r="D933" s="9" t="s">
        <v>66</v>
      </c>
      <c r="E933" s="11">
        <v>29707.0</v>
      </c>
      <c r="F933" s="11">
        <v>97150.0</v>
      </c>
    </row>
    <row r="934">
      <c r="A934" s="5">
        <v>933.0</v>
      </c>
      <c r="B934" s="5" t="s">
        <v>75</v>
      </c>
      <c r="C934" s="12" t="s">
        <v>150</v>
      </c>
      <c r="D934" s="9" t="s">
        <v>70</v>
      </c>
      <c r="E934" s="11">
        <v>29141.0</v>
      </c>
      <c r="F934" s="11">
        <v>95738.0</v>
      </c>
    </row>
    <row r="935">
      <c r="A935" s="5">
        <v>934.0</v>
      </c>
      <c r="B935" s="5" t="s">
        <v>75</v>
      </c>
      <c r="C935" s="12" t="s">
        <v>150</v>
      </c>
      <c r="D935" s="9" t="s">
        <v>70</v>
      </c>
      <c r="E935" s="11">
        <v>28321.0</v>
      </c>
      <c r="F935" s="11">
        <v>93670.0</v>
      </c>
    </row>
    <row r="936">
      <c r="A936" s="5">
        <v>935.0</v>
      </c>
      <c r="B936" s="5" t="s">
        <v>75</v>
      </c>
      <c r="C936" s="12" t="s">
        <v>150</v>
      </c>
      <c r="D936" s="9" t="s">
        <v>66</v>
      </c>
      <c r="E936" s="11">
        <v>28004.0</v>
      </c>
      <c r="F936" s="11">
        <v>93806.0</v>
      </c>
    </row>
    <row r="937">
      <c r="A937" s="5">
        <v>936.0</v>
      </c>
      <c r="B937" s="5" t="s">
        <v>75</v>
      </c>
      <c r="C937" s="12" t="s">
        <v>150</v>
      </c>
      <c r="D937" s="9" t="s">
        <v>70</v>
      </c>
      <c r="E937" s="11">
        <v>27086.0</v>
      </c>
      <c r="F937" s="11">
        <v>91616.0</v>
      </c>
    </row>
    <row r="938">
      <c r="A938" s="5">
        <v>937.0</v>
      </c>
      <c r="B938" s="5" t="s">
        <v>84</v>
      </c>
      <c r="C938" s="12" t="s">
        <v>151</v>
      </c>
      <c r="D938" s="9" t="s">
        <v>60</v>
      </c>
      <c r="E938" s="8"/>
      <c r="F938" s="8"/>
    </row>
    <row r="939">
      <c r="A939" s="5">
        <v>938.0</v>
      </c>
      <c r="B939" s="5" t="s">
        <v>84</v>
      </c>
      <c r="C939" s="12" t="s">
        <v>151</v>
      </c>
      <c r="D939" s="9" t="s">
        <v>62</v>
      </c>
      <c r="E939" s="8"/>
      <c r="F939" s="8"/>
    </row>
    <row r="940">
      <c r="A940" s="5">
        <v>939.0</v>
      </c>
      <c r="B940" s="5" t="s">
        <v>84</v>
      </c>
      <c r="C940" s="12" t="s">
        <v>151</v>
      </c>
      <c r="D940" s="9" t="s">
        <v>63</v>
      </c>
      <c r="E940" s="8"/>
      <c r="F940" s="11">
        <v>634.0</v>
      </c>
    </row>
    <row r="941">
      <c r="A941" s="5">
        <v>940.0</v>
      </c>
      <c r="B941" s="5" t="s">
        <v>84</v>
      </c>
      <c r="C941" s="12" t="s">
        <v>151</v>
      </c>
      <c r="D941" s="9" t="s">
        <v>64</v>
      </c>
      <c r="E941" s="8"/>
      <c r="F941" s="11">
        <v>557.0</v>
      </c>
    </row>
    <row r="942">
      <c r="A942" s="5">
        <v>941.0</v>
      </c>
      <c r="B942" s="5" t="s">
        <v>84</v>
      </c>
      <c r="C942" s="12" t="s">
        <v>151</v>
      </c>
      <c r="D942" s="9" t="s">
        <v>65</v>
      </c>
      <c r="E942" s="8"/>
      <c r="F942" s="11">
        <v>638.0</v>
      </c>
    </row>
    <row r="943">
      <c r="A943" s="5">
        <v>942.0</v>
      </c>
      <c r="B943" s="5" t="s">
        <v>84</v>
      </c>
      <c r="C943" s="12" t="s">
        <v>151</v>
      </c>
      <c r="D943" s="9" t="s">
        <v>68</v>
      </c>
      <c r="E943" s="8"/>
      <c r="F943" s="11">
        <v>616.0</v>
      </c>
    </row>
    <row r="944">
      <c r="A944" s="5">
        <v>943.0</v>
      </c>
      <c r="B944" s="5" t="s">
        <v>84</v>
      </c>
      <c r="C944" s="12" t="s">
        <v>151</v>
      </c>
      <c r="D944" s="9" t="s">
        <v>71</v>
      </c>
      <c r="E944" s="8"/>
      <c r="F944" s="11">
        <v>627.0</v>
      </c>
    </row>
    <row r="945">
      <c r="A945" s="5">
        <v>944.0</v>
      </c>
      <c r="B945" s="5" t="s">
        <v>84</v>
      </c>
      <c r="C945" s="12" t="s">
        <v>151</v>
      </c>
      <c r="D945" s="9" t="s">
        <v>68</v>
      </c>
      <c r="E945" s="8"/>
      <c r="F945" s="11">
        <v>609.0</v>
      </c>
    </row>
    <row r="946">
      <c r="A946" s="5">
        <v>945.0</v>
      </c>
      <c r="B946" s="5" t="s">
        <v>84</v>
      </c>
      <c r="C946" s="12" t="s">
        <v>151</v>
      </c>
      <c r="D946" s="9" t="s">
        <v>66</v>
      </c>
      <c r="E946" s="8"/>
      <c r="F946" s="11">
        <v>583.0</v>
      </c>
    </row>
    <row r="947">
      <c r="A947" s="5">
        <v>946.0</v>
      </c>
      <c r="B947" s="5" t="s">
        <v>84</v>
      </c>
      <c r="C947" s="12" t="s">
        <v>151</v>
      </c>
      <c r="D947" s="9" t="s">
        <v>70</v>
      </c>
      <c r="E947" s="8"/>
      <c r="F947" s="11">
        <v>532.0</v>
      </c>
    </row>
    <row r="948">
      <c r="A948" s="5">
        <v>947.0</v>
      </c>
      <c r="B948" s="5" t="s">
        <v>84</v>
      </c>
      <c r="C948" s="12" t="s">
        <v>151</v>
      </c>
      <c r="D948" s="9" t="s">
        <v>70</v>
      </c>
      <c r="E948" s="8"/>
      <c r="F948" s="11">
        <v>539.0</v>
      </c>
    </row>
    <row r="949">
      <c r="A949" s="5">
        <v>948.0</v>
      </c>
      <c r="B949" s="5" t="s">
        <v>84</v>
      </c>
      <c r="C949" s="12" t="s">
        <v>151</v>
      </c>
      <c r="D949" s="9" t="s">
        <v>66</v>
      </c>
      <c r="E949" s="8"/>
      <c r="F949" s="11">
        <v>539.0</v>
      </c>
    </row>
    <row r="950">
      <c r="A950" s="5">
        <v>949.0</v>
      </c>
      <c r="B950" s="5" t="s">
        <v>84</v>
      </c>
      <c r="C950" s="12" t="s">
        <v>151</v>
      </c>
      <c r="D950" s="9" t="s">
        <v>70</v>
      </c>
      <c r="E950" s="8"/>
      <c r="F950" s="11">
        <v>532.0</v>
      </c>
    </row>
    <row r="951">
      <c r="A951" s="5">
        <v>950.0</v>
      </c>
      <c r="B951" s="5" t="s">
        <v>84</v>
      </c>
      <c r="C951" s="12" t="s">
        <v>152</v>
      </c>
      <c r="D951" s="9" t="s">
        <v>60</v>
      </c>
      <c r="E951" s="8"/>
      <c r="F951" s="8"/>
    </row>
    <row r="952">
      <c r="A952" s="5">
        <v>951.0</v>
      </c>
      <c r="B952" s="5" t="s">
        <v>84</v>
      </c>
      <c r="C952" s="12" t="s">
        <v>152</v>
      </c>
      <c r="D952" s="9" t="s">
        <v>62</v>
      </c>
      <c r="E952" s="8"/>
      <c r="F952" s="8"/>
    </row>
    <row r="953">
      <c r="A953" s="5">
        <v>952.0</v>
      </c>
      <c r="B953" s="5" t="s">
        <v>84</v>
      </c>
      <c r="C953" s="12" t="s">
        <v>152</v>
      </c>
      <c r="D953" s="9" t="s">
        <v>63</v>
      </c>
      <c r="E953" s="8"/>
      <c r="F953" s="11">
        <v>260.0</v>
      </c>
    </row>
    <row r="954">
      <c r="A954" s="5">
        <v>953.0</v>
      </c>
      <c r="B954" s="5" t="s">
        <v>84</v>
      </c>
      <c r="C954" s="12" t="s">
        <v>152</v>
      </c>
      <c r="D954" s="9" t="s">
        <v>64</v>
      </c>
      <c r="E954" s="8"/>
      <c r="F954" s="11">
        <v>253.0</v>
      </c>
    </row>
    <row r="955">
      <c r="A955" s="5">
        <v>954.0</v>
      </c>
      <c r="B955" s="5" t="s">
        <v>84</v>
      </c>
      <c r="C955" s="12" t="s">
        <v>152</v>
      </c>
      <c r="D955" s="9" t="s">
        <v>65</v>
      </c>
      <c r="E955" s="8"/>
      <c r="F955" s="11">
        <v>260.0</v>
      </c>
    </row>
    <row r="956">
      <c r="A956" s="5">
        <v>955.0</v>
      </c>
      <c r="B956" s="5" t="s">
        <v>84</v>
      </c>
      <c r="C956" s="12" t="s">
        <v>152</v>
      </c>
      <c r="D956" s="9" t="s">
        <v>68</v>
      </c>
      <c r="E956" s="11">
        <v>81.0</v>
      </c>
      <c r="F956" s="11">
        <v>238.0</v>
      </c>
    </row>
    <row r="957">
      <c r="A957" s="5">
        <v>956.0</v>
      </c>
      <c r="B957" s="5" t="s">
        <v>84</v>
      </c>
      <c r="C957" s="12" t="s">
        <v>152</v>
      </c>
      <c r="D957" s="9" t="s">
        <v>71</v>
      </c>
      <c r="E957" s="11">
        <v>81.0</v>
      </c>
      <c r="F957" s="11">
        <v>231.0</v>
      </c>
    </row>
    <row r="958">
      <c r="A958" s="5">
        <v>957.0</v>
      </c>
      <c r="B958" s="5" t="s">
        <v>84</v>
      </c>
      <c r="C958" s="12" t="s">
        <v>152</v>
      </c>
      <c r="D958" s="9" t="s">
        <v>68</v>
      </c>
      <c r="E958" s="11">
        <v>79.0</v>
      </c>
      <c r="F958" s="11">
        <v>216.0</v>
      </c>
    </row>
    <row r="959">
      <c r="A959" s="5">
        <v>958.0</v>
      </c>
      <c r="B959" s="5" t="s">
        <v>84</v>
      </c>
      <c r="C959" s="12" t="s">
        <v>152</v>
      </c>
      <c r="D959" s="9" t="s">
        <v>66</v>
      </c>
      <c r="E959" s="11">
        <v>74.0</v>
      </c>
      <c r="F959" s="11">
        <v>205.0</v>
      </c>
    </row>
    <row r="960">
      <c r="A960" s="5">
        <v>959.0</v>
      </c>
      <c r="B960" s="5" t="s">
        <v>84</v>
      </c>
      <c r="C960" s="12" t="s">
        <v>152</v>
      </c>
      <c r="D960" s="9" t="s">
        <v>71</v>
      </c>
      <c r="E960" s="8"/>
      <c r="F960" s="11">
        <v>216.0</v>
      </c>
    </row>
    <row r="961">
      <c r="A961" s="5">
        <v>960.0</v>
      </c>
      <c r="B961" s="5" t="s">
        <v>84</v>
      </c>
      <c r="C961" s="12" t="s">
        <v>152</v>
      </c>
      <c r="D961" s="9" t="s">
        <v>70</v>
      </c>
      <c r="E961" s="8"/>
      <c r="F961" s="11">
        <v>205.0</v>
      </c>
    </row>
    <row r="962">
      <c r="A962" s="5">
        <v>961.0</v>
      </c>
      <c r="B962" s="5" t="s">
        <v>84</v>
      </c>
      <c r="C962" s="12" t="s">
        <v>152</v>
      </c>
      <c r="D962" s="9" t="s">
        <v>66</v>
      </c>
      <c r="E962" s="8"/>
      <c r="F962" s="11">
        <v>194.0</v>
      </c>
    </row>
    <row r="963">
      <c r="A963" s="5">
        <v>962.0</v>
      </c>
      <c r="B963" s="5" t="s">
        <v>84</v>
      </c>
      <c r="C963" s="12" t="s">
        <v>152</v>
      </c>
      <c r="D963" s="9" t="s">
        <v>70</v>
      </c>
      <c r="E963" s="8"/>
      <c r="F963" s="11">
        <v>191.0</v>
      </c>
    </row>
    <row r="964">
      <c r="A964" s="5">
        <v>963.0</v>
      </c>
      <c r="B964" s="5" t="s">
        <v>80</v>
      </c>
      <c r="C964" s="12" t="s">
        <v>153</v>
      </c>
      <c r="D964" s="9" t="s">
        <v>60</v>
      </c>
      <c r="E964" s="8"/>
      <c r="F964" s="8"/>
    </row>
    <row r="965">
      <c r="A965" s="5">
        <v>964.0</v>
      </c>
      <c r="B965" s="5" t="s">
        <v>80</v>
      </c>
      <c r="C965" s="12" t="s">
        <v>153</v>
      </c>
      <c r="D965" s="9" t="s">
        <v>62</v>
      </c>
      <c r="E965" s="8"/>
      <c r="F965" s="8"/>
    </row>
    <row r="966">
      <c r="A966" s="5">
        <v>965.0</v>
      </c>
      <c r="B966" s="5" t="s">
        <v>80</v>
      </c>
      <c r="C966" s="12" t="s">
        <v>153</v>
      </c>
      <c r="D966" s="9" t="s">
        <v>63</v>
      </c>
      <c r="E966" s="8"/>
      <c r="F966" s="8"/>
    </row>
    <row r="967">
      <c r="A967" s="5">
        <v>966.0</v>
      </c>
      <c r="B967" s="5" t="s">
        <v>80</v>
      </c>
      <c r="C967" s="12" t="s">
        <v>153</v>
      </c>
      <c r="D967" s="9" t="s">
        <v>64</v>
      </c>
      <c r="E967" s="8"/>
      <c r="F967" s="8"/>
    </row>
    <row r="968">
      <c r="A968" s="5">
        <v>967.0</v>
      </c>
      <c r="B968" s="5" t="s">
        <v>80</v>
      </c>
      <c r="C968" s="12" t="s">
        <v>153</v>
      </c>
      <c r="D968" s="9" t="s">
        <v>65</v>
      </c>
      <c r="E968" s="8"/>
      <c r="F968" s="8"/>
    </row>
    <row r="969">
      <c r="A969" s="5">
        <v>968.0</v>
      </c>
      <c r="B969" s="5" t="s">
        <v>80</v>
      </c>
      <c r="C969" s="12" t="s">
        <v>153</v>
      </c>
      <c r="D969" s="9" t="s">
        <v>68</v>
      </c>
      <c r="E969" s="8"/>
      <c r="F969" s="8"/>
    </row>
    <row r="970">
      <c r="A970" s="5">
        <v>969.0</v>
      </c>
      <c r="B970" s="5" t="s">
        <v>80</v>
      </c>
      <c r="C970" s="12" t="s">
        <v>153</v>
      </c>
      <c r="D970" s="9" t="s">
        <v>71</v>
      </c>
      <c r="E970" s="8"/>
      <c r="F970" s="8"/>
    </row>
    <row r="971">
      <c r="A971" s="5">
        <v>970.0</v>
      </c>
      <c r="B971" s="5" t="s">
        <v>80</v>
      </c>
      <c r="C971" s="12" t="s">
        <v>153</v>
      </c>
      <c r="D971" s="9" t="s">
        <v>68</v>
      </c>
      <c r="E971" s="8"/>
      <c r="F971" s="8"/>
    </row>
    <row r="972">
      <c r="A972" s="5">
        <v>971.0</v>
      </c>
      <c r="B972" s="5" t="s">
        <v>80</v>
      </c>
      <c r="C972" s="12" t="s">
        <v>153</v>
      </c>
      <c r="D972" s="9" t="s">
        <v>66</v>
      </c>
      <c r="E972" s="8"/>
      <c r="F972" s="8"/>
    </row>
    <row r="973">
      <c r="A973" s="5">
        <v>972.0</v>
      </c>
      <c r="B973" s="5" t="s">
        <v>80</v>
      </c>
      <c r="C973" s="12" t="s">
        <v>153</v>
      </c>
      <c r="D973" s="9" t="s">
        <v>71</v>
      </c>
      <c r="E973" s="8"/>
      <c r="F973" s="8"/>
    </row>
    <row r="974">
      <c r="A974" s="5">
        <v>973.0</v>
      </c>
      <c r="B974" s="5" t="s">
        <v>80</v>
      </c>
      <c r="C974" s="12" t="s">
        <v>153</v>
      </c>
      <c r="D974" s="9" t="s">
        <v>70</v>
      </c>
      <c r="E974" s="8"/>
      <c r="F974" s="8"/>
    </row>
    <row r="975">
      <c r="A975" s="5">
        <v>974.0</v>
      </c>
      <c r="B975" s="5" t="s">
        <v>80</v>
      </c>
      <c r="C975" s="12" t="s">
        <v>153</v>
      </c>
      <c r="D975" s="9" t="s">
        <v>66</v>
      </c>
      <c r="E975" s="8"/>
      <c r="F975" s="8"/>
    </row>
    <row r="976">
      <c r="A976" s="5">
        <v>975.0</v>
      </c>
      <c r="B976" s="5" t="s">
        <v>80</v>
      </c>
      <c r="C976" s="12" t="s">
        <v>153</v>
      </c>
      <c r="D976" s="9" t="s">
        <v>70</v>
      </c>
      <c r="E976" s="8"/>
      <c r="F976" s="8"/>
    </row>
    <row r="977">
      <c r="A977" s="5">
        <v>976.0</v>
      </c>
      <c r="B977" s="5" t="s">
        <v>84</v>
      </c>
      <c r="C977" s="12" t="s">
        <v>154</v>
      </c>
      <c r="D977" s="9" t="s">
        <v>60</v>
      </c>
      <c r="E977" s="8"/>
      <c r="F977" s="8"/>
    </row>
    <row r="978">
      <c r="A978" s="5">
        <v>977.0</v>
      </c>
      <c r="B978" s="5" t="s">
        <v>84</v>
      </c>
      <c r="C978" s="12" t="s">
        <v>154</v>
      </c>
      <c r="D978" s="9" t="s">
        <v>62</v>
      </c>
      <c r="E978" s="11">
        <v>10163.0</v>
      </c>
      <c r="F978" s="8"/>
    </row>
    <row r="979">
      <c r="A979" s="5">
        <v>978.0</v>
      </c>
      <c r="B979" s="5" t="s">
        <v>84</v>
      </c>
      <c r="C979" s="12" t="s">
        <v>154</v>
      </c>
      <c r="D979" s="9" t="s">
        <v>63</v>
      </c>
      <c r="E979" s="11">
        <v>10251.0</v>
      </c>
      <c r="F979" s="11">
        <v>11118.0</v>
      </c>
    </row>
    <row r="980">
      <c r="A980" s="5">
        <v>979.0</v>
      </c>
      <c r="B980" s="5" t="s">
        <v>84</v>
      </c>
      <c r="C980" s="12" t="s">
        <v>154</v>
      </c>
      <c r="D980" s="9" t="s">
        <v>64</v>
      </c>
      <c r="E980" s="11">
        <v>9318.0</v>
      </c>
      <c r="F980" s="11">
        <v>11844.0</v>
      </c>
    </row>
    <row r="981">
      <c r="A981" s="5">
        <v>980.0</v>
      </c>
      <c r="B981" s="5" t="s">
        <v>84</v>
      </c>
      <c r="C981" s="12" t="s">
        <v>154</v>
      </c>
      <c r="D981" s="9" t="s">
        <v>65</v>
      </c>
      <c r="E981" s="11">
        <v>8157.0</v>
      </c>
      <c r="F981" s="11">
        <v>11441.0</v>
      </c>
    </row>
    <row r="982">
      <c r="A982" s="5">
        <v>981.0</v>
      </c>
      <c r="B982" s="5" t="s">
        <v>84</v>
      </c>
      <c r="C982" s="12" t="s">
        <v>154</v>
      </c>
      <c r="D982" s="9" t="s">
        <v>68</v>
      </c>
      <c r="E982" s="11">
        <v>8528.0</v>
      </c>
      <c r="F982" s="11">
        <v>12636.0</v>
      </c>
    </row>
    <row r="983">
      <c r="A983" s="5">
        <v>982.0</v>
      </c>
      <c r="B983" s="5" t="s">
        <v>84</v>
      </c>
      <c r="C983" s="12" t="s">
        <v>154</v>
      </c>
      <c r="D983" s="9" t="s">
        <v>71</v>
      </c>
      <c r="E983" s="11">
        <v>7940.0</v>
      </c>
      <c r="F983" s="11">
        <v>12526.0</v>
      </c>
    </row>
    <row r="984">
      <c r="A984" s="5">
        <v>983.0</v>
      </c>
      <c r="B984" s="5" t="s">
        <v>84</v>
      </c>
      <c r="C984" s="12" t="s">
        <v>154</v>
      </c>
      <c r="D984" s="9" t="s">
        <v>68</v>
      </c>
      <c r="E984" s="11">
        <v>7855.0</v>
      </c>
      <c r="F984" s="11">
        <v>12453.0</v>
      </c>
    </row>
    <row r="985">
      <c r="A985" s="5">
        <v>984.0</v>
      </c>
      <c r="B985" s="5" t="s">
        <v>84</v>
      </c>
      <c r="C985" s="12" t="s">
        <v>154</v>
      </c>
      <c r="D985" s="9" t="s">
        <v>66</v>
      </c>
      <c r="E985" s="11">
        <v>7785.0</v>
      </c>
      <c r="F985" s="11">
        <v>11621.0</v>
      </c>
    </row>
    <row r="986">
      <c r="A986" s="5">
        <v>985.0</v>
      </c>
      <c r="B986" s="5" t="s">
        <v>84</v>
      </c>
      <c r="C986" s="12" t="s">
        <v>154</v>
      </c>
      <c r="D986" s="9" t="s">
        <v>71</v>
      </c>
      <c r="E986" s="11">
        <v>7436.0</v>
      </c>
      <c r="F986" s="11">
        <v>10502.0</v>
      </c>
    </row>
    <row r="987">
      <c r="A987" s="5">
        <v>986.0</v>
      </c>
      <c r="B987" s="5" t="s">
        <v>84</v>
      </c>
      <c r="C987" s="12" t="s">
        <v>154</v>
      </c>
      <c r="D987" s="9" t="s">
        <v>71</v>
      </c>
      <c r="E987" s="11">
        <v>7248.0</v>
      </c>
      <c r="F987" s="11">
        <v>11096.0</v>
      </c>
    </row>
    <row r="988">
      <c r="A988" s="5">
        <v>987.0</v>
      </c>
      <c r="B988" s="5" t="s">
        <v>84</v>
      </c>
      <c r="C988" s="12" t="s">
        <v>154</v>
      </c>
      <c r="D988" s="9" t="s">
        <v>66</v>
      </c>
      <c r="E988" s="11">
        <v>7188.0</v>
      </c>
      <c r="F988" s="11">
        <v>10627.0</v>
      </c>
    </row>
    <row r="989">
      <c r="A989" s="5">
        <v>988.0</v>
      </c>
      <c r="B989" s="5" t="s">
        <v>84</v>
      </c>
      <c r="C989" s="12" t="s">
        <v>154</v>
      </c>
      <c r="D989" s="9" t="s">
        <v>71</v>
      </c>
      <c r="E989" s="11">
        <v>7041.0</v>
      </c>
      <c r="F989" s="11">
        <v>9916.0</v>
      </c>
    </row>
    <row r="990">
      <c r="A990" s="5">
        <v>989.0</v>
      </c>
      <c r="B990" s="5" t="s">
        <v>77</v>
      </c>
      <c r="C990" s="12" t="s">
        <v>155</v>
      </c>
      <c r="D990" s="9" t="s">
        <v>60</v>
      </c>
      <c r="E990" s="8"/>
      <c r="F990" s="8"/>
    </row>
    <row r="991">
      <c r="A991" s="5">
        <v>990.0</v>
      </c>
      <c r="B991" s="5" t="s">
        <v>77</v>
      </c>
      <c r="C991" s="12" t="s">
        <v>155</v>
      </c>
      <c r="D991" s="9" t="s">
        <v>62</v>
      </c>
      <c r="E991" s="8"/>
      <c r="F991" s="8"/>
    </row>
    <row r="992">
      <c r="A992" s="5">
        <v>991.0</v>
      </c>
      <c r="B992" s="5" t="s">
        <v>77</v>
      </c>
      <c r="C992" s="12" t="s">
        <v>155</v>
      </c>
      <c r="D992" s="9" t="s">
        <v>63</v>
      </c>
      <c r="E992" s="8"/>
      <c r="F992" s="11">
        <v>1236.0</v>
      </c>
    </row>
    <row r="993">
      <c r="A993" s="5">
        <v>992.0</v>
      </c>
      <c r="B993" s="5" t="s">
        <v>77</v>
      </c>
      <c r="C993" s="12" t="s">
        <v>155</v>
      </c>
      <c r="D993" s="9" t="s">
        <v>64</v>
      </c>
      <c r="E993" s="8"/>
      <c r="F993" s="11">
        <v>1228.0</v>
      </c>
    </row>
    <row r="994">
      <c r="A994" s="5">
        <v>993.0</v>
      </c>
      <c r="B994" s="5" t="s">
        <v>77</v>
      </c>
      <c r="C994" s="12" t="s">
        <v>155</v>
      </c>
      <c r="D994" s="9" t="s">
        <v>65</v>
      </c>
      <c r="E994" s="8"/>
      <c r="F994" s="11">
        <v>1214.0</v>
      </c>
    </row>
    <row r="995">
      <c r="A995" s="5">
        <v>994.0</v>
      </c>
      <c r="B995" s="5" t="s">
        <v>77</v>
      </c>
      <c r="C995" s="12" t="s">
        <v>155</v>
      </c>
      <c r="D995" s="9" t="s">
        <v>68</v>
      </c>
      <c r="E995" s="8"/>
      <c r="F995" s="11">
        <v>1210.0</v>
      </c>
    </row>
    <row r="996">
      <c r="A996" s="5">
        <v>995.0</v>
      </c>
      <c r="B996" s="5" t="s">
        <v>77</v>
      </c>
      <c r="C996" s="12" t="s">
        <v>155</v>
      </c>
      <c r="D996" s="9" t="s">
        <v>72</v>
      </c>
      <c r="E996" s="8"/>
      <c r="F996" s="11">
        <v>1181.0</v>
      </c>
    </row>
    <row r="997">
      <c r="A997" s="5">
        <v>996.0</v>
      </c>
      <c r="B997" s="5" t="s">
        <v>77</v>
      </c>
      <c r="C997" s="12" t="s">
        <v>155</v>
      </c>
      <c r="D997" s="9" t="s">
        <v>68</v>
      </c>
      <c r="E997" s="8"/>
      <c r="F997" s="11">
        <v>1181.0</v>
      </c>
    </row>
    <row r="998">
      <c r="A998" s="5">
        <v>997.0</v>
      </c>
      <c r="B998" s="5" t="s">
        <v>77</v>
      </c>
      <c r="C998" s="12" t="s">
        <v>155</v>
      </c>
      <c r="D998" s="9" t="s">
        <v>66</v>
      </c>
      <c r="E998" s="8"/>
      <c r="F998" s="11">
        <v>1342.0</v>
      </c>
    </row>
    <row r="999">
      <c r="A999" s="5">
        <v>998.0</v>
      </c>
      <c r="B999" s="5" t="s">
        <v>77</v>
      </c>
      <c r="C999" s="12" t="s">
        <v>155</v>
      </c>
      <c r="D999" s="9" t="s">
        <v>71</v>
      </c>
      <c r="E999" s="8"/>
      <c r="F999" s="11">
        <v>1342.0</v>
      </c>
    </row>
    <row r="1000">
      <c r="A1000" s="5">
        <v>999.0</v>
      </c>
      <c r="B1000" s="5" t="s">
        <v>77</v>
      </c>
      <c r="C1000" s="12" t="s">
        <v>155</v>
      </c>
      <c r="D1000" s="9" t="s">
        <v>71</v>
      </c>
      <c r="E1000" s="8"/>
      <c r="F1000" s="11">
        <v>1324.0</v>
      </c>
    </row>
    <row r="1001">
      <c r="A1001" s="5">
        <v>1000.0</v>
      </c>
      <c r="B1001" s="5" t="s">
        <v>77</v>
      </c>
      <c r="C1001" s="12" t="s">
        <v>155</v>
      </c>
      <c r="D1001" s="9" t="s">
        <v>66</v>
      </c>
      <c r="E1001" s="8"/>
      <c r="F1001" s="11">
        <v>1298.0</v>
      </c>
    </row>
    <row r="1002">
      <c r="A1002" s="5">
        <v>1001.0</v>
      </c>
      <c r="B1002" s="5" t="s">
        <v>77</v>
      </c>
      <c r="C1002" s="12" t="s">
        <v>155</v>
      </c>
      <c r="D1002" s="9" t="s">
        <v>71</v>
      </c>
      <c r="E1002" s="8"/>
      <c r="F1002" s="11">
        <v>1280.0</v>
      </c>
    </row>
    <row r="1003">
      <c r="A1003" s="5">
        <v>1002.0</v>
      </c>
      <c r="B1003" s="5" t="s">
        <v>77</v>
      </c>
      <c r="C1003" s="12" t="s">
        <v>156</v>
      </c>
      <c r="D1003" s="9" t="s">
        <v>60</v>
      </c>
      <c r="E1003" s="8"/>
      <c r="F1003" s="8"/>
    </row>
    <row r="1004">
      <c r="A1004" s="5">
        <v>1003.0</v>
      </c>
      <c r="B1004" s="5" t="s">
        <v>77</v>
      </c>
      <c r="C1004" s="12" t="s">
        <v>156</v>
      </c>
      <c r="D1004" s="9" t="s">
        <v>62</v>
      </c>
      <c r="E1004" s="8"/>
      <c r="F1004" s="8"/>
    </row>
    <row r="1005">
      <c r="A1005" s="5">
        <v>1004.0</v>
      </c>
      <c r="B1005" s="5" t="s">
        <v>77</v>
      </c>
      <c r="C1005" s="12" t="s">
        <v>156</v>
      </c>
      <c r="D1005" s="9" t="s">
        <v>63</v>
      </c>
      <c r="E1005" s="8"/>
      <c r="F1005" s="11">
        <v>238.0</v>
      </c>
    </row>
    <row r="1006">
      <c r="A1006" s="5">
        <v>1005.0</v>
      </c>
      <c r="B1006" s="5" t="s">
        <v>77</v>
      </c>
      <c r="C1006" s="12" t="s">
        <v>156</v>
      </c>
      <c r="D1006" s="9" t="s">
        <v>64</v>
      </c>
      <c r="E1006" s="8"/>
      <c r="F1006" s="11">
        <v>235.0</v>
      </c>
    </row>
    <row r="1007">
      <c r="A1007" s="5">
        <v>1006.0</v>
      </c>
      <c r="B1007" s="5" t="s">
        <v>77</v>
      </c>
      <c r="C1007" s="12" t="s">
        <v>156</v>
      </c>
      <c r="D1007" s="9" t="s">
        <v>65</v>
      </c>
      <c r="E1007" s="8"/>
      <c r="F1007" s="11">
        <v>227.0</v>
      </c>
    </row>
    <row r="1008">
      <c r="A1008" s="5">
        <v>1007.0</v>
      </c>
      <c r="B1008" s="5" t="s">
        <v>77</v>
      </c>
      <c r="C1008" s="12" t="s">
        <v>156</v>
      </c>
      <c r="D1008" s="9" t="s">
        <v>68</v>
      </c>
      <c r="E1008" s="11">
        <v>95.0</v>
      </c>
      <c r="F1008" s="11">
        <v>231.0</v>
      </c>
    </row>
    <row r="1009">
      <c r="A1009" s="5">
        <v>1008.0</v>
      </c>
      <c r="B1009" s="5" t="s">
        <v>77</v>
      </c>
      <c r="C1009" s="12" t="s">
        <v>156</v>
      </c>
      <c r="D1009" s="9" t="s">
        <v>72</v>
      </c>
      <c r="E1009" s="11">
        <v>90.0</v>
      </c>
      <c r="F1009" s="11">
        <v>216.0</v>
      </c>
    </row>
    <row r="1010">
      <c r="A1010" s="5">
        <v>1009.0</v>
      </c>
      <c r="B1010" s="5" t="s">
        <v>77</v>
      </c>
      <c r="C1010" s="12" t="s">
        <v>156</v>
      </c>
      <c r="D1010" s="9" t="s">
        <v>69</v>
      </c>
      <c r="E1010" s="11">
        <v>87.0</v>
      </c>
      <c r="F1010" s="11">
        <v>213.0</v>
      </c>
    </row>
    <row r="1011">
      <c r="A1011" s="5">
        <v>1010.0</v>
      </c>
      <c r="B1011" s="5" t="s">
        <v>77</v>
      </c>
      <c r="C1011" s="12" t="s">
        <v>156</v>
      </c>
      <c r="D1011" s="9" t="s">
        <v>66</v>
      </c>
      <c r="E1011" s="11">
        <v>86.0</v>
      </c>
      <c r="F1011" s="11">
        <v>202.0</v>
      </c>
    </row>
    <row r="1012">
      <c r="A1012" s="5">
        <v>1011.0</v>
      </c>
      <c r="B1012" s="5" t="s">
        <v>77</v>
      </c>
      <c r="C1012" s="12" t="s">
        <v>156</v>
      </c>
      <c r="D1012" s="9" t="s">
        <v>71</v>
      </c>
      <c r="E1012" s="8"/>
      <c r="F1012" s="11">
        <v>194.0</v>
      </c>
    </row>
    <row r="1013">
      <c r="A1013" s="5">
        <v>1012.0</v>
      </c>
      <c r="B1013" s="5" t="s">
        <v>77</v>
      </c>
      <c r="C1013" s="12" t="s">
        <v>156</v>
      </c>
      <c r="D1013" s="9" t="s">
        <v>71</v>
      </c>
      <c r="E1013" s="8"/>
      <c r="F1013" s="11">
        <v>154.0</v>
      </c>
    </row>
    <row r="1014">
      <c r="A1014" s="5">
        <v>1013.0</v>
      </c>
      <c r="B1014" s="5" t="s">
        <v>77</v>
      </c>
      <c r="C1014" s="12" t="s">
        <v>156</v>
      </c>
      <c r="D1014" s="9" t="s">
        <v>66</v>
      </c>
      <c r="E1014" s="8"/>
      <c r="F1014" s="11">
        <v>150.0</v>
      </c>
    </row>
    <row r="1015">
      <c r="A1015" s="5">
        <v>1014.0</v>
      </c>
      <c r="B1015" s="5" t="s">
        <v>77</v>
      </c>
      <c r="C1015" s="12" t="s">
        <v>156</v>
      </c>
      <c r="D1015" s="9" t="s">
        <v>71</v>
      </c>
      <c r="E1015" s="8"/>
      <c r="F1015" s="11">
        <v>147.0</v>
      </c>
    </row>
    <row r="1016">
      <c r="A1016" s="5">
        <v>1015.0</v>
      </c>
      <c r="B1016" s="5" t="s">
        <v>84</v>
      </c>
      <c r="C1016" s="12" t="s">
        <v>157</v>
      </c>
      <c r="D1016" s="9" t="s">
        <v>60</v>
      </c>
      <c r="E1016" s="8"/>
      <c r="F1016" s="8"/>
    </row>
    <row r="1017">
      <c r="A1017" s="5">
        <v>1016.0</v>
      </c>
      <c r="B1017" s="5" t="s">
        <v>84</v>
      </c>
      <c r="C1017" s="12" t="s">
        <v>157</v>
      </c>
      <c r="D1017" s="9" t="s">
        <v>62</v>
      </c>
      <c r="E1017" s="8"/>
      <c r="F1017" s="8"/>
    </row>
    <row r="1018">
      <c r="A1018" s="5">
        <v>1017.0</v>
      </c>
      <c r="B1018" s="5" t="s">
        <v>84</v>
      </c>
      <c r="C1018" s="12" t="s">
        <v>157</v>
      </c>
      <c r="D1018" s="9" t="s">
        <v>63</v>
      </c>
      <c r="E1018" s="8"/>
      <c r="F1018" s="11">
        <v>1701.0</v>
      </c>
    </row>
    <row r="1019">
      <c r="A1019" s="5">
        <v>1018.0</v>
      </c>
      <c r="B1019" s="5" t="s">
        <v>84</v>
      </c>
      <c r="C1019" s="12" t="s">
        <v>157</v>
      </c>
      <c r="D1019" s="9" t="s">
        <v>64</v>
      </c>
      <c r="E1019" s="8"/>
      <c r="F1019" s="11">
        <v>1555.0</v>
      </c>
    </row>
    <row r="1020">
      <c r="A1020" s="5">
        <v>1019.0</v>
      </c>
      <c r="B1020" s="5" t="s">
        <v>84</v>
      </c>
      <c r="C1020" s="12" t="s">
        <v>157</v>
      </c>
      <c r="D1020" s="9" t="s">
        <v>65</v>
      </c>
      <c r="E1020" s="8"/>
      <c r="F1020" s="11">
        <v>1558.0</v>
      </c>
    </row>
    <row r="1021">
      <c r="A1021" s="5">
        <v>1020.0</v>
      </c>
      <c r="B1021" s="5" t="s">
        <v>84</v>
      </c>
      <c r="C1021" s="12" t="s">
        <v>157</v>
      </c>
      <c r="D1021" s="9" t="s">
        <v>68</v>
      </c>
      <c r="E1021" s="11">
        <v>500.0</v>
      </c>
      <c r="F1021" s="11">
        <v>1566.0</v>
      </c>
    </row>
    <row r="1022">
      <c r="A1022" s="5">
        <v>1021.0</v>
      </c>
      <c r="B1022" s="5" t="s">
        <v>84</v>
      </c>
      <c r="C1022" s="12" t="s">
        <v>157</v>
      </c>
      <c r="D1022" s="9" t="s">
        <v>72</v>
      </c>
      <c r="E1022" s="11">
        <v>500.0</v>
      </c>
      <c r="F1022" s="11">
        <v>1291.0</v>
      </c>
    </row>
    <row r="1023">
      <c r="A1023" s="5">
        <v>1022.0</v>
      </c>
      <c r="B1023" s="5" t="s">
        <v>84</v>
      </c>
      <c r="C1023" s="12" t="s">
        <v>157</v>
      </c>
      <c r="D1023" s="9" t="s">
        <v>69</v>
      </c>
      <c r="E1023" s="11">
        <v>495.0</v>
      </c>
      <c r="F1023" s="11">
        <v>1434.0</v>
      </c>
    </row>
    <row r="1024">
      <c r="A1024" s="5">
        <v>1023.0</v>
      </c>
      <c r="B1024" s="5" t="s">
        <v>84</v>
      </c>
      <c r="C1024" s="12" t="s">
        <v>157</v>
      </c>
      <c r="D1024" s="9" t="s">
        <v>66</v>
      </c>
      <c r="E1024" s="11">
        <v>479.0</v>
      </c>
      <c r="F1024" s="11">
        <v>1628.0</v>
      </c>
    </row>
    <row r="1025">
      <c r="A1025" s="5">
        <v>1024.0</v>
      </c>
      <c r="B1025" s="5" t="s">
        <v>84</v>
      </c>
      <c r="C1025" s="12" t="s">
        <v>157</v>
      </c>
      <c r="D1025" s="9" t="s">
        <v>71</v>
      </c>
      <c r="E1025" s="8"/>
      <c r="F1025" s="11">
        <v>1566.0</v>
      </c>
    </row>
    <row r="1026">
      <c r="A1026" s="5">
        <v>1025.0</v>
      </c>
      <c r="B1026" s="5" t="s">
        <v>84</v>
      </c>
      <c r="C1026" s="12" t="s">
        <v>157</v>
      </c>
      <c r="D1026" s="9" t="s">
        <v>71</v>
      </c>
      <c r="E1026" s="8"/>
      <c r="F1026" s="11">
        <v>1580.0</v>
      </c>
    </row>
    <row r="1027">
      <c r="A1027" s="5">
        <v>1026.0</v>
      </c>
      <c r="B1027" s="5" t="s">
        <v>84</v>
      </c>
      <c r="C1027" s="12" t="s">
        <v>157</v>
      </c>
      <c r="D1027" s="9" t="s">
        <v>66</v>
      </c>
      <c r="E1027" s="8"/>
      <c r="F1027" s="11">
        <v>1595.0</v>
      </c>
    </row>
    <row r="1028">
      <c r="A1028" s="5">
        <v>1027.0</v>
      </c>
      <c r="B1028" s="5" t="s">
        <v>84</v>
      </c>
      <c r="C1028" s="12" t="s">
        <v>157</v>
      </c>
      <c r="D1028" s="9" t="s">
        <v>71</v>
      </c>
      <c r="E1028" s="8"/>
      <c r="F1028" s="11">
        <v>1610.0</v>
      </c>
    </row>
    <row r="1029">
      <c r="A1029" s="5">
        <v>1028.0</v>
      </c>
      <c r="B1029" s="5" t="s">
        <v>84</v>
      </c>
      <c r="C1029" s="12" t="s">
        <v>158</v>
      </c>
      <c r="D1029" s="9" t="s">
        <v>60</v>
      </c>
      <c r="E1029" s="8"/>
      <c r="F1029" s="8"/>
    </row>
    <row r="1030">
      <c r="A1030" s="5">
        <v>1029.0</v>
      </c>
      <c r="B1030" s="5" t="s">
        <v>84</v>
      </c>
      <c r="C1030" s="12" t="s">
        <v>158</v>
      </c>
      <c r="D1030" s="9" t="s">
        <v>62</v>
      </c>
      <c r="E1030" s="11">
        <v>3211.0</v>
      </c>
      <c r="F1030" s="8"/>
    </row>
    <row r="1031">
      <c r="A1031" s="5">
        <v>1030.0</v>
      </c>
      <c r="B1031" s="5" t="s">
        <v>84</v>
      </c>
      <c r="C1031" s="12" t="s">
        <v>158</v>
      </c>
      <c r="D1031" s="9" t="s">
        <v>63</v>
      </c>
      <c r="E1031" s="11">
        <v>2409.0</v>
      </c>
      <c r="F1031" s="11">
        <v>2120.0</v>
      </c>
    </row>
    <row r="1032">
      <c r="A1032" s="5">
        <v>1031.0</v>
      </c>
      <c r="B1032" s="5" t="s">
        <v>84</v>
      </c>
      <c r="C1032" s="12" t="s">
        <v>158</v>
      </c>
      <c r="D1032" s="9" t="s">
        <v>64</v>
      </c>
      <c r="E1032" s="11">
        <v>2732.0</v>
      </c>
      <c r="F1032" s="11">
        <v>2263.0</v>
      </c>
    </row>
    <row r="1033">
      <c r="A1033" s="5">
        <v>1032.0</v>
      </c>
      <c r="B1033" s="5" t="s">
        <v>84</v>
      </c>
      <c r="C1033" s="12" t="s">
        <v>158</v>
      </c>
      <c r="D1033" s="9" t="s">
        <v>65</v>
      </c>
      <c r="E1033" s="11">
        <v>2927.0</v>
      </c>
      <c r="F1033" s="11">
        <v>2428.0</v>
      </c>
    </row>
    <row r="1034">
      <c r="A1034" s="5">
        <v>1033.0</v>
      </c>
      <c r="B1034" s="5" t="s">
        <v>84</v>
      </c>
      <c r="C1034" s="12" t="s">
        <v>158</v>
      </c>
      <c r="D1034" s="9" t="s">
        <v>68</v>
      </c>
      <c r="E1034" s="11">
        <v>2509.0</v>
      </c>
      <c r="F1034" s="11">
        <v>2391.0</v>
      </c>
    </row>
    <row r="1035">
      <c r="A1035" s="5">
        <v>1034.0</v>
      </c>
      <c r="B1035" s="5" t="s">
        <v>84</v>
      </c>
      <c r="C1035" s="12" t="s">
        <v>158</v>
      </c>
      <c r="D1035" s="9" t="s">
        <v>72</v>
      </c>
      <c r="E1035" s="11">
        <v>2645.0</v>
      </c>
      <c r="F1035" s="11">
        <v>2112.0</v>
      </c>
    </row>
    <row r="1036">
      <c r="A1036" s="5">
        <v>1035.0</v>
      </c>
      <c r="B1036" s="5" t="s">
        <v>84</v>
      </c>
      <c r="C1036" s="12" t="s">
        <v>158</v>
      </c>
      <c r="D1036" s="9" t="s">
        <v>69</v>
      </c>
      <c r="E1036" s="11">
        <v>2585.0</v>
      </c>
      <c r="F1036" s="11">
        <v>2076.0</v>
      </c>
    </row>
    <row r="1037">
      <c r="A1037" s="5">
        <v>1036.0</v>
      </c>
      <c r="B1037" s="5" t="s">
        <v>84</v>
      </c>
      <c r="C1037" s="12" t="s">
        <v>158</v>
      </c>
      <c r="D1037" s="9" t="s">
        <v>66</v>
      </c>
      <c r="E1037" s="11">
        <v>2288.0</v>
      </c>
      <c r="F1037" s="11">
        <v>1988.0</v>
      </c>
    </row>
    <row r="1038">
      <c r="A1038" s="5">
        <v>1037.0</v>
      </c>
      <c r="B1038" s="5" t="s">
        <v>84</v>
      </c>
      <c r="C1038" s="12" t="s">
        <v>158</v>
      </c>
      <c r="D1038" s="9" t="s">
        <v>71</v>
      </c>
      <c r="E1038" s="11">
        <v>2218.0</v>
      </c>
      <c r="F1038" s="11">
        <v>1734.0</v>
      </c>
    </row>
    <row r="1039">
      <c r="A1039" s="5">
        <v>1038.0</v>
      </c>
      <c r="B1039" s="5" t="s">
        <v>84</v>
      </c>
      <c r="C1039" s="12" t="s">
        <v>158</v>
      </c>
      <c r="D1039" s="9" t="s">
        <v>71</v>
      </c>
      <c r="E1039" s="11">
        <v>2309.0</v>
      </c>
      <c r="F1039" s="11">
        <v>1826.0</v>
      </c>
    </row>
    <row r="1040">
      <c r="A1040" s="5">
        <v>1039.0</v>
      </c>
      <c r="B1040" s="5" t="s">
        <v>84</v>
      </c>
      <c r="C1040" s="12" t="s">
        <v>158</v>
      </c>
      <c r="D1040" s="9" t="s">
        <v>66</v>
      </c>
      <c r="E1040" s="11">
        <v>2054.0</v>
      </c>
      <c r="F1040" s="11">
        <v>1569.0</v>
      </c>
    </row>
    <row r="1041">
      <c r="A1041" s="5">
        <v>1040.0</v>
      </c>
      <c r="B1041" s="5" t="s">
        <v>84</v>
      </c>
      <c r="C1041" s="12" t="s">
        <v>158</v>
      </c>
      <c r="D1041" s="9" t="s">
        <v>71</v>
      </c>
      <c r="E1041" s="11">
        <v>2010.0</v>
      </c>
      <c r="F1041" s="11">
        <v>1368.0</v>
      </c>
    </row>
    <row r="1042">
      <c r="A1042" s="5">
        <v>1041.0</v>
      </c>
      <c r="B1042" s="5" t="s">
        <v>84</v>
      </c>
      <c r="C1042" s="12" t="s">
        <v>159</v>
      </c>
      <c r="D1042" s="9" t="s">
        <v>60</v>
      </c>
      <c r="E1042" s="8"/>
      <c r="F1042" s="8"/>
    </row>
    <row r="1043">
      <c r="A1043" s="5">
        <v>1042.0</v>
      </c>
      <c r="B1043" s="5" t="s">
        <v>84</v>
      </c>
      <c r="C1043" s="12" t="s">
        <v>159</v>
      </c>
      <c r="D1043" s="9" t="s">
        <v>62</v>
      </c>
      <c r="E1043" s="11">
        <v>4740.0</v>
      </c>
      <c r="F1043" s="8"/>
    </row>
    <row r="1044">
      <c r="A1044" s="5">
        <v>1043.0</v>
      </c>
      <c r="B1044" s="5" t="s">
        <v>84</v>
      </c>
      <c r="C1044" s="12" t="s">
        <v>159</v>
      </c>
      <c r="D1044" s="9" t="s">
        <v>63</v>
      </c>
      <c r="E1044" s="11">
        <v>4567.0</v>
      </c>
      <c r="F1044" s="11">
        <v>8108.0</v>
      </c>
    </row>
    <row r="1045">
      <c r="A1045" s="5">
        <v>1044.0</v>
      </c>
      <c r="B1045" s="5" t="s">
        <v>84</v>
      </c>
      <c r="C1045" s="12" t="s">
        <v>159</v>
      </c>
      <c r="D1045" s="9" t="s">
        <v>64</v>
      </c>
      <c r="E1045" s="11">
        <v>4453.0</v>
      </c>
      <c r="F1045" s="11">
        <v>7866.0</v>
      </c>
    </row>
    <row r="1046">
      <c r="A1046" s="5">
        <v>1045.0</v>
      </c>
      <c r="B1046" s="5" t="s">
        <v>84</v>
      </c>
      <c r="C1046" s="12" t="s">
        <v>159</v>
      </c>
      <c r="D1046" s="9" t="s">
        <v>65</v>
      </c>
      <c r="E1046" s="11">
        <v>4648.0</v>
      </c>
      <c r="F1046" s="11">
        <v>8672.0</v>
      </c>
    </row>
    <row r="1047">
      <c r="A1047" s="5">
        <v>1046.0</v>
      </c>
      <c r="B1047" s="5" t="s">
        <v>84</v>
      </c>
      <c r="C1047" s="12" t="s">
        <v>159</v>
      </c>
      <c r="D1047" s="9" t="s">
        <v>68</v>
      </c>
      <c r="E1047" s="11">
        <v>4692.0</v>
      </c>
      <c r="F1047" s="11">
        <v>8779.0</v>
      </c>
    </row>
    <row r="1048">
      <c r="A1048" s="5">
        <v>1047.0</v>
      </c>
      <c r="B1048" s="5" t="s">
        <v>84</v>
      </c>
      <c r="C1048" s="12" t="s">
        <v>159</v>
      </c>
      <c r="D1048" s="9" t="s">
        <v>72</v>
      </c>
      <c r="E1048" s="11">
        <v>3993.0</v>
      </c>
      <c r="F1048" s="11">
        <v>7008.0</v>
      </c>
    </row>
    <row r="1049">
      <c r="A1049" s="5">
        <v>1048.0</v>
      </c>
      <c r="B1049" s="5" t="s">
        <v>84</v>
      </c>
      <c r="C1049" s="12" t="s">
        <v>159</v>
      </c>
      <c r="D1049" s="9" t="s">
        <v>69</v>
      </c>
      <c r="E1049" s="11">
        <v>3997.0</v>
      </c>
      <c r="F1049" s="11">
        <v>7554.0</v>
      </c>
    </row>
    <row r="1050">
      <c r="A1050" s="5">
        <v>1049.0</v>
      </c>
      <c r="B1050" s="5" t="s">
        <v>84</v>
      </c>
      <c r="C1050" s="12" t="s">
        <v>159</v>
      </c>
      <c r="D1050" s="9" t="s">
        <v>66</v>
      </c>
      <c r="E1050" s="11">
        <v>3853.0</v>
      </c>
      <c r="F1050" s="11">
        <v>7367.0</v>
      </c>
    </row>
    <row r="1051">
      <c r="A1051" s="5">
        <v>1050.0</v>
      </c>
      <c r="B1051" s="5" t="s">
        <v>84</v>
      </c>
      <c r="C1051" s="12" t="s">
        <v>159</v>
      </c>
      <c r="D1051" s="9" t="s">
        <v>71</v>
      </c>
      <c r="E1051" s="11">
        <v>3647.0</v>
      </c>
      <c r="F1051" s="11">
        <v>6769.0</v>
      </c>
    </row>
    <row r="1052">
      <c r="A1052" s="5">
        <v>1051.0</v>
      </c>
      <c r="B1052" s="5" t="s">
        <v>84</v>
      </c>
      <c r="C1052" s="12" t="s">
        <v>159</v>
      </c>
      <c r="D1052" s="9" t="s">
        <v>71</v>
      </c>
      <c r="E1052" s="11">
        <v>3380.0</v>
      </c>
      <c r="F1052" s="11">
        <v>6091.0</v>
      </c>
    </row>
    <row r="1053">
      <c r="A1053" s="5">
        <v>1052.0</v>
      </c>
      <c r="B1053" s="5" t="s">
        <v>84</v>
      </c>
      <c r="C1053" s="12" t="s">
        <v>159</v>
      </c>
      <c r="D1053" s="9" t="s">
        <v>66</v>
      </c>
      <c r="E1053" s="11">
        <v>3224.0</v>
      </c>
      <c r="F1053" s="11">
        <v>5713.0</v>
      </c>
    </row>
    <row r="1054">
      <c r="A1054" s="5">
        <v>1053.0</v>
      </c>
      <c r="B1054" s="5" t="s">
        <v>84</v>
      </c>
      <c r="C1054" s="12" t="s">
        <v>159</v>
      </c>
      <c r="D1054" s="9" t="s">
        <v>71</v>
      </c>
      <c r="E1054" s="11">
        <v>2990.0</v>
      </c>
      <c r="F1054" s="11">
        <v>5031.0</v>
      </c>
    </row>
    <row r="1055">
      <c r="A1055" s="5">
        <v>1054.0</v>
      </c>
      <c r="B1055" s="5" t="s">
        <v>61</v>
      </c>
      <c r="C1055" s="12" t="s">
        <v>160</v>
      </c>
      <c r="D1055" s="9" t="s">
        <v>60</v>
      </c>
      <c r="E1055" s="8"/>
      <c r="F1055" s="8"/>
    </row>
    <row r="1056">
      <c r="A1056" s="5">
        <v>1055.0</v>
      </c>
      <c r="B1056" s="5" t="s">
        <v>61</v>
      </c>
      <c r="C1056" s="12" t="s">
        <v>160</v>
      </c>
      <c r="D1056" s="9" t="s">
        <v>62</v>
      </c>
      <c r="E1056" s="11">
        <v>14894.0</v>
      </c>
      <c r="F1056" s="8"/>
    </row>
    <row r="1057">
      <c r="A1057" s="5">
        <v>1056.0</v>
      </c>
      <c r="B1057" s="5" t="s">
        <v>61</v>
      </c>
      <c r="C1057" s="12" t="s">
        <v>160</v>
      </c>
      <c r="D1057" s="9" t="s">
        <v>63</v>
      </c>
      <c r="E1057" s="11">
        <v>13838.0</v>
      </c>
      <c r="F1057" s="11">
        <v>36289.0</v>
      </c>
    </row>
    <row r="1058">
      <c r="A1058" s="5">
        <v>1057.0</v>
      </c>
      <c r="B1058" s="5" t="s">
        <v>61</v>
      </c>
      <c r="C1058" s="12" t="s">
        <v>160</v>
      </c>
      <c r="D1058" s="9" t="s">
        <v>64</v>
      </c>
      <c r="E1058" s="11">
        <v>14933.0</v>
      </c>
      <c r="F1058" s="11">
        <v>36996.0</v>
      </c>
    </row>
    <row r="1059">
      <c r="A1059" s="5">
        <v>1058.0</v>
      </c>
      <c r="B1059" s="5" t="s">
        <v>61</v>
      </c>
      <c r="C1059" s="12" t="s">
        <v>160</v>
      </c>
      <c r="D1059" s="9" t="s">
        <v>65</v>
      </c>
      <c r="E1059" s="11">
        <v>14139.0</v>
      </c>
      <c r="F1059" s="11">
        <v>38573.0</v>
      </c>
    </row>
    <row r="1060">
      <c r="A1060" s="5">
        <v>1059.0</v>
      </c>
      <c r="B1060" s="5" t="s">
        <v>61</v>
      </c>
      <c r="C1060" s="12" t="s">
        <v>160</v>
      </c>
      <c r="D1060" s="9" t="s">
        <v>68</v>
      </c>
      <c r="E1060" s="11">
        <v>14338.0</v>
      </c>
      <c r="F1060" s="11">
        <v>39963.0</v>
      </c>
    </row>
    <row r="1061">
      <c r="A1061" s="5">
        <v>1060.0</v>
      </c>
      <c r="B1061" s="5" t="s">
        <v>61</v>
      </c>
      <c r="C1061" s="12" t="s">
        <v>160</v>
      </c>
      <c r="D1061" s="9" t="s">
        <v>72</v>
      </c>
      <c r="E1061" s="11">
        <v>13330.0</v>
      </c>
      <c r="F1061" s="11">
        <v>38555.0</v>
      </c>
    </row>
    <row r="1062">
      <c r="A1062" s="5">
        <v>1061.0</v>
      </c>
      <c r="B1062" s="5" t="s">
        <v>61</v>
      </c>
      <c r="C1062" s="12" t="s">
        <v>160</v>
      </c>
      <c r="D1062" s="9" t="s">
        <v>69</v>
      </c>
      <c r="E1062" s="11">
        <v>12664.0</v>
      </c>
      <c r="F1062" s="11">
        <v>40546.0</v>
      </c>
    </row>
    <row r="1063">
      <c r="A1063" s="5">
        <v>1062.0</v>
      </c>
      <c r="B1063" s="5" t="s">
        <v>61</v>
      </c>
      <c r="C1063" s="12" t="s">
        <v>160</v>
      </c>
      <c r="D1063" s="9" t="s">
        <v>66</v>
      </c>
      <c r="E1063" s="11">
        <v>12808.0</v>
      </c>
      <c r="F1063" s="11">
        <v>38415.0</v>
      </c>
    </row>
    <row r="1064">
      <c r="A1064" s="5">
        <v>1063.0</v>
      </c>
      <c r="B1064" s="5" t="s">
        <v>61</v>
      </c>
      <c r="C1064" s="12" t="s">
        <v>160</v>
      </c>
      <c r="D1064" s="9" t="s">
        <v>71</v>
      </c>
      <c r="E1064" s="11">
        <v>13608.0</v>
      </c>
      <c r="F1064" s="11">
        <v>40066.0</v>
      </c>
    </row>
    <row r="1065">
      <c r="A1065" s="5">
        <v>1064.0</v>
      </c>
      <c r="B1065" s="5" t="s">
        <v>61</v>
      </c>
      <c r="C1065" s="12" t="s">
        <v>160</v>
      </c>
      <c r="D1065" s="9" t="s">
        <v>71</v>
      </c>
      <c r="E1065" s="11">
        <v>13195.0</v>
      </c>
      <c r="F1065" s="11">
        <v>36952.0</v>
      </c>
    </row>
    <row r="1066">
      <c r="A1066" s="5">
        <v>1065.0</v>
      </c>
      <c r="B1066" s="5" t="s">
        <v>61</v>
      </c>
      <c r="C1066" s="12" t="s">
        <v>160</v>
      </c>
      <c r="D1066" s="9" t="s">
        <v>66</v>
      </c>
      <c r="E1066" s="11">
        <v>14145.0</v>
      </c>
      <c r="F1066" s="11">
        <v>37972.0</v>
      </c>
    </row>
    <row r="1067">
      <c r="A1067" s="5">
        <v>1066.0</v>
      </c>
      <c r="B1067" s="5" t="s">
        <v>61</v>
      </c>
      <c r="C1067" s="12" t="s">
        <v>160</v>
      </c>
      <c r="D1067" s="9" t="s">
        <v>71</v>
      </c>
      <c r="E1067" s="11">
        <v>13392.0</v>
      </c>
      <c r="F1067" s="11">
        <v>40465.0</v>
      </c>
    </row>
    <row r="1068">
      <c r="A1068" s="5">
        <v>1067.0</v>
      </c>
      <c r="B1068" s="5" t="s">
        <v>75</v>
      </c>
      <c r="C1068" s="12" t="s">
        <v>161</v>
      </c>
      <c r="D1068" s="9" t="s">
        <v>60</v>
      </c>
      <c r="E1068" s="11">
        <v>23499.0</v>
      </c>
      <c r="F1068" s="8"/>
    </row>
    <row r="1069">
      <c r="A1069" s="5">
        <v>1068.0</v>
      </c>
      <c r="B1069" s="5" t="s">
        <v>75</v>
      </c>
      <c r="C1069" s="12" t="s">
        <v>161</v>
      </c>
      <c r="D1069" s="9" t="s">
        <v>62</v>
      </c>
      <c r="E1069" s="11">
        <v>24964.0</v>
      </c>
      <c r="F1069" s="8"/>
    </row>
    <row r="1070">
      <c r="A1070" s="5">
        <v>1069.0</v>
      </c>
      <c r="B1070" s="5" t="s">
        <v>75</v>
      </c>
      <c r="C1070" s="12" t="s">
        <v>161</v>
      </c>
      <c r="D1070" s="9" t="s">
        <v>63</v>
      </c>
      <c r="E1070" s="11">
        <v>25667.0</v>
      </c>
      <c r="F1070" s="11">
        <v>50583.0</v>
      </c>
    </row>
    <row r="1071">
      <c r="A1071" s="5">
        <v>1070.0</v>
      </c>
      <c r="B1071" s="5" t="s">
        <v>75</v>
      </c>
      <c r="C1071" s="12" t="s">
        <v>161</v>
      </c>
      <c r="D1071" s="9" t="s">
        <v>64</v>
      </c>
      <c r="E1071" s="11">
        <v>24859.0</v>
      </c>
      <c r="F1071" s="11">
        <v>48676.0</v>
      </c>
    </row>
    <row r="1072">
      <c r="A1072" s="5">
        <v>1071.0</v>
      </c>
      <c r="B1072" s="5" t="s">
        <v>75</v>
      </c>
      <c r="C1072" s="12" t="s">
        <v>161</v>
      </c>
      <c r="D1072" s="9" t="s">
        <v>65</v>
      </c>
      <c r="E1072" s="11">
        <v>26458.0</v>
      </c>
      <c r="F1072" s="11">
        <v>54657.0</v>
      </c>
    </row>
    <row r="1073">
      <c r="A1073" s="5">
        <v>1072.0</v>
      </c>
      <c r="B1073" s="5" t="s">
        <v>75</v>
      </c>
      <c r="C1073" s="12" t="s">
        <v>161</v>
      </c>
      <c r="D1073" s="9" t="s">
        <v>68</v>
      </c>
      <c r="E1073" s="11">
        <v>26729.0</v>
      </c>
      <c r="F1073" s="11">
        <v>55859.0</v>
      </c>
    </row>
    <row r="1074">
      <c r="A1074" s="5">
        <v>1073.0</v>
      </c>
      <c r="B1074" s="5" t="s">
        <v>75</v>
      </c>
      <c r="C1074" s="12" t="s">
        <v>161</v>
      </c>
      <c r="D1074" s="9" t="s">
        <v>72</v>
      </c>
      <c r="E1074" s="11">
        <v>27330.0</v>
      </c>
      <c r="F1074" s="11">
        <v>57235.0</v>
      </c>
    </row>
    <row r="1075">
      <c r="A1075" s="5">
        <v>1074.0</v>
      </c>
      <c r="B1075" s="5" t="s">
        <v>75</v>
      </c>
      <c r="C1075" s="12" t="s">
        <v>161</v>
      </c>
      <c r="D1075" s="9" t="s">
        <v>69</v>
      </c>
      <c r="E1075" s="11">
        <v>27583.0</v>
      </c>
      <c r="F1075" s="11">
        <v>57917.0</v>
      </c>
    </row>
    <row r="1076">
      <c r="A1076" s="5">
        <v>1075.0</v>
      </c>
      <c r="B1076" s="5" t="s">
        <v>75</v>
      </c>
      <c r="C1076" s="12" t="s">
        <v>161</v>
      </c>
      <c r="D1076" s="9" t="s">
        <v>66</v>
      </c>
      <c r="E1076" s="11">
        <v>26157.0</v>
      </c>
      <c r="F1076" s="11">
        <v>57352.0</v>
      </c>
    </row>
    <row r="1077">
      <c r="A1077" s="5">
        <v>1076.0</v>
      </c>
      <c r="B1077" s="5" t="s">
        <v>75</v>
      </c>
      <c r="C1077" s="12" t="s">
        <v>161</v>
      </c>
      <c r="D1077" s="9" t="s">
        <v>71</v>
      </c>
      <c r="E1077" s="11">
        <v>26136.0</v>
      </c>
      <c r="F1077" s="11">
        <v>59072.0</v>
      </c>
    </row>
    <row r="1078">
      <c r="A1078" s="5">
        <v>1077.0</v>
      </c>
      <c r="B1078" s="5" t="s">
        <v>75</v>
      </c>
      <c r="C1078" s="12" t="s">
        <v>161</v>
      </c>
      <c r="D1078" s="9" t="s">
        <v>71</v>
      </c>
      <c r="E1078" s="11">
        <v>25601.0</v>
      </c>
      <c r="F1078" s="11">
        <v>56094.0</v>
      </c>
    </row>
    <row r="1079">
      <c r="A1079" s="5">
        <v>1078.0</v>
      </c>
      <c r="B1079" s="5" t="s">
        <v>75</v>
      </c>
      <c r="C1079" s="12" t="s">
        <v>161</v>
      </c>
      <c r="D1079" s="9" t="s">
        <v>66</v>
      </c>
      <c r="E1079" s="11">
        <v>25591.0</v>
      </c>
      <c r="F1079" s="11">
        <v>57022.0</v>
      </c>
    </row>
    <row r="1080">
      <c r="A1080" s="5">
        <v>1079.0</v>
      </c>
      <c r="B1080" s="5" t="s">
        <v>75</v>
      </c>
      <c r="C1080" s="12" t="s">
        <v>161</v>
      </c>
      <c r="D1080" s="9" t="s">
        <v>71</v>
      </c>
      <c r="E1080" s="11">
        <v>24999.0</v>
      </c>
      <c r="F1080" s="11">
        <v>57238.0</v>
      </c>
    </row>
    <row r="1081">
      <c r="A1081" s="5">
        <v>1080.0</v>
      </c>
      <c r="B1081" s="5" t="s">
        <v>75</v>
      </c>
      <c r="C1081" s="12" t="s">
        <v>162</v>
      </c>
      <c r="D1081" s="9" t="s">
        <v>60</v>
      </c>
      <c r="E1081" s="11">
        <v>6021.0</v>
      </c>
      <c r="F1081" s="8"/>
    </row>
    <row r="1082">
      <c r="A1082" s="5">
        <v>1081.0</v>
      </c>
      <c r="B1082" s="5" t="s">
        <v>75</v>
      </c>
      <c r="C1082" s="12" t="s">
        <v>162</v>
      </c>
      <c r="D1082" s="9" t="s">
        <v>62</v>
      </c>
      <c r="E1082" s="11">
        <v>5731.0</v>
      </c>
      <c r="F1082" s="8"/>
    </row>
    <row r="1083">
      <c r="A1083" s="5">
        <v>1082.0</v>
      </c>
      <c r="B1083" s="5" t="s">
        <v>75</v>
      </c>
      <c r="C1083" s="12" t="s">
        <v>162</v>
      </c>
      <c r="D1083" s="9" t="s">
        <v>63</v>
      </c>
      <c r="E1083" s="11">
        <v>5369.0</v>
      </c>
      <c r="F1083" s="11">
        <v>1962.0</v>
      </c>
    </row>
    <row r="1084">
      <c r="A1084" s="5">
        <v>1083.0</v>
      </c>
      <c r="B1084" s="5" t="s">
        <v>75</v>
      </c>
      <c r="C1084" s="12" t="s">
        <v>162</v>
      </c>
      <c r="D1084" s="9" t="s">
        <v>64</v>
      </c>
      <c r="E1084" s="11">
        <v>5384.0</v>
      </c>
      <c r="F1084" s="11">
        <v>2054.0</v>
      </c>
    </row>
    <row r="1085">
      <c r="A1085" s="5">
        <v>1084.0</v>
      </c>
      <c r="B1085" s="5" t="s">
        <v>75</v>
      </c>
      <c r="C1085" s="12" t="s">
        <v>162</v>
      </c>
      <c r="D1085" s="9" t="s">
        <v>65</v>
      </c>
      <c r="E1085" s="11">
        <v>5354.0</v>
      </c>
      <c r="F1085" s="11">
        <v>2120.0</v>
      </c>
    </row>
    <row r="1086">
      <c r="A1086" s="5">
        <v>1085.0</v>
      </c>
      <c r="B1086" s="5" t="s">
        <v>75</v>
      </c>
      <c r="C1086" s="12" t="s">
        <v>162</v>
      </c>
      <c r="D1086" s="9" t="s">
        <v>68</v>
      </c>
      <c r="E1086" s="11">
        <v>4836.0</v>
      </c>
      <c r="F1086" s="11">
        <v>2310.0</v>
      </c>
    </row>
    <row r="1087">
      <c r="A1087" s="5">
        <v>1086.0</v>
      </c>
      <c r="B1087" s="5" t="s">
        <v>75</v>
      </c>
      <c r="C1087" s="12" t="s">
        <v>162</v>
      </c>
      <c r="D1087" s="9" t="s">
        <v>72</v>
      </c>
      <c r="E1087" s="11">
        <v>4159.0</v>
      </c>
      <c r="F1087" s="11">
        <v>2277.0</v>
      </c>
    </row>
    <row r="1088">
      <c r="A1088" s="5">
        <v>1087.0</v>
      </c>
      <c r="B1088" s="5" t="s">
        <v>75</v>
      </c>
      <c r="C1088" s="12" t="s">
        <v>162</v>
      </c>
      <c r="D1088" s="9" t="s">
        <v>69</v>
      </c>
      <c r="E1088" s="11">
        <v>3480.0</v>
      </c>
      <c r="F1088" s="11">
        <v>2204.0</v>
      </c>
    </row>
    <row r="1089">
      <c r="A1089" s="5">
        <v>1088.0</v>
      </c>
      <c r="B1089" s="5" t="s">
        <v>75</v>
      </c>
      <c r="C1089" s="12" t="s">
        <v>162</v>
      </c>
      <c r="D1089" s="9" t="s">
        <v>66</v>
      </c>
      <c r="E1089" s="11">
        <v>3368.0</v>
      </c>
      <c r="F1089" s="11">
        <v>2233.0</v>
      </c>
    </row>
    <row r="1090">
      <c r="A1090" s="5">
        <v>1089.0</v>
      </c>
      <c r="B1090" s="5" t="s">
        <v>75</v>
      </c>
      <c r="C1090" s="12" t="s">
        <v>162</v>
      </c>
      <c r="D1090" s="9" t="s">
        <v>71</v>
      </c>
      <c r="E1090" s="11">
        <v>3273.0</v>
      </c>
      <c r="F1090" s="11">
        <v>2167.0</v>
      </c>
    </row>
    <row r="1091">
      <c r="A1091" s="5">
        <v>1090.0</v>
      </c>
      <c r="B1091" s="5" t="s">
        <v>75</v>
      </c>
      <c r="C1091" s="12" t="s">
        <v>162</v>
      </c>
      <c r="D1091" s="9" t="s">
        <v>71</v>
      </c>
      <c r="E1091" s="11">
        <v>3285.0</v>
      </c>
      <c r="F1091" s="11">
        <v>2171.0</v>
      </c>
    </row>
    <row r="1092">
      <c r="A1092" s="5">
        <v>1091.0</v>
      </c>
      <c r="B1092" s="5" t="s">
        <v>75</v>
      </c>
      <c r="C1092" s="12" t="s">
        <v>162</v>
      </c>
      <c r="D1092" s="9" t="s">
        <v>66</v>
      </c>
      <c r="E1092" s="11">
        <v>3238.0</v>
      </c>
      <c r="F1092" s="11">
        <v>2101.0</v>
      </c>
    </row>
    <row r="1093">
      <c r="A1093" s="5">
        <v>1092.0</v>
      </c>
      <c r="B1093" s="5" t="s">
        <v>75</v>
      </c>
      <c r="C1093" s="12" t="s">
        <v>162</v>
      </c>
      <c r="D1093" s="9" t="s">
        <v>71</v>
      </c>
      <c r="E1093" s="11">
        <v>3100.0</v>
      </c>
      <c r="F1093" s="11">
        <v>2164.0</v>
      </c>
    </row>
    <row r="1094">
      <c r="A1094" s="5">
        <v>1093.0</v>
      </c>
      <c r="B1094" s="5" t="s">
        <v>61</v>
      </c>
      <c r="C1094" s="12" t="s">
        <v>163</v>
      </c>
      <c r="D1094" s="9" t="s">
        <v>60</v>
      </c>
      <c r="E1094" s="8"/>
      <c r="F1094" s="8"/>
    </row>
    <row r="1095">
      <c r="A1095" s="5">
        <v>1094.0</v>
      </c>
      <c r="B1095" s="5" t="s">
        <v>61</v>
      </c>
      <c r="C1095" s="12" t="s">
        <v>163</v>
      </c>
      <c r="D1095" s="9" t="s">
        <v>62</v>
      </c>
      <c r="E1095" s="11">
        <v>749447.0</v>
      </c>
      <c r="F1095" s="8"/>
    </row>
    <row r="1096">
      <c r="A1096" s="5">
        <v>1095.0</v>
      </c>
      <c r="B1096" s="5" t="s">
        <v>61</v>
      </c>
      <c r="C1096" s="12" t="s">
        <v>163</v>
      </c>
      <c r="D1096" s="9" t="s">
        <v>63</v>
      </c>
      <c r="E1096" s="11">
        <v>723743.0</v>
      </c>
      <c r="F1096" s="11">
        <v>2008823.0</v>
      </c>
    </row>
    <row r="1097">
      <c r="A1097" s="5">
        <v>1096.0</v>
      </c>
      <c r="B1097" s="5" t="s">
        <v>61</v>
      </c>
      <c r="C1097" s="12" t="s">
        <v>163</v>
      </c>
      <c r="D1097" s="9" t="s">
        <v>64</v>
      </c>
      <c r="E1097" s="11">
        <v>698360.0</v>
      </c>
      <c r="F1097" s="11">
        <v>1982263.0</v>
      </c>
    </row>
    <row r="1098">
      <c r="A1098" s="5">
        <v>1097.0</v>
      </c>
      <c r="B1098" s="5" t="s">
        <v>61</v>
      </c>
      <c r="C1098" s="12" t="s">
        <v>163</v>
      </c>
      <c r="D1098" s="9" t="s">
        <v>65</v>
      </c>
      <c r="E1098" s="11">
        <v>632956.0</v>
      </c>
      <c r="F1098" s="11">
        <v>1811289.0</v>
      </c>
    </row>
    <row r="1099">
      <c r="A1099" s="5">
        <v>1098.0</v>
      </c>
      <c r="B1099" s="5" t="s">
        <v>61</v>
      </c>
      <c r="C1099" s="12" t="s">
        <v>163</v>
      </c>
      <c r="D1099" s="9" t="s">
        <v>68</v>
      </c>
      <c r="E1099" s="11">
        <v>604659.0</v>
      </c>
      <c r="F1099" s="11">
        <v>1611404.0</v>
      </c>
    </row>
    <row r="1100">
      <c r="A1100" s="5">
        <v>1099.0</v>
      </c>
      <c r="B1100" s="5" t="s">
        <v>61</v>
      </c>
      <c r="C1100" s="12" t="s">
        <v>163</v>
      </c>
      <c r="D1100" s="9" t="s">
        <v>72</v>
      </c>
      <c r="E1100" s="11">
        <v>567182.0</v>
      </c>
      <c r="F1100" s="11">
        <v>1504365.0</v>
      </c>
    </row>
    <row r="1101">
      <c r="A1101" s="5">
        <v>1100.0</v>
      </c>
      <c r="B1101" s="5" t="s">
        <v>61</v>
      </c>
      <c r="C1101" s="12" t="s">
        <v>163</v>
      </c>
      <c r="D1101" s="9" t="s">
        <v>69</v>
      </c>
      <c r="E1101" s="11">
        <v>539388.0</v>
      </c>
      <c r="F1101" s="11">
        <v>1411128.0</v>
      </c>
    </row>
    <row r="1102">
      <c r="A1102" s="5">
        <v>1101.0</v>
      </c>
      <c r="B1102" s="5" t="s">
        <v>61</v>
      </c>
      <c r="C1102" s="12" t="s">
        <v>163</v>
      </c>
      <c r="D1102" s="9" t="s">
        <v>66</v>
      </c>
      <c r="E1102" s="11">
        <v>519165.0</v>
      </c>
      <c r="F1102" s="11">
        <v>1348525.0</v>
      </c>
    </row>
    <row r="1103">
      <c r="A1103" s="5">
        <v>1102.0</v>
      </c>
      <c r="B1103" s="5" t="s">
        <v>61</v>
      </c>
      <c r="C1103" s="12" t="s">
        <v>163</v>
      </c>
      <c r="D1103" s="9" t="s">
        <v>71</v>
      </c>
      <c r="E1103" s="11">
        <v>489507.0</v>
      </c>
      <c r="F1103" s="11">
        <v>1281914.0</v>
      </c>
    </row>
    <row r="1104">
      <c r="A1104" s="5">
        <v>1103.0</v>
      </c>
      <c r="B1104" s="5" t="s">
        <v>61</v>
      </c>
      <c r="C1104" s="12" t="s">
        <v>163</v>
      </c>
      <c r="D1104" s="9" t="s">
        <v>71</v>
      </c>
      <c r="E1104" s="11">
        <v>477540.0</v>
      </c>
      <c r="F1104" s="11">
        <v>1226791.0</v>
      </c>
    </row>
    <row r="1105">
      <c r="A1105" s="5">
        <v>1104.0</v>
      </c>
      <c r="B1105" s="5" t="s">
        <v>61</v>
      </c>
      <c r="C1105" s="12" t="s">
        <v>163</v>
      </c>
      <c r="D1105" s="9" t="s">
        <v>66</v>
      </c>
      <c r="E1105" s="11">
        <v>464501.0</v>
      </c>
      <c r="F1105" s="11">
        <v>1203843.0</v>
      </c>
    </row>
    <row r="1106">
      <c r="A1106" s="5">
        <v>1105.0</v>
      </c>
      <c r="B1106" s="5" t="s">
        <v>61</v>
      </c>
      <c r="C1106" s="12" t="s">
        <v>163</v>
      </c>
      <c r="D1106" s="9" t="s">
        <v>71</v>
      </c>
      <c r="E1106" s="11">
        <v>457198.0</v>
      </c>
      <c r="F1106" s="11">
        <v>1186663.0</v>
      </c>
    </row>
    <row r="1107">
      <c r="A1107" s="5">
        <v>1106.0</v>
      </c>
      <c r="B1107" s="5" t="s">
        <v>61</v>
      </c>
      <c r="C1107" s="12" t="s">
        <v>164</v>
      </c>
      <c r="D1107" s="9" t="s">
        <v>60</v>
      </c>
      <c r="E1107" s="8"/>
      <c r="F1107" s="8"/>
    </row>
    <row r="1108">
      <c r="A1108" s="5">
        <v>1107.0</v>
      </c>
      <c r="B1108" s="5" t="s">
        <v>61</v>
      </c>
      <c r="C1108" s="12" t="s">
        <v>164</v>
      </c>
      <c r="D1108" s="9" t="s">
        <v>62</v>
      </c>
      <c r="E1108" s="11">
        <v>209009.0</v>
      </c>
      <c r="F1108" s="8"/>
    </row>
    <row r="1109">
      <c r="A1109" s="5">
        <v>1108.0</v>
      </c>
      <c r="B1109" s="5" t="s">
        <v>61</v>
      </c>
      <c r="C1109" s="12" t="s">
        <v>164</v>
      </c>
      <c r="D1109" s="9" t="s">
        <v>63</v>
      </c>
      <c r="E1109" s="11">
        <v>211296.0</v>
      </c>
      <c r="F1109" s="11">
        <v>433989.0</v>
      </c>
    </row>
    <row r="1110">
      <c r="A1110" s="5">
        <v>1109.0</v>
      </c>
      <c r="B1110" s="5" t="s">
        <v>61</v>
      </c>
      <c r="C1110" s="12" t="s">
        <v>164</v>
      </c>
      <c r="D1110" s="9" t="s">
        <v>64</v>
      </c>
      <c r="E1110" s="11">
        <v>199782.0</v>
      </c>
      <c r="F1110" s="11">
        <v>453106.0</v>
      </c>
    </row>
    <row r="1111">
      <c r="A1111" s="5">
        <v>1110.0</v>
      </c>
      <c r="B1111" s="5" t="s">
        <v>61</v>
      </c>
      <c r="C1111" s="12" t="s">
        <v>164</v>
      </c>
      <c r="D1111" s="9" t="s">
        <v>65</v>
      </c>
      <c r="E1111" s="11">
        <v>186605.0</v>
      </c>
      <c r="F1111" s="11">
        <v>412387.0</v>
      </c>
    </row>
    <row r="1112">
      <c r="A1112" s="5">
        <v>1111.0</v>
      </c>
      <c r="B1112" s="5" t="s">
        <v>61</v>
      </c>
      <c r="C1112" s="12" t="s">
        <v>164</v>
      </c>
      <c r="D1112" s="9" t="s">
        <v>68</v>
      </c>
      <c r="E1112" s="11">
        <v>182885.0</v>
      </c>
      <c r="F1112" s="11">
        <v>375545.0</v>
      </c>
    </row>
    <row r="1113">
      <c r="A1113" s="5">
        <v>1112.0</v>
      </c>
      <c r="B1113" s="5" t="s">
        <v>61</v>
      </c>
      <c r="C1113" s="12" t="s">
        <v>164</v>
      </c>
      <c r="D1113" s="9" t="s">
        <v>72</v>
      </c>
      <c r="E1113" s="11">
        <v>183726.0</v>
      </c>
      <c r="F1113" s="11">
        <v>345120.0</v>
      </c>
    </row>
    <row r="1114">
      <c r="A1114" s="5">
        <v>1113.0</v>
      </c>
      <c r="B1114" s="5" t="s">
        <v>61</v>
      </c>
      <c r="C1114" s="12" t="s">
        <v>164</v>
      </c>
      <c r="D1114" s="9" t="s">
        <v>69</v>
      </c>
      <c r="E1114" s="11">
        <v>179461.0</v>
      </c>
      <c r="F1114" s="11">
        <v>341992.0</v>
      </c>
    </row>
    <row r="1115">
      <c r="A1115" s="5">
        <v>1114.0</v>
      </c>
      <c r="B1115" s="5" t="s">
        <v>61</v>
      </c>
      <c r="C1115" s="12" t="s">
        <v>164</v>
      </c>
      <c r="D1115" s="9" t="s">
        <v>66</v>
      </c>
      <c r="E1115" s="11">
        <v>176238.0</v>
      </c>
      <c r="F1115" s="11">
        <v>337635.0</v>
      </c>
    </row>
    <row r="1116">
      <c r="A1116" s="5">
        <v>1115.0</v>
      </c>
      <c r="B1116" s="5" t="s">
        <v>61</v>
      </c>
      <c r="C1116" s="12" t="s">
        <v>164</v>
      </c>
      <c r="D1116" s="9" t="s">
        <v>71</v>
      </c>
      <c r="E1116" s="11">
        <v>165366.0</v>
      </c>
      <c r="F1116" s="11">
        <v>316792.0</v>
      </c>
    </row>
    <row r="1117">
      <c r="A1117" s="5">
        <v>1116.0</v>
      </c>
      <c r="B1117" s="5" t="s">
        <v>61</v>
      </c>
      <c r="C1117" s="12" t="s">
        <v>164</v>
      </c>
      <c r="D1117" s="9" t="s">
        <v>71</v>
      </c>
      <c r="E1117" s="11">
        <v>164879.0</v>
      </c>
      <c r="F1117" s="11">
        <v>306737.0</v>
      </c>
    </row>
    <row r="1118">
      <c r="A1118" s="5">
        <v>1117.0</v>
      </c>
      <c r="B1118" s="5" t="s">
        <v>61</v>
      </c>
      <c r="C1118" s="12" t="s">
        <v>164</v>
      </c>
      <c r="D1118" s="9" t="s">
        <v>66</v>
      </c>
      <c r="E1118" s="11">
        <v>158963.0</v>
      </c>
      <c r="F1118" s="11">
        <v>294907.0</v>
      </c>
    </row>
    <row r="1119">
      <c r="A1119" s="5">
        <v>1118.0</v>
      </c>
      <c r="B1119" s="5" t="s">
        <v>61</v>
      </c>
      <c r="C1119" s="12" t="s">
        <v>164</v>
      </c>
      <c r="D1119" s="9" t="s">
        <v>71</v>
      </c>
      <c r="E1119" s="11">
        <v>154768.0</v>
      </c>
      <c r="F1119" s="11">
        <v>263419.0</v>
      </c>
    </row>
    <row r="1120">
      <c r="A1120" s="5">
        <v>1119.0</v>
      </c>
      <c r="B1120" s="5" t="s">
        <v>93</v>
      </c>
      <c r="C1120" s="12" t="s">
        <v>165</v>
      </c>
      <c r="D1120" s="9" t="s">
        <v>60</v>
      </c>
      <c r="E1120" s="8"/>
      <c r="F1120" s="8"/>
    </row>
    <row r="1121">
      <c r="A1121" s="5">
        <v>1120.0</v>
      </c>
      <c r="B1121" s="5" t="s">
        <v>93</v>
      </c>
      <c r="C1121" s="12" t="s">
        <v>165</v>
      </c>
      <c r="D1121" s="9" t="s">
        <v>62</v>
      </c>
      <c r="E1121" s="11">
        <v>212145.0</v>
      </c>
      <c r="F1121" s="8"/>
    </row>
    <row r="1122">
      <c r="A1122" s="5">
        <v>1121.0</v>
      </c>
      <c r="B1122" s="5" t="s">
        <v>93</v>
      </c>
      <c r="C1122" s="12" t="s">
        <v>165</v>
      </c>
      <c r="D1122" s="9" t="s">
        <v>63</v>
      </c>
      <c r="E1122" s="11">
        <v>210678.0</v>
      </c>
      <c r="F1122" s="11">
        <v>571612.0</v>
      </c>
    </row>
    <row r="1123">
      <c r="A1123" s="5">
        <v>1122.0</v>
      </c>
      <c r="B1123" s="5" t="s">
        <v>93</v>
      </c>
      <c r="C1123" s="12" t="s">
        <v>165</v>
      </c>
      <c r="D1123" s="9" t="s">
        <v>64</v>
      </c>
      <c r="E1123" s="11">
        <v>213423.0</v>
      </c>
      <c r="F1123" s="11">
        <v>577483.0</v>
      </c>
    </row>
    <row r="1124">
      <c r="A1124" s="5">
        <v>1123.0</v>
      </c>
      <c r="B1124" s="5" t="s">
        <v>93</v>
      </c>
      <c r="C1124" s="12" t="s">
        <v>165</v>
      </c>
      <c r="D1124" s="9" t="s">
        <v>65</v>
      </c>
      <c r="E1124" s="11">
        <v>204312.0</v>
      </c>
      <c r="F1124" s="11">
        <v>570574.0</v>
      </c>
    </row>
    <row r="1125">
      <c r="A1125" s="5">
        <v>1124.0</v>
      </c>
      <c r="B1125" s="5" t="s">
        <v>93</v>
      </c>
      <c r="C1125" s="12" t="s">
        <v>165</v>
      </c>
      <c r="D1125" s="9" t="s">
        <v>68</v>
      </c>
      <c r="E1125" s="11">
        <v>190620.0</v>
      </c>
      <c r="F1125" s="11">
        <v>539790.0</v>
      </c>
    </row>
    <row r="1126">
      <c r="A1126" s="5">
        <v>1125.0</v>
      </c>
      <c r="B1126" s="5" t="s">
        <v>93</v>
      </c>
      <c r="C1126" s="12" t="s">
        <v>165</v>
      </c>
      <c r="D1126" s="9" t="s">
        <v>72</v>
      </c>
      <c r="E1126" s="11">
        <v>180242.0</v>
      </c>
      <c r="F1126" s="11">
        <v>509889.0</v>
      </c>
    </row>
    <row r="1127">
      <c r="A1127" s="5">
        <v>1126.0</v>
      </c>
      <c r="B1127" s="5" t="s">
        <v>93</v>
      </c>
      <c r="C1127" s="12" t="s">
        <v>165</v>
      </c>
      <c r="D1127" s="9" t="s">
        <v>69</v>
      </c>
      <c r="E1127" s="11">
        <v>172442.0</v>
      </c>
      <c r="F1127" s="11">
        <v>469328.0</v>
      </c>
    </row>
    <row r="1128">
      <c r="A1128" s="5">
        <v>1127.0</v>
      </c>
      <c r="B1128" s="5" t="s">
        <v>93</v>
      </c>
      <c r="C1128" s="12" t="s">
        <v>165</v>
      </c>
      <c r="D1128" s="9" t="s">
        <v>66</v>
      </c>
      <c r="E1128" s="11">
        <v>155548.0</v>
      </c>
      <c r="F1128" s="11">
        <v>447480.0</v>
      </c>
    </row>
    <row r="1129">
      <c r="A1129" s="5">
        <v>1128.0</v>
      </c>
      <c r="B1129" s="5" t="s">
        <v>93</v>
      </c>
      <c r="C1129" s="12" t="s">
        <v>165</v>
      </c>
      <c r="D1129" s="9" t="s">
        <v>71</v>
      </c>
      <c r="E1129" s="11">
        <v>142649.0</v>
      </c>
      <c r="F1129" s="11">
        <v>418859.0</v>
      </c>
    </row>
    <row r="1130">
      <c r="A1130" s="5">
        <v>1129.0</v>
      </c>
      <c r="B1130" s="5" t="s">
        <v>93</v>
      </c>
      <c r="C1130" s="12" t="s">
        <v>165</v>
      </c>
      <c r="D1130" s="9" t="s">
        <v>71</v>
      </c>
      <c r="E1130" s="11">
        <v>138011.0</v>
      </c>
      <c r="F1130" s="11">
        <v>402178.0</v>
      </c>
    </row>
    <row r="1131">
      <c r="A1131" s="5">
        <v>1130.0</v>
      </c>
      <c r="B1131" s="5" t="s">
        <v>93</v>
      </c>
      <c r="C1131" s="12" t="s">
        <v>165</v>
      </c>
      <c r="D1131" s="9" t="s">
        <v>66</v>
      </c>
      <c r="E1131" s="11">
        <v>133435.0</v>
      </c>
      <c r="F1131" s="11">
        <v>398827.0</v>
      </c>
    </row>
    <row r="1132">
      <c r="A1132" s="5">
        <v>1131.0</v>
      </c>
      <c r="B1132" s="5" t="s">
        <v>93</v>
      </c>
      <c r="C1132" s="12" t="s">
        <v>165</v>
      </c>
      <c r="D1132" s="9" t="s">
        <v>71</v>
      </c>
      <c r="E1132" s="11">
        <v>122983.0</v>
      </c>
      <c r="F1132" s="11">
        <v>372703.0</v>
      </c>
    </row>
    <row r="1133">
      <c r="A1133" s="5">
        <v>1132.0</v>
      </c>
      <c r="B1133" s="5" t="s">
        <v>93</v>
      </c>
      <c r="C1133" s="12" t="s">
        <v>166</v>
      </c>
      <c r="D1133" s="9" t="s">
        <v>60</v>
      </c>
      <c r="E1133" s="8"/>
      <c r="F1133" s="8"/>
    </row>
    <row r="1134">
      <c r="A1134" s="5">
        <v>1133.0</v>
      </c>
      <c r="B1134" s="5" t="s">
        <v>93</v>
      </c>
      <c r="C1134" s="12" t="s">
        <v>166</v>
      </c>
      <c r="D1134" s="9" t="s">
        <v>62</v>
      </c>
      <c r="E1134" s="11">
        <v>40220.0</v>
      </c>
      <c r="F1134" s="8"/>
    </row>
    <row r="1135">
      <c r="A1135" s="5">
        <v>1134.0</v>
      </c>
      <c r="B1135" s="5" t="s">
        <v>93</v>
      </c>
      <c r="C1135" s="12" t="s">
        <v>166</v>
      </c>
      <c r="D1135" s="9" t="s">
        <v>63</v>
      </c>
      <c r="E1135" s="11">
        <v>37845.0</v>
      </c>
      <c r="F1135" s="11">
        <v>114667.0</v>
      </c>
    </row>
    <row r="1136">
      <c r="A1136" s="5">
        <v>1135.0</v>
      </c>
      <c r="B1136" s="5" t="s">
        <v>93</v>
      </c>
      <c r="C1136" s="12" t="s">
        <v>166</v>
      </c>
      <c r="D1136" s="9" t="s">
        <v>64</v>
      </c>
      <c r="E1136" s="11">
        <v>32846.0</v>
      </c>
      <c r="F1136" s="11">
        <v>106651.0</v>
      </c>
    </row>
    <row r="1137">
      <c r="A1137" s="5">
        <v>1136.0</v>
      </c>
      <c r="B1137" s="5" t="s">
        <v>93</v>
      </c>
      <c r="C1137" s="12" t="s">
        <v>166</v>
      </c>
      <c r="D1137" s="9" t="s">
        <v>65</v>
      </c>
      <c r="E1137" s="11">
        <v>28806.0</v>
      </c>
      <c r="F1137" s="11">
        <v>94444.0</v>
      </c>
    </row>
    <row r="1138">
      <c r="A1138" s="5">
        <v>1137.0</v>
      </c>
      <c r="B1138" s="5" t="s">
        <v>93</v>
      </c>
      <c r="C1138" s="12" t="s">
        <v>166</v>
      </c>
      <c r="D1138" s="9" t="s">
        <v>68</v>
      </c>
      <c r="E1138" s="11">
        <v>23696.0</v>
      </c>
      <c r="F1138" s="11">
        <v>62834.0</v>
      </c>
    </row>
    <row r="1139">
      <c r="A1139" s="5">
        <v>1138.0</v>
      </c>
      <c r="B1139" s="5" t="s">
        <v>93</v>
      </c>
      <c r="C1139" s="12" t="s">
        <v>166</v>
      </c>
      <c r="D1139" s="9" t="s">
        <v>72</v>
      </c>
      <c r="E1139" s="11">
        <v>21503.0</v>
      </c>
      <c r="F1139" s="11">
        <v>99544.0</v>
      </c>
    </row>
    <row r="1140">
      <c r="A1140" s="5">
        <v>1139.0</v>
      </c>
      <c r="B1140" s="5" t="s">
        <v>93</v>
      </c>
      <c r="C1140" s="12" t="s">
        <v>166</v>
      </c>
      <c r="D1140" s="9" t="s">
        <v>69</v>
      </c>
      <c r="E1140" s="11">
        <v>26866.0</v>
      </c>
      <c r="F1140" s="11">
        <v>114770.0</v>
      </c>
    </row>
    <row r="1141">
      <c r="A1141" s="5">
        <v>1140.0</v>
      </c>
      <c r="B1141" s="5" t="s">
        <v>93</v>
      </c>
      <c r="C1141" s="12" t="s">
        <v>166</v>
      </c>
      <c r="D1141" s="9" t="s">
        <v>66</v>
      </c>
      <c r="E1141" s="11">
        <v>26901.0</v>
      </c>
      <c r="F1141" s="11">
        <v>114084.0</v>
      </c>
    </row>
    <row r="1142">
      <c r="A1142" s="5">
        <v>1141.0</v>
      </c>
      <c r="B1142" s="5" t="s">
        <v>93</v>
      </c>
      <c r="C1142" s="12" t="s">
        <v>166</v>
      </c>
      <c r="D1142" s="9" t="s">
        <v>71</v>
      </c>
      <c r="E1142" s="11">
        <v>27086.0</v>
      </c>
      <c r="F1142" s="11">
        <v>91118.0</v>
      </c>
    </row>
    <row r="1143">
      <c r="A1143" s="5">
        <v>1142.0</v>
      </c>
      <c r="B1143" s="5" t="s">
        <v>93</v>
      </c>
      <c r="C1143" s="12" t="s">
        <v>166</v>
      </c>
      <c r="D1143" s="9" t="s">
        <v>71</v>
      </c>
      <c r="E1143" s="11">
        <v>27981.0</v>
      </c>
      <c r="F1143" s="11">
        <v>87260.0</v>
      </c>
    </row>
    <row r="1144">
      <c r="A1144" s="5">
        <v>1143.0</v>
      </c>
      <c r="B1144" s="5" t="s">
        <v>93</v>
      </c>
      <c r="C1144" s="12" t="s">
        <v>166</v>
      </c>
      <c r="D1144" s="9" t="s">
        <v>66</v>
      </c>
      <c r="E1144" s="11">
        <v>26935.0</v>
      </c>
      <c r="F1144" s="11">
        <v>85342.0</v>
      </c>
    </row>
    <row r="1145">
      <c r="A1145" s="5">
        <v>1144.0</v>
      </c>
      <c r="B1145" s="5" t="s">
        <v>93</v>
      </c>
      <c r="C1145" s="12" t="s">
        <v>166</v>
      </c>
      <c r="D1145" s="9" t="s">
        <v>71</v>
      </c>
      <c r="E1145" s="11">
        <v>25937.0</v>
      </c>
      <c r="F1145" s="11">
        <v>72445.0</v>
      </c>
    </row>
    <row r="1146">
      <c r="A1146" s="5">
        <v>1145.0</v>
      </c>
      <c r="B1146" s="5" t="s">
        <v>75</v>
      </c>
      <c r="C1146" s="12" t="s">
        <v>167</v>
      </c>
      <c r="D1146" s="9" t="s">
        <v>60</v>
      </c>
      <c r="E1146" s="11">
        <v>13350.0</v>
      </c>
      <c r="F1146" s="8"/>
    </row>
    <row r="1147">
      <c r="A1147" s="5">
        <v>1146.0</v>
      </c>
      <c r="B1147" s="5" t="s">
        <v>75</v>
      </c>
      <c r="C1147" s="12" t="s">
        <v>167</v>
      </c>
      <c r="D1147" s="9" t="s">
        <v>62</v>
      </c>
      <c r="E1147" s="11">
        <v>13216.0</v>
      </c>
      <c r="F1147" s="8"/>
    </row>
    <row r="1148">
      <c r="A1148" s="5">
        <v>1147.0</v>
      </c>
      <c r="B1148" s="5" t="s">
        <v>75</v>
      </c>
      <c r="C1148" s="12" t="s">
        <v>167</v>
      </c>
      <c r="D1148" s="9" t="s">
        <v>63</v>
      </c>
      <c r="E1148" s="11">
        <v>14219.0</v>
      </c>
      <c r="F1148" s="11">
        <v>40000.0</v>
      </c>
    </row>
    <row r="1149">
      <c r="A1149" s="5">
        <v>1148.0</v>
      </c>
      <c r="B1149" s="5" t="s">
        <v>75</v>
      </c>
      <c r="C1149" s="12" t="s">
        <v>167</v>
      </c>
      <c r="D1149" s="9" t="s">
        <v>64</v>
      </c>
      <c r="E1149" s="11">
        <v>14364.0</v>
      </c>
      <c r="F1149" s="11">
        <v>40623.0</v>
      </c>
    </row>
    <row r="1150">
      <c r="A1150" s="5">
        <v>1149.0</v>
      </c>
      <c r="B1150" s="5" t="s">
        <v>75</v>
      </c>
      <c r="C1150" s="12" t="s">
        <v>167</v>
      </c>
      <c r="D1150" s="9" t="s">
        <v>65</v>
      </c>
      <c r="E1150" s="11">
        <v>14903.0</v>
      </c>
      <c r="F1150" s="11">
        <v>43021.0</v>
      </c>
    </row>
    <row r="1151">
      <c r="A1151" s="5">
        <v>1150.0</v>
      </c>
      <c r="B1151" s="5" t="s">
        <v>75</v>
      </c>
      <c r="C1151" s="12" t="s">
        <v>167</v>
      </c>
      <c r="D1151" s="9" t="s">
        <v>68</v>
      </c>
      <c r="E1151" s="11">
        <v>15120.0</v>
      </c>
      <c r="F1151" s="11">
        <v>44583.0</v>
      </c>
    </row>
    <row r="1152">
      <c r="A1152" s="5">
        <v>1151.0</v>
      </c>
      <c r="B1152" s="5" t="s">
        <v>75</v>
      </c>
      <c r="C1152" s="12" t="s">
        <v>167</v>
      </c>
      <c r="D1152" s="9" t="s">
        <v>72</v>
      </c>
      <c r="E1152" s="11">
        <v>14607.0</v>
      </c>
      <c r="F1152" s="11">
        <v>43458.0</v>
      </c>
    </row>
    <row r="1153">
      <c r="A1153" s="5">
        <v>1152.0</v>
      </c>
      <c r="B1153" s="5" t="s">
        <v>75</v>
      </c>
      <c r="C1153" s="12" t="s">
        <v>167</v>
      </c>
      <c r="D1153" s="9" t="s">
        <v>69</v>
      </c>
      <c r="E1153" s="11">
        <v>14330.0</v>
      </c>
      <c r="F1153" s="11">
        <v>43535.0</v>
      </c>
    </row>
    <row r="1154">
      <c r="A1154" s="5">
        <v>1153.0</v>
      </c>
      <c r="B1154" s="5" t="s">
        <v>75</v>
      </c>
      <c r="C1154" s="12" t="s">
        <v>167</v>
      </c>
      <c r="D1154" s="9" t="s">
        <v>67</v>
      </c>
      <c r="E1154" s="11">
        <v>14269.0</v>
      </c>
      <c r="F1154" s="11">
        <v>43956.0</v>
      </c>
    </row>
    <row r="1155">
      <c r="A1155" s="5">
        <v>1154.0</v>
      </c>
      <c r="B1155" s="5" t="s">
        <v>75</v>
      </c>
      <c r="C1155" s="12" t="s">
        <v>167</v>
      </c>
      <c r="D1155" s="9" t="s">
        <v>71</v>
      </c>
      <c r="E1155" s="11">
        <v>14061.0</v>
      </c>
      <c r="F1155" s="11">
        <v>43337.0</v>
      </c>
    </row>
    <row r="1156">
      <c r="A1156" s="5">
        <v>1155.0</v>
      </c>
      <c r="B1156" s="5" t="s">
        <v>75</v>
      </c>
      <c r="C1156" s="12" t="s">
        <v>167</v>
      </c>
      <c r="D1156" s="9" t="s">
        <v>72</v>
      </c>
      <c r="E1156" s="11">
        <v>14673.0</v>
      </c>
      <c r="F1156" s="11">
        <v>43762.0</v>
      </c>
    </row>
    <row r="1157">
      <c r="A1157" s="5">
        <v>1156.0</v>
      </c>
      <c r="B1157" s="5" t="s">
        <v>75</v>
      </c>
      <c r="C1157" s="12" t="s">
        <v>167</v>
      </c>
      <c r="D1157" s="9" t="s">
        <v>66</v>
      </c>
      <c r="E1157" s="11">
        <v>14432.0</v>
      </c>
      <c r="F1157" s="11">
        <v>44151.0</v>
      </c>
    </row>
    <row r="1158">
      <c r="A1158" s="5">
        <v>1157.0</v>
      </c>
      <c r="B1158" s="5" t="s">
        <v>75</v>
      </c>
      <c r="C1158" s="12" t="s">
        <v>167</v>
      </c>
      <c r="D1158" s="9" t="s">
        <v>71</v>
      </c>
      <c r="E1158" s="11">
        <v>13574.0</v>
      </c>
      <c r="F1158" s="11">
        <v>41345.0</v>
      </c>
    </row>
    <row r="1159">
      <c r="A1159" s="5">
        <v>1158.0</v>
      </c>
      <c r="B1159" s="5" t="s">
        <v>75</v>
      </c>
      <c r="C1159" s="12" t="s">
        <v>168</v>
      </c>
      <c r="D1159" s="9" t="s">
        <v>60</v>
      </c>
      <c r="E1159" s="8"/>
      <c r="F1159" s="8"/>
    </row>
    <row r="1160">
      <c r="A1160" s="5">
        <v>1159.0</v>
      </c>
      <c r="B1160" s="5" t="s">
        <v>75</v>
      </c>
      <c r="C1160" s="12" t="s">
        <v>168</v>
      </c>
      <c r="D1160" s="9" t="s">
        <v>62</v>
      </c>
      <c r="E1160" s="8"/>
      <c r="F1160" s="8"/>
    </row>
    <row r="1161">
      <c r="A1161" s="5">
        <v>1160.0</v>
      </c>
      <c r="B1161" s="5" t="s">
        <v>75</v>
      </c>
      <c r="C1161" s="12" t="s">
        <v>168</v>
      </c>
      <c r="D1161" s="9" t="s">
        <v>63</v>
      </c>
      <c r="E1161" s="8"/>
      <c r="F1161" s="8"/>
    </row>
    <row r="1162">
      <c r="A1162" s="5">
        <v>1161.0</v>
      </c>
      <c r="B1162" s="5" t="s">
        <v>75</v>
      </c>
      <c r="C1162" s="12" t="s">
        <v>168</v>
      </c>
      <c r="D1162" s="9" t="s">
        <v>64</v>
      </c>
      <c r="E1162" s="8"/>
      <c r="F1162" s="8"/>
    </row>
    <row r="1163">
      <c r="A1163" s="5">
        <v>1162.0</v>
      </c>
      <c r="B1163" s="5" t="s">
        <v>75</v>
      </c>
      <c r="C1163" s="12" t="s">
        <v>168</v>
      </c>
      <c r="D1163" s="9" t="s">
        <v>65</v>
      </c>
      <c r="E1163" s="8"/>
      <c r="F1163" s="8"/>
    </row>
    <row r="1164">
      <c r="A1164" s="5">
        <v>1163.0</v>
      </c>
      <c r="B1164" s="5" t="s">
        <v>75</v>
      </c>
      <c r="C1164" s="12" t="s">
        <v>168</v>
      </c>
      <c r="D1164" s="9" t="s">
        <v>68</v>
      </c>
      <c r="E1164" s="8"/>
      <c r="F1164" s="8"/>
    </row>
    <row r="1165">
      <c r="A1165" s="5">
        <v>1164.0</v>
      </c>
      <c r="B1165" s="5" t="s">
        <v>75</v>
      </c>
      <c r="C1165" s="12" t="s">
        <v>168</v>
      </c>
      <c r="D1165" s="9" t="s">
        <v>72</v>
      </c>
      <c r="E1165" s="8"/>
      <c r="F1165" s="8"/>
    </row>
    <row r="1166">
      <c r="A1166" s="5">
        <v>1165.0</v>
      </c>
      <c r="B1166" s="5" t="s">
        <v>75</v>
      </c>
      <c r="C1166" s="12" t="s">
        <v>168</v>
      </c>
      <c r="D1166" s="9" t="s">
        <v>69</v>
      </c>
      <c r="E1166" s="8"/>
      <c r="F1166" s="8"/>
    </row>
    <row r="1167">
      <c r="A1167" s="5">
        <v>1166.0</v>
      </c>
      <c r="B1167" s="5" t="s">
        <v>75</v>
      </c>
      <c r="C1167" s="12" t="s">
        <v>168</v>
      </c>
      <c r="D1167" s="9" t="s">
        <v>67</v>
      </c>
      <c r="E1167" s="8"/>
      <c r="F1167" s="8"/>
    </row>
    <row r="1168">
      <c r="A1168" s="5">
        <v>1167.0</v>
      </c>
      <c r="B1168" s="5" t="s">
        <v>75</v>
      </c>
      <c r="C1168" s="12" t="s">
        <v>168</v>
      </c>
      <c r="D1168" s="9" t="s">
        <v>71</v>
      </c>
      <c r="E1168" s="8"/>
      <c r="F1168" s="8"/>
    </row>
    <row r="1169">
      <c r="A1169" s="5">
        <v>1168.0</v>
      </c>
      <c r="B1169" s="5" t="s">
        <v>75</v>
      </c>
      <c r="C1169" s="12" t="s">
        <v>168</v>
      </c>
      <c r="D1169" s="9" t="s">
        <v>72</v>
      </c>
      <c r="E1169" s="8"/>
      <c r="F1169" s="8"/>
    </row>
    <row r="1170">
      <c r="A1170" s="5">
        <v>1169.0</v>
      </c>
      <c r="B1170" s="5" t="s">
        <v>75</v>
      </c>
      <c r="C1170" s="12" t="s">
        <v>168</v>
      </c>
      <c r="D1170" s="9" t="s">
        <v>66</v>
      </c>
      <c r="E1170" s="8"/>
      <c r="F1170" s="8"/>
    </row>
    <row r="1171">
      <c r="A1171" s="5">
        <v>1170.0</v>
      </c>
      <c r="B1171" s="5" t="s">
        <v>75</v>
      </c>
      <c r="C1171" s="12" t="s">
        <v>168</v>
      </c>
      <c r="D1171" s="9" t="s">
        <v>71</v>
      </c>
      <c r="E1171" s="8"/>
      <c r="F1171" s="8"/>
    </row>
    <row r="1172">
      <c r="A1172" s="5">
        <v>1171.0</v>
      </c>
      <c r="B1172" s="5" t="s">
        <v>93</v>
      </c>
      <c r="C1172" s="12" t="s">
        <v>169</v>
      </c>
      <c r="D1172" s="9" t="s">
        <v>60</v>
      </c>
      <c r="E1172" s="11">
        <v>24079.0</v>
      </c>
      <c r="F1172" s="8"/>
    </row>
    <row r="1173">
      <c r="A1173" s="5">
        <v>1172.0</v>
      </c>
      <c r="B1173" s="5" t="s">
        <v>93</v>
      </c>
      <c r="C1173" s="12" t="s">
        <v>169</v>
      </c>
      <c r="D1173" s="9" t="s">
        <v>62</v>
      </c>
      <c r="E1173" s="11">
        <v>23254.0</v>
      </c>
      <c r="F1173" s="8"/>
    </row>
    <row r="1174">
      <c r="A1174" s="5">
        <v>1173.0</v>
      </c>
      <c r="B1174" s="5" t="s">
        <v>93</v>
      </c>
      <c r="C1174" s="12" t="s">
        <v>169</v>
      </c>
      <c r="D1174" s="9" t="s">
        <v>63</v>
      </c>
      <c r="E1174" s="11">
        <v>23195.0</v>
      </c>
      <c r="F1174" s="11">
        <v>70656.0</v>
      </c>
    </row>
    <row r="1175">
      <c r="A1175" s="5">
        <v>1174.0</v>
      </c>
      <c r="B1175" s="5" t="s">
        <v>93</v>
      </c>
      <c r="C1175" s="12" t="s">
        <v>169</v>
      </c>
      <c r="D1175" s="9" t="s">
        <v>64</v>
      </c>
      <c r="E1175" s="11">
        <v>21463.0</v>
      </c>
      <c r="F1175" s="11">
        <v>67029.0</v>
      </c>
    </row>
    <row r="1176">
      <c r="A1176" s="5">
        <v>1175.0</v>
      </c>
      <c r="B1176" s="5" t="s">
        <v>93</v>
      </c>
      <c r="C1176" s="12" t="s">
        <v>169</v>
      </c>
      <c r="D1176" s="9" t="s">
        <v>65</v>
      </c>
      <c r="E1176" s="11">
        <v>22868.0</v>
      </c>
      <c r="F1176" s="11">
        <v>70938.0</v>
      </c>
    </row>
    <row r="1177">
      <c r="A1177" s="5">
        <v>1176.0</v>
      </c>
      <c r="B1177" s="5" t="s">
        <v>93</v>
      </c>
      <c r="C1177" s="12" t="s">
        <v>169</v>
      </c>
      <c r="D1177" s="9" t="s">
        <v>68</v>
      </c>
      <c r="E1177" s="11">
        <v>20700.0</v>
      </c>
      <c r="F1177" s="11">
        <v>66424.0</v>
      </c>
    </row>
    <row r="1178">
      <c r="A1178" s="5">
        <v>1177.0</v>
      </c>
      <c r="B1178" s="5" t="s">
        <v>93</v>
      </c>
      <c r="C1178" s="12" t="s">
        <v>169</v>
      </c>
      <c r="D1178" s="9" t="s">
        <v>72</v>
      </c>
      <c r="E1178" s="11">
        <v>20380.0</v>
      </c>
      <c r="F1178" s="11">
        <v>65977.0</v>
      </c>
    </row>
    <row r="1179">
      <c r="A1179" s="5">
        <v>1178.0</v>
      </c>
      <c r="B1179" s="5" t="s">
        <v>93</v>
      </c>
      <c r="C1179" s="12" t="s">
        <v>169</v>
      </c>
      <c r="D1179" s="9" t="s">
        <v>69</v>
      </c>
      <c r="E1179" s="11">
        <v>18478.0</v>
      </c>
      <c r="F1179" s="11">
        <v>60245.0</v>
      </c>
    </row>
    <row r="1180">
      <c r="A1180" s="5">
        <v>1179.0</v>
      </c>
      <c r="B1180" s="5" t="s">
        <v>93</v>
      </c>
      <c r="C1180" s="12" t="s">
        <v>169</v>
      </c>
      <c r="D1180" s="9" t="s">
        <v>67</v>
      </c>
      <c r="E1180" s="11">
        <v>19241.0</v>
      </c>
      <c r="F1180" s="11">
        <v>63201.0</v>
      </c>
    </row>
    <row r="1181">
      <c r="A1181" s="5">
        <v>1180.0</v>
      </c>
      <c r="B1181" s="5" t="s">
        <v>93</v>
      </c>
      <c r="C1181" s="12" t="s">
        <v>169</v>
      </c>
      <c r="D1181" s="9" t="s">
        <v>71</v>
      </c>
      <c r="E1181" s="11">
        <v>19730.0</v>
      </c>
      <c r="F1181" s="11">
        <v>65122.0</v>
      </c>
    </row>
    <row r="1182">
      <c r="A1182" s="5">
        <v>1181.0</v>
      </c>
      <c r="B1182" s="5" t="s">
        <v>93</v>
      </c>
      <c r="C1182" s="12" t="s">
        <v>169</v>
      </c>
      <c r="D1182" s="9" t="s">
        <v>72</v>
      </c>
      <c r="E1182" s="11">
        <v>18809.0</v>
      </c>
      <c r="F1182" s="11">
        <v>63146.0</v>
      </c>
    </row>
    <row r="1183">
      <c r="A1183" s="5">
        <v>1182.0</v>
      </c>
      <c r="B1183" s="5" t="s">
        <v>93</v>
      </c>
      <c r="C1183" s="12" t="s">
        <v>169</v>
      </c>
      <c r="D1183" s="9" t="s">
        <v>66</v>
      </c>
      <c r="E1183" s="11">
        <v>19143.0</v>
      </c>
      <c r="F1183" s="11">
        <v>65749.0</v>
      </c>
    </row>
    <row r="1184">
      <c r="A1184" s="5">
        <v>1183.0</v>
      </c>
      <c r="B1184" s="5" t="s">
        <v>93</v>
      </c>
      <c r="C1184" s="12" t="s">
        <v>169</v>
      </c>
      <c r="D1184" s="9" t="s">
        <v>71</v>
      </c>
      <c r="E1184" s="11">
        <v>18234.0</v>
      </c>
      <c r="F1184" s="11">
        <v>62691.0</v>
      </c>
    </row>
    <row r="1185">
      <c r="A1185" s="5">
        <v>1184.0</v>
      </c>
      <c r="B1185" s="5" t="s">
        <v>75</v>
      </c>
      <c r="C1185" s="12" t="s">
        <v>170</v>
      </c>
      <c r="D1185" s="9" t="s">
        <v>60</v>
      </c>
      <c r="E1185" s="11">
        <v>158616.0</v>
      </c>
      <c r="F1185" s="8"/>
    </row>
    <row r="1186">
      <c r="A1186" s="5">
        <v>1185.0</v>
      </c>
      <c r="B1186" s="5" t="s">
        <v>75</v>
      </c>
      <c r="C1186" s="12" t="s">
        <v>170</v>
      </c>
      <c r="D1186" s="9" t="s">
        <v>62</v>
      </c>
      <c r="E1186" s="11">
        <v>167416.0</v>
      </c>
      <c r="F1186" s="8"/>
    </row>
    <row r="1187">
      <c r="A1187" s="5">
        <v>1186.0</v>
      </c>
      <c r="B1187" s="5" t="s">
        <v>75</v>
      </c>
      <c r="C1187" s="12" t="s">
        <v>170</v>
      </c>
      <c r="D1187" s="9" t="s">
        <v>63</v>
      </c>
      <c r="E1187" s="11">
        <v>170239.0</v>
      </c>
      <c r="F1187" s="11">
        <v>406307.0</v>
      </c>
    </row>
    <row r="1188">
      <c r="A1188" s="5">
        <v>1187.0</v>
      </c>
      <c r="B1188" s="5" t="s">
        <v>75</v>
      </c>
      <c r="C1188" s="12" t="s">
        <v>170</v>
      </c>
      <c r="D1188" s="9" t="s">
        <v>64</v>
      </c>
      <c r="E1188" s="11">
        <v>164858.0</v>
      </c>
      <c r="F1188" s="11">
        <v>401592.0</v>
      </c>
    </row>
    <row r="1189">
      <c r="A1189" s="5">
        <v>1188.0</v>
      </c>
      <c r="B1189" s="5" t="s">
        <v>75</v>
      </c>
      <c r="C1189" s="12" t="s">
        <v>170</v>
      </c>
      <c r="D1189" s="9" t="s">
        <v>65</v>
      </c>
      <c r="E1189" s="11">
        <v>176004.0</v>
      </c>
      <c r="F1189" s="11">
        <v>447187.0</v>
      </c>
    </row>
    <row r="1190">
      <c r="A1190" s="5">
        <v>1189.0</v>
      </c>
      <c r="B1190" s="5" t="s">
        <v>75</v>
      </c>
      <c r="C1190" s="12" t="s">
        <v>170</v>
      </c>
      <c r="D1190" s="9" t="s">
        <v>68</v>
      </c>
      <c r="E1190" s="11">
        <v>179599.0</v>
      </c>
      <c r="F1190" s="11">
        <v>462676.0</v>
      </c>
    </row>
    <row r="1191">
      <c r="A1191" s="5">
        <v>1190.0</v>
      </c>
      <c r="B1191" s="5" t="s">
        <v>75</v>
      </c>
      <c r="C1191" s="12" t="s">
        <v>170</v>
      </c>
      <c r="D1191" s="9" t="s">
        <v>72</v>
      </c>
      <c r="E1191" s="11">
        <v>181830.0</v>
      </c>
      <c r="F1191" s="11">
        <v>469347.0</v>
      </c>
    </row>
    <row r="1192">
      <c r="A1192" s="5">
        <v>1191.0</v>
      </c>
      <c r="B1192" s="5" t="s">
        <v>75</v>
      </c>
      <c r="C1192" s="12" t="s">
        <v>170</v>
      </c>
      <c r="D1192" s="9" t="s">
        <v>69</v>
      </c>
      <c r="E1192" s="11">
        <v>183873.0</v>
      </c>
      <c r="F1192" s="11">
        <v>473380.0</v>
      </c>
    </row>
    <row r="1193">
      <c r="A1193" s="5">
        <v>1192.0</v>
      </c>
      <c r="B1193" s="5" t="s">
        <v>75</v>
      </c>
      <c r="C1193" s="12" t="s">
        <v>170</v>
      </c>
      <c r="D1193" s="9" t="s">
        <v>67</v>
      </c>
      <c r="E1193" s="11">
        <v>181990.0</v>
      </c>
      <c r="F1193" s="11">
        <v>472768.0</v>
      </c>
    </row>
    <row r="1194">
      <c r="A1194" s="5">
        <v>1193.0</v>
      </c>
      <c r="B1194" s="5" t="s">
        <v>75</v>
      </c>
      <c r="C1194" s="12" t="s">
        <v>170</v>
      </c>
      <c r="D1194" s="9" t="s">
        <v>71</v>
      </c>
      <c r="E1194" s="11">
        <v>179423.0</v>
      </c>
      <c r="F1194" s="11">
        <v>468349.0</v>
      </c>
    </row>
    <row r="1195">
      <c r="A1195" s="5">
        <v>1194.0</v>
      </c>
      <c r="B1195" s="5" t="s">
        <v>75</v>
      </c>
      <c r="C1195" s="12" t="s">
        <v>170</v>
      </c>
      <c r="D1195" s="9" t="s">
        <v>72</v>
      </c>
      <c r="E1195" s="11">
        <v>172396.0</v>
      </c>
      <c r="F1195" s="11">
        <v>452632.0</v>
      </c>
    </row>
    <row r="1196">
      <c r="A1196" s="5">
        <v>1195.0</v>
      </c>
      <c r="B1196" s="5" t="s">
        <v>75</v>
      </c>
      <c r="C1196" s="12" t="s">
        <v>170</v>
      </c>
      <c r="D1196" s="9" t="s">
        <v>66</v>
      </c>
      <c r="E1196" s="11">
        <v>172142.0</v>
      </c>
      <c r="F1196" s="11">
        <v>450348.0</v>
      </c>
    </row>
    <row r="1197">
      <c r="A1197" s="5">
        <v>1196.0</v>
      </c>
      <c r="B1197" s="5" t="s">
        <v>75</v>
      </c>
      <c r="C1197" s="12" t="s">
        <v>170</v>
      </c>
      <c r="D1197" s="9" t="s">
        <v>71</v>
      </c>
      <c r="E1197" s="11">
        <v>171522.0</v>
      </c>
      <c r="F1197" s="11">
        <v>451441.0</v>
      </c>
    </row>
    <row r="1198">
      <c r="A1198" s="5">
        <v>1197.0</v>
      </c>
      <c r="B1198" s="5" t="s">
        <v>84</v>
      </c>
      <c r="C1198" s="12" t="s">
        <v>171</v>
      </c>
      <c r="D1198" s="9" t="s">
        <v>60</v>
      </c>
      <c r="E1198" s="8"/>
      <c r="F1198" s="8"/>
    </row>
    <row r="1199">
      <c r="A1199" s="5">
        <v>1198.0</v>
      </c>
      <c r="B1199" s="5" t="s">
        <v>84</v>
      </c>
      <c r="C1199" s="12" t="s">
        <v>171</v>
      </c>
      <c r="D1199" s="9" t="s">
        <v>62</v>
      </c>
      <c r="E1199" s="11">
        <v>3066.0</v>
      </c>
      <c r="F1199" s="8"/>
    </row>
    <row r="1200">
      <c r="A1200" s="5">
        <v>1199.0</v>
      </c>
      <c r="B1200" s="5" t="s">
        <v>84</v>
      </c>
      <c r="C1200" s="12" t="s">
        <v>171</v>
      </c>
      <c r="D1200" s="9" t="s">
        <v>63</v>
      </c>
      <c r="E1200" s="11">
        <v>2830.0</v>
      </c>
      <c r="F1200" s="11">
        <v>7158.0</v>
      </c>
    </row>
    <row r="1201">
      <c r="A1201" s="5">
        <v>1200.0</v>
      </c>
      <c r="B1201" s="5" t="s">
        <v>84</v>
      </c>
      <c r="C1201" s="12" t="s">
        <v>171</v>
      </c>
      <c r="D1201" s="9" t="s">
        <v>64</v>
      </c>
      <c r="E1201" s="11">
        <v>3022.0</v>
      </c>
      <c r="F1201" s="11">
        <v>8592.0</v>
      </c>
    </row>
    <row r="1202">
      <c r="A1202" s="5">
        <v>1201.0</v>
      </c>
      <c r="B1202" s="5" t="s">
        <v>84</v>
      </c>
      <c r="C1202" s="12" t="s">
        <v>171</v>
      </c>
      <c r="D1202" s="9" t="s">
        <v>65</v>
      </c>
      <c r="E1202" s="11">
        <v>4078.0</v>
      </c>
      <c r="F1202" s="11">
        <v>11947.0</v>
      </c>
    </row>
    <row r="1203">
      <c r="A1203" s="5">
        <v>1202.0</v>
      </c>
      <c r="B1203" s="5" t="s">
        <v>84</v>
      </c>
      <c r="C1203" s="12" t="s">
        <v>171</v>
      </c>
      <c r="D1203" s="9" t="s">
        <v>68</v>
      </c>
      <c r="E1203" s="11">
        <v>4200.0</v>
      </c>
      <c r="F1203" s="11">
        <v>13480.0</v>
      </c>
    </row>
    <row r="1204">
      <c r="A1204" s="5">
        <v>1203.0</v>
      </c>
      <c r="B1204" s="5" t="s">
        <v>84</v>
      </c>
      <c r="C1204" s="12" t="s">
        <v>171</v>
      </c>
      <c r="D1204" s="9" t="s">
        <v>72</v>
      </c>
      <c r="E1204" s="11">
        <v>4176.0</v>
      </c>
      <c r="F1204" s="11">
        <v>12020.0</v>
      </c>
    </row>
    <row r="1205">
      <c r="A1205" s="5">
        <v>1204.0</v>
      </c>
      <c r="B1205" s="5" t="s">
        <v>84</v>
      </c>
      <c r="C1205" s="12" t="s">
        <v>171</v>
      </c>
      <c r="D1205" s="9" t="s">
        <v>69</v>
      </c>
      <c r="E1205" s="11">
        <v>3717.0</v>
      </c>
      <c r="F1205" s="11">
        <v>10645.0</v>
      </c>
    </row>
    <row r="1206">
      <c r="A1206" s="5">
        <v>1205.0</v>
      </c>
      <c r="B1206" s="5" t="s">
        <v>84</v>
      </c>
      <c r="C1206" s="12" t="s">
        <v>171</v>
      </c>
      <c r="D1206" s="9" t="s">
        <v>67</v>
      </c>
      <c r="E1206" s="11">
        <v>3769.0</v>
      </c>
      <c r="F1206" s="11">
        <v>10715.0</v>
      </c>
    </row>
    <row r="1207">
      <c r="A1207" s="5">
        <v>1206.0</v>
      </c>
      <c r="B1207" s="5" t="s">
        <v>84</v>
      </c>
      <c r="C1207" s="12" t="s">
        <v>171</v>
      </c>
      <c r="D1207" s="9" t="s">
        <v>71</v>
      </c>
      <c r="E1207" s="11">
        <v>3728.0</v>
      </c>
      <c r="F1207" s="11">
        <v>10722.0</v>
      </c>
    </row>
    <row r="1208">
      <c r="A1208" s="5">
        <v>1207.0</v>
      </c>
      <c r="B1208" s="5" t="s">
        <v>84</v>
      </c>
      <c r="C1208" s="12" t="s">
        <v>171</v>
      </c>
      <c r="D1208" s="9" t="s">
        <v>72</v>
      </c>
      <c r="E1208" s="11">
        <v>3586.0</v>
      </c>
      <c r="F1208" s="11">
        <v>10301.0</v>
      </c>
    </row>
    <row r="1209">
      <c r="A1209" s="5">
        <v>1208.0</v>
      </c>
      <c r="B1209" s="5" t="s">
        <v>84</v>
      </c>
      <c r="C1209" s="12" t="s">
        <v>171</v>
      </c>
      <c r="D1209" s="9" t="s">
        <v>66</v>
      </c>
      <c r="E1209" s="11">
        <v>3841.0</v>
      </c>
      <c r="F1209" s="11">
        <v>10627.0</v>
      </c>
    </row>
    <row r="1210">
      <c r="A1210" s="5">
        <v>1209.0</v>
      </c>
      <c r="B1210" s="5" t="s">
        <v>84</v>
      </c>
      <c r="C1210" s="12" t="s">
        <v>171</v>
      </c>
      <c r="D1210" s="9" t="s">
        <v>71</v>
      </c>
      <c r="E1210" s="11">
        <v>3829.0</v>
      </c>
      <c r="F1210" s="11">
        <v>10319.0</v>
      </c>
    </row>
    <row r="1211">
      <c r="A1211" s="5">
        <v>1210.0</v>
      </c>
      <c r="B1211" s="5" t="s">
        <v>61</v>
      </c>
      <c r="C1211" s="12" t="s">
        <v>172</v>
      </c>
      <c r="D1211" s="9" t="s">
        <v>60</v>
      </c>
      <c r="E1211" s="11">
        <v>451501.0</v>
      </c>
      <c r="F1211" s="8"/>
    </row>
    <row r="1212">
      <c r="A1212" s="5">
        <v>1211.0</v>
      </c>
      <c r="B1212" s="5" t="s">
        <v>61</v>
      </c>
      <c r="C1212" s="12" t="s">
        <v>172</v>
      </c>
      <c r="D1212" s="9" t="s">
        <v>62</v>
      </c>
      <c r="E1212" s="11">
        <v>461468.0</v>
      </c>
      <c r="F1212" s="8"/>
    </row>
    <row r="1213">
      <c r="A1213" s="5">
        <v>1212.0</v>
      </c>
      <c r="B1213" s="5" t="s">
        <v>61</v>
      </c>
      <c r="C1213" s="12" t="s">
        <v>172</v>
      </c>
      <c r="D1213" s="9" t="s">
        <v>63</v>
      </c>
      <c r="E1213" s="11">
        <v>499092.0</v>
      </c>
      <c r="F1213" s="11">
        <v>1170715.0</v>
      </c>
    </row>
    <row r="1214">
      <c r="A1214" s="5">
        <v>1213.0</v>
      </c>
      <c r="B1214" s="5" t="s">
        <v>61</v>
      </c>
      <c r="C1214" s="12" t="s">
        <v>172</v>
      </c>
      <c r="D1214" s="9" t="s">
        <v>64</v>
      </c>
      <c r="E1214" s="11">
        <v>472174.0</v>
      </c>
      <c r="F1214" s="11">
        <v>1100650.0</v>
      </c>
    </row>
    <row r="1215">
      <c r="A1215" s="5">
        <v>1214.0</v>
      </c>
      <c r="B1215" s="5" t="s">
        <v>61</v>
      </c>
      <c r="C1215" s="12" t="s">
        <v>172</v>
      </c>
      <c r="D1215" s="9" t="s">
        <v>65</v>
      </c>
      <c r="E1215" s="11">
        <v>495352.0</v>
      </c>
      <c r="F1215" s="11">
        <v>1206916.0</v>
      </c>
    </row>
    <row r="1216">
      <c r="A1216" s="5">
        <v>1215.0</v>
      </c>
      <c r="B1216" s="5" t="s">
        <v>61</v>
      </c>
      <c r="C1216" s="12" t="s">
        <v>172</v>
      </c>
      <c r="D1216" s="9" t="s">
        <v>68</v>
      </c>
      <c r="E1216" s="11">
        <v>515198.0</v>
      </c>
      <c r="F1216" s="11">
        <v>1251136.0</v>
      </c>
    </row>
    <row r="1217">
      <c r="A1217" s="5">
        <v>1216.0</v>
      </c>
      <c r="B1217" s="5" t="s">
        <v>61</v>
      </c>
      <c r="C1217" s="12" t="s">
        <v>172</v>
      </c>
      <c r="D1217" s="9" t="s">
        <v>72</v>
      </c>
      <c r="E1217" s="11">
        <v>519807.0</v>
      </c>
      <c r="F1217" s="11">
        <v>1231302.0</v>
      </c>
    </row>
    <row r="1218">
      <c r="A1218" s="5">
        <v>1217.0</v>
      </c>
      <c r="B1218" s="5" t="s">
        <v>61</v>
      </c>
      <c r="C1218" s="12" t="s">
        <v>172</v>
      </c>
      <c r="D1218" s="9" t="s">
        <v>69</v>
      </c>
      <c r="E1218" s="11">
        <v>520541.0</v>
      </c>
      <c r="F1218" s="11">
        <v>1238181.0</v>
      </c>
    </row>
    <row r="1219">
      <c r="A1219" s="5">
        <v>1218.0</v>
      </c>
      <c r="B1219" s="5" t="s">
        <v>61</v>
      </c>
      <c r="C1219" s="12" t="s">
        <v>172</v>
      </c>
      <c r="D1219" s="9" t="s">
        <v>67</v>
      </c>
      <c r="E1219" s="11">
        <v>522488.0</v>
      </c>
      <c r="F1219" s="11">
        <v>1259655.0</v>
      </c>
    </row>
    <row r="1220">
      <c r="A1220" s="5">
        <v>1219.0</v>
      </c>
      <c r="B1220" s="5" t="s">
        <v>61</v>
      </c>
      <c r="C1220" s="12" t="s">
        <v>172</v>
      </c>
      <c r="D1220" s="9" t="s">
        <v>71</v>
      </c>
      <c r="E1220" s="11">
        <v>506237.0</v>
      </c>
      <c r="F1220" s="11">
        <v>1237429.0</v>
      </c>
    </row>
    <row r="1221">
      <c r="A1221" s="5">
        <v>1220.0</v>
      </c>
      <c r="B1221" s="5" t="s">
        <v>61</v>
      </c>
      <c r="C1221" s="12" t="s">
        <v>172</v>
      </c>
      <c r="D1221" s="9" t="s">
        <v>72</v>
      </c>
      <c r="E1221" s="11">
        <v>510390.0</v>
      </c>
      <c r="F1221" s="11">
        <v>1216751.0</v>
      </c>
    </row>
    <row r="1222">
      <c r="A1222" s="5">
        <v>1221.0</v>
      </c>
      <c r="B1222" s="5" t="s">
        <v>61</v>
      </c>
      <c r="C1222" s="12" t="s">
        <v>172</v>
      </c>
      <c r="D1222" s="9" t="s">
        <v>66</v>
      </c>
      <c r="E1222" s="11">
        <v>510791.0</v>
      </c>
      <c r="F1222" s="11">
        <v>1202266.0</v>
      </c>
    </row>
    <row r="1223">
      <c r="A1223" s="5">
        <v>1222.0</v>
      </c>
      <c r="B1223" s="5" t="s">
        <v>61</v>
      </c>
      <c r="C1223" s="12" t="s">
        <v>172</v>
      </c>
      <c r="D1223" s="9" t="s">
        <v>71</v>
      </c>
      <c r="E1223" s="11">
        <v>518964.0</v>
      </c>
      <c r="F1223" s="11">
        <v>1219589.0</v>
      </c>
    </row>
    <row r="1224">
      <c r="A1224" s="5">
        <v>1223.0</v>
      </c>
      <c r="B1224" s="5" t="s">
        <v>93</v>
      </c>
      <c r="C1224" s="12" t="s">
        <v>173</v>
      </c>
      <c r="D1224" s="9" t="s">
        <v>60</v>
      </c>
      <c r="E1224" s="8"/>
      <c r="F1224" s="8"/>
    </row>
    <row r="1225">
      <c r="A1225" s="5">
        <v>1224.0</v>
      </c>
      <c r="B1225" s="5" t="s">
        <v>93</v>
      </c>
      <c r="C1225" s="12" t="s">
        <v>173</v>
      </c>
      <c r="D1225" s="9" t="s">
        <v>62</v>
      </c>
      <c r="E1225" s="11">
        <v>7064.0</v>
      </c>
      <c r="F1225" s="8"/>
    </row>
    <row r="1226">
      <c r="A1226" s="5">
        <v>1225.0</v>
      </c>
      <c r="B1226" s="5" t="s">
        <v>93</v>
      </c>
      <c r="C1226" s="12" t="s">
        <v>173</v>
      </c>
      <c r="D1226" s="9" t="s">
        <v>63</v>
      </c>
      <c r="E1226" s="11">
        <v>7105.0</v>
      </c>
      <c r="F1226" s="11">
        <v>20821.0</v>
      </c>
    </row>
    <row r="1227">
      <c r="A1227" s="5">
        <v>1226.0</v>
      </c>
      <c r="B1227" s="5" t="s">
        <v>93</v>
      </c>
      <c r="C1227" s="12" t="s">
        <v>173</v>
      </c>
      <c r="D1227" s="9" t="s">
        <v>64</v>
      </c>
      <c r="E1227" s="11">
        <v>7458.0</v>
      </c>
      <c r="F1227" s="11">
        <v>21254.0</v>
      </c>
    </row>
    <row r="1228">
      <c r="A1228" s="5">
        <v>1227.0</v>
      </c>
      <c r="B1228" s="5" t="s">
        <v>93</v>
      </c>
      <c r="C1228" s="12" t="s">
        <v>173</v>
      </c>
      <c r="D1228" s="9" t="s">
        <v>65</v>
      </c>
      <c r="E1228" s="11">
        <v>7069.0</v>
      </c>
      <c r="F1228" s="11">
        <v>20763.0</v>
      </c>
    </row>
    <row r="1229">
      <c r="A1229" s="5">
        <v>1228.0</v>
      </c>
      <c r="B1229" s="5" t="s">
        <v>93</v>
      </c>
      <c r="C1229" s="12" t="s">
        <v>173</v>
      </c>
      <c r="D1229" s="9" t="s">
        <v>68</v>
      </c>
      <c r="E1229" s="11">
        <v>7209.0</v>
      </c>
      <c r="F1229" s="11">
        <v>21540.0</v>
      </c>
    </row>
    <row r="1230">
      <c r="A1230" s="5">
        <v>1229.0</v>
      </c>
      <c r="B1230" s="5" t="s">
        <v>93</v>
      </c>
      <c r="C1230" s="12" t="s">
        <v>173</v>
      </c>
      <c r="D1230" s="9" t="s">
        <v>72</v>
      </c>
      <c r="E1230" s="11">
        <v>6853.0</v>
      </c>
      <c r="F1230" s="11">
        <v>20733.0</v>
      </c>
    </row>
    <row r="1231">
      <c r="A1231" s="5">
        <v>1230.0</v>
      </c>
      <c r="B1231" s="5" t="s">
        <v>93</v>
      </c>
      <c r="C1231" s="12" t="s">
        <v>173</v>
      </c>
      <c r="D1231" s="9" t="s">
        <v>69</v>
      </c>
      <c r="E1231" s="11">
        <v>6677.0</v>
      </c>
      <c r="F1231" s="11">
        <v>21027.0</v>
      </c>
    </row>
    <row r="1232">
      <c r="A1232" s="5">
        <v>1231.0</v>
      </c>
      <c r="B1232" s="5" t="s">
        <v>93</v>
      </c>
      <c r="C1232" s="12" t="s">
        <v>173</v>
      </c>
      <c r="D1232" s="9" t="s">
        <v>67</v>
      </c>
      <c r="E1232" s="11">
        <v>6219.0</v>
      </c>
      <c r="F1232" s="11">
        <v>19241.0</v>
      </c>
    </row>
    <row r="1233">
      <c r="A1233" s="5">
        <v>1232.0</v>
      </c>
      <c r="B1233" s="5" t="s">
        <v>93</v>
      </c>
      <c r="C1233" s="12" t="s">
        <v>173</v>
      </c>
      <c r="D1233" s="9" t="s">
        <v>71</v>
      </c>
      <c r="E1233" s="11">
        <v>5176.0</v>
      </c>
      <c r="F1233" s="11">
        <v>17470.0</v>
      </c>
    </row>
    <row r="1234">
      <c r="A1234" s="5">
        <v>1233.0</v>
      </c>
      <c r="B1234" s="5" t="s">
        <v>93</v>
      </c>
      <c r="C1234" s="12" t="s">
        <v>173</v>
      </c>
      <c r="D1234" s="9" t="s">
        <v>72</v>
      </c>
      <c r="E1234" s="11">
        <v>5060.0</v>
      </c>
      <c r="F1234" s="11">
        <v>16887.0</v>
      </c>
    </row>
    <row r="1235">
      <c r="A1235" s="5">
        <v>1234.0</v>
      </c>
      <c r="B1235" s="5" t="s">
        <v>93</v>
      </c>
      <c r="C1235" s="12" t="s">
        <v>173</v>
      </c>
      <c r="D1235" s="9" t="s">
        <v>66</v>
      </c>
      <c r="E1235" s="11">
        <v>4818.0</v>
      </c>
      <c r="F1235" s="11">
        <v>16003.0</v>
      </c>
    </row>
    <row r="1236">
      <c r="A1236" s="5">
        <v>1235.0</v>
      </c>
      <c r="B1236" s="5" t="s">
        <v>93</v>
      </c>
      <c r="C1236" s="12" t="s">
        <v>173</v>
      </c>
      <c r="D1236" s="9" t="s">
        <v>71</v>
      </c>
      <c r="E1236" s="11">
        <v>4864.0</v>
      </c>
      <c r="F1236" s="11">
        <v>15508.0</v>
      </c>
    </row>
    <row r="1237">
      <c r="A1237" s="5">
        <v>1236.0</v>
      </c>
      <c r="B1237" s="5" t="s">
        <v>61</v>
      </c>
      <c r="C1237" s="12" t="s">
        <v>174</v>
      </c>
      <c r="D1237" s="9" t="s">
        <v>60</v>
      </c>
      <c r="E1237" s="8"/>
      <c r="F1237" s="8"/>
    </row>
    <row r="1238">
      <c r="A1238" s="5">
        <v>1237.0</v>
      </c>
      <c r="B1238" s="5" t="s">
        <v>61</v>
      </c>
      <c r="C1238" s="12" t="s">
        <v>174</v>
      </c>
      <c r="D1238" s="9" t="s">
        <v>62</v>
      </c>
      <c r="E1238" s="11">
        <v>78101.0</v>
      </c>
      <c r="F1238" s="8"/>
    </row>
    <row r="1239">
      <c r="A1239" s="5">
        <v>1238.0</v>
      </c>
      <c r="B1239" s="5" t="s">
        <v>61</v>
      </c>
      <c r="C1239" s="12" t="s">
        <v>174</v>
      </c>
      <c r="D1239" s="9" t="s">
        <v>63</v>
      </c>
      <c r="E1239" s="11">
        <v>74443.0</v>
      </c>
      <c r="F1239" s="11">
        <v>248729.0</v>
      </c>
    </row>
    <row r="1240">
      <c r="A1240" s="5">
        <v>1239.0</v>
      </c>
      <c r="B1240" s="5" t="s">
        <v>61</v>
      </c>
      <c r="C1240" s="12" t="s">
        <v>174</v>
      </c>
      <c r="D1240" s="9" t="s">
        <v>64</v>
      </c>
      <c r="E1240" s="11">
        <v>63417.0</v>
      </c>
      <c r="F1240" s="11">
        <v>214087.0</v>
      </c>
    </row>
    <row r="1241">
      <c r="A1241" s="5">
        <v>1240.0</v>
      </c>
      <c r="B1241" s="5" t="s">
        <v>61</v>
      </c>
      <c r="C1241" s="12" t="s">
        <v>174</v>
      </c>
      <c r="D1241" s="9" t="s">
        <v>65</v>
      </c>
      <c r="E1241" s="11">
        <v>69983.0</v>
      </c>
      <c r="F1241" s="11">
        <v>230438.0</v>
      </c>
    </row>
    <row r="1242">
      <c r="A1242" s="5">
        <v>1241.0</v>
      </c>
      <c r="B1242" s="5" t="s">
        <v>61</v>
      </c>
      <c r="C1242" s="12" t="s">
        <v>174</v>
      </c>
      <c r="D1242" s="9" t="s">
        <v>68</v>
      </c>
      <c r="E1242" s="11">
        <v>66231.0</v>
      </c>
      <c r="F1242" s="11">
        <v>220313.0</v>
      </c>
    </row>
    <row r="1243">
      <c r="A1243" s="5">
        <v>1242.0</v>
      </c>
      <c r="B1243" s="5" t="s">
        <v>61</v>
      </c>
      <c r="C1243" s="12" t="s">
        <v>174</v>
      </c>
      <c r="D1243" s="9" t="s">
        <v>72</v>
      </c>
      <c r="E1243" s="11">
        <v>61504.0</v>
      </c>
      <c r="F1243" s="11">
        <v>192532.0</v>
      </c>
    </row>
    <row r="1244">
      <c r="A1244" s="5">
        <v>1243.0</v>
      </c>
      <c r="B1244" s="5" t="s">
        <v>61</v>
      </c>
      <c r="C1244" s="12" t="s">
        <v>174</v>
      </c>
      <c r="D1244" s="9" t="s">
        <v>69</v>
      </c>
      <c r="E1244" s="11">
        <v>50805.0</v>
      </c>
      <c r="F1244" s="11">
        <v>176947.0</v>
      </c>
    </row>
    <row r="1245">
      <c r="A1245" s="5">
        <v>1244.0</v>
      </c>
      <c r="B1245" s="5" t="s">
        <v>61</v>
      </c>
      <c r="C1245" s="12" t="s">
        <v>174</v>
      </c>
      <c r="D1245" s="9" t="s">
        <v>67</v>
      </c>
      <c r="E1245" s="11">
        <v>50717.0</v>
      </c>
      <c r="F1245" s="11">
        <v>172158.0</v>
      </c>
    </row>
    <row r="1246">
      <c r="A1246" s="5">
        <v>1245.0</v>
      </c>
      <c r="B1246" s="5" t="s">
        <v>61</v>
      </c>
      <c r="C1246" s="12" t="s">
        <v>174</v>
      </c>
      <c r="D1246" s="9" t="s">
        <v>71</v>
      </c>
      <c r="E1246" s="11">
        <v>43041.0</v>
      </c>
      <c r="F1246" s="11">
        <v>153816.0</v>
      </c>
    </row>
    <row r="1247">
      <c r="A1247" s="5">
        <v>1246.0</v>
      </c>
      <c r="B1247" s="5" t="s">
        <v>61</v>
      </c>
      <c r="C1247" s="12" t="s">
        <v>174</v>
      </c>
      <c r="D1247" s="9" t="s">
        <v>72</v>
      </c>
      <c r="E1247" s="11">
        <v>39679.0</v>
      </c>
      <c r="F1247" s="11">
        <v>151946.0</v>
      </c>
    </row>
    <row r="1248">
      <c r="A1248" s="5">
        <v>1247.0</v>
      </c>
      <c r="B1248" s="5" t="s">
        <v>61</v>
      </c>
      <c r="C1248" s="12" t="s">
        <v>174</v>
      </c>
      <c r="D1248" s="9" t="s">
        <v>66</v>
      </c>
      <c r="E1248" s="11">
        <v>34493.0</v>
      </c>
      <c r="F1248" s="11">
        <v>147908.0</v>
      </c>
    </row>
    <row r="1249">
      <c r="A1249" s="5">
        <v>1248.0</v>
      </c>
      <c r="B1249" s="5" t="s">
        <v>61</v>
      </c>
      <c r="C1249" s="12" t="s">
        <v>174</v>
      </c>
      <c r="D1249" s="9" t="s">
        <v>71</v>
      </c>
      <c r="E1249" s="11">
        <v>35679.0</v>
      </c>
      <c r="F1249" s="11">
        <v>127769.0</v>
      </c>
    </row>
    <row r="1250">
      <c r="A1250" s="5">
        <v>1249.0</v>
      </c>
      <c r="B1250" s="5" t="s">
        <v>77</v>
      </c>
      <c r="C1250" s="12" t="s">
        <v>175</v>
      </c>
      <c r="D1250" s="9" t="s">
        <v>60</v>
      </c>
      <c r="E1250" s="8"/>
      <c r="F1250" s="8"/>
    </row>
    <row r="1251">
      <c r="A1251" s="5">
        <v>1250.0</v>
      </c>
      <c r="B1251" s="5" t="s">
        <v>77</v>
      </c>
      <c r="C1251" s="12" t="s">
        <v>175</v>
      </c>
      <c r="D1251" s="9" t="s">
        <v>62</v>
      </c>
      <c r="E1251" s="11">
        <v>20179.0</v>
      </c>
      <c r="F1251" s="8"/>
    </row>
    <row r="1252">
      <c r="A1252" s="5">
        <v>1251.0</v>
      </c>
      <c r="B1252" s="5" t="s">
        <v>77</v>
      </c>
      <c r="C1252" s="12" t="s">
        <v>175</v>
      </c>
      <c r="D1252" s="9" t="s">
        <v>63</v>
      </c>
      <c r="E1252" s="11">
        <v>19719.0</v>
      </c>
      <c r="F1252" s="11">
        <v>12427.0</v>
      </c>
    </row>
    <row r="1253">
      <c r="A1253" s="5">
        <v>1252.0</v>
      </c>
      <c r="B1253" s="5" t="s">
        <v>77</v>
      </c>
      <c r="C1253" s="12" t="s">
        <v>175</v>
      </c>
      <c r="D1253" s="9" t="s">
        <v>64</v>
      </c>
      <c r="E1253" s="11">
        <v>18897.0</v>
      </c>
      <c r="F1253" s="11">
        <v>12350.0</v>
      </c>
    </row>
    <row r="1254">
      <c r="A1254" s="5">
        <v>1253.0</v>
      </c>
      <c r="B1254" s="5" t="s">
        <v>77</v>
      </c>
      <c r="C1254" s="12" t="s">
        <v>175</v>
      </c>
      <c r="D1254" s="9" t="s">
        <v>65</v>
      </c>
      <c r="E1254" s="11">
        <v>17806.0</v>
      </c>
      <c r="F1254" s="11">
        <v>10242.0</v>
      </c>
    </row>
    <row r="1255">
      <c r="A1255" s="5">
        <v>1254.0</v>
      </c>
      <c r="B1255" s="5" t="s">
        <v>77</v>
      </c>
      <c r="C1255" s="12" t="s">
        <v>175</v>
      </c>
      <c r="D1255" s="9" t="s">
        <v>68</v>
      </c>
      <c r="E1255" s="11">
        <v>17230.0</v>
      </c>
      <c r="F1255" s="11">
        <v>9831.0</v>
      </c>
    </row>
    <row r="1256">
      <c r="A1256" s="5">
        <v>1255.0</v>
      </c>
      <c r="B1256" s="5" t="s">
        <v>77</v>
      </c>
      <c r="C1256" s="12" t="s">
        <v>175</v>
      </c>
      <c r="D1256" s="9" t="s">
        <v>72</v>
      </c>
      <c r="E1256" s="11">
        <v>16896.0</v>
      </c>
      <c r="F1256" s="11">
        <v>9575.0</v>
      </c>
    </row>
    <row r="1257">
      <c r="A1257" s="5">
        <v>1256.0</v>
      </c>
      <c r="B1257" s="5" t="s">
        <v>77</v>
      </c>
      <c r="C1257" s="12" t="s">
        <v>175</v>
      </c>
      <c r="D1257" s="9" t="s">
        <v>69</v>
      </c>
      <c r="E1257" s="11">
        <v>16151.0</v>
      </c>
      <c r="F1257" s="11">
        <v>8562.0</v>
      </c>
    </row>
    <row r="1258">
      <c r="A1258" s="5">
        <v>1257.0</v>
      </c>
      <c r="B1258" s="5" t="s">
        <v>77</v>
      </c>
      <c r="C1258" s="12" t="s">
        <v>175</v>
      </c>
      <c r="D1258" s="9" t="s">
        <v>67</v>
      </c>
      <c r="E1258" s="11">
        <v>15552.0</v>
      </c>
      <c r="F1258" s="11">
        <v>7624.0</v>
      </c>
    </row>
    <row r="1259">
      <c r="A1259" s="5">
        <v>1258.0</v>
      </c>
      <c r="B1259" s="5" t="s">
        <v>77</v>
      </c>
      <c r="C1259" s="12" t="s">
        <v>175</v>
      </c>
      <c r="D1259" s="9" t="s">
        <v>71</v>
      </c>
      <c r="E1259" s="11">
        <v>14769.0</v>
      </c>
      <c r="F1259" s="11">
        <v>6755.0</v>
      </c>
    </row>
    <row r="1260">
      <c r="A1260" s="5">
        <v>1259.0</v>
      </c>
      <c r="B1260" s="5" t="s">
        <v>77</v>
      </c>
      <c r="C1260" s="12" t="s">
        <v>175</v>
      </c>
      <c r="D1260" s="9" t="s">
        <v>72</v>
      </c>
      <c r="E1260" s="11">
        <v>14454.0</v>
      </c>
      <c r="F1260" s="11">
        <v>7968.0</v>
      </c>
    </row>
    <row r="1261">
      <c r="A1261" s="5">
        <v>1260.0</v>
      </c>
      <c r="B1261" s="5" t="s">
        <v>77</v>
      </c>
      <c r="C1261" s="12" t="s">
        <v>175</v>
      </c>
      <c r="D1261" s="9" t="s">
        <v>66</v>
      </c>
      <c r="E1261" s="11">
        <v>14259.0</v>
      </c>
      <c r="F1261" s="11">
        <v>9369.0</v>
      </c>
    </row>
    <row r="1262">
      <c r="A1262" s="5">
        <v>1261.0</v>
      </c>
      <c r="B1262" s="5" t="s">
        <v>77</v>
      </c>
      <c r="C1262" s="12" t="s">
        <v>175</v>
      </c>
      <c r="D1262" s="9" t="s">
        <v>71</v>
      </c>
      <c r="E1262" s="11">
        <v>14055.0</v>
      </c>
      <c r="F1262" s="11">
        <v>10418.0</v>
      </c>
    </row>
    <row r="1263">
      <c r="A1263" s="5">
        <v>1262.0</v>
      </c>
      <c r="B1263" s="5" t="s">
        <v>80</v>
      </c>
      <c r="C1263" s="12" t="s">
        <v>176</v>
      </c>
      <c r="D1263" s="9" t="s">
        <v>60</v>
      </c>
      <c r="E1263" s="8"/>
      <c r="F1263" s="8"/>
    </row>
    <row r="1264">
      <c r="A1264" s="5">
        <v>1263.0</v>
      </c>
      <c r="B1264" s="5" t="s">
        <v>80</v>
      </c>
      <c r="C1264" s="12" t="s">
        <v>176</v>
      </c>
      <c r="D1264" s="9" t="s">
        <v>62</v>
      </c>
      <c r="E1264" s="8"/>
      <c r="F1264" s="8"/>
    </row>
    <row r="1265">
      <c r="A1265" s="5">
        <v>1264.0</v>
      </c>
      <c r="B1265" s="5" t="s">
        <v>80</v>
      </c>
      <c r="C1265" s="12" t="s">
        <v>176</v>
      </c>
      <c r="D1265" s="9" t="s">
        <v>63</v>
      </c>
      <c r="E1265" s="8"/>
      <c r="F1265" s="11">
        <v>62.0</v>
      </c>
    </row>
    <row r="1266">
      <c r="A1266" s="5">
        <v>1265.0</v>
      </c>
      <c r="B1266" s="5" t="s">
        <v>80</v>
      </c>
      <c r="C1266" s="12" t="s">
        <v>176</v>
      </c>
      <c r="D1266" s="9" t="s">
        <v>64</v>
      </c>
      <c r="E1266" s="8"/>
      <c r="F1266" s="11">
        <v>40.0</v>
      </c>
    </row>
    <row r="1267">
      <c r="A1267" s="5">
        <v>1266.0</v>
      </c>
      <c r="B1267" s="5" t="s">
        <v>80</v>
      </c>
      <c r="C1267" s="12" t="s">
        <v>176</v>
      </c>
      <c r="D1267" s="9" t="s">
        <v>65</v>
      </c>
      <c r="E1267" s="8"/>
      <c r="F1267" s="11">
        <v>55.0</v>
      </c>
    </row>
    <row r="1268">
      <c r="A1268" s="5">
        <v>1267.0</v>
      </c>
      <c r="B1268" s="5" t="s">
        <v>80</v>
      </c>
      <c r="C1268" s="12" t="s">
        <v>176</v>
      </c>
      <c r="D1268" s="9" t="s">
        <v>68</v>
      </c>
      <c r="E1268" s="11">
        <v>11.0</v>
      </c>
      <c r="F1268" s="11">
        <v>51.0</v>
      </c>
    </row>
    <row r="1269">
      <c r="A1269" s="5">
        <v>1268.0</v>
      </c>
      <c r="B1269" s="5" t="s">
        <v>80</v>
      </c>
      <c r="C1269" s="12" t="s">
        <v>176</v>
      </c>
      <c r="D1269" s="9" t="s">
        <v>72</v>
      </c>
      <c r="E1269" s="11">
        <v>10.0</v>
      </c>
      <c r="F1269" s="11">
        <v>70.0</v>
      </c>
    </row>
    <row r="1270">
      <c r="A1270" s="5">
        <v>1269.0</v>
      </c>
      <c r="B1270" s="5" t="s">
        <v>80</v>
      </c>
      <c r="C1270" s="12" t="s">
        <v>176</v>
      </c>
      <c r="D1270" s="9" t="s">
        <v>69</v>
      </c>
      <c r="E1270" s="11">
        <v>8.0</v>
      </c>
      <c r="F1270" s="11">
        <v>62.0</v>
      </c>
    </row>
    <row r="1271">
      <c r="A1271" s="5">
        <v>1270.0</v>
      </c>
      <c r="B1271" s="5" t="s">
        <v>80</v>
      </c>
      <c r="C1271" s="12" t="s">
        <v>176</v>
      </c>
      <c r="D1271" s="9" t="s">
        <v>67</v>
      </c>
      <c r="E1271" s="11">
        <v>8.0</v>
      </c>
      <c r="F1271" s="11">
        <v>44.0</v>
      </c>
    </row>
    <row r="1272">
      <c r="A1272" s="5">
        <v>1271.0</v>
      </c>
      <c r="B1272" s="5" t="s">
        <v>80</v>
      </c>
      <c r="C1272" s="12" t="s">
        <v>176</v>
      </c>
      <c r="D1272" s="9" t="s">
        <v>71</v>
      </c>
      <c r="E1272" s="8"/>
      <c r="F1272" s="11">
        <v>40.0</v>
      </c>
    </row>
    <row r="1273">
      <c r="A1273" s="5">
        <v>1272.0</v>
      </c>
      <c r="B1273" s="5" t="s">
        <v>80</v>
      </c>
      <c r="C1273" s="12" t="s">
        <v>176</v>
      </c>
      <c r="D1273" s="9" t="s">
        <v>72</v>
      </c>
      <c r="E1273" s="8"/>
      <c r="F1273" s="11">
        <v>40.0</v>
      </c>
    </row>
    <row r="1274">
      <c r="A1274" s="5">
        <v>1273.0</v>
      </c>
      <c r="B1274" s="5" t="s">
        <v>80</v>
      </c>
      <c r="C1274" s="12" t="s">
        <v>176</v>
      </c>
      <c r="D1274" s="9" t="s">
        <v>66</v>
      </c>
      <c r="E1274" s="8"/>
      <c r="F1274" s="11">
        <v>26.0</v>
      </c>
    </row>
    <row r="1275">
      <c r="A1275" s="5">
        <v>1274.0</v>
      </c>
      <c r="B1275" s="5" t="s">
        <v>80</v>
      </c>
      <c r="C1275" s="12" t="s">
        <v>176</v>
      </c>
      <c r="D1275" s="9" t="s">
        <v>71</v>
      </c>
      <c r="E1275" s="8"/>
      <c r="F1275" s="11">
        <v>33.0</v>
      </c>
    </row>
    <row r="1276">
      <c r="A1276" s="5">
        <v>1275.0</v>
      </c>
      <c r="B1276" s="5" t="s">
        <v>75</v>
      </c>
      <c r="C1276" s="12" t="s">
        <v>177</v>
      </c>
      <c r="D1276" s="9" t="s">
        <v>60</v>
      </c>
      <c r="E1276" s="8"/>
      <c r="F1276" s="8"/>
    </row>
    <row r="1277">
      <c r="A1277" s="5">
        <v>1276.0</v>
      </c>
      <c r="B1277" s="5" t="s">
        <v>75</v>
      </c>
      <c r="C1277" s="12" t="s">
        <v>177</v>
      </c>
      <c r="D1277" s="9" t="s">
        <v>62</v>
      </c>
      <c r="E1277" s="11">
        <v>2528.0</v>
      </c>
      <c r="F1277" s="8"/>
    </row>
    <row r="1278">
      <c r="A1278" s="5">
        <v>1277.0</v>
      </c>
      <c r="B1278" s="5" t="s">
        <v>75</v>
      </c>
      <c r="C1278" s="12" t="s">
        <v>177</v>
      </c>
      <c r="D1278" s="9" t="s">
        <v>63</v>
      </c>
      <c r="E1278" s="11">
        <v>2496.0</v>
      </c>
      <c r="F1278" s="8"/>
    </row>
    <row r="1279">
      <c r="A1279" s="5">
        <v>1278.0</v>
      </c>
      <c r="B1279" s="5" t="s">
        <v>75</v>
      </c>
      <c r="C1279" s="12" t="s">
        <v>177</v>
      </c>
      <c r="D1279" s="9" t="s">
        <v>64</v>
      </c>
      <c r="E1279" s="11">
        <v>2435.0</v>
      </c>
      <c r="F1279" s="8"/>
    </row>
    <row r="1280">
      <c r="A1280" s="5">
        <v>1279.0</v>
      </c>
      <c r="B1280" s="5" t="s">
        <v>75</v>
      </c>
      <c r="C1280" s="12" t="s">
        <v>177</v>
      </c>
      <c r="D1280" s="9" t="s">
        <v>65</v>
      </c>
      <c r="E1280" s="11">
        <v>2216.0</v>
      </c>
      <c r="F1280" s="8"/>
    </row>
    <row r="1281">
      <c r="A1281" s="5">
        <v>1280.0</v>
      </c>
      <c r="B1281" s="5" t="s">
        <v>75</v>
      </c>
      <c r="C1281" s="12" t="s">
        <v>177</v>
      </c>
      <c r="D1281" s="9" t="s">
        <v>68</v>
      </c>
      <c r="E1281" s="11">
        <v>2045.0</v>
      </c>
      <c r="F1281" s="8"/>
    </row>
    <row r="1282">
      <c r="A1282" s="5">
        <v>1281.0</v>
      </c>
      <c r="B1282" s="5" t="s">
        <v>75</v>
      </c>
      <c r="C1282" s="12" t="s">
        <v>177</v>
      </c>
      <c r="D1282" s="9" t="s">
        <v>72</v>
      </c>
      <c r="E1282" s="11">
        <v>1966.0</v>
      </c>
      <c r="F1282" s="8"/>
    </row>
    <row r="1283">
      <c r="A1283" s="5">
        <v>1282.0</v>
      </c>
      <c r="B1283" s="5" t="s">
        <v>75</v>
      </c>
      <c r="C1283" s="12" t="s">
        <v>177</v>
      </c>
      <c r="D1283" s="9" t="s">
        <v>69</v>
      </c>
      <c r="E1283" s="11">
        <v>1946.0</v>
      </c>
      <c r="F1283" s="8"/>
    </row>
    <row r="1284">
      <c r="A1284" s="5">
        <v>1283.0</v>
      </c>
      <c r="B1284" s="5" t="s">
        <v>75</v>
      </c>
      <c r="C1284" s="12" t="s">
        <v>177</v>
      </c>
      <c r="D1284" s="9" t="s">
        <v>67</v>
      </c>
      <c r="E1284" s="11">
        <v>2005.0</v>
      </c>
      <c r="F1284" s="8"/>
    </row>
    <row r="1285">
      <c r="A1285" s="5">
        <v>1284.0</v>
      </c>
      <c r="B1285" s="5" t="s">
        <v>75</v>
      </c>
      <c r="C1285" s="12" t="s">
        <v>177</v>
      </c>
      <c r="D1285" s="9" t="s">
        <v>71</v>
      </c>
      <c r="E1285" s="11">
        <v>1994.0</v>
      </c>
      <c r="F1285" s="8"/>
    </row>
    <row r="1286">
      <c r="A1286" s="5">
        <v>1285.0</v>
      </c>
      <c r="B1286" s="5" t="s">
        <v>75</v>
      </c>
      <c r="C1286" s="12" t="s">
        <v>177</v>
      </c>
      <c r="D1286" s="9" t="s">
        <v>72</v>
      </c>
      <c r="E1286" s="11">
        <v>1894.0</v>
      </c>
      <c r="F1286" s="8"/>
    </row>
    <row r="1287">
      <c r="A1287" s="5">
        <v>1286.0</v>
      </c>
      <c r="B1287" s="5" t="s">
        <v>75</v>
      </c>
      <c r="C1287" s="12" t="s">
        <v>177</v>
      </c>
      <c r="D1287" s="9" t="s">
        <v>66</v>
      </c>
      <c r="E1287" s="11">
        <v>1902.0</v>
      </c>
      <c r="F1287" s="8"/>
    </row>
    <row r="1288">
      <c r="A1288" s="5">
        <v>1287.0</v>
      </c>
      <c r="B1288" s="5" t="s">
        <v>75</v>
      </c>
      <c r="C1288" s="12" t="s">
        <v>177</v>
      </c>
      <c r="D1288" s="9" t="s">
        <v>71</v>
      </c>
      <c r="E1288" s="11">
        <v>1545.0</v>
      </c>
      <c r="F1288" s="8"/>
    </row>
    <row r="1289">
      <c r="A1289" s="5">
        <v>1288.0</v>
      </c>
      <c r="B1289" s="5" t="s">
        <v>93</v>
      </c>
      <c r="C1289" s="12" t="s">
        <v>178</v>
      </c>
      <c r="D1289" s="9" t="s">
        <v>60</v>
      </c>
      <c r="E1289" s="8"/>
      <c r="F1289" s="8"/>
    </row>
    <row r="1290">
      <c r="A1290" s="5">
        <v>1289.0</v>
      </c>
      <c r="B1290" s="5" t="s">
        <v>93</v>
      </c>
      <c r="C1290" s="12" t="s">
        <v>178</v>
      </c>
      <c r="D1290" s="9" t="s">
        <v>62</v>
      </c>
      <c r="E1290" s="11">
        <v>32523.0</v>
      </c>
      <c r="F1290" s="8"/>
    </row>
    <row r="1291">
      <c r="A1291" s="5">
        <v>1290.0</v>
      </c>
      <c r="B1291" s="5" t="s">
        <v>93</v>
      </c>
      <c r="C1291" s="12" t="s">
        <v>178</v>
      </c>
      <c r="D1291" s="9" t="s">
        <v>63</v>
      </c>
      <c r="E1291" s="11">
        <v>32586.0</v>
      </c>
      <c r="F1291" s="11">
        <v>93696.0</v>
      </c>
    </row>
    <row r="1292">
      <c r="A1292" s="5">
        <v>1291.0</v>
      </c>
      <c r="B1292" s="5" t="s">
        <v>93</v>
      </c>
      <c r="C1292" s="12" t="s">
        <v>178</v>
      </c>
      <c r="D1292" s="9" t="s">
        <v>64</v>
      </c>
      <c r="E1292" s="11">
        <v>30815.0</v>
      </c>
      <c r="F1292" s="11">
        <v>81869.0</v>
      </c>
    </row>
    <row r="1293">
      <c r="A1293" s="5">
        <v>1292.0</v>
      </c>
      <c r="B1293" s="5" t="s">
        <v>93</v>
      </c>
      <c r="C1293" s="12" t="s">
        <v>178</v>
      </c>
      <c r="D1293" s="9" t="s">
        <v>65</v>
      </c>
      <c r="E1293" s="11">
        <v>28843.0</v>
      </c>
      <c r="F1293" s="11">
        <v>79959.0</v>
      </c>
    </row>
    <row r="1294">
      <c r="A1294" s="5">
        <v>1293.0</v>
      </c>
      <c r="B1294" s="5" t="s">
        <v>93</v>
      </c>
      <c r="C1294" s="12" t="s">
        <v>178</v>
      </c>
      <c r="D1294" s="9" t="s">
        <v>68</v>
      </c>
      <c r="E1294" s="11">
        <v>26389.0</v>
      </c>
      <c r="F1294" s="11">
        <v>75236.0</v>
      </c>
    </row>
    <row r="1295">
      <c r="A1295" s="5">
        <v>1294.0</v>
      </c>
      <c r="B1295" s="5" t="s">
        <v>93</v>
      </c>
      <c r="C1295" s="12" t="s">
        <v>178</v>
      </c>
      <c r="D1295" s="9" t="s">
        <v>72</v>
      </c>
      <c r="E1295" s="11">
        <v>25780.0</v>
      </c>
      <c r="F1295" s="11">
        <v>73769.0</v>
      </c>
    </row>
    <row r="1296">
      <c r="A1296" s="5">
        <v>1295.0</v>
      </c>
      <c r="B1296" s="5" t="s">
        <v>93</v>
      </c>
      <c r="C1296" s="12" t="s">
        <v>178</v>
      </c>
      <c r="D1296" s="9" t="s">
        <v>69</v>
      </c>
      <c r="E1296" s="11">
        <v>26399.0</v>
      </c>
      <c r="F1296" s="11">
        <v>71547.0</v>
      </c>
    </row>
    <row r="1297">
      <c r="A1297" s="5">
        <v>1296.0</v>
      </c>
      <c r="B1297" s="5" t="s">
        <v>93</v>
      </c>
      <c r="C1297" s="12" t="s">
        <v>178</v>
      </c>
      <c r="D1297" s="9" t="s">
        <v>67</v>
      </c>
      <c r="E1297" s="11">
        <v>23469.0</v>
      </c>
      <c r="F1297" s="11">
        <v>63534.0</v>
      </c>
    </row>
    <row r="1298">
      <c r="A1298" s="5">
        <v>1297.0</v>
      </c>
      <c r="B1298" s="5" t="s">
        <v>93</v>
      </c>
      <c r="C1298" s="12" t="s">
        <v>178</v>
      </c>
      <c r="D1298" s="9" t="s">
        <v>71</v>
      </c>
      <c r="E1298" s="11">
        <v>22001.0</v>
      </c>
      <c r="F1298" s="11">
        <v>61657.0</v>
      </c>
    </row>
    <row r="1299">
      <c r="A1299" s="5">
        <v>1298.0</v>
      </c>
      <c r="B1299" s="5" t="s">
        <v>93</v>
      </c>
      <c r="C1299" s="12" t="s">
        <v>178</v>
      </c>
      <c r="D1299" s="9" t="s">
        <v>72</v>
      </c>
      <c r="E1299" s="11">
        <v>20639.0</v>
      </c>
      <c r="F1299" s="11">
        <v>52753.0</v>
      </c>
    </row>
    <row r="1300">
      <c r="A1300" s="5">
        <v>1299.0</v>
      </c>
      <c r="B1300" s="5" t="s">
        <v>93</v>
      </c>
      <c r="C1300" s="12" t="s">
        <v>178</v>
      </c>
      <c r="D1300" s="9" t="s">
        <v>66</v>
      </c>
      <c r="E1300" s="11">
        <v>20067.0</v>
      </c>
      <c r="F1300" s="11">
        <v>55122.0</v>
      </c>
    </row>
    <row r="1301">
      <c r="A1301" s="5">
        <v>1300.0</v>
      </c>
      <c r="B1301" s="5" t="s">
        <v>93</v>
      </c>
      <c r="C1301" s="12" t="s">
        <v>178</v>
      </c>
      <c r="D1301" s="9" t="s">
        <v>71</v>
      </c>
      <c r="E1301" s="11">
        <v>18805.0</v>
      </c>
      <c r="F1301" s="11">
        <v>55181.0</v>
      </c>
    </row>
    <row r="1302">
      <c r="A1302" s="5">
        <v>1301.0</v>
      </c>
      <c r="B1302" s="5" t="s">
        <v>61</v>
      </c>
      <c r="C1302" s="12" t="s">
        <v>179</v>
      </c>
      <c r="D1302" s="9" t="s">
        <v>60</v>
      </c>
      <c r="E1302" s="8"/>
      <c r="F1302" s="8"/>
    </row>
    <row r="1303">
      <c r="A1303" s="5">
        <v>1302.0</v>
      </c>
      <c r="B1303" s="5" t="s">
        <v>61</v>
      </c>
      <c r="C1303" s="12" t="s">
        <v>179</v>
      </c>
      <c r="D1303" s="9" t="s">
        <v>62</v>
      </c>
      <c r="E1303" s="11">
        <v>3097.0</v>
      </c>
      <c r="F1303" s="8"/>
    </row>
    <row r="1304">
      <c r="A1304" s="5">
        <v>1303.0</v>
      </c>
      <c r="B1304" s="5" t="s">
        <v>61</v>
      </c>
      <c r="C1304" s="12" t="s">
        <v>179</v>
      </c>
      <c r="D1304" s="9" t="s">
        <v>63</v>
      </c>
      <c r="E1304" s="11">
        <v>2805.0</v>
      </c>
      <c r="F1304" s="11">
        <v>6399.0</v>
      </c>
    </row>
    <row r="1305">
      <c r="A1305" s="5">
        <v>1304.0</v>
      </c>
      <c r="B1305" s="5" t="s">
        <v>61</v>
      </c>
      <c r="C1305" s="12" t="s">
        <v>179</v>
      </c>
      <c r="D1305" s="9" t="s">
        <v>64</v>
      </c>
      <c r="E1305" s="11">
        <v>2484.0</v>
      </c>
      <c r="F1305" s="11">
        <v>6480.0</v>
      </c>
    </row>
    <row r="1306">
      <c r="A1306" s="5">
        <v>1305.0</v>
      </c>
      <c r="B1306" s="5" t="s">
        <v>61</v>
      </c>
      <c r="C1306" s="12" t="s">
        <v>179</v>
      </c>
      <c r="D1306" s="9" t="s">
        <v>65</v>
      </c>
      <c r="E1306" s="11">
        <v>2846.0</v>
      </c>
      <c r="F1306" s="11">
        <v>5680.0</v>
      </c>
    </row>
    <row r="1307">
      <c r="A1307" s="5">
        <v>1306.0</v>
      </c>
      <c r="B1307" s="5" t="s">
        <v>61</v>
      </c>
      <c r="C1307" s="12" t="s">
        <v>179</v>
      </c>
      <c r="D1307" s="9" t="s">
        <v>68</v>
      </c>
      <c r="E1307" s="11">
        <v>2726.0</v>
      </c>
      <c r="F1307" s="11">
        <v>5871.0</v>
      </c>
    </row>
    <row r="1308">
      <c r="A1308" s="5">
        <v>1307.0</v>
      </c>
      <c r="B1308" s="5" t="s">
        <v>61</v>
      </c>
      <c r="C1308" s="12" t="s">
        <v>179</v>
      </c>
      <c r="D1308" s="9" t="s">
        <v>72</v>
      </c>
      <c r="E1308" s="11">
        <v>2450.0</v>
      </c>
      <c r="F1308" s="11">
        <v>5145.0</v>
      </c>
    </row>
    <row r="1309">
      <c r="A1309" s="5">
        <v>1308.0</v>
      </c>
      <c r="B1309" s="5" t="s">
        <v>61</v>
      </c>
      <c r="C1309" s="12" t="s">
        <v>179</v>
      </c>
      <c r="D1309" s="9" t="s">
        <v>69</v>
      </c>
      <c r="E1309" s="11">
        <v>2497.0</v>
      </c>
      <c r="F1309" s="11">
        <v>5233.0</v>
      </c>
    </row>
    <row r="1310">
      <c r="A1310" s="5">
        <v>1309.0</v>
      </c>
      <c r="B1310" s="5" t="s">
        <v>61</v>
      </c>
      <c r="C1310" s="12" t="s">
        <v>179</v>
      </c>
      <c r="D1310" s="9" t="s">
        <v>67</v>
      </c>
      <c r="E1310" s="11">
        <v>2542.0</v>
      </c>
      <c r="F1310" s="11">
        <v>5699.0</v>
      </c>
    </row>
    <row r="1311">
      <c r="A1311" s="5">
        <v>1310.0</v>
      </c>
      <c r="B1311" s="5" t="s">
        <v>61</v>
      </c>
      <c r="C1311" s="12" t="s">
        <v>179</v>
      </c>
      <c r="D1311" s="9" t="s">
        <v>71</v>
      </c>
      <c r="E1311" s="11">
        <v>2584.0</v>
      </c>
      <c r="F1311" s="11">
        <v>5328.0</v>
      </c>
    </row>
    <row r="1312">
      <c r="A1312" s="5">
        <v>1311.0</v>
      </c>
      <c r="B1312" s="5" t="s">
        <v>61</v>
      </c>
      <c r="C1312" s="12" t="s">
        <v>179</v>
      </c>
      <c r="D1312" s="9" t="s">
        <v>72</v>
      </c>
      <c r="E1312" s="11">
        <v>2422.0</v>
      </c>
      <c r="F1312" s="11">
        <v>4848.0</v>
      </c>
    </row>
    <row r="1313">
      <c r="A1313" s="5">
        <v>1312.0</v>
      </c>
      <c r="B1313" s="5" t="s">
        <v>61</v>
      </c>
      <c r="C1313" s="12" t="s">
        <v>179</v>
      </c>
      <c r="D1313" s="9" t="s">
        <v>66</v>
      </c>
      <c r="E1313" s="11">
        <v>2151.0</v>
      </c>
      <c r="F1313" s="11">
        <v>3781.0</v>
      </c>
    </row>
    <row r="1314">
      <c r="A1314" s="5">
        <v>1313.0</v>
      </c>
      <c r="B1314" s="5" t="s">
        <v>61</v>
      </c>
      <c r="C1314" s="12" t="s">
        <v>179</v>
      </c>
      <c r="D1314" s="9" t="s">
        <v>71</v>
      </c>
      <c r="E1314" s="11">
        <v>2317.0</v>
      </c>
      <c r="F1314" s="11">
        <v>4529.0</v>
      </c>
    </row>
    <row r="1315">
      <c r="A1315" s="5">
        <v>1314.0</v>
      </c>
      <c r="B1315" s="5" t="s">
        <v>61</v>
      </c>
      <c r="C1315" s="12" t="s">
        <v>180</v>
      </c>
      <c r="D1315" s="9" t="s">
        <v>60</v>
      </c>
      <c r="E1315" s="8"/>
      <c r="F1315" s="8"/>
    </row>
    <row r="1316">
      <c r="A1316" s="5">
        <v>1315.0</v>
      </c>
      <c r="B1316" s="5" t="s">
        <v>61</v>
      </c>
      <c r="C1316" s="12" t="s">
        <v>180</v>
      </c>
      <c r="D1316" s="9" t="s">
        <v>62</v>
      </c>
      <c r="E1316" s="8"/>
      <c r="F1316" s="8"/>
    </row>
    <row r="1317">
      <c r="A1317" s="5">
        <v>1316.0</v>
      </c>
      <c r="B1317" s="5" t="s">
        <v>61</v>
      </c>
      <c r="C1317" s="12" t="s">
        <v>180</v>
      </c>
      <c r="D1317" s="9" t="s">
        <v>63</v>
      </c>
      <c r="E1317" s="8"/>
      <c r="F1317" s="11">
        <v>1874.0</v>
      </c>
    </row>
    <row r="1318">
      <c r="A1318" s="5">
        <v>1317.0</v>
      </c>
      <c r="B1318" s="5" t="s">
        <v>61</v>
      </c>
      <c r="C1318" s="12" t="s">
        <v>180</v>
      </c>
      <c r="D1318" s="9" t="s">
        <v>64</v>
      </c>
      <c r="E1318" s="8"/>
      <c r="F1318" s="11">
        <v>1811.0</v>
      </c>
    </row>
    <row r="1319">
      <c r="A1319" s="5">
        <v>1318.0</v>
      </c>
      <c r="B1319" s="5" t="s">
        <v>61</v>
      </c>
      <c r="C1319" s="12" t="s">
        <v>180</v>
      </c>
      <c r="D1319" s="9" t="s">
        <v>65</v>
      </c>
      <c r="E1319" s="8"/>
      <c r="F1319" s="11">
        <v>1742.0</v>
      </c>
    </row>
    <row r="1320">
      <c r="A1320" s="5">
        <v>1319.0</v>
      </c>
      <c r="B1320" s="5" t="s">
        <v>61</v>
      </c>
      <c r="C1320" s="12" t="s">
        <v>180</v>
      </c>
      <c r="D1320" s="9" t="s">
        <v>68</v>
      </c>
      <c r="E1320" s="8"/>
      <c r="F1320" s="11">
        <v>1668.0</v>
      </c>
    </row>
    <row r="1321">
      <c r="A1321" s="5">
        <v>1320.0</v>
      </c>
      <c r="B1321" s="5" t="s">
        <v>61</v>
      </c>
      <c r="C1321" s="12" t="s">
        <v>180</v>
      </c>
      <c r="D1321" s="9" t="s">
        <v>72</v>
      </c>
      <c r="E1321" s="8"/>
      <c r="F1321" s="11">
        <v>1580.0</v>
      </c>
    </row>
    <row r="1322">
      <c r="A1322" s="5">
        <v>1321.0</v>
      </c>
      <c r="B1322" s="5" t="s">
        <v>61</v>
      </c>
      <c r="C1322" s="12" t="s">
        <v>180</v>
      </c>
      <c r="D1322" s="9" t="s">
        <v>69</v>
      </c>
      <c r="E1322" s="8"/>
      <c r="F1322" s="11">
        <v>1434.0</v>
      </c>
    </row>
    <row r="1323">
      <c r="A1323" s="5">
        <v>1322.0</v>
      </c>
      <c r="B1323" s="5" t="s">
        <v>61</v>
      </c>
      <c r="C1323" s="12" t="s">
        <v>180</v>
      </c>
      <c r="D1323" s="9" t="s">
        <v>67</v>
      </c>
      <c r="E1323" s="8"/>
      <c r="F1323" s="11">
        <v>1423.0</v>
      </c>
    </row>
    <row r="1324">
      <c r="A1324" s="5">
        <v>1323.0</v>
      </c>
      <c r="B1324" s="5" t="s">
        <v>61</v>
      </c>
      <c r="C1324" s="12" t="s">
        <v>180</v>
      </c>
      <c r="D1324" s="9" t="s">
        <v>71</v>
      </c>
      <c r="E1324" s="8"/>
      <c r="F1324" s="11">
        <v>1129.0</v>
      </c>
    </row>
    <row r="1325">
      <c r="A1325" s="5">
        <v>1324.0</v>
      </c>
      <c r="B1325" s="5" t="s">
        <v>61</v>
      </c>
      <c r="C1325" s="12" t="s">
        <v>180</v>
      </c>
      <c r="D1325" s="9" t="s">
        <v>73</v>
      </c>
      <c r="E1325" s="8"/>
      <c r="F1325" s="11">
        <v>1177.0</v>
      </c>
    </row>
    <row r="1326">
      <c r="A1326" s="5">
        <v>1325.0</v>
      </c>
      <c r="B1326" s="5" t="s">
        <v>61</v>
      </c>
      <c r="C1326" s="12" t="s">
        <v>180</v>
      </c>
      <c r="D1326" s="9" t="s">
        <v>66</v>
      </c>
      <c r="E1326" s="8"/>
      <c r="F1326" s="11">
        <v>902.0</v>
      </c>
    </row>
    <row r="1327">
      <c r="A1327" s="5">
        <v>1326.0</v>
      </c>
      <c r="B1327" s="5" t="s">
        <v>61</v>
      </c>
      <c r="C1327" s="12" t="s">
        <v>180</v>
      </c>
      <c r="D1327" s="9" t="s">
        <v>71</v>
      </c>
      <c r="E1327" s="8"/>
      <c r="F1327" s="11">
        <v>972.0</v>
      </c>
    </row>
    <row r="1328">
      <c r="A1328" s="5">
        <v>1327.0</v>
      </c>
      <c r="B1328" s="5" t="s">
        <v>75</v>
      </c>
      <c r="C1328" s="12" t="s">
        <v>181</v>
      </c>
      <c r="D1328" s="9" t="s">
        <v>60</v>
      </c>
      <c r="E1328" s="8"/>
      <c r="F1328" s="8"/>
    </row>
    <row r="1329">
      <c r="A1329" s="5">
        <v>1328.0</v>
      </c>
      <c r="B1329" s="5" t="s">
        <v>75</v>
      </c>
      <c r="C1329" s="12" t="s">
        <v>181</v>
      </c>
      <c r="D1329" s="9" t="s">
        <v>62</v>
      </c>
      <c r="E1329" s="11">
        <v>4371.0</v>
      </c>
      <c r="F1329" s="8"/>
    </row>
    <row r="1330">
      <c r="A1330" s="5">
        <v>1329.0</v>
      </c>
      <c r="B1330" s="5" t="s">
        <v>75</v>
      </c>
      <c r="C1330" s="12" t="s">
        <v>181</v>
      </c>
      <c r="D1330" s="9" t="s">
        <v>63</v>
      </c>
      <c r="E1330" s="11">
        <v>4644.0</v>
      </c>
      <c r="F1330" s="11">
        <v>7616.0</v>
      </c>
    </row>
    <row r="1331">
      <c r="A1331" s="5">
        <v>1330.0</v>
      </c>
      <c r="B1331" s="5" t="s">
        <v>75</v>
      </c>
      <c r="C1331" s="12" t="s">
        <v>181</v>
      </c>
      <c r="D1331" s="9" t="s">
        <v>64</v>
      </c>
      <c r="E1331" s="11">
        <v>4403.0</v>
      </c>
      <c r="F1331" s="11">
        <v>6824.0</v>
      </c>
    </row>
    <row r="1332">
      <c r="A1332" s="5">
        <v>1331.0</v>
      </c>
      <c r="B1332" s="5" t="s">
        <v>75</v>
      </c>
      <c r="C1332" s="12" t="s">
        <v>181</v>
      </c>
      <c r="D1332" s="9" t="s">
        <v>65</v>
      </c>
      <c r="E1332" s="11">
        <v>4586.0</v>
      </c>
      <c r="F1332" s="11">
        <v>7591.0</v>
      </c>
    </row>
    <row r="1333">
      <c r="A1333" s="5">
        <v>1332.0</v>
      </c>
      <c r="B1333" s="5" t="s">
        <v>75</v>
      </c>
      <c r="C1333" s="12" t="s">
        <v>181</v>
      </c>
      <c r="D1333" s="9" t="s">
        <v>68</v>
      </c>
      <c r="E1333" s="11">
        <v>4796.0</v>
      </c>
      <c r="F1333" s="11">
        <v>7928.0</v>
      </c>
    </row>
    <row r="1334">
      <c r="A1334" s="5">
        <v>1333.0</v>
      </c>
      <c r="B1334" s="5" t="s">
        <v>75</v>
      </c>
      <c r="C1334" s="12" t="s">
        <v>181</v>
      </c>
      <c r="D1334" s="9" t="s">
        <v>72</v>
      </c>
      <c r="E1334" s="11">
        <v>4688.0</v>
      </c>
      <c r="F1334" s="11">
        <v>7583.0</v>
      </c>
    </row>
    <row r="1335">
      <c r="A1335" s="5">
        <v>1334.0</v>
      </c>
      <c r="B1335" s="5" t="s">
        <v>75</v>
      </c>
      <c r="C1335" s="12" t="s">
        <v>181</v>
      </c>
      <c r="D1335" s="9" t="s">
        <v>69</v>
      </c>
      <c r="E1335" s="11">
        <v>4528.0</v>
      </c>
      <c r="F1335" s="11">
        <v>7176.0</v>
      </c>
    </row>
    <row r="1336">
      <c r="A1336" s="5">
        <v>1335.0</v>
      </c>
      <c r="B1336" s="5" t="s">
        <v>75</v>
      </c>
      <c r="C1336" s="12" t="s">
        <v>181</v>
      </c>
      <c r="D1336" s="9" t="s">
        <v>67</v>
      </c>
      <c r="E1336" s="11">
        <v>4438.0</v>
      </c>
      <c r="F1336" s="11">
        <v>7132.0</v>
      </c>
    </row>
    <row r="1337">
      <c r="A1337" s="5">
        <v>1336.0</v>
      </c>
      <c r="B1337" s="5" t="s">
        <v>75</v>
      </c>
      <c r="C1337" s="12" t="s">
        <v>181</v>
      </c>
      <c r="D1337" s="9" t="s">
        <v>71</v>
      </c>
      <c r="E1337" s="11">
        <v>4324.0</v>
      </c>
      <c r="F1337" s="11">
        <v>7088.0</v>
      </c>
    </row>
    <row r="1338">
      <c r="A1338" s="5">
        <v>1337.0</v>
      </c>
      <c r="B1338" s="5" t="s">
        <v>75</v>
      </c>
      <c r="C1338" s="12" t="s">
        <v>181</v>
      </c>
      <c r="D1338" s="9" t="s">
        <v>73</v>
      </c>
      <c r="E1338" s="11">
        <v>4073.0</v>
      </c>
      <c r="F1338" s="11">
        <v>6652.0</v>
      </c>
    </row>
    <row r="1339">
      <c r="A1339" s="5">
        <v>1338.0</v>
      </c>
      <c r="B1339" s="5" t="s">
        <v>75</v>
      </c>
      <c r="C1339" s="12" t="s">
        <v>181</v>
      </c>
      <c r="D1339" s="9" t="s">
        <v>66</v>
      </c>
      <c r="E1339" s="11">
        <v>4111.0</v>
      </c>
      <c r="F1339" s="11">
        <v>6854.0</v>
      </c>
    </row>
    <row r="1340">
      <c r="A1340" s="5">
        <v>1339.0</v>
      </c>
      <c r="B1340" s="5" t="s">
        <v>75</v>
      </c>
      <c r="C1340" s="12" t="s">
        <v>181</v>
      </c>
      <c r="D1340" s="9" t="s">
        <v>71</v>
      </c>
      <c r="E1340" s="11">
        <v>3832.0</v>
      </c>
      <c r="F1340" s="11">
        <v>6241.0</v>
      </c>
    </row>
    <row r="1341">
      <c r="A1341" s="5">
        <v>1340.0</v>
      </c>
      <c r="B1341" s="5" t="s">
        <v>93</v>
      </c>
      <c r="C1341" s="12" t="s">
        <v>182</v>
      </c>
      <c r="D1341" s="9" t="s">
        <v>60</v>
      </c>
      <c r="E1341" s="8"/>
      <c r="F1341" s="8"/>
    </row>
    <row r="1342">
      <c r="A1342" s="5">
        <v>1341.0</v>
      </c>
      <c r="B1342" s="5" t="s">
        <v>93</v>
      </c>
      <c r="C1342" s="12" t="s">
        <v>182</v>
      </c>
      <c r="D1342" s="9" t="s">
        <v>62</v>
      </c>
      <c r="E1342" s="11">
        <v>6349.0</v>
      </c>
      <c r="F1342" s="8"/>
    </row>
    <row r="1343">
      <c r="A1343" s="5">
        <v>1342.0</v>
      </c>
      <c r="B1343" s="5" t="s">
        <v>93</v>
      </c>
      <c r="C1343" s="12" t="s">
        <v>182</v>
      </c>
      <c r="D1343" s="9" t="s">
        <v>63</v>
      </c>
      <c r="E1343" s="11">
        <v>6382.0</v>
      </c>
      <c r="F1343" s="11">
        <v>20403.0</v>
      </c>
    </row>
    <row r="1344">
      <c r="A1344" s="5">
        <v>1343.0</v>
      </c>
      <c r="B1344" s="5" t="s">
        <v>93</v>
      </c>
      <c r="C1344" s="12" t="s">
        <v>182</v>
      </c>
      <c r="D1344" s="9" t="s">
        <v>64</v>
      </c>
      <c r="E1344" s="11">
        <v>6652.0</v>
      </c>
      <c r="F1344" s="11">
        <v>20917.0</v>
      </c>
    </row>
    <row r="1345">
      <c r="A1345" s="5">
        <v>1344.0</v>
      </c>
      <c r="B1345" s="5" t="s">
        <v>93</v>
      </c>
      <c r="C1345" s="12" t="s">
        <v>182</v>
      </c>
      <c r="D1345" s="9" t="s">
        <v>65</v>
      </c>
      <c r="E1345" s="11">
        <v>5426.0</v>
      </c>
      <c r="F1345" s="11">
        <v>16656.0</v>
      </c>
    </row>
    <row r="1346">
      <c r="A1346" s="5">
        <v>1345.0</v>
      </c>
      <c r="B1346" s="5" t="s">
        <v>93</v>
      </c>
      <c r="C1346" s="12" t="s">
        <v>182</v>
      </c>
      <c r="D1346" s="9" t="s">
        <v>68</v>
      </c>
      <c r="E1346" s="11">
        <v>4206.0</v>
      </c>
      <c r="F1346" s="11">
        <v>14972.0</v>
      </c>
    </row>
    <row r="1347">
      <c r="A1347" s="5">
        <v>1346.0</v>
      </c>
      <c r="B1347" s="5" t="s">
        <v>93</v>
      </c>
      <c r="C1347" s="12" t="s">
        <v>182</v>
      </c>
      <c r="D1347" s="9" t="s">
        <v>72</v>
      </c>
      <c r="E1347" s="11">
        <v>4774.0</v>
      </c>
      <c r="F1347" s="11">
        <v>14499.0</v>
      </c>
    </row>
    <row r="1348">
      <c r="A1348" s="5">
        <v>1347.0</v>
      </c>
      <c r="B1348" s="5" t="s">
        <v>93</v>
      </c>
      <c r="C1348" s="12" t="s">
        <v>182</v>
      </c>
      <c r="D1348" s="9" t="s">
        <v>69</v>
      </c>
      <c r="E1348" s="11">
        <v>5023.0</v>
      </c>
      <c r="F1348" s="11">
        <v>16245.0</v>
      </c>
    </row>
    <row r="1349">
      <c r="A1349" s="5">
        <v>1348.0</v>
      </c>
      <c r="B1349" s="5" t="s">
        <v>93</v>
      </c>
      <c r="C1349" s="12" t="s">
        <v>182</v>
      </c>
      <c r="D1349" s="9" t="s">
        <v>67</v>
      </c>
      <c r="E1349" s="11">
        <v>5271.0</v>
      </c>
      <c r="F1349" s="11">
        <v>16835.0</v>
      </c>
    </row>
    <row r="1350">
      <c r="A1350" s="5">
        <v>1349.0</v>
      </c>
      <c r="B1350" s="5" t="s">
        <v>93</v>
      </c>
      <c r="C1350" s="12" t="s">
        <v>182</v>
      </c>
      <c r="D1350" s="9" t="s">
        <v>71</v>
      </c>
      <c r="E1350" s="11">
        <v>5220.0</v>
      </c>
      <c r="F1350" s="11">
        <v>18221.0</v>
      </c>
    </row>
    <row r="1351">
      <c r="A1351" s="5">
        <v>1350.0</v>
      </c>
      <c r="B1351" s="5" t="s">
        <v>93</v>
      </c>
      <c r="C1351" s="12" t="s">
        <v>182</v>
      </c>
      <c r="D1351" s="9" t="s">
        <v>73</v>
      </c>
      <c r="E1351" s="11">
        <v>5220.0</v>
      </c>
      <c r="F1351" s="11">
        <v>16039.0</v>
      </c>
    </row>
    <row r="1352">
      <c r="A1352" s="5">
        <v>1351.0</v>
      </c>
      <c r="B1352" s="5" t="s">
        <v>93</v>
      </c>
      <c r="C1352" s="12" t="s">
        <v>182</v>
      </c>
      <c r="D1352" s="9" t="s">
        <v>66</v>
      </c>
      <c r="E1352" s="11">
        <v>5258.0</v>
      </c>
      <c r="F1352" s="11">
        <v>16208.0</v>
      </c>
    </row>
    <row r="1353">
      <c r="A1353" s="5">
        <v>1352.0</v>
      </c>
      <c r="B1353" s="5" t="s">
        <v>93</v>
      </c>
      <c r="C1353" s="12" t="s">
        <v>182</v>
      </c>
      <c r="D1353" s="9" t="s">
        <v>71</v>
      </c>
      <c r="E1353" s="11">
        <v>4907.0</v>
      </c>
      <c r="F1353" s="11">
        <v>15354.0</v>
      </c>
    </row>
    <row r="1354">
      <c r="A1354" s="5">
        <v>1353.0</v>
      </c>
      <c r="B1354" s="5" t="s">
        <v>77</v>
      </c>
      <c r="C1354" s="12" t="s">
        <v>183</v>
      </c>
      <c r="D1354" s="9" t="s">
        <v>60</v>
      </c>
      <c r="E1354" s="8"/>
      <c r="F1354" s="8"/>
    </row>
    <row r="1355">
      <c r="A1355" s="5">
        <v>1354.0</v>
      </c>
      <c r="B1355" s="5" t="s">
        <v>77</v>
      </c>
      <c r="C1355" s="12" t="s">
        <v>183</v>
      </c>
      <c r="D1355" s="9" t="s">
        <v>62</v>
      </c>
      <c r="E1355" s="8"/>
      <c r="F1355" s="8"/>
    </row>
    <row r="1356">
      <c r="A1356" s="5">
        <v>1355.0</v>
      </c>
      <c r="B1356" s="5" t="s">
        <v>77</v>
      </c>
      <c r="C1356" s="12" t="s">
        <v>183</v>
      </c>
      <c r="D1356" s="9" t="s">
        <v>63</v>
      </c>
      <c r="E1356" s="8"/>
      <c r="F1356" s="11">
        <v>18.0</v>
      </c>
    </row>
    <row r="1357">
      <c r="A1357" s="5">
        <v>1356.0</v>
      </c>
      <c r="B1357" s="5" t="s">
        <v>77</v>
      </c>
      <c r="C1357" s="12" t="s">
        <v>183</v>
      </c>
      <c r="D1357" s="9" t="s">
        <v>64</v>
      </c>
      <c r="E1357" s="8"/>
      <c r="F1357" s="11">
        <v>26.0</v>
      </c>
    </row>
    <row r="1358">
      <c r="A1358" s="5">
        <v>1357.0</v>
      </c>
      <c r="B1358" s="5" t="s">
        <v>77</v>
      </c>
      <c r="C1358" s="12" t="s">
        <v>183</v>
      </c>
      <c r="D1358" s="9" t="s">
        <v>65</v>
      </c>
      <c r="E1358" s="8"/>
      <c r="F1358" s="11">
        <v>18.0</v>
      </c>
    </row>
    <row r="1359">
      <c r="A1359" s="5">
        <v>1358.0</v>
      </c>
      <c r="B1359" s="5" t="s">
        <v>77</v>
      </c>
      <c r="C1359" s="12" t="s">
        <v>183</v>
      </c>
      <c r="D1359" s="9" t="s">
        <v>68</v>
      </c>
      <c r="E1359" s="11">
        <v>19.0</v>
      </c>
      <c r="F1359" s="11">
        <v>7.0</v>
      </c>
    </row>
    <row r="1360">
      <c r="A1360" s="5">
        <v>1359.0</v>
      </c>
      <c r="B1360" s="5" t="s">
        <v>77</v>
      </c>
      <c r="C1360" s="12" t="s">
        <v>183</v>
      </c>
      <c r="D1360" s="9" t="s">
        <v>72</v>
      </c>
      <c r="E1360" s="11">
        <v>19.0</v>
      </c>
      <c r="F1360" s="8"/>
    </row>
    <row r="1361">
      <c r="A1361" s="5">
        <v>1360.0</v>
      </c>
      <c r="B1361" s="5" t="s">
        <v>77</v>
      </c>
      <c r="C1361" s="12" t="s">
        <v>183</v>
      </c>
      <c r="D1361" s="9" t="s">
        <v>69</v>
      </c>
      <c r="E1361" s="11">
        <v>33.0</v>
      </c>
      <c r="F1361" s="8"/>
    </row>
    <row r="1362">
      <c r="A1362" s="5">
        <v>1361.0</v>
      </c>
      <c r="B1362" s="5" t="s">
        <v>77</v>
      </c>
      <c r="C1362" s="12" t="s">
        <v>183</v>
      </c>
      <c r="D1362" s="9" t="s">
        <v>67</v>
      </c>
      <c r="E1362" s="11">
        <v>28.0</v>
      </c>
      <c r="F1362" s="8"/>
    </row>
    <row r="1363">
      <c r="A1363" s="5">
        <v>1362.0</v>
      </c>
      <c r="B1363" s="5" t="s">
        <v>77</v>
      </c>
      <c r="C1363" s="12" t="s">
        <v>183</v>
      </c>
      <c r="D1363" s="9" t="s">
        <v>71</v>
      </c>
      <c r="E1363" s="8"/>
      <c r="F1363" s="8"/>
    </row>
    <row r="1364">
      <c r="A1364" s="5">
        <v>1363.0</v>
      </c>
      <c r="B1364" s="5" t="s">
        <v>77</v>
      </c>
      <c r="C1364" s="12" t="s">
        <v>183</v>
      </c>
      <c r="D1364" s="9" t="s">
        <v>73</v>
      </c>
      <c r="E1364" s="8"/>
      <c r="F1364" s="8"/>
    </row>
    <row r="1365">
      <c r="A1365" s="5">
        <v>1364.0</v>
      </c>
      <c r="B1365" s="5" t="s">
        <v>77</v>
      </c>
      <c r="C1365" s="12" t="s">
        <v>183</v>
      </c>
      <c r="D1365" s="9" t="s">
        <v>66</v>
      </c>
      <c r="E1365" s="8"/>
      <c r="F1365" s="8"/>
    </row>
    <row r="1366">
      <c r="A1366" s="5">
        <v>1365.0</v>
      </c>
      <c r="B1366" s="5" t="s">
        <v>77</v>
      </c>
      <c r="C1366" s="12" t="s">
        <v>183</v>
      </c>
      <c r="D1366" s="9" t="s">
        <v>71</v>
      </c>
      <c r="E1366" s="8"/>
      <c r="F1366" s="8"/>
    </row>
    <row r="1367">
      <c r="A1367" s="5">
        <v>1366.0</v>
      </c>
      <c r="B1367" s="5" t="s">
        <v>77</v>
      </c>
      <c r="C1367" s="12" t="s">
        <v>184</v>
      </c>
      <c r="D1367" s="9" t="s">
        <v>60</v>
      </c>
      <c r="E1367" s="8"/>
      <c r="F1367" s="8"/>
    </row>
    <row r="1368">
      <c r="A1368" s="5">
        <v>1367.0</v>
      </c>
      <c r="B1368" s="5" t="s">
        <v>77</v>
      </c>
      <c r="C1368" s="12" t="s">
        <v>184</v>
      </c>
      <c r="D1368" s="9" t="s">
        <v>62</v>
      </c>
      <c r="E1368" s="8"/>
      <c r="F1368" s="8"/>
    </row>
    <row r="1369">
      <c r="A1369" s="5">
        <v>1368.0</v>
      </c>
      <c r="B1369" s="5" t="s">
        <v>77</v>
      </c>
      <c r="C1369" s="12" t="s">
        <v>184</v>
      </c>
      <c r="D1369" s="9" t="s">
        <v>63</v>
      </c>
      <c r="E1369" s="8"/>
      <c r="F1369" s="11">
        <v>799.0</v>
      </c>
    </row>
    <row r="1370">
      <c r="A1370" s="5">
        <v>1369.0</v>
      </c>
      <c r="B1370" s="5" t="s">
        <v>77</v>
      </c>
      <c r="C1370" s="12" t="s">
        <v>184</v>
      </c>
      <c r="D1370" s="9" t="s">
        <v>64</v>
      </c>
      <c r="E1370" s="8"/>
      <c r="F1370" s="11">
        <v>528.0</v>
      </c>
    </row>
    <row r="1371">
      <c r="A1371" s="5">
        <v>1370.0</v>
      </c>
      <c r="B1371" s="5" t="s">
        <v>77</v>
      </c>
      <c r="C1371" s="12" t="s">
        <v>184</v>
      </c>
      <c r="D1371" s="9" t="s">
        <v>65</v>
      </c>
      <c r="E1371" s="8"/>
      <c r="F1371" s="11">
        <v>576.0</v>
      </c>
    </row>
    <row r="1372">
      <c r="A1372" s="5">
        <v>1371.0</v>
      </c>
      <c r="B1372" s="5" t="s">
        <v>77</v>
      </c>
      <c r="C1372" s="12" t="s">
        <v>184</v>
      </c>
      <c r="D1372" s="9" t="s">
        <v>68</v>
      </c>
      <c r="E1372" s="8"/>
      <c r="F1372" s="11">
        <v>678.0</v>
      </c>
    </row>
    <row r="1373">
      <c r="A1373" s="5">
        <v>1372.0</v>
      </c>
      <c r="B1373" s="5" t="s">
        <v>77</v>
      </c>
      <c r="C1373" s="12" t="s">
        <v>184</v>
      </c>
      <c r="D1373" s="9" t="s">
        <v>72</v>
      </c>
      <c r="E1373" s="8"/>
      <c r="F1373" s="11">
        <v>759.0</v>
      </c>
    </row>
    <row r="1374">
      <c r="A1374" s="5">
        <v>1373.0</v>
      </c>
      <c r="B1374" s="5" t="s">
        <v>77</v>
      </c>
      <c r="C1374" s="12" t="s">
        <v>184</v>
      </c>
      <c r="D1374" s="9" t="s">
        <v>69</v>
      </c>
      <c r="E1374" s="8"/>
      <c r="F1374" s="11">
        <v>741.0</v>
      </c>
    </row>
    <row r="1375">
      <c r="A1375" s="5">
        <v>1374.0</v>
      </c>
      <c r="B1375" s="5" t="s">
        <v>77</v>
      </c>
      <c r="C1375" s="12" t="s">
        <v>184</v>
      </c>
      <c r="D1375" s="9" t="s">
        <v>67</v>
      </c>
      <c r="E1375" s="8"/>
      <c r="F1375" s="11">
        <v>627.0</v>
      </c>
    </row>
    <row r="1376">
      <c r="A1376" s="5">
        <v>1375.0</v>
      </c>
      <c r="B1376" s="5" t="s">
        <v>77</v>
      </c>
      <c r="C1376" s="12" t="s">
        <v>184</v>
      </c>
      <c r="D1376" s="9" t="s">
        <v>71</v>
      </c>
      <c r="E1376" s="8"/>
      <c r="F1376" s="11">
        <v>532.0</v>
      </c>
    </row>
    <row r="1377">
      <c r="A1377" s="5">
        <v>1376.0</v>
      </c>
      <c r="B1377" s="5" t="s">
        <v>77</v>
      </c>
      <c r="C1377" s="12" t="s">
        <v>184</v>
      </c>
      <c r="D1377" s="9" t="s">
        <v>73</v>
      </c>
      <c r="E1377" s="8"/>
      <c r="F1377" s="11">
        <v>502.0</v>
      </c>
    </row>
    <row r="1378">
      <c r="A1378" s="5">
        <v>1377.0</v>
      </c>
      <c r="B1378" s="5" t="s">
        <v>77</v>
      </c>
      <c r="C1378" s="12" t="s">
        <v>184</v>
      </c>
      <c r="D1378" s="9" t="s">
        <v>66</v>
      </c>
      <c r="E1378" s="8"/>
      <c r="F1378" s="11">
        <v>502.0</v>
      </c>
    </row>
    <row r="1379">
      <c r="A1379" s="5">
        <v>1378.0</v>
      </c>
      <c r="B1379" s="5" t="s">
        <v>77</v>
      </c>
      <c r="C1379" s="12" t="s">
        <v>184</v>
      </c>
      <c r="D1379" s="9" t="s">
        <v>71</v>
      </c>
      <c r="E1379" s="8"/>
      <c r="F1379" s="11">
        <v>436.0</v>
      </c>
    </row>
    <row r="1380">
      <c r="A1380" s="5">
        <v>1379.0</v>
      </c>
      <c r="B1380" s="5" t="s">
        <v>77</v>
      </c>
      <c r="C1380" s="12" t="s">
        <v>185</v>
      </c>
      <c r="D1380" s="9" t="s">
        <v>60</v>
      </c>
      <c r="E1380" s="8"/>
      <c r="F1380" s="8"/>
    </row>
    <row r="1381">
      <c r="A1381" s="5">
        <v>1380.0</v>
      </c>
      <c r="B1381" s="5" t="s">
        <v>77</v>
      </c>
      <c r="C1381" s="12" t="s">
        <v>185</v>
      </c>
      <c r="D1381" s="9" t="s">
        <v>62</v>
      </c>
      <c r="E1381" s="11">
        <v>13342.0</v>
      </c>
      <c r="F1381" s="8"/>
    </row>
    <row r="1382">
      <c r="A1382" s="5">
        <v>1381.0</v>
      </c>
      <c r="B1382" s="5" t="s">
        <v>77</v>
      </c>
      <c r="C1382" s="12" t="s">
        <v>185</v>
      </c>
      <c r="D1382" s="9" t="s">
        <v>63</v>
      </c>
      <c r="E1382" s="11">
        <v>21611.0</v>
      </c>
      <c r="F1382" s="11">
        <v>59035.0</v>
      </c>
    </row>
    <row r="1383">
      <c r="A1383" s="5">
        <v>1382.0</v>
      </c>
      <c r="B1383" s="5" t="s">
        <v>77</v>
      </c>
      <c r="C1383" s="12" t="s">
        <v>185</v>
      </c>
      <c r="D1383" s="9" t="s">
        <v>64</v>
      </c>
      <c r="E1383" s="11">
        <v>20286.0</v>
      </c>
      <c r="F1383" s="11">
        <v>67674.0</v>
      </c>
    </row>
    <row r="1384">
      <c r="A1384" s="5">
        <v>1383.0</v>
      </c>
      <c r="B1384" s="5" t="s">
        <v>77</v>
      </c>
      <c r="C1384" s="12" t="s">
        <v>185</v>
      </c>
      <c r="D1384" s="9" t="s">
        <v>65</v>
      </c>
      <c r="E1384" s="11">
        <v>17738.0</v>
      </c>
      <c r="F1384" s="11">
        <v>60392.0</v>
      </c>
    </row>
    <row r="1385">
      <c r="A1385" s="5">
        <v>1384.0</v>
      </c>
      <c r="B1385" s="5" t="s">
        <v>77</v>
      </c>
      <c r="C1385" s="12" t="s">
        <v>185</v>
      </c>
      <c r="D1385" s="9" t="s">
        <v>68</v>
      </c>
      <c r="E1385" s="11">
        <v>17525.0</v>
      </c>
      <c r="F1385" s="11">
        <v>54209.0</v>
      </c>
    </row>
    <row r="1386">
      <c r="A1386" s="5">
        <v>1385.0</v>
      </c>
      <c r="B1386" s="5" t="s">
        <v>77</v>
      </c>
      <c r="C1386" s="12" t="s">
        <v>185</v>
      </c>
      <c r="D1386" s="9" t="s">
        <v>72</v>
      </c>
      <c r="E1386" s="11">
        <v>17899.0</v>
      </c>
      <c r="F1386" s="11">
        <v>53788.0</v>
      </c>
    </row>
    <row r="1387">
      <c r="A1387" s="5">
        <v>1386.0</v>
      </c>
      <c r="B1387" s="5" t="s">
        <v>77</v>
      </c>
      <c r="C1387" s="12" t="s">
        <v>185</v>
      </c>
      <c r="D1387" s="9" t="s">
        <v>69</v>
      </c>
      <c r="E1387" s="11">
        <v>17670.0</v>
      </c>
      <c r="F1387" s="11">
        <v>52108.0</v>
      </c>
    </row>
    <row r="1388">
      <c r="A1388" s="5">
        <v>1387.0</v>
      </c>
      <c r="B1388" s="5" t="s">
        <v>77</v>
      </c>
      <c r="C1388" s="12" t="s">
        <v>185</v>
      </c>
      <c r="D1388" s="9" t="s">
        <v>67</v>
      </c>
      <c r="E1388" s="11">
        <v>17796.0</v>
      </c>
      <c r="F1388" s="11">
        <v>50359.0</v>
      </c>
    </row>
    <row r="1389">
      <c r="A1389" s="5">
        <v>1388.0</v>
      </c>
      <c r="B1389" s="5" t="s">
        <v>77</v>
      </c>
      <c r="C1389" s="12" t="s">
        <v>185</v>
      </c>
      <c r="D1389" s="9" t="s">
        <v>71</v>
      </c>
      <c r="E1389" s="11">
        <v>17441.0</v>
      </c>
      <c r="F1389" s="11">
        <v>49167.0</v>
      </c>
    </row>
    <row r="1390">
      <c r="A1390" s="5">
        <v>1389.0</v>
      </c>
      <c r="B1390" s="5" t="s">
        <v>77</v>
      </c>
      <c r="C1390" s="12" t="s">
        <v>185</v>
      </c>
      <c r="D1390" s="9" t="s">
        <v>73</v>
      </c>
      <c r="E1390" s="11">
        <v>16951.0</v>
      </c>
      <c r="F1390" s="11">
        <v>47832.0</v>
      </c>
    </row>
    <row r="1391">
      <c r="A1391" s="5">
        <v>1390.0</v>
      </c>
      <c r="B1391" s="5" t="s">
        <v>77</v>
      </c>
      <c r="C1391" s="12" t="s">
        <v>185</v>
      </c>
      <c r="D1391" s="9" t="s">
        <v>67</v>
      </c>
      <c r="E1391" s="11">
        <v>16361.0</v>
      </c>
      <c r="F1391" s="11">
        <v>48100.0</v>
      </c>
    </row>
    <row r="1392">
      <c r="A1392" s="5">
        <v>1391.0</v>
      </c>
      <c r="B1392" s="5" t="s">
        <v>77</v>
      </c>
      <c r="C1392" s="12" t="s">
        <v>185</v>
      </c>
      <c r="D1392" s="9" t="s">
        <v>71</v>
      </c>
      <c r="E1392" s="11">
        <v>15901.0</v>
      </c>
      <c r="F1392" s="11">
        <v>47114.0</v>
      </c>
    </row>
    <row r="1393">
      <c r="A1393" s="5">
        <v>1392.0</v>
      </c>
      <c r="B1393" s="5" t="s">
        <v>75</v>
      </c>
      <c r="C1393" s="12" t="s">
        <v>186</v>
      </c>
      <c r="D1393" s="9" t="s">
        <v>60</v>
      </c>
      <c r="E1393" s="8"/>
      <c r="F1393" s="8"/>
    </row>
    <row r="1394">
      <c r="A1394" s="5">
        <v>1393.0</v>
      </c>
      <c r="B1394" s="5" t="s">
        <v>75</v>
      </c>
      <c r="C1394" s="12" t="s">
        <v>186</v>
      </c>
      <c r="D1394" s="9" t="s">
        <v>62</v>
      </c>
      <c r="E1394" s="8"/>
      <c r="F1394" s="8"/>
    </row>
    <row r="1395">
      <c r="A1395" s="5">
        <v>1394.0</v>
      </c>
      <c r="B1395" s="5" t="s">
        <v>75</v>
      </c>
      <c r="C1395" s="12" t="s">
        <v>186</v>
      </c>
      <c r="D1395" s="9" t="s">
        <v>63</v>
      </c>
      <c r="E1395" s="8"/>
      <c r="F1395" s="8"/>
    </row>
    <row r="1396">
      <c r="A1396" s="5">
        <v>1395.0</v>
      </c>
      <c r="B1396" s="5" t="s">
        <v>75</v>
      </c>
      <c r="C1396" s="12" t="s">
        <v>186</v>
      </c>
      <c r="D1396" s="9" t="s">
        <v>64</v>
      </c>
      <c r="E1396" s="8"/>
      <c r="F1396" s="8"/>
    </row>
    <row r="1397">
      <c r="A1397" s="5">
        <v>1396.0</v>
      </c>
      <c r="B1397" s="5" t="s">
        <v>75</v>
      </c>
      <c r="C1397" s="12" t="s">
        <v>186</v>
      </c>
      <c r="D1397" s="9" t="s">
        <v>65</v>
      </c>
      <c r="E1397" s="8"/>
      <c r="F1397" s="8"/>
    </row>
    <row r="1398">
      <c r="A1398" s="5">
        <v>1397.0</v>
      </c>
      <c r="B1398" s="5" t="s">
        <v>75</v>
      </c>
      <c r="C1398" s="12" t="s">
        <v>186</v>
      </c>
      <c r="D1398" s="9" t="s">
        <v>68</v>
      </c>
      <c r="E1398" s="8"/>
      <c r="F1398" s="8"/>
    </row>
    <row r="1399">
      <c r="A1399" s="5">
        <v>1398.0</v>
      </c>
      <c r="B1399" s="5" t="s">
        <v>75</v>
      </c>
      <c r="C1399" s="12" t="s">
        <v>186</v>
      </c>
      <c r="D1399" s="9" t="s">
        <v>72</v>
      </c>
      <c r="E1399" s="8"/>
      <c r="F1399" s="8"/>
    </row>
    <row r="1400">
      <c r="A1400" s="5">
        <v>1399.0</v>
      </c>
      <c r="B1400" s="5" t="s">
        <v>75</v>
      </c>
      <c r="C1400" s="12" t="s">
        <v>186</v>
      </c>
      <c r="D1400" s="9" t="s">
        <v>69</v>
      </c>
      <c r="E1400" s="8"/>
      <c r="F1400" s="8"/>
    </row>
    <row r="1401">
      <c r="A1401" s="5">
        <v>1400.0</v>
      </c>
      <c r="B1401" s="5" t="s">
        <v>75</v>
      </c>
      <c r="C1401" s="12" t="s">
        <v>186</v>
      </c>
      <c r="D1401" s="9" t="s">
        <v>67</v>
      </c>
      <c r="E1401" s="8"/>
      <c r="F1401" s="8"/>
    </row>
    <row r="1402">
      <c r="A1402" s="5">
        <v>1401.0</v>
      </c>
      <c r="B1402" s="5" t="s">
        <v>75</v>
      </c>
      <c r="C1402" s="12" t="s">
        <v>186</v>
      </c>
      <c r="D1402" s="9" t="s">
        <v>71</v>
      </c>
      <c r="E1402" s="8"/>
      <c r="F1402" s="8"/>
    </row>
    <row r="1403">
      <c r="A1403" s="5">
        <v>1402.0</v>
      </c>
      <c r="B1403" s="5" t="s">
        <v>75</v>
      </c>
      <c r="C1403" s="12" t="s">
        <v>186</v>
      </c>
      <c r="D1403" s="9" t="s">
        <v>73</v>
      </c>
      <c r="E1403" s="8"/>
      <c r="F1403" s="8"/>
    </row>
    <row r="1404">
      <c r="A1404" s="5">
        <v>1403.0</v>
      </c>
      <c r="B1404" s="5" t="s">
        <v>75</v>
      </c>
      <c r="C1404" s="12" t="s">
        <v>186</v>
      </c>
      <c r="D1404" s="9" t="s">
        <v>67</v>
      </c>
      <c r="E1404" s="8"/>
      <c r="F1404" s="8"/>
    </row>
    <row r="1405">
      <c r="A1405" s="5">
        <v>1404.0</v>
      </c>
      <c r="B1405" s="5" t="s">
        <v>75</v>
      </c>
      <c r="C1405" s="12" t="s">
        <v>186</v>
      </c>
      <c r="D1405" s="9" t="s">
        <v>71</v>
      </c>
      <c r="E1405" s="8"/>
      <c r="F1405" s="8"/>
    </row>
    <row r="1406">
      <c r="A1406" s="5">
        <v>1405.0</v>
      </c>
      <c r="B1406" s="5" t="s">
        <v>75</v>
      </c>
      <c r="C1406" s="12" t="s">
        <v>187</v>
      </c>
      <c r="D1406" s="9" t="s">
        <v>60</v>
      </c>
      <c r="E1406" s="8"/>
      <c r="F1406" s="8"/>
    </row>
    <row r="1407">
      <c r="A1407" s="5">
        <v>1406.0</v>
      </c>
      <c r="B1407" s="5" t="s">
        <v>75</v>
      </c>
      <c r="C1407" s="12" t="s">
        <v>187</v>
      </c>
      <c r="D1407" s="9" t="s">
        <v>62</v>
      </c>
      <c r="E1407" s="11">
        <v>7287.0</v>
      </c>
      <c r="F1407" s="8"/>
    </row>
    <row r="1408">
      <c r="A1408" s="5">
        <v>1407.0</v>
      </c>
      <c r="B1408" s="5" t="s">
        <v>75</v>
      </c>
      <c r="C1408" s="12" t="s">
        <v>187</v>
      </c>
      <c r="D1408" s="9" t="s">
        <v>63</v>
      </c>
      <c r="E1408" s="11">
        <v>7052.0</v>
      </c>
      <c r="F1408" s="11">
        <v>13561.0</v>
      </c>
    </row>
    <row r="1409">
      <c r="A1409" s="5">
        <v>1408.0</v>
      </c>
      <c r="B1409" s="5" t="s">
        <v>75</v>
      </c>
      <c r="C1409" s="12" t="s">
        <v>187</v>
      </c>
      <c r="D1409" s="9" t="s">
        <v>64</v>
      </c>
      <c r="E1409" s="11">
        <v>8766.0</v>
      </c>
      <c r="F1409" s="11">
        <v>12578.0</v>
      </c>
    </row>
    <row r="1410">
      <c r="A1410" s="5">
        <v>1409.0</v>
      </c>
      <c r="B1410" s="5" t="s">
        <v>75</v>
      </c>
      <c r="C1410" s="12" t="s">
        <v>187</v>
      </c>
      <c r="D1410" s="9" t="s">
        <v>65</v>
      </c>
      <c r="E1410" s="11">
        <v>9520.0</v>
      </c>
      <c r="F1410" s="11">
        <v>15115.0</v>
      </c>
    </row>
    <row r="1411">
      <c r="A1411" s="5">
        <v>1410.0</v>
      </c>
      <c r="B1411" s="5" t="s">
        <v>75</v>
      </c>
      <c r="C1411" s="12" t="s">
        <v>187</v>
      </c>
      <c r="D1411" s="9" t="s">
        <v>68</v>
      </c>
      <c r="E1411" s="11">
        <v>9460.0</v>
      </c>
      <c r="F1411" s="11">
        <v>15137.0</v>
      </c>
    </row>
    <row r="1412">
      <c r="A1412" s="5">
        <v>1411.0</v>
      </c>
      <c r="B1412" s="5" t="s">
        <v>75</v>
      </c>
      <c r="C1412" s="12" t="s">
        <v>187</v>
      </c>
      <c r="D1412" s="9" t="s">
        <v>72</v>
      </c>
      <c r="E1412" s="11">
        <v>8718.0</v>
      </c>
      <c r="F1412" s="11">
        <v>14294.0</v>
      </c>
    </row>
    <row r="1413">
      <c r="A1413" s="5">
        <v>1412.0</v>
      </c>
      <c r="B1413" s="5" t="s">
        <v>75</v>
      </c>
      <c r="C1413" s="12" t="s">
        <v>187</v>
      </c>
      <c r="D1413" s="9" t="s">
        <v>69</v>
      </c>
      <c r="E1413" s="11">
        <v>8848.0</v>
      </c>
      <c r="F1413" s="11">
        <v>13993.0</v>
      </c>
    </row>
    <row r="1414">
      <c r="A1414" s="5">
        <v>1413.0</v>
      </c>
      <c r="B1414" s="5" t="s">
        <v>75</v>
      </c>
      <c r="C1414" s="12" t="s">
        <v>187</v>
      </c>
      <c r="D1414" s="9" t="s">
        <v>67</v>
      </c>
      <c r="E1414" s="11">
        <v>9386.0</v>
      </c>
      <c r="F1414" s="11">
        <v>13330.0</v>
      </c>
    </row>
    <row r="1415">
      <c r="A1415" s="5">
        <v>1414.0</v>
      </c>
      <c r="B1415" s="5" t="s">
        <v>75</v>
      </c>
      <c r="C1415" s="12" t="s">
        <v>187</v>
      </c>
      <c r="D1415" s="9" t="s">
        <v>71</v>
      </c>
      <c r="E1415" s="11">
        <v>9253.0</v>
      </c>
      <c r="F1415" s="11">
        <v>12915.0</v>
      </c>
    </row>
    <row r="1416">
      <c r="A1416" s="5">
        <v>1415.0</v>
      </c>
      <c r="B1416" s="5" t="s">
        <v>75</v>
      </c>
      <c r="C1416" s="12" t="s">
        <v>187</v>
      </c>
      <c r="D1416" s="9" t="s">
        <v>73</v>
      </c>
      <c r="E1416" s="11">
        <v>8865.0</v>
      </c>
      <c r="F1416" s="11">
        <v>13212.0</v>
      </c>
    </row>
    <row r="1417">
      <c r="A1417" s="5">
        <v>1416.0</v>
      </c>
      <c r="B1417" s="5" t="s">
        <v>75</v>
      </c>
      <c r="C1417" s="12" t="s">
        <v>187</v>
      </c>
      <c r="D1417" s="9" t="s">
        <v>67</v>
      </c>
      <c r="E1417" s="11">
        <v>8277.0</v>
      </c>
      <c r="F1417" s="11">
        <v>12919.0</v>
      </c>
    </row>
    <row r="1418">
      <c r="A1418" s="5">
        <v>1417.0</v>
      </c>
      <c r="B1418" s="5" t="s">
        <v>75</v>
      </c>
      <c r="C1418" s="12" t="s">
        <v>187</v>
      </c>
      <c r="D1418" s="9" t="s">
        <v>71</v>
      </c>
      <c r="E1418" s="11">
        <v>7131.0</v>
      </c>
      <c r="F1418" s="11">
        <v>12200.0</v>
      </c>
    </row>
    <row r="1419">
      <c r="A1419" s="5">
        <v>1418.0</v>
      </c>
      <c r="B1419" s="5" t="s">
        <v>75</v>
      </c>
      <c r="C1419" s="12" t="s">
        <v>188</v>
      </c>
      <c r="D1419" s="9" t="s">
        <v>60</v>
      </c>
      <c r="E1419" s="11">
        <v>4080.0</v>
      </c>
      <c r="F1419" s="8"/>
    </row>
    <row r="1420">
      <c r="A1420" s="5">
        <v>1419.0</v>
      </c>
      <c r="B1420" s="5" t="s">
        <v>75</v>
      </c>
      <c r="C1420" s="12" t="s">
        <v>188</v>
      </c>
      <c r="D1420" s="9" t="s">
        <v>62</v>
      </c>
      <c r="E1420" s="11">
        <v>4171.0</v>
      </c>
      <c r="F1420" s="8"/>
    </row>
    <row r="1421">
      <c r="A1421" s="5">
        <v>1420.0</v>
      </c>
      <c r="B1421" s="5" t="s">
        <v>75</v>
      </c>
      <c r="C1421" s="12" t="s">
        <v>188</v>
      </c>
      <c r="D1421" s="9" t="s">
        <v>63</v>
      </c>
      <c r="E1421" s="11">
        <v>4220.0</v>
      </c>
      <c r="F1421" s="11">
        <v>10829.0</v>
      </c>
    </row>
    <row r="1422">
      <c r="A1422" s="5">
        <v>1421.0</v>
      </c>
      <c r="B1422" s="5" t="s">
        <v>75</v>
      </c>
      <c r="C1422" s="12" t="s">
        <v>188</v>
      </c>
      <c r="D1422" s="9" t="s">
        <v>64</v>
      </c>
      <c r="E1422" s="11">
        <v>3956.0</v>
      </c>
      <c r="F1422" s="11">
        <v>10249.0</v>
      </c>
    </row>
    <row r="1423">
      <c r="A1423" s="5">
        <v>1422.0</v>
      </c>
      <c r="B1423" s="5" t="s">
        <v>75</v>
      </c>
      <c r="C1423" s="12" t="s">
        <v>188</v>
      </c>
      <c r="D1423" s="9" t="s">
        <v>65</v>
      </c>
      <c r="E1423" s="11">
        <v>4204.0</v>
      </c>
      <c r="F1423" s="11">
        <v>10792.0</v>
      </c>
    </row>
    <row r="1424">
      <c r="A1424" s="5">
        <v>1423.0</v>
      </c>
      <c r="B1424" s="5" t="s">
        <v>75</v>
      </c>
      <c r="C1424" s="12" t="s">
        <v>188</v>
      </c>
      <c r="D1424" s="9" t="s">
        <v>68</v>
      </c>
      <c r="E1424" s="11">
        <v>4209.0</v>
      </c>
      <c r="F1424" s="11">
        <v>10869.0</v>
      </c>
    </row>
    <row r="1425">
      <c r="A1425" s="5">
        <v>1424.0</v>
      </c>
      <c r="B1425" s="5" t="s">
        <v>75</v>
      </c>
      <c r="C1425" s="12" t="s">
        <v>188</v>
      </c>
      <c r="D1425" s="9" t="s">
        <v>72</v>
      </c>
      <c r="E1425" s="11">
        <v>4329.0</v>
      </c>
      <c r="F1425" s="11">
        <v>11357.0</v>
      </c>
    </row>
    <row r="1426">
      <c r="A1426" s="5">
        <v>1425.0</v>
      </c>
      <c r="B1426" s="5" t="s">
        <v>75</v>
      </c>
      <c r="C1426" s="12" t="s">
        <v>188</v>
      </c>
      <c r="D1426" s="9" t="s">
        <v>69</v>
      </c>
      <c r="E1426" s="11">
        <v>4382.0</v>
      </c>
      <c r="F1426" s="11">
        <v>11544.0</v>
      </c>
    </row>
    <row r="1427">
      <c r="A1427" s="5">
        <v>1426.0</v>
      </c>
      <c r="B1427" s="5" t="s">
        <v>75</v>
      </c>
      <c r="C1427" s="12" t="s">
        <v>188</v>
      </c>
      <c r="D1427" s="9" t="s">
        <v>67</v>
      </c>
      <c r="E1427" s="11">
        <v>4282.0</v>
      </c>
      <c r="F1427" s="11">
        <v>11269.0</v>
      </c>
    </row>
    <row r="1428">
      <c r="A1428" s="5">
        <v>1427.0</v>
      </c>
      <c r="B1428" s="5" t="s">
        <v>75</v>
      </c>
      <c r="C1428" s="12" t="s">
        <v>188</v>
      </c>
      <c r="D1428" s="9" t="s">
        <v>71</v>
      </c>
      <c r="E1428" s="11">
        <v>3843.0</v>
      </c>
      <c r="F1428" s="11">
        <v>9905.0</v>
      </c>
    </row>
    <row r="1429">
      <c r="A1429" s="5">
        <v>1428.0</v>
      </c>
      <c r="B1429" s="5" t="s">
        <v>75</v>
      </c>
      <c r="C1429" s="12" t="s">
        <v>188</v>
      </c>
      <c r="D1429" s="9" t="s">
        <v>73</v>
      </c>
      <c r="E1429" s="11">
        <v>3646.0</v>
      </c>
      <c r="F1429" s="11">
        <v>9417.0</v>
      </c>
    </row>
    <row r="1430">
      <c r="A1430" s="5">
        <v>1429.0</v>
      </c>
      <c r="B1430" s="5" t="s">
        <v>75</v>
      </c>
      <c r="C1430" s="12" t="s">
        <v>188</v>
      </c>
      <c r="D1430" s="9" t="s">
        <v>67</v>
      </c>
      <c r="E1430" s="11">
        <v>3509.0</v>
      </c>
      <c r="F1430" s="11">
        <v>8801.0</v>
      </c>
    </row>
    <row r="1431">
      <c r="A1431" s="5">
        <v>1430.0</v>
      </c>
      <c r="B1431" s="5" t="s">
        <v>75</v>
      </c>
      <c r="C1431" s="12" t="s">
        <v>188</v>
      </c>
      <c r="D1431" s="9" t="s">
        <v>71</v>
      </c>
      <c r="E1431" s="11">
        <v>3335.0</v>
      </c>
      <c r="F1431" s="11">
        <v>8240.0</v>
      </c>
    </row>
    <row r="1432">
      <c r="A1432" s="5">
        <v>1431.0</v>
      </c>
      <c r="B1432" s="5" t="s">
        <v>61</v>
      </c>
      <c r="C1432" s="12" t="s">
        <v>189</v>
      </c>
      <c r="D1432" s="9" t="s">
        <v>60</v>
      </c>
      <c r="E1432" s="8"/>
      <c r="F1432" s="8"/>
    </row>
    <row r="1433">
      <c r="A1433" s="5">
        <v>1432.0</v>
      </c>
      <c r="B1433" s="5" t="s">
        <v>61</v>
      </c>
      <c r="C1433" s="12" t="s">
        <v>189</v>
      </c>
      <c r="D1433" s="9" t="s">
        <v>62</v>
      </c>
      <c r="E1433" s="8"/>
      <c r="F1433" s="8"/>
    </row>
    <row r="1434">
      <c r="A1434" s="5">
        <v>1433.0</v>
      </c>
      <c r="B1434" s="5" t="s">
        <v>61</v>
      </c>
      <c r="C1434" s="12" t="s">
        <v>189</v>
      </c>
      <c r="D1434" s="9" t="s">
        <v>63</v>
      </c>
      <c r="E1434" s="8"/>
      <c r="F1434" s="11">
        <v>1030.0</v>
      </c>
    </row>
    <row r="1435">
      <c r="A1435" s="5">
        <v>1434.0</v>
      </c>
      <c r="B1435" s="5" t="s">
        <v>61</v>
      </c>
      <c r="C1435" s="12" t="s">
        <v>189</v>
      </c>
      <c r="D1435" s="9" t="s">
        <v>64</v>
      </c>
      <c r="E1435" s="8"/>
      <c r="F1435" s="11">
        <v>1302.0</v>
      </c>
    </row>
    <row r="1436">
      <c r="A1436" s="5">
        <v>1435.0</v>
      </c>
      <c r="B1436" s="5" t="s">
        <v>61</v>
      </c>
      <c r="C1436" s="12" t="s">
        <v>189</v>
      </c>
      <c r="D1436" s="9" t="s">
        <v>65</v>
      </c>
      <c r="E1436" s="8"/>
      <c r="F1436" s="11">
        <v>1192.0</v>
      </c>
    </row>
    <row r="1437">
      <c r="A1437" s="5">
        <v>1436.0</v>
      </c>
      <c r="B1437" s="5" t="s">
        <v>61</v>
      </c>
      <c r="C1437" s="12" t="s">
        <v>189</v>
      </c>
      <c r="D1437" s="9" t="s">
        <v>68</v>
      </c>
      <c r="E1437" s="8"/>
      <c r="F1437" s="11">
        <v>1404.0</v>
      </c>
    </row>
    <row r="1438">
      <c r="A1438" s="5">
        <v>1437.0</v>
      </c>
      <c r="B1438" s="5" t="s">
        <v>61</v>
      </c>
      <c r="C1438" s="12" t="s">
        <v>189</v>
      </c>
      <c r="D1438" s="9" t="s">
        <v>72</v>
      </c>
      <c r="E1438" s="8"/>
      <c r="F1438" s="11">
        <v>1632.0</v>
      </c>
    </row>
    <row r="1439">
      <c r="A1439" s="5">
        <v>1438.0</v>
      </c>
      <c r="B1439" s="5" t="s">
        <v>61</v>
      </c>
      <c r="C1439" s="12" t="s">
        <v>189</v>
      </c>
      <c r="D1439" s="9" t="s">
        <v>69</v>
      </c>
      <c r="E1439" s="8"/>
      <c r="F1439" s="11">
        <v>1837.0</v>
      </c>
    </row>
    <row r="1440">
      <c r="A1440" s="5">
        <v>1439.0</v>
      </c>
      <c r="B1440" s="5" t="s">
        <v>61</v>
      </c>
      <c r="C1440" s="12" t="s">
        <v>189</v>
      </c>
      <c r="D1440" s="9" t="s">
        <v>67</v>
      </c>
      <c r="E1440" s="8"/>
      <c r="F1440" s="11">
        <v>1727.0</v>
      </c>
    </row>
    <row r="1441">
      <c r="A1441" s="5">
        <v>1440.0</v>
      </c>
      <c r="B1441" s="5" t="s">
        <v>61</v>
      </c>
      <c r="C1441" s="12" t="s">
        <v>189</v>
      </c>
      <c r="D1441" s="9" t="s">
        <v>71</v>
      </c>
      <c r="E1441" s="8"/>
      <c r="F1441" s="11">
        <v>1536.0</v>
      </c>
    </row>
    <row r="1442">
      <c r="A1442" s="5">
        <v>1441.0</v>
      </c>
      <c r="B1442" s="5" t="s">
        <v>61</v>
      </c>
      <c r="C1442" s="12" t="s">
        <v>189</v>
      </c>
      <c r="D1442" s="9" t="s">
        <v>73</v>
      </c>
      <c r="E1442" s="8"/>
      <c r="F1442" s="11">
        <v>1525.0</v>
      </c>
    </row>
    <row r="1443">
      <c r="A1443" s="5">
        <v>1442.0</v>
      </c>
      <c r="B1443" s="5" t="s">
        <v>61</v>
      </c>
      <c r="C1443" s="12" t="s">
        <v>189</v>
      </c>
      <c r="D1443" s="9" t="s">
        <v>67</v>
      </c>
      <c r="E1443" s="8"/>
      <c r="F1443" s="11">
        <v>1687.0</v>
      </c>
    </row>
    <row r="1444">
      <c r="A1444" s="5">
        <v>1443.0</v>
      </c>
      <c r="B1444" s="5" t="s">
        <v>61</v>
      </c>
      <c r="C1444" s="12" t="s">
        <v>189</v>
      </c>
      <c r="D1444" s="9" t="s">
        <v>71</v>
      </c>
      <c r="E1444" s="8"/>
      <c r="F1444" s="11">
        <v>1635.0</v>
      </c>
    </row>
    <row r="1445">
      <c r="A1445" s="5">
        <v>1444.0</v>
      </c>
      <c r="B1445" s="5" t="s">
        <v>77</v>
      </c>
      <c r="C1445" s="12" t="s">
        <v>190</v>
      </c>
      <c r="D1445" s="9" t="s">
        <v>60</v>
      </c>
      <c r="E1445" s="8"/>
      <c r="F1445" s="8"/>
    </row>
    <row r="1446">
      <c r="A1446" s="5">
        <v>1445.0</v>
      </c>
      <c r="B1446" s="5" t="s">
        <v>77</v>
      </c>
      <c r="C1446" s="12" t="s">
        <v>190</v>
      </c>
      <c r="D1446" s="9" t="s">
        <v>62</v>
      </c>
      <c r="E1446" s="8"/>
      <c r="F1446" s="8"/>
    </row>
    <row r="1447">
      <c r="A1447" s="5">
        <v>1446.0</v>
      </c>
      <c r="B1447" s="5" t="s">
        <v>77</v>
      </c>
      <c r="C1447" s="12" t="s">
        <v>190</v>
      </c>
      <c r="D1447" s="9" t="s">
        <v>63</v>
      </c>
      <c r="E1447" s="8"/>
      <c r="F1447" s="11">
        <v>2013.0</v>
      </c>
    </row>
    <row r="1448">
      <c r="A1448" s="5">
        <v>1447.0</v>
      </c>
      <c r="B1448" s="5" t="s">
        <v>77</v>
      </c>
      <c r="C1448" s="12" t="s">
        <v>190</v>
      </c>
      <c r="D1448" s="9" t="s">
        <v>64</v>
      </c>
      <c r="E1448" s="8"/>
      <c r="F1448" s="11">
        <v>1822.0</v>
      </c>
    </row>
    <row r="1449">
      <c r="A1449" s="5">
        <v>1448.0</v>
      </c>
      <c r="B1449" s="5" t="s">
        <v>77</v>
      </c>
      <c r="C1449" s="12" t="s">
        <v>190</v>
      </c>
      <c r="D1449" s="9" t="s">
        <v>65</v>
      </c>
      <c r="E1449" s="8"/>
      <c r="F1449" s="11">
        <v>1944.0</v>
      </c>
    </row>
    <row r="1450">
      <c r="A1450" s="5">
        <v>1449.0</v>
      </c>
      <c r="B1450" s="5" t="s">
        <v>77</v>
      </c>
      <c r="C1450" s="12" t="s">
        <v>190</v>
      </c>
      <c r="D1450" s="9" t="s">
        <v>68</v>
      </c>
      <c r="E1450" s="8"/>
      <c r="F1450" s="11">
        <v>1815.0</v>
      </c>
    </row>
    <row r="1451">
      <c r="A1451" s="5">
        <v>1450.0</v>
      </c>
      <c r="B1451" s="5" t="s">
        <v>77</v>
      </c>
      <c r="C1451" s="12" t="s">
        <v>190</v>
      </c>
      <c r="D1451" s="9" t="s">
        <v>72</v>
      </c>
      <c r="E1451" s="8"/>
      <c r="F1451" s="11">
        <v>1683.0</v>
      </c>
    </row>
    <row r="1452">
      <c r="A1452" s="5">
        <v>1451.0</v>
      </c>
      <c r="B1452" s="5" t="s">
        <v>77</v>
      </c>
      <c r="C1452" s="12" t="s">
        <v>190</v>
      </c>
      <c r="D1452" s="9" t="s">
        <v>70</v>
      </c>
      <c r="E1452" s="8"/>
      <c r="F1452" s="11">
        <v>1742.0</v>
      </c>
    </row>
    <row r="1453">
      <c r="A1453" s="5">
        <v>1452.0</v>
      </c>
      <c r="B1453" s="5" t="s">
        <v>77</v>
      </c>
      <c r="C1453" s="12" t="s">
        <v>190</v>
      </c>
      <c r="D1453" s="9" t="s">
        <v>67</v>
      </c>
      <c r="E1453" s="8"/>
      <c r="F1453" s="11">
        <v>1808.0</v>
      </c>
    </row>
    <row r="1454">
      <c r="A1454" s="5">
        <v>1453.0</v>
      </c>
      <c r="B1454" s="5" t="s">
        <v>77</v>
      </c>
      <c r="C1454" s="12" t="s">
        <v>190</v>
      </c>
      <c r="D1454" s="9" t="s">
        <v>71</v>
      </c>
      <c r="E1454" s="8"/>
      <c r="F1454" s="11">
        <v>1701.0</v>
      </c>
    </row>
    <row r="1455">
      <c r="A1455" s="5">
        <v>1454.0</v>
      </c>
      <c r="B1455" s="5" t="s">
        <v>77</v>
      </c>
      <c r="C1455" s="12" t="s">
        <v>190</v>
      </c>
      <c r="D1455" s="9" t="s">
        <v>73</v>
      </c>
      <c r="E1455" s="8"/>
      <c r="F1455" s="11">
        <v>1236.0</v>
      </c>
    </row>
    <row r="1456">
      <c r="A1456" s="5">
        <v>1455.0</v>
      </c>
      <c r="B1456" s="5" t="s">
        <v>77</v>
      </c>
      <c r="C1456" s="12" t="s">
        <v>190</v>
      </c>
      <c r="D1456" s="9" t="s">
        <v>67</v>
      </c>
      <c r="E1456" s="8"/>
      <c r="F1456" s="11">
        <v>1742.0</v>
      </c>
    </row>
    <row r="1457">
      <c r="A1457" s="5">
        <v>1456.0</v>
      </c>
      <c r="B1457" s="5" t="s">
        <v>77</v>
      </c>
      <c r="C1457" s="12" t="s">
        <v>190</v>
      </c>
      <c r="D1457" s="9" t="s">
        <v>71</v>
      </c>
      <c r="E1457" s="8"/>
      <c r="F1457" s="11">
        <v>1874.0</v>
      </c>
    </row>
    <row r="1458">
      <c r="A1458" s="5">
        <v>1457.0</v>
      </c>
      <c r="B1458" s="5" t="s">
        <v>77</v>
      </c>
      <c r="C1458" s="12" t="s">
        <v>191</v>
      </c>
      <c r="D1458" s="9" t="s">
        <v>60</v>
      </c>
      <c r="E1458" s="8"/>
      <c r="F1458" s="8"/>
    </row>
    <row r="1459">
      <c r="A1459" s="5">
        <v>1458.0</v>
      </c>
      <c r="B1459" s="5" t="s">
        <v>77</v>
      </c>
      <c r="C1459" s="12" t="s">
        <v>191</v>
      </c>
      <c r="D1459" s="9" t="s">
        <v>62</v>
      </c>
      <c r="E1459" s="8"/>
      <c r="F1459" s="8"/>
    </row>
    <row r="1460">
      <c r="A1460" s="5">
        <v>1459.0</v>
      </c>
      <c r="B1460" s="5" t="s">
        <v>77</v>
      </c>
      <c r="C1460" s="12" t="s">
        <v>191</v>
      </c>
      <c r="D1460" s="9" t="s">
        <v>63</v>
      </c>
      <c r="E1460" s="8"/>
      <c r="F1460" s="11">
        <v>1239.0</v>
      </c>
    </row>
    <row r="1461">
      <c r="A1461" s="5">
        <v>1460.0</v>
      </c>
      <c r="B1461" s="5" t="s">
        <v>77</v>
      </c>
      <c r="C1461" s="12" t="s">
        <v>191</v>
      </c>
      <c r="D1461" s="9" t="s">
        <v>64</v>
      </c>
      <c r="E1461" s="8"/>
      <c r="F1461" s="11">
        <v>1060.0</v>
      </c>
    </row>
    <row r="1462">
      <c r="A1462" s="5">
        <v>1461.0</v>
      </c>
      <c r="B1462" s="5" t="s">
        <v>77</v>
      </c>
      <c r="C1462" s="12" t="s">
        <v>191</v>
      </c>
      <c r="D1462" s="9" t="s">
        <v>65</v>
      </c>
      <c r="E1462" s="8"/>
      <c r="F1462" s="11">
        <v>1155.0</v>
      </c>
    </row>
    <row r="1463">
      <c r="A1463" s="5">
        <v>1462.0</v>
      </c>
      <c r="B1463" s="5" t="s">
        <v>77</v>
      </c>
      <c r="C1463" s="12" t="s">
        <v>191</v>
      </c>
      <c r="D1463" s="9" t="s">
        <v>68</v>
      </c>
      <c r="E1463" s="8"/>
      <c r="F1463" s="11">
        <v>953.0</v>
      </c>
    </row>
    <row r="1464">
      <c r="A1464" s="5">
        <v>1463.0</v>
      </c>
      <c r="B1464" s="5" t="s">
        <v>77</v>
      </c>
      <c r="C1464" s="12" t="s">
        <v>191</v>
      </c>
      <c r="D1464" s="9" t="s">
        <v>72</v>
      </c>
      <c r="E1464" s="8"/>
      <c r="F1464" s="11">
        <v>953.0</v>
      </c>
    </row>
    <row r="1465">
      <c r="A1465" s="5">
        <v>1464.0</v>
      </c>
      <c r="B1465" s="5" t="s">
        <v>77</v>
      </c>
      <c r="C1465" s="12" t="s">
        <v>191</v>
      </c>
      <c r="D1465" s="9" t="s">
        <v>70</v>
      </c>
      <c r="E1465" s="8"/>
      <c r="F1465" s="11">
        <v>917.0</v>
      </c>
    </row>
    <row r="1466">
      <c r="A1466" s="5">
        <v>1465.0</v>
      </c>
      <c r="B1466" s="5" t="s">
        <v>77</v>
      </c>
      <c r="C1466" s="12" t="s">
        <v>191</v>
      </c>
      <c r="D1466" s="9" t="s">
        <v>67</v>
      </c>
      <c r="E1466" s="8"/>
      <c r="F1466" s="11">
        <v>975.0</v>
      </c>
    </row>
    <row r="1467">
      <c r="A1467" s="5">
        <v>1466.0</v>
      </c>
      <c r="B1467" s="5" t="s">
        <v>77</v>
      </c>
      <c r="C1467" s="12" t="s">
        <v>191</v>
      </c>
      <c r="D1467" s="9" t="s">
        <v>71</v>
      </c>
      <c r="E1467" s="8"/>
      <c r="F1467" s="11">
        <v>957.0</v>
      </c>
    </row>
    <row r="1468">
      <c r="A1468" s="5">
        <v>1467.0</v>
      </c>
      <c r="B1468" s="5" t="s">
        <v>77</v>
      </c>
      <c r="C1468" s="12" t="s">
        <v>191</v>
      </c>
      <c r="D1468" s="9" t="s">
        <v>73</v>
      </c>
      <c r="E1468" s="8"/>
      <c r="F1468" s="11">
        <v>884.0</v>
      </c>
    </row>
    <row r="1469">
      <c r="A1469" s="5">
        <v>1468.0</v>
      </c>
      <c r="B1469" s="5" t="s">
        <v>77</v>
      </c>
      <c r="C1469" s="12" t="s">
        <v>191</v>
      </c>
      <c r="D1469" s="9" t="s">
        <v>67</v>
      </c>
      <c r="E1469" s="8"/>
      <c r="F1469" s="11">
        <v>906.0</v>
      </c>
    </row>
    <row r="1470">
      <c r="A1470" s="5">
        <v>1469.0</v>
      </c>
      <c r="B1470" s="5" t="s">
        <v>77</v>
      </c>
      <c r="C1470" s="12" t="s">
        <v>191</v>
      </c>
      <c r="D1470" s="9" t="s">
        <v>71</v>
      </c>
      <c r="E1470" s="8"/>
      <c r="F1470" s="11">
        <v>906.0</v>
      </c>
    </row>
    <row r="1471">
      <c r="A1471" s="5">
        <v>1470.0</v>
      </c>
      <c r="B1471" s="5" t="s">
        <v>61</v>
      </c>
      <c r="C1471" s="12" t="s">
        <v>192</v>
      </c>
      <c r="D1471" s="9" t="s">
        <v>60</v>
      </c>
      <c r="E1471" s="8"/>
      <c r="F1471" s="8"/>
    </row>
    <row r="1472">
      <c r="A1472" s="5">
        <v>1471.0</v>
      </c>
      <c r="B1472" s="5" t="s">
        <v>61</v>
      </c>
      <c r="C1472" s="12" t="s">
        <v>192</v>
      </c>
      <c r="D1472" s="9" t="s">
        <v>62</v>
      </c>
      <c r="E1472" s="11">
        <v>75907.0</v>
      </c>
      <c r="F1472" s="8"/>
    </row>
    <row r="1473">
      <c r="A1473" s="5">
        <v>1472.0</v>
      </c>
      <c r="B1473" s="5" t="s">
        <v>61</v>
      </c>
      <c r="C1473" s="12" t="s">
        <v>192</v>
      </c>
      <c r="D1473" s="9" t="s">
        <v>63</v>
      </c>
      <c r="E1473" s="11">
        <v>72645.0</v>
      </c>
      <c r="F1473" s="11">
        <v>216804.0</v>
      </c>
    </row>
    <row r="1474">
      <c r="A1474" s="5">
        <v>1473.0</v>
      </c>
      <c r="B1474" s="5" t="s">
        <v>61</v>
      </c>
      <c r="C1474" s="12" t="s">
        <v>192</v>
      </c>
      <c r="D1474" s="9" t="s">
        <v>64</v>
      </c>
      <c r="E1474" s="11">
        <v>69858.0</v>
      </c>
      <c r="F1474" s="11">
        <v>203882.0</v>
      </c>
    </row>
    <row r="1475">
      <c r="A1475" s="5">
        <v>1474.0</v>
      </c>
      <c r="B1475" s="5" t="s">
        <v>61</v>
      </c>
      <c r="C1475" s="12" t="s">
        <v>192</v>
      </c>
      <c r="D1475" s="9" t="s">
        <v>65</v>
      </c>
      <c r="E1475" s="11">
        <v>73006.0</v>
      </c>
      <c r="F1475" s="11">
        <v>213221.0</v>
      </c>
    </row>
    <row r="1476">
      <c r="A1476" s="5">
        <v>1475.0</v>
      </c>
      <c r="B1476" s="5" t="s">
        <v>61</v>
      </c>
      <c r="C1476" s="12" t="s">
        <v>192</v>
      </c>
      <c r="D1476" s="9" t="s">
        <v>68</v>
      </c>
      <c r="E1476" s="11">
        <v>69970.0</v>
      </c>
      <c r="F1476" s="11">
        <v>205308.0</v>
      </c>
    </row>
    <row r="1477">
      <c r="A1477" s="5">
        <v>1476.0</v>
      </c>
      <c r="B1477" s="5" t="s">
        <v>61</v>
      </c>
      <c r="C1477" s="12" t="s">
        <v>192</v>
      </c>
      <c r="D1477" s="9" t="s">
        <v>72</v>
      </c>
      <c r="E1477" s="11">
        <v>63715.0</v>
      </c>
      <c r="F1477" s="11">
        <v>170648.0</v>
      </c>
    </row>
    <row r="1478">
      <c r="A1478" s="5">
        <v>1477.0</v>
      </c>
      <c r="B1478" s="5" t="s">
        <v>61</v>
      </c>
      <c r="C1478" s="12" t="s">
        <v>192</v>
      </c>
      <c r="D1478" s="9" t="s">
        <v>70</v>
      </c>
      <c r="E1478" s="11">
        <v>63507.0</v>
      </c>
      <c r="F1478" s="11">
        <v>177373.0</v>
      </c>
    </row>
    <row r="1479">
      <c r="A1479" s="5">
        <v>1478.0</v>
      </c>
      <c r="B1479" s="5" t="s">
        <v>61</v>
      </c>
      <c r="C1479" s="12" t="s">
        <v>192</v>
      </c>
      <c r="D1479" s="9" t="s">
        <v>67</v>
      </c>
      <c r="E1479" s="11">
        <v>58691.0</v>
      </c>
      <c r="F1479" s="11">
        <v>167333.0</v>
      </c>
    </row>
    <row r="1480">
      <c r="A1480" s="5">
        <v>1479.0</v>
      </c>
      <c r="B1480" s="5" t="s">
        <v>61</v>
      </c>
      <c r="C1480" s="12" t="s">
        <v>192</v>
      </c>
      <c r="D1480" s="9" t="s">
        <v>71</v>
      </c>
      <c r="E1480" s="11">
        <v>54619.0</v>
      </c>
      <c r="F1480" s="11">
        <v>160266.0</v>
      </c>
    </row>
    <row r="1481">
      <c r="A1481" s="5">
        <v>1480.0</v>
      </c>
      <c r="B1481" s="5" t="s">
        <v>61</v>
      </c>
      <c r="C1481" s="12" t="s">
        <v>192</v>
      </c>
      <c r="D1481" s="9" t="s">
        <v>73</v>
      </c>
      <c r="E1481" s="11">
        <v>51009.0</v>
      </c>
      <c r="F1481" s="11">
        <v>135129.0</v>
      </c>
    </row>
    <row r="1482">
      <c r="A1482" s="5">
        <v>1481.0</v>
      </c>
      <c r="B1482" s="5" t="s">
        <v>61</v>
      </c>
      <c r="C1482" s="12" t="s">
        <v>192</v>
      </c>
      <c r="D1482" s="9" t="s">
        <v>67</v>
      </c>
      <c r="E1482" s="11">
        <v>49255.0</v>
      </c>
      <c r="F1482" s="11">
        <v>136717.0</v>
      </c>
    </row>
    <row r="1483">
      <c r="A1483" s="5">
        <v>1482.0</v>
      </c>
      <c r="B1483" s="5" t="s">
        <v>61</v>
      </c>
      <c r="C1483" s="12" t="s">
        <v>192</v>
      </c>
      <c r="D1483" s="9" t="s">
        <v>71</v>
      </c>
      <c r="E1483" s="11">
        <v>47110.0</v>
      </c>
      <c r="F1483" s="11">
        <v>126603.0</v>
      </c>
    </row>
    <row r="1484">
      <c r="A1484" s="5">
        <v>1483.0</v>
      </c>
      <c r="B1484" s="5" t="s">
        <v>61</v>
      </c>
      <c r="C1484" s="12" t="s">
        <v>193</v>
      </c>
      <c r="D1484" s="9" t="s">
        <v>60</v>
      </c>
      <c r="E1484" s="8"/>
      <c r="F1484" s="8"/>
    </row>
    <row r="1485">
      <c r="A1485" s="5">
        <v>1484.0</v>
      </c>
      <c r="B1485" s="5" t="s">
        <v>61</v>
      </c>
      <c r="C1485" s="12" t="s">
        <v>193</v>
      </c>
      <c r="D1485" s="9" t="s">
        <v>62</v>
      </c>
      <c r="E1485" s="8"/>
      <c r="F1485" s="8"/>
    </row>
    <row r="1486">
      <c r="A1486" s="5">
        <v>1485.0</v>
      </c>
      <c r="B1486" s="5" t="s">
        <v>61</v>
      </c>
      <c r="C1486" s="12" t="s">
        <v>193</v>
      </c>
      <c r="D1486" s="9" t="s">
        <v>63</v>
      </c>
      <c r="E1486" s="8"/>
      <c r="F1486" s="11">
        <v>1074.0</v>
      </c>
    </row>
    <row r="1487">
      <c r="A1487" s="5">
        <v>1486.0</v>
      </c>
      <c r="B1487" s="5" t="s">
        <v>61</v>
      </c>
      <c r="C1487" s="12" t="s">
        <v>193</v>
      </c>
      <c r="D1487" s="9" t="s">
        <v>64</v>
      </c>
      <c r="E1487" s="8"/>
      <c r="F1487" s="11">
        <v>1067.0</v>
      </c>
    </row>
    <row r="1488">
      <c r="A1488" s="5">
        <v>1487.0</v>
      </c>
      <c r="B1488" s="5" t="s">
        <v>61</v>
      </c>
      <c r="C1488" s="12" t="s">
        <v>193</v>
      </c>
      <c r="D1488" s="9" t="s">
        <v>65</v>
      </c>
      <c r="E1488" s="8"/>
      <c r="F1488" s="11">
        <v>1008.0</v>
      </c>
    </row>
    <row r="1489">
      <c r="A1489" s="5">
        <v>1488.0</v>
      </c>
      <c r="B1489" s="5" t="s">
        <v>61</v>
      </c>
      <c r="C1489" s="12" t="s">
        <v>193</v>
      </c>
      <c r="D1489" s="9" t="s">
        <v>68</v>
      </c>
      <c r="E1489" s="11">
        <v>299.0</v>
      </c>
      <c r="F1489" s="11">
        <v>917.0</v>
      </c>
    </row>
    <row r="1490">
      <c r="A1490" s="5">
        <v>1489.0</v>
      </c>
      <c r="B1490" s="5" t="s">
        <v>61</v>
      </c>
      <c r="C1490" s="12" t="s">
        <v>193</v>
      </c>
      <c r="D1490" s="9" t="s">
        <v>72</v>
      </c>
      <c r="E1490" s="11">
        <v>288.0</v>
      </c>
      <c r="F1490" s="11">
        <v>887.0</v>
      </c>
    </row>
    <row r="1491">
      <c r="A1491" s="5">
        <v>1490.0</v>
      </c>
      <c r="B1491" s="5" t="s">
        <v>61</v>
      </c>
      <c r="C1491" s="12" t="s">
        <v>193</v>
      </c>
      <c r="D1491" s="9" t="s">
        <v>70</v>
      </c>
      <c r="E1491" s="11">
        <v>225.0</v>
      </c>
      <c r="F1491" s="11">
        <v>700.0</v>
      </c>
    </row>
    <row r="1492">
      <c r="A1492" s="5">
        <v>1491.0</v>
      </c>
      <c r="B1492" s="5" t="s">
        <v>61</v>
      </c>
      <c r="C1492" s="12" t="s">
        <v>193</v>
      </c>
      <c r="D1492" s="9" t="s">
        <v>67</v>
      </c>
      <c r="E1492" s="11">
        <v>250.0</v>
      </c>
      <c r="F1492" s="11">
        <v>777.0</v>
      </c>
    </row>
    <row r="1493">
      <c r="A1493" s="5">
        <v>1492.0</v>
      </c>
      <c r="B1493" s="5" t="s">
        <v>61</v>
      </c>
      <c r="C1493" s="12" t="s">
        <v>193</v>
      </c>
      <c r="D1493" s="9" t="s">
        <v>71</v>
      </c>
      <c r="E1493" s="8"/>
      <c r="F1493" s="11">
        <v>598.0</v>
      </c>
    </row>
    <row r="1494">
      <c r="A1494" s="5">
        <v>1493.0</v>
      </c>
      <c r="B1494" s="5" t="s">
        <v>61</v>
      </c>
      <c r="C1494" s="12" t="s">
        <v>193</v>
      </c>
      <c r="D1494" s="9" t="s">
        <v>66</v>
      </c>
      <c r="E1494" s="8"/>
      <c r="F1494" s="11">
        <v>689.0</v>
      </c>
    </row>
    <row r="1495">
      <c r="A1495" s="5">
        <v>1494.0</v>
      </c>
      <c r="B1495" s="5" t="s">
        <v>61</v>
      </c>
      <c r="C1495" s="12" t="s">
        <v>193</v>
      </c>
      <c r="D1495" s="9" t="s">
        <v>67</v>
      </c>
      <c r="E1495" s="8"/>
      <c r="F1495" s="11">
        <v>576.0</v>
      </c>
    </row>
    <row r="1496">
      <c r="A1496" s="5">
        <v>1495.0</v>
      </c>
      <c r="B1496" s="5" t="s">
        <v>61</v>
      </c>
      <c r="C1496" s="12" t="s">
        <v>193</v>
      </c>
      <c r="D1496" s="9" t="s">
        <v>71</v>
      </c>
      <c r="E1496" s="8"/>
      <c r="F1496" s="11">
        <v>499.0</v>
      </c>
    </row>
    <row r="1497">
      <c r="A1497" s="5">
        <v>1496.0</v>
      </c>
      <c r="B1497" s="5" t="s">
        <v>77</v>
      </c>
      <c r="C1497" s="12" t="s">
        <v>194</v>
      </c>
      <c r="D1497" s="9" t="s">
        <v>60</v>
      </c>
      <c r="E1497" s="8"/>
      <c r="F1497" s="8"/>
    </row>
    <row r="1498">
      <c r="A1498" s="5">
        <v>1497.0</v>
      </c>
      <c r="B1498" s="5" t="s">
        <v>77</v>
      </c>
      <c r="C1498" s="12" t="s">
        <v>194</v>
      </c>
      <c r="D1498" s="9" t="s">
        <v>62</v>
      </c>
      <c r="E1498" s="8"/>
      <c r="F1498" s="8"/>
    </row>
    <row r="1499">
      <c r="A1499" s="5">
        <v>1498.0</v>
      </c>
      <c r="B1499" s="5" t="s">
        <v>77</v>
      </c>
      <c r="C1499" s="12" t="s">
        <v>194</v>
      </c>
      <c r="D1499" s="9" t="s">
        <v>63</v>
      </c>
      <c r="E1499" s="8"/>
      <c r="F1499" s="11">
        <v>623.0</v>
      </c>
    </row>
    <row r="1500">
      <c r="A1500" s="5">
        <v>1499.0</v>
      </c>
      <c r="B1500" s="5" t="s">
        <v>77</v>
      </c>
      <c r="C1500" s="12" t="s">
        <v>194</v>
      </c>
      <c r="D1500" s="9" t="s">
        <v>64</v>
      </c>
      <c r="E1500" s="8"/>
      <c r="F1500" s="11">
        <v>612.0</v>
      </c>
    </row>
    <row r="1501">
      <c r="A1501" s="5">
        <v>1500.0</v>
      </c>
      <c r="B1501" s="5" t="s">
        <v>77</v>
      </c>
      <c r="C1501" s="12" t="s">
        <v>194</v>
      </c>
      <c r="D1501" s="9" t="s">
        <v>65</v>
      </c>
      <c r="E1501" s="8"/>
      <c r="F1501" s="11">
        <v>594.0</v>
      </c>
    </row>
    <row r="1502">
      <c r="A1502" s="5">
        <v>1501.0</v>
      </c>
      <c r="B1502" s="5" t="s">
        <v>77</v>
      </c>
      <c r="C1502" s="12" t="s">
        <v>194</v>
      </c>
      <c r="D1502" s="9" t="s">
        <v>68</v>
      </c>
      <c r="E1502" s="8"/>
      <c r="F1502" s="11">
        <v>579.0</v>
      </c>
    </row>
    <row r="1503">
      <c r="A1503" s="5">
        <v>1502.0</v>
      </c>
      <c r="B1503" s="5" t="s">
        <v>77</v>
      </c>
      <c r="C1503" s="12" t="s">
        <v>194</v>
      </c>
      <c r="D1503" s="9" t="s">
        <v>72</v>
      </c>
      <c r="E1503" s="8"/>
      <c r="F1503" s="11">
        <v>568.0</v>
      </c>
    </row>
    <row r="1504">
      <c r="A1504" s="5">
        <v>1503.0</v>
      </c>
      <c r="B1504" s="5" t="s">
        <v>77</v>
      </c>
      <c r="C1504" s="12" t="s">
        <v>194</v>
      </c>
      <c r="D1504" s="9" t="s">
        <v>70</v>
      </c>
      <c r="E1504" s="8"/>
      <c r="F1504" s="11">
        <v>568.0</v>
      </c>
    </row>
    <row r="1505">
      <c r="A1505" s="5">
        <v>1504.0</v>
      </c>
      <c r="B1505" s="5" t="s">
        <v>77</v>
      </c>
      <c r="C1505" s="12" t="s">
        <v>194</v>
      </c>
      <c r="D1505" s="9" t="s">
        <v>67</v>
      </c>
      <c r="E1505" s="8"/>
      <c r="F1505" s="11">
        <v>565.0</v>
      </c>
    </row>
    <row r="1506">
      <c r="A1506" s="5">
        <v>1505.0</v>
      </c>
      <c r="B1506" s="5" t="s">
        <v>77</v>
      </c>
      <c r="C1506" s="12" t="s">
        <v>194</v>
      </c>
      <c r="D1506" s="9" t="s">
        <v>71</v>
      </c>
      <c r="E1506" s="8"/>
      <c r="F1506" s="11">
        <v>539.0</v>
      </c>
    </row>
    <row r="1507">
      <c r="A1507" s="5">
        <v>1506.0</v>
      </c>
      <c r="B1507" s="5" t="s">
        <v>77</v>
      </c>
      <c r="C1507" s="12" t="s">
        <v>194</v>
      </c>
      <c r="D1507" s="9" t="s">
        <v>66</v>
      </c>
      <c r="E1507" s="8"/>
      <c r="F1507" s="11">
        <v>554.0</v>
      </c>
    </row>
    <row r="1508">
      <c r="A1508" s="5">
        <v>1507.0</v>
      </c>
      <c r="B1508" s="5" t="s">
        <v>77</v>
      </c>
      <c r="C1508" s="12" t="s">
        <v>194</v>
      </c>
      <c r="D1508" s="9" t="s">
        <v>67</v>
      </c>
      <c r="E1508" s="8"/>
      <c r="F1508" s="11">
        <v>546.0</v>
      </c>
    </row>
    <row r="1509">
      <c r="A1509" s="5">
        <v>1508.0</v>
      </c>
      <c r="B1509" s="5" t="s">
        <v>77</v>
      </c>
      <c r="C1509" s="12" t="s">
        <v>194</v>
      </c>
      <c r="D1509" s="9" t="s">
        <v>71</v>
      </c>
      <c r="E1509" s="8"/>
      <c r="F1509" s="11">
        <v>543.0</v>
      </c>
    </row>
    <row r="1510">
      <c r="A1510" s="5">
        <v>1509.0</v>
      </c>
      <c r="B1510" s="5" t="s">
        <v>75</v>
      </c>
      <c r="C1510" s="12" t="s">
        <v>195</v>
      </c>
      <c r="D1510" s="9" t="s">
        <v>60</v>
      </c>
      <c r="E1510" s="8"/>
      <c r="F1510" s="8"/>
    </row>
    <row r="1511">
      <c r="A1511" s="5">
        <v>1510.0</v>
      </c>
      <c r="B1511" s="5" t="s">
        <v>75</v>
      </c>
      <c r="C1511" s="12" t="s">
        <v>195</v>
      </c>
      <c r="D1511" s="9" t="s">
        <v>62</v>
      </c>
      <c r="E1511" s="11">
        <v>857.0</v>
      </c>
      <c r="F1511" s="8"/>
    </row>
    <row r="1512">
      <c r="A1512" s="5">
        <v>1511.0</v>
      </c>
      <c r="B1512" s="5" t="s">
        <v>75</v>
      </c>
      <c r="C1512" s="12" t="s">
        <v>195</v>
      </c>
      <c r="D1512" s="9" t="s">
        <v>63</v>
      </c>
      <c r="E1512" s="11">
        <v>848.0</v>
      </c>
      <c r="F1512" s="11">
        <v>2589.0</v>
      </c>
    </row>
    <row r="1513">
      <c r="A1513" s="5">
        <v>1512.0</v>
      </c>
      <c r="B1513" s="5" t="s">
        <v>75</v>
      </c>
      <c r="C1513" s="12" t="s">
        <v>195</v>
      </c>
      <c r="D1513" s="9" t="s">
        <v>64</v>
      </c>
      <c r="E1513" s="11">
        <v>777.0</v>
      </c>
      <c r="F1513" s="11">
        <v>2497.0</v>
      </c>
    </row>
    <row r="1514">
      <c r="A1514" s="5">
        <v>1513.0</v>
      </c>
      <c r="B1514" s="5" t="s">
        <v>75</v>
      </c>
      <c r="C1514" s="12" t="s">
        <v>195</v>
      </c>
      <c r="D1514" s="9" t="s">
        <v>65</v>
      </c>
      <c r="E1514" s="11">
        <v>837.0</v>
      </c>
      <c r="F1514" s="11">
        <v>2560.0</v>
      </c>
    </row>
    <row r="1515">
      <c r="A1515" s="5">
        <v>1514.0</v>
      </c>
      <c r="B1515" s="5" t="s">
        <v>75</v>
      </c>
      <c r="C1515" s="12" t="s">
        <v>195</v>
      </c>
      <c r="D1515" s="9" t="s">
        <v>68</v>
      </c>
      <c r="E1515" s="11">
        <v>878.0</v>
      </c>
      <c r="F1515" s="11">
        <v>2725.0</v>
      </c>
    </row>
    <row r="1516">
      <c r="A1516" s="5">
        <v>1515.0</v>
      </c>
      <c r="B1516" s="5" t="s">
        <v>75</v>
      </c>
      <c r="C1516" s="12" t="s">
        <v>195</v>
      </c>
      <c r="D1516" s="9" t="s">
        <v>72</v>
      </c>
      <c r="E1516" s="11">
        <v>834.0</v>
      </c>
      <c r="F1516" s="11">
        <v>2574.0</v>
      </c>
    </row>
    <row r="1517">
      <c r="A1517" s="5">
        <v>1516.0</v>
      </c>
      <c r="B1517" s="5" t="s">
        <v>75</v>
      </c>
      <c r="C1517" s="12" t="s">
        <v>195</v>
      </c>
      <c r="D1517" s="9" t="s">
        <v>70</v>
      </c>
      <c r="E1517" s="11">
        <v>881.0</v>
      </c>
      <c r="F1517" s="11">
        <v>2699.0</v>
      </c>
    </row>
    <row r="1518">
      <c r="A1518" s="5">
        <v>1517.0</v>
      </c>
      <c r="B1518" s="5" t="s">
        <v>75</v>
      </c>
      <c r="C1518" s="12" t="s">
        <v>195</v>
      </c>
      <c r="D1518" s="9" t="s">
        <v>67</v>
      </c>
      <c r="E1518" s="11">
        <v>830.0</v>
      </c>
      <c r="F1518" s="11">
        <v>2574.0</v>
      </c>
    </row>
    <row r="1519">
      <c r="A1519" s="5">
        <v>1518.0</v>
      </c>
      <c r="B1519" s="5" t="s">
        <v>75</v>
      </c>
      <c r="C1519" s="12" t="s">
        <v>195</v>
      </c>
      <c r="D1519" s="9" t="s">
        <v>71</v>
      </c>
      <c r="E1519" s="11">
        <v>826.0</v>
      </c>
      <c r="F1519" s="11">
        <v>2582.0</v>
      </c>
    </row>
    <row r="1520">
      <c r="A1520" s="5">
        <v>1519.0</v>
      </c>
      <c r="B1520" s="5" t="s">
        <v>75</v>
      </c>
      <c r="C1520" s="12" t="s">
        <v>195</v>
      </c>
      <c r="D1520" s="9" t="s">
        <v>66</v>
      </c>
      <c r="E1520" s="11">
        <v>734.0</v>
      </c>
      <c r="F1520" s="11">
        <v>2299.0</v>
      </c>
    </row>
    <row r="1521">
      <c r="A1521" s="5">
        <v>1520.0</v>
      </c>
      <c r="B1521" s="5" t="s">
        <v>75</v>
      </c>
      <c r="C1521" s="12" t="s">
        <v>195</v>
      </c>
      <c r="D1521" s="9" t="s">
        <v>67</v>
      </c>
      <c r="E1521" s="11">
        <v>787.0</v>
      </c>
      <c r="F1521" s="11">
        <v>2486.0</v>
      </c>
    </row>
    <row r="1522">
      <c r="A1522" s="5">
        <v>1521.0</v>
      </c>
      <c r="B1522" s="5" t="s">
        <v>75</v>
      </c>
      <c r="C1522" s="12" t="s">
        <v>195</v>
      </c>
      <c r="D1522" s="9" t="s">
        <v>71</v>
      </c>
      <c r="E1522" s="11">
        <v>676.0</v>
      </c>
      <c r="F1522" s="11">
        <v>2065.0</v>
      </c>
    </row>
    <row r="1523">
      <c r="A1523" s="5">
        <v>1522.0</v>
      </c>
      <c r="B1523" s="5" t="s">
        <v>80</v>
      </c>
      <c r="C1523" s="12" t="s">
        <v>196</v>
      </c>
      <c r="D1523" s="9" t="s">
        <v>60</v>
      </c>
      <c r="E1523" s="8"/>
      <c r="F1523" s="8"/>
    </row>
    <row r="1524">
      <c r="A1524" s="5">
        <v>1523.0</v>
      </c>
      <c r="B1524" s="5" t="s">
        <v>80</v>
      </c>
      <c r="C1524" s="12" t="s">
        <v>196</v>
      </c>
      <c r="D1524" s="9" t="s">
        <v>62</v>
      </c>
      <c r="E1524" s="8"/>
      <c r="F1524" s="8"/>
    </row>
    <row r="1525">
      <c r="A1525" s="5">
        <v>1524.0</v>
      </c>
      <c r="B1525" s="5" t="s">
        <v>80</v>
      </c>
      <c r="C1525" s="12" t="s">
        <v>196</v>
      </c>
      <c r="D1525" s="9" t="s">
        <v>63</v>
      </c>
      <c r="E1525" s="8"/>
      <c r="F1525" s="11">
        <v>103.0</v>
      </c>
    </row>
    <row r="1526">
      <c r="A1526" s="5">
        <v>1525.0</v>
      </c>
      <c r="B1526" s="5" t="s">
        <v>80</v>
      </c>
      <c r="C1526" s="12" t="s">
        <v>196</v>
      </c>
      <c r="D1526" s="9" t="s">
        <v>64</v>
      </c>
      <c r="E1526" s="8"/>
      <c r="F1526" s="11">
        <v>103.0</v>
      </c>
    </row>
    <row r="1527">
      <c r="A1527" s="5">
        <v>1526.0</v>
      </c>
      <c r="B1527" s="5" t="s">
        <v>80</v>
      </c>
      <c r="C1527" s="12" t="s">
        <v>196</v>
      </c>
      <c r="D1527" s="9" t="s">
        <v>65</v>
      </c>
      <c r="E1527" s="8"/>
      <c r="F1527" s="11">
        <v>99.0</v>
      </c>
    </row>
    <row r="1528">
      <c r="A1528" s="5">
        <v>1527.0</v>
      </c>
      <c r="B1528" s="5" t="s">
        <v>80</v>
      </c>
      <c r="C1528" s="12" t="s">
        <v>196</v>
      </c>
      <c r="D1528" s="9" t="s">
        <v>68</v>
      </c>
      <c r="E1528" s="11">
        <v>32.0</v>
      </c>
      <c r="F1528" s="11">
        <v>99.0</v>
      </c>
    </row>
    <row r="1529">
      <c r="A1529" s="5">
        <v>1528.0</v>
      </c>
      <c r="B1529" s="5" t="s">
        <v>80</v>
      </c>
      <c r="C1529" s="12" t="s">
        <v>196</v>
      </c>
      <c r="D1529" s="9" t="s">
        <v>72</v>
      </c>
      <c r="E1529" s="11">
        <v>30.0</v>
      </c>
      <c r="F1529" s="11">
        <v>92.0</v>
      </c>
    </row>
    <row r="1530">
      <c r="A1530" s="5">
        <v>1529.0</v>
      </c>
      <c r="B1530" s="5" t="s">
        <v>80</v>
      </c>
      <c r="C1530" s="12" t="s">
        <v>196</v>
      </c>
      <c r="D1530" s="9" t="s">
        <v>70</v>
      </c>
      <c r="E1530" s="11">
        <v>29.0</v>
      </c>
      <c r="F1530" s="11">
        <v>84.0</v>
      </c>
    </row>
    <row r="1531">
      <c r="A1531" s="5">
        <v>1530.0</v>
      </c>
      <c r="B1531" s="5" t="s">
        <v>80</v>
      </c>
      <c r="C1531" s="12" t="s">
        <v>196</v>
      </c>
      <c r="D1531" s="9" t="s">
        <v>67</v>
      </c>
      <c r="E1531" s="11">
        <v>29.0</v>
      </c>
      <c r="F1531" s="11">
        <v>88.0</v>
      </c>
    </row>
    <row r="1532">
      <c r="A1532" s="5">
        <v>1531.0</v>
      </c>
      <c r="B1532" s="5" t="s">
        <v>80</v>
      </c>
      <c r="C1532" s="12" t="s">
        <v>196</v>
      </c>
      <c r="D1532" s="9" t="s">
        <v>71</v>
      </c>
      <c r="E1532" s="8"/>
      <c r="F1532" s="11">
        <v>84.0</v>
      </c>
    </row>
    <row r="1533">
      <c r="A1533" s="5">
        <v>1532.0</v>
      </c>
      <c r="B1533" s="5" t="s">
        <v>80</v>
      </c>
      <c r="C1533" s="12" t="s">
        <v>196</v>
      </c>
      <c r="D1533" s="9" t="s">
        <v>66</v>
      </c>
      <c r="E1533" s="8"/>
      <c r="F1533" s="11">
        <v>84.0</v>
      </c>
    </row>
    <row r="1534">
      <c r="A1534" s="5">
        <v>1533.0</v>
      </c>
      <c r="B1534" s="5" t="s">
        <v>80</v>
      </c>
      <c r="C1534" s="12" t="s">
        <v>196</v>
      </c>
      <c r="D1534" s="9" t="s">
        <v>67</v>
      </c>
      <c r="E1534" s="8"/>
      <c r="F1534" s="11">
        <v>81.0</v>
      </c>
    </row>
    <row r="1535">
      <c r="A1535" s="5">
        <v>1534.0</v>
      </c>
      <c r="B1535" s="5" t="s">
        <v>80</v>
      </c>
      <c r="C1535" s="12" t="s">
        <v>196</v>
      </c>
      <c r="D1535" s="9" t="s">
        <v>71</v>
      </c>
      <c r="E1535" s="8"/>
      <c r="F1535" s="11">
        <v>77.0</v>
      </c>
    </row>
    <row r="1536">
      <c r="A1536" s="5">
        <v>1535.0</v>
      </c>
      <c r="B1536" s="5" t="s">
        <v>77</v>
      </c>
      <c r="C1536" s="12" t="s">
        <v>197</v>
      </c>
      <c r="D1536" s="9" t="s">
        <v>60</v>
      </c>
      <c r="E1536" s="8"/>
      <c r="F1536" s="8"/>
    </row>
    <row r="1537">
      <c r="A1537" s="5">
        <v>1536.0</v>
      </c>
      <c r="B1537" s="5" t="s">
        <v>77</v>
      </c>
      <c r="C1537" s="12" t="s">
        <v>197</v>
      </c>
      <c r="D1537" s="9" t="s">
        <v>62</v>
      </c>
      <c r="E1537" s="8"/>
      <c r="F1537" s="8"/>
    </row>
    <row r="1538">
      <c r="A1538" s="5">
        <v>1537.0</v>
      </c>
      <c r="B1538" s="5" t="s">
        <v>77</v>
      </c>
      <c r="C1538" s="12" t="s">
        <v>197</v>
      </c>
      <c r="D1538" s="9" t="s">
        <v>63</v>
      </c>
      <c r="E1538" s="8"/>
      <c r="F1538" s="11">
        <v>2215.0</v>
      </c>
    </row>
    <row r="1539">
      <c r="A1539" s="5">
        <v>1538.0</v>
      </c>
      <c r="B1539" s="5" t="s">
        <v>77</v>
      </c>
      <c r="C1539" s="12" t="s">
        <v>197</v>
      </c>
      <c r="D1539" s="9" t="s">
        <v>64</v>
      </c>
      <c r="E1539" s="8"/>
      <c r="F1539" s="11">
        <v>2211.0</v>
      </c>
    </row>
    <row r="1540">
      <c r="A1540" s="5">
        <v>1539.0</v>
      </c>
      <c r="B1540" s="5" t="s">
        <v>77</v>
      </c>
      <c r="C1540" s="12" t="s">
        <v>197</v>
      </c>
      <c r="D1540" s="9" t="s">
        <v>65</v>
      </c>
      <c r="E1540" s="8"/>
      <c r="F1540" s="11">
        <v>2021.0</v>
      </c>
    </row>
    <row r="1541">
      <c r="A1541" s="5">
        <v>1540.0</v>
      </c>
      <c r="B1541" s="5" t="s">
        <v>77</v>
      </c>
      <c r="C1541" s="12" t="s">
        <v>197</v>
      </c>
      <c r="D1541" s="9" t="s">
        <v>68</v>
      </c>
      <c r="E1541" s="8"/>
      <c r="F1541" s="11">
        <v>1914.0</v>
      </c>
    </row>
    <row r="1542">
      <c r="A1542" s="5">
        <v>1541.0</v>
      </c>
      <c r="B1542" s="5" t="s">
        <v>77</v>
      </c>
      <c r="C1542" s="12" t="s">
        <v>197</v>
      </c>
      <c r="D1542" s="9" t="s">
        <v>72</v>
      </c>
      <c r="E1542" s="8"/>
      <c r="F1542" s="11">
        <v>1676.0</v>
      </c>
    </row>
    <row r="1543">
      <c r="A1543" s="5">
        <v>1542.0</v>
      </c>
      <c r="B1543" s="5" t="s">
        <v>77</v>
      </c>
      <c r="C1543" s="12" t="s">
        <v>197</v>
      </c>
      <c r="D1543" s="9" t="s">
        <v>70</v>
      </c>
      <c r="E1543" s="8"/>
      <c r="F1543" s="11">
        <v>1676.0</v>
      </c>
    </row>
    <row r="1544">
      <c r="A1544" s="5">
        <v>1543.0</v>
      </c>
      <c r="B1544" s="5" t="s">
        <v>77</v>
      </c>
      <c r="C1544" s="12" t="s">
        <v>197</v>
      </c>
      <c r="D1544" s="9" t="s">
        <v>67</v>
      </c>
      <c r="E1544" s="8"/>
      <c r="F1544" s="11">
        <v>1632.0</v>
      </c>
    </row>
    <row r="1545">
      <c r="A1545" s="5">
        <v>1544.0</v>
      </c>
      <c r="B1545" s="5" t="s">
        <v>77</v>
      </c>
      <c r="C1545" s="12" t="s">
        <v>197</v>
      </c>
      <c r="D1545" s="9" t="s">
        <v>71</v>
      </c>
      <c r="E1545" s="8"/>
      <c r="F1545" s="11">
        <v>1474.0</v>
      </c>
    </row>
    <row r="1546">
      <c r="A1546" s="5">
        <v>1545.0</v>
      </c>
      <c r="B1546" s="5" t="s">
        <v>77</v>
      </c>
      <c r="C1546" s="12" t="s">
        <v>197</v>
      </c>
      <c r="D1546" s="9" t="s">
        <v>66</v>
      </c>
      <c r="E1546" s="8"/>
      <c r="F1546" s="11">
        <v>1434.0</v>
      </c>
    </row>
    <row r="1547">
      <c r="A1547" s="5">
        <v>1546.0</v>
      </c>
      <c r="B1547" s="5" t="s">
        <v>77</v>
      </c>
      <c r="C1547" s="12" t="s">
        <v>197</v>
      </c>
      <c r="D1547" s="9" t="s">
        <v>67</v>
      </c>
      <c r="E1547" s="8"/>
      <c r="F1547" s="11">
        <v>1349.0</v>
      </c>
    </row>
    <row r="1548">
      <c r="A1548" s="5">
        <v>1547.0</v>
      </c>
      <c r="B1548" s="5" t="s">
        <v>77</v>
      </c>
      <c r="C1548" s="12" t="s">
        <v>197</v>
      </c>
      <c r="D1548" s="9" t="s">
        <v>71</v>
      </c>
      <c r="E1548" s="8"/>
      <c r="F1548" s="11">
        <v>1236.0</v>
      </c>
    </row>
    <row r="1549">
      <c r="A1549" s="5">
        <v>1548.0</v>
      </c>
      <c r="B1549" s="5" t="s">
        <v>77</v>
      </c>
      <c r="C1549" s="12" t="s">
        <v>198</v>
      </c>
      <c r="D1549" s="9" t="s">
        <v>60</v>
      </c>
      <c r="E1549" s="8"/>
      <c r="F1549" s="8"/>
    </row>
    <row r="1550">
      <c r="A1550" s="5">
        <v>1549.0</v>
      </c>
      <c r="B1550" s="5" t="s">
        <v>77</v>
      </c>
      <c r="C1550" s="12" t="s">
        <v>198</v>
      </c>
      <c r="D1550" s="9" t="s">
        <v>62</v>
      </c>
      <c r="E1550" s="8"/>
      <c r="F1550" s="8"/>
    </row>
    <row r="1551">
      <c r="A1551" s="5">
        <v>1550.0</v>
      </c>
      <c r="B1551" s="5" t="s">
        <v>77</v>
      </c>
      <c r="C1551" s="12" t="s">
        <v>198</v>
      </c>
      <c r="D1551" s="9" t="s">
        <v>63</v>
      </c>
      <c r="E1551" s="8"/>
      <c r="F1551" s="11">
        <v>4118.0</v>
      </c>
    </row>
    <row r="1552">
      <c r="A1552" s="5">
        <v>1551.0</v>
      </c>
      <c r="B1552" s="5" t="s">
        <v>77</v>
      </c>
      <c r="C1552" s="12" t="s">
        <v>198</v>
      </c>
      <c r="D1552" s="9" t="s">
        <v>64</v>
      </c>
      <c r="E1552" s="8"/>
      <c r="F1552" s="11">
        <v>3865.0</v>
      </c>
    </row>
    <row r="1553">
      <c r="A1553" s="5">
        <v>1552.0</v>
      </c>
      <c r="B1553" s="5" t="s">
        <v>77</v>
      </c>
      <c r="C1553" s="12" t="s">
        <v>198</v>
      </c>
      <c r="D1553" s="9" t="s">
        <v>65</v>
      </c>
      <c r="E1553" s="8"/>
      <c r="F1553" s="11">
        <v>3953.0</v>
      </c>
    </row>
    <row r="1554">
      <c r="A1554" s="5">
        <v>1553.0</v>
      </c>
      <c r="B1554" s="5" t="s">
        <v>77</v>
      </c>
      <c r="C1554" s="12" t="s">
        <v>198</v>
      </c>
      <c r="D1554" s="9" t="s">
        <v>68</v>
      </c>
      <c r="E1554" s="11">
        <v>1194.0</v>
      </c>
      <c r="F1554" s="11">
        <v>3887.0</v>
      </c>
    </row>
    <row r="1555">
      <c r="A1555" s="5">
        <v>1554.0</v>
      </c>
      <c r="B1555" s="5" t="s">
        <v>77</v>
      </c>
      <c r="C1555" s="12" t="s">
        <v>198</v>
      </c>
      <c r="D1555" s="9" t="s">
        <v>72</v>
      </c>
      <c r="E1555" s="11">
        <v>1173.0</v>
      </c>
      <c r="F1555" s="11">
        <v>3777.0</v>
      </c>
    </row>
    <row r="1556">
      <c r="A1556" s="5">
        <v>1555.0</v>
      </c>
      <c r="B1556" s="5" t="s">
        <v>77</v>
      </c>
      <c r="C1556" s="12" t="s">
        <v>198</v>
      </c>
      <c r="D1556" s="9" t="s">
        <v>70</v>
      </c>
      <c r="E1556" s="11">
        <v>1077.0</v>
      </c>
      <c r="F1556" s="11">
        <v>3410.0</v>
      </c>
    </row>
    <row r="1557">
      <c r="A1557" s="5">
        <v>1556.0</v>
      </c>
      <c r="B1557" s="5" t="s">
        <v>77</v>
      </c>
      <c r="C1557" s="12" t="s">
        <v>198</v>
      </c>
      <c r="D1557" s="9" t="s">
        <v>67</v>
      </c>
      <c r="E1557" s="11">
        <v>1019.0</v>
      </c>
      <c r="F1557" s="11">
        <v>3194.0</v>
      </c>
    </row>
    <row r="1558">
      <c r="A1558" s="5">
        <v>1557.0</v>
      </c>
      <c r="B1558" s="5" t="s">
        <v>77</v>
      </c>
      <c r="C1558" s="12" t="s">
        <v>198</v>
      </c>
      <c r="D1558" s="9" t="s">
        <v>71</v>
      </c>
      <c r="E1558" s="8"/>
      <c r="F1558" s="11">
        <v>3146.0</v>
      </c>
    </row>
    <row r="1559">
      <c r="A1559" s="5">
        <v>1558.0</v>
      </c>
      <c r="B1559" s="5" t="s">
        <v>77</v>
      </c>
      <c r="C1559" s="12" t="s">
        <v>198</v>
      </c>
      <c r="D1559" s="9" t="s">
        <v>66</v>
      </c>
      <c r="E1559" s="8"/>
      <c r="F1559" s="11">
        <v>2981.0</v>
      </c>
    </row>
    <row r="1560">
      <c r="A1560" s="5">
        <v>1559.0</v>
      </c>
      <c r="B1560" s="5" t="s">
        <v>77</v>
      </c>
      <c r="C1560" s="12" t="s">
        <v>198</v>
      </c>
      <c r="D1560" s="9" t="s">
        <v>67</v>
      </c>
      <c r="E1560" s="8"/>
      <c r="F1560" s="11">
        <v>2967.0</v>
      </c>
    </row>
    <row r="1561">
      <c r="A1561" s="5">
        <v>1560.0</v>
      </c>
      <c r="B1561" s="5" t="s">
        <v>77</v>
      </c>
      <c r="C1561" s="12" t="s">
        <v>198</v>
      </c>
      <c r="D1561" s="9" t="s">
        <v>72</v>
      </c>
      <c r="E1561" s="8"/>
      <c r="F1561" s="11">
        <v>2769.0</v>
      </c>
    </row>
    <row r="1562">
      <c r="A1562" s="5">
        <v>1561.0</v>
      </c>
      <c r="B1562" s="5" t="s">
        <v>84</v>
      </c>
      <c r="C1562" s="12" t="s">
        <v>199</v>
      </c>
      <c r="D1562" s="9" t="s">
        <v>60</v>
      </c>
      <c r="E1562" s="11">
        <v>191924.0</v>
      </c>
      <c r="F1562" s="8"/>
    </row>
    <row r="1563">
      <c r="A1563" s="5">
        <v>1562.0</v>
      </c>
      <c r="B1563" s="5" t="s">
        <v>84</v>
      </c>
      <c r="C1563" s="12" t="s">
        <v>199</v>
      </c>
      <c r="D1563" s="9" t="s">
        <v>62</v>
      </c>
      <c r="E1563" s="11">
        <v>186171.0</v>
      </c>
      <c r="F1563" s="8"/>
    </row>
    <row r="1564">
      <c r="A1564" s="5">
        <v>1563.0</v>
      </c>
      <c r="B1564" s="5" t="s">
        <v>84</v>
      </c>
      <c r="C1564" s="12" t="s">
        <v>199</v>
      </c>
      <c r="D1564" s="9" t="s">
        <v>63</v>
      </c>
      <c r="E1564" s="11">
        <v>178924.0</v>
      </c>
      <c r="F1564" s="11">
        <v>443674.0</v>
      </c>
    </row>
    <row r="1565">
      <c r="A1565" s="5">
        <v>1564.0</v>
      </c>
      <c r="B1565" s="5" t="s">
        <v>84</v>
      </c>
      <c r="C1565" s="12" t="s">
        <v>199</v>
      </c>
      <c r="D1565" s="9" t="s">
        <v>64</v>
      </c>
      <c r="E1565" s="11">
        <v>175752.0</v>
      </c>
      <c r="F1565" s="11">
        <v>446237.0</v>
      </c>
    </row>
    <row r="1566">
      <c r="A1566" s="5">
        <v>1565.0</v>
      </c>
      <c r="B1566" s="5" t="s">
        <v>84</v>
      </c>
      <c r="C1566" s="12" t="s">
        <v>199</v>
      </c>
      <c r="D1566" s="9" t="s">
        <v>65</v>
      </c>
      <c r="E1566" s="11">
        <v>181876.0</v>
      </c>
      <c r="F1566" s="11">
        <v>471444.0</v>
      </c>
    </row>
    <row r="1567">
      <c r="A1567" s="5">
        <v>1566.0</v>
      </c>
      <c r="B1567" s="5" t="s">
        <v>84</v>
      </c>
      <c r="C1567" s="12" t="s">
        <v>199</v>
      </c>
      <c r="D1567" s="9" t="s">
        <v>68</v>
      </c>
      <c r="E1567" s="11">
        <v>176711.0</v>
      </c>
      <c r="F1567" s="11">
        <v>455845.0</v>
      </c>
    </row>
    <row r="1568">
      <c r="A1568" s="5">
        <v>1567.0</v>
      </c>
      <c r="B1568" s="5" t="s">
        <v>84</v>
      </c>
      <c r="C1568" s="12" t="s">
        <v>199</v>
      </c>
      <c r="D1568" s="9" t="s">
        <v>72</v>
      </c>
      <c r="E1568" s="11">
        <v>172307.0</v>
      </c>
      <c r="F1568" s="11">
        <v>441796.0</v>
      </c>
    </row>
    <row r="1569">
      <c r="A1569" s="5">
        <v>1568.0</v>
      </c>
      <c r="B1569" s="5" t="s">
        <v>84</v>
      </c>
      <c r="C1569" s="12" t="s">
        <v>199</v>
      </c>
      <c r="D1569" s="9" t="s">
        <v>70</v>
      </c>
      <c r="E1569" s="11">
        <v>170263.0</v>
      </c>
      <c r="F1569" s="11">
        <v>435046.0</v>
      </c>
    </row>
    <row r="1570">
      <c r="A1570" s="5">
        <v>1569.0</v>
      </c>
      <c r="B1570" s="5" t="s">
        <v>84</v>
      </c>
      <c r="C1570" s="12" t="s">
        <v>199</v>
      </c>
      <c r="D1570" s="9" t="s">
        <v>67</v>
      </c>
      <c r="E1570" s="11">
        <v>159324.0</v>
      </c>
      <c r="F1570" s="11">
        <v>410744.0</v>
      </c>
    </row>
    <row r="1571">
      <c r="A1571" s="5">
        <v>1570.0</v>
      </c>
      <c r="B1571" s="5" t="s">
        <v>84</v>
      </c>
      <c r="C1571" s="12" t="s">
        <v>199</v>
      </c>
      <c r="D1571" s="9" t="s">
        <v>71</v>
      </c>
      <c r="E1571" s="11">
        <v>153665.0</v>
      </c>
      <c r="F1571" s="11">
        <v>405633.0</v>
      </c>
    </row>
    <row r="1572">
      <c r="A1572" s="5">
        <v>1571.0</v>
      </c>
      <c r="B1572" s="5" t="s">
        <v>84</v>
      </c>
      <c r="C1572" s="12" t="s">
        <v>199</v>
      </c>
      <c r="D1572" s="9" t="s">
        <v>66</v>
      </c>
      <c r="E1572" s="11">
        <v>150843.0</v>
      </c>
      <c r="F1572" s="11">
        <v>391251.0</v>
      </c>
    </row>
    <row r="1573">
      <c r="A1573" s="5">
        <v>1572.0</v>
      </c>
      <c r="B1573" s="5" t="s">
        <v>84</v>
      </c>
      <c r="C1573" s="12" t="s">
        <v>199</v>
      </c>
      <c r="D1573" s="9" t="s">
        <v>67</v>
      </c>
      <c r="E1573" s="11">
        <v>146302.0</v>
      </c>
      <c r="F1573" s="11">
        <v>394800.0</v>
      </c>
    </row>
    <row r="1574">
      <c r="A1574" s="5">
        <v>1573.0</v>
      </c>
      <c r="B1574" s="5" t="s">
        <v>84</v>
      </c>
      <c r="C1574" s="12" t="s">
        <v>199</v>
      </c>
      <c r="D1574" s="9" t="s">
        <v>72</v>
      </c>
      <c r="E1574" s="11">
        <v>145384.0</v>
      </c>
      <c r="F1574" s="11">
        <v>381518.0</v>
      </c>
    </row>
    <row r="1575">
      <c r="A1575" s="5">
        <v>1574.0</v>
      </c>
      <c r="B1575" s="5" t="s">
        <v>80</v>
      </c>
      <c r="C1575" s="12" t="s">
        <v>200</v>
      </c>
      <c r="D1575" s="9" t="s">
        <v>60</v>
      </c>
      <c r="E1575" s="8"/>
      <c r="F1575" s="8"/>
    </row>
    <row r="1576">
      <c r="A1576" s="5">
        <v>1575.0</v>
      </c>
      <c r="B1576" s="5" t="s">
        <v>80</v>
      </c>
      <c r="C1576" s="12" t="s">
        <v>200</v>
      </c>
      <c r="D1576" s="9" t="s">
        <v>62</v>
      </c>
      <c r="E1576" s="8"/>
      <c r="F1576" s="8"/>
    </row>
    <row r="1577">
      <c r="A1577" s="5">
        <v>1576.0</v>
      </c>
      <c r="B1577" s="5" t="s">
        <v>80</v>
      </c>
      <c r="C1577" s="12" t="s">
        <v>200</v>
      </c>
      <c r="D1577" s="9" t="s">
        <v>63</v>
      </c>
      <c r="E1577" s="8"/>
      <c r="F1577" s="11">
        <v>103.0</v>
      </c>
    </row>
    <row r="1578">
      <c r="A1578" s="5">
        <v>1577.0</v>
      </c>
      <c r="B1578" s="5" t="s">
        <v>80</v>
      </c>
      <c r="C1578" s="12" t="s">
        <v>200</v>
      </c>
      <c r="D1578" s="9" t="s">
        <v>64</v>
      </c>
      <c r="E1578" s="8"/>
      <c r="F1578" s="11">
        <v>99.0</v>
      </c>
    </row>
    <row r="1579">
      <c r="A1579" s="5">
        <v>1578.0</v>
      </c>
      <c r="B1579" s="5" t="s">
        <v>80</v>
      </c>
      <c r="C1579" s="12" t="s">
        <v>200</v>
      </c>
      <c r="D1579" s="9" t="s">
        <v>65</v>
      </c>
      <c r="E1579" s="8"/>
      <c r="F1579" s="11">
        <v>99.0</v>
      </c>
    </row>
    <row r="1580">
      <c r="A1580" s="5">
        <v>1579.0</v>
      </c>
      <c r="B1580" s="5" t="s">
        <v>80</v>
      </c>
      <c r="C1580" s="12" t="s">
        <v>200</v>
      </c>
      <c r="D1580" s="9" t="s">
        <v>68</v>
      </c>
      <c r="E1580" s="8"/>
      <c r="F1580" s="11">
        <v>99.0</v>
      </c>
    </row>
    <row r="1581">
      <c r="A1581" s="5">
        <v>1580.0</v>
      </c>
      <c r="B1581" s="5" t="s">
        <v>80</v>
      </c>
      <c r="C1581" s="12" t="s">
        <v>200</v>
      </c>
      <c r="D1581" s="9" t="s">
        <v>72</v>
      </c>
      <c r="E1581" s="8"/>
      <c r="F1581" s="11">
        <v>103.0</v>
      </c>
    </row>
    <row r="1582">
      <c r="A1582" s="5">
        <v>1581.0</v>
      </c>
      <c r="B1582" s="5" t="s">
        <v>80</v>
      </c>
      <c r="C1582" s="12" t="s">
        <v>200</v>
      </c>
      <c r="D1582" s="9" t="s">
        <v>70</v>
      </c>
      <c r="E1582" s="8"/>
      <c r="F1582" s="11">
        <v>117.0</v>
      </c>
    </row>
    <row r="1583">
      <c r="A1583" s="5">
        <v>1582.0</v>
      </c>
      <c r="B1583" s="5" t="s">
        <v>80</v>
      </c>
      <c r="C1583" s="12" t="s">
        <v>200</v>
      </c>
      <c r="D1583" s="9" t="s">
        <v>67</v>
      </c>
      <c r="E1583" s="8"/>
      <c r="F1583" s="11">
        <v>147.0</v>
      </c>
    </row>
    <row r="1584">
      <c r="A1584" s="5">
        <v>1583.0</v>
      </c>
      <c r="B1584" s="5" t="s">
        <v>80</v>
      </c>
      <c r="C1584" s="12" t="s">
        <v>200</v>
      </c>
      <c r="D1584" s="9" t="s">
        <v>72</v>
      </c>
      <c r="E1584" s="8"/>
      <c r="F1584" s="11">
        <v>147.0</v>
      </c>
    </row>
    <row r="1585">
      <c r="A1585" s="5">
        <v>1584.0</v>
      </c>
      <c r="B1585" s="5" t="s">
        <v>80</v>
      </c>
      <c r="C1585" s="12" t="s">
        <v>200</v>
      </c>
      <c r="D1585" s="9" t="s">
        <v>66</v>
      </c>
      <c r="E1585" s="8"/>
      <c r="F1585" s="11">
        <v>147.0</v>
      </c>
    </row>
    <row r="1586">
      <c r="A1586" s="5">
        <v>1585.0</v>
      </c>
      <c r="B1586" s="5" t="s">
        <v>80</v>
      </c>
      <c r="C1586" s="12" t="s">
        <v>200</v>
      </c>
      <c r="D1586" s="9" t="s">
        <v>67</v>
      </c>
      <c r="E1586" s="8"/>
      <c r="F1586" s="11">
        <v>176.0</v>
      </c>
    </row>
    <row r="1587">
      <c r="A1587" s="5">
        <v>1586.0</v>
      </c>
      <c r="B1587" s="5" t="s">
        <v>80</v>
      </c>
      <c r="C1587" s="12" t="s">
        <v>200</v>
      </c>
      <c r="D1587" s="9" t="s">
        <v>72</v>
      </c>
      <c r="E1587" s="8"/>
      <c r="F1587" s="11">
        <v>136.0</v>
      </c>
    </row>
    <row r="1588">
      <c r="A1588" s="5">
        <v>1587.0</v>
      </c>
      <c r="B1588" s="5" t="s">
        <v>75</v>
      </c>
      <c r="C1588" s="12" t="s">
        <v>201</v>
      </c>
      <c r="D1588" s="9" t="s">
        <v>60</v>
      </c>
      <c r="E1588" s="8"/>
      <c r="F1588" s="8"/>
    </row>
    <row r="1589">
      <c r="A1589" s="5">
        <v>1588.0</v>
      </c>
      <c r="B1589" s="5" t="s">
        <v>75</v>
      </c>
      <c r="C1589" s="12" t="s">
        <v>201</v>
      </c>
      <c r="D1589" s="9" t="s">
        <v>62</v>
      </c>
      <c r="E1589" s="11">
        <v>3331.0</v>
      </c>
      <c r="F1589" s="8"/>
    </row>
    <row r="1590">
      <c r="A1590" s="5">
        <v>1589.0</v>
      </c>
      <c r="B1590" s="5" t="s">
        <v>75</v>
      </c>
      <c r="C1590" s="12" t="s">
        <v>201</v>
      </c>
      <c r="D1590" s="9" t="s">
        <v>63</v>
      </c>
      <c r="E1590" s="11">
        <v>3426.0</v>
      </c>
      <c r="F1590" s="11">
        <v>4855.0</v>
      </c>
    </row>
    <row r="1591">
      <c r="A1591" s="5">
        <v>1590.0</v>
      </c>
      <c r="B1591" s="5" t="s">
        <v>75</v>
      </c>
      <c r="C1591" s="12" t="s">
        <v>201</v>
      </c>
      <c r="D1591" s="9" t="s">
        <v>64</v>
      </c>
      <c r="E1591" s="11">
        <v>3171.0</v>
      </c>
      <c r="F1591" s="11">
        <v>4547.0</v>
      </c>
    </row>
    <row r="1592">
      <c r="A1592" s="5">
        <v>1591.0</v>
      </c>
      <c r="B1592" s="5" t="s">
        <v>75</v>
      </c>
      <c r="C1592" s="12" t="s">
        <v>201</v>
      </c>
      <c r="D1592" s="9" t="s">
        <v>65</v>
      </c>
      <c r="E1592" s="11">
        <v>3363.0</v>
      </c>
      <c r="F1592" s="11">
        <v>4774.0</v>
      </c>
    </row>
    <row r="1593">
      <c r="A1593" s="5">
        <v>1592.0</v>
      </c>
      <c r="B1593" s="5" t="s">
        <v>75</v>
      </c>
      <c r="C1593" s="12" t="s">
        <v>201</v>
      </c>
      <c r="D1593" s="9" t="s">
        <v>68</v>
      </c>
      <c r="E1593" s="11">
        <v>3342.0</v>
      </c>
      <c r="F1593" s="11">
        <v>4686.0</v>
      </c>
    </row>
    <row r="1594">
      <c r="A1594" s="5">
        <v>1593.0</v>
      </c>
      <c r="B1594" s="5" t="s">
        <v>75</v>
      </c>
      <c r="C1594" s="12" t="s">
        <v>201</v>
      </c>
      <c r="D1594" s="9" t="s">
        <v>72</v>
      </c>
      <c r="E1594" s="11">
        <v>3441.0</v>
      </c>
      <c r="F1594" s="11">
        <v>4994.0</v>
      </c>
    </row>
    <row r="1595">
      <c r="A1595" s="5">
        <v>1594.0</v>
      </c>
      <c r="B1595" s="5" t="s">
        <v>75</v>
      </c>
      <c r="C1595" s="12" t="s">
        <v>201</v>
      </c>
      <c r="D1595" s="9" t="s">
        <v>70</v>
      </c>
      <c r="E1595" s="11">
        <v>3500.0</v>
      </c>
      <c r="F1595" s="11">
        <v>4895.0</v>
      </c>
    </row>
    <row r="1596">
      <c r="A1596" s="5">
        <v>1595.0</v>
      </c>
      <c r="B1596" s="5" t="s">
        <v>75</v>
      </c>
      <c r="C1596" s="12" t="s">
        <v>201</v>
      </c>
      <c r="D1596" s="9" t="s">
        <v>67</v>
      </c>
      <c r="E1596" s="11">
        <v>3377.0</v>
      </c>
      <c r="F1596" s="11">
        <v>4554.0</v>
      </c>
    </row>
    <row r="1597">
      <c r="A1597" s="5">
        <v>1596.0</v>
      </c>
      <c r="B1597" s="5" t="s">
        <v>75</v>
      </c>
      <c r="C1597" s="12" t="s">
        <v>201</v>
      </c>
      <c r="D1597" s="9" t="s">
        <v>72</v>
      </c>
      <c r="E1597" s="11">
        <v>3360.0</v>
      </c>
      <c r="F1597" s="11">
        <v>4290.0</v>
      </c>
    </row>
    <row r="1598">
      <c r="A1598" s="5">
        <v>1597.0</v>
      </c>
      <c r="B1598" s="5" t="s">
        <v>75</v>
      </c>
      <c r="C1598" s="12" t="s">
        <v>201</v>
      </c>
      <c r="D1598" s="9" t="s">
        <v>66</v>
      </c>
      <c r="E1598" s="11">
        <v>3096.0</v>
      </c>
      <c r="F1598" s="11">
        <v>3986.0</v>
      </c>
    </row>
    <row r="1599">
      <c r="A1599" s="5">
        <v>1598.0</v>
      </c>
      <c r="B1599" s="5" t="s">
        <v>75</v>
      </c>
      <c r="C1599" s="12" t="s">
        <v>201</v>
      </c>
      <c r="D1599" s="9" t="s">
        <v>67</v>
      </c>
      <c r="E1599" s="11">
        <v>3052.0</v>
      </c>
      <c r="F1599" s="11">
        <v>3715.0</v>
      </c>
    </row>
    <row r="1600">
      <c r="A1600" s="5">
        <v>1599.0</v>
      </c>
      <c r="B1600" s="5" t="s">
        <v>75</v>
      </c>
      <c r="C1600" s="12" t="s">
        <v>201</v>
      </c>
      <c r="D1600" s="9" t="s">
        <v>72</v>
      </c>
      <c r="E1600" s="11">
        <v>2883.0</v>
      </c>
      <c r="F1600" s="11">
        <v>3513.0</v>
      </c>
    </row>
    <row r="1601">
      <c r="A1601" s="5">
        <v>1600.0</v>
      </c>
      <c r="B1601" s="5" t="s">
        <v>75</v>
      </c>
      <c r="C1601" s="12" t="s">
        <v>202</v>
      </c>
      <c r="D1601" s="9" t="s">
        <v>60</v>
      </c>
      <c r="E1601" s="8"/>
      <c r="F1601" s="8"/>
    </row>
    <row r="1602">
      <c r="A1602" s="5">
        <v>1601.0</v>
      </c>
      <c r="B1602" s="5" t="s">
        <v>75</v>
      </c>
      <c r="C1602" s="12" t="s">
        <v>202</v>
      </c>
      <c r="D1602" s="9" t="s">
        <v>62</v>
      </c>
      <c r="E1602" s="8"/>
      <c r="F1602" s="8"/>
    </row>
    <row r="1603">
      <c r="A1603" s="5">
        <v>1602.0</v>
      </c>
      <c r="B1603" s="5" t="s">
        <v>75</v>
      </c>
      <c r="C1603" s="12" t="s">
        <v>202</v>
      </c>
      <c r="D1603" s="9" t="s">
        <v>63</v>
      </c>
      <c r="E1603" s="8"/>
      <c r="F1603" s="8"/>
    </row>
    <row r="1604">
      <c r="A1604" s="5">
        <v>1603.0</v>
      </c>
      <c r="B1604" s="5" t="s">
        <v>75</v>
      </c>
      <c r="C1604" s="12" t="s">
        <v>202</v>
      </c>
      <c r="D1604" s="9" t="s">
        <v>64</v>
      </c>
      <c r="E1604" s="8"/>
      <c r="F1604" s="8"/>
    </row>
    <row r="1605">
      <c r="A1605" s="5">
        <v>1604.0</v>
      </c>
      <c r="B1605" s="5" t="s">
        <v>75</v>
      </c>
      <c r="C1605" s="12" t="s">
        <v>202</v>
      </c>
      <c r="D1605" s="9" t="s">
        <v>65</v>
      </c>
      <c r="E1605" s="8"/>
      <c r="F1605" s="8"/>
    </row>
    <row r="1606">
      <c r="A1606" s="5">
        <v>1605.0</v>
      </c>
      <c r="B1606" s="5" t="s">
        <v>75</v>
      </c>
      <c r="C1606" s="12" t="s">
        <v>202</v>
      </c>
      <c r="D1606" s="9" t="s">
        <v>68</v>
      </c>
      <c r="E1606" s="8"/>
      <c r="F1606" s="8"/>
    </row>
    <row r="1607">
      <c r="A1607" s="5">
        <v>1606.0</v>
      </c>
      <c r="B1607" s="5" t="s">
        <v>75</v>
      </c>
      <c r="C1607" s="12" t="s">
        <v>202</v>
      </c>
      <c r="D1607" s="9" t="s">
        <v>72</v>
      </c>
      <c r="E1607" s="8"/>
      <c r="F1607" s="8"/>
    </row>
    <row r="1608">
      <c r="A1608" s="5">
        <v>1607.0</v>
      </c>
      <c r="B1608" s="5" t="s">
        <v>75</v>
      </c>
      <c r="C1608" s="12" t="s">
        <v>202</v>
      </c>
      <c r="D1608" s="9" t="s">
        <v>70</v>
      </c>
      <c r="E1608" s="8"/>
      <c r="F1608" s="8"/>
    </row>
    <row r="1609">
      <c r="A1609" s="5">
        <v>1608.0</v>
      </c>
      <c r="B1609" s="5" t="s">
        <v>75</v>
      </c>
      <c r="C1609" s="12" t="s">
        <v>202</v>
      </c>
      <c r="D1609" s="9" t="s">
        <v>67</v>
      </c>
      <c r="E1609" s="8"/>
      <c r="F1609" s="8"/>
    </row>
    <row r="1610">
      <c r="A1610" s="5">
        <v>1609.0</v>
      </c>
      <c r="B1610" s="5" t="s">
        <v>75</v>
      </c>
      <c r="C1610" s="12" t="s">
        <v>202</v>
      </c>
      <c r="D1610" s="9" t="s">
        <v>72</v>
      </c>
      <c r="E1610" s="8"/>
      <c r="F1610" s="8"/>
    </row>
    <row r="1611">
      <c r="A1611" s="5">
        <v>1610.0</v>
      </c>
      <c r="B1611" s="5" t="s">
        <v>75</v>
      </c>
      <c r="C1611" s="12" t="s">
        <v>202</v>
      </c>
      <c r="D1611" s="9" t="s">
        <v>66</v>
      </c>
      <c r="E1611" s="8"/>
      <c r="F1611" s="8"/>
    </row>
    <row r="1612">
      <c r="A1612" s="5">
        <v>1611.0</v>
      </c>
      <c r="B1612" s="5" t="s">
        <v>75</v>
      </c>
      <c r="C1612" s="12" t="s">
        <v>202</v>
      </c>
      <c r="D1612" s="9" t="s">
        <v>67</v>
      </c>
      <c r="E1612" s="8"/>
      <c r="F1612" s="8"/>
    </row>
    <row r="1613">
      <c r="A1613" s="5">
        <v>1612.0</v>
      </c>
      <c r="B1613" s="5" t="s">
        <v>75</v>
      </c>
      <c r="C1613" s="12" t="s">
        <v>202</v>
      </c>
      <c r="D1613" s="9" t="s">
        <v>72</v>
      </c>
      <c r="E1613" s="8"/>
      <c r="F1613" s="8"/>
    </row>
    <row r="1614">
      <c r="A1614" s="5">
        <v>1613.0</v>
      </c>
      <c r="B1614" s="5" t="s">
        <v>61</v>
      </c>
      <c r="C1614" s="12" t="s">
        <v>203</v>
      </c>
      <c r="D1614" s="9" t="s">
        <v>60</v>
      </c>
      <c r="E1614" s="8"/>
      <c r="F1614" s="8"/>
    </row>
    <row r="1615">
      <c r="A1615" s="5">
        <v>1614.0</v>
      </c>
      <c r="B1615" s="5" t="s">
        <v>61</v>
      </c>
      <c r="C1615" s="12" t="s">
        <v>203</v>
      </c>
      <c r="D1615" s="9" t="s">
        <v>62</v>
      </c>
      <c r="E1615" s="11">
        <v>3607.0</v>
      </c>
      <c r="F1615" s="8"/>
    </row>
    <row r="1616">
      <c r="A1616" s="5">
        <v>1615.0</v>
      </c>
      <c r="B1616" s="5" t="s">
        <v>61</v>
      </c>
      <c r="C1616" s="12" t="s">
        <v>203</v>
      </c>
      <c r="D1616" s="9" t="s">
        <v>63</v>
      </c>
      <c r="E1616" s="11">
        <v>3454.0</v>
      </c>
      <c r="F1616" s="11">
        <v>11511.0</v>
      </c>
    </row>
    <row r="1617">
      <c r="A1617" s="5">
        <v>1616.0</v>
      </c>
      <c r="B1617" s="5" t="s">
        <v>61</v>
      </c>
      <c r="C1617" s="12" t="s">
        <v>203</v>
      </c>
      <c r="D1617" s="9" t="s">
        <v>64</v>
      </c>
      <c r="E1617" s="11">
        <v>3252.0</v>
      </c>
      <c r="F1617" s="11">
        <v>11052.0</v>
      </c>
    </row>
    <row r="1618">
      <c r="A1618" s="5">
        <v>1617.0</v>
      </c>
      <c r="B1618" s="5" t="s">
        <v>61</v>
      </c>
      <c r="C1618" s="12" t="s">
        <v>203</v>
      </c>
      <c r="D1618" s="9" t="s">
        <v>65</v>
      </c>
      <c r="E1618" s="11">
        <v>3156.0</v>
      </c>
      <c r="F1618" s="11">
        <v>10029.0</v>
      </c>
    </row>
    <row r="1619">
      <c r="A1619" s="5">
        <v>1618.0</v>
      </c>
      <c r="B1619" s="5" t="s">
        <v>61</v>
      </c>
      <c r="C1619" s="12" t="s">
        <v>203</v>
      </c>
      <c r="D1619" s="9" t="s">
        <v>69</v>
      </c>
      <c r="E1619" s="11">
        <v>3114.0</v>
      </c>
      <c r="F1619" s="11">
        <v>10092.0</v>
      </c>
    </row>
    <row r="1620">
      <c r="A1620" s="5">
        <v>1619.0</v>
      </c>
      <c r="B1620" s="5" t="s">
        <v>61</v>
      </c>
      <c r="C1620" s="12" t="s">
        <v>203</v>
      </c>
      <c r="D1620" s="9" t="s">
        <v>72</v>
      </c>
      <c r="E1620" s="11">
        <v>2925.0</v>
      </c>
      <c r="F1620" s="11">
        <v>9498.0</v>
      </c>
    </row>
    <row r="1621">
      <c r="A1621" s="5">
        <v>1620.0</v>
      </c>
      <c r="B1621" s="5" t="s">
        <v>61</v>
      </c>
      <c r="C1621" s="12" t="s">
        <v>203</v>
      </c>
      <c r="D1621" s="9" t="s">
        <v>70</v>
      </c>
      <c r="E1621" s="11">
        <v>2625.0</v>
      </c>
      <c r="F1621" s="11">
        <v>8647.0</v>
      </c>
    </row>
    <row r="1622">
      <c r="A1622" s="5">
        <v>1621.0</v>
      </c>
      <c r="B1622" s="5" t="s">
        <v>61</v>
      </c>
      <c r="C1622" s="12" t="s">
        <v>203</v>
      </c>
      <c r="D1622" s="9" t="s">
        <v>67</v>
      </c>
      <c r="E1622" s="11">
        <v>2600.0</v>
      </c>
      <c r="F1622" s="11">
        <v>8551.0</v>
      </c>
    </row>
    <row r="1623">
      <c r="A1623" s="5">
        <v>1622.0</v>
      </c>
      <c r="B1623" s="5" t="s">
        <v>61</v>
      </c>
      <c r="C1623" s="12" t="s">
        <v>203</v>
      </c>
      <c r="D1623" s="9" t="s">
        <v>72</v>
      </c>
      <c r="E1623" s="11">
        <v>2525.0</v>
      </c>
      <c r="F1623" s="11">
        <v>8034.0</v>
      </c>
    </row>
    <row r="1624">
      <c r="A1624" s="5">
        <v>1623.0</v>
      </c>
      <c r="B1624" s="5" t="s">
        <v>61</v>
      </c>
      <c r="C1624" s="12" t="s">
        <v>203</v>
      </c>
      <c r="D1624" s="9" t="s">
        <v>66</v>
      </c>
      <c r="E1624" s="11">
        <v>2586.0</v>
      </c>
      <c r="F1624" s="11">
        <v>8287.0</v>
      </c>
    </row>
    <row r="1625">
      <c r="A1625" s="5">
        <v>1624.0</v>
      </c>
      <c r="B1625" s="5" t="s">
        <v>61</v>
      </c>
      <c r="C1625" s="12" t="s">
        <v>203</v>
      </c>
      <c r="D1625" s="9" t="s">
        <v>67</v>
      </c>
      <c r="E1625" s="11">
        <v>2415.0</v>
      </c>
      <c r="F1625" s="11">
        <v>7884.0</v>
      </c>
    </row>
    <row r="1626">
      <c r="A1626" s="5">
        <v>1625.0</v>
      </c>
      <c r="B1626" s="5" t="s">
        <v>61</v>
      </c>
      <c r="C1626" s="12" t="s">
        <v>203</v>
      </c>
      <c r="D1626" s="9" t="s">
        <v>72</v>
      </c>
      <c r="E1626" s="11">
        <v>2397.0</v>
      </c>
      <c r="F1626" s="11">
        <v>7506.0</v>
      </c>
    </row>
    <row r="1627">
      <c r="A1627" s="5">
        <v>1626.0</v>
      </c>
      <c r="B1627" s="5" t="s">
        <v>75</v>
      </c>
      <c r="C1627" s="12" t="s">
        <v>204</v>
      </c>
      <c r="D1627" s="9" t="s">
        <v>60</v>
      </c>
      <c r="E1627" s="8"/>
      <c r="F1627" s="8"/>
    </row>
    <row r="1628">
      <c r="A1628" s="5">
        <v>1627.0</v>
      </c>
      <c r="B1628" s="5" t="s">
        <v>75</v>
      </c>
      <c r="C1628" s="12" t="s">
        <v>204</v>
      </c>
      <c r="D1628" s="9" t="s">
        <v>62</v>
      </c>
      <c r="E1628" s="11">
        <v>1179.0</v>
      </c>
      <c r="F1628" s="8"/>
    </row>
    <row r="1629">
      <c r="A1629" s="5">
        <v>1628.0</v>
      </c>
      <c r="B1629" s="5" t="s">
        <v>75</v>
      </c>
      <c r="C1629" s="12" t="s">
        <v>204</v>
      </c>
      <c r="D1629" s="9" t="s">
        <v>63</v>
      </c>
      <c r="E1629" s="11">
        <v>1174.0</v>
      </c>
      <c r="F1629" s="11">
        <v>2582.0</v>
      </c>
    </row>
    <row r="1630">
      <c r="A1630" s="5">
        <v>1629.0</v>
      </c>
      <c r="B1630" s="5" t="s">
        <v>75</v>
      </c>
      <c r="C1630" s="12" t="s">
        <v>204</v>
      </c>
      <c r="D1630" s="9" t="s">
        <v>64</v>
      </c>
      <c r="E1630" s="11">
        <v>994.0</v>
      </c>
      <c r="F1630" s="11">
        <v>1822.0</v>
      </c>
    </row>
    <row r="1631">
      <c r="A1631" s="5">
        <v>1630.0</v>
      </c>
      <c r="B1631" s="5" t="s">
        <v>75</v>
      </c>
      <c r="C1631" s="12" t="s">
        <v>204</v>
      </c>
      <c r="D1631" s="9" t="s">
        <v>65</v>
      </c>
      <c r="E1631" s="11">
        <v>1177.0</v>
      </c>
      <c r="F1631" s="11">
        <v>2750.0</v>
      </c>
    </row>
    <row r="1632">
      <c r="A1632" s="5">
        <v>1631.0</v>
      </c>
      <c r="B1632" s="5" t="s">
        <v>75</v>
      </c>
      <c r="C1632" s="12" t="s">
        <v>204</v>
      </c>
      <c r="D1632" s="9" t="s">
        <v>69</v>
      </c>
      <c r="E1632" s="11">
        <v>1086.0</v>
      </c>
      <c r="F1632" s="11">
        <v>2252.0</v>
      </c>
    </row>
    <row r="1633">
      <c r="A1633" s="5">
        <v>1632.0</v>
      </c>
      <c r="B1633" s="5" t="s">
        <v>75</v>
      </c>
      <c r="C1633" s="12" t="s">
        <v>204</v>
      </c>
      <c r="D1633" s="9" t="s">
        <v>72</v>
      </c>
      <c r="E1633" s="11">
        <v>1118.0</v>
      </c>
      <c r="F1633" s="11">
        <v>2384.0</v>
      </c>
    </row>
    <row r="1634">
      <c r="A1634" s="5">
        <v>1633.0</v>
      </c>
      <c r="B1634" s="5" t="s">
        <v>75</v>
      </c>
      <c r="C1634" s="12" t="s">
        <v>204</v>
      </c>
      <c r="D1634" s="9" t="s">
        <v>70</v>
      </c>
      <c r="E1634" s="11">
        <v>987.0</v>
      </c>
      <c r="F1634" s="11">
        <v>2057.0</v>
      </c>
    </row>
    <row r="1635">
      <c r="A1635" s="5">
        <v>1634.0</v>
      </c>
      <c r="B1635" s="5" t="s">
        <v>75</v>
      </c>
      <c r="C1635" s="12" t="s">
        <v>204</v>
      </c>
      <c r="D1635" s="9" t="s">
        <v>67</v>
      </c>
      <c r="E1635" s="8"/>
      <c r="F1635" s="8"/>
    </row>
    <row r="1636">
      <c r="A1636" s="5">
        <v>1635.0</v>
      </c>
      <c r="B1636" s="5" t="s">
        <v>75</v>
      </c>
      <c r="C1636" s="12" t="s">
        <v>204</v>
      </c>
      <c r="D1636" s="9" t="s">
        <v>72</v>
      </c>
      <c r="E1636" s="8"/>
      <c r="F1636" s="8"/>
    </row>
    <row r="1637">
      <c r="A1637" s="5">
        <v>1636.0</v>
      </c>
      <c r="B1637" s="5" t="s">
        <v>75</v>
      </c>
      <c r="C1637" s="12" t="s">
        <v>204</v>
      </c>
      <c r="D1637" s="9" t="s">
        <v>66</v>
      </c>
      <c r="E1637" s="8"/>
      <c r="F1637" s="8"/>
    </row>
    <row r="1638">
      <c r="A1638" s="5">
        <v>1637.0</v>
      </c>
      <c r="B1638" s="5" t="s">
        <v>75</v>
      </c>
      <c r="C1638" s="12" t="s">
        <v>204</v>
      </c>
      <c r="D1638" s="9" t="s">
        <v>67</v>
      </c>
      <c r="E1638" s="8"/>
      <c r="F1638" s="8"/>
    </row>
    <row r="1639">
      <c r="A1639" s="5">
        <v>1638.0</v>
      </c>
      <c r="B1639" s="5" t="s">
        <v>75</v>
      </c>
      <c r="C1639" s="12" t="s">
        <v>204</v>
      </c>
      <c r="D1639" s="9" t="s">
        <v>72</v>
      </c>
      <c r="E1639" s="8"/>
      <c r="F1639" s="8"/>
    </row>
    <row r="1640">
      <c r="A1640" s="5">
        <v>1639.0</v>
      </c>
      <c r="B1640" s="5" t="s">
        <v>77</v>
      </c>
      <c r="C1640" s="12" t="s">
        <v>205</v>
      </c>
      <c r="D1640" s="9" t="s">
        <v>60</v>
      </c>
      <c r="E1640" s="8"/>
      <c r="F1640" s="8"/>
    </row>
    <row r="1641">
      <c r="A1641" s="5">
        <v>1640.0</v>
      </c>
      <c r="B1641" s="5" t="s">
        <v>77</v>
      </c>
      <c r="C1641" s="12" t="s">
        <v>205</v>
      </c>
      <c r="D1641" s="9" t="s">
        <v>62</v>
      </c>
      <c r="E1641" s="11">
        <v>17283.0</v>
      </c>
      <c r="F1641" s="8"/>
    </row>
    <row r="1642">
      <c r="A1642" s="5">
        <v>1641.0</v>
      </c>
      <c r="B1642" s="5" t="s">
        <v>77</v>
      </c>
      <c r="C1642" s="12" t="s">
        <v>205</v>
      </c>
      <c r="D1642" s="9" t="s">
        <v>63</v>
      </c>
      <c r="E1642" s="11">
        <v>16183.0</v>
      </c>
      <c r="F1642" s="11">
        <v>50608.0</v>
      </c>
    </row>
    <row r="1643">
      <c r="A1643" s="5">
        <v>1642.0</v>
      </c>
      <c r="B1643" s="5" t="s">
        <v>77</v>
      </c>
      <c r="C1643" s="12" t="s">
        <v>205</v>
      </c>
      <c r="D1643" s="9" t="s">
        <v>64</v>
      </c>
      <c r="E1643" s="11">
        <v>15054.0</v>
      </c>
      <c r="F1643" s="11">
        <v>49541.0</v>
      </c>
    </row>
    <row r="1644">
      <c r="A1644" s="5">
        <v>1643.0</v>
      </c>
      <c r="B1644" s="5" t="s">
        <v>77</v>
      </c>
      <c r="C1644" s="12" t="s">
        <v>205</v>
      </c>
      <c r="D1644" s="9" t="s">
        <v>65</v>
      </c>
      <c r="E1644" s="11">
        <v>14933.0</v>
      </c>
      <c r="F1644" s="11">
        <v>49934.0</v>
      </c>
    </row>
    <row r="1645">
      <c r="A1645" s="5">
        <v>1644.0</v>
      </c>
      <c r="B1645" s="5" t="s">
        <v>77</v>
      </c>
      <c r="C1645" s="12" t="s">
        <v>205</v>
      </c>
      <c r="D1645" s="9" t="s">
        <v>69</v>
      </c>
      <c r="E1645" s="11">
        <v>14457.0</v>
      </c>
      <c r="F1645" s="11">
        <v>50267.0</v>
      </c>
    </row>
    <row r="1646">
      <c r="A1646" s="5">
        <v>1645.0</v>
      </c>
      <c r="B1646" s="5" t="s">
        <v>77</v>
      </c>
      <c r="C1646" s="12" t="s">
        <v>205</v>
      </c>
      <c r="D1646" s="9" t="s">
        <v>72</v>
      </c>
      <c r="E1646" s="11">
        <v>13648.0</v>
      </c>
      <c r="F1646" s="11">
        <v>47425.0</v>
      </c>
    </row>
    <row r="1647">
      <c r="A1647" s="5">
        <v>1646.0</v>
      </c>
      <c r="B1647" s="5" t="s">
        <v>77</v>
      </c>
      <c r="C1647" s="12" t="s">
        <v>205</v>
      </c>
      <c r="D1647" s="9" t="s">
        <v>70</v>
      </c>
      <c r="E1647" s="11">
        <v>13327.0</v>
      </c>
      <c r="F1647" s="11">
        <v>45771.0</v>
      </c>
    </row>
    <row r="1648">
      <c r="A1648" s="5">
        <v>1647.0</v>
      </c>
      <c r="B1648" s="5" t="s">
        <v>77</v>
      </c>
      <c r="C1648" s="12" t="s">
        <v>205</v>
      </c>
      <c r="D1648" s="9" t="s">
        <v>67</v>
      </c>
      <c r="E1648" s="11">
        <v>12221.0</v>
      </c>
      <c r="F1648" s="11">
        <v>43311.0</v>
      </c>
    </row>
    <row r="1649">
      <c r="A1649" s="5">
        <v>1648.0</v>
      </c>
      <c r="B1649" s="5" t="s">
        <v>77</v>
      </c>
      <c r="C1649" s="12" t="s">
        <v>205</v>
      </c>
      <c r="D1649" s="9" t="s">
        <v>72</v>
      </c>
      <c r="E1649" s="11">
        <v>11018.0</v>
      </c>
      <c r="F1649" s="11">
        <v>37561.0</v>
      </c>
    </row>
    <row r="1650">
      <c r="A1650" s="5">
        <v>1649.0</v>
      </c>
      <c r="B1650" s="5" t="s">
        <v>77</v>
      </c>
      <c r="C1650" s="12" t="s">
        <v>205</v>
      </c>
      <c r="D1650" s="9" t="s">
        <v>66</v>
      </c>
      <c r="E1650" s="11">
        <v>11079.0</v>
      </c>
      <c r="F1650" s="11">
        <v>38254.0</v>
      </c>
    </row>
    <row r="1651">
      <c r="A1651" s="5">
        <v>1650.0</v>
      </c>
      <c r="B1651" s="5" t="s">
        <v>77</v>
      </c>
      <c r="C1651" s="12" t="s">
        <v>205</v>
      </c>
      <c r="D1651" s="9" t="s">
        <v>67</v>
      </c>
      <c r="E1651" s="11">
        <v>10894.0</v>
      </c>
      <c r="F1651" s="11">
        <v>37715.0</v>
      </c>
    </row>
    <row r="1652">
      <c r="A1652" s="5">
        <v>1651.0</v>
      </c>
      <c r="B1652" s="5" t="s">
        <v>77</v>
      </c>
      <c r="C1652" s="12" t="s">
        <v>205</v>
      </c>
      <c r="D1652" s="9" t="s">
        <v>72</v>
      </c>
      <c r="E1652" s="11">
        <v>10238.0</v>
      </c>
      <c r="F1652" s="11">
        <v>33905.0</v>
      </c>
    </row>
    <row r="1653">
      <c r="A1653" s="5">
        <v>1652.0</v>
      </c>
      <c r="B1653" s="5" t="s">
        <v>77</v>
      </c>
      <c r="C1653" s="12" t="s">
        <v>206</v>
      </c>
      <c r="D1653" s="9" t="s">
        <v>60</v>
      </c>
      <c r="E1653" s="8"/>
      <c r="F1653" s="8"/>
    </row>
    <row r="1654">
      <c r="A1654" s="5">
        <v>1653.0</v>
      </c>
      <c r="B1654" s="5" t="s">
        <v>77</v>
      </c>
      <c r="C1654" s="12" t="s">
        <v>206</v>
      </c>
      <c r="D1654" s="9" t="s">
        <v>62</v>
      </c>
      <c r="E1654" s="11">
        <v>10202.0</v>
      </c>
      <c r="F1654" s="8"/>
    </row>
    <row r="1655">
      <c r="A1655" s="5">
        <v>1654.0</v>
      </c>
      <c r="B1655" s="5" t="s">
        <v>77</v>
      </c>
      <c r="C1655" s="12" t="s">
        <v>206</v>
      </c>
      <c r="D1655" s="9" t="s">
        <v>63</v>
      </c>
      <c r="E1655" s="11">
        <v>9875.0</v>
      </c>
      <c r="F1655" s="11">
        <v>2882.0</v>
      </c>
    </row>
    <row r="1656">
      <c r="A1656" s="5">
        <v>1655.0</v>
      </c>
      <c r="B1656" s="5" t="s">
        <v>77</v>
      </c>
      <c r="C1656" s="12" t="s">
        <v>206</v>
      </c>
      <c r="D1656" s="9" t="s">
        <v>64</v>
      </c>
      <c r="E1656" s="11">
        <v>9554.0</v>
      </c>
      <c r="F1656" s="11">
        <v>2574.0</v>
      </c>
    </row>
    <row r="1657">
      <c r="A1657" s="5">
        <v>1656.0</v>
      </c>
      <c r="B1657" s="5" t="s">
        <v>77</v>
      </c>
      <c r="C1657" s="12" t="s">
        <v>206</v>
      </c>
      <c r="D1657" s="9" t="s">
        <v>65</v>
      </c>
      <c r="E1657" s="11">
        <v>9264.0</v>
      </c>
      <c r="F1657" s="11">
        <v>2340.0</v>
      </c>
    </row>
    <row r="1658">
      <c r="A1658" s="5">
        <v>1657.0</v>
      </c>
      <c r="B1658" s="5" t="s">
        <v>77</v>
      </c>
      <c r="C1658" s="12" t="s">
        <v>206</v>
      </c>
      <c r="D1658" s="9" t="s">
        <v>69</v>
      </c>
      <c r="E1658" s="11">
        <v>9144.0</v>
      </c>
      <c r="F1658" s="11">
        <v>2391.0</v>
      </c>
    </row>
    <row r="1659">
      <c r="A1659" s="5">
        <v>1658.0</v>
      </c>
      <c r="B1659" s="5" t="s">
        <v>77</v>
      </c>
      <c r="C1659" s="12" t="s">
        <v>206</v>
      </c>
      <c r="D1659" s="9" t="s">
        <v>72</v>
      </c>
      <c r="E1659" s="11">
        <v>8742.0</v>
      </c>
      <c r="F1659" s="11">
        <v>1980.0</v>
      </c>
    </row>
    <row r="1660">
      <c r="A1660" s="5">
        <v>1659.0</v>
      </c>
      <c r="B1660" s="5" t="s">
        <v>77</v>
      </c>
      <c r="C1660" s="12" t="s">
        <v>206</v>
      </c>
      <c r="D1660" s="9" t="s">
        <v>70</v>
      </c>
      <c r="E1660" s="11">
        <v>8489.0</v>
      </c>
      <c r="F1660" s="11">
        <v>1822.0</v>
      </c>
    </row>
    <row r="1661">
      <c r="A1661" s="5">
        <v>1660.0</v>
      </c>
      <c r="B1661" s="5" t="s">
        <v>77</v>
      </c>
      <c r="C1661" s="12" t="s">
        <v>206</v>
      </c>
      <c r="D1661" s="9" t="s">
        <v>67</v>
      </c>
      <c r="E1661" s="11">
        <v>8375.0</v>
      </c>
      <c r="F1661" s="11">
        <v>1922.0</v>
      </c>
    </row>
    <row r="1662">
      <c r="A1662" s="5">
        <v>1661.0</v>
      </c>
      <c r="B1662" s="5" t="s">
        <v>77</v>
      </c>
      <c r="C1662" s="12" t="s">
        <v>206</v>
      </c>
      <c r="D1662" s="9" t="s">
        <v>72</v>
      </c>
      <c r="E1662" s="11">
        <v>8063.0</v>
      </c>
      <c r="F1662" s="11">
        <v>1918.0</v>
      </c>
    </row>
    <row r="1663">
      <c r="A1663" s="5">
        <v>1662.0</v>
      </c>
      <c r="B1663" s="5" t="s">
        <v>77</v>
      </c>
      <c r="C1663" s="12" t="s">
        <v>206</v>
      </c>
      <c r="D1663" s="9" t="s">
        <v>66</v>
      </c>
      <c r="E1663" s="11">
        <v>7645.0</v>
      </c>
      <c r="F1663" s="11">
        <v>1588.0</v>
      </c>
    </row>
    <row r="1664">
      <c r="A1664" s="5">
        <v>1663.0</v>
      </c>
      <c r="B1664" s="5" t="s">
        <v>77</v>
      </c>
      <c r="C1664" s="12" t="s">
        <v>206</v>
      </c>
      <c r="D1664" s="9" t="s">
        <v>67</v>
      </c>
      <c r="E1664" s="11">
        <v>7547.0</v>
      </c>
      <c r="F1664" s="11">
        <v>1580.0</v>
      </c>
    </row>
    <row r="1665">
      <c r="A1665" s="5">
        <v>1664.0</v>
      </c>
      <c r="B1665" s="5" t="s">
        <v>77</v>
      </c>
      <c r="C1665" s="12" t="s">
        <v>206</v>
      </c>
      <c r="D1665" s="9" t="s">
        <v>72</v>
      </c>
      <c r="E1665" s="11">
        <v>7173.0</v>
      </c>
      <c r="F1665" s="11">
        <v>1349.0</v>
      </c>
    </row>
    <row r="1666">
      <c r="A1666" s="5">
        <v>1665.0</v>
      </c>
      <c r="B1666" s="5" t="s">
        <v>61</v>
      </c>
      <c r="C1666" s="12" t="s">
        <v>207</v>
      </c>
      <c r="D1666" s="9" t="s">
        <v>60</v>
      </c>
      <c r="E1666" s="8"/>
      <c r="F1666" s="8"/>
    </row>
    <row r="1667">
      <c r="A1667" s="5">
        <v>1666.0</v>
      </c>
      <c r="B1667" s="5" t="s">
        <v>61</v>
      </c>
      <c r="C1667" s="12" t="s">
        <v>207</v>
      </c>
      <c r="D1667" s="9" t="s">
        <v>62</v>
      </c>
      <c r="E1667" s="11">
        <v>14056.0</v>
      </c>
      <c r="F1667" s="8"/>
    </row>
    <row r="1668">
      <c r="A1668" s="5">
        <v>1667.0</v>
      </c>
      <c r="B1668" s="5" t="s">
        <v>61</v>
      </c>
      <c r="C1668" s="12" t="s">
        <v>207</v>
      </c>
      <c r="D1668" s="9" t="s">
        <v>63</v>
      </c>
      <c r="E1668" s="11">
        <v>13997.0</v>
      </c>
      <c r="F1668" s="11">
        <v>8995.0</v>
      </c>
    </row>
    <row r="1669">
      <c r="A1669" s="5">
        <v>1668.0</v>
      </c>
      <c r="B1669" s="5" t="s">
        <v>61</v>
      </c>
      <c r="C1669" s="12" t="s">
        <v>207</v>
      </c>
      <c r="D1669" s="9" t="s">
        <v>64</v>
      </c>
      <c r="E1669" s="11">
        <v>14246.0</v>
      </c>
      <c r="F1669" s="11">
        <v>10392.0</v>
      </c>
    </row>
    <row r="1670">
      <c r="A1670" s="5">
        <v>1669.0</v>
      </c>
      <c r="B1670" s="5" t="s">
        <v>61</v>
      </c>
      <c r="C1670" s="12" t="s">
        <v>207</v>
      </c>
      <c r="D1670" s="9" t="s">
        <v>65</v>
      </c>
      <c r="E1670" s="11">
        <v>15033.0</v>
      </c>
      <c r="F1670" s="11">
        <v>9028.0</v>
      </c>
    </row>
    <row r="1671">
      <c r="A1671" s="5">
        <v>1670.0</v>
      </c>
      <c r="B1671" s="5" t="s">
        <v>61</v>
      </c>
      <c r="C1671" s="12" t="s">
        <v>207</v>
      </c>
      <c r="D1671" s="9" t="s">
        <v>69</v>
      </c>
      <c r="E1671" s="11">
        <v>15595.0</v>
      </c>
      <c r="F1671" s="11">
        <v>12636.0</v>
      </c>
    </row>
    <row r="1672">
      <c r="A1672" s="5">
        <v>1671.0</v>
      </c>
      <c r="B1672" s="5" t="s">
        <v>61</v>
      </c>
      <c r="C1672" s="12" t="s">
        <v>207</v>
      </c>
      <c r="D1672" s="9" t="s">
        <v>72</v>
      </c>
      <c r="E1672" s="11">
        <v>15015.0</v>
      </c>
      <c r="F1672" s="11">
        <v>12611.0</v>
      </c>
    </row>
    <row r="1673">
      <c r="A1673" s="5">
        <v>1672.0</v>
      </c>
      <c r="B1673" s="5" t="s">
        <v>61</v>
      </c>
      <c r="C1673" s="12" t="s">
        <v>207</v>
      </c>
      <c r="D1673" s="9" t="s">
        <v>70</v>
      </c>
      <c r="E1673" s="11">
        <v>14817.0</v>
      </c>
      <c r="F1673" s="11">
        <v>11613.0</v>
      </c>
    </row>
    <row r="1674">
      <c r="A1674" s="5">
        <v>1673.0</v>
      </c>
      <c r="B1674" s="5" t="s">
        <v>61</v>
      </c>
      <c r="C1674" s="12" t="s">
        <v>207</v>
      </c>
      <c r="D1674" s="9" t="s">
        <v>67</v>
      </c>
      <c r="E1674" s="11">
        <v>14764.0</v>
      </c>
      <c r="F1674" s="11">
        <v>12435.0</v>
      </c>
    </row>
    <row r="1675">
      <c r="A1675" s="5">
        <v>1674.0</v>
      </c>
      <c r="B1675" s="5" t="s">
        <v>61</v>
      </c>
      <c r="C1675" s="12" t="s">
        <v>207</v>
      </c>
      <c r="D1675" s="9" t="s">
        <v>72</v>
      </c>
      <c r="E1675" s="11">
        <v>14064.0</v>
      </c>
      <c r="F1675" s="11">
        <v>9846.0</v>
      </c>
    </row>
    <row r="1676">
      <c r="A1676" s="5">
        <v>1675.0</v>
      </c>
      <c r="B1676" s="5" t="s">
        <v>61</v>
      </c>
      <c r="C1676" s="12" t="s">
        <v>207</v>
      </c>
      <c r="D1676" s="9" t="s">
        <v>66</v>
      </c>
      <c r="E1676" s="11">
        <v>12968.0</v>
      </c>
      <c r="F1676" s="11">
        <v>9208.0</v>
      </c>
    </row>
    <row r="1677">
      <c r="A1677" s="5">
        <v>1676.0</v>
      </c>
      <c r="B1677" s="5" t="s">
        <v>61</v>
      </c>
      <c r="C1677" s="12" t="s">
        <v>207</v>
      </c>
      <c r="D1677" s="9" t="s">
        <v>67</v>
      </c>
      <c r="E1677" s="11">
        <v>12547.0</v>
      </c>
      <c r="F1677" s="11">
        <v>8724.0</v>
      </c>
    </row>
    <row r="1678">
      <c r="A1678" s="5">
        <v>1677.0</v>
      </c>
      <c r="B1678" s="5" t="s">
        <v>61</v>
      </c>
      <c r="C1678" s="12" t="s">
        <v>207</v>
      </c>
      <c r="D1678" s="9" t="s">
        <v>72</v>
      </c>
      <c r="E1678" s="11">
        <v>12841.0</v>
      </c>
      <c r="F1678" s="11">
        <v>10088.0</v>
      </c>
    </row>
    <row r="1679">
      <c r="A1679" s="5">
        <v>1678.0</v>
      </c>
      <c r="B1679" s="5" t="s">
        <v>77</v>
      </c>
      <c r="C1679" s="12" t="s">
        <v>208</v>
      </c>
      <c r="D1679" s="9" t="s">
        <v>60</v>
      </c>
      <c r="E1679" s="8"/>
      <c r="F1679" s="8"/>
    </row>
    <row r="1680">
      <c r="A1680" s="5">
        <v>1679.0</v>
      </c>
      <c r="B1680" s="5" t="s">
        <v>77</v>
      </c>
      <c r="C1680" s="12" t="s">
        <v>208</v>
      </c>
      <c r="D1680" s="9" t="s">
        <v>62</v>
      </c>
      <c r="E1680" s="11">
        <v>1589.0</v>
      </c>
      <c r="F1680" s="8"/>
    </row>
    <row r="1681">
      <c r="A1681" s="5">
        <v>1680.0</v>
      </c>
      <c r="B1681" s="5" t="s">
        <v>77</v>
      </c>
      <c r="C1681" s="12" t="s">
        <v>208</v>
      </c>
      <c r="D1681" s="9" t="s">
        <v>63</v>
      </c>
      <c r="E1681" s="11">
        <v>1552.0</v>
      </c>
      <c r="F1681" s="11">
        <v>3176.0</v>
      </c>
    </row>
    <row r="1682">
      <c r="A1682" s="5">
        <v>1681.0</v>
      </c>
      <c r="B1682" s="5" t="s">
        <v>77</v>
      </c>
      <c r="C1682" s="12" t="s">
        <v>208</v>
      </c>
      <c r="D1682" s="9" t="s">
        <v>64</v>
      </c>
      <c r="E1682" s="11">
        <v>1497.0</v>
      </c>
      <c r="F1682" s="11">
        <v>3183.0</v>
      </c>
    </row>
    <row r="1683">
      <c r="A1683" s="5">
        <v>1682.0</v>
      </c>
      <c r="B1683" s="5" t="s">
        <v>77</v>
      </c>
      <c r="C1683" s="12" t="s">
        <v>208</v>
      </c>
      <c r="D1683" s="9" t="s">
        <v>65</v>
      </c>
      <c r="E1683" s="11">
        <v>1455.0</v>
      </c>
      <c r="F1683" s="11">
        <v>3579.0</v>
      </c>
    </row>
    <row r="1684">
      <c r="A1684" s="5">
        <v>1683.0</v>
      </c>
      <c r="B1684" s="5" t="s">
        <v>77</v>
      </c>
      <c r="C1684" s="12" t="s">
        <v>208</v>
      </c>
      <c r="D1684" s="9" t="s">
        <v>69</v>
      </c>
      <c r="E1684" s="11">
        <v>1345.0</v>
      </c>
      <c r="F1684" s="11">
        <v>2409.0</v>
      </c>
    </row>
    <row r="1685">
      <c r="A1685" s="5">
        <v>1684.0</v>
      </c>
      <c r="B1685" s="5" t="s">
        <v>77</v>
      </c>
      <c r="C1685" s="12" t="s">
        <v>208</v>
      </c>
      <c r="D1685" s="9" t="s">
        <v>73</v>
      </c>
      <c r="E1685" s="11">
        <v>1294.0</v>
      </c>
      <c r="F1685" s="11">
        <v>2329.0</v>
      </c>
    </row>
    <row r="1686">
      <c r="A1686" s="5">
        <v>1685.0</v>
      </c>
      <c r="B1686" s="5" t="s">
        <v>77</v>
      </c>
      <c r="C1686" s="12" t="s">
        <v>208</v>
      </c>
      <c r="D1686" s="9" t="s">
        <v>70</v>
      </c>
      <c r="E1686" s="11">
        <v>1294.0</v>
      </c>
      <c r="F1686" s="11">
        <v>2310.0</v>
      </c>
    </row>
    <row r="1687">
      <c r="A1687" s="5">
        <v>1686.0</v>
      </c>
      <c r="B1687" s="5" t="s">
        <v>77</v>
      </c>
      <c r="C1687" s="12" t="s">
        <v>208</v>
      </c>
      <c r="D1687" s="9" t="s">
        <v>67</v>
      </c>
      <c r="E1687" s="11">
        <v>1163.0</v>
      </c>
      <c r="F1687" s="11">
        <v>1962.0</v>
      </c>
    </row>
    <row r="1688">
      <c r="A1688" s="5">
        <v>1687.0</v>
      </c>
      <c r="B1688" s="5" t="s">
        <v>77</v>
      </c>
      <c r="C1688" s="12" t="s">
        <v>208</v>
      </c>
      <c r="D1688" s="9" t="s">
        <v>72</v>
      </c>
      <c r="E1688" s="11">
        <v>1076.0</v>
      </c>
      <c r="F1688" s="11">
        <v>1874.0</v>
      </c>
    </row>
    <row r="1689">
      <c r="A1689" s="5">
        <v>1688.0</v>
      </c>
      <c r="B1689" s="5" t="s">
        <v>77</v>
      </c>
      <c r="C1689" s="12" t="s">
        <v>208</v>
      </c>
      <c r="D1689" s="9" t="s">
        <v>67</v>
      </c>
      <c r="E1689" s="11">
        <v>1010.0</v>
      </c>
      <c r="F1689" s="11">
        <v>1760.0</v>
      </c>
    </row>
    <row r="1690">
      <c r="A1690" s="5">
        <v>1689.0</v>
      </c>
      <c r="B1690" s="5" t="s">
        <v>77</v>
      </c>
      <c r="C1690" s="12" t="s">
        <v>208</v>
      </c>
      <c r="D1690" s="9" t="s">
        <v>67</v>
      </c>
      <c r="E1690" s="11">
        <v>1127.0</v>
      </c>
      <c r="F1690" s="11">
        <v>2017.0</v>
      </c>
    </row>
    <row r="1691">
      <c r="A1691" s="5">
        <v>1690.0</v>
      </c>
      <c r="B1691" s="5" t="s">
        <v>77</v>
      </c>
      <c r="C1691" s="12" t="s">
        <v>208</v>
      </c>
      <c r="D1691" s="9" t="s">
        <v>72</v>
      </c>
      <c r="E1691" s="11">
        <v>978.0</v>
      </c>
      <c r="F1691" s="11">
        <v>1643.0</v>
      </c>
    </row>
    <row r="1692">
      <c r="A1692" s="5">
        <v>1691.0</v>
      </c>
      <c r="B1692" s="5" t="s">
        <v>61</v>
      </c>
      <c r="C1692" s="12" t="s">
        <v>209</v>
      </c>
      <c r="D1692" s="9" t="s">
        <v>60</v>
      </c>
      <c r="E1692" s="8"/>
      <c r="F1692" s="8"/>
    </row>
    <row r="1693">
      <c r="A1693" s="5">
        <v>1692.0</v>
      </c>
      <c r="B1693" s="5" t="s">
        <v>61</v>
      </c>
      <c r="C1693" s="12" t="s">
        <v>209</v>
      </c>
      <c r="D1693" s="9" t="s">
        <v>62</v>
      </c>
      <c r="E1693" s="11">
        <v>10391.0</v>
      </c>
      <c r="F1693" s="8"/>
    </row>
    <row r="1694">
      <c r="A1694" s="5">
        <v>1693.0</v>
      </c>
      <c r="B1694" s="5" t="s">
        <v>61</v>
      </c>
      <c r="C1694" s="12" t="s">
        <v>209</v>
      </c>
      <c r="D1694" s="9" t="s">
        <v>63</v>
      </c>
      <c r="E1694" s="11">
        <v>10218.0</v>
      </c>
      <c r="F1694" s="11">
        <v>3755.0</v>
      </c>
    </row>
    <row r="1695">
      <c r="A1695" s="5">
        <v>1694.0</v>
      </c>
      <c r="B1695" s="5" t="s">
        <v>61</v>
      </c>
      <c r="C1695" s="12" t="s">
        <v>209</v>
      </c>
      <c r="D1695" s="9" t="s">
        <v>64</v>
      </c>
      <c r="E1695" s="11">
        <v>9986.0</v>
      </c>
      <c r="F1695" s="11">
        <v>3506.0</v>
      </c>
    </row>
    <row r="1696">
      <c r="A1696" s="5">
        <v>1695.0</v>
      </c>
      <c r="B1696" s="5" t="s">
        <v>61</v>
      </c>
      <c r="C1696" s="12" t="s">
        <v>209</v>
      </c>
      <c r="D1696" s="9" t="s">
        <v>65</v>
      </c>
      <c r="E1696" s="11">
        <v>9634.0</v>
      </c>
      <c r="F1696" s="11">
        <v>3047.0</v>
      </c>
    </row>
    <row r="1697">
      <c r="A1697" s="5">
        <v>1696.0</v>
      </c>
      <c r="B1697" s="5" t="s">
        <v>61</v>
      </c>
      <c r="C1697" s="12" t="s">
        <v>209</v>
      </c>
      <c r="D1697" s="9" t="s">
        <v>69</v>
      </c>
      <c r="E1697" s="11">
        <v>9308.0</v>
      </c>
      <c r="F1697" s="11">
        <v>2699.0</v>
      </c>
    </row>
    <row r="1698">
      <c r="A1698" s="5">
        <v>1697.0</v>
      </c>
      <c r="B1698" s="5" t="s">
        <v>61</v>
      </c>
      <c r="C1698" s="12" t="s">
        <v>209</v>
      </c>
      <c r="D1698" s="9" t="s">
        <v>73</v>
      </c>
      <c r="E1698" s="11">
        <v>9131.0</v>
      </c>
      <c r="F1698" s="11">
        <v>2662.0</v>
      </c>
    </row>
    <row r="1699">
      <c r="A1699" s="5">
        <v>1698.0</v>
      </c>
      <c r="B1699" s="5" t="s">
        <v>61</v>
      </c>
      <c r="C1699" s="12" t="s">
        <v>209</v>
      </c>
      <c r="D1699" s="9" t="s">
        <v>70</v>
      </c>
      <c r="E1699" s="11">
        <v>9132.0</v>
      </c>
      <c r="F1699" s="11">
        <v>3242.0</v>
      </c>
    </row>
    <row r="1700">
      <c r="A1700" s="5">
        <v>1699.0</v>
      </c>
      <c r="B1700" s="5" t="s">
        <v>61</v>
      </c>
      <c r="C1700" s="12" t="s">
        <v>209</v>
      </c>
      <c r="D1700" s="9" t="s">
        <v>67</v>
      </c>
      <c r="E1700" s="11">
        <v>8832.0</v>
      </c>
      <c r="F1700" s="11">
        <v>2769.0</v>
      </c>
    </row>
    <row r="1701">
      <c r="A1701" s="5">
        <v>1700.0</v>
      </c>
      <c r="B1701" s="5" t="s">
        <v>61</v>
      </c>
      <c r="C1701" s="12" t="s">
        <v>209</v>
      </c>
      <c r="D1701" s="9" t="s">
        <v>72</v>
      </c>
      <c r="E1701" s="11">
        <v>8707.0</v>
      </c>
      <c r="F1701" s="11">
        <v>2952.0</v>
      </c>
    </row>
    <row r="1702">
      <c r="A1702" s="5">
        <v>1701.0</v>
      </c>
      <c r="B1702" s="5" t="s">
        <v>61</v>
      </c>
      <c r="C1702" s="12" t="s">
        <v>209</v>
      </c>
      <c r="D1702" s="9" t="s">
        <v>67</v>
      </c>
      <c r="E1702" s="11">
        <v>8467.0</v>
      </c>
      <c r="F1702" s="11">
        <v>2710.0</v>
      </c>
    </row>
    <row r="1703">
      <c r="A1703" s="5">
        <v>1702.0</v>
      </c>
      <c r="B1703" s="5" t="s">
        <v>61</v>
      </c>
      <c r="C1703" s="12" t="s">
        <v>209</v>
      </c>
      <c r="D1703" s="9" t="s">
        <v>67</v>
      </c>
      <c r="E1703" s="11">
        <v>8375.0</v>
      </c>
      <c r="F1703" s="11">
        <v>3454.0</v>
      </c>
    </row>
    <row r="1704">
      <c r="A1704" s="5">
        <v>1703.0</v>
      </c>
      <c r="B1704" s="5" t="s">
        <v>61</v>
      </c>
      <c r="C1704" s="12" t="s">
        <v>209</v>
      </c>
      <c r="D1704" s="9" t="s">
        <v>72</v>
      </c>
      <c r="E1704" s="11">
        <v>8108.0</v>
      </c>
      <c r="F1704" s="11">
        <v>3234.0</v>
      </c>
    </row>
    <row r="1705">
      <c r="A1705" s="5">
        <v>1704.0</v>
      </c>
      <c r="B1705" s="5" t="s">
        <v>75</v>
      </c>
      <c r="C1705" s="12" t="s">
        <v>210</v>
      </c>
      <c r="D1705" s="9" t="s">
        <v>60</v>
      </c>
      <c r="E1705" s="11">
        <v>78220.0</v>
      </c>
      <c r="F1705" s="8"/>
    </row>
    <row r="1706">
      <c r="A1706" s="5">
        <v>1705.0</v>
      </c>
      <c r="B1706" s="5" t="s">
        <v>75</v>
      </c>
      <c r="C1706" s="12" t="s">
        <v>210</v>
      </c>
      <c r="D1706" s="9" t="s">
        <v>62</v>
      </c>
      <c r="E1706" s="11">
        <v>77419.0</v>
      </c>
      <c r="F1706" s="8"/>
    </row>
    <row r="1707">
      <c r="A1707" s="5">
        <v>1706.0</v>
      </c>
      <c r="B1707" s="5" t="s">
        <v>75</v>
      </c>
      <c r="C1707" s="12" t="s">
        <v>210</v>
      </c>
      <c r="D1707" s="9" t="s">
        <v>63</v>
      </c>
      <c r="E1707" s="11">
        <v>83426.0</v>
      </c>
      <c r="F1707" s="11">
        <v>182078.0</v>
      </c>
    </row>
    <row r="1708">
      <c r="A1708" s="5">
        <v>1707.0</v>
      </c>
      <c r="B1708" s="5" t="s">
        <v>75</v>
      </c>
      <c r="C1708" s="12" t="s">
        <v>210</v>
      </c>
      <c r="D1708" s="9" t="s">
        <v>64</v>
      </c>
      <c r="E1708" s="11">
        <v>78175.0</v>
      </c>
      <c r="F1708" s="11">
        <v>169650.0</v>
      </c>
    </row>
    <row r="1709">
      <c r="A1709" s="5">
        <v>1708.0</v>
      </c>
      <c r="B1709" s="5" t="s">
        <v>75</v>
      </c>
      <c r="C1709" s="12" t="s">
        <v>210</v>
      </c>
      <c r="D1709" s="9" t="s">
        <v>65</v>
      </c>
      <c r="E1709" s="11">
        <v>79550.0</v>
      </c>
      <c r="F1709" s="11">
        <v>173845.0</v>
      </c>
    </row>
    <row r="1710">
      <c r="A1710" s="5">
        <v>1709.0</v>
      </c>
      <c r="B1710" s="5" t="s">
        <v>75</v>
      </c>
      <c r="C1710" s="12" t="s">
        <v>210</v>
      </c>
      <c r="D1710" s="9" t="s">
        <v>69</v>
      </c>
      <c r="E1710" s="11">
        <v>79350.0</v>
      </c>
      <c r="F1710" s="11">
        <v>171766.0</v>
      </c>
    </row>
    <row r="1711">
      <c r="A1711" s="5">
        <v>1710.0</v>
      </c>
      <c r="B1711" s="5" t="s">
        <v>75</v>
      </c>
      <c r="C1711" s="12" t="s">
        <v>210</v>
      </c>
      <c r="D1711" s="9" t="s">
        <v>73</v>
      </c>
      <c r="E1711" s="11">
        <v>76830.0</v>
      </c>
      <c r="F1711" s="11">
        <v>167201.0</v>
      </c>
    </row>
    <row r="1712">
      <c r="A1712" s="5">
        <v>1711.0</v>
      </c>
      <c r="B1712" s="5" t="s">
        <v>75</v>
      </c>
      <c r="C1712" s="12" t="s">
        <v>210</v>
      </c>
      <c r="D1712" s="9" t="s">
        <v>70</v>
      </c>
      <c r="E1712" s="11">
        <v>78824.0</v>
      </c>
      <c r="F1712" s="11">
        <v>172228.0</v>
      </c>
    </row>
    <row r="1713">
      <c r="A1713" s="5">
        <v>1712.0</v>
      </c>
      <c r="B1713" s="5" t="s">
        <v>75</v>
      </c>
      <c r="C1713" s="12" t="s">
        <v>210</v>
      </c>
      <c r="D1713" s="9" t="s">
        <v>67</v>
      </c>
      <c r="E1713" s="11">
        <v>79075.0</v>
      </c>
      <c r="F1713" s="11">
        <v>176903.0</v>
      </c>
    </row>
    <row r="1714">
      <c r="A1714" s="5">
        <v>1713.0</v>
      </c>
      <c r="B1714" s="5" t="s">
        <v>75</v>
      </c>
      <c r="C1714" s="12" t="s">
        <v>210</v>
      </c>
      <c r="D1714" s="9" t="s">
        <v>72</v>
      </c>
      <c r="E1714" s="11">
        <v>78010.0</v>
      </c>
      <c r="F1714" s="11">
        <v>175041.0</v>
      </c>
    </row>
    <row r="1715">
      <c r="A1715" s="5">
        <v>1714.0</v>
      </c>
      <c r="B1715" s="5" t="s">
        <v>75</v>
      </c>
      <c r="C1715" s="12" t="s">
        <v>210</v>
      </c>
      <c r="D1715" s="9" t="s">
        <v>67</v>
      </c>
      <c r="E1715" s="11">
        <v>75706.0</v>
      </c>
      <c r="F1715" s="11">
        <v>172364.0</v>
      </c>
    </row>
    <row r="1716">
      <c r="A1716" s="5">
        <v>1715.0</v>
      </c>
      <c r="B1716" s="5" t="s">
        <v>75</v>
      </c>
      <c r="C1716" s="12" t="s">
        <v>210</v>
      </c>
      <c r="D1716" s="9" t="s">
        <v>67</v>
      </c>
      <c r="E1716" s="11">
        <v>75614.0</v>
      </c>
      <c r="F1716" s="11">
        <v>167274.0</v>
      </c>
    </row>
    <row r="1717">
      <c r="A1717" s="5">
        <v>1716.0</v>
      </c>
      <c r="B1717" s="5" t="s">
        <v>75</v>
      </c>
      <c r="C1717" s="12" t="s">
        <v>210</v>
      </c>
      <c r="D1717" s="9" t="s">
        <v>72</v>
      </c>
      <c r="E1717" s="11">
        <v>73223.0</v>
      </c>
      <c r="F1717" s="11">
        <v>165363.0</v>
      </c>
    </row>
    <row r="1718">
      <c r="A1718" s="5">
        <v>1717.0</v>
      </c>
      <c r="B1718" s="5" t="s">
        <v>80</v>
      </c>
      <c r="C1718" s="12" t="s">
        <v>211</v>
      </c>
      <c r="D1718" s="9" t="s">
        <v>60</v>
      </c>
      <c r="E1718" s="8"/>
      <c r="F1718" s="8"/>
    </row>
    <row r="1719">
      <c r="A1719" s="5">
        <v>1718.0</v>
      </c>
      <c r="B1719" s="5" t="s">
        <v>80</v>
      </c>
      <c r="C1719" s="12" t="s">
        <v>211</v>
      </c>
      <c r="D1719" s="9" t="s">
        <v>62</v>
      </c>
      <c r="E1719" s="8"/>
      <c r="F1719" s="8"/>
    </row>
    <row r="1720">
      <c r="A1720" s="5">
        <v>1719.0</v>
      </c>
      <c r="B1720" s="5" t="s">
        <v>80</v>
      </c>
      <c r="C1720" s="12" t="s">
        <v>211</v>
      </c>
      <c r="D1720" s="9" t="s">
        <v>63</v>
      </c>
      <c r="E1720" s="8"/>
      <c r="F1720" s="11">
        <v>3920.0</v>
      </c>
    </row>
    <row r="1721">
      <c r="A1721" s="5">
        <v>1720.0</v>
      </c>
      <c r="B1721" s="5" t="s">
        <v>80</v>
      </c>
      <c r="C1721" s="12" t="s">
        <v>211</v>
      </c>
      <c r="D1721" s="9" t="s">
        <v>64</v>
      </c>
      <c r="E1721" s="8"/>
      <c r="F1721" s="11">
        <v>2849.0</v>
      </c>
    </row>
    <row r="1722">
      <c r="A1722" s="5">
        <v>1721.0</v>
      </c>
      <c r="B1722" s="5" t="s">
        <v>80</v>
      </c>
      <c r="C1722" s="12" t="s">
        <v>211</v>
      </c>
      <c r="D1722" s="9" t="s">
        <v>65</v>
      </c>
      <c r="E1722" s="8"/>
      <c r="F1722" s="11">
        <v>3282.0</v>
      </c>
    </row>
    <row r="1723">
      <c r="A1723" s="5">
        <v>1722.0</v>
      </c>
      <c r="B1723" s="5" t="s">
        <v>80</v>
      </c>
      <c r="C1723" s="12" t="s">
        <v>211</v>
      </c>
      <c r="D1723" s="9" t="s">
        <v>69</v>
      </c>
      <c r="E1723" s="8"/>
      <c r="F1723" s="11">
        <v>2945.0</v>
      </c>
    </row>
    <row r="1724">
      <c r="A1724" s="5">
        <v>1723.0</v>
      </c>
      <c r="B1724" s="5" t="s">
        <v>80</v>
      </c>
      <c r="C1724" s="12" t="s">
        <v>211</v>
      </c>
      <c r="D1724" s="9" t="s">
        <v>73</v>
      </c>
      <c r="E1724" s="8"/>
      <c r="F1724" s="11">
        <v>2780.0</v>
      </c>
    </row>
    <row r="1725">
      <c r="A1725" s="5">
        <v>1724.0</v>
      </c>
      <c r="B1725" s="5" t="s">
        <v>80</v>
      </c>
      <c r="C1725" s="12" t="s">
        <v>211</v>
      </c>
      <c r="D1725" s="9" t="s">
        <v>70</v>
      </c>
      <c r="E1725" s="8"/>
      <c r="F1725" s="11">
        <v>2838.0</v>
      </c>
    </row>
    <row r="1726">
      <c r="A1726" s="5">
        <v>1725.0</v>
      </c>
      <c r="B1726" s="5" t="s">
        <v>80</v>
      </c>
      <c r="C1726" s="12" t="s">
        <v>211</v>
      </c>
      <c r="D1726" s="9" t="s">
        <v>67</v>
      </c>
      <c r="E1726" s="8"/>
      <c r="F1726" s="11">
        <v>2552.0</v>
      </c>
    </row>
    <row r="1727">
      <c r="A1727" s="5">
        <v>1726.0</v>
      </c>
      <c r="B1727" s="5" t="s">
        <v>80</v>
      </c>
      <c r="C1727" s="12" t="s">
        <v>211</v>
      </c>
      <c r="D1727" s="9" t="s">
        <v>72</v>
      </c>
      <c r="E1727" s="8"/>
      <c r="F1727" s="11">
        <v>2750.0</v>
      </c>
    </row>
    <row r="1728">
      <c r="A1728" s="5">
        <v>1727.0</v>
      </c>
      <c r="B1728" s="5" t="s">
        <v>80</v>
      </c>
      <c r="C1728" s="12" t="s">
        <v>211</v>
      </c>
      <c r="D1728" s="9" t="s">
        <v>67</v>
      </c>
      <c r="E1728" s="8"/>
      <c r="F1728" s="11">
        <v>2428.0</v>
      </c>
    </row>
    <row r="1729">
      <c r="A1729" s="5">
        <v>1728.0</v>
      </c>
      <c r="B1729" s="5" t="s">
        <v>80</v>
      </c>
      <c r="C1729" s="12" t="s">
        <v>211</v>
      </c>
      <c r="D1729" s="9" t="s">
        <v>67</v>
      </c>
      <c r="E1729" s="8"/>
      <c r="F1729" s="11">
        <v>1907.0</v>
      </c>
    </row>
    <row r="1730">
      <c r="A1730" s="5">
        <v>1729.0</v>
      </c>
      <c r="B1730" s="5" t="s">
        <v>80</v>
      </c>
      <c r="C1730" s="12" t="s">
        <v>211</v>
      </c>
      <c r="D1730" s="9" t="s">
        <v>72</v>
      </c>
      <c r="E1730" s="8"/>
      <c r="F1730" s="11">
        <v>2299.0</v>
      </c>
    </row>
    <row r="1731">
      <c r="A1731" s="5">
        <v>1730.0</v>
      </c>
      <c r="B1731" s="5" t="s">
        <v>80</v>
      </c>
      <c r="C1731" s="12" t="s">
        <v>212</v>
      </c>
      <c r="D1731" s="9" t="s">
        <v>60</v>
      </c>
      <c r="E1731" s="11">
        <v>18566.0</v>
      </c>
      <c r="F1731" s="8"/>
    </row>
    <row r="1732">
      <c r="A1732" s="5">
        <v>1731.0</v>
      </c>
      <c r="B1732" s="5" t="s">
        <v>80</v>
      </c>
      <c r="C1732" s="12" t="s">
        <v>212</v>
      </c>
      <c r="D1732" s="9" t="s">
        <v>62</v>
      </c>
      <c r="E1732" s="11">
        <v>18167.0</v>
      </c>
      <c r="F1732" s="8"/>
    </row>
    <row r="1733">
      <c r="A1733" s="5">
        <v>1732.0</v>
      </c>
      <c r="B1733" s="5" t="s">
        <v>80</v>
      </c>
      <c r="C1733" s="12" t="s">
        <v>212</v>
      </c>
      <c r="D1733" s="9" t="s">
        <v>63</v>
      </c>
      <c r="E1733" s="11">
        <v>18287.0</v>
      </c>
      <c r="F1733" s="11">
        <v>31551.0</v>
      </c>
    </row>
    <row r="1734">
      <c r="A1734" s="5">
        <v>1733.0</v>
      </c>
      <c r="B1734" s="5" t="s">
        <v>80</v>
      </c>
      <c r="C1734" s="12" t="s">
        <v>212</v>
      </c>
      <c r="D1734" s="9" t="s">
        <v>64</v>
      </c>
      <c r="E1734" s="11">
        <v>17469.0</v>
      </c>
      <c r="F1734" s="11">
        <v>32325.0</v>
      </c>
    </row>
    <row r="1735">
      <c r="A1735" s="5">
        <v>1734.0</v>
      </c>
      <c r="B1735" s="5" t="s">
        <v>80</v>
      </c>
      <c r="C1735" s="12" t="s">
        <v>212</v>
      </c>
      <c r="D1735" s="9" t="s">
        <v>65</v>
      </c>
      <c r="E1735" s="11">
        <v>17412.0</v>
      </c>
      <c r="F1735" s="11">
        <v>34264.0</v>
      </c>
    </row>
    <row r="1736">
      <c r="A1736" s="5">
        <v>1735.0</v>
      </c>
      <c r="B1736" s="5" t="s">
        <v>80</v>
      </c>
      <c r="C1736" s="12" t="s">
        <v>212</v>
      </c>
      <c r="D1736" s="9" t="s">
        <v>69</v>
      </c>
      <c r="E1736" s="11">
        <v>17123.0</v>
      </c>
      <c r="F1736" s="11">
        <v>33648.0</v>
      </c>
    </row>
    <row r="1737">
      <c r="A1737" s="5">
        <v>1736.0</v>
      </c>
      <c r="B1737" s="5" t="s">
        <v>80</v>
      </c>
      <c r="C1737" s="12" t="s">
        <v>212</v>
      </c>
      <c r="D1737" s="9" t="s">
        <v>73</v>
      </c>
      <c r="E1737" s="11">
        <v>16965.0</v>
      </c>
      <c r="F1737" s="11">
        <v>33553.0</v>
      </c>
    </row>
    <row r="1738">
      <c r="A1738" s="5">
        <v>1737.0</v>
      </c>
      <c r="B1738" s="5" t="s">
        <v>80</v>
      </c>
      <c r="C1738" s="12" t="s">
        <v>212</v>
      </c>
      <c r="D1738" s="9" t="s">
        <v>70</v>
      </c>
      <c r="E1738" s="11">
        <v>16846.0</v>
      </c>
      <c r="F1738" s="11">
        <v>33920.0</v>
      </c>
    </row>
    <row r="1739">
      <c r="A1739" s="5">
        <v>1738.0</v>
      </c>
      <c r="B1739" s="5" t="s">
        <v>80</v>
      </c>
      <c r="C1739" s="12" t="s">
        <v>212</v>
      </c>
      <c r="D1739" s="9" t="s">
        <v>67</v>
      </c>
      <c r="E1739" s="11">
        <v>17393.0</v>
      </c>
      <c r="F1739" s="11">
        <v>34759.0</v>
      </c>
    </row>
    <row r="1740">
      <c r="A1740" s="5">
        <v>1739.0</v>
      </c>
      <c r="B1740" s="5" t="s">
        <v>80</v>
      </c>
      <c r="C1740" s="12" t="s">
        <v>212</v>
      </c>
      <c r="D1740" s="9" t="s">
        <v>72</v>
      </c>
      <c r="E1740" s="11">
        <v>16847.0</v>
      </c>
      <c r="F1740" s="11">
        <v>33938.0</v>
      </c>
    </row>
    <row r="1741">
      <c r="A1741" s="5">
        <v>1740.0</v>
      </c>
      <c r="B1741" s="5" t="s">
        <v>80</v>
      </c>
      <c r="C1741" s="12" t="s">
        <v>212</v>
      </c>
      <c r="D1741" s="9" t="s">
        <v>67</v>
      </c>
      <c r="E1741" s="11">
        <v>17119.0</v>
      </c>
      <c r="F1741" s="11">
        <v>33201.0</v>
      </c>
    </row>
    <row r="1742">
      <c r="A1742" s="5">
        <v>1741.0</v>
      </c>
      <c r="B1742" s="5" t="s">
        <v>80</v>
      </c>
      <c r="C1742" s="12" t="s">
        <v>212</v>
      </c>
      <c r="D1742" s="9" t="s">
        <v>67</v>
      </c>
      <c r="E1742" s="11">
        <v>17120.0</v>
      </c>
      <c r="F1742" s="11">
        <v>34510.0</v>
      </c>
    </row>
    <row r="1743">
      <c r="A1743" s="5">
        <v>1742.0</v>
      </c>
      <c r="B1743" s="5" t="s">
        <v>80</v>
      </c>
      <c r="C1743" s="12" t="s">
        <v>212</v>
      </c>
      <c r="D1743" s="9" t="s">
        <v>72</v>
      </c>
      <c r="E1743" s="11">
        <v>17056.0</v>
      </c>
      <c r="F1743" s="11">
        <v>32897.0</v>
      </c>
    </row>
    <row r="1744">
      <c r="A1744" s="5">
        <v>1743.0</v>
      </c>
      <c r="B1744" s="5" t="s">
        <v>84</v>
      </c>
      <c r="C1744" s="12" t="s">
        <v>213</v>
      </c>
      <c r="D1744" s="9" t="s">
        <v>60</v>
      </c>
      <c r="E1744" s="8"/>
      <c r="F1744" s="8"/>
    </row>
    <row r="1745">
      <c r="A1745" s="5">
        <v>1744.0</v>
      </c>
      <c r="B1745" s="5" t="s">
        <v>84</v>
      </c>
      <c r="C1745" s="12" t="s">
        <v>213</v>
      </c>
      <c r="D1745" s="9" t="s">
        <v>62</v>
      </c>
      <c r="E1745" s="11">
        <v>3038.0</v>
      </c>
      <c r="F1745" s="8"/>
    </row>
    <row r="1746">
      <c r="A1746" s="5">
        <v>1745.0</v>
      </c>
      <c r="B1746" s="5" t="s">
        <v>84</v>
      </c>
      <c r="C1746" s="12" t="s">
        <v>213</v>
      </c>
      <c r="D1746" s="9" t="s">
        <v>63</v>
      </c>
      <c r="E1746" s="11">
        <v>2951.0</v>
      </c>
      <c r="F1746" s="11">
        <v>4547.0</v>
      </c>
    </row>
    <row r="1747">
      <c r="A1747" s="5">
        <v>1746.0</v>
      </c>
      <c r="B1747" s="5" t="s">
        <v>84</v>
      </c>
      <c r="C1747" s="12" t="s">
        <v>213</v>
      </c>
      <c r="D1747" s="9" t="s">
        <v>64</v>
      </c>
      <c r="E1747" s="11">
        <v>2903.0</v>
      </c>
      <c r="F1747" s="11">
        <v>4496.0</v>
      </c>
    </row>
    <row r="1748">
      <c r="A1748" s="5">
        <v>1747.0</v>
      </c>
      <c r="B1748" s="5" t="s">
        <v>84</v>
      </c>
      <c r="C1748" s="12" t="s">
        <v>213</v>
      </c>
      <c r="D1748" s="9" t="s">
        <v>65</v>
      </c>
      <c r="E1748" s="11">
        <v>2903.0</v>
      </c>
      <c r="F1748" s="11">
        <v>4386.0</v>
      </c>
    </row>
    <row r="1749">
      <c r="A1749" s="5">
        <v>1748.0</v>
      </c>
      <c r="B1749" s="5" t="s">
        <v>84</v>
      </c>
      <c r="C1749" s="12" t="s">
        <v>213</v>
      </c>
      <c r="D1749" s="9" t="s">
        <v>69</v>
      </c>
      <c r="E1749" s="11">
        <v>2871.0</v>
      </c>
      <c r="F1749" s="11">
        <v>4595.0</v>
      </c>
    </row>
    <row r="1750">
      <c r="A1750" s="5">
        <v>1749.0</v>
      </c>
      <c r="B1750" s="5" t="s">
        <v>84</v>
      </c>
      <c r="C1750" s="12" t="s">
        <v>213</v>
      </c>
      <c r="D1750" s="9" t="s">
        <v>73</v>
      </c>
      <c r="E1750" s="11">
        <v>2824.0</v>
      </c>
      <c r="F1750" s="11">
        <v>4466.0</v>
      </c>
    </row>
    <row r="1751">
      <c r="A1751" s="5">
        <v>1750.0</v>
      </c>
      <c r="B1751" s="5" t="s">
        <v>84</v>
      </c>
      <c r="C1751" s="12" t="s">
        <v>213</v>
      </c>
      <c r="D1751" s="9" t="s">
        <v>70</v>
      </c>
      <c r="E1751" s="11">
        <v>2836.0</v>
      </c>
      <c r="F1751" s="11">
        <v>4320.0</v>
      </c>
    </row>
    <row r="1752">
      <c r="A1752" s="5">
        <v>1751.0</v>
      </c>
      <c r="B1752" s="5" t="s">
        <v>84</v>
      </c>
      <c r="C1752" s="12" t="s">
        <v>213</v>
      </c>
      <c r="D1752" s="9" t="s">
        <v>67</v>
      </c>
      <c r="E1752" s="11">
        <v>2821.0</v>
      </c>
      <c r="F1752" s="11">
        <v>4426.0</v>
      </c>
    </row>
    <row r="1753">
      <c r="A1753" s="5">
        <v>1752.0</v>
      </c>
      <c r="B1753" s="5" t="s">
        <v>84</v>
      </c>
      <c r="C1753" s="12" t="s">
        <v>213</v>
      </c>
      <c r="D1753" s="9" t="s">
        <v>72</v>
      </c>
      <c r="E1753" s="11">
        <v>2758.0</v>
      </c>
      <c r="F1753" s="11">
        <v>4411.0</v>
      </c>
    </row>
    <row r="1754">
      <c r="A1754" s="5">
        <v>1753.0</v>
      </c>
      <c r="B1754" s="5" t="s">
        <v>84</v>
      </c>
      <c r="C1754" s="12" t="s">
        <v>213</v>
      </c>
      <c r="D1754" s="9" t="s">
        <v>67</v>
      </c>
      <c r="E1754" s="11">
        <v>2636.0</v>
      </c>
      <c r="F1754" s="11">
        <v>4037.0</v>
      </c>
    </row>
    <row r="1755">
      <c r="A1755" s="5">
        <v>1754.0</v>
      </c>
      <c r="B1755" s="5" t="s">
        <v>84</v>
      </c>
      <c r="C1755" s="12" t="s">
        <v>213</v>
      </c>
      <c r="D1755" s="9" t="s">
        <v>67</v>
      </c>
      <c r="E1755" s="11">
        <v>2544.0</v>
      </c>
      <c r="F1755" s="11">
        <v>3964.0</v>
      </c>
    </row>
    <row r="1756">
      <c r="A1756" s="5">
        <v>1755.0</v>
      </c>
      <c r="B1756" s="5" t="s">
        <v>84</v>
      </c>
      <c r="C1756" s="12" t="s">
        <v>213</v>
      </c>
      <c r="D1756" s="9" t="s">
        <v>72</v>
      </c>
      <c r="E1756" s="11">
        <v>2522.0</v>
      </c>
      <c r="F1756" s="11">
        <v>3762.0</v>
      </c>
    </row>
    <row r="1757">
      <c r="A1757" s="5">
        <v>1756.0</v>
      </c>
      <c r="B1757" s="5" t="s">
        <v>77</v>
      </c>
      <c r="C1757" s="12" t="s">
        <v>214</v>
      </c>
      <c r="D1757" s="9" t="s">
        <v>60</v>
      </c>
      <c r="E1757" s="8"/>
      <c r="F1757" s="8"/>
    </row>
    <row r="1758">
      <c r="A1758" s="5">
        <v>1757.0</v>
      </c>
      <c r="B1758" s="5" t="s">
        <v>77</v>
      </c>
      <c r="C1758" s="12" t="s">
        <v>214</v>
      </c>
      <c r="D1758" s="9" t="s">
        <v>62</v>
      </c>
      <c r="E1758" s="8"/>
      <c r="F1758" s="8"/>
    </row>
    <row r="1759">
      <c r="A1759" s="5">
        <v>1758.0</v>
      </c>
      <c r="B1759" s="5" t="s">
        <v>77</v>
      </c>
      <c r="C1759" s="12" t="s">
        <v>214</v>
      </c>
      <c r="D1759" s="9" t="s">
        <v>63</v>
      </c>
      <c r="E1759" s="8"/>
      <c r="F1759" s="11">
        <v>1412.0</v>
      </c>
    </row>
    <row r="1760">
      <c r="A1760" s="5">
        <v>1759.0</v>
      </c>
      <c r="B1760" s="5" t="s">
        <v>77</v>
      </c>
      <c r="C1760" s="12" t="s">
        <v>214</v>
      </c>
      <c r="D1760" s="9" t="s">
        <v>64</v>
      </c>
      <c r="E1760" s="8"/>
      <c r="F1760" s="11">
        <v>1085.0</v>
      </c>
    </row>
    <row r="1761">
      <c r="A1761" s="5">
        <v>1760.0</v>
      </c>
      <c r="B1761" s="5" t="s">
        <v>77</v>
      </c>
      <c r="C1761" s="12" t="s">
        <v>214</v>
      </c>
      <c r="D1761" s="9" t="s">
        <v>65</v>
      </c>
      <c r="E1761" s="8"/>
      <c r="F1761" s="11">
        <v>917.0</v>
      </c>
    </row>
    <row r="1762">
      <c r="A1762" s="5">
        <v>1761.0</v>
      </c>
      <c r="B1762" s="5" t="s">
        <v>77</v>
      </c>
      <c r="C1762" s="12" t="s">
        <v>214</v>
      </c>
      <c r="D1762" s="9" t="s">
        <v>69</v>
      </c>
      <c r="E1762" s="8"/>
      <c r="F1762" s="11">
        <v>821.0</v>
      </c>
    </row>
    <row r="1763">
      <c r="A1763" s="5">
        <v>1762.0</v>
      </c>
      <c r="B1763" s="5" t="s">
        <v>77</v>
      </c>
      <c r="C1763" s="12" t="s">
        <v>214</v>
      </c>
      <c r="D1763" s="9" t="s">
        <v>73</v>
      </c>
      <c r="E1763" s="8"/>
      <c r="F1763" s="11">
        <v>807.0</v>
      </c>
    </row>
    <row r="1764">
      <c r="A1764" s="5">
        <v>1763.0</v>
      </c>
      <c r="B1764" s="5" t="s">
        <v>77</v>
      </c>
      <c r="C1764" s="12" t="s">
        <v>214</v>
      </c>
      <c r="D1764" s="9" t="s">
        <v>70</v>
      </c>
      <c r="E1764" s="8"/>
      <c r="F1764" s="11">
        <v>829.0</v>
      </c>
    </row>
    <row r="1765">
      <c r="A1765" s="5">
        <v>1764.0</v>
      </c>
      <c r="B1765" s="5" t="s">
        <v>77</v>
      </c>
      <c r="C1765" s="12" t="s">
        <v>214</v>
      </c>
      <c r="D1765" s="9" t="s">
        <v>67</v>
      </c>
      <c r="E1765" s="8"/>
      <c r="F1765" s="11">
        <v>964.0</v>
      </c>
    </row>
    <row r="1766">
      <c r="A1766" s="5">
        <v>1765.0</v>
      </c>
      <c r="B1766" s="5" t="s">
        <v>77</v>
      </c>
      <c r="C1766" s="12" t="s">
        <v>214</v>
      </c>
      <c r="D1766" s="9" t="s">
        <v>72</v>
      </c>
      <c r="E1766" s="8"/>
      <c r="F1766" s="11">
        <v>880.0</v>
      </c>
    </row>
    <row r="1767">
      <c r="A1767" s="5">
        <v>1766.0</v>
      </c>
      <c r="B1767" s="5" t="s">
        <v>77</v>
      </c>
      <c r="C1767" s="12" t="s">
        <v>214</v>
      </c>
      <c r="D1767" s="9" t="s">
        <v>67</v>
      </c>
      <c r="E1767" s="8"/>
      <c r="F1767" s="11">
        <v>814.0</v>
      </c>
    </row>
    <row r="1768">
      <c r="A1768" s="5">
        <v>1767.0</v>
      </c>
      <c r="B1768" s="5" t="s">
        <v>77</v>
      </c>
      <c r="C1768" s="12" t="s">
        <v>214</v>
      </c>
      <c r="D1768" s="9" t="s">
        <v>67</v>
      </c>
      <c r="E1768" s="8"/>
      <c r="F1768" s="11">
        <v>759.0</v>
      </c>
    </row>
    <row r="1769">
      <c r="A1769" s="5">
        <v>1768.0</v>
      </c>
      <c r="B1769" s="5" t="s">
        <v>77</v>
      </c>
      <c r="C1769" s="12" t="s">
        <v>214</v>
      </c>
      <c r="D1769" s="9" t="s">
        <v>72</v>
      </c>
      <c r="E1769" s="8"/>
      <c r="F1769" s="11">
        <v>796.0</v>
      </c>
    </row>
    <row r="1770">
      <c r="A1770" s="5">
        <v>1769.0</v>
      </c>
      <c r="B1770" s="5" t="s">
        <v>77</v>
      </c>
      <c r="C1770" s="12" t="s">
        <v>215</v>
      </c>
      <c r="D1770" s="9" t="s">
        <v>60</v>
      </c>
      <c r="E1770" s="8"/>
      <c r="F1770" s="8"/>
    </row>
    <row r="1771">
      <c r="A1771" s="5">
        <v>1770.0</v>
      </c>
      <c r="B1771" s="5" t="s">
        <v>77</v>
      </c>
      <c r="C1771" s="12" t="s">
        <v>215</v>
      </c>
      <c r="D1771" s="9" t="s">
        <v>62</v>
      </c>
      <c r="E1771" s="11">
        <v>118325.0</v>
      </c>
      <c r="F1771" s="8"/>
    </row>
    <row r="1772">
      <c r="A1772" s="5">
        <v>1771.0</v>
      </c>
      <c r="B1772" s="5" t="s">
        <v>77</v>
      </c>
      <c r="C1772" s="12" t="s">
        <v>215</v>
      </c>
      <c r="D1772" s="9" t="s">
        <v>63</v>
      </c>
      <c r="E1772" s="11">
        <v>115138.0</v>
      </c>
      <c r="F1772" s="11">
        <v>78910.0</v>
      </c>
    </row>
    <row r="1773">
      <c r="A1773" s="5">
        <v>1772.0</v>
      </c>
      <c r="B1773" s="5" t="s">
        <v>77</v>
      </c>
      <c r="C1773" s="12" t="s">
        <v>215</v>
      </c>
      <c r="D1773" s="9" t="s">
        <v>64</v>
      </c>
      <c r="E1773" s="11">
        <v>109255.0</v>
      </c>
      <c r="F1773" s="11">
        <v>71719.0</v>
      </c>
    </row>
    <row r="1774">
      <c r="A1774" s="5">
        <v>1773.0</v>
      </c>
      <c r="B1774" s="5" t="s">
        <v>77</v>
      </c>
      <c r="C1774" s="12" t="s">
        <v>215</v>
      </c>
      <c r="D1774" s="9" t="s">
        <v>65</v>
      </c>
      <c r="E1774" s="11">
        <v>111225.0</v>
      </c>
      <c r="F1774" s="11">
        <v>92621.0</v>
      </c>
    </row>
    <row r="1775">
      <c r="A1775" s="5">
        <v>1774.0</v>
      </c>
      <c r="B1775" s="5" t="s">
        <v>77</v>
      </c>
      <c r="C1775" s="12" t="s">
        <v>215</v>
      </c>
      <c r="D1775" s="9" t="s">
        <v>69</v>
      </c>
      <c r="E1775" s="11">
        <v>107683.0</v>
      </c>
      <c r="F1775" s="11">
        <v>95210.0</v>
      </c>
    </row>
    <row r="1776">
      <c r="A1776" s="5">
        <v>1775.0</v>
      </c>
      <c r="B1776" s="5" t="s">
        <v>77</v>
      </c>
      <c r="C1776" s="12" t="s">
        <v>215</v>
      </c>
      <c r="D1776" s="9" t="s">
        <v>73</v>
      </c>
      <c r="E1776" s="11">
        <v>107005.0</v>
      </c>
      <c r="F1776" s="11">
        <v>98514.0</v>
      </c>
    </row>
    <row r="1777">
      <c r="A1777" s="5">
        <v>1776.0</v>
      </c>
      <c r="B1777" s="5" t="s">
        <v>77</v>
      </c>
      <c r="C1777" s="12" t="s">
        <v>215</v>
      </c>
      <c r="D1777" s="9" t="s">
        <v>70</v>
      </c>
      <c r="E1777" s="11">
        <v>106509.0</v>
      </c>
      <c r="F1777" s="11">
        <v>104697.0</v>
      </c>
    </row>
    <row r="1778">
      <c r="A1778" s="5">
        <v>1777.0</v>
      </c>
      <c r="B1778" s="5" t="s">
        <v>77</v>
      </c>
      <c r="C1778" s="12" t="s">
        <v>215</v>
      </c>
      <c r="D1778" s="9" t="s">
        <v>68</v>
      </c>
      <c r="E1778" s="11">
        <v>101751.0</v>
      </c>
      <c r="F1778" s="11">
        <v>97047.0</v>
      </c>
    </row>
    <row r="1779">
      <c r="A1779" s="5">
        <v>1778.0</v>
      </c>
      <c r="B1779" s="5" t="s">
        <v>77</v>
      </c>
      <c r="C1779" s="12" t="s">
        <v>215</v>
      </c>
      <c r="D1779" s="9" t="s">
        <v>72</v>
      </c>
      <c r="E1779" s="11">
        <v>99007.0</v>
      </c>
      <c r="F1779" s="11">
        <v>93138.0</v>
      </c>
    </row>
    <row r="1780">
      <c r="A1780" s="5">
        <v>1779.0</v>
      </c>
      <c r="B1780" s="5" t="s">
        <v>77</v>
      </c>
      <c r="C1780" s="12" t="s">
        <v>215</v>
      </c>
      <c r="D1780" s="9" t="s">
        <v>67</v>
      </c>
      <c r="E1780" s="11">
        <v>97389.0</v>
      </c>
      <c r="F1780" s="11">
        <v>98125.0</v>
      </c>
    </row>
    <row r="1781">
      <c r="A1781" s="5">
        <v>1780.0</v>
      </c>
      <c r="B1781" s="5" t="s">
        <v>77</v>
      </c>
      <c r="C1781" s="12" t="s">
        <v>215</v>
      </c>
      <c r="D1781" s="9" t="s">
        <v>67</v>
      </c>
      <c r="E1781" s="11">
        <v>94633.0</v>
      </c>
      <c r="F1781" s="11">
        <v>83351.0</v>
      </c>
    </row>
    <row r="1782">
      <c r="A1782" s="5">
        <v>1781.0</v>
      </c>
      <c r="B1782" s="5" t="s">
        <v>77</v>
      </c>
      <c r="C1782" s="12" t="s">
        <v>215</v>
      </c>
      <c r="D1782" s="9" t="s">
        <v>72</v>
      </c>
      <c r="E1782" s="11">
        <v>90596.0</v>
      </c>
      <c r="F1782" s="11">
        <v>79182.0</v>
      </c>
    </row>
    <row r="1783">
      <c r="A1783" s="5">
        <v>1782.0</v>
      </c>
      <c r="B1783" s="5" t="s">
        <v>61</v>
      </c>
      <c r="C1783" s="12" t="s">
        <v>216</v>
      </c>
      <c r="D1783" s="9" t="s">
        <v>60</v>
      </c>
      <c r="E1783" s="8"/>
      <c r="F1783" s="8"/>
    </row>
    <row r="1784">
      <c r="A1784" s="5">
        <v>1783.0</v>
      </c>
      <c r="B1784" s="5" t="s">
        <v>61</v>
      </c>
      <c r="C1784" s="12" t="s">
        <v>216</v>
      </c>
      <c r="D1784" s="9" t="s">
        <v>62</v>
      </c>
      <c r="E1784" s="11">
        <v>19037.0</v>
      </c>
      <c r="F1784" s="8"/>
    </row>
    <row r="1785">
      <c r="A1785" s="5">
        <v>1784.0</v>
      </c>
      <c r="B1785" s="5" t="s">
        <v>61</v>
      </c>
      <c r="C1785" s="12" t="s">
        <v>216</v>
      </c>
      <c r="D1785" s="9" t="s">
        <v>63</v>
      </c>
      <c r="E1785" s="11">
        <v>18794.0</v>
      </c>
      <c r="F1785" s="11">
        <v>71624.0</v>
      </c>
    </row>
    <row r="1786">
      <c r="A1786" s="5">
        <v>1785.0</v>
      </c>
      <c r="B1786" s="5" t="s">
        <v>61</v>
      </c>
      <c r="C1786" s="12" t="s">
        <v>216</v>
      </c>
      <c r="D1786" s="9" t="s">
        <v>64</v>
      </c>
      <c r="E1786" s="11">
        <v>19358.0</v>
      </c>
      <c r="F1786" s="11">
        <v>74686.0</v>
      </c>
    </row>
    <row r="1787">
      <c r="A1787" s="5">
        <v>1786.0</v>
      </c>
      <c r="B1787" s="5" t="s">
        <v>61</v>
      </c>
      <c r="C1787" s="12" t="s">
        <v>216</v>
      </c>
      <c r="D1787" s="9" t="s">
        <v>65</v>
      </c>
      <c r="E1787" s="11">
        <v>20164.0</v>
      </c>
      <c r="F1787" s="11">
        <v>78081.0</v>
      </c>
    </row>
    <row r="1788">
      <c r="A1788" s="5">
        <v>1787.0</v>
      </c>
      <c r="B1788" s="5" t="s">
        <v>61</v>
      </c>
      <c r="C1788" s="12" t="s">
        <v>216</v>
      </c>
      <c r="D1788" s="9" t="s">
        <v>69</v>
      </c>
      <c r="E1788" s="11">
        <v>18300.0</v>
      </c>
      <c r="F1788" s="11">
        <v>70370.0</v>
      </c>
    </row>
    <row r="1789">
      <c r="A1789" s="5">
        <v>1788.0</v>
      </c>
      <c r="B1789" s="5" t="s">
        <v>61</v>
      </c>
      <c r="C1789" s="12" t="s">
        <v>216</v>
      </c>
      <c r="D1789" s="9" t="s">
        <v>73</v>
      </c>
      <c r="E1789" s="11">
        <v>21544.0</v>
      </c>
      <c r="F1789" s="11">
        <v>84557.0</v>
      </c>
    </row>
    <row r="1790">
      <c r="A1790" s="5">
        <v>1789.0</v>
      </c>
      <c r="B1790" s="5" t="s">
        <v>61</v>
      </c>
      <c r="C1790" s="12" t="s">
        <v>216</v>
      </c>
      <c r="D1790" s="9" t="s">
        <v>70</v>
      </c>
      <c r="E1790" s="11">
        <v>21331.0</v>
      </c>
      <c r="F1790" s="11">
        <v>83014.0</v>
      </c>
    </row>
    <row r="1791">
      <c r="A1791" s="5">
        <v>1790.0</v>
      </c>
      <c r="B1791" s="5" t="s">
        <v>61</v>
      </c>
      <c r="C1791" s="12" t="s">
        <v>216</v>
      </c>
      <c r="D1791" s="9" t="s">
        <v>68</v>
      </c>
      <c r="E1791" s="11">
        <v>20494.0</v>
      </c>
      <c r="F1791" s="11">
        <v>79482.0</v>
      </c>
    </row>
    <row r="1792">
      <c r="A1792" s="5">
        <v>1791.0</v>
      </c>
      <c r="B1792" s="5" t="s">
        <v>61</v>
      </c>
      <c r="C1792" s="12" t="s">
        <v>216</v>
      </c>
      <c r="D1792" s="9" t="s">
        <v>72</v>
      </c>
      <c r="E1792" s="11">
        <v>20027.0</v>
      </c>
      <c r="F1792" s="11">
        <v>77777.0</v>
      </c>
    </row>
    <row r="1793">
      <c r="A1793" s="5">
        <v>1792.0</v>
      </c>
      <c r="B1793" s="5" t="s">
        <v>61</v>
      </c>
      <c r="C1793" s="12" t="s">
        <v>216</v>
      </c>
      <c r="D1793" s="9" t="s">
        <v>67</v>
      </c>
      <c r="E1793" s="11">
        <v>19566.0</v>
      </c>
      <c r="F1793" s="11">
        <v>76109.0</v>
      </c>
    </row>
    <row r="1794">
      <c r="A1794" s="5">
        <v>1793.0</v>
      </c>
      <c r="B1794" s="5" t="s">
        <v>61</v>
      </c>
      <c r="C1794" s="12" t="s">
        <v>216</v>
      </c>
      <c r="D1794" s="9" t="s">
        <v>67</v>
      </c>
      <c r="E1794" s="11">
        <v>20369.0</v>
      </c>
      <c r="F1794" s="11">
        <v>79475.0</v>
      </c>
    </row>
    <row r="1795">
      <c r="A1795" s="5">
        <v>1794.0</v>
      </c>
      <c r="B1795" s="5" t="s">
        <v>61</v>
      </c>
      <c r="C1795" s="12" t="s">
        <v>216</v>
      </c>
      <c r="D1795" s="9" t="s">
        <v>72</v>
      </c>
      <c r="E1795" s="11">
        <v>19717.0</v>
      </c>
      <c r="F1795" s="11">
        <v>76699.0</v>
      </c>
    </row>
    <row r="1796">
      <c r="A1796" s="5">
        <v>1795.0</v>
      </c>
      <c r="B1796" s="5" t="s">
        <v>75</v>
      </c>
      <c r="C1796" s="12" t="s">
        <v>217</v>
      </c>
      <c r="D1796" s="9" t="s">
        <v>60</v>
      </c>
      <c r="E1796" s="8"/>
      <c r="F1796" s="8"/>
    </row>
    <row r="1797">
      <c r="A1797" s="5">
        <v>1796.0</v>
      </c>
      <c r="B1797" s="5" t="s">
        <v>75</v>
      </c>
      <c r="C1797" s="12" t="s">
        <v>217</v>
      </c>
      <c r="D1797" s="9" t="s">
        <v>62</v>
      </c>
      <c r="E1797" s="11">
        <v>3122.0</v>
      </c>
      <c r="F1797" s="8"/>
    </row>
    <row r="1798">
      <c r="A1798" s="5">
        <v>1797.0</v>
      </c>
      <c r="B1798" s="5" t="s">
        <v>75</v>
      </c>
      <c r="C1798" s="12" t="s">
        <v>217</v>
      </c>
      <c r="D1798" s="9" t="s">
        <v>63</v>
      </c>
      <c r="E1798" s="11">
        <v>2883.0</v>
      </c>
      <c r="F1798" s="11">
        <v>10873.0</v>
      </c>
    </row>
    <row r="1799">
      <c r="A1799" s="5">
        <v>1798.0</v>
      </c>
      <c r="B1799" s="5" t="s">
        <v>75</v>
      </c>
      <c r="C1799" s="12" t="s">
        <v>217</v>
      </c>
      <c r="D1799" s="9" t="s">
        <v>64</v>
      </c>
      <c r="E1799" s="11">
        <v>2811.0</v>
      </c>
      <c r="F1799" s="11">
        <v>11408.0</v>
      </c>
    </row>
    <row r="1800">
      <c r="A1800" s="5">
        <v>1799.0</v>
      </c>
      <c r="B1800" s="5" t="s">
        <v>75</v>
      </c>
      <c r="C1800" s="12" t="s">
        <v>217</v>
      </c>
      <c r="D1800" s="9" t="s">
        <v>65</v>
      </c>
      <c r="E1800" s="11">
        <v>3012.0</v>
      </c>
      <c r="F1800" s="11">
        <v>11848.0</v>
      </c>
    </row>
    <row r="1801">
      <c r="A1801" s="5">
        <v>1800.0</v>
      </c>
      <c r="B1801" s="5" t="s">
        <v>75</v>
      </c>
      <c r="C1801" s="12" t="s">
        <v>217</v>
      </c>
      <c r="D1801" s="9" t="s">
        <v>69</v>
      </c>
      <c r="E1801" s="11">
        <v>3045.0</v>
      </c>
      <c r="F1801" s="11">
        <v>11379.0</v>
      </c>
    </row>
    <row r="1802">
      <c r="A1802" s="5">
        <v>1801.0</v>
      </c>
      <c r="B1802" s="5" t="s">
        <v>75</v>
      </c>
      <c r="C1802" s="12" t="s">
        <v>217</v>
      </c>
      <c r="D1802" s="9" t="s">
        <v>73</v>
      </c>
      <c r="E1802" s="11">
        <v>2924.0</v>
      </c>
      <c r="F1802" s="11">
        <v>10939.0</v>
      </c>
    </row>
    <row r="1803">
      <c r="A1803" s="5">
        <v>1802.0</v>
      </c>
      <c r="B1803" s="5" t="s">
        <v>75</v>
      </c>
      <c r="C1803" s="12" t="s">
        <v>217</v>
      </c>
      <c r="D1803" s="9" t="s">
        <v>70</v>
      </c>
      <c r="E1803" s="11">
        <v>2842.0</v>
      </c>
      <c r="F1803" s="11">
        <v>11280.0</v>
      </c>
    </row>
    <row r="1804">
      <c r="A1804" s="5">
        <v>1803.0</v>
      </c>
      <c r="B1804" s="5" t="s">
        <v>75</v>
      </c>
      <c r="C1804" s="12" t="s">
        <v>217</v>
      </c>
      <c r="D1804" s="9" t="s">
        <v>68</v>
      </c>
      <c r="E1804" s="11">
        <v>2756.0</v>
      </c>
      <c r="F1804" s="11">
        <v>11192.0</v>
      </c>
    </row>
    <row r="1805">
      <c r="A1805" s="5">
        <v>1804.0</v>
      </c>
      <c r="B1805" s="5" t="s">
        <v>75</v>
      </c>
      <c r="C1805" s="12" t="s">
        <v>217</v>
      </c>
      <c r="D1805" s="9" t="s">
        <v>72</v>
      </c>
      <c r="E1805" s="11">
        <v>2776.0</v>
      </c>
      <c r="F1805" s="11">
        <v>11309.0</v>
      </c>
    </row>
    <row r="1806">
      <c r="A1806" s="5">
        <v>1805.0</v>
      </c>
      <c r="B1806" s="5" t="s">
        <v>75</v>
      </c>
      <c r="C1806" s="12" t="s">
        <v>217</v>
      </c>
      <c r="D1806" s="9" t="s">
        <v>67</v>
      </c>
      <c r="E1806" s="11">
        <v>2527.0</v>
      </c>
      <c r="F1806" s="11">
        <v>10935.0</v>
      </c>
    </row>
    <row r="1807">
      <c r="A1807" s="5">
        <v>1806.0</v>
      </c>
      <c r="B1807" s="5" t="s">
        <v>75</v>
      </c>
      <c r="C1807" s="12" t="s">
        <v>217</v>
      </c>
      <c r="D1807" s="9" t="s">
        <v>67</v>
      </c>
      <c r="E1807" s="11">
        <v>2577.0</v>
      </c>
      <c r="F1807" s="11">
        <v>11998.0</v>
      </c>
    </row>
    <row r="1808">
      <c r="A1808" s="5">
        <v>1807.0</v>
      </c>
      <c r="B1808" s="5" t="s">
        <v>75</v>
      </c>
      <c r="C1808" s="12" t="s">
        <v>217</v>
      </c>
      <c r="D1808" s="9" t="s">
        <v>72</v>
      </c>
      <c r="E1808" s="11">
        <v>2668.0</v>
      </c>
      <c r="F1808" s="11">
        <v>12064.0</v>
      </c>
    </row>
    <row r="1809">
      <c r="A1809" s="5">
        <v>1808.0</v>
      </c>
      <c r="B1809" s="5" t="s">
        <v>75</v>
      </c>
      <c r="C1809" s="12" t="s">
        <v>218</v>
      </c>
      <c r="D1809" s="9" t="s">
        <v>60</v>
      </c>
      <c r="E1809" s="11">
        <v>29818.0</v>
      </c>
      <c r="F1809" s="8"/>
    </row>
    <row r="1810">
      <c r="A1810" s="5">
        <v>1809.0</v>
      </c>
      <c r="B1810" s="5" t="s">
        <v>75</v>
      </c>
      <c r="C1810" s="12" t="s">
        <v>218</v>
      </c>
      <c r="D1810" s="9" t="s">
        <v>62</v>
      </c>
      <c r="E1810" s="11">
        <v>28137.0</v>
      </c>
      <c r="F1810" s="8"/>
    </row>
    <row r="1811">
      <c r="A1811" s="5">
        <v>1810.0</v>
      </c>
      <c r="B1811" s="5" t="s">
        <v>75</v>
      </c>
      <c r="C1811" s="12" t="s">
        <v>218</v>
      </c>
      <c r="D1811" s="9" t="s">
        <v>63</v>
      </c>
      <c r="E1811" s="11">
        <v>32338.0</v>
      </c>
      <c r="F1811" s="11">
        <v>57187.0</v>
      </c>
    </row>
    <row r="1812">
      <c r="A1812" s="5">
        <v>1811.0</v>
      </c>
      <c r="B1812" s="5" t="s">
        <v>75</v>
      </c>
      <c r="C1812" s="12" t="s">
        <v>218</v>
      </c>
      <c r="D1812" s="9" t="s">
        <v>64</v>
      </c>
      <c r="E1812" s="11">
        <v>29775.0</v>
      </c>
      <c r="F1812" s="11">
        <v>47077.0</v>
      </c>
    </row>
    <row r="1813">
      <c r="A1813" s="5">
        <v>1812.0</v>
      </c>
      <c r="B1813" s="5" t="s">
        <v>75</v>
      </c>
      <c r="C1813" s="12" t="s">
        <v>218</v>
      </c>
      <c r="D1813" s="9" t="s">
        <v>65</v>
      </c>
      <c r="E1813" s="11">
        <v>29805.0</v>
      </c>
      <c r="F1813" s="11">
        <v>50326.0</v>
      </c>
    </row>
    <row r="1814">
      <c r="A1814" s="5">
        <v>1813.0</v>
      </c>
      <c r="B1814" s="5" t="s">
        <v>75</v>
      </c>
      <c r="C1814" s="12" t="s">
        <v>218</v>
      </c>
      <c r="D1814" s="9" t="s">
        <v>69</v>
      </c>
      <c r="E1814" s="11">
        <v>27547.0</v>
      </c>
      <c r="F1814" s="11">
        <v>45089.0</v>
      </c>
    </row>
    <row r="1815">
      <c r="A1815" s="5">
        <v>1814.0</v>
      </c>
      <c r="B1815" s="5" t="s">
        <v>75</v>
      </c>
      <c r="C1815" s="12" t="s">
        <v>218</v>
      </c>
      <c r="D1815" s="9" t="s">
        <v>73</v>
      </c>
      <c r="E1815" s="11">
        <v>27129.0</v>
      </c>
      <c r="F1815" s="11">
        <v>44257.0</v>
      </c>
    </row>
    <row r="1816">
      <c r="A1816" s="5">
        <v>1815.0</v>
      </c>
      <c r="B1816" s="5" t="s">
        <v>75</v>
      </c>
      <c r="C1816" s="12" t="s">
        <v>218</v>
      </c>
      <c r="D1816" s="9" t="s">
        <v>70</v>
      </c>
      <c r="E1816" s="11">
        <v>26771.0</v>
      </c>
      <c r="F1816" s="11">
        <v>42438.0</v>
      </c>
    </row>
    <row r="1817">
      <c r="A1817" s="5">
        <v>1816.0</v>
      </c>
      <c r="B1817" s="5" t="s">
        <v>75</v>
      </c>
      <c r="C1817" s="12" t="s">
        <v>218</v>
      </c>
      <c r="D1817" s="9" t="s">
        <v>68</v>
      </c>
      <c r="E1817" s="11">
        <v>26433.0</v>
      </c>
      <c r="F1817" s="11">
        <v>42666.0</v>
      </c>
    </row>
    <row r="1818">
      <c r="A1818" s="5">
        <v>1817.0</v>
      </c>
      <c r="B1818" s="5" t="s">
        <v>75</v>
      </c>
      <c r="C1818" s="12" t="s">
        <v>218</v>
      </c>
      <c r="D1818" s="9" t="s">
        <v>72</v>
      </c>
      <c r="E1818" s="11">
        <v>27020.0</v>
      </c>
      <c r="F1818" s="11">
        <v>42625.0</v>
      </c>
    </row>
    <row r="1819">
      <c r="A1819" s="5">
        <v>1818.0</v>
      </c>
      <c r="B1819" s="5" t="s">
        <v>75</v>
      </c>
      <c r="C1819" s="12" t="s">
        <v>218</v>
      </c>
      <c r="D1819" s="9" t="s">
        <v>67</v>
      </c>
      <c r="E1819" s="11">
        <v>24912.0</v>
      </c>
      <c r="F1819" s="11">
        <v>37429.0</v>
      </c>
    </row>
    <row r="1820">
      <c r="A1820" s="5">
        <v>1819.0</v>
      </c>
      <c r="B1820" s="5" t="s">
        <v>75</v>
      </c>
      <c r="C1820" s="12" t="s">
        <v>218</v>
      </c>
      <c r="D1820" s="9" t="s">
        <v>67</v>
      </c>
      <c r="E1820" s="11">
        <v>26823.0</v>
      </c>
      <c r="F1820" s="11">
        <v>41092.0</v>
      </c>
    </row>
    <row r="1821">
      <c r="A1821" s="5">
        <v>1820.0</v>
      </c>
      <c r="B1821" s="5" t="s">
        <v>75</v>
      </c>
      <c r="C1821" s="12" t="s">
        <v>218</v>
      </c>
      <c r="D1821" s="9" t="s">
        <v>72</v>
      </c>
      <c r="E1821" s="11">
        <v>26092.0</v>
      </c>
      <c r="F1821" s="11">
        <v>38808.0</v>
      </c>
    </row>
    <row r="1822">
      <c r="A1822" s="5">
        <v>1821.0</v>
      </c>
      <c r="B1822" s="5" t="s">
        <v>93</v>
      </c>
      <c r="C1822" s="12" t="s">
        <v>219</v>
      </c>
      <c r="D1822" s="9" t="s">
        <v>60</v>
      </c>
      <c r="E1822" s="8"/>
      <c r="F1822" s="8"/>
    </row>
    <row r="1823">
      <c r="A1823" s="5">
        <v>1822.0</v>
      </c>
      <c r="B1823" s="5" t="s">
        <v>93</v>
      </c>
      <c r="C1823" s="12" t="s">
        <v>219</v>
      </c>
      <c r="D1823" s="9" t="s">
        <v>62</v>
      </c>
      <c r="E1823" s="11">
        <v>25276.0</v>
      </c>
      <c r="F1823" s="8"/>
    </row>
    <row r="1824">
      <c r="A1824" s="5">
        <v>1823.0</v>
      </c>
      <c r="B1824" s="5" t="s">
        <v>93</v>
      </c>
      <c r="C1824" s="12" t="s">
        <v>219</v>
      </c>
      <c r="D1824" s="9" t="s">
        <v>63</v>
      </c>
      <c r="E1824" s="11">
        <v>23158.0</v>
      </c>
      <c r="F1824" s="11">
        <v>57202.0</v>
      </c>
    </row>
    <row r="1825">
      <c r="A1825" s="5">
        <v>1824.0</v>
      </c>
      <c r="B1825" s="5" t="s">
        <v>93</v>
      </c>
      <c r="C1825" s="12" t="s">
        <v>219</v>
      </c>
      <c r="D1825" s="9" t="s">
        <v>64</v>
      </c>
      <c r="E1825" s="11">
        <v>18279.0</v>
      </c>
      <c r="F1825" s="11">
        <v>40264.0</v>
      </c>
    </row>
    <row r="1826">
      <c r="A1826" s="5">
        <v>1825.0</v>
      </c>
      <c r="B1826" s="5" t="s">
        <v>93</v>
      </c>
      <c r="C1826" s="12" t="s">
        <v>219</v>
      </c>
      <c r="D1826" s="9" t="s">
        <v>65</v>
      </c>
      <c r="E1826" s="11">
        <v>18679.0</v>
      </c>
      <c r="F1826" s="11">
        <v>41067.0</v>
      </c>
    </row>
    <row r="1827">
      <c r="A1827" s="5">
        <v>1826.0</v>
      </c>
      <c r="B1827" s="5" t="s">
        <v>93</v>
      </c>
      <c r="C1827" s="12" t="s">
        <v>219</v>
      </c>
      <c r="D1827" s="9" t="s">
        <v>69</v>
      </c>
      <c r="E1827" s="11">
        <v>17583.0</v>
      </c>
      <c r="F1827" s="11">
        <v>44587.0</v>
      </c>
    </row>
    <row r="1828">
      <c r="A1828" s="5">
        <v>1827.0</v>
      </c>
      <c r="B1828" s="5" t="s">
        <v>93</v>
      </c>
      <c r="C1828" s="12" t="s">
        <v>219</v>
      </c>
      <c r="D1828" s="9" t="s">
        <v>73</v>
      </c>
      <c r="E1828" s="11">
        <v>15183.0</v>
      </c>
      <c r="F1828" s="11">
        <v>39604.0</v>
      </c>
    </row>
    <row r="1829">
      <c r="A1829" s="5">
        <v>1828.0</v>
      </c>
      <c r="B1829" s="5" t="s">
        <v>93</v>
      </c>
      <c r="C1829" s="12" t="s">
        <v>219</v>
      </c>
      <c r="D1829" s="9" t="s">
        <v>70</v>
      </c>
      <c r="E1829" s="11">
        <v>10772.0</v>
      </c>
      <c r="F1829" s="11">
        <v>29893.0</v>
      </c>
    </row>
    <row r="1830">
      <c r="A1830" s="5">
        <v>1829.0</v>
      </c>
      <c r="B1830" s="5" t="s">
        <v>93</v>
      </c>
      <c r="C1830" s="12" t="s">
        <v>219</v>
      </c>
      <c r="D1830" s="9" t="s">
        <v>68</v>
      </c>
      <c r="E1830" s="11">
        <v>9603.0</v>
      </c>
      <c r="F1830" s="11">
        <v>27987.0</v>
      </c>
    </row>
    <row r="1831">
      <c r="A1831" s="5">
        <v>1830.0</v>
      </c>
      <c r="B1831" s="5" t="s">
        <v>93</v>
      </c>
      <c r="C1831" s="12" t="s">
        <v>219</v>
      </c>
      <c r="D1831" s="9" t="s">
        <v>72</v>
      </c>
      <c r="E1831" s="11">
        <v>9350.0</v>
      </c>
      <c r="F1831" s="11">
        <v>32391.0</v>
      </c>
    </row>
    <row r="1832">
      <c r="A1832" s="5">
        <v>1831.0</v>
      </c>
      <c r="B1832" s="5" t="s">
        <v>93</v>
      </c>
      <c r="C1832" s="12" t="s">
        <v>219</v>
      </c>
      <c r="D1832" s="9" t="s">
        <v>67</v>
      </c>
      <c r="E1832" s="11">
        <v>8818.0</v>
      </c>
      <c r="F1832" s="11">
        <v>25471.0</v>
      </c>
    </row>
    <row r="1833">
      <c r="A1833" s="5">
        <v>1832.0</v>
      </c>
      <c r="B1833" s="5" t="s">
        <v>93</v>
      </c>
      <c r="C1833" s="12" t="s">
        <v>219</v>
      </c>
      <c r="D1833" s="9" t="s">
        <v>67</v>
      </c>
      <c r="E1833" s="11">
        <v>8420.0</v>
      </c>
      <c r="F1833" s="11">
        <v>20286.0</v>
      </c>
    </row>
    <row r="1834">
      <c r="A1834" s="5">
        <v>1833.0</v>
      </c>
      <c r="B1834" s="5" t="s">
        <v>93</v>
      </c>
      <c r="C1834" s="12" t="s">
        <v>219</v>
      </c>
      <c r="D1834" s="9" t="s">
        <v>72</v>
      </c>
      <c r="E1834" s="11">
        <v>8083.0</v>
      </c>
      <c r="F1834" s="11">
        <v>21896.0</v>
      </c>
    </row>
    <row r="1835">
      <c r="A1835" s="5">
        <v>1834.0</v>
      </c>
      <c r="B1835" s="5" t="s">
        <v>61</v>
      </c>
      <c r="C1835" s="12" t="s">
        <v>220</v>
      </c>
      <c r="D1835" s="9" t="s">
        <v>60</v>
      </c>
      <c r="E1835" s="8"/>
      <c r="F1835" s="8"/>
    </row>
    <row r="1836">
      <c r="A1836" s="5">
        <v>1835.0</v>
      </c>
      <c r="B1836" s="5" t="s">
        <v>61</v>
      </c>
      <c r="C1836" s="12" t="s">
        <v>220</v>
      </c>
      <c r="D1836" s="9" t="s">
        <v>62</v>
      </c>
      <c r="E1836" s="11">
        <v>84845.0</v>
      </c>
      <c r="F1836" s="8"/>
    </row>
    <row r="1837">
      <c r="A1837" s="5">
        <v>1836.0</v>
      </c>
      <c r="B1837" s="5" t="s">
        <v>61</v>
      </c>
      <c r="C1837" s="12" t="s">
        <v>220</v>
      </c>
      <c r="D1837" s="9" t="s">
        <v>63</v>
      </c>
      <c r="E1837" s="11">
        <v>84311.0</v>
      </c>
      <c r="F1837" s="11">
        <v>161396.0</v>
      </c>
    </row>
    <row r="1838">
      <c r="A1838" s="5">
        <v>1837.0</v>
      </c>
      <c r="B1838" s="5" t="s">
        <v>61</v>
      </c>
      <c r="C1838" s="12" t="s">
        <v>220</v>
      </c>
      <c r="D1838" s="9" t="s">
        <v>64</v>
      </c>
      <c r="E1838" s="11">
        <v>83197.0</v>
      </c>
      <c r="F1838" s="11">
        <v>157890.0</v>
      </c>
    </row>
    <row r="1839">
      <c r="A1839" s="5">
        <v>1838.0</v>
      </c>
      <c r="B1839" s="5" t="s">
        <v>61</v>
      </c>
      <c r="C1839" s="12" t="s">
        <v>220</v>
      </c>
      <c r="D1839" s="9" t="s">
        <v>65</v>
      </c>
      <c r="E1839" s="11">
        <v>82046.0</v>
      </c>
      <c r="F1839" s="11">
        <v>156676.0</v>
      </c>
    </row>
    <row r="1840">
      <c r="A1840" s="5">
        <v>1839.0</v>
      </c>
      <c r="B1840" s="5" t="s">
        <v>61</v>
      </c>
      <c r="C1840" s="12" t="s">
        <v>220</v>
      </c>
      <c r="D1840" s="9" t="s">
        <v>69</v>
      </c>
      <c r="E1840" s="11">
        <v>83538.0</v>
      </c>
      <c r="F1840" s="11">
        <v>158895.0</v>
      </c>
    </row>
    <row r="1841">
      <c r="A1841" s="5">
        <v>1840.0</v>
      </c>
      <c r="B1841" s="5" t="s">
        <v>61</v>
      </c>
      <c r="C1841" s="12" t="s">
        <v>220</v>
      </c>
      <c r="D1841" s="9" t="s">
        <v>73</v>
      </c>
      <c r="E1841" s="11">
        <v>79345.0</v>
      </c>
      <c r="F1841" s="11">
        <v>146075.0</v>
      </c>
    </row>
    <row r="1842">
      <c r="A1842" s="5">
        <v>1841.0</v>
      </c>
      <c r="B1842" s="5" t="s">
        <v>61</v>
      </c>
      <c r="C1842" s="12" t="s">
        <v>220</v>
      </c>
      <c r="D1842" s="9" t="s">
        <v>70</v>
      </c>
      <c r="E1842" s="11">
        <v>76227.0</v>
      </c>
      <c r="F1842" s="11">
        <v>136636.0</v>
      </c>
    </row>
    <row r="1843">
      <c r="A1843" s="5">
        <v>1842.0</v>
      </c>
      <c r="B1843" s="5" t="s">
        <v>61</v>
      </c>
      <c r="C1843" s="12" t="s">
        <v>220</v>
      </c>
      <c r="D1843" s="9" t="s">
        <v>68</v>
      </c>
      <c r="E1843" s="11">
        <v>73580.0</v>
      </c>
      <c r="F1843" s="11">
        <v>131601.0</v>
      </c>
    </row>
    <row r="1844">
      <c r="A1844" s="5">
        <v>1843.0</v>
      </c>
      <c r="B1844" s="5" t="s">
        <v>61</v>
      </c>
      <c r="C1844" s="12" t="s">
        <v>220</v>
      </c>
      <c r="D1844" s="9" t="s">
        <v>72</v>
      </c>
      <c r="E1844" s="11">
        <v>68695.0</v>
      </c>
      <c r="F1844" s="11">
        <v>118895.0</v>
      </c>
    </row>
    <row r="1845">
      <c r="A1845" s="5">
        <v>1844.0</v>
      </c>
      <c r="B1845" s="5" t="s">
        <v>61</v>
      </c>
      <c r="C1845" s="12" t="s">
        <v>220</v>
      </c>
      <c r="D1845" s="9" t="s">
        <v>67</v>
      </c>
      <c r="E1845" s="11">
        <v>65775.0</v>
      </c>
      <c r="F1845" s="11">
        <v>114084.0</v>
      </c>
    </row>
    <row r="1846">
      <c r="A1846" s="5">
        <v>1845.0</v>
      </c>
      <c r="B1846" s="5" t="s">
        <v>61</v>
      </c>
      <c r="C1846" s="12" t="s">
        <v>220</v>
      </c>
      <c r="D1846" s="9" t="s">
        <v>67</v>
      </c>
      <c r="E1846" s="11">
        <v>65091.0</v>
      </c>
      <c r="F1846" s="11">
        <v>108283.0</v>
      </c>
    </row>
    <row r="1847">
      <c r="A1847" s="5">
        <v>1846.0</v>
      </c>
      <c r="B1847" s="5" t="s">
        <v>61</v>
      </c>
      <c r="C1847" s="12" t="s">
        <v>220</v>
      </c>
      <c r="D1847" s="9" t="s">
        <v>72</v>
      </c>
      <c r="E1847" s="11">
        <v>64067.0</v>
      </c>
      <c r="F1847" s="11">
        <v>106449.0</v>
      </c>
    </row>
    <row r="1848">
      <c r="A1848" s="5">
        <v>1847.0</v>
      </c>
      <c r="B1848" s="5" t="s">
        <v>84</v>
      </c>
      <c r="C1848" s="12" t="s">
        <v>221</v>
      </c>
      <c r="D1848" s="9" t="s">
        <v>60</v>
      </c>
      <c r="E1848" s="8"/>
      <c r="F1848" s="8"/>
    </row>
    <row r="1849">
      <c r="A1849" s="5">
        <v>1848.0</v>
      </c>
      <c r="B1849" s="5" t="s">
        <v>84</v>
      </c>
      <c r="C1849" s="12" t="s">
        <v>221</v>
      </c>
      <c r="D1849" s="9" t="s">
        <v>62</v>
      </c>
      <c r="E1849" s="11">
        <v>4058.0</v>
      </c>
      <c r="F1849" s="8"/>
    </row>
    <row r="1850">
      <c r="A1850" s="5">
        <v>1849.0</v>
      </c>
      <c r="B1850" s="5" t="s">
        <v>84</v>
      </c>
      <c r="C1850" s="12" t="s">
        <v>221</v>
      </c>
      <c r="D1850" s="9" t="s">
        <v>63</v>
      </c>
      <c r="E1850" s="11">
        <v>3710.0</v>
      </c>
      <c r="F1850" s="11">
        <v>9633.0</v>
      </c>
    </row>
    <row r="1851">
      <c r="A1851" s="5">
        <v>1850.0</v>
      </c>
      <c r="B1851" s="5" t="s">
        <v>84</v>
      </c>
      <c r="C1851" s="12" t="s">
        <v>221</v>
      </c>
      <c r="D1851" s="9" t="s">
        <v>64</v>
      </c>
      <c r="E1851" s="11">
        <v>3367.0</v>
      </c>
      <c r="F1851" s="11">
        <v>8636.0</v>
      </c>
    </row>
    <row r="1852">
      <c r="A1852" s="5">
        <v>1851.0</v>
      </c>
      <c r="B1852" s="5" t="s">
        <v>84</v>
      </c>
      <c r="C1852" s="12" t="s">
        <v>221</v>
      </c>
      <c r="D1852" s="9" t="s">
        <v>65</v>
      </c>
      <c r="E1852" s="11">
        <v>3053.0</v>
      </c>
      <c r="F1852" s="11">
        <v>7576.0</v>
      </c>
    </row>
    <row r="1853">
      <c r="A1853" s="5">
        <v>1852.0</v>
      </c>
      <c r="B1853" s="5" t="s">
        <v>84</v>
      </c>
      <c r="C1853" s="12" t="s">
        <v>221</v>
      </c>
      <c r="D1853" s="9" t="s">
        <v>69</v>
      </c>
      <c r="E1853" s="11">
        <v>3024.0</v>
      </c>
      <c r="F1853" s="11">
        <v>7125.0</v>
      </c>
    </row>
    <row r="1854">
      <c r="A1854" s="5">
        <v>1853.0</v>
      </c>
      <c r="B1854" s="5" t="s">
        <v>84</v>
      </c>
      <c r="C1854" s="12" t="s">
        <v>221</v>
      </c>
      <c r="D1854" s="9" t="s">
        <v>73</v>
      </c>
      <c r="E1854" s="11">
        <v>3093.0</v>
      </c>
      <c r="F1854" s="11">
        <v>7371.0</v>
      </c>
    </row>
    <row r="1855">
      <c r="A1855" s="5">
        <v>1854.0</v>
      </c>
      <c r="B1855" s="5" t="s">
        <v>84</v>
      </c>
      <c r="C1855" s="12" t="s">
        <v>221</v>
      </c>
      <c r="D1855" s="9" t="s">
        <v>70</v>
      </c>
      <c r="E1855" s="11">
        <v>2884.0</v>
      </c>
      <c r="F1855" s="11">
        <v>6839.0</v>
      </c>
    </row>
    <row r="1856">
      <c r="A1856" s="5">
        <v>1855.0</v>
      </c>
      <c r="B1856" s="5" t="s">
        <v>84</v>
      </c>
      <c r="C1856" s="12" t="s">
        <v>221</v>
      </c>
      <c r="D1856" s="9" t="s">
        <v>68</v>
      </c>
      <c r="E1856" s="11">
        <v>2613.0</v>
      </c>
      <c r="F1856" s="11">
        <v>5805.0</v>
      </c>
    </row>
    <row r="1857">
      <c r="A1857" s="5">
        <v>1856.0</v>
      </c>
      <c r="B1857" s="5" t="s">
        <v>84</v>
      </c>
      <c r="C1857" s="12" t="s">
        <v>221</v>
      </c>
      <c r="D1857" s="9" t="s">
        <v>72</v>
      </c>
      <c r="E1857" s="11">
        <v>2649.0</v>
      </c>
      <c r="F1857" s="11">
        <v>6153.0</v>
      </c>
    </row>
    <row r="1858">
      <c r="A1858" s="5">
        <v>1857.0</v>
      </c>
      <c r="B1858" s="5" t="s">
        <v>84</v>
      </c>
      <c r="C1858" s="12" t="s">
        <v>221</v>
      </c>
      <c r="D1858" s="9" t="s">
        <v>67</v>
      </c>
      <c r="E1858" s="11">
        <v>2625.0</v>
      </c>
      <c r="F1858" s="11">
        <v>5871.0</v>
      </c>
    </row>
    <row r="1859">
      <c r="A1859" s="5">
        <v>1858.0</v>
      </c>
      <c r="B1859" s="5" t="s">
        <v>84</v>
      </c>
      <c r="C1859" s="12" t="s">
        <v>221</v>
      </c>
      <c r="D1859" s="9" t="s">
        <v>67</v>
      </c>
      <c r="E1859" s="11">
        <v>2816.0</v>
      </c>
      <c r="F1859" s="11">
        <v>7008.0</v>
      </c>
    </row>
    <row r="1860">
      <c r="A1860" s="5">
        <v>1859.0</v>
      </c>
      <c r="B1860" s="5" t="s">
        <v>84</v>
      </c>
      <c r="C1860" s="12" t="s">
        <v>221</v>
      </c>
      <c r="D1860" s="9" t="s">
        <v>72</v>
      </c>
      <c r="E1860" s="11">
        <v>2569.0</v>
      </c>
      <c r="F1860" s="11">
        <v>5790.0</v>
      </c>
    </row>
    <row r="1861">
      <c r="A1861" s="5">
        <v>1860.0</v>
      </c>
      <c r="B1861" s="5" t="s">
        <v>80</v>
      </c>
      <c r="C1861" s="12" t="s">
        <v>222</v>
      </c>
      <c r="D1861" s="9" t="s">
        <v>60</v>
      </c>
      <c r="E1861" s="8"/>
      <c r="F1861" s="8"/>
    </row>
    <row r="1862">
      <c r="A1862" s="5">
        <v>1861.0</v>
      </c>
      <c r="B1862" s="5" t="s">
        <v>80</v>
      </c>
      <c r="C1862" s="12" t="s">
        <v>222</v>
      </c>
      <c r="D1862" s="9" t="s">
        <v>62</v>
      </c>
      <c r="E1862" s="8"/>
      <c r="F1862" s="8"/>
    </row>
    <row r="1863">
      <c r="A1863" s="5">
        <v>1862.0</v>
      </c>
      <c r="B1863" s="5" t="s">
        <v>80</v>
      </c>
      <c r="C1863" s="12" t="s">
        <v>222</v>
      </c>
      <c r="D1863" s="9" t="s">
        <v>63</v>
      </c>
      <c r="E1863" s="8"/>
      <c r="F1863" s="11">
        <v>3135.0</v>
      </c>
    </row>
    <row r="1864">
      <c r="A1864" s="5">
        <v>1863.0</v>
      </c>
      <c r="B1864" s="5" t="s">
        <v>80</v>
      </c>
      <c r="C1864" s="12" t="s">
        <v>222</v>
      </c>
      <c r="D1864" s="9" t="s">
        <v>64</v>
      </c>
      <c r="E1864" s="8"/>
      <c r="F1864" s="11">
        <v>3333.0</v>
      </c>
    </row>
    <row r="1865">
      <c r="A1865" s="5">
        <v>1864.0</v>
      </c>
      <c r="B1865" s="5" t="s">
        <v>80</v>
      </c>
      <c r="C1865" s="12" t="s">
        <v>222</v>
      </c>
      <c r="D1865" s="9" t="s">
        <v>65</v>
      </c>
      <c r="E1865" s="8"/>
      <c r="F1865" s="11">
        <v>3476.0</v>
      </c>
    </row>
    <row r="1866">
      <c r="A1866" s="5">
        <v>1865.0</v>
      </c>
      <c r="B1866" s="5" t="s">
        <v>80</v>
      </c>
      <c r="C1866" s="12" t="s">
        <v>222</v>
      </c>
      <c r="D1866" s="9" t="s">
        <v>69</v>
      </c>
      <c r="E1866" s="8"/>
      <c r="F1866" s="11">
        <v>4903.0</v>
      </c>
    </row>
    <row r="1867">
      <c r="A1867" s="5">
        <v>1866.0</v>
      </c>
      <c r="B1867" s="5" t="s">
        <v>80</v>
      </c>
      <c r="C1867" s="12" t="s">
        <v>222</v>
      </c>
      <c r="D1867" s="9" t="s">
        <v>73</v>
      </c>
      <c r="E1867" s="8"/>
      <c r="F1867" s="11">
        <v>4595.0</v>
      </c>
    </row>
    <row r="1868">
      <c r="A1868" s="5">
        <v>1867.0</v>
      </c>
      <c r="B1868" s="5" t="s">
        <v>80</v>
      </c>
      <c r="C1868" s="12" t="s">
        <v>222</v>
      </c>
      <c r="D1868" s="9" t="s">
        <v>70</v>
      </c>
      <c r="E1868" s="8"/>
      <c r="F1868" s="11">
        <v>4613.0</v>
      </c>
    </row>
    <row r="1869">
      <c r="A1869" s="5">
        <v>1868.0</v>
      </c>
      <c r="B1869" s="5" t="s">
        <v>80</v>
      </c>
      <c r="C1869" s="12" t="s">
        <v>222</v>
      </c>
      <c r="D1869" s="9" t="s">
        <v>68</v>
      </c>
      <c r="E1869" s="8"/>
      <c r="F1869" s="11">
        <v>4481.0</v>
      </c>
    </row>
    <row r="1870">
      <c r="A1870" s="5">
        <v>1869.0</v>
      </c>
      <c r="B1870" s="5" t="s">
        <v>80</v>
      </c>
      <c r="C1870" s="12" t="s">
        <v>222</v>
      </c>
      <c r="D1870" s="9" t="s">
        <v>72</v>
      </c>
      <c r="E1870" s="8"/>
      <c r="F1870" s="11">
        <v>3968.0</v>
      </c>
    </row>
    <row r="1871">
      <c r="A1871" s="5">
        <v>1870.0</v>
      </c>
      <c r="B1871" s="5" t="s">
        <v>80</v>
      </c>
      <c r="C1871" s="12" t="s">
        <v>222</v>
      </c>
      <c r="D1871" s="9" t="s">
        <v>67</v>
      </c>
      <c r="E1871" s="8"/>
      <c r="F1871" s="11">
        <v>3513.0</v>
      </c>
    </row>
    <row r="1872">
      <c r="A1872" s="5">
        <v>1871.0</v>
      </c>
      <c r="B1872" s="5" t="s">
        <v>80</v>
      </c>
      <c r="C1872" s="12" t="s">
        <v>222</v>
      </c>
      <c r="D1872" s="9" t="s">
        <v>67</v>
      </c>
      <c r="E1872" s="8"/>
      <c r="F1872" s="11">
        <v>3231.0</v>
      </c>
    </row>
    <row r="1873">
      <c r="A1873" s="5">
        <v>1872.0</v>
      </c>
      <c r="B1873" s="5" t="s">
        <v>80</v>
      </c>
      <c r="C1873" s="12" t="s">
        <v>222</v>
      </c>
      <c r="D1873" s="9" t="s">
        <v>72</v>
      </c>
      <c r="E1873" s="8"/>
      <c r="F1873" s="11">
        <v>2688.0</v>
      </c>
    </row>
    <row r="1874">
      <c r="A1874" s="5">
        <v>1873.0</v>
      </c>
      <c r="B1874" s="5" t="s">
        <v>84</v>
      </c>
      <c r="C1874" s="12" t="s">
        <v>223</v>
      </c>
      <c r="D1874" s="9" t="s">
        <v>60</v>
      </c>
      <c r="E1874" s="8"/>
      <c r="F1874" s="8"/>
    </row>
    <row r="1875">
      <c r="A1875" s="5">
        <v>1874.0</v>
      </c>
      <c r="B1875" s="5" t="s">
        <v>84</v>
      </c>
      <c r="C1875" s="12" t="s">
        <v>223</v>
      </c>
      <c r="D1875" s="9" t="s">
        <v>62</v>
      </c>
      <c r="E1875" s="11">
        <v>4858.0</v>
      </c>
      <c r="F1875" s="8"/>
    </row>
    <row r="1876">
      <c r="A1876" s="5">
        <v>1875.0</v>
      </c>
      <c r="B1876" s="5" t="s">
        <v>84</v>
      </c>
      <c r="C1876" s="12" t="s">
        <v>223</v>
      </c>
      <c r="D1876" s="9" t="s">
        <v>63</v>
      </c>
      <c r="E1876" s="11">
        <v>4789.0</v>
      </c>
      <c r="F1876" s="11">
        <v>5075.0</v>
      </c>
    </row>
    <row r="1877">
      <c r="A1877" s="5">
        <v>1876.0</v>
      </c>
      <c r="B1877" s="5" t="s">
        <v>84</v>
      </c>
      <c r="C1877" s="12" t="s">
        <v>223</v>
      </c>
      <c r="D1877" s="9" t="s">
        <v>64</v>
      </c>
      <c r="E1877" s="11">
        <v>4476.0</v>
      </c>
      <c r="F1877" s="11">
        <v>4518.0</v>
      </c>
    </row>
    <row r="1878">
      <c r="A1878" s="5">
        <v>1877.0</v>
      </c>
      <c r="B1878" s="5" t="s">
        <v>84</v>
      </c>
      <c r="C1878" s="12" t="s">
        <v>223</v>
      </c>
      <c r="D1878" s="9" t="s">
        <v>65</v>
      </c>
      <c r="E1878" s="11">
        <v>4348.0</v>
      </c>
      <c r="F1878" s="11">
        <v>4353.0</v>
      </c>
    </row>
    <row r="1879">
      <c r="A1879" s="5">
        <v>1878.0</v>
      </c>
      <c r="B1879" s="5" t="s">
        <v>84</v>
      </c>
      <c r="C1879" s="12" t="s">
        <v>223</v>
      </c>
      <c r="D1879" s="9" t="s">
        <v>69</v>
      </c>
      <c r="E1879" s="11">
        <v>4225.0</v>
      </c>
      <c r="F1879" s="11">
        <v>4136.0</v>
      </c>
    </row>
    <row r="1880">
      <c r="A1880" s="5">
        <v>1879.0</v>
      </c>
      <c r="B1880" s="5" t="s">
        <v>84</v>
      </c>
      <c r="C1880" s="12" t="s">
        <v>223</v>
      </c>
      <c r="D1880" s="9" t="s">
        <v>73</v>
      </c>
      <c r="E1880" s="11">
        <v>4076.0</v>
      </c>
      <c r="F1880" s="11">
        <v>3986.0</v>
      </c>
    </row>
    <row r="1881">
      <c r="A1881" s="5">
        <v>1880.0</v>
      </c>
      <c r="B1881" s="5" t="s">
        <v>84</v>
      </c>
      <c r="C1881" s="12" t="s">
        <v>223</v>
      </c>
      <c r="D1881" s="9" t="s">
        <v>70</v>
      </c>
      <c r="E1881" s="11">
        <v>3954.0</v>
      </c>
      <c r="F1881" s="11">
        <v>3832.0</v>
      </c>
    </row>
    <row r="1882">
      <c r="A1882" s="5">
        <v>1881.0</v>
      </c>
      <c r="B1882" s="5" t="s">
        <v>84</v>
      </c>
      <c r="C1882" s="12" t="s">
        <v>223</v>
      </c>
      <c r="D1882" s="9" t="s">
        <v>68</v>
      </c>
      <c r="E1882" s="11">
        <v>4002.0</v>
      </c>
      <c r="F1882" s="11">
        <v>4089.0</v>
      </c>
    </row>
    <row r="1883">
      <c r="A1883" s="5">
        <v>1882.0</v>
      </c>
      <c r="B1883" s="5" t="s">
        <v>84</v>
      </c>
      <c r="C1883" s="12" t="s">
        <v>223</v>
      </c>
      <c r="D1883" s="9" t="s">
        <v>72</v>
      </c>
      <c r="E1883" s="11">
        <v>3965.0</v>
      </c>
      <c r="F1883" s="11">
        <v>4070.0</v>
      </c>
    </row>
    <row r="1884">
      <c r="A1884" s="5">
        <v>1883.0</v>
      </c>
      <c r="B1884" s="5" t="s">
        <v>84</v>
      </c>
      <c r="C1884" s="12" t="s">
        <v>223</v>
      </c>
      <c r="D1884" s="9" t="s">
        <v>68</v>
      </c>
      <c r="E1884" s="11">
        <v>3885.0</v>
      </c>
      <c r="F1884" s="11">
        <v>3898.0</v>
      </c>
    </row>
    <row r="1885">
      <c r="A1885" s="5">
        <v>1884.0</v>
      </c>
      <c r="B1885" s="5" t="s">
        <v>84</v>
      </c>
      <c r="C1885" s="12" t="s">
        <v>223</v>
      </c>
      <c r="D1885" s="9" t="s">
        <v>67</v>
      </c>
      <c r="E1885" s="11">
        <v>3919.0</v>
      </c>
      <c r="F1885" s="11">
        <v>3821.0</v>
      </c>
    </row>
    <row r="1886">
      <c r="A1886" s="5">
        <v>1885.0</v>
      </c>
      <c r="B1886" s="5" t="s">
        <v>84</v>
      </c>
      <c r="C1886" s="12" t="s">
        <v>223</v>
      </c>
      <c r="D1886" s="9" t="s">
        <v>72</v>
      </c>
      <c r="E1886" s="11">
        <v>3850.0</v>
      </c>
      <c r="F1886" s="11">
        <v>3689.0</v>
      </c>
    </row>
    <row r="1887">
      <c r="A1887" s="5">
        <v>1886.0</v>
      </c>
      <c r="B1887" s="5" t="s">
        <v>84</v>
      </c>
      <c r="C1887" s="12" t="s">
        <v>224</v>
      </c>
      <c r="D1887" s="9" t="s">
        <v>60</v>
      </c>
      <c r="E1887" s="8"/>
      <c r="F1887" s="8"/>
    </row>
    <row r="1888">
      <c r="A1888" s="5">
        <v>1887.0</v>
      </c>
      <c r="B1888" s="5" t="s">
        <v>84</v>
      </c>
      <c r="C1888" s="12" t="s">
        <v>224</v>
      </c>
      <c r="D1888" s="9" t="s">
        <v>62</v>
      </c>
      <c r="E1888" s="11">
        <v>20582.0</v>
      </c>
      <c r="F1888" s="8"/>
    </row>
    <row r="1889">
      <c r="A1889" s="5">
        <v>1888.0</v>
      </c>
      <c r="B1889" s="5" t="s">
        <v>84</v>
      </c>
      <c r="C1889" s="12" t="s">
        <v>224</v>
      </c>
      <c r="D1889" s="9" t="s">
        <v>63</v>
      </c>
      <c r="E1889" s="11">
        <v>19207.0</v>
      </c>
      <c r="F1889" s="11">
        <v>57579.0</v>
      </c>
    </row>
    <row r="1890">
      <c r="A1890" s="5">
        <v>1889.0</v>
      </c>
      <c r="B1890" s="5" t="s">
        <v>84</v>
      </c>
      <c r="C1890" s="12" t="s">
        <v>224</v>
      </c>
      <c r="D1890" s="9" t="s">
        <v>64</v>
      </c>
      <c r="E1890" s="11">
        <v>17200.0</v>
      </c>
      <c r="F1890" s="11">
        <v>47356.0</v>
      </c>
    </row>
    <row r="1891">
      <c r="A1891" s="5">
        <v>1890.0</v>
      </c>
      <c r="B1891" s="5" t="s">
        <v>84</v>
      </c>
      <c r="C1891" s="12" t="s">
        <v>224</v>
      </c>
      <c r="D1891" s="9" t="s">
        <v>65</v>
      </c>
      <c r="E1891" s="11">
        <v>15044.0</v>
      </c>
      <c r="F1891" s="11">
        <v>41279.0</v>
      </c>
    </row>
    <row r="1892">
      <c r="A1892" s="5">
        <v>1891.0</v>
      </c>
      <c r="B1892" s="5" t="s">
        <v>84</v>
      </c>
      <c r="C1892" s="12" t="s">
        <v>224</v>
      </c>
      <c r="D1892" s="9" t="s">
        <v>69</v>
      </c>
      <c r="E1892" s="11">
        <v>14334.0</v>
      </c>
      <c r="F1892" s="11">
        <v>43208.0</v>
      </c>
    </row>
    <row r="1893">
      <c r="A1893" s="5">
        <v>1892.0</v>
      </c>
      <c r="B1893" s="5" t="s">
        <v>84</v>
      </c>
      <c r="C1893" s="12" t="s">
        <v>224</v>
      </c>
      <c r="D1893" s="9" t="s">
        <v>73</v>
      </c>
      <c r="E1893" s="11">
        <v>13248.0</v>
      </c>
      <c r="F1893" s="11">
        <v>35064.0</v>
      </c>
    </row>
    <row r="1894">
      <c r="A1894" s="5">
        <v>1893.0</v>
      </c>
      <c r="B1894" s="5" t="s">
        <v>84</v>
      </c>
      <c r="C1894" s="12" t="s">
        <v>224</v>
      </c>
      <c r="D1894" s="9" t="s">
        <v>71</v>
      </c>
      <c r="E1894" s="11">
        <v>13646.0</v>
      </c>
      <c r="F1894" s="11">
        <v>37136.0</v>
      </c>
    </row>
    <row r="1895">
      <c r="A1895" s="5">
        <v>1894.0</v>
      </c>
      <c r="B1895" s="5" t="s">
        <v>84</v>
      </c>
      <c r="C1895" s="12" t="s">
        <v>224</v>
      </c>
      <c r="D1895" s="9" t="s">
        <v>68</v>
      </c>
      <c r="E1895" s="11">
        <v>12875.0</v>
      </c>
      <c r="F1895" s="11">
        <v>31896.0</v>
      </c>
    </row>
    <row r="1896">
      <c r="A1896" s="5">
        <v>1895.0</v>
      </c>
      <c r="B1896" s="5" t="s">
        <v>84</v>
      </c>
      <c r="C1896" s="12" t="s">
        <v>224</v>
      </c>
      <c r="D1896" s="9" t="s">
        <v>72</v>
      </c>
      <c r="E1896" s="11">
        <v>11638.0</v>
      </c>
      <c r="F1896" s="11">
        <v>26380.0</v>
      </c>
    </row>
    <row r="1897">
      <c r="A1897" s="5">
        <v>1896.0</v>
      </c>
      <c r="B1897" s="5" t="s">
        <v>84</v>
      </c>
      <c r="C1897" s="12" t="s">
        <v>224</v>
      </c>
      <c r="D1897" s="9" t="s">
        <v>68</v>
      </c>
      <c r="E1897" s="11">
        <v>11873.0</v>
      </c>
      <c r="F1897" s="11">
        <v>27187.0</v>
      </c>
    </row>
    <row r="1898">
      <c r="A1898" s="5">
        <v>1897.0</v>
      </c>
      <c r="B1898" s="5" t="s">
        <v>84</v>
      </c>
      <c r="C1898" s="12" t="s">
        <v>224</v>
      </c>
      <c r="D1898" s="9" t="s">
        <v>67</v>
      </c>
      <c r="E1898" s="11">
        <v>11795.0</v>
      </c>
      <c r="F1898" s="11">
        <v>27165.0</v>
      </c>
    </row>
    <row r="1899">
      <c r="A1899" s="5">
        <v>1898.0</v>
      </c>
      <c r="B1899" s="5" t="s">
        <v>84</v>
      </c>
      <c r="C1899" s="12" t="s">
        <v>224</v>
      </c>
      <c r="D1899" s="9" t="s">
        <v>72</v>
      </c>
      <c r="E1899" s="11">
        <v>12222.0</v>
      </c>
      <c r="F1899" s="11">
        <v>30297.0</v>
      </c>
    </row>
    <row r="1900">
      <c r="A1900" s="5">
        <v>1899.0</v>
      </c>
      <c r="B1900" s="5" t="s">
        <v>61</v>
      </c>
      <c r="C1900" s="12" t="s">
        <v>225</v>
      </c>
      <c r="D1900" s="9" t="s">
        <v>60</v>
      </c>
      <c r="E1900" s="8"/>
      <c r="F1900" s="8"/>
    </row>
    <row r="1901">
      <c r="A1901" s="5">
        <v>1900.0</v>
      </c>
      <c r="B1901" s="5" t="s">
        <v>61</v>
      </c>
      <c r="C1901" s="12" t="s">
        <v>225</v>
      </c>
      <c r="D1901" s="9" t="s">
        <v>62</v>
      </c>
      <c r="E1901" s="11">
        <v>40452.0</v>
      </c>
      <c r="F1901" s="8"/>
    </row>
    <row r="1902">
      <c r="A1902" s="5">
        <v>1901.0</v>
      </c>
      <c r="B1902" s="5" t="s">
        <v>61</v>
      </c>
      <c r="C1902" s="12" t="s">
        <v>225</v>
      </c>
      <c r="D1902" s="9" t="s">
        <v>63</v>
      </c>
      <c r="E1902" s="11">
        <v>40512.0</v>
      </c>
      <c r="F1902" s="11">
        <v>81591.0</v>
      </c>
    </row>
    <row r="1903">
      <c r="A1903" s="5">
        <v>1902.0</v>
      </c>
      <c r="B1903" s="5" t="s">
        <v>61</v>
      </c>
      <c r="C1903" s="12" t="s">
        <v>225</v>
      </c>
      <c r="D1903" s="9" t="s">
        <v>64</v>
      </c>
      <c r="E1903" s="11">
        <v>38102.0</v>
      </c>
      <c r="F1903" s="11">
        <v>74785.0</v>
      </c>
    </row>
    <row r="1904">
      <c r="A1904" s="5">
        <v>1903.0</v>
      </c>
      <c r="B1904" s="5" t="s">
        <v>61</v>
      </c>
      <c r="C1904" s="12" t="s">
        <v>225</v>
      </c>
      <c r="D1904" s="9" t="s">
        <v>65</v>
      </c>
      <c r="E1904" s="11">
        <v>40009.0</v>
      </c>
      <c r="F1904" s="11">
        <v>75944.0</v>
      </c>
    </row>
    <row r="1905">
      <c r="A1905" s="5">
        <v>1904.0</v>
      </c>
      <c r="B1905" s="5" t="s">
        <v>61</v>
      </c>
      <c r="C1905" s="12" t="s">
        <v>225</v>
      </c>
      <c r="D1905" s="9" t="s">
        <v>69</v>
      </c>
      <c r="E1905" s="11">
        <v>38514.0</v>
      </c>
      <c r="F1905" s="11">
        <v>69669.0</v>
      </c>
    </row>
    <row r="1906">
      <c r="A1906" s="5">
        <v>1905.0</v>
      </c>
      <c r="B1906" s="5" t="s">
        <v>61</v>
      </c>
      <c r="C1906" s="12" t="s">
        <v>225</v>
      </c>
      <c r="D1906" s="9" t="s">
        <v>73</v>
      </c>
      <c r="E1906" s="11">
        <v>38456.0</v>
      </c>
      <c r="F1906" s="11">
        <v>67693.0</v>
      </c>
    </row>
    <row r="1907">
      <c r="A1907" s="5">
        <v>1906.0</v>
      </c>
      <c r="B1907" s="5" t="s">
        <v>61</v>
      </c>
      <c r="C1907" s="12" t="s">
        <v>225</v>
      </c>
      <c r="D1907" s="9" t="s">
        <v>71</v>
      </c>
      <c r="E1907" s="11">
        <v>38756.0</v>
      </c>
      <c r="F1907" s="11">
        <v>74832.0</v>
      </c>
    </row>
    <row r="1908">
      <c r="A1908" s="5">
        <v>1907.0</v>
      </c>
      <c r="B1908" s="5" t="s">
        <v>61</v>
      </c>
      <c r="C1908" s="12" t="s">
        <v>225</v>
      </c>
      <c r="D1908" s="9" t="s">
        <v>68</v>
      </c>
      <c r="E1908" s="11">
        <v>38643.0</v>
      </c>
      <c r="F1908" s="11">
        <v>74066.0</v>
      </c>
    </row>
    <row r="1909">
      <c r="A1909" s="5">
        <v>1908.0</v>
      </c>
      <c r="B1909" s="5" t="s">
        <v>61</v>
      </c>
      <c r="C1909" s="12" t="s">
        <v>225</v>
      </c>
      <c r="D1909" s="9" t="s">
        <v>72</v>
      </c>
      <c r="E1909" s="11">
        <v>38822.0</v>
      </c>
      <c r="F1909" s="11">
        <v>71532.0</v>
      </c>
    </row>
    <row r="1910">
      <c r="A1910" s="5">
        <v>1909.0</v>
      </c>
      <c r="B1910" s="5" t="s">
        <v>61</v>
      </c>
      <c r="C1910" s="12" t="s">
        <v>225</v>
      </c>
      <c r="D1910" s="9" t="s">
        <v>68</v>
      </c>
      <c r="E1910" s="11">
        <v>38767.0</v>
      </c>
      <c r="F1910" s="11">
        <v>71338.0</v>
      </c>
    </row>
    <row r="1911">
      <c r="A1911" s="5">
        <v>1910.0</v>
      </c>
      <c r="B1911" s="5" t="s">
        <v>61</v>
      </c>
      <c r="C1911" s="12" t="s">
        <v>225</v>
      </c>
      <c r="D1911" s="9" t="s">
        <v>67</v>
      </c>
      <c r="E1911" s="11">
        <v>38202.0</v>
      </c>
      <c r="F1911" s="11">
        <v>71052.0</v>
      </c>
    </row>
    <row r="1912">
      <c r="A1912" s="5">
        <v>1911.0</v>
      </c>
      <c r="B1912" s="5" t="s">
        <v>61</v>
      </c>
      <c r="C1912" s="12" t="s">
        <v>225</v>
      </c>
      <c r="D1912" s="9" t="s">
        <v>72</v>
      </c>
      <c r="E1912" s="11">
        <v>39872.0</v>
      </c>
      <c r="F1912" s="11">
        <v>73307.0</v>
      </c>
    </row>
    <row r="1913">
      <c r="A1913" s="5">
        <v>1912.0</v>
      </c>
      <c r="B1913" s="5" t="s">
        <v>75</v>
      </c>
      <c r="C1913" s="12" t="s">
        <v>226</v>
      </c>
      <c r="D1913" s="9" t="s">
        <v>60</v>
      </c>
      <c r="E1913" s="11">
        <v>96543.0</v>
      </c>
      <c r="F1913" s="8"/>
    </row>
    <row r="1914">
      <c r="A1914" s="5">
        <v>1913.0</v>
      </c>
      <c r="B1914" s="5" t="s">
        <v>75</v>
      </c>
      <c r="C1914" s="12" t="s">
        <v>226</v>
      </c>
      <c r="D1914" s="9" t="s">
        <v>62</v>
      </c>
      <c r="E1914" s="11">
        <v>101313.0</v>
      </c>
      <c r="F1914" s="8"/>
    </row>
    <row r="1915">
      <c r="A1915" s="5">
        <v>1914.0</v>
      </c>
      <c r="B1915" s="5" t="s">
        <v>75</v>
      </c>
      <c r="C1915" s="12" t="s">
        <v>226</v>
      </c>
      <c r="D1915" s="9" t="s">
        <v>63</v>
      </c>
      <c r="E1915" s="11">
        <v>101539.0</v>
      </c>
      <c r="F1915" s="11">
        <v>317254.0</v>
      </c>
    </row>
    <row r="1916">
      <c r="A1916" s="5">
        <v>1915.0</v>
      </c>
      <c r="B1916" s="5" t="s">
        <v>75</v>
      </c>
      <c r="C1916" s="12" t="s">
        <v>226</v>
      </c>
      <c r="D1916" s="9" t="s">
        <v>64</v>
      </c>
      <c r="E1916" s="11">
        <v>94002.0</v>
      </c>
      <c r="F1916" s="11">
        <v>298787.0</v>
      </c>
    </row>
    <row r="1917">
      <c r="A1917" s="5">
        <v>1916.0</v>
      </c>
      <c r="B1917" s="5" t="s">
        <v>75</v>
      </c>
      <c r="C1917" s="12" t="s">
        <v>226</v>
      </c>
      <c r="D1917" s="9" t="s">
        <v>65</v>
      </c>
      <c r="E1917" s="11">
        <v>97892.0</v>
      </c>
      <c r="F1917" s="11">
        <v>316125.0</v>
      </c>
    </row>
    <row r="1918">
      <c r="A1918" s="5">
        <v>1917.0</v>
      </c>
      <c r="B1918" s="5" t="s">
        <v>75</v>
      </c>
      <c r="C1918" s="12" t="s">
        <v>226</v>
      </c>
      <c r="D1918" s="9" t="s">
        <v>69</v>
      </c>
      <c r="E1918" s="11">
        <v>96824.0</v>
      </c>
      <c r="F1918" s="11">
        <v>315637.0</v>
      </c>
    </row>
    <row r="1919">
      <c r="A1919" s="5">
        <v>1918.0</v>
      </c>
      <c r="B1919" s="5" t="s">
        <v>75</v>
      </c>
      <c r="C1919" s="12" t="s">
        <v>226</v>
      </c>
      <c r="D1919" s="9" t="s">
        <v>73</v>
      </c>
      <c r="E1919" s="11">
        <v>97241.0</v>
      </c>
      <c r="F1919" s="11">
        <v>320004.0</v>
      </c>
    </row>
    <row r="1920">
      <c r="A1920" s="5">
        <v>1919.0</v>
      </c>
      <c r="B1920" s="5" t="s">
        <v>75</v>
      </c>
      <c r="C1920" s="12" t="s">
        <v>226</v>
      </c>
      <c r="D1920" s="9" t="s">
        <v>71</v>
      </c>
      <c r="E1920" s="11">
        <v>92377.0</v>
      </c>
      <c r="F1920" s="11">
        <v>303598.0</v>
      </c>
    </row>
    <row r="1921">
      <c r="A1921" s="5">
        <v>1920.0</v>
      </c>
      <c r="B1921" s="5" t="s">
        <v>75</v>
      </c>
      <c r="C1921" s="12" t="s">
        <v>226</v>
      </c>
      <c r="D1921" s="9" t="s">
        <v>68</v>
      </c>
      <c r="E1921" s="11">
        <v>91371.0</v>
      </c>
      <c r="F1921" s="11">
        <v>304988.0</v>
      </c>
    </row>
    <row r="1922">
      <c r="A1922" s="5">
        <v>1921.0</v>
      </c>
      <c r="B1922" s="5" t="s">
        <v>75</v>
      </c>
      <c r="C1922" s="12" t="s">
        <v>226</v>
      </c>
      <c r="D1922" s="9" t="s">
        <v>72</v>
      </c>
      <c r="E1922" s="11">
        <v>91105.0</v>
      </c>
      <c r="F1922" s="11">
        <v>304856.0</v>
      </c>
    </row>
    <row r="1923">
      <c r="A1923" s="5">
        <v>1922.0</v>
      </c>
      <c r="B1923" s="5" t="s">
        <v>75</v>
      </c>
      <c r="C1923" s="12" t="s">
        <v>226</v>
      </c>
      <c r="D1923" s="9" t="s">
        <v>68</v>
      </c>
      <c r="E1923" s="11">
        <v>88855.0</v>
      </c>
      <c r="F1923" s="11">
        <v>296932.0</v>
      </c>
    </row>
    <row r="1924">
      <c r="A1924" s="5">
        <v>1923.0</v>
      </c>
      <c r="B1924" s="5" t="s">
        <v>75</v>
      </c>
      <c r="C1924" s="12" t="s">
        <v>226</v>
      </c>
      <c r="D1924" s="9" t="s">
        <v>67</v>
      </c>
      <c r="E1924" s="11">
        <v>89733.0</v>
      </c>
      <c r="F1924" s="11">
        <v>302806.0</v>
      </c>
    </row>
    <row r="1925">
      <c r="A1925" s="5">
        <v>1924.0</v>
      </c>
      <c r="B1925" s="5" t="s">
        <v>75</v>
      </c>
      <c r="C1925" s="12" t="s">
        <v>226</v>
      </c>
      <c r="D1925" s="9" t="s">
        <v>72</v>
      </c>
      <c r="E1925" s="11">
        <v>89116.0</v>
      </c>
      <c r="F1925" s="11">
        <v>301691.0</v>
      </c>
    </row>
    <row r="1926">
      <c r="A1926" s="5">
        <v>1925.0</v>
      </c>
      <c r="B1926" s="5" t="s">
        <v>75</v>
      </c>
      <c r="C1926" s="12" t="s">
        <v>227</v>
      </c>
      <c r="D1926" s="9" t="s">
        <v>60</v>
      </c>
      <c r="E1926" s="11">
        <v>21949.0</v>
      </c>
      <c r="F1926" s="8"/>
    </row>
    <row r="1927">
      <c r="A1927" s="5">
        <v>1926.0</v>
      </c>
      <c r="B1927" s="5" t="s">
        <v>75</v>
      </c>
      <c r="C1927" s="12" t="s">
        <v>227</v>
      </c>
      <c r="D1927" s="9" t="s">
        <v>62</v>
      </c>
      <c r="E1927" s="11">
        <v>23084.0</v>
      </c>
      <c r="F1927" s="8"/>
    </row>
    <row r="1928">
      <c r="A1928" s="5">
        <v>1927.0</v>
      </c>
      <c r="B1928" s="5" t="s">
        <v>75</v>
      </c>
      <c r="C1928" s="12" t="s">
        <v>227</v>
      </c>
      <c r="D1928" s="9" t="s">
        <v>63</v>
      </c>
      <c r="E1928" s="11">
        <v>23541.0</v>
      </c>
      <c r="F1928" s="11">
        <v>52361.0</v>
      </c>
    </row>
    <row r="1929">
      <c r="A1929" s="5">
        <v>1928.0</v>
      </c>
      <c r="B1929" s="5" t="s">
        <v>75</v>
      </c>
      <c r="C1929" s="12" t="s">
        <v>227</v>
      </c>
      <c r="D1929" s="9" t="s">
        <v>64</v>
      </c>
      <c r="E1929" s="11">
        <v>24152.0</v>
      </c>
      <c r="F1929" s="11">
        <v>57411.0</v>
      </c>
    </row>
    <row r="1930">
      <c r="A1930" s="5">
        <v>1929.0</v>
      </c>
      <c r="B1930" s="5" t="s">
        <v>75</v>
      </c>
      <c r="C1930" s="12" t="s">
        <v>227</v>
      </c>
      <c r="D1930" s="9" t="s">
        <v>65</v>
      </c>
      <c r="E1930" s="11">
        <v>24430.0</v>
      </c>
      <c r="F1930" s="11">
        <v>58357.0</v>
      </c>
    </row>
    <row r="1931">
      <c r="A1931" s="5">
        <v>1930.0</v>
      </c>
      <c r="B1931" s="5" t="s">
        <v>75</v>
      </c>
      <c r="C1931" s="12" t="s">
        <v>227</v>
      </c>
      <c r="D1931" s="9" t="s">
        <v>69</v>
      </c>
      <c r="E1931" s="11">
        <v>25302.0</v>
      </c>
      <c r="F1931" s="11">
        <v>60865.0</v>
      </c>
    </row>
    <row r="1932">
      <c r="A1932" s="5">
        <v>1931.0</v>
      </c>
      <c r="B1932" s="5" t="s">
        <v>75</v>
      </c>
      <c r="C1932" s="12" t="s">
        <v>227</v>
      </c>
      <c r="D1932" s="9" t="s">
        <v>73</v>
      </c>
      <c r="E1932" s="11">
        <v>24698.0</v>
      </c>
      <c r="F1932" s="11">
        <v>59108.0</v>
      </c>
    </row>
    <row r="1933">
      <c r="A1933" s="5">
        <v>1932.0</v>
      </c>
      <c r="B1933" s="5" t="s">
        <v>75</v>
      </c>
      <c r="C1933" s="12" t="s">
        <v>227</v>
      </c>
      <c r="D1933" s="9" t="s">
        <v>71</v>
      </c>
      <c r="E1933" s="11">
        <v>26467.0</v>
      </c>
      <c r="F1933" s="11">
        <v>65309.0</v>
      </c>
    </row>
    <row r="1934">
      <c r="A1934" s="5">
        <v>1933.0</v>
      </c>
      <c r="B1934" s="5" t="s">
        <v>75</v>
      </c>
      <c r="C1934" s="12" t="s">
        <v>227</v>
      </c>
      <c r="D1934" s="9" t="s">
        <v>68</v>
      </c>
      <c r="E1934" s="11">
        <v>25831.0</v>
      </c>
      <c r="F1934" s="11">
        <v>63175.0</v>
      </c>
    </row>
    <row r="1935">
      <c r="A1935" s="5">
        <v>1934.0</v>
      </c>
      <c r="B1935" s="5" t="s">
        <v>75</v>
      </c>
      <c r="C1935" s="12" t="s">
        <v>227</v>
      </c>
      <c r="D1935" s="9" t="s">
        <v>72</v>
      </c>
      <c r="E1935" s="11">
        <v>25129.0</v>
      </c>
      <c r="F1935" s="11">
        <v>61276.0</v>
      </c>
    </row>
    <row r="1936">
      <c r="A1936" s="5">
        <v>1935.0</v>
      </c>
      <c r="B1936" s="5" t="s">
        <v>75</v>
      </c>
      <c r="C1936" s="12" t="s">
        <v>227</v>
      </c>
      <c r="D1936" s="9" t="s">
        <v>68</v>
      </c>
      <c r="E1936" s="11">
        <v>25824.0</v>
      </c>
      <c r="F1936" s="11">
        <v>66820.0</v>
      </c>
    </row>
    <row r="1937">
      <c r="A1937" s="5">
        <v>1936.0</v>
      </c>
      <c r="B1937" s="5" t="s">
        <v>75</v>
      </c>
      <c r="C1937" s="12" t="s">
        <v>227</v>
      </c>
      <c r="D1937" s="9" t="s">
        <v>67</v>
      </c>
      <c r="E1937" s="11">
        <v>24815.0</v>
      </c>
      <c r="F1937" s="11">
        <v>62863.0</v>
      </c>
    </row>
    <row r="1938">
      <c r="A1938" s="5">
        <v>1937.0</v>
      </c>
      <c r="B1938" s="5" t="s">
        <v>75</v>
      </c>
      <c r="C1938" s="12" t="s">
        <v>227</v>
      </c>
      <c r="D1938" s="9" t="s">
        <v>72</v>
      </c>
      <c r="E1938" s="11">
        <v>24673.0</v>
      </c>
      <c r="F1938" s="11">
        <v>62966.0</v>
      </c>
    </row>
    <row r="1939">
      <c r="A1939" s="5">
        <v>1938.0</v>
      </c>
      <c r="B1939" s="5" t="s">
        <v>84</v>
      </c>
      <c r="C1939" s="12" t="s">
        <v>228</v>
      </c>
      <c r="D1939" s="9" t="s">
        <v>60</v>
      </c>
      <c r="E1939" s="8"/>
      <c r="F1939" s="8"/>
    </row>
    <row r="1940">
      <c r="A1940" s="5">
        <v>1939.0</v>
      </c>
      <c r="B1940" s="5" t="s">
        <v>84</v>
      </c>
      <c r="C1940" s="12" t="s">
        <v>228</v>
      </c>
      <c r="D1940" s="9" t="s">
        <v>62</v>
      </c>
      <c r="E1940" s="8"/>
      <c r="F1940" s="8"/>
    </row>
    <row r="1941">
      <c r="A1941" s="5">
        <v>1940.0</v>
      </c>
      <c r="B1941" s="5" t="s">
        <v>84</v>
      </c>
      <c r="C1941" s="12" t="s">
        <v>228</v>
      </c>
      <c r="D1941" s="9" t="s">
        <v>63</v>
      </c>
      <c r="E1941" s="8"/>
      <c r="F1941" s="8"/>
    </row>
    <row r="1942">
      <c r="A1942" s="5">
        <v>1941.0</v>
      </c>
      <c r="B1942" s="5" t="s">
        <v>84</v>
      </c>
      <c r="C1942" s="12" t="s">
        <v>228</v>
      </c>
      <c r="D1942" s="9" t="s">
        <v>64</v>
      </c>
      <c r="E1942" s="8"/>
      <c r="F1942" s="8"/>
    </row>
    <row r="1943">
      <c r="A1943" s="5">
        <v>1942.0</v>
      </c>
      <c r="B1943" s="5" t="s">
        <v>84</v>
      </c>
      <c r="C1943" s="12" t="s">
        <v>228</v>
      </c>
      <c r="D1943" s="9" t="s">
        <v>65</v>
      </c>
      <c r="E1943" s="8"/>
      <c r="F1943" s="8"/>
    </row>
    <row r="1944">
      <c r="A1944" s="5">
        <v>1943.0</v>
      </c>
      <c r="B1944" s="5" t="s">
        <v>84</v>
      </c>
      <c r="C1944" s="12" t="s">
        <v>228</v>
      </c>
      <c r="D1944" s="9" t="s">
        <v>69</v>
      </c>
      <c r="E1944" s="8"/>
      <c r="F1944" s="8"/>
    </row>
    <row r="1945">
      <c r="A1945" s="5">
        <v>1944.0</v>
      </c>
      <c r="B1945" s="5" t="s">
        <v>84</v>
      </c>
      <c r="C1945" s="12" t="s">
        <v>228</v>
      </c>
      <c r="D1945" s="9" t="s">
        <v>73</v>
      </c>
      <c r="E1945" s="8"/>
      <c r="F1945" s="8"/>
    </row>
    <row r="1946">
      <c r="A1946" s="5">
        <v>1945.0</v>
      </c>
      <c r="B1946" s="5" t="s">
        <v>84</v>
      </c>
      <c r="C1946" s="12" t="s">
        <v>228</v>
      </c>
      <c r="D1946" s="9" t="s">
        <v>71</v>
      </c>
      <c r="E1946" s="8"/>
      <c r="F1946" s="8"/>
    </row>
    <row r="1947">
      <c r="A1947" s="5">
        <v>1946.0</v>
      </c>
      <c r="B1947" s="5" t="s">
        <v>84</v>
      </c>
      <c r="C1947" s="12" t="s">
        <v>228</v>
      </c>
      <c r="D1947" s="9" t="s">
        <v>68</v>
      </c>
      <c r="E1947" s="8"/>
      <c r="F1947" s="8"/>
    </row>
    <row r="1948">
      <c r="A1948" s="5">
        <v>1947.0</v>
      </c>
      <c r="B1948" s="5" t="s">
        <v>84</v>
      </c>
      <c r="C1948" s="12" t="s">
        <v>228</v>
      </c>
      <c r="D1948" s="9" t="s">
        <v>72</v>
      </c>
      <c r="E1948" s="8"/>
      <c r="F1948" s="8"/>
    </row>
    <row r="1949">
      <c r="A1949" s="5">
        <v>1948.0</v>
      </c>
      <c r="B1949" s="5" t="s">
        <v>84</v>
      </c>
      <c r="C1949" s="12" t="s">
        <v>228</v>
      </c>
      <c r="D1949" s="9" t="s">
        <v>68</v>
      </c>
      <c r="E1949" s="8"/>
      <c r="F1949" s="8"/>
    </row>
    <row r="1950">
      <c r="A1950" s="5">
        <v>1949.0</v>
      </c>
      <c r="B1950" s="5" t="s">
        <v>84</v>
      </c>
      <c r="C1950" s="12" t="s">
        <v>228</v>
      </c>
      <c r="D1950" s="9" t="s">
        <v>67</v>
      </c>
      <c r="E1950" s="8"/>
      <c r="F1950" s="8"/>
    </row>
    <row r="1951">
      <c r="A1951" s="5">
        <v>1950.0</v>
      </c>
      <c r="B1951" s="5" t="s">
        <v>84</v>
      </c>
      <c r="C1951" s="12" t="s">
        <v>228</v>
      </c>
      <c r="D1951" s="9" t="s">
        <v>72</v>
      </c>
      <c r="E1951" s="8"/>
      <c r="F1951" s="8"/>
    </row>
    <row r="1952">
      <c r="A1952" s="5">
        <v>1951.0</v>
      </c>
      <c r="B1952" s="5" t="s">
        <v>93</v>
      </c>
      <c r="C1952" s="12" t="s">
        <v>229</v>
      </c>
      <c r="D1952" s="9" t="s">
        <v>60</v>
      </c>
      <c r="E1952" s="8"/>
      <c r="F1952" s="8"/>
    </row>
    <row r="1953">
      <c r="A1953" s="5">
        <v>1952.0</v>
      </c>
      <c r="B1953" s="5" t="s">
        <v>93</v>
      </c>
      <c r="C1953" s="12" t="s">
        <v>229</v>
      </c>
      <c r="D1953" s="9" t="s">
        <v>62</v>
      </c>
      <c r="E1953" s="11">
        <v>33285.0</v>
      </c>
      <c r="F1953" s="8"/>
    </row>
    <row r="1954">
      <c r="A1954" s="5">
        <v>1953.0</v>
      </c>
      <c r="B1954" s="5" t="s">
        <v>93</v>
      </c>
      <c r="C1954" s="12" t="s">
        <v>229</v>
      </c>
      <c r="D1954" s="9" t="s">
        <v>63</v>
      </c>
      <c r="E1954" s="11">
        <v>28973.0</v>
      </c>
      <c r="F1954" s="11">
        <v>70531.0</v>
      </c>
    </row>
    <row r="1955">
      <c r="A1955" s="5">
        <v>1954.0</v>
      </c>
      <c r="B1955" s="5" t="s">
        <v>93</v>
      </c>
      <c r="C1955" s="12" t="s">
        <v>229</v>
      </c>
      <c r="D1955" s="9" t="s">
        <v>64</v>
      </c>
      <c r="E1955" s="11">
        <v>24942.0</v>
      </c>
      <c r="F1955" s="11">
        <v>66120.0</v>
      </c>
    </row>
    <row r="1956">
      <c r="A1956" s="5">
        <v>1955.0</v>
      </c>
      <c r="B1956" s="5" t="s">
        <v>93</v>
      </c>
      <c r="C1956" s="12" t="s">
        <v>229</v>
      </c>
      <c r="D1956" s="9" t="s">
        <v>65</v>
      </c>
      <c r="E1956" s="11">
        <v>23642.0</v>
      </c>
      <c r="F1956" s="11">
        <v>67997.0</v>
      </c>
    </row>
    <row r="1957">
      <c r="A1957" s="5">
        <v>1956.0</v>
      </c>
      <c r="B1957" s="5" t="s">
        <v>93</v>
      </c>
      <c r="C1957" s="12" t="s">
        <v>229</v>
      </c>
      <c r="D1957" s="9" t="s">
        <v>69</v>
      </c>
      <c r="E1957" s="11">
        <v>22790.0</v>
      </c>
      <c r="F1957" s="11">
        <v>67242.0</v>
      </c>
    </row>
    <row r="1958">
      <c r="A1958" s="5">
        <v>1957.0</v>
      </c>
      <c r="B1958" s="5" t="s">
        <v>93</v>
      </c>
      <c r="C1958" s="12" t="s">
        <v>229</v>
      </c>
      <c r="D1958" s="9" t="s">
        <v>73</v>
      </c>
      <c r="E1958" s="11">
        <v>19606.0</v>
      </c>
      <c r="F1958" s="11">
        <v>56736.0</v>
      </c>
    </row>
    <row r="1959">
      <c r="A1959" s="5">
        <v>1958.0</v>
      </c>
      <c r="B1959" s="5" t="s">
        <v>93</v>
      </c>
      <c r="C1959" s="12" t="s">
        <v>229</v>
      </c>
      <c r="D1959" s="9" t="s">
        <v>71</v>
      </c>
      <c r="E1959" s="11">
        <v>16638.0</v>
      </c>
      <c r="F1959" s="11">
        <v>51881.0</v>
      </c>
    </row>
    <row r="1960">
      <c r="A1960" s="5">
        <v>1959.0</v>
      </c>
      <c r="B1960" s="5" t="s">
        <v>93</v>
      </c>
      <c r="C1960" s="12" t="s">
        <v>229</v>
      </c>
      <c r="D1960" s="9" t="s">
        <v>68</v>
      </c>
      <c r="E1960" s="11">
        <v>16648.0</v>
      </c>
      <c r="F1960" s="11">
        <v>44393.0</v>
      </c>
    </row>
    <row r="1961">
      <c r="A1961" s="5">
        <v>1960.0</v>
      </c>
      <c r="B1961" s="5" t="s">
        <v>93</v>
      </c>
      <c r="C1961" s="12" t="s">
        <v>229</v>
      </c>
      <c r="D1961" s="9" t="s">
        <v>72</v>
      </c>
      <c r="E1961" s="11">
        <v>14185.0</v>
      </c>
      <c r="F1961" s="11">
        <v>36157.0</v>
      </c>
    </row>
    <row r="1962">
      <c r="A1962" s="5">
        <v>1961.0</v>
      </c>
      <c r="B1962" s="5" t="s">
        <v>93</v>
      </c>
      <c r="C1962" s="12" t="s">
        <v>229</v>
      </c>
      <c r="D1962" s="9" t="s">
        <v>68</v>
      </c>
      <c r="E1962" s="11">
        <v>13711.0</v>
      </c>
      <c r="F1962" s="11">
        <v>28482.0</v>
      </c>
    </row>
    <row r="1963">
      <c r="A1963" s="5">
        <v>1962.0</v>
      </c>
      <c r="B1963" s="5" t="s">
        <v>93</v>
      </c>
      <c r="C1963" s="12" t="s">
        <v>229</v>
      </c>
      <c r="D1963" s="9" t="s">
        <v>68</v>
      </c>
      <c r="E1963" s="11">
        <v>12452.0</v>
      </c>
      <c r="F1963" s="11">
        <v>30363.0</v>
      </c>
    </row>
    <row r="1964">
      <c r="A1964" s="5">
        <v>1963.0</v>
      </c>
      <c r="B1964" s="5" t="s">
        <v>93</v>
      </c>
      <c r="C1964" s="12" t="s">
        <v>229</v>
      </c>
      <c r="D1964" s="9" t="s">
        <v>72</v>
      </c>
      <c r="E1964" s="11">
        <v>10876.0</v>
      </c>
      <c r="F1964" s="11">
        <v>34730.0</v>
      </c>
    </row>
    <row r="1965">
      <c r="A1965" s="5">
        <v>1964.0</v>
      </c>
      <c r="B1965" s="5" t="s">
        <v>75</v>
      </c>
      <c r="C1965" s="12" t="s">
        <v>230</v>
      </c>
      <c r="D1965" s="9" t="s">
        <v>60</v>
      </c>
      <c r="E1965" s="8"/>
      <c r="F1965" s="8"/>
    </row>
    <row r="1966">
      <c r="A1966" s="5">
        <v>1965.0</v>
      </c>
      <c r="B1966" s="5" t="s">
        <v>75</v>
      </c>
      <c r="C1966" s="12" t="s">
        <v>230</v>
      </c>
      <c r="D1966" s="9" t="s">
        <v>62</v>
      </c>
      <c r="E1966" s="11">
        <v>35830.0</v>
      </c>
      <c r="F1966" s="8"/>
    </row>
    <row r="1967">
      <c r="A1967" s="5">
        <v>1966.0</v>
      </c>
      <c r="B1967" s="5" t="s">
        <v>75</v>
      </c>
      <c r="C1967" s="12" t="s">
        <v>230</v>
      </c>
      <c r="D1967" s="9" t="s">
        <v>63</v>
      </c>
      <c r="E1967" s="11">
        <v>35031.0</v>
      </c>
      <c r="F1967" s="11">
        <v>78745.0</v>
      </c>
    </row>
    <row r="1968">
      <c r="A1968" s="5">
        <v>1967.0</v>
      </c>
      <c r="B1968" s="5" t="s">
        <v>75</v>
      </c>
      <c r="C1968" s="12" t="s">
        <v>230</v>
      </c>
      <c r="D1968" s="9" t="s">
        <v>64</v>
      </c>
      <c r="E1968" s="11">
        <v>34882.0</v>
      </c>
      <c r="F1968" s="11">
        <v>80307.0</v>
      </c>
    </row>
    <row r="1969">
      <c r="A1969" s="5">
        <v>1968.0</v>
      </c>
      <c r="B1969" s="5" t="s">
        <v>75</v>
      </c>
      <c r="C1969" s="12" t="s">
        <v>230</v>
      </c>
      <c r="D1969" s="9" t="s">
        <v>65</v>
      </c>
      <c r="E1969" s="11">
        <v>39617.0</v>
      </c>
      <c r="F1969" s="11">
        <v>94645.0</v>
      </c>
    </row>
    <row r="1970">
      <c r="A1970" s="5">
        <v>1969.0</v>
      </c>
      <c r="B1970" s="5" t="s">
        <v>75</v>
      </c>
      <c r="C1970" s="12" t="s">
        <v>230</v>
      </c>
      <c r="D1970" s="9" t="s">
        <v>69</v>
      </c>
      <c r="E1970" s="11">
        <v>39757.0</v>
      </c>
      <c r="F1970" s="11">
        <v>100960.0</v>
      </c>
    </row>
    <row r="1971">
      <c r="A1971" s="5">
        <v>1970.0</v>
      </c>
      <c r="B1971" s="5" t="s">
        <v>75</v>
      </c>
      <c r="C1971" s="12" t="s">
        <v>230</v>
      </c>
      <c r="D1971" s="9" t="s">
        <v>73</v>
      </c>
      <c r="E1971" s="11">
        <v>39936.0</v>
      </c>
      <c r="F1971" s="11">
        <v>102595.0</v>
      </c>
    </row>
    <row r="1972">
      <c r="A1972" s="5">
        <v>1971.0</v>
      </c>
      <c r="B1972" s="5" t="s">
        <v>75</v>
      </c>
      <c r="C1972" s="12" t="s">
        <v>230</v>
      </c>
      <c r="D1972" s="9" t="s">
        <v>71</v>
      </c>
      <c r="E1972" s="11">
        <v>38693.0</v>
      </c>
      <c r="F1972" s="11">
        <v>95676.0</v>
      </c>
    </row>
    <row r="1973">
      <c r="A1973" s="5">
        <v>1972.0</v>
      </c>
      <c r="B1973" s="5" t="s">
        <v>75</v>
      </c>
      <c r="C1973" s="12" t="s">
        <v>230</v>
      </c>
      <c r="D1973" s="9" t="s">
        <v>68</v>
      </c>
      <c r="E1973" s="11">
        <v>38683.0</v>
      </c>
      <c r="F1973" s="11">
        <v>95401.0</v>
      </c>
    </row>
    <row r="1974">
      <c r="A1974" s="5">
        <v>1973.0</v>
      </c>
      <c r="B1974" s="5" t="s">
        <v>75</v>
      </c>
      <c r="C1974" s="12" t="s">
        <v>230</v>
      </c>
      <c r="D1974" s="9" t="s">
        <v>72</v>
      </c>
      <c r="E1974" s="11">
        <v>39525.0</v>
      </c>
      <c r="F1974" s="11">
        <v>95940.0</v>
      </c>
    </row>
    <row r="1975">
      <c r="A1975" s="5">
        <v>1974.0</v>
      </c>
      <c r="B1975" s="5" t="s">
        <v>75</v>
      </c>
      <c r="C1975" s="12" t="s">
        <v>230</v>
      </c>
      <c r="D1975" s="9" t="s">
        <v>68</v>
      </c>
      <c r="E1975" s="11">
        <v>38140.0</v>
      </c>
      <c r="F1975" s="11">
        <v>92174.0</v>
      </c>
    </row>
    <row r="1976">
      <c r="A1976" s="5">
        <v>1975.0</v>
      </c>
      <c r="B1976" s="5" t="s">
        <v>75</v>
      </c>
      <c r="C1976" s="12" t="s">
        <v>230</v>
      </c>
      <c r="D1976" s="9" t="s">
        <v>68</v>
      </c>
      <c r="E1976" s="11">
        <v>36819.0</v>
      </c>
      <c r="F1976" s="11">
        <v>95672.0</v>
      </c>
    </row>
    <row r="1977">
      <c r="A1977" s="5">
        <v>1976.0</v>
      </c>
      <c r="B1977" s="5" t="s">
        <v>75</v>
      </c>
      <c r="C1977" s="12" t="s">
        <v>230</v>
      </c>
      <c r="D1977" s="9" t="s">
        <v>72</v>
      </c>
      <c r="E1977" s="11">
        <v>36228.0</v>
      </c>
      <c r="F1977" s="11">
        <v>89985.0</v>
      </c>
    </row>
    <row r="1978">
      <c r="A1978" s="5">
        <v>1977.0</v>
      </c>
      <c r="B1978" s="5" t="s">
        <v>75</v>
      </c>
      <c r="C1978" s="12" t="s">
        <v>231</v>
      </c>
      <c r="D1978" s="9" t="s">
        <v>60</v>
      </c>
      <c r="E1978" s="8"/>
      <c r="F1978" s="8"/>
    </row>
    <row r="1979">
      <c r="A1979" s="5">
        <v>1978.0</v>
      </c>
      <c r="B1979" s="5" t="s">
        <v>75</v>
      </c>
      <c r="C1979" s="12" t="s">
        <v>231</v>
      </c>
      <c r="D1979" s="9" t="s">
        <v>62</v>
      </c>
      <c r="E1979" s="11">
        <v>730970.0</v>
      </c>
      <c r="F1979" s="8"/>
    </row>
    <row r="1980">
      <c r="A1980" s="5">
        <v>1979.0</v>
      </c>
      <c r="B1980" s="5" t="s">
        <v>75</v>
      </c>
      <c r="C1980" s="12" t="s">
        <v>231</v>
      </c>
      <c r="D1980" s="9" t="s">
        <v>63</v>
      </c>
      <c r="E1980" s="11">
        <v>702292.0</v>
      </c>
      <c r="F1980" s="11">
        <v>1740776.0</v>
      </c>
    </row>
    <row r="1981">
      <c r="A1981" s="5">
        <v>1980.0</v>
      </c>
      <c r="B1981" s="5" t="s">
        <v>75</v>
      </c>
      <c r="C1981" s="12" t="s">
        <v>231</v>
      </c>
      <c r="D1981" s="9" t="s">
        <v>64</v>
      </c>
      <c r="E1981" s="11">
        <v>646915.0</v>
      </c>
      <c r="F1981" s="11">
        <v>1574368.0</v>
      </c>
    </row>
    <row r="1982">
      <c r="A1982" s="5">
        <v>1981.0</v>
      </c>
      <c r="B1982" s="5" t="s">
        <v>75</v>
      </c>
      <c r="C1982" s="12" t="s">
        <v>231</v>
      </c>
      <c r="D1982" s="9" t="s">
        <v>65</v>
      </c>
      <c r="E1982" s="11">
        <v>688483.0</v>
      </c>
      <c r="F1982" s="11">
        <v>1715639.0</v>
      </c>
    </row>
    <row r="1983">
      <c r="A1983" s="5">
        <v>1982.0</v>
      </c>
      <c r="B1983" s="5" t="s">
        <v>75</v>
      </c>
      <c r="C1983" s="12" t="s">
        <v>231</v>
      </c>
      <c r="D1983" s="9" t="s">
        <v>69</v>
      </c>
      <c r="E1983" s="11">
        <v>672591.0</v>
      </c>
      <c r="F1983" s="11">
        <v>1667598.0</v>
      </c>
    </row>
    <row r="1984">
      <c r="A1984" s="5">
        <v>1983.0</v>
      </c>
      <c r="B1984" s="5" t="s">
        <v>75</v>
      </c>
      <c r="C1984" s="12" t="s">
        <v>231</v>
      </c>
      <c r="D1984" s="9" t="s">
        <v>73</v>
      </c>
      <c r="E1984" s="11">
        <v>670673.0</v>
      </c>
      <c r="F1984" s="11">
        <v>1669618.0</v>
      </c>
    </row>
    <row r="1985">
      <c r="A1985" s="5">
        <v>1984.0</v>
      </c>
      <c r="B1985" s="5" t="s">
        <v>75</v>
      </c>
      <c r="C1985" s="12" t="s">
        <v>231</v>
      </c>
      <c r="D1985" s="9" t="s">
        <v>71</v>
      </c>
      <c r="E1985" s="11">
        <v>651712.0</v>
      </c>
      <c r="F1985" s="11">
        <v>1615688.0</v>
      </c>
    </row>
    <row r="1986">
      <c r="A1986" s="5">
        <v>1985.0</v>
      </c>
      <c r="B1986" s="5" t="s">
        <v>75</v>
      </c>
      <c r="C1986" s="12" t="s">
        <v>231</v>
      </c>
      <c r="D1986" s="9" t="s">
        <v>68</v>
      </c>
      <c r="E1986" s="11">
        <v>647392.0</v>
      </c>
      <c r="F1986" s="11">
        <v>1602963.0</v>
      </c>
    </row>
    <row r="1987">
      <c r="A1987" s="5">
        <v>1986.0</v>
      </c>
      <c r="B1987" s="5" t="s">
        <v>75</v>
      </c>
      <c r="C1987" s="12" t="s">
        <v>231</v>
      </c>
      <c r="D1987" s="9" t="s">
        <v>72</v>
      </c>
      <c r="E1987" s="11">
        <v>645323.0</v>
      </c>
      <c r="F1987" s="11">
        <v>1604973.0</v>
      </c>
    </row>
    <row r="1988">
      <c r="A1988" s="5">
        <v>1987.0</v>
      </c>
      <c r="B1988" s="5" t="s">
        <v>75</v>
      </c>
      <c r="C1988" s="12" t="s">
        <v>231</v>
      </c>
      <c r="D1988" s="9" t="s">
        <v>68</v>
      </c>
      <c r="E1988" s="11">
        <v>623098.0</v>
      </c>
      <c r="F1988" s="11">
        <v>1557665.0</v>
      </c>
    </row>
    <row r="1989">
      <c r="A1989" s="5">
        <v>1988.0</v>
      </c>
      <c r="B1989" s="5" t="s">
        <v>75</v>
      </c>
      <c r="C1989" s="12" t="s">
        <v>231</v>
      </c>
      <c r="D1989" s="9" t="s">
        <v>68</v>
      </c>
      <c r="E1989" s="11">
        <v>626014.0</v>
      </c>
      <c r="F1989" s="11">
        <v>1558013.0</v>
      </c>
    </row>
    <row r="1990">
      <c r="A1990" s="5">
        <v>1989.0</v>
      </c>
      <c r="B1990" s="5" t="s">
        <v>75</v>
      </c>
      <c r="C1990" s="12" t="s">
        <v>231</v>
      </c>
      <c r="D1990" s="9" t="s">
        <v>72</v>
      </c>
      <c r="E1990" s="11">
        <v>619265.0</v>
      </c>
      <c r="F1990" s="11">
        <v>1558112.0</v>
      </c>
    </row>
    <row r="1991">
      <c r="A1991" s="5">
        <v>1990.0</v>
      </c>
      <c r="B1991" s="5" t="s">
        <v>77</v>
      </c>
      <c r="C1991" s="12" t="s">
        <v>232</v>
      </c>
      <c r="D1991" s="9" t="s">
        <v>60</v>
      </c>
      <c r="E1991" s="8"/>
      <c r="F1991" s="8"/>
    </row>
    <row r="1992">
      <c r="A1992" s="5">
        <v>1991.0</v>
      </c>
      <c r="B1992" s="5" t="s">
        <v>77</v>
      </c>
      <c r="C1992" s="12" t="s">
        <v>232</v>
      </c>
      <c r="D1992" s="9" t="s">
        <v>62</v>
      </c>
      <c r="E1992" s="8"/>
      <c r="F1992" s="8"/>
    </row>
    <row r="1993">
      <c r="A1993" s="5">
        <v>1992.0</v>
      </c>
      <c r="B1993" s="5" t="s">
        <v>77</v>
      </c>
      <c r="C1993" s="12" t="s">
        <v>232</v>
      </c>
      <c r="D1993" s="9" t="s">
        <v>63</v>
      </c>
      <c r="E1993" s="8"/>
      <c r="F1993" s="11">
        <v>594.0</v>
      </c>
    </row>
    <row r="1994">
      <c r="A1994" s="5">
        <v>1993.0</v>
      </c>
      <c r="B1994" s="5" t="s">
        <v>77</v>
      </c>
      <c r="C1994" s="12" t="s">
        <v>232</v>
      </c>
      <c r="D1994" s="9" t="s">
        <v>64</v>
      </c>
      <c r="E1994" s="8"/>
      <c r="F1994" s="11">
        <v>576.0</v>
      </c>
    </row>
    <row r="1995">
      <c r="A1995" s="5">
        <v>1994.0</v>
      </c>
      <c r="B1995" s="5" t="s">
        <v>77</v>
      </c>
      <c r="C1995" s="12" t="s">
        <v>232</v>
      </c>
      <c r="D1995" s="9" t="s">
        <v>65</v>
      </c>
      <c r="E1995" s="8"/>
      <c r="F1995" s="11">
        <v>543.0</v>
      </c>
    </row>
    <row r="1996">
      <c r="A1996" s="5">
        <v>1995.0</v>
      </c>
      <c r="B1996" s="5" t="s">
        <v>77</v>
      </c>
      <c r="C1996" s="12" t="s">
        <v>232</v>
      </c>
      <c r="D1996" s="9" t="s">
        <v>69</v>
      </c>
      <c r="E1996" s="8"/>
      <c r="F1996" s="11">
        <v>557.0</v>
      </c>
    </row>
    <row r="1997">
      <c r="A1997" s="5">
        <v>1996.0</v>
      </c>
      <c r="B1997" s="5" t="s">
        <v>77</v>
      </c>
      <c r="C1997" s="12" t="s">
        <v>232</v>
      </c>
      <c r="D1997" s="9" t="s">
        <v>73</v>
      </c>
      <c r="E1997" s="8"/>
      <c r="F1997" s="11">
        <v>528.0</v>
      </c>
    </row>
    <row r="1998">
      <c r="A1998" s="5">
        <v>1997.0</v>
      </c>
      <c r="B1998" s="5" t="s">
        <v>77</v>
      </c>
      <c r="C1998" s="12" t="s">
        <v>232</v>
      </c>
      <c r="D1998" s="9" t="s">
        <v>71</v>
      </c>
      <c r="E1998" s="8"/>
      <c r="F1998" s="11">
        <v>528.0</v>
      </c>
    </row>
    <row r="1999">
      <c r="A1999" s="5">
        <v>1998.0</v>
      </c>
      <c r="B1999" s="5" t="s">
        <v>77</v>
      </c>
      <c r="C1999" s="12" t="s">
        <v>232</v>
      </c>
      <c r="D1999" s="9" t="s">
        <v>68</v>
      </c>
      <c r="E1999" s="8"/>
      <c r="F1999" s="11">
        <v>689.0</v>
      </c>
    </row>
    <row r="2000">
      <c r="A2000" s="5">
        <v>1999.0</v>
      </c>
      <c r="B2000" s="5" t="s">
        <v>77</v>
      </c>
      <c r="C2000" s="12" t="s">
        <v>232</v>
      </c>
      <c r="D2000" s="9" t="s">
        <v>72</v>
      </c>
      <c r="E2000" s="8"/>
      <c r="F2000" s="11">
        <v>682.0</v>
      </c>
    </row>
    <row r="2001">
      <c r="A2001" s="5">
        <v>2000.0</v>
      </c>
      <c r="B2001" s="5" t="s">
        <v>77</v>
      </c>
      <c r="C2001" s="12" t="s">
        <v>232</v>
      </c>
      <c r="D2001" s="9" t="s">
        <v>68</v>
      </c>
      <c r="E2001" s="8"/>
      <c r="F2001" s="11">
        <v>689.0</v>
      </c>
    </row>
    <row r="2002">
      <c r="A2002" s="5">
        <v>2001.0</v>
      </c>
      <c r="B2002" s="5" t="s">
        <v>77</v>
      </c>
      <c r="C2002" s="12" t="s">
        <v>232</v>
      </c>
      <c r="D2002" s="9" t="s">
        <v>68</v>
      </c>
      <c r="E2002" s="8"/>
      <c r="F2002" s="11">
        <v>689.0</v>
      </c>
    </row>
    <row r="2003">
      <c r="A2003" s="5">
        <v>2002.0</v>
      </c>
      <c r="B2003" s="5" t="s">
        <v>77</v>
      </c>
      <c r="C2003" s="12" t="s">
        <v>232</v>
      </c>
      <c r="D2003" s="9" t="s">
        <v>72</v>
      </c>
      <c r="E2003" s="8"/>
      <c r="F2003" s="11">
        <v>686.0</v>
      </c>
    </row>
    <row r="2004">
      <c r="A2004" s="5">
        <v>2003.0</v>
      </c>
      <c r="B2004" s="5" t="s">
        <v>80</v>
      </c>
      <c r="C2004" s="12" t="s">
        <v>233</v>
      </c>
      <c r="D2004" s="9" t="s">
        <v>60</v>
      </c>
      <c r="E2004" s="8"/>
      <c r="F2004" s="8"/>
    </row>
    <row r="2005">
      <c r="A2005" s="5">
        <v>2004.0</v>
      </c>
      <c r="B2005" s="5" t="s">
        <v>80</v>
      </c>
      <c r="C2005" s="12" t="s">
        <v>233</v>
      </c>
      <c r="D2005" s="9" t="s">
        <v>62</v>
      </c>
      <c r="E2005" s="8"/>
      <c r="F2005" s="8"/>
    </row>
    <row r="2006">
      <c r="A2006" s="5">
        <v>2005.0</v>
      </c>
      <c r="B2006" s="5" t="s">
        <v>80</v>
      </c>
      <c r="C2006" s="12" t="s">
        <v>233</v>
      </c>
      <c r="D2006" s="9" t="s">
        <v>63</v>
      </c>
      <c r="E2006" s="8"/>
      <c r="F2006" s="11">
        <v>161.0</v>
      </c>
    </row>
    <row r="2007">
      <c r="A2007" s="5">
        <v>2006.0</v>
      </c>
      <c r="B2007" s="5" t="s">
        <v>80</v>
      </c>
      <c r="C2007" s="12" t="s">
        <v>233</v>
      </c>
      <c r="D2007" s="9" t="s">
        <v>64</v>
      </c>
      <c r="E2007" s="8"/>
      <c r="F2007" s="11">
        <v>161.0</v>
      </c>
    </row>
    <row r="2008">
      <c r="A2008" s="5">
        <v>2007.0</v>
      </c>
      <c r="B2008" s="5" t="s">
        <v>80</v>
      </c>
      <c r="C2008" s="12" t="s">
        <v>233</v>
      </c>
      <c r="D2008" s="9" t="s">
        <v>65</v>
      </c>
      <c r="E2008" s="8"/>
      <c r="F2008" s="11">
        <v>161.0</v>
      </c>
    </row>
    <row r="2009">
      <c r="A2009" s="5">
        <v>2008.0</v>
      </c>
      <c r="B2009" s="5" t="s">
        <v>80</v>
      </c>
      <c r="C2009" s="12" t="s">
        <v>233</v>
      </c>
      <c r="D2009" s="9" t="s">
        <v>69</v>
      </c>
      <c r="E2009" s="11">
        <v>58.0</v>
      </c>
      <c r="F2009" s="11">
        <v>161.0</v>
      </c>
    </row>
    <row r="2010">
      <c r="A2010" s="5">
        <v>2009.0</v>
      </c>
      <c r="B2010" s="5" t="s">
        <v>80</v>
      </c>
      <c r="C2010" s="12" t="s">
        <v>233</v>
      </c>
      <c r="D2010" s="9" t="s">
        <v>73</v>
      </c>
      <c r="E2010" s="11">
        <v>57.0</v>
      </c>
      <c r="F2010" s="11">
        <v>158.0</v>
      </c>
    </row>
    <row r="2011">
      <c r="A2011" s="5">
        <v>2010.0</v>
      </c>
      <c r="B2011" s="5" t="s">
        <v>80</v>
      </c>
      <c r="C2011" s="12" t="s">
        <v>233</v>
      </c>
      <c r="D2011" s="9" t="s">
        <v>71</v>
      </c>
      <c r="E2011" s="11">
        <v>57.0</v>
      </c>
      <c r="F2011" s="11">
        <v>158.0</v>
      </c>
    </row>
    <row r="2012">
      <c r="A2012" s="5">
        <v>2011.0</v>
      </c>
      <c r="B2012" s="5" t="s">
        <v>80</v>
      </c>
      <c r="C2012" s="12" t="s">
        <v>233</v>
      </c>
      <c r="D2012" s="9" t="s">
        <v>68</v>
      </c>
      <c r="E2012" s="11">
        <v>56.0</v>
      </c>
      <c r="F2012" s="11">
        <v>154.0</v>
      </c>
    </row>
    <row r="2013">
      <c r="A2013" s="5">
        <v>2012.0</v>
      </c>
      <c r="B2013" s="5" t="s">
        <v>80</v>
      </c>
      <c r="C2013" s="12" t="s">
        <v>233</v>
      </c>
      <c r="D2013" s="9" t="s">
        <v>72</v>
      </c>
      <c r="E2013" s="8"/>
      <c r="F2013" s="11">
        <v>150.0</v>
      </c>
    </row>
    <row r="2014">
      <c r="A2014" s="5">
        <v>2013.0</v>
      </c>
      <c r="B2014" s="5" t="s">
        <v>80</v>
      </c>
      <c r="C2014" s="12" t="s">
        <v>233</v>
      </c>
      <c r="D2014" s="9" t="s">
        <v>68</v>
      </c>
      <c r="E2014" s="8"/>
      <c r="F2014" s="11">
        <v>143.0</v>
      </c>
    </row>
    <row r="2015">
      <c r="A2015" s="5">
        <v>2014.0</v>
      </c>
      <c r="B2015" s="5" t="s">
        <v>80</v>
      </c>
      <c r="C2015" s="12" t="s">
        <v>233</v>
      </c>
      <c r="D2015" s="9" t="s">
        <v>68</v>
      </c>
      <c r="E2015" s="8"/>
      <c r="F2015" s="11">
        <v>143.0</v>
      </c>
    </row>
    <row r="2016">
      <c r="A2016" s="5">
        <v>2015.0</v>
      </c>
      <c r="B2016" s="5" t="s">
        <v>80</v>
      </c>
      <c r="C2016" s="12" t="s">
        <v>233</v>
      </c>
      <c r="D2016" s="9" t="s">
        <v>72</v>
      </c>
      <c r="E2016" s="8"/>
      <c r="F2016" s="11">
        <v>139.0</v>
      </c>
    </row>
    <row r="2017">
      <c r="A2017" s="5">
        <v>2016.0</v>
      </c>
      <c r="B2017" s="5" t="s">
        <v>75</v>
      </c>
      <c r="C2017" s="12" t="s">
        <v>234</v>
      </c>
      <c r="D2017" s="9" t="s">
        <v>60</v>
      </c>
      <c r="E2017" s="8"/>
      <c r="F2017" s="8"/>
    </row>
    <row r="2018">
      <c r="A2018" s="5">
        <v>2017.0</v>
      </c>
      <c r="B2018" s="5" t="s">
        <v>75</v>
      </c>
      <c r="C2018" s="12" t="s">
        <v>234</v>
      </c>
      <c r="D2018" s="9" t="s">
        <v>62</v>
      </c>
      <c r="E2018" s="8"/>
      <c r="F2018" s="8"/>
    </row>
    <row r="2019">
      <c r="A2019" s="5">
        <v>2018.0</v>
      </c>
      <c r="B2019" s="5" t="s">
        <v>75</v>
      </c>
      <c r="C2019" s="12" t="s">
        <v>234</v>
      </c>
      <c r="D2019" s="9" t="s">
        <v>63</v>
      </c>
      <c r="E2019" s="8"/>
      <c r="F2019" s="8"/>
    </row>
    <row r="2020">
      <c r="A2020" s="5">
        <v>2019.0</v>
      </c>
      <c r="B2020" s="5" t="s">
        <v>75</v>
      </c>
      <c r="C2020" s="12" t="s">
        <v>234</v>
      </c>
      <c r="D2020" s="9" t="s">
        <v>64</v>
      </c>
      <c r="E2020" s="8"/>
      <c r="F2020" s="8"/>
    </row>
    <row r="2021">
      <c r="A2021" s="5">
        <v>2020.0</v>
      </c>
      <c r="B2021" s="5" t="s">
        <v>75</v>
      </c>
      <c r="C2021" s="12" t="s">
        <v>234</v>
      </c>
      <c r="D2021" s="9" t="s">
        <v>65</v>
      </c>
      <c r="E2021" s="8"/>
      <c r="F2021" s="8"/>
    </row>
    <row r="2022">
      <c r="A2022" s="5">
        <v>2021.0</v>
      </c>
      <c r="B2022" s="5" t="s">
        <v>75</v>
      </c>
      <c r="C2022" s="12" t="s">
        <v>234</v>
      </c>
      <c r="D2022" s="9" t="s">
        <v>69</v>
      </c>
      <c r="E2022" s="8"/>
      <c r="F2022" s="8"/>
    </row>
    <row r="2023">
      <c r="A2023" s="5">
        <v>2022.0</v>
      </c>
      <c r="B2023" s="5" t="s">
        <v>75</v>
      </c>
      <c r="C2023" s="12" t="s">
        <v>234</v>
      </c>
      <c r="D2023" s="9" t="s">
        <v>73</v>
      </c>
      <c r="E2023" s="8"/>
      <c r="F2023" s="8"/>
    </row>
    <row r="2024">
      <c r="A2024" s="5">
        <v>2023.0</v>
      </c>
      <c r="B2024" s="5" t="s">
        <v>75</v>
      </c>
      <c r="C2024" s="12" t="s">
        <v>234</v>
      </c>
      <c r="D2024" s="9" t="s">
        <v>71</v>
      </c>
      <c r="E2024" s="8"/>
      <c r="F2024" s="8"/>
    </row>
    <row r="2025">
      <c r="A2025" s="5">
        <v>2024.0</v>
      </c>
      <c r="B2025" s="5" t="s">
        <v>75</v>
      </c>
      <c r="C2025" s="12" t="s">
        <v>234</v>
      </c>
      <c r="D2025" s="9" t="s">
        <v>68</v>
      </c>
      <c r="E2025" s="8"/>
      <c r="F2025" s="8"/>
    </row>
    <row r="2026">
      <c r="A2026" s="5">
        <v>2025.0</v>
      </c>
      <c r="B2026" s="5" t="s">
        <v>75</v>
      </c>
      <c r="C2026" s="12" t="s">
        <v>234</v>
      </c>
      <c r="D2026" s="9" t="s">
        <v>72</v>
      </c>
      <c r="E2026" s="8"/>
      <c r="F2026" s="8"/>
    </row>
    <row r="2027">
      <c r="A2027" s="5">
        <v>2026.0</v>
      </c>
      <c r="B2027" s="5" t="s">
        <v>75</v>
      </c>
      <c r="C2027" s="12" t="s">
        <v>234</v>
      </c>
      <c r="D2027" s="9" t="s">
        <v>68</v>
      </c>
      <c r="E2027" s="8"/>
      <c r="F2027" s="8"/>
    </row>
    <row r="2028">
      <c r="A2028" s="5">
        <v>2027.0</v>
      </c>
      <c r="B2028" s="5" t="s">
        <v>75</v>
      </c>
      <c r="C2028" s="12" t="s">
        <v>234</v>
      </c>
      <c r="D2028" s="9" t="s">
        <v>68</v>
      </c>
      <c r="E2028" s="8"/>
      <c r="F2028" s="8"/>
    </row>
    <row r="2029">
      <c r="A2029" s="5">
        <v>2028.0</v>
      </c>
      <c r="B2029" s="5" t="s">
        <v>75</v>
      </c>
      <c r="C2029" s="12" t="s">
        <v>234</v>
      </c>
      <c r="D2029" s="9" t="s">
        <v>72</v>
      </c>
      <c r="E2029" s="8"/>
      <c r="F2029" s="8"/>
    </row>
    <row r="2030">
      <c r="A2030" s="5">
        <v>2029.0</v>
      </c>
      <c r="B2030" s="5" t="s">
        <v>77</v>
      </c>
      <c r="C2030" s="12" t="s">
        <v>235</v>
      </c>
      <c r="D2030" s="9" t="s">
        <v>60</v>
      </c>
      <c r="E2030" s="8"/>
      <c r="F2030" s="8"/>
    </row>
    <row r="2031">
      <c r="A2031" s="5">
        <v>2030.0</v>
      </c>
      <c r="B2031" s="5" t="s">
        <v>77</v>
      </c>
      <c r="C2031" s="12" t="s">
        <v>235</v>
      </c>
      <c r="D2031" s="9" t="s">
        <v>62</v>
      </c>
      <c r="E2031" s="8"/>
      <c r="F2031" s="8"/>
    </row>
    <row r="2032">
      <c r="A2032" s="5">
        <v>2031.0</v>
      </c>
      <c r="B2032" s="5" t="s">
        <v>77</v>
      </c>
      <c r="C2032" s="12" t="s">
        <v>235</v>
      </c>
      <c r="D2032" s="9" t="s">
        <v>63</v>
      </c>
      <c r="E2032" s="8"/>
      <c r="F2032" s="11">
        <v>99.0</v>
      </c>
    </row>
    <row r="2033">
      <c r="A2033" s="5">
        <v>2032.0</v>
      </c>
      <c r="B2033" s="5" t="s">
        <v>77</v>
      </c>
      <c r="C2033" s="12" t="s">
        <v>235</v>
      </c>
      <c r="D2033" s="9" t="s">
        <v>64</v>
      </c>
      <c r="E2033" s="8"/>
      <c r="F2033" s="11">
        <v>92.0</v>
      </c>
    </row>
    <row r="2034">
      <c r="A2034" s="5">
        <v>2033.0</v>
      </c>
      <c r="B2034" s="5" t="s">
        <v>77</v>
      </c>
      <c r="C2034" s="12" t="s">
        <v>235</v>
      </c>
      <c r="D2034" s="9" t="s">
        <v>65</v>
      </c>
      <c r="E2034" s="8"/>
      <c r="F2034" s="11">
        <v>84.0</v>
      </c>
    </row>
    <row r="2035">
      <c r="A2035" s="5">
        <v>2034.0</v>
      </c>
      <c r="B2035" s="5" t="s">
        <v>77</v>
      </c>
      <c r="C2035" s="12" t="s">
        <v>235</v>
      </c>
      <c r="D2035" s="9" t="s">
        <v>69</v>
      </c>
      <c r="E2035" s="11">
        <v>44.0</v>
      </c>
      <c r="F2035" s="11">
        <v>84.0</v>
      </c>
    </row>
    <row r="2036">
      <c r="A2036" s="5">
        <v>2035.0</v>
      </c>
      <c r="B2036" s="5" t="s">
        <v>77</v>
      </c>
      <c r="C2036" s="12" t="s">
        <v>235</v>
      </c>
      <c r="D2036" s="9" t="s">
        <v>73</v>
      </c>
      <c r="E2036" s="11">
        <v>44.0</v>
      </c>
      <c r="F2036" s="11">
        <v>84.0</v>
      </c>
    </row>
    <row r="2037">
      <c r="A2037" s="5">
        <v>2036.0</v>
      </c>
      <c r="B2037" s="5" t="s">
        <v>77</v>
      </c>
      <c r="C2037" s="12" t="s">
        <v>235</v>
      </c>
      <c r="D2037" s="9" t="s">
        <v>71</v>
      </c>
      <c r="E2037" s="11">
        <v>43.0</v>
      </c>
      <c r="F2037" s="11">
        <v>77.0</v>
      </c>
    </row>
    <row r="2038">
      <c r="A2038" s="5">
        <v>2037.0</v>
      </c>
      <c r="B2038" s="5" t="s">
        <v>77</v>
      </c>
      <c r="C2038" s="12" t="s">
        <v>235</v>
      </c>
      <c r="D2038" s="9" t="s">
        <v>68</v>
      </c>
      <c r="E2038" s="11">
        <v>38.0</v>
      </c>
      <c r="F2038" s="11">
        <v>73.0</v>
      </c>
    </row>
    <row r="2039">
      <c r="A2039" s="5">
        <v>2038.0</v>
      </c>
      <c r="B2039" s="5" t="s">
        <v>77</v>
      </c>
      <c r="C2039" s="12" t="s">
        <v>235</v>
      </c>
      <c r="D2039" s="9" t="s">
        <v>72</v>
      </c>
      <c r="E2039" s="8"/>
      <c r="F2039" s="11">
        <v>66.0</v>
      </c>
    </row>
    <row r="2040">
      <c r="A2040" s="5">
        <v>2039.0</v>
      </c>
      <c r="B2040" s="5" t="s">
        <v>77</v>
      </c>
      <c r="C2040" s="12" t="s">
        <v>235</v>
      </c>
      <c r="D2040" s="9" t="s">
        <v>68</v>
      </c>
      <c r="E2040" s="8"/>
      <c r="F2040" s="11">
        <v>59.0</v>
      </c>
    </row>
    <row r="2041">
      <c r="A2041" s="5">
        <v>2040.0</v>
      </c>
      <c r="B2041" s="5" t="s">
        <v>77</v>
      </c>
      <c r="C2041" s="12" t="s">
        <v>235</v>
      </c>
      <c r="D2041" s="9" t="s">
        <v>68</v>
      </c>
      <c r="E2041" s="8"/>
      <c r="F2041" s="11">
        <v>51.0</v>
      </c>
    </row>
    <row r="2042">
      <c r="A2042" s="5">
        <v>2041.0</v>
      </c>
      <c r="B2042" s="5" t="s">
        <v>77</v>
      </c>
      <c r="C2042" s="12" t="s">
        <v>235</v>
      </c>
      <c r="D2042" s="9" t="s">
        <v>72</v>
      </c>
      <c r="E2042" s="8"/>
      <c r="F2042" s="11">
        <v>48.0</v>
      </c>
    </row>
    <row r="2043">
      <c r="A2043" s="5">
        <v>2042.0</v>
      </c>
      <c r="B2043" s="5" t="s">
        <v>93</v>
      </c>
      <c r="C2043" s="12" t="s">
        <v>236</v>
      </c>
      <c r="D2043" s="9" t="s">
        <v>60</v>
      </c>
      <c r="E2043" s="8"/>
      <c r="F2043" s="8"/>
    </row>
    <row r="2044">
      <c r="A2044" s="5">
        <v>2043.0</v>
      </c>
      <c r="B2044" s="5" t="s">
        <v>93</v>
      </c>
      <c r="C2044" s="12" t="s">
        <v>236</v>
      </c>
      <c r="D2044" s="9" t="s">
        <v>62</v>
      </c>
      <c r="E2044" s="11">
        <v>187070.0</v>
      </c>
      <c r="F2044" s="8"/>
    </row>
    <row r="2045">
      <c r="A2045" s="5">
        <v>2044.0</v>
      </c>
      <c r="B2045" s="5" t="s">
        <v>93</v>
      </c>
      <c r="C2045" s="12" t="s">
        <v>236</v>
      </c>
      <c r="D2045" s="9" t="s">
        <v>63</v>
      </c>
      <c r="E2045" s="11">
        <v>192004.0</v>
      </c>
      <c r="F2045" s="11">
        <v>464481.0</v>
      </c>
    </row>
    <row r="2046">
      <c r="A2046" s="5">
        <v>2045.0</v>
      </c>
      <c r="B2046" s="5" t="s">
        <v>93</v>
      </c>
      <c r="C2046" s="12" t="s">
        <v>236</v>
      </c>
      <c r="D2046" s="9" t="s">
        <v>64</v>
      </c>
      <c r="E2046" s="11">
        <v>175675.0</v>
      </c>
      <c r="F2046" s="11">
        <v>431027.0</v>
      </c>
    </row>
    <row r="2047">
      <c r="A2047" s="5">
        <v>2046.0</v>
      </c>
      <c r="B2047" s="5" t="s">
        <v>93</v>
      </c>
      <c r="C2047" s="12" t="s">
        <v>236</v>
      </c>
      <c r="D2047" s="9" t="s">
        <v>65</v>
      </c>
      <c r="E2047" s="11">
        <v>154076.0</v>
      </c>
      <c r="F2047" s="11">
        <v>418240.0</v>
      </c>
    </row>
    <row r="2048">
      <c r="A2048" s="5">
        <v>2047.0</v>
      </c>
      <c r="B2048" s="5" t="s">
        <v>93</v>
      </c>
      <c r="C2048" s="12" t="s">
        <v>236</v>
      </c>
      <c r="D2048" s="9" t="s">
        <v>69</v>
      </c>
      <c r="E2048" s="11">
        <v>144109.0</v>
      </c>
      <c r="F2048" s="11">
        <v>393535.0</v>
      </c>
    </row>
    <row r="2049">
      <c r="A2049" s="5">
        <v>2048.0</v>
      </c>
      <c r="B2049" s="5" t="s">
        <v>93</v>
      </c>
      <c r="C2049" s="12" t="s">
        <v>236</v>
      </c>
      <c r="D2049" s="9" t="s">
        <v>73</v>
      </c>
      <c r="E2049" s="11">
        <v>158214.0</v>
      </c>
      <c r="F2049" s="11">
        <v>432739.0</v>
      </c>
    </row>
    <row r="2050">
      <c r="A2050" s="5">
        <v>2049.0</v>
      </c>
      <c r="B2050" s="5" t="s">
        <v>93</v>
      </c>
      <c r="C2050" s="12" t="s">
        <v>236</v>
      </c>
      <c r="D2050" s="9" t="s">
        <v>71</v>
      </c>
      <c r="E2050" s="11">
        <v>145540.0</v>
      </c>
      <c r="F2050" s="11">
        <v>397642.0</v>
      </c>
    </row>
    <row r="2051">
      <c r="A2051" s="5">
        <v>2050.0</v>
      </c>
      <c r="B2051" s="5" t="s">
        <v>93</v>
      </c>
      <c r="C2051" s="12" t="s">
        <v>236</v>
      </c>
      <c r="D2051" s="9" t="s">
        <v>68</v>
      </c>
      <c r="E2051" s="11">
        <v>143706.0</v>
      </c>
      <c r="F2051" s="11">
        <v>395834.0</v>
      </c>
    </row>
    <row r="2052">
      <c r="A2052" s="5">
        <v>2051.0</v>
      </c>
      <c r="B2052" s="5" t="s">
        <v>93</v>
      </c>
      <c r="C2052" s="12" t="s">
        <v>236</v>
      </c>
      <c r="D2052" s="9" t="s">
        <v>72</v>
      </c>
      <c r="E2052" s="11">
        <v>121382.0</v>
      </c>
      <c r="F2052" s="11">
        <v>327272.0</v>
      </c>
    </row>
    <row r="2053">
      <c r="A2053" s="5">
        <v>2052.0</v>
      </c>
      <c r="B2053" s="5" t="s">
        <v>93</v>
      </c>
      <c r="C2053" s="12" t="s">
        <v>236</v>
      </c>
      <c r="D2053" s="9" t="s">
        <v>68</v>
      </c>
      <c r="E2053" s="11">
        <v>116953.0</v>
      </c>
      <c r="F2053" s="11">
        <v>326407.0</v>
      </c>
    </row>
    <row r="2054">
      <c r="A2054" s="5">
        <v>2053.0</v>
      </c>
      <c r="B2054" s="5" t="s">
        <v>93</v>
      </c>
      <c r="C2054" s="12" t="s">
        <v>236</v>
      </c>
      <c r="D2054" s="9" t="s">
        <v>68</v>
      </c>
      <c r="E2054" s="11">
        <v>106657.0</v>
      </c>
      <c r="F2054" s="11">
        <v>297214.0</v>
      </c>
    </row>
    <row r="2055">
      <c r="A2055" s="5">
        <v>2054.0</v>
      </c>
      <c r="B2055" s="5" t="s">
        <v>93</v>
      </c>
      <c r="C2055" s="12" t="s">
        <v>236</v>
      </c>
      <c r="D2055" s="9" t="s">
        <v>72</v>
      </c>
      <c r="E2055" s="11">
        <v>101325.0</v>
      </c>
      <c r="F2055" s="11">
        <v>296935.0</v>
      </c>
    </row>
    <row r="2056">
      <c r="A2056" s="5">
        <v>2055.0</v>
      </c>
      <c r="B2056" s="5" t="s">
        <v>77</v>
      </c>
      <c r="C2056" s="12" t="s">
        <v>237</v>
      </c>
      <c r="D2056" s="9" t="s">
        <v>60</v>
      </c>
      <c r="E2056" s="8"/>
      <c r="F2056" s="8"/>
    </row>
    <row r="2057">
      <c r="A2057" s="5">
        <v>2056.0</v>
      </c>
      <c r="B2057" s="5" t="s">
        <v>77</v>
      </c>
      <c r="C2057" s="12" t="s">
        <v>237</v>
      </c>
      <c r="D2057" s="9" t="s">
        <v>62</v>
      </c>
      <c r="E2057" s="11">
        <v>3515.0</v>
      </c>
      <c r="F2057" s="8"/>
    </row>
    <row r="2058">
      <c r="A2058" s="5">
        <v>2057.0</v>
      </c>
      <c r="B2058" s="5" t="s">
        <v>77</v>
      </c>
      <c r="C2058" s="12" t="s">
        <v>237</v>
      </c>
      <c r="D2058" s="9" t="s">
        <v>63</v>
      </c>
      <c r="E2058" s="11">
        <v>3426.0</v>
      </c>
      <c r="F2058" s="11">
        <v>7059.0</v>
      </c>
    </row>
    <row r="2059">
      <c r="A2059" s="5">
        <v>2058.0</v>
      </c>
      <c r="B2059" s="5" t="s">
        <v>77</v>
      </c>
      <c r="C2059" s="12" t="s">
        <v>237</v>
      </c>
      <c r="D2059" s="9" t="s">
        <v>64</v>
      </c>
      <c r="E2059" s="11">
        <v>3270.0</v>
      </c>
      <c r="F2059" s="11">
        <v>5849.0</v>
      </c>
    </row>
    <row r="2060">
      <c r="A2060" s="5">
        <v>2059.0</v>
      </c>
      <c r="B2060" s="5" t="s">
        <v>77</v>
      </c>
      <c r="C2060" s="12" t="s">
        <v>237</v>
      </c>
      <c r="D2060" s="9" t="s">
        <v>65</v>
      </c>
      <c r="E2060" s="11">
        <v>3036.0</v>
      </c>
      <c r="F2060" s="11">
        <v>5442.0</v>
      </c>
    </row>
    <row r="2061">
      <c r="A2061" s="5">
        <v>2060.0</v>
      </c>
      <c r="B2061" s="5" t="s">
        <v>77</v>
      </c>
      <c r="C2061" s="12" t="s">
        <v>237</v>
      </c>
      <c r="D2061" s="9" t="s">
        <v>69</v>
      </c>
      <c r="E2061" s="11">
        <v>3000.0</v>
      </c>
      <c r="F2061" s="11">
        <v>5335.0</v>
      </c>
    </row>
    <row r="2062">
      <c r="A2062" s="5">
        <v>2061.0</v>
      </c>
      <c r="B2062" s="5" t="s">
        <v>77</v>
      </c>
      <c r="C2062" s="12" t="s">
        <v>237</v>
      </c>
      <c r="D2062" s="9" t="s">
        <v>73</v>
      </c>
      <c r="E2062" s="11">
        <v>2798.0</v>
      </c>
      <c r="F2062" s="11">
        <v>4789.0</v>
      </c>
    </row>
    <row r="2063">
      <c r="A2063" s="5">
        <v>2062.0</v>
      </c>
      <c r="B2063" s="5" t="s">
        <v>77</v>
      </c>
      <c r="C2063" s="12" t="s">
        <v>237</v>
      </c>
      <c r="D2063" s="9" t="s">
        <v>71</v>
      </c>
      <c r="E2063" s="11">
        <v>2791.0</v>
      </c>
      <c r="F2063" s="11">
        <v>5860.0</v>
      </c>
    </row>
    <row r="2064">
      <c r="A2064" s="5">
        <v>2063.0</v>
      </c>
      <c r="B2064" s="5" t="s">
        <v>77</v>
      </c>
      <c r="C2064" s="12" t="s">
        <v>237</v>
      </c>
      <c r="D2064" s="9" t="s">
        <v>68</v>
      </c>
      <c r="E2064" s="11">
        <v>2736.0</v>
      </c>
      <c r="F2064" s="11">
        <v>5280.0</v>
      </c>
    </row>
    <row r="2065">
      <c r="A2065" s="5">
        <v>2064.0</v>
      </c>
      <c r="B2065" s="5" t="s">
        <v>77</v>
      </c>
      <c r="C2065" s="12" t="s">
        <v>237</v>
      </c>
      <c r="D2065" s="9" t="s">
        <v>72</v>
      </c>
      <c r="E2065" s="11">
        <v>2556.0</v>
      </c>
      <c r="F2065" s="11">
        <v>5013.0</v>
      </c>
    </row>
    <row r="2066">
      <c r="A2066" s="5">
        <v>2065.0</v>
      </c>
      <c r="B2066" s="5" t="s">
        <v>77</v>
      </c>
      <c r="C2066" s="12" t="s">
        <v>237</v>
      </c>
      <c r="D2066" s="9" t="s">
        <v>68</v>
      </c>
      <c r="E2066" s="11">
        <v>2632.0</v>
      </c>
      <c r="F2066" s="11">
        <v>4547.0</v>
      </c>
    </row>
    <row r="2067">
      <c r="A2067" s="5">
        <v>2066.0</v>
      </c>
      <c r="B2067" s="5" t="s">
        <v>77</v>
      </c>
      <c r="C2067" s="12" t="s">
        <v>237</v>
      </c>
      <c r="D2067" s="9" t="s">
        <v>68</v>
      </c>
      <c r="E2067" s="11">
        <v>2592.0</v>
      </c>
      <c r="F2067" s="11">
        <v>4331.0</v>
      </c>
    </row>
    <row r="2068">
      <c r="A2068" s="5">
        <v>2067.0</v>
      </c>
      <c r="B2068" s="5" t="s">
        <v>77</v>
      </c>
      <c r="C2068" s="12" t="s">
        <v>237</v>
      </c>
      <c r="D2068" s="9" t="s">
        <v>72</v>
      </c>
      <c r="E2068" s="11">
        <v>2398.0</v>
      </c>
      <c r="F2068" s="11">
        <v>3938.0</v>
      </c>
    </row>
    <row r="2069">
      <c r="A2069" s="5">
        <v>2068.0</v>
      </c>
      <c r="B2069" s="5" t="s">
        <v>75</v>
      </c>
      <c r="C2069" s="12" t="s">
        <v>238</v>
      </c>
      <c r="D2069" s="9" t="s">
        <v>60</v>
      </c>
      <c r="E2069" s="8"/>
      <c r="F2069" s="8"/>
    </row>
    <row r="2070">
      <c r="A2070" s="5">
        <v>2069.0</v>
      </c>
      <c r="B2070" s="5" t="s">
        <v>75</v>
      </c>
      <c r="C2070" s="12" t="s">
        <v>238</v>
      </c>
      <c r="D2070" s="9" t="s">
        <v>62</v>
      </c>
      <c r="E2070" s="11">
        <v>16185.0</v>
      </c>
      <c r="F2070" s="8"/>
    </row>
    <row r="2071">
      <c r="A2071" s="5">
        <v>2070.0</v>
      </c>
      <c r="B2071" s="5" t="s">
        <v>75</v>
      </c>
      <c r="C2071" s="12" t="s">
        <v>238</v>
      </c>
      <c r="D2071" s="9" t="s">
        <v>63</v>
      </c>
      <c r="E2071" s="11">
        <v>15536.0</v>
      </c>
      <c r="F2071" s="11">
        <v>45962.0</v>
      </c>
    </row>
    <row r="2072">
      <c r="A2072" s="5">
        <v>2071.0</v>
      </c>
      <c r="B2072" s="5" t="s">
        <v>75</v>
      </c>
      <c r="C2072" s="12" t="s">
        <v>238</v>
      </c>
      <c r="D2072" s="9" t="s">
        <v>64</v>
      </c>
      <c r="E2072" s="11">
        <v>15177.0</v>
      </c>
      <c r="F2072" s="11">
        <v>46127.0</v>
      </c>
    </row>
    <row r="2073">
      <c r="A2073" s="5">
        <v>2072.0</v>
      </c>
      <c r="B2073" s="5" t="s">
        <v>75</v>
      </c>
      <c r="C2073" s="12" t="s">
        <v>238</v>
      </c>
      <c r="D2073" s="9" t="s">
        <v>65</v>
      </c>
      <c r="E2073" s="11">
        <v>16808.0</v>
      </c>
      <c r="F2073" s="11">
        <v>51881.0</v>
      </c>
    </row>
    <row r="2074">
      <c r="A2074" s="5">
        <v>2073.0</v>
      </c>
      <c r="B2074" s="5" t="s">
        <v>75</v>
      </c>
      <c r="C2074" s="12" t="s">
        <v>238</v>
      </c>
      <c r="D2074" s="9" t="s">
        <v>69</v>
      </c>
      <c r="E2074" s="11">
        <v>16602.0</v>
      </c>
      <c r="F2074" s="11">
        <v>52251.0</v>
      </c>
    </row>
    <row r="2075">
      <c r="A2075" s="5">
        <v>2074.0</v>
      </c>
      <c r="B2075" s="5" t="s">
        <v>75</v>
      </c>
      <c r="C2075" s="12" t="s">
        <v>238</v>
      </c>
      <c r="D2075" s="9" t="s">
        <v>73</v>
      </c>
      <c r="E2075" s="11">
        <v>17064.0</v>
      </c>
      <c r="F2075" s="11">
        <v>53766.0</v>
      </c>
    </row>
    <row r="2076">
      <c r="A2076" s="5">
        <v>2075.0</v>
      </c>
      <c r="B2076" s="5" t="s">
        <v>75</v>
      </c>
      <c r="C2076" s="12" t="s">
        <v>238</v>
      </c>
      <c r="D2076" s="9" t="s">
        <v>71</v>
      </c>
      <c r="E2076" s="11">
        <v>16051.0</v>
      </c>
      <c r="F2076" s="8"/>
    </row>
    <row r="2077">
      <c r="A2077" s="5">
        <v>2076.0</v>
      </c>
      <c r="B2077" s="5" t="s">
        <v>75</v>
      </c>
      <c r="C2077" s="12" t="s">
        <v>238</v>
      </c>
      <c r="D2077" s="9" t="s">
        <v>68</v>
      </c>
      <c r="E2077" s="11">
        <v>18094.0</v>
      </c>
      <c r="F2077" s="8"/>
    </row>
    <row r="2078">
      <c r="A2078" s="5">
        <v>2077.0</v>
      </c>
      <c r="B2078" s="5" t="s">
        <v>75</v>
      </c>
      <c r="C2078" s="12" t="s">
        <v>238</v>
      </c>
      <c r="D2078" s="9" t="s">
        <v>72</v>
      </c>
      <c r="E2078" s="11">
        <v>16635.0</v>
      </c>
      <c r="F2078" s="8"/>
    </row>
    <row r="2079">
      <c r="A2079" s="5">
        <v>2078.0</v>
      </c>
      <c r="B2079" s="5" t="s">
        <v>75</v>
      </c>
      <c r="C2079" s="12" t="s">
        <v>238</v>
      </c>
      <c r="D2079" s="9" t="s">
        <v>69</v>
      </c>
      <c r="E2079" s="11">
        <v>15891.0</v>
      </c>
      <c r="F2079" s="8"/>
    </row>
    <row r="2080">
      <c r="A2080" s="5">
        <v>2079.0</v>
      </c>
      <c r="B2080" s="5" t="s">
        <v>75</v>
      </c>
      <c r="C2080" s="12" t="s">
        <v>238</v>
      </c>
      <c r="D2080" s="9" t="s">
        <v>68</v>
      </c>
      <c r="E2080" s="11">
        <v>14965.0</v>
      </c>
      <c r="F2080" s="8"/>
    </row>
    <row r="2081">
      <c r="A2081" s="5">
        <v>2080.0</v>
      </c>
      <c r="B2081" s="5" t="s">
        <v>75</v>
      </c>
      <c r="C2081" s="12" t="s">
        <v>238</v>
      </c>
      <c r="D2081" s="9" t="s">
        <v>72</v>
      </c>
      <c r="E2081" s="11">
        <v>13728.0</v>
      </c>
      <c r="F2081" s="8"/>
    </row>
    <row r="2082">
      <c r="A2082" s="5">
        <v>2081.0</v>
      </c>
      <c r="B2082" s="5" t="s">
        <v>77</v>
      </c>
      <c r="C2082" s="12" t="s">
        <v>239</v>
      </c>
      <c r="D2082" s="9" t="s">
        <v>60</v>
      </c>
      <c r="E2082" s="8"/>
      <c r="F2082" s="8"/>
    </row>
    <row r="2083">
      <c r="A2083" s="5">
        <v>2082.0</v>
      </c>
      <c r="B2083" s="5" t="s">
        <v>77</v>
      </c>
      <c r="C2083" s="12" t="s">
        <v>239</v>
      </c>
      <c r="D2083" s="9" t="s">
        <v>62</v>
      </c>
      <c r="E2083" s="8"/>
      <c r="F2083" s="8"/>
    </row>
    <row r="2084">
      <c r="A2084" s="5">
        <v>2083.0</v>
      </c>
      <c r="B2084" s="5" t="s">
        <v>77</v>
      </c>
      <c r="C2084" s="12" t="s">
        <v>239</v>
      </c>
      <c r="D2084" s="9" t="s">
        <v>63</v>
      </c>
      <c r="E2084" s="8"/>
      <c r="F2084" s="11">
        <v>704.0</v>
      </c>
    </row>
    <row r="2085">
      <c r="A2085" s="5">
        <v>2084.0</v>
      </c>
      <c r="B2085" s="5" t="s">
        <v>77</v>
      </c>
      <c r="C2085" s="12" t="s">
        <v>239</v>
      </c>
      <c r="D2085" s="9" t="s">
        <v>64</v>
      </c>
      <c r="E2085" s="8"/>
      <c r="F2085" s="11">
        <v>755.0</v>
      </c>
    </row>
    <row r="2086">
      <c r="A2086" s="5">
        <v>2085.0</v>
      </c>
      <c r="B2086" s="5" t="s">
        <v>77</v>
      </c>
      <c r="C2086" s="12" t="s">
        <v>239</v>
      </c>
      <c r="D2086" s="9" t="s">
        <v>65</v>
      </c>
      <c r="E2086" s="8"/>
      <c r="F2086" s="11">
        <v>708.0</v>
      </c>
    </row>
    <row r="2087">
      <c r="A2087" s="5">
        <v>2086.0</v>
      </c>
      <c r="B2087" s="5" t="s">
        <v>77</v>
      </c>
      <c r="C2087" s="12" t="s">
        <v>239</v>
      </c>
      <c r="D2087" s="9" t="s">
        <v>69</v>
      </c>
      <c r="E2087" s="11">
        <v>205.0</v>
      </c>
      <c r="F2087" s="11">
        <v>653.0</v>
      </c>
    </row>
    <row r="2088">
      <c r="A2088" s="5">
        <v>2087.0</v>
      </c>
      <c r="B2088" s="5" t="s">
        <v>77</v>
      </c>
      <c r="C2088" s="12" t="s">
        <v>239</v>
      </c>
      <c r="D2088" s="9" t="s">
        <v>73</v>
      </c>
      <c r="E2088" s="11">
        <v>243.0</v>
      </c>
      <c r="F2088" s="11">
        <v>744.0</v>
      </c>
    </row>
    <row r="2089">
      <c r="A2089" s="5">
        <v>2088.0</v>
      </c>
      <c r="B2089" s="5" t="s">
        <v>77</v>
      </c>
      <c r="C2089" s="12" t="s">
        <v>239</v>
      </c>
      <c r="D2089" s="9" t="s">
        <v>71</v>
      </c>
      <c r="E2089" s="11">
        <v>228.0</v>
      </c>
      <c r="F2089" s="11">
        <v>697.0</v>
      </c>
    </row>
    <row r="2090">
      <c r="A2090" s="5">
        <v>2089.0</v>
      </c>
      <c r="B2090" s="5" t="s">
        <v>77</v>
      </c>
      <c r="C2090" s="12" t="s">
        <v>239</v>
      </c>
      <c r="D2090" s="9" t="s">
        <v>68</v>
      </c>
      <c r="E2090" s="11">
        <v>256.0</v>
      </c>
      <c r="F2090" s="11">
        <v>744.0</v>
      </c>
    </row>
    <row r="2091">
      <c r="A2091" s="5">
        <v>2090.0</v>
      </c>
      <c r="B2091" s="5" t="s">
        <v>77</v>
      </c>
      <c r="C2091" s="12" t="s">
        <v>239</v>
      </c>
      <c r="D2091" s="9" t="s">
        <v>72</v>
      </c>
      <c r="E2091" s="8"/>
      <c r="F2091" s="11">
        <v>557.0</v>
      </c>
    </row>
    <row r="2092">
      <c r="A2092" s="5">
        <v>2091.0</v>
      </c>
      <c r="B2092" s="5" t="s">
        <v>77</v>
      </c>
      <c r="C2092" s="12" t="s">
        <v>239</v>
      </c>
      <c r="D2092" s="9" t="s">
        <v>69</v>
      </c>
      <c r="E2092" s="8"/>
      <c r="F2092" s="11">
        <v>543.0</v>
      </c>
    </row>
    <row r="2093">
      <c r="A2093" s="5">
        <v>2092.0</v>
      </c>
      <c r="B2093" s="5" t="s">
        <v>77</v>
      </c>
      <c r="C2093" s="12" t="s">
        <v>239</v>
      </c>
      <c r="D2093" s="9" t="s">
        <v>68</v>
      </c>
      <c r="E2093" s="8"/>
      <c r="F2093" s="11">
        <v>642.0</v>
      </c>
    </row>
    <row r="2094">
      <c r="A2094" s="5">
        <v>2093.0</v>
      </c>
      <c r="B2094" s="5" t="s">
        <v>77</v>
      </c>
      <c r="C2094" s="12" t="s">
        <v>239</v>
      </c>
      <c r="D2094" s="9" t="s">
        <v>72</v>
      </c>
      <c r="E2094" s="8"/>
      <c r="F2094" s="11">
        <v>565.0</v>
      </c>
    </row>
    <row r="2095">
      <c r="A2095" s="5">
        <v>2094.0</v>
      </c>
      <c r="B2095" s="5" t="s">
        <v>77</v>
      </c>
      <c r="C2095" s="12" t="s">
        <v>240</v>
      </c>
      <c r="D2095" s="9" t="s">
        <v>60</v>
      </c>
      <c r="E2095" s="8"/>
      <c r="F2095" s="8"/>
    </row>
    <row r="2096">
      <c r="A2096" s="5">
        <v>2095.0</v>
      </c>
      <c r="B2096" s="5" t="s">
        <v>77</v>
      </c>
      <c r="C2096" s="12" t="s">
        <v>240</v>
      </c>
      <c r="D2096" s="9" t="s">
        <v>62</v>
      </c>
      <c r="E2096" s="8"/>
      <c r="F2096" s="8"/>
    </row>
    <row r="2097">
      <c r="A2097" s="5">
        <v>2096.0</v>
      </c>
      <c r="B2097" s="5" t="s">
        <v>77</v>
      </c>
      <c r="C2097" s="12" t="s">
        <v>240</v>
      </c>
      <c r="D2097" s="9" t="s">
        <v>63</v>
      </c>
      <c r="E2097" s="8"/>
      <c r="F2097" s="11">
        <v>689.0</v>
      </c>
    </row>
    <row r="2098">
      <c r="A2098" s="5">
        <v>2097.0</v>
      </c>
      <c r="B2098" s="5" t="s">
        <v>77</v>
      </c>
      <c r="C2098" s="12" t="s">
        <v>240</v>
      </c>
      <c r="D2098" s="9" t="s">
        <v>64</v>
      </c>
      <c r="E2098" s="8"/>
      <c r="F2098" s="11">
        <v>653.0</v>
      </c>
    </row>
    <row r="2099">
      <c r="A2099" s="5">
        <v>2098.0</v>
      </c>
      <c r="B2099" s="5" t="s">
        <v>77</v>
      </c>
      <c r="C2099" s="12" t="s">
        <v>240</v>
      </c>
      <c r="D2099" s="9" t="s">
        <v>65</v>
      </c>
      <c r="E2099" s="8"/>
      <c r="F2099" s="11">
        <v>664.0</v>
      </c>
    </row>
    <row r="2100">
      <c r="A2100" s="5">
        <v>2099.0</v>
      </c>
      <c r="B2100" s="5" t="s">
        <v>77</v>
      </c>
      <c r="C2100" s="12" t="s">
        <v>240</v>
      </c>
      <c r="D2100" s="9" t="s">
        <v>69</v>
      </c>
      <c r="E2100" s="8"/>
      <c r="F2100" s="11">
        <v>634.0</v>
      </c>
    </row>
    <row r="2101">
      <c r="A2101" s="5">
        <v>2100.0</v>
      </c>
      <c r="B2101" s="5" t="s">
        <v>77</v>
      </c>
      <c r="C2101" s="12" t="s">
        <v>240</v>
      </c>
      <c r="D2101" s="9" t="s">
        <v>73</v>
      </c>
      <c r="E2101" s="8"/>
      <c r="F2101" s="11">
        <v>733.0</v>
      </c>
    </row>
    <row r="2102">
      <c r="A2102" s="5">
        <v>2101.0</v>
      </c>
      <c r="B2102" s="5" t="s">
        <v>77</v>
      </c>
      <c r="C2102" s="12" t="s">
        <v>240</v>
      </c>
      <c r="D2102" s="9" t="s">
        <v>71</v>
      </c>
      <c r="E2102" s="8"/>
      <c r="F2102" s="11">
        <v>546.0</v>
      </c>
    </row>
    <row r="2103">
      <c r="A2103" s="5">
        <v>2102.0</v>
      </c>
      <c r="B2103" s="5" t="s">
        <v>77</v>
      </c>
      <c r="C2103" s="12" t="s">
        <v>240</v>
      </c>
      <c r="D2103" s="9" t="s">
        <v>68</v>
      </c>
      <c r="E2103" s="8"/>
      <c r="F2103" s="11">
        <v>642.0</v>
      </c>
    </row>
    <row r="2104">
      <c r="A2104" s="5">
        <v>2103.0</v>
      </c>
      <c r="B2104" s="5" t="s">
        <v>77</v>
      </c>
      <c r="C2104" s="12" t="s">
        <v>240</v>
      </c>
      <c r="D2104" s="9" t="s">
        <v>72</v>
      </c>
      <c r="E2104" s="8"/>
      <c r="F2104" s="11">
        <v>653.0</v>
      </c>
    </row>
    <row r="2105">
      <c r="A2105" s="5">
        <v>2104.0</v>
      </c>
      <c r="B2105" s="5" t="s">
        <v>77</v>
      </c>
      <c r="C2105" s="12" t="s">
        <v>240</v>
      </c>
      <c r="D2105" s="9" t="s">
        <v>69</v>
      </c>
      <c r="E2105" s="8"/>
      <c r="F2105" s="11">
        <v>609.0</v>
      </c>
    </row>
    <row r="2106">
      <c r="A2106" s="5">
        <v>2105.0</v>
      </c>
      <c r="B2106" s="5" t="s">
        <v>77</v>
      </c>
      <c r="C2106" s="12" t="s">
        <v>240</v>
      </c>
      <c r="D2106" s="9" t="s">
        <v>68</v>
      </c>
      <c r="E2106" s="8"/>
      <c r="F2106" s="11">
        <v>568.0</v>
      </c>
    </row>
    <row r="2107">
      <c r="A2107" s="5">
        <v>2106.0</v>
      </c>
      <c r="B2107" s="5" t="s">
        <v>77</v>
      </c>
      <c r="C2107" s="12" t="s">
        <v>240</v>
      </c>
      <c r="D2107" s="9" t="s">
        <v>72</v>
      </c>
      <c r="E2107" s="8"/>
      <c r="F2107" s="11">
        <v>425.0</v>
      </c>
    </row>
    <row r="2108">
      <c r="A2108" s="5">
        <v>2107.0</v>
      </c>
      <c r="B2108" s="5" t="s">
        <v>61</v>
      </c>
      <c r="C2108" s="12" t="s">
        <v>241</v>
      </c>
      <c r="D2108" s="9" t="s">
        <v>60</v>
      </c>
      <c r="E2108" s="8"/>
      <c r="F2108" s="8"/>
    </row>
    <row r="2109">
      <c r="A2109" s="5">
        <v>2108.0</v>
      </c>
      <c r="B2109" s="5" t="s">
        <v>61</v>
      </c>
      <c r="C2109" s="12" t="s">
        <v>241</v>
      </c>
      <c r="D2109" s="9" t="s">
        <v>62</v>
      </c>
      <c r="E2109" s="11">
        <v>33447.0</v>
      </c>
      <c r="F2109" s="8"/>
    </row>
    <row r="2110">
      <c r="A2110" s="5">
        <v>2109.0</v>
      </c>
      <c r="B2110" s="5" t="s">
        <v>61</v>
      </c>
      <c r="C2110" s="12" t="s">
        <v>241</v>
      </c>
      <c r="D2110" s="9" t="s">
        <v>63</v>
      </c>
      <c r="E2110" s="11">
        <v>34280.0</v>
      </c>
      <c r="F2110" s="11">
        <v>13520.0</v>
      </c>
    </row>
    <row r="2111">
      <c r="A2111" s="5">
        <v>2110.0</v>
      </c>
      <c r="B2111" s="5" t="s">
        <v>61</v>
      </c>
      <c r="C2111" s="12" t="s">
        <v>241</v>
      </c>
      <c r="D2111" s="9" t="s">
        <v>64</v>
      </c>
      <c r="E2111" s="11">
        <v>28262.0</v>
      </c>
      <c r="F2111" s="11">
        <v>24767.0</v>
      </c>
    </row>
    <row r="2112">
      <c r="A2112" s="5">
        <v>2111.0</v>
      </c>
      <c r="B2112" s="5" t="s">
        <v>61</v>
      </c>
      <c r="C2112" s="12" t="s">
        <v>241</v>
      </c>
      <c r="D2112" s="9" t="s">
        <v>65</v>
      </c>
      <c r="E2112" s="11">
        <v>25162.0</v>
      </c>
      <c r="F2112" s="11">
        <v>19637.0</v>
      </c>
    </row>
    <row r="2113">
      <c r="A2113" s="5">
        <v>2112.0</v>
      </c>
      <c r="B2113" s="5" t="s">
        <v>61</v>
      </c>
      <c r="C2113" s="12" t="s">
        <v>241</v>
      </c>
      <c r="D2113" s="9" t="s">
        <v>69</v>
      </c>
      <c r="E2113" s="11">
        <v>21819.0</v>
      </c>
      <c r="F2113" s="11">
        <v>17866.0</v>
      </c>
    </row>
    <row r="2114">
      <c r="A2114" s="5">
        <v>2113.0</v>
      </c>
      <c r="B2114" s="5" t="s">
        <v>61</v>
      </c>
      <c r="C2114" s="12" t="s">
        <v>241</v>
      </c>
      <c r="D2114" s="9" t="s">
        <v>73</v>
      </c>
      <c r="E2114" s="11">
        <v>23509.0</v>
      </c>
      <c r="F2114" s="11">
        <v>30799.0</v>
      </c>
    </row>
    <row r="2115">
      <c r="A2115" s="5">
        <v>2114.0</v>
      </c>
      <c r="B2115" s="5" t="s">
        <v>61</v>
      </c>
      <c r="C2115" s="12" t="s">
        <v>241</v>
      </c>
      <c r="D2115" s="9" t="s">
        <v>71</v>
      </c>
      <c r="E2115" s="11">
        <v>21947.0</v>
      </c>
      <c r="F2115" s="11">
        <v>30359.0</v>
      </c>
    </row>
    <row r="2116">
      <c r="A2116" s="5">
        <v>2115.0</v>
      </c>
      <c r="B2116" s="5" t="s">
        <v>61</v>
      </c>
      <c r="C2116" s="12" t="s">
        <v>241</v>
      </c>
      <c r="D2116" s="9" t="s">
        <v>68</v>
      </c>
      <c r="E2116" s="11">
        <v>30845.0</v>
      </c>
      <c r="F2116" s="11">
        <v>28474.0</v>
      </c>
    </row>
    <row r="2117">
      <c r="A2117" s="5">
        <v>2116.0</v>
      </c>
      <c r="B2117" s="5" t="s">
        <v>61</v>
      </c>
      <c r="C2117" s="12" t="s">
        <v>241</v>
      </c>
      <c r="D2117" s="9" t="s">
        <v>72</v>
      </c>
      <c r="E2117" s="11">
        <v>25634.0</v>
      </c>
      <c r="F2117" s="11">
        <v>31133.0</v>
      </c>
    </row>
    <row r="2118">
      <c r="A2118" s="5">
        <v>2117.0</v>
      </c>
      <c r="B2118" s="5" t="s">
        <v>61</v>
      </c>
      <c r="C2118" s="12" t="s">
        <v>241</v>
      </c>
      <c r="D2118" s="9" t="s">
        <v>69</v>
      </c>
      <c r="E2118" s="11">
        <v>21005.0</v>
      </c>
      <c r="F2118" s="11">
        <v>47231.0</v>
      </c>
    </row>
    <row r="2119">
      <c r="A2119" s="5">
        <v>2118.0</v>
      </c>
      <c r="B2119" s="5" t="s">
        <v>61</v>
      </c>
      <c r="C2119" s="12" t="s">
        <v>241</v>
      </c>
      <c r="D2119" s="9" t="s">
        <v>68</v>
      </c>
      <c r="E2119" s="11">
        <v>21229.0</v>
      </c>
      <c r="F2119" s="11">
        <v>49541.0</v>
      </c>
    </row>
    <row r="2120">
      <c r="A2120" s="5">
        <v>2119.0</v>
      </c>
      <c r="B2120" s="5" t="s">
        <v>61</v>
      </c>
      <c r="C2120" s="12" t="s">
        <v>241</v>
      </c>
      <c r="D2120" s="9" t="s">
        <v>72</v>
      </c>
      <c r="E2120" s="11">
        <v>18692.0</v>
      </c>
      <c r="F2120" s="11">
        <v>49006.0</v>
      </c>
    </row>
    <row r="2121">
      <c r="A2121" s="5">
        <v>2120.0</v>
      </c>
      <c r="B2121" s="5" t="s">
        <v>84</v>
      </c>
      <c r="C2121" s="12" t="s">
        <v>242</v>
      </c>
      <c r="D2121" s="9" t="s">
        <v>60</v>
      </c>
      <c r="E2121" s="8"/>
      <c r="F2121" s="8"/>
    </row>
    <row r="2122">
      <c r="A2122" s="5">
        <v>2121.0</v>
      </c>
      <c r="B2122" s="5" t="s">
        <v>84</v>
      </c>
      <c r="C2122" s="12" t="s">
        <v>242</v>
      </c>
      <c r="D2122" s="9" t="s">
        <v>62</v>
      </c>
      <c r="E2122" s="8"/>
      <c r="F2122" s="8"/>
    </row>
    <row r="2123">
      <c r="A2123" s="5">
        <v>2122.0</v>
      </c>
      <c r="B2123" s="5" t="s">
        <v>84</v>
      </c>
      <c r="C2123" s="12" t="s">
        <v>242</v>
      </c>
      <c r="D2123" s="9" t="s">
        <v>63</v>
      </c>
      <c r="E2123" s="8"/>
      <c r="F2123" s="8"/>
    </row>
    <row r="2124">
      <c r="A2124" s="5">
        <v>2123.0</v>
      </c>
      <c r="B2124" s="5" t="s">
        <v>84</v>
      </c>
      <c r="C2124" s="12" t="s">
        <v>242</v>
      </c>
      <c r="D2124" s="9" t="s">
        <v>64</v>
      </c>
      <c r="E2124" s="8"/>
      <c r="F2124" s="8"/>
    </row>
    <row r="2125">
      <c r="A2125" s="5">
        <v>2124.0</v>
      </c>
      <c r="B2125" s="5" t="s">
        <v>84</v>
      </c>
      <c r="C2125" s="12" t="s">
        <v>242</v>
      </c>
      <c r="D2125" s="9" t="s">
        <v>65</v>
      </c>
      <c r="E2125" s="8"/>
      <c r="F2125" s="8"/>
    </row>
    <row r="2126">
      <c r="A2126" s="5">
        <v>2125.0</v>
      </c>
      <c r="B2126" s="5" t="s">
        <v>84</v>
      </c>
      <c r="C2126" s="12" t="s">
        <v>242</v>
      </c>
      <c r="D2126" s="9" t="s">
        <v>69</v>
      </c>
      <c r="E2126" s="8"/>
      <c r="F2126" s="8"/>
    </row>
    <row r="2127">
      <c r="A2127" s="5">
        <v>2126.0</v>
      </c>
      <c r="B2127" s="5" t="s">
        <v>84</v>
      </c>
      <c r="C2127" s="12" t="s">
        <v>242</v>
      </c>
      <c r="D2127" s="9" t="s">
        <v>73</v>
      </c>
      <c r="E2127" s="8"/>
      <c r="F2127" s="8"/>
    </row>
    <row r="2128">
      <c r="A2128" s="5">
        <v>2127.0</v>
      </c>
      <c r="B2128" s="5" t="s">
        <v>84</v>
      </c>
      <c r="C2128" s="12" t="s">
        <v>242</v>
      </c>
      <c r="D2128" s="9" t="s">
        <v>71</v>
      </c>
      <c r="E2128" s="8"/>
      <c r="F2128" s="8"/>
    </row>
    <row r="2129">
      <c r="A2129" s="5">
        <v>2128.0</v>
      </c>
      <c r="B2129" s="5" t="s">
        <v>84</v>
      </c>
      <c r="C2129" s="12" t="s">
        <v>242</v>
      </c>
      <c r="D2129" s="9" t="s">
        <v>68</v>
      </c>
      <c r="E2129" s="8"/>
      <c r="F2129" s="8"/>
    </row>
    <row r="2130">
      <c r="A2130" s="5">
        <v>2129.0</v>
      </c>
      <c r="B2130" s="5" t="s">
        <v>84</v>
      </c>
      <c r="C2130" s="12" t="s">
        <v>242</v>
      </c>
      <c r="D2130" s="9" t="s">
        <v>72</v>
      </c>
      <c r="E2130" s="8"/>
      <c r="F2130" s="8"/>
    </row>
    <row r="2131">
      <c r="A2131" s="5">
        <v>2130.0</v>
      </c>
      <c r="B2131" s="5" t="s">
        <v>84</v>
      </c>
      <c r="C2131" s="12" t="s">
        <v>242</v>
      </c>
      <c r="D2131" s="9" t="s">
        <v>69</v>
      </c>
      <c r="E2131" s="8"/>
      <c r="F2131" s="8"/>
    </row>
    <row r="2132">
      <c r="A2132" s="5">
        <v>2131.0</v>
      </c>
      <c r="B2132" s="5" t="s">
        <v>84</v>
      </c>
      <c r="C2132" s="12" t="s">
        <v>242</v>
      </c>
      <c r="D2132" s="9" t="s">
        <v>68</v>
      </c>
      <c r="E2132" s="8"/>
      <c r="F2132" s="8"/>
    </row>
    <row r="2133">
      <c r="A2133" s="5">
        <v>2132.0</v>
      </c>
      <c r="B2133" s="5" t="s">
        <v>84</v>
      </c>
      <c r="C2133" s="12" t="s">
        <v>242</v>
      </c>
      <c r="D2133" s="9" t="s">
        <v>73</v>
      </c>
      <c r="E2133" s="8"/>
      <c r="F2133" s="8"/>
    </row>
    <row r="2134">
      <c r="A2134" s="5">
        <v>2133.0</v>
      </c>
      <c r="B2134" s="5" t="s">
        <v>75</v>
      </c>
      <c r="C2134" s="12" t="s">
        <v>243</v>
      </c>
      <c r="D2134" s="9" t="s">
        <v>60</v>
      </c>
      <c r="E2134" s="11">
        <v>16676.0</v>
      </c>
      <c r="F2134" s="8"/>
    </row>
    <row r="2135">
      <c r="A2135" s="5">
        <v>2134.0</v>
      </c>
      <c r="B2135" s="5" t="s">
        <v>75</v>
      </c>
      <c r="C2135" s="12" t="s">
        <v>243</v>
      </c>
      <c r="D2135" s="9" t="s">
        <v>62</v>
      </c>
      <c r="E2135" s="11">
        <v>17349.0</v>
      </c>
      <c r="F2135" s="8"/>
    </row>
    <row r="2136">
      <c r="A2136" s="5">
        <v>2135.0</v>
      </c>
      <c r="B2136" s="5" t="s">
        <v>75</v>
      </c>
      <c r="C2136" s="12" t="s">
        <v>243</v>
      </c>
      <c r="D2136" s="9" t="s">
        <v>63</v>
      </c>
      <c r="E2136" s="11">
        <v>17828.0</v>
      </c>
      <c r="F2136" s="11">
        <v>36094.0</v>
      </c>
    </row>
    <row r="2137">
      <c r="A2137" s="5">
        <v>2136.0</v>
      </c>
      <c r="B2137" s="5" t="s">
        <v>75</v>
      </c>
      <c r="C2137" s="12" t="s">
        <v>243</v>
      </c>
      <c r="D2137" s="9" t="s">
        <v>64</v>
      </c>
      <c r="E2137" s="11">
        <v>16735.0</v>
      </c>
      <c r="F2137" s="11">
        <v>33890.0</v>
      </c>
    </row>
    <row r="2138">
      <c r="A2138" s="5">
        <v>2137.0</v>
      </c>
      <c r="B2138" s="5" t="s">
        <v>75</v>
      </c>
      <c r="C2138" s="12" t="s">
        <v>243</v>
      </c>
      <c r="D2138" s="9" t="s">
        <v>65</v>
      </c>
      <c r="E2138" s="11">
        <v>18321.0</v>
      </c>
      <c r="F2138" s="11">
        <v>37557.0</v>
      </c>
    </row>
    <row r="2139">
      <c r="A2139" s="5">
        <v>2138.0</v>
      </c>
      <c r="B2139" s="5" t="s">
        <v>75</v>
      </c>
      <c r="C2139" s="12" t="s">
        <v>243</v>
      </c>
      <c r="D2139" s="9" t="s">
        <v>69</v>
      </c>
      <c r="E2139" s="11">
        <v>17850.0</v>
      </c>
      <c r="F2139" s="11">
        <v>36600.0</v>
      </c>
    </row>
    <row r="2140">
      <c r="A2140" s="5">
        <v>2139.0</v>
      </c>
      <c r="B2140" s="5" t="s">
        <v>75</v>
      </c>
      <c r="C2140" s="12" t="s">
        <v>243</v>
      </c>
      <c r="D2140" s="9" t="s">
        <v>73</v>
      </c>
      <c r="E2140" s="11">
        <v>18640.0</v>
      </c>
      <c r="F2140" s="11">
        <v>38929.0</v>
      </c>
    </row>
    <row r="2141">
      <c r="A2141" s="5">
        <v>2140.0</v>
      </c>
      <c r="B2141" s="5" t="s">
        <v>75</v>
      </c>
      <c r="C2141" s="12" t="s">
        <v>243</v>
      </c>
      <c r="D2141" s="9" t="s">
        <v>71</v>
      </c>
      <c r="E2141" s="11">
        <v>18830.0</v>
      </c>
      <c r="F2141" s="11">
        <v>39175.0</v>
      </c>
    </row>
    <row r="2142">
      <c r="A2142" s="5">
        <v>2141.0</v>
      </c>
      <c r="B2142" s="5" t="s">
        <v>75</v>
      </c>
      <c r="C2142" s="12" t="s">
        <v>243</v>
      </c>
      <c r="D2142" s="9" t="s">
        <v>68</v>
      </c>
      <c r="E2142" s="11">
        <v>18353.0</v>
      </c>
      <c r="F2142" s="11">
        <v>38749.0</v>
      </c>
    </row>
    <row r="2143">
      <c r="A2143" s="5">
        <v>2142.0</v>
      </c>
      <c r="B2143" s="5" t="s">
        <v>75</v>
      </c>
      <c r="C2143" s="12" t="s">
        <v>243</v>
      </c>
      <c r="D2143" s="9" t="s">
        <v>72</v>
      </c>
      <c r="E2143" s="11">
        <v>18639.0</v>
      </c>
      <c r="F2143" s="11">
        <v>39494.0</v>
      </c>
    </row>
    <row r="2144">
      <c r="A2144" s="5">
        <v>2143.0</v>
      </c>
      <c r="B2144" s="5" t="s">
        <v>75</v>
      </c>
      <c r="C2144" s="12" t="s">
        <v>243</v>
      </c>
      <c r="D2144" s="9" t="s">
        <v>69</v>
      </c>
      <c r="E2144" s="11">
        <v>18733.0</v>
      </c>
      <c r="F2144" s="11">
        <v>39252.0</v>
      </c>
    </row>
    <row r="2145">
      <c r="A2145" s="5">
        <v>2144.0</v>
      </c>
      <c r="B2145" s="5" t="s">
        <v>75</v>
      </c>
      <c r="C2145" s="12" t="s">
        <v>243</v>
      </c>
      <c r="D2145" s="9" t="s">
        <v>68</v>
      </c>
      <c r="E2145" s="11">
        <v>18593.0</v>
      </c>
      <c r="F2145" s="11">
        <v>39358.0</v>
      </c>
    </row>
    <row r="2146">
      <c r="A2146" s="5">
        <v>2145.0</v>
      </c>
      <c r="B2146" s="5" t="s">
        <v>75</v>
      </c>
      <c r="C2146" s="12" t="s">
        <v>243</v>
      </c>
      <c r="D2146" s="9" t="s">
        <v>73</v>
      </c>
      <c r="E2146" s="11">
        <v>17743.0</v>
      </c>
      <c r="F2146" s="11">
        <v>37312.0</v>
      </c>
    </row>
    <row r="2147">
      <c r="A2147" s="5">
        <v>2146.0</v>
      </c>
      <c r="B2147" s="5" t="s">
        <v>75</v>
      </c>
      <c r="C2147" s="12" t="s">
        <v>244</v>
      </c>
      <c r="D2147" s="9" t="s">
        <v>60</v>
      </c>
      <c r="E2147" s="11">
        <v>7143.0</v>
      </c>
      <c r="F2147" s="8"/>
    </row>
    <row r="2148">
      <c r="A2148" s="5">
        <v>2147.0</v>
      </c>
      <c r="B2148" s="5" t="s">
        <v>75</v>
      </c>
      <c r="C2148" s="12" t="s">
        <v>244</v>
      </c>
      <c r="D2148" s="9" t="s">
        <v>62</v>
      </c>
      <c r="E2148" s="11">
        <v>7249.0</v>
      </c>
      <c r="F2148" s="8"/>
    </row>
    <row r="2149">
      <c r="A2149" s="5">
        <v>2148.0</v>
      </c>
      <c r="B2149" s="5" t="s">
        <v>75</v>
      </c>
      <c r="C2149" s="12" t="s">
        <v>244</v>
      </c>
      <c r="D2149" s="9" t="s">
        <v>63</v>
      </c>
      <c r="E2149" s="11">
        <v>7230.0</v>
      </c>
      <c r="F2149" s="11">
        <v>15328.0</v>
      </c>
    </row>
    <row r="2150">
      <c r="A2150" s="5">
        <v>2149.0</v>
      </c>
      <c r="B2150" s="5" t="s">
        <v>75</v>
      </c>
      <c r="C2150" s="12" t="s">
        <v>244</v>
      </c>
      <c r="D2150" s="9" t="s">
        <v>64</v>
      </c>
      <c r="E2150" s="11">
        <v>7097.0</v>
      </c>
      <c r="F2150" s="11">
        <v>15310.0</v>
      </c>
    </row>
    <row r="2151">
      <c r="A2151" s="5">
        <v>2150.0</v>
      </c>
      <c r="B2151" s="5" t="s">
        <v>75</v>
      </c>
      <c r="C2151" s="12" t="s">
        <v>244</v>
      </c>
      <c r="D2151" s="9" t="s">
        <v>65</v>
      </c>
      <c r="E2151" s="11">
        <v>7740.0</v>
      </c>
      <c r="F2151" s="11">
        <v>17180.0</v>
      </c>
    </row>
    <row r="2152">
      <c r="A2152" s="5">
        <v>2151.0</v>
      </c>
      <c r="B2152" s="5" t="s">
        <v>75</v>
      </c>
      <c r="C2152" s="12" t="s">
        <v>244</v>
      </c>
      <c r="D2152" s="9" t="s">
        <v>69</v>
      </c>
      <c r="E2152" s="11">
        <v>7321.0</v>
      </c>
      <c r="F2152" s="11">
        <v>16212.0</v>
      </c>
    </row>
    <row r="2153">
      <c r="A2153" s="5">
        <v>2152.0</v>
      </c>
      <c r="B2153" s="5" t="s">
        <v>75</v>
      </c>
      <c r="C2153" s="12" t="s">
        <v>244</v>
      </c>
      <c r="D2153" s="9" t="s">
        <v>73</v>
      </c>
      <c r="E2153" s="11">
        <v>7321.0</v>
      </c>
      <c r="F2153" s="11">
        <v>16245.0</v>
      </c>
    </row>
    <row r="2154">
      <c r="A2154" s="5">
        <v>2153.0</v>
      </c>
      <c r="B2154" s="5" t="s">
        <v>75</v>
      </c>
      <c r="C2154" s="12" t="s">
        <v>244</v>
      </c>
      <c r="D2154" s="9" t="s">
        <v>71</v>
      </c>
      <c r="E2154" s="11">
        <v>7293.0</v>
      </c>
      <c r="F2154" s="11">
        <v>15867.0</v>
      </c>
    </row>
    <row r="2155">
      <c r="A2155" s="5">
        <v>2154.0</v>
      </c>
      <c r="B2155" s="5" t="s">
        <v>75</v>
      </c>
      <c r="C2155" s="12" t="s">
        <v>244</v>
      </c>
      <c r="D2155" s="9" t="s">
        <v>68</v>
      </c>
      <c r="E2155" s="11">
        <v>7131.0</v>
      </c>
      <c r="F2155" s="11">
        <v>15746.0</v>
      </c>
    </row>
    <row r="2156">
      <c r="A2156" s="5">
        <v>2155.0</v>
      </c>
      <c r="B2156" s="5" t="s">
        <v>75</v>
      </c>
      <c r="C2156" s="12" t="s">
        <v>244</v>
      </c>
      <c r="D2156" s="9" t="s">
        <v>72</v>
      </c>
      <c r="E2156" s="11">
        <v>6912.0</v>
      </c>
      <c r="F2156" s="11">
        <v>15500.0</v>
      </c>
    </row>
    <row r="2157">
      <c r="A2157" s="5">
        <v>2156.0</v>
      </c>
      <c r="B2157" s="5" t="s">
        <v>75</v>
      </c>
      <c r="C2157" s="12" t="s">
        <v>244</v>
      </c>
      <c r="D2157" s="9" t="s">
        <v>69</v>
      </c>
      <c r="E2157" s="11">
        <v>6830.0</v>
      </c>
      <c r="F2157" s="11">
        <v>15420.0</v>
      </c>
    </row>
    <row r="2158">
      <c r="A2158" s="5">
        <v>2157.0</v>
      </c>
      <c r="B2158" s="5" t="s">
        <v>75</v>
      </c>
      <c r="C2158" s="12" t="s">
        <v>244</v>
      </c>
      <c r="D2158" s="9" t="s">
        <v>68</v>
      </c>
      <c r="E2158" s="11">
        <v>6732.0</v>
      </c>
      <c r="F2158" s="11">
        <v>15163.0</v>
      </c>
    </row>
    <row r="2159">
      <c r="A2159" s="5">
        <v>2158.0</v>
      </c>
      <c r="B2159" s="5" t="s">
        <v>75</v>
      </c>
      <c r="C2159" s="12" t="s">
        <v>244</v>
      </c>
      <c r="D2159" s="9" t="s">
        <v>73</v>
      </c>
      <c r="E2159" s="11">
        <v>6413.0</v>
      </c>
      <c r="F2159" s="11">
        <v>14265.0</v>
      </c>
    </row>
    <row r="2160">
      <c r="A2160" s="5">
        <v>2159.0</v>
      </c>
      <c r="B2160" s="5" t="s">
        <v>80</v>
      </c>
      <c r="C2160" s="12" t="s">
        <v>245</v>
      </c>
      <c r="D2160" s="9" t="s">
        <v>60</v>
      </c>
      <c r="E2160" s="8"/>
      <c r="F2160" s="8"/>
    </row>
    <row r="2161">
      <c r="A2161" s="5">
        <v>2160.0</v>
      </c>
      <c r="B2161" s="5" t="s">
        <v>80</v>
      </c>
      <c r="C2161" s="12" t="s">
        <v>245</v>
      </c>
      <c r="D2161" s="9" t="s">
        <v>62</v>
      </c>
      <c r="E2161" s="8"/>
      <c r="F2161" s="8"/>
    </row>
    <row r="2162">
      <c r="A2162" s="5">
        <v>2161.0</v>
      </c>
      <c r="B2162" s="5" t="s">
        <v>80</v>
      </c>
      <c r="C2162" s="12" t="s">
        <v>245</v>
      </c>
      <c r="D2162" s="9" t="s">
        <v>63</v>
      </c>
      <c r="E2162" s="8"/>
      <c r="F2162" s="11">
        <v>202.0</v>
      </c>
    </row>
    <row r="2163">
      <c r="A2163" s="5">
        <v>2162.0</v>
      </c>
      <c r="B2163" s="5" t="s">
        <v>80</v>
      </c>
      <c r="C2163" s="12" t="s">
        <v>245</v>
      </c>
      <c r="D2163" s="9" t="s">
        <v>64</v>
      </c>
      <c r="E2163" s="8"/>
      <c r="F2163" s="11">
        <v>198.0</v>
      </c>
    </row>
    <row r="2164">
      <c r="A2164" s="5">
        <v>2163.0</v>
      </c>
      <c r="B2164" s="5" t="s">
        <v>80</v>
      </c>
      <c r="C2164" s="12" t="s">
        <v>245</v>
      </c>
      <c r="D2164" s="9" t="s">
        <v>65</v>
      </c>
      <c r="E2164" s="8"/>
      <c r="F2164" s="11">
        <v>198.0</v>
      </c>
    </row>
    <row r="2165">
      <c r="A2165" s="5">
        <v>2164.0</v>
      </c>
      <c r="B2165" s="5" t="s">
        <v>80</v>
      </c>
      <c r="C2165" s="12" t="s">
        <v>245</v>
      </c>
      <c r="D2165" s="9" t="s">
        <v>69</v>
      </c>
      <c r="E2165" s="11">
        <v>64.0</v>
      </c>
      <c r="F2165" s="11">
        <v>198.0</v>
      </c>
    </row>
    <row r="2166">
      <c r="A2166" s="5">
        <v>2165.0</v>
      </c>
      <c r="B2166" s="5" t="s">
        <v>80</v>
      </c>
      <c r="C2166" s="12" t="s">
        <v>245</v>
      </c>
      <c r="D2166" s="9" t="s">
        <v>73</v>
      </c>
      <c r="E2166" s="11">
        <v>59.0</v>
      </c>
      <c r="F2166" s="11">
        <v>180.0</v>
      </c>
    </row>
    <row r="2167">
      <c r="A2167" s="5">
        <v>2166.0</v>
      </c>
      <c r="B2167" s="5" t="s">
        <v>80</v>
      </c>
      <c r="C2167" s="12" t="s">
        <v>245</v>
      </c>
      <c r="D2167" s="9" t="s">
        <v>71</v>
      </c>
      <c r="E2167" s="11">
        <v>58.0</v>
      </c>
      <c r="F2167" s="11">
        <v>180.0</v>
      </c>
    </row>
    <row r="2168">
      <c r="A2168" s="5">
        <v>2167.0</v>
      </c>
      <c r="B2168" s="5" t="s">
        <v>80</v>
      </c>
      <c r="C2168" s="12" t="s">
        <v>245</v>
      </c>
      <c r="D2168" s="9" t="s">
        <v>68</v>
      </c>
      <c r="E2168" s="11">
        <v>58.0</v>
      </c>
      <c r="F2168" s="11">
        <v>180.0</v>
      </c>
    </row>
    <row r="2169">
      <c r="A2169" s="5">
        <v>2168.0</v>
      </c>
      <c r="B2169" s="5" t="s">
        <v>80</v>
      </c>
      <c r="C2169" s="12" t="s">
        <v>245</v>
      </c>
      <c r="D2169" s="9" t="s">
        <v>72</v>
      </c>
      <c r="E2169" s="8"/>
      <c r="F2169" s="11">
        <v>180.0</v>
      </c>
    </row>
    <row r="2170">
      <c r="A2170" s="5">
        <v>2169.0</v>
      </c>
      <c r="B2170" s="5" t="s">
        <v>80</v>
      </c>
      <c r="C2170" s="12" t="s">
        <v>245</v>
      </c>
      <c r="D2170" s="9" t="s">
        <v>69</v>
      </c>
      <c r="E2170" s="8"/>
      <c r="F2170" s="11">
        <v>172.0</v>
      </c>
    </row>
    <row r="2171">
      <c r="A2171" s="5">
        <v>2170.0</v>
      </c>
      <c r="B2171" s="5" t="s">
        <v>80</v>
      </c>
      <c r="C2171" s="12" t="s">
        <v>245</v>
      </c>
      <c r="D2171" s="9" t="s">
        <v>68</v>
      </c>
      <c r="E2171" s="8"/>
      <c r="F2171" s="11">
        <v>172.0</v>
      </c>
    </row>
    <row r="2172">
      <c r="A2172" s="5">
        <v>2171.0</v>
      </c>
      <c r="B2172" s="5" t="s">
        <v>80</v>
      </c>
      <c r="C2172" s="12" t="s">
        <v>245</v>
      </c>
      <c r="D2172" s="9" t="s">
        <v>73</v>
      </c>
      <c r="E2172" s="8"/>
      <c r="F2172" s="11">
        <v>165.0</v>
      </c>
    </row>
    <row r="2173">
      <c r="A2173" s="5">
        <v>2172.0</v>
      </c>
      <c r="B2173" s="5" t="s">
        <v>77</v>
      </c>
      <c r="C2173" s="12" t="s">
        <v>246</v>
      </c>
      <c r="D2173" s="9" t="s">
        <v>60</v>
      </c>
      <c r="E2173" s="8"/>
      <c r="F2173" s="8"/>
    </row>
    <row r="2174">
      <c r="A2174" s="5">
        <v>2173.0</v>
      </c>
      <c r="B2174" s="5" t="s">
        <v>77</v>
      </c>
      <c r="C2174" s="12" t="s">
        <v>246</v>
      </c>
      <c r="D2174" s="9" t="s">
        <v>62</v>
      </c>
      <c r="E2174" s="8"/>
      <c r="F2174" s="8"/>
    </row>
    <row r="2175">
      <c r="A2175" s="5">
        <v>2174.0</v>
      </c>
      <c r="B2175" s="5" t="s">
        <v>77</v>
      </c>
      <c r="C2175" s="12" t="s">
        <v>246</v>
      </c>
      <c r="D2175" s="9" t="s">
        <v>63</v>
      </c>
      <c r="E2175" s="8"/>
      <c r="F2175" s="11">
        <v>609.0</v>
      </c>
    </row>
    <row r="2176">
      <c r="A2176" s="5">
        <v>2175.0</v>
      </c>
      <c r="B2176" s="5" t="s">
        <v>77</v>
      </c>
      <c r="C2176" s="12" t="s">
        <v>246</v>
      </c>
      <c r="D2176" s="9" t="s">
        <v>64</v>
      </c>
      <c r="E2176" s="8"/>
      <c r="F2176" s="11">
        <v>594.0</v>
      </c>
    </row>
    <row r="2177">
      <c r="A2177" s="5">
        <v>2176.0</v>
      </c>
      <c r="B2177" s="5" t="s">
        <v>77</v>
      </c>
      <c r="C2177" s="12" t="s">
        <v>246</v>
      </c>
      <c r="D2177" s="9" t="s">
        <v>65</v>
      </c>
      <c r="E2177" s="8"/>
      <c r="F2177" s="11">
        <v>609.0</v>
      </c>
    </row>
    <row r="2178">
      <c r="A2178" s="5">
        <v>2177.0</v>
      </c>
      <c r="B2178" s="5" t="s">
        <v>77</v>
      </c>
      <c r="C2178" s="12" t="s">
        <v>246</v>
      </c>
      <c r="D2178" s="9" t="s">
        <v>69</v>
      </c>
      <c r="E2178" s="8"/>
      <c r="F2178" s="11">
        <v>605.0</v>
      </c>
    </row>
    <row r="2179">
      <c r="A2179" s="5">
        <v>2178.0</v>
      </c>
      <c r="B2179" s="5" t="s">
        <v>77</v>
      </c>
      <c r="C2179" s="12" t="s">
        <v>246</v>
      </c>
      <c r="D2179" s="9" t="s">
        <v>73</v>
      </c>
      <c r="E2179" s="8"/>
      <c r="F2179" s="11">
        <v>576.0</v>
      </c>
    </row>
    <row r="2180">
      <c r="A2180" s="5">
        <v>2179.0</v>
      </c>
      <c r="B2180" s="5" t="s">
        <v>77</v>
      </c>
      <c r="C2180" s="12" t="s">
        <v>246</v>
      </c>
      <c r="D2180" s="9" t="s">
        <v>71</v>
      </c>
      <c r="E2180" s="8"/>
      <c r="F2180" s="11">
        <v>579.0</v>
      </c>
    </row>
    <row r="2181">
      <c r="A2181" s="5">
        <v>2180.0</v>
      </c>
      <c r="B2181" s="5" t="s">
        <v>77</v>
      </c>
      <c r="C2181" s="12" t="s">
        <v>246</v>
      </c>
      <c r="D2181" s="9" t="s">
        <v>68</v>
      </c>
      <c r="E2181" s="8"/>
      <c r="F2181" s="11">
        <v>576.0</v>
      </c>
    </row>
    <row r="2182">
      <c r="A2182" s="5">
        <v>2181.0</v>
      </c>
      <c r="B2182" s="5" t="s">
        <v>77</v>
      </c>
      <c r="C2182" s="12" t="s">
        <v>246</v>
      </c>
      <c r="D2182" s="9" t="s">
        <v>72</v>
      </c>
      <c r="E2182" s="8"/>
      <c r="F2182" s="11">
        <v>576.0</v>
      </c>
    </row>
    <row r="2183">
      <c r="A2183" s="5">
        <v>2182.0</v>
      </c>
      <c r="B2183" s="5" t="s">
        <v>77</v>
      </c>
      <c r="C2183" s="12" t="s">
        <v>246</v>
      </c>
      <c r="D2183" s="9" t="s">
        <v>69</v>
      </c>
      <c r="E2183" s="8"/>
      <c r="F2183" s="11">
        <v>572.0</v>
      </c>
    </row>
    <row r="2184">
      <c r="A2184" s="5">
        <v>2183.0</v>
      </c>
      <c r="B2184" s="5" t="s">
        <v>77</v>
      </c>
      <c r="C2184" s="12" t="s">
        <v>246</v>
      </c>
      <c r="D2184" s="9" t="s">
        <v>68</v>
      </c>
      <c r="E2184" s="8"/>
      <c r="F2184" s="11">
        <v>502.0</v>
      </c>
    </row>
    <row r="2185">
      <c r="A2185" s="5">
        <v>2184.0</v>
      </c>
      <c r="B2185" s="5" t="s">
        <v>77</v>
      </c>
      <c r="C2185" s="12" t="s">
        <v>246</v>
      </c>
      <c r="D2185" s="9" t="s">
        <v>73</v>
      </c>
      <c r="E2185" s="8"/>
      <c r="F2185" s="11">
        <v>517.0</v>
      </c>
    </row>
    <row r="2186">
      <c r="A2186" s="5">
        <v>2185.0</v>
      </c>
      <c r="B2186" s="5" t="s">
        <v>77</v>
      </c>
      <c r="C2186" s="12" t="s">
        <v>247</v>
      </c>
      <c r="D2186" s="9" t="s">
        <v>60</v>
      </c>
      <c r="E2186" s="8"/>
      <c r="F2186" s="8"/>
    </row>
    <row r="2187">
      <c r="A2187" s="5">
        <v>2186.0</v>
      </c>
      <c r="B2187" s="5" t="s">
        <v>77</v>
      </c>
      <c r="C2187" s="12" t="s">
        <v>247</v>
      </c>
      <c r="D2187" s="9" t="s">
        <v>62</v>
      </c>
      <c r="E2187" s="11">
        <v>141372.0</v>
      </c>
      <c r="F2187" s="8"/>
    </row>
    <row r="2188">
      <c r="A2188" s="5">
        <v>2187.0</v>
      </c>
      <c r="B2188" s="5" t="s">
        <v>77</v>
      </c>
      <c r="C2188" s="12" t="s">
        <v>247</v>
      </c>
      <c r="D2188" s="9" t="s">
        <v>63</v>
      </c>
      <c r="E2188" s="11">
        <v>142291.0</v>
      </c>
      <c r="F2188" s="11">
        <v>460124.0</v>
      </c>
    </row>
    <row r="2189">
      <c r="A2189" s="5">
        <v>2188.0</v>
      </c>
      <c r="B2189" s="5" t="s">
        <v>77</v>
      </c>
      <c r="C2189" s="12" t="s">
        <v>247</v>
      </c>
      <c r="D2189" s="9" t="s">
        <v>64</v>
      </c>
      <c r="E2189" s="11">
        <v>142761.0</v>
      </c>
      <c r="F2189" s="11">
        <v>503941.0</v>
      </c>
    </row>
    <row r="2190">
      <c r="A2190" s="5">
        <v>2189.0</v>
      </c>
      <c r="B2190" s="5" t="s">
        <v>77</v>
      </c>
      <c r="C2190" s="12" t="s">
        <v>247</v>
      </c>
      <c r="D2190" s="9" t="s">
        <v>65</v>
      </c>
      <c r="E2190" s="11">
        <v>146768.0</v>
      </c>
      <c r="F2190" s="11">
        <v>465023.0</v>
      </c>
    </row>
    <row r="2191">
      <c r="A2191" s="5">
        <v>2190.0</v>
      </c>
      <c r="B2191" s="5" t="s">
        <v>77</v>
      </c>
      <c r="C2191" s="12" t="s">
        <v>247</v>
      </c>
      <c r="D2191" s="9" t="s">
        <v>69</v>
      </c>
      <c r="E2191" s="11">
        <v>136604.0</v>
      </c>
      <c r="F2191" s="11">
        <v>443648.0</v>
      </c>
    </row>
    <row r="2192">
      <c r="A2192" s="5">
        <v>2191.0</v>
      </c>
      <c r="B2192" s="5" t="s">
        <v>77</v>
      </c>
      <c r="C2192" s="12" t="s">
        <v>247</v>
      </c>
      <c r="D2192" s="9" t="s">
        <v>73</v>
      </c>
      <c r="E2192" s="11">
        <v>127255.0</v>
      </c>
      <c r="F2192" s="11">
        <v>424844.0</v>
      </c>
    </row>
    <row r="2193">
      <c r="A2193" s="5">
        <v>2192.0</v>
      </c>
      <c r="B2193" s="5" t="s">
        <v>77</v>
      </c>
      <c r="C2193" s="12" t="s">
        <v>247</v>
      </c>
      <c r="D2193" s="9" t="s">
        <v>71</v>
      </c>
      <c r="E2193" s="11">
        <v>128214.0</v>
      </c>
      <c r="F2193" s="11">
        <v>396117.0</v>
      </c>
    </row>
    <row r="2194">
      <c r="A2194" s="5">
        <v>2193.0</v>
      </c>
      <c r="B2194" s="5" t="s">
        <v>77</v>
      </c>
      <c r="C2194" s="12" t="s">
        <v>247</v>
      </c>
      <c r="D2194" s="9" t="s">
        <v>68</v>
      </c>
      <c r="E2194" s="11">
        <v>128722.0</v>
      </c>
      <c r="F2194" s="11">
        <v>427132.0</v>
      </c>
    </row>
    <row r="2195">
      <c r="A2195" s="5">
        <v>2194.0</v>
      </c>
      <c r="B2195" s="5" t="s">
        <v>77</v>
      </c>
      <c r="C2195" s="12" t="s">
        <v>247</v>
      </c>
      <c r="D2195" s="9" t="s">
        <v>72</v>
      </c>
      <c r="E2195" s="11">
        <v>117374.0</v>
      </c>
      <c r="F2195" s="11">
        <v>380811.0</v>
      </c>
    </row>
    <row r="2196">
      <c r="A2196" s="5">
        <v>2195.0</v>
      </c>
      <c r="B2196" s="5" t="s">
        <v>77</v>
      </c>
      <c r="C2196" s="12" t="s">
        <v>247</v>
      </c>
      <c r="D2196" s="9" t="s">
        <v>69</v>
      </c>
      <c r="E2196" s="11">
        <v>109908.0</v>
      </c>
      <c r="F2196" s="11">
        <v>347687.0</v>
      </c>
    </row>
    <row r="2197">
      <c r="A2197" s="5">
        <v>2196.0</v>
      </c>
      <c r="B2197" s="5" t="s">
        <v>77</v>
      </c>
      <c r="C2197" s="12" t="s">
        <v>247</v>
      </c>
      <c r="D2197" s="9" t="s">
        <v>68</v>
      </c>
      <c r="E2197" s="11">
        <v>112399.0</v>
      </c>
      <c r="F2197" s="11">
        <v>362743.0</v>
      </c>
    </row>
    <row r="2198">
      <c r="A2198" s="5">
        <v>2197.0</v>
      </c>
      <c r="B2198" s="5" t="s">
        <v>77</v>
      </c>
      <c r="C2198" s="12" t="s">
        <v>247</v>
      </c>
      <c r="D2198" s="9" t="s">
        <v>73</v>
      </c>
      <c r="E2198" s="11">
        <v>109264.0</v>
      </c>
      <c r="F2198" s="11">
        <v>368611.0</v>
      </c>
    </row>
    <row r="2199">
      <c r="A2199" s="5">
        <v>2198.0</v>
      </c>
      <c r="B2199" s="5" t="s">
        <v>61</v>
      </c>
      <c r="C2199" s="12" t="s">
        <v>248</v>
      </c>
      <c r="D2199" s="9" t="s">
        <v>60</v>
      </c>
      <c r="E2199" s="11">
        <v>263002.0</v>
      </c>
      <c r="F2199" s="8"/>
    </row>
    <row r="2200">
      <c r="A2200" s="5">
        <v>2199.0</v>
      </c>
      <c r="B2200" s="5" t="s">
        <v>61</v>
      </c>
      <c r="C2200" s="12" t="s">
        <v>248</v>
      </c>
      <c r="D2200" s="9" t="s">
        <v>62</v>
      </c>
      <c r="E2200" s="11">
        <v>260440.0</v>
      </c>
      <c r="F2200" s="8"/>
    </row>
    <row r="2201">
      <c r="A2201" s="5">
        <v>2200.0</v>
      </c>
      <c r="B2201" s="5" t="s">
        <v>61</v>
      </c>
      <c r="C2201" s="12" t="s">
        <v>248</v>
      </c>
      <c r="D2201" s="9" t="s">
        <v>63</v>
      </c>
      <c r="E2201" s="11">
        <v>249964.0</v>
      </c>
      <c r="F2201" s="11">
        <v>567567.0</v>
      </c>
    </row>
    <row r="2202">
      <c r="A2202" s="5">
        <v>2201.0</v>
      </c>
      <c r="B2202" s="5" t="s">
        <v>61</v>
      </c>
      <c r="C2202" s="12" t="s">
        <v>248</v>
      </c>
      <c r="D2202" s="9" t="s">
        <v>64</v>
      </c>
      <c r="E2202" s="11">
        <v>229178.0</v>
      </c>
      <c r="F2202" s="11">
        <v>509376.0</v>
      </c>
    </row>
    <row r="2203">
      <c r="A2203" s="5">
        <v>2202.0</v>
      </c>
      <c r="B2203" s="5" t="s">
        <v>61</v>
      </c>
      <c r="C2203" s="12" t="s">
        <v>248</v>
      </c>
      <c r="D2203" s="9" t="s">
        <v>65</v>
      </c>
      <c r="E2203" s="11">
        <v>226946.0</v>
      </c>
      <c r="F2203" s="11">
        <v>508052.0</v>
      </c>
    </row>
    <row r="2204">
      <c r="A2204" s="5">
        <v>2203.0</v>
      </c>
      <c r="B2204" s="5" t="s">
        <v>61</v>
      </c>
      <c r="C2204" s="12" t="s">
        <v>248</v>
      </c>
      <c r="D2204" s="9" t="s">
        <v>69</v>
      </c>
      <c r="E2204" s="11">
        <v>222147.0</v>
      </c>
      <c r="F2204" s="11">
        <v>495837.0</v>
      </c>
    </row>
    <row r="2205">
      <c r="A2205" s="5">
        <v>2204.0</v>
      </c>
      <c r="B2205" s="5" t="s">
        <v>61</v>
      </c>
      <c r="C2205" s="12" t="s">
        <v>248</v>
      </c>
      <c r="D2205" s="9" t="s">
        <v>73</v>
      </c>
      <c r="E2205" s="11">
        <v>213600.0</v>
      </c>
      <c r="F2205" s="11">
        <v>470806.0</v>
      </c>
    </row>
    <row r="2206">
      <c r="A2206" s="5">
        <v>2205.0</v>
      </c>
      <c r="B2206" s="5" t="s">
        <v>61</v>
      </c>
      <c r="C2206" s="12" t="s">
        <v>248</v>
      </c>
      <c r="D2206" s="9" t="s">
        <v>71</v>
      </c>
      <c r="E2206" s="11">
        <v>210176.0</v>
      </c>
      <c r="F2206" s="11">
        <v>462918.0</v>
      </c>
    </row>
    <row r="2207">
      <c r="A2207" s="5">
        <v>2206.0</v>
      </c>
      <c r="B2207" s="5" t="s">
        <v>61</v>
      </c>
      <c r="C2207" s="12" t="s">
        <v>248</v>
      </c>
      <c r="D2207" s="9" t="s">
        <v>68</v>
      </c>
      <c r="E2207" s="11">
        <v>208284.0</v>
      </c>
      <c r="F2207" s="11">
        <v>482277.0</v>
      </c>
    </row>
    <row r="2208">
      <c r="A2208" s="5">
        <v>2207.0</v>
      </c>
      <c r="B2208" s="5" t="s">
        <v>61</v>
      </c>
      <c r="C2208" s="12" t="s">
        <v>248</v>
      </c>
      <c r="D2208" s="9" t="s">
        <v>73</v>
      </c>
      <c r="E2208" s="11">
        <v>202717.0</v>
      </c>
      <c r="F2208" s="11">
        <v>466215.0</v>
      </c>
    </row>
    <row r="2209">
      <c r="A2209" s="5">
        <v>2208.0</v>
      </c>
      <c r="B2209" s="5" t="s">
        <v>61</v>
      </c>
      <c r="C2209" s="12" t="s">
        <v>248</v>
      </c>
      <c r="D2209" s="9" t="s">
        <v>69</v>
      </c>
      <c r="E2209" s="11">
        <v>198667.0</v>
      </c>
      <c r="F2209" s="11">
        <v>465632.0</v>
      </c>
    </row>
    <row r="2210">
      <c r="A2210" s="5">
        <v>2209.0</v>
      </c>
      <c r="B2210" s="5" t="s">
        <v>61</v>
      </c>
      <c r="C2210" s="12" t="s">
        <v>248</v>
      </c>
      <c r="D2210" s="9" t="s">
        <v>68</v>
      </c>
      <c r="E2210" s="11">
        <v>191046.0</v>
      </c>
      <c r="F2210" s="11">
        <v>450194.0</v>
      </c>
    </row>
    <row r="2211">
      <c r="A2211" s="5">
        <v>2210.0</v>
      </c>
      <c r="B2211" s="5" t="s">
        <v>61</v>
      </c>
      <c r="C2211" s="12" t="s">
        <v>248</v>
      </c>
      <c r="D2211" s="9" t="s">
        <v>73</v>
      </c>
      <c r="E2211" s="11">
        <v>188161.0</v>
      </c>
      <c r="F2211" s="11">
        <v>447561.0</v>
      </c>
    </row>
    <row r="2212">
      <c r="A2212" s="5">
        <v>2211.0</v>
      </c>
      <c r="B2212" s="5" t="s">
        <v>77</v>
      </c>
      <c r="C2212" s="12" t="s">
        <v>249</v>
      </c>
      <c r="D2212" s="9" t="s">
        <v>60</v>
      </c>
      <c r="E2212" s="8"/>
      <c r="F2212" s="8"/>
    </row>
    <row r="2213">
      <c r="A2213" s="5">
        <v>2212.0</v>
      </c>
      <c r="B2213" s="5" t="s">
        <v>77</v>
      </c>
      <c r="C2213" s="12" t="s">
        <v>249</v>
      </c>
      <c r="D2213" s="9" t="s">
        <v>62</v>
      </c>
      <c r="E2213" s="8"/>
      <c r="F2213" s="8"/>
    </row>
    <row r="2214">
      <c r="A2214" s="5">
        <v>2213.0</v>
      </c>
      <c r="B2214" s="5" t="s">
        <v>77</v>
      </c>
      <c r="C2214" s="12" t="s">
        <v>249</v>
      </c>
      <c r="D2214" s="9" t="s">
        <v>63</v>
      </c>
      <c r="E2214" s="8"/>
      <c r="F2214" s="8"/>
    </row>
    <row r="2215">
      <c r="A2215" s="5">
        <v>2214.0</v>
      </c>
      <c r="B2215" s="5" t="s">
        <v>77</v>
      </c>
      <c r="C2215" s="12" t="s">
        <v>249</v>
      </c>
      <c r="D2215" s="9" t="s">
        <v>64</v>
      </c>
      <c r="E2215" s="8"/>
      <c r="F2215" s="8"/>
    </row>
    <row r="2216">
      <c r="A2216" s="5">
        <v>2215.0</v>
      </c>
      <c r="B2216" s="5" t="s">
        <v>77</v>
      </c>
      <c r="C2216" s="12" t="s">
        <v>249</v>
      </c>
      <c r="D2216" s="9" t="s">
        <v>65</v>
      </c>
      <c r="E2216" s="8"/>
      <c r="F2216" s="8"/>
    </row>
    <row r="2217">
      <c r="A2217" s="5">
        <v>2216.0</v>
      </c>
      <c r="B2217" s="5" t="s">
        <v>77</v>
      </c>
      <c r="C2217" s="12" t="s">
        <v>249</v>
      </c>
      <c r="D2217" s="9" t="s">
        <v>69</v>
      </c>
      <c r="E2217" s="8"/>
      <c r="F2217" s="8"/>
    </row>
    <row r="2218">
      <c r="A2218" s="5">
        <v>2217.0</v>
      </c>
      <c r="B2218" s="5" t="s">
        <v>77</v>
      </c>
      <c r="C2218" s="12" t="s">
        <v>249</v>
      </c>
      <c r="D2218" s="9" t="s">
        <v>73</v>
      </c>
      <c r="E2218" s="8"/>
      <c r="F2218" s="8"/>
    </row>
    <row r="2219">
      <c r="A2219" s="5">
        <v>2218.0</v>
      </c>
      <c r="B2219" s="5" t="s">
        <v>77</v>
      </c>
      <c r="C2219" s="12" t="s">
        <v>249</v>
      </c>
      <c r="D2219" s="9" t="s">
        <v>71</v>
      </c>
      <c r="E2219" s="8"/>
      <c r="F2219" s="8"/>
    </row>
    <row r="2220">
      <c r="A2220" s="5">
        <v>2219.0</v>
      </c>
      <c r="B2220" s="5" t="s">
        <v>77</v>
      </c>
      <c r="C2220" s="12" t="s">
        <v>249</v>
      </c>
      <c r="D2220" s="9" t="s">
        <v>68</v>
      </c>
      <c r="E2220" s="8"/>
      <c r="F2220" s="8"/>
    </row>
    <row r="2221">
      <c r="A2221" s="5">
        <v>2220.0</v>
      </c>
      <c r="B2221" s="5" t="s">
        <v>77</v>
      </c>
      <c r="C2221" s="12" t="s">
        <v>249</v>
      </c>
      <c r="D2221" s="9" t="s">
        <v>73</v>
      </c>
      <c r="E2221" s="8"/>
      <c r="F2221" s="8"/>
    </row>
    <row r="2222">
      <c r="A2222" s="5">
        <v>2221.0</v>
      </c>
      <c r="B2222" s="5" t="s">
        <v>77</v>
      </c>
      <c r="C2222" s="12" t="s">
        <v>249</v>
      </c>
      <c r="D2222" s="9" t="s">
        <v>69</v>
      </c>
      <c r="E2222" s="8"/>
      <c r="F2222" s="8"/>
    </row>
    <row r="2223">
      <c r="A2223" s="5">
        <v>2222.0</v>
      </c>
      <c r="B2223" s="5" t="s">
        <v>77</v>
      </c>
      <c r="C2223" s="12" t="s">
        <v>249</v>
      </c>
      <c r="D2223" s="9" t="s">
        <v>68</v>
      </c>
      <c r="E2223" s="8"/>
      <c r="F2223" s="8"/>
    </row>
    <row r="2224">
      <c r="A2224" s="5">
        <v>2223.0</v>
      </c>
      <c r="B2224" s="5" t="s">
        <v>77</v>
      </c>
      <c r="C2224" s="12" t="s">
        <v>249</v>
      </c>
      <c r="D2224" s="9" t="s">
        <v>73</v>
      </c>
      <c r="E2224" s="8"/>
      <c r="F2224" s="8"/>
    </row>
    <row r="2225">
      <c r="A2225" s="5">
        <v>2224.0</v>
      </c>
      <c r="B2225" s="5" t="s">
        <v>75</v>
      </c>
      <c r="C2225" s="12" t="s">
        <v>250</v>
      </c>
      <c r="D2225" s="9" t="s">
        <v>60</v>
      </c>
      <c r="E2225" s="11">
        <v>124679.0</v>
      </c>
      <c r="F2225" s="8"/>
    </row>
    <row r="2226">
      <c r="A2226" s="5">
        <v>2225.0</v>
      </c>
      <c r="B2226" s="5" t="s">
        <v>75</v>
      </c>
      <c r="C2226" s="12" t="s">
        <v>250</v>
      </c>
      <c r="D2226" s="9" t="s">
        <v>62</v>
      </c>
      <c r="E2226" s="11">
        <v>125570.0</v>
      </c>
      <c r="F2226" s="8"/>
    </row>
    <row r="2227">
      <c r="A2227" s="5">
        <v>2226.0</v>
      </c>
      <c r="B2227" s="5" t="s">
        <v>75</v>
      </c>
      <c r="C2227" s="12" t="s">
        <v>250</v>
      </c>
      <c r="D2227" s="9" t="s">
        <v>63</v>
      </c>
      <c r="E2227" s="11">
        <v>127749.0</v>
      </c>
      <c r="F2227" s="11">
        <v>269675.0</v>
      </c>
    </row>
    <row r="2228">
      <c r="A2228" s="5">
        <v>2227.0</v>
      </c>
      <c r="B2228" s="5" t="s">
        <v>75</v>
      </c>
      <c r="C2228" s="12" t="s">
        <v>250</v>
      </c>
      <c r="D2228" s="9" t="s">
        <v>64</v>
      </c>
      <c r="E2228" s="11">
        <v>127732.0</v>
      </c>
      <c r="F2228" s="11">
        <v>288237.0</v>
      </c>
    </row>
    <row r="2229">
      <c r="A2229" s="5">
        <v>2228.0</v>
      </c>
      <c r="B2229" s="5" t="s">
        <v>75</v>
      </c>
      <c r="C2229" s="12" t="s">
        <v>250</v>
      </c>
      <c r="D2229" s="9" t="s">
        <v>65</v>
      </c>
      <c r="E2229" s="11">
        <v>139013.0</v>
      </c>
      <c r="F2229" s="11">
        <v>329286.0</v>
      </c>
    </row>
    <row r="2230">
      <c r="A2230" s="5">
        <v>2229.0</v>
      </c>
      <c r="B2230" s="5" t="s">
        <v>75</v>
      </c>
      <c r="C2230" s="12" t="s">
        <v>250</v>
      </c>
      <c r="D2230" s="9" t="s">
        <v>69</v>
      </c>
      <c r="E2230" s="11">
        <v>143836.0</v>
      </c>
      <c r="F2230" s="11">
        <v>358237.0</v>
      </c>
    </row>
    <row r="2231">
      <c r="A2231" s="5">
        <v>2230.0</v>
      </c>
      <c r="B2231" s="5" t="s">
        <v>75</v>
      </c>
      <c r="C2231" s="12" t="s">
        <v>250</v>
      </c>
      <c r="D2231" s="9" t="s">
        <v>73</v>
      </c>
      <c r="E2231" s="11">
        <v>141748.0</v>
      </c>
      <c r="F2231" s="11">
        <v>350037.0</v>
      </c>
    </row>
    <row r="2232">
      <c r="A2232" s="5">
        <v>2231.0</v>
      </c>
      <c r="B2232" s="5" t="s">
        <v>75</v>
      </c>
      <c r="C2232" s="12" t="s">
        <v>250</v>
      </c>
      <c r="D2232" s="9" t="s">
        <v>71</v>
      </c>
      <c r="E2232" s="11">
        <v>141914.0</v>
      </c>
      <c r="F2232" s="11">
        <v>353462.0</v>
      </c>
    </row>
    <row r="2233">
      <c r="A2233" s="5">
        <v>2232.0</v>
      </c>
      <c r="B2233" s="5" t="s">
        <v>75</v>
      </c>
      <c r="C2233" s="12" t="s">
        <v>250</v>
      </c>
      <c r="D2233" s="9" t="s">
        <v>68</v>
      </c>
      <c r="E2233" s="11">
        <v>139030.0</v>
      </c>
      <c r="F2233" s="11">
        <v>339429.0</v>
      </c>
    </row>
    <row r="2234">
      <c r="A2234" s="5">
        <v>2233.0</v>
      </c>
      <c r="B2234" s="5" t="s">
        <v>75</v>
      </c>
      <c r="C2234" s="12" t="s">
        <v>250</v>
      </c>
      <c r="D2234" s="9" t="s">
        <v>73</v>
      </c>
      <c r="E2234" s="11">
        <v>133196.0</v>
      </c>
      <c r="F2234" s="11">
        <v>321097.0</v>
      </c>
    </row>
    <row r="2235">
      <c r="A2235" s="5">
        <v>2234.0</v>
      </c>
      <c r="B2235" s="5" t="s">
        <v>75</v>
      </c>
      <c r="C2235" s="12" t="s">
        <v>250</v>
      </c>
      <c r="D2235" s="9" t="s">
        <v>69</v>
      </c>
      <c r="E2235" s="11">
        <v>128757.0</v>
      </c>
      <c r="F2235" s="11">
        <v>314519.0</v>
      </c>
    </row>
    <row r="2236">
      <c r="A2236" s="5">
        <v>2235.0</v>
      </c>
      <c r="B2236" s="5" t="s">
        <v>75</v>
      </c>
      <c r="C2236" s="12" t="s">
        <v>250</v>
      </c>
      <c r="D2236" s="9" t="s">
        <v>68</v>
      </c>
      <c r="E2236" s="11">
        <v>125038.0</v>
      </c>
      <c r="F2236" s="11">
        <v>297830.0</v>
      </c>
    </row>
    <row r="2237">
      <c r="A2237" s="5">
        <v>2236.0</v>
      </c>
      <c r="B2237" s="5" t="s">
        <v>75</v>
      </c>
      <c r="C2237" s="12" t="s">
        <v>250</v>
      </c>
      <c r="D2237" s="9" t="s">
        <v>73</v>
      </c>
      <c r="E2237" s="11">
        <v>121856.0</v>
      </c>
      <c r="F2237" s="11">
        <v>294434.0</v>
      </c>
    </row>
    <row r="2238">
      <c r="A2238" s="5">
        <v>2237.0</v>
      </c>
      <c r="B2238" s="5" t="s">
        <v>61</v>
      </c>
      <c r="C2238" s="12" t="s">
        <v>251</v>
      </c>
      <c r="D2238" s="9" t="s">
        <v>60</v>
      </c>
      <c r="E2238" s="8"/>
      <c r="F2238" s="8"/>
    </row>
    <row r="2239">
      <c r="A2239" s="5">
        <v>2238.0</v>
      </c>
      <c r="B2239" s="5" t="s">
        <v>61</v>
      </c>
      <c r="C2239" s="12" t="s">
        <v>251</v>
      </c>
      <c r="D2239" s="9" t="s">
        <v>62</v>
      </c>
      <c r="E2239" s="11">
        <v>10421.0</v>
      </c>
      <c r="F2239" s="8"/>
    </row>
    <row r="2240">
      <c r="A2240" s="5">
        <v>2239.0</v>
      </c>
      <c r="B2240" s="5" t="s">
        <v>61</v>
      </c>
      <c r="C2240" s="12" t="s">
        <v>251</v>
      </c>
      <c r="D2240" s="9" t="s">
        <v>63</v>
      </c>
      <c r="E2240" s="11">
        <v>9844.0</v>
      </c>
      <c r="F2240" s="11">
        <v>12710.0</v>
      </c>
    </row>
    <row r="2241">
      <c r="A2241" s="5">
        <v>2240.0</v>
      </c>
      <c r="B2241" s="5" t="s">
        <v>61</v>
      </c>
      <c r="C2241" s="12" t="s">
        <v>251</v>
      </c>
      <c r="D2241" s="9" t="s">
        <v>64</v>
      </c>
      <c r="E2241" s="11">
        <v>9082.0</v>
      </c>
      <c r="F2241" s="11">
        <v>12831.0</v>
      </c>
    </row>
    <row r="2242">
      <c r="A2242" s="5">
        <v>2241.0</v>
      </c>
      <c r="B2242" s="5" t="s">
        <v>61</v>
      </c>
      <c r="C2242" s="12" t="s">
        <v>251</v>
      </c>
      <c r="D2242" s="9" t="s">
        <v>66</v>
      </c>
      <c r="E2242" s="11">
        <v>8942.0</v>
      </c>
      <c r="F2242" s="11">
        <v>11892.0</v>
      </c>
    </row>
    <row r="2243">
      <c r="A2243" s="5">
        <v>2242.0</v>
      </c>
      <c r="B2243" s="5" t="s">
        <v>61</v>
      </c>
      <c r="C2243" s="12" t="s">
        <v>251</v>
      </c>
      <c r="D2243" s="9" t="s">
        <v>69</v>
      </c>
      <c r="E2243" s="11">
        <v>9261.0</v>
      </c>
      <c r="F2243" s="11">
        <v>12457.0</v>
      </c>
    </row>
    <row r="2244">
      <c r="A2244" s="5">
        <v>2243.0</v>
      </c>
      <c r="B2244" s="5" t="s">
        <v>61</v>
      </c>
      <c r="C2244" s="12" t="s">
        <v>251</v>
      </c>
      <c r="D2244" s="9" t="s">
        <v>73</v>
      </c>
      <c r="E2244" s="11">
        <v>9083.0</v>
      </c>
      <c r="F2244" s="11">
        <v>11738.0</v>
      </c>
    </row>
    <row r="2245">
      <c r="A2245" s="5">
        <v>2244.0</v>
      </c>
      <c r="B2245" s="5" t="s">
        <v>61</v>
      </c>
      <c r="C2245" s="12" t="s">
        <v>251</v>
      </c>
      <c r="D2245" s="9" t="s">
        <v>71</v>
      </c>
      <c r="E2245" s="11">
        <v>9001.0</v>
      </c>
      <c r="F2245" s="11">
        <v>11643.0</v>
      </c>
    </row>
    <row r="2246">
      <c r="A2246" s="5">
        <v>2245.0</v>
      </c>
      <c r="B2246" s="5" t="s">
        <v>61</v>
      </c>
      <c r="C2246" s="12" t="s">
        <v>251</v>
      </c>
      <c r="D2246" s="9" t="s">
        <v>68</v>
      </c>
      <c r="E2246" s="11">
        <v>8798.0</v>
      </c>
      <c r="F2246" s="11">
        <v>11965.0</v>
      </c>
    </row>
    <row r="2247">
      <c r="A2247" s="5">
        <v>2246.0</v>
      </c>
      <c r="B2247" s="5" t="s">
        <v>61</v>
      </c>
      <c r="C2247" s="12" t="s">
        <v>251</v>
      </c>
      <c r="D2247" s="9" t="s">
        <v>73</v>
      </c>
      <c r="E2247" s="11">
        <v>8682.0</v>
      </c>
      <c r="F2247" s="11">
        <v>10660.0</v>
      </c>
    </row>
    <row r="2248">
      <c r="A2248" s="5">
        <v>2247.0</v>
      </c>
      <c r="B2248" s="5" t="s">
        <v>61</v>
      </c>
      <c r="C2248" s="12" t="s">
        <v>251</v>
      </c>
      <c r="D2248" s="9" t="s">
        <v>69</v>
      </c>
      <c r="E2248" s="11">
        <v>8199.0</v>
      </c>
      <c r="F2248" s="11">
        <v>11008.0</v>
      </c>
    </row>
    <row r="2249">
      <c r="A2249" s="5">
        <v>2248.0</v>
      </c>
      <c r="B2249" s="5" t="s">
        <v>61</v>
      </c>
      <c r="C2249" s="12" t="s">
        <v>251</v>
      </c>
      <c r="D2249" s="9" t="s">
        <v>68</v>
      </c>
      <c r="E2249" s="11">
        <v>8050.0</v>
      </c>
      <c r="F2249" s="11">
        <v>10246.0</v>
      </c>
    </row>
    <row r="2250">
      <c r="A2250" s="5">
        <v>2249.0</v>
      </c>
      <c r="B2250" s="5" t="s">
        <v>61</v>
      </c>
      <c r="C2250" s="12" t="s">
        <v>251</v>
      </c>
      <c r="D2250" s="9" t="s">
        <v>73</v>
      </c>
      <c r="E2250" s="11">
        <v>8327.0</v>
      </c>
      <c r="F2250" s="11">
        <v>10161.0</v>
      </c>
    </row>
    <row r="2251">
      <c r="A2251" s="5">
        <v>2250.0</v>
      </c>
      <c r="B2251" s="5" t="s">
        <v>84</v>
      </c>
      <c r="C2251" s="12" t="s">
        <v>252</v>
      </c>
      <c r="D2251" s="9" t="s">
        <v>60</v>
      </c>
      <c r="E2251" s="8"/>
      <c r="F2251" s="8"/>
    </row>
    <row r="2252">
      <c r="A2252" s="5">
        <v>2251.0</v>
      </c>
      <c r="B2252" s="5" t="s">
        <v>84</v>
      </c>
      <c r="C2252" s="12" t="s">
        <v>252</v>
      </c>
      <c r="D2252" s="9" t="s">
        <v>62</v>
      </c>
      <c r="E2252" s="8"/>
      <c r="F2252" s="8"/>
    </row>
    <row r="2253">
      <c r="A2253" s="5">
        <v>2252.0</v>
      </c>
      <c r="B2253" s="5" t="s">
        <v>84</v>
      </c>
      <c r="C2253" s="12" t="s">
        <v>252</v>
      </c>
      <c r="D2253" s="9" t="s">
        <v>63</v>
      </c>
      <c r="E2253" s="8"/>
      <c r="F2253" s="11">
        <v>249.0</v>
      </c>
    </row>
    <row r="2254">
      <c r="A2254" s="5">
        <v>2253.0</v>
      </c>
      <c r="B2254" s="5" t="s">
        <v>84</v>
      </c>
      <c r="C2254" s="12" t="s">
        <v>252</v>
      </c>
      <c r="D2254" s="9" t="s">
        <v>64</v>
      </c>
      <c r="E2254" s="8"/>
      <c r="F2254" s="11">
        <v>260.0</v>
      </c>
    </row>
    <row r="2255">
      <c r="A2255" s="5">
        <v>2254.0</v>
      </c>
      <c r="B2255" s="5" t="s">
        <v>84</v>
      </c>
      <c r="C2255" s="12" t="s">
        <v>252</v>
      </c>
      <c r="D2255" s="9" t="s">
        <v>66</v>
      </c>
      <c r="E2255" s="8"/>
      <c r="F2255" s="11">
        <v>249.0</v>
      </c>
    </row>
    <row r="2256">
      <c r="A2256" s="5">
        <v>2255.0</v>
      </c>
      <c r="B2256" s="5" t="s">
        <v>84</v>
      </c>
      <c r="C2256" s="12" t="s">
        <v>252</v>
      </c>
      <c r="D2256" s="9" t="s">
        <v>69</v>
      </c>
      <c r="E2256" s="11">
        <v>83.0</v>
      </c>
      <c r="F2256" s="11">
        <v>249.0</v>
      </c>
    </row>
    <row r="2257">
      <c r="A2257" s="5">
        <v>2256.0</v>
      </c>
      <c r="B2257" s="5" t="s">
        <v>84</v>
      </c>
      <c r="C2257" s="12" t="s">
        <v>252</v>
      </c>
      <c r="D2257" s="9" t="s">
        <v>73</v>
      </c>
      <c r="E2257" s="11">
        <v>79.0</v>
      </c>
      <c r="F2257" s="11">
        <v>235.0</v>
      </c>
    </row>
    <row r="2258">
      <c r="A2258" s="5">
        <v>2257.0</v>
      </c>
      <c r="B2258" s="5" t="s">
        <v>84</v>
      </c>
      <c r="C2258" s="12" t="s">
        <v>252</v>
      </c>
      <c r="D2258" s="9" t="s">
        <v>71</v>
      </c>
      <c r="E2258" s="11">
        <v>79.0</v>
      </c>
      <c r="F2258" s="11">
        <v>235.0</v>
      </c>
    </row>
    <row r="2259">
      <c r="A2259" s="5">
        <v>2258.0</v>
      </c>
      <c r="B2259" s="5" t="s">
        <v>84</v>
      </c>
      <c r="C2259" s="12" t="s">
        <v>252</v>
      </c>
      <c r="D2259" s="9" t="s">
        <v>68</v>
      </c>
      <c r="E2259" s="11">
        <v>76.0</v>
      </c>
      <c r="F2259" s="11">
        <v>227.0</v>
      </c>
    </row>
    <row r="2260">
      <c r="A2260" s="5">
        <v>2259.0</v>
      </c>
      <c r="B2260" s="5" t="s">
        <v>84</v>
      </c>
      <c r="C2260" s="12" t="s">
        <v>252</v>
      </c>
      <c r="D2260" s="9" t="s">
        <v>73</v>
      </c>
      <c r="E2260" s="8"/>
      <c r="F2260" s="11">
        <v>220.0</v>
      </c>
    </row>
    <row r="2261">
      <c r="A2261" s="5">
        <v>2260.0</v>
      </c>
      <c r="B2261" s="5" t="s">
        <v>84</v>
      </c>
      <c r="C2261" s="12" t="s">
        <v>252</v>
      </c>
      <c r="D2261" s="9" t="s">
        <v>69</v>
      </c>
      <c r="E2261" s="8"/>
      <c r="F2261" s="11">
        <v>198.0</v>
      </c>
    </row>
    <row r="2262">
      <c r="A2262" s="5">
        <v>2261.0</v>
      </c>
      <c r="B2262" s="5" t="s">
        <v>84</v>
      </c>
      <c r="C2262" s="12" t="s">
        <v>252</v>
      </c>
      <c r="D2262" s="9" t="s">
        <v>68</v>
      </c>
      <c r="E2262" s="8"/>
      <c r="F2262" s="11">
        <v>183.0</v>
      </c>
    </row>
    <row r="2263">
      <c r="A2263" s="5">
        <v>2262.0</v>
      </c>
      <c r="B2263" s="5" t="s">
        <v>84</v>
      </c>
      <c r="C2263" s="12" t="s">
        <v>252</v>
      </c>
      <c r="D2263" s="9" t="s">
        <v>73</v>
      </c>
      <c r="E2263" s="8"/>
      <c r="F2263" s="11">
        <v>103.0</v>
      </c>
    </row>
    <row r="2264">
      <c r="A2264" s="5">
        <v>2263.0</v>
      </c>
      <c r="B2264" s="5" t="s">
        <v>84</v>
      </c>
      <c r="C2264" s="12" t="s">
        <v>253</v>
      </c>
      <c r="D2264" s="9" t="s">
        <v>60</v>
      </c>
      <c r="E2264" s="8"/>
      <c r="F2264" s="8"/>
    </row>
    <row r="2265">
      <c r="A2265" s="5">
        <v>2264.0</v>
      </c>
      <c r="B2265" s="5" t="s">
        <v>84</v>
      </c>
      <c r="C2265" s="12" t="s">
        <v>253</v>
      </c>
      <c r="D2265" s="9" t="s">
        <v>62</v>
      </c>
      <c r="E2265" s="8"/>
      <c r="F2265" s="8"/>
    </row>
    <row r="2266">
      <c r="A2266" s="5">
        <v>2265.0</v>
      </c>
      <c r="B2266" s="5" t="s">
        <v>84</v>
      </c>
      <c r="C2266" s="12" t="s">
        <v>253</v>
      </c>
      <c r="D2266" s="9" t="s">
        <v>63</v>
      </c>
      <c r="E2266" s="8"/>
      <c r="F2266" s="11">
        <v>403.0</v>
      </c>
    </row>
    <row r="2267">
      <c r="A2267" s="5">
        <v>2266.0</v>
      </c>
      <c r="B2267" s="5" t="s">
        <v>84</v>
      </c>
      <c r="C2267" s="12" t="s">
        <v>253</v>
      </c>
      <c r="D2267" s="9" t="s">
        <v>64</v>
      </c>
      <c r="E2267" s="8"/>
      <c r="F2267" s="11">
        <v>385.0</v>
      </c>
    </row>
    <row r="2268">
      <c r="A2268" s="5">
        <v>2267.0</v>
      </c>
      <c r="B2268" s="5" t="s">
        <v>84</v>
      </c>
      <c r="C2268" s="12" t="s">
        <v>253</v>
      </c>
      <c r="D2268" s="9" t="s">
        <v>66</v>
      </c>
      <c r="E2268" s="8"/>
      <c r="F2268" s="11">
        <v>396.0</v>
      </c>
    </row>
    <row r="2269">
      <c r="A2269" s="5">
        <v>2268.0</v>
      </c>
      <c r="B2269" s="5" t="s">
        <v>84</v>
      </c>
      <c r="C2269" s="12" t="s">
        <v>253</v>
      </c>
      <c r="D2269" s="9" t="s">
        <v>69</v>
      </c>
      <c r="E2269" s="11">
        <v>128.0</v>
      </c>
      <c r="F2269" s="11">
        <v>385.0</v>
      </c>
    </row>
    <row r="2270">
      <c r="A2270" s="5">
        <v>2269.0</v>
      </c>
      <c r="B2270" s="5" t="s">
        <v>84</v>
      </c>
      <c r="C2270" s="12" t="s">
        <v>253</v>
      </c>
      <c r="D2270" s="9" t="s">
        <v>73</v>
      </c>
      <c r="E2270" s="11">
        <v>119.0</v>
      </c>
      <c r="F2270" s="11">
        <v>367.0</v>
      </c>
    </row>
    <row r="2271">
      <c r="A2271" s="5">
        <v>2270.0</v>
      </c>
      <c r="B2271" s="5" t="s">
        <v>84</v>
      </c>
      <c r="C2271" s="12" t="s">
        <v>253</v>
      </c>
      <c r="D2271" s="9" t="s">
        <v>71</v>
      </c>
      <c r="E2271" s="11">
        <v>123.0</v>
      </c>
      <c r="F2271" s="11">
        <v>367.0</v>
      </c>
    </row>
    <row r="2272">
      <c r="A2272" s="5">
        <v>2271.0</v>
      </c>
      <c r="B2272" s="5" t="s">
        <v>84</v>
      </c>
      <c r="C2272" s="12" t="s">
        <v>253</v>
      </c>
      <c r="D2272" s="9" t="s">
        <v>68</v>
      </c>
      <c r="E2272" s="11">
        <v>120.0</v>
      </c>
      <c r="F2272" s="11">
        <v>356.0</v>
      </c>
    </row>
    <row r="2273">
      <c r="A2273" s="5">
        <v>2272.0</v>
      </c>
      <c r="B2273" s="5" t="s">
        <v>84</v>
      </c>
      <c r="C2273" s="12" t="s">
        <v>253</v>
      </c>
      <c r="D2273" s="9" t="s">
        <v>73</v>
      </c>
      <c r="E2273" s="8"/>
      <c r="F2273" s="11">
        <v>359.0</v>
      </c>
    </row>
    <row r="2274">
      <c r="A2274" s="5">
        <v>2273.0</v>
      </c>
      <c r="B2274" s="5" t="s">
        <v>84</v>
      </c>
      <c r="C2274" s="12" t="s">
        <v>253</v>
      </c>
      <c r="D2274" s="9" t="s">
        <v>70</v>
      </c>
      <c r="E2274" s="8"/>
      <c r="F2274" s="11">
        <v>326.0</v>
      </c>
    </row>
    <row r="2275">
      <c r="A2275" s="5">
        <v>2274.0</v>
      </c>
      <c r="B2275" s="5" t="s">
        <v>84</v>
      </c>
      <c r="C2275" s="12" t="s">
        <v>253</v>
      </c>
      <c r="D2275" s="9" t="s">
        <v>68</v>
      </c>
      <c r="E2275" s="8"/>
      <c r="F2275" s="11">
        <v>363.0</v>
      </c>
    </row>
    <row r="2276">
      <c r="A2276" s="5">
        <v>2275.0</v>
      </c>
      <c r="B2276" s="5" t="s">
        <v>84</v>
      </c>
      <c r="C2276" s="12" t="s">
        <v>253</v>
      </c>
      <c r="D2276" s="9" t="s">
        <v>73</v>
      </c>
      <c r="E2276" s="8"/>
      <c r="F2276" s="11">
        <v>330.0</v>
      </c>
    </row>
    <row r="2277">
      <c r="A2277" s="5">
        <v>2276.0</v>
      </c>
      <c r="B2277" s="5" t="s">
        <v>84</v>
      </c>
      <c r="C2277" s="12" t="s">
        <v>254</v>
      </c>
      <c r="D2277" s="9" t="s">
        <v>60</v>
      </c>
      <c r="E2277" s="8"/>
      <c r="F2277" s="8"/>
    </row>
    <row r="2278">
      <c r="A2278" s="5">
        <v>2277.0</v>
      </c>
      <c r="B2278" s="5" t="s">
        <v>84</v>
      </c>
      <c r="C2278" s="12" t="s">
        <v>254</v>
      </c>
      <c r="D2278" s="9" t="s">
        <v>62</v>
      </c>
      <c r="E2278" s="8"/>
      <c r="F2278" s="8"/>
    </row>
    <row r="2279">
      <c r="A2279" s="5">
        <v>2278.0</v>
      </c>
      <c r="B2279" s="5" t="s">
        <v>84</v>
      </c>
      <c r="C2279" s="12" t="s">
        <v>254</v>
      </c>
      <c r="D2279" s="9" t="s">
        <v>63</v>
      </c>
      <c r="E2279" s="8"/>
      <c r="F2279" s="8"/>
    </row>
    <row r="2280">
      <c r="A2280" s="5">
        <v>2279.0</v>
      </c>
      <c r="B2280" s="5" t="s">
        <v>84</v>
      </c>
      <c r="C2280" s="12" t="s">
        <v>254</v>
      </c>
      <c r="D2280" s="9" t="s">
        <v>64</v>
      </c>
      <c r="E2280" s="8"/>
      <c r="F2280" s="8"/>
    </row>
    <row r="2281">
      <c r="A2281" s="5">
        <v>2280.0</v>
      </c>
      <c r="B2281" s="5" t="s">
        <v>84</v>
      </c>
      <c r="C2281" s="12" t="s">
        <v>254</v>
      </c>
      <c r="D2281" s="9" t="s">
        <v>66</v>
      </c>
      <c r="E2281" s="8"/>
      <c r="F2281" s="8"/>
    </row>
    <row r="2282">
      <c r="A2282" s="5">
        <v>2281.0</v>
      </c>
      <c r="B2282" s="5" t="s">
        <v>84</v>
      </c>
      <c r="C2282" s="12" t="s">
        <v>254</v>
      </c>
      <c r="D2282" s="9" t="s">
        <v>69</v>
      </c>
      <c r="E2282" s="8"/>
      <c r="F2282" s="8"/>
    </row>
    <row r="2283">
      <c r="A2283" s="5">
        <v>2282.0</v>
      </c>
      <c r="B2283" s="5" t="s">
        <v>84</v>
      </c>
      <c r="C2283" s="12" t="s">
        <v>254</v>
      </c>
      <c r="D2283" s="9" t="s">
        <v>73</v>
      </c>
      <c r="E2283" s="8"/>
      <c r="F2283" s="8"/>
    </row>
    <row r="2284">
      <c r="A2284" s="5">
        <v>2283.0</v>
      </c>
      <c r="B2284" s="5" t="s">
        <v>84</v>
      </c>
      <c r="C2284" s="12" t="s">
        <v>254</v>
      </c>
      <c r="D2284" s="9" t="s">
        <v>71</v>
      </c>
      <c r="E2284" s="8"/>
      <c r="F2284" s="8"/>
    </row>
    <row r="2285">
      <c r="A2285" s="5">
        <v>2284.0</v>
      </c>
      <c r="B2285" s="5" t="s">
        <v>84</v>
      </c>
      <c r="C2285" s="12" t="s">
        <v>254</v>
      </c>
      <c r="D2285" s="9" t="s">
        <v>68</v>
      </c>
      <c r="E2285" s="8"/>
      <c r="F2285" s="8"/>
    </row>
    <row r="2286">
      <c r="A2286" s="5">
        <v>2285.0</v>
      </c>
      <c r="B2286" s="5" t="s">
        <v>84</v>
      </c>
      <c r="C2286" s="12" t="s">
        <v>254</v>
      </c>
      <c r="D2286" s="9" t="s">
        <v>73</v>
      </c>
      <c r="E2286" s="8"/>
      <c r="F2286" s="8"/>
    </row>
    <row r="2287">
      <c r="A2287" s="5">
        <v>2286.0</v>
      </c>
      <c r="B2287" s="5" t="s">
        <v>84</v>
      </c>
      <c r="C2287" s="12" t="s">
        <v>254</v>
      </c>
      <c r="D2287" s="9" t="s">
        <v>70</v>
      </c>
      <c r="E2287" s="8"/>
      <c r="F2287" s="8"/>
    </row>
    <row r="2288">
      <c r="A2288" s="5">
        <v>2287.0</v>
      </c>
      <c r="B2288" s="5" t="s">
        <v>84</v>
      </c>
      <c r="C2288" s="12" t="s">
        <v>254</v>
      </c>
      <c r="D2288" s="9" t="s">
        <v>68</v>
      </c>
      <c r="E2288" s="8"/>
      <c r="F2288" s="8"/>
    </row>
    <row r="2289">
      <c r="A2289" s="5">
        <v>2288.0</v>
      </c>
      <c r="B2289" s="5" t="s">
        <v>84</v>
      </c>
      <c r="C2289" s="12" t="s">
        <v>254</v>
      </c>
      <c r="D2289" s="9" t="s">
        <v>73</v>
      </c>
      <c r="E2289" s="8"/>
      <c r="F2289" s="8"/>
    </row>
    <row r="2290">
      <c r="A2290" s="5">
        <v>2289.0</v>
      </c>
      <c r="B2290" s="5" t="s">
        <v>84</v>
      </c>
      <c r="C2290" s="12" t="s">
        <v>255</v>
      </c>
      <c r="D2290" s="9" t="s">
        <v>60</v>
      </c>
      <c r="E2290" s="8"/>
      <c r="F2290" s="8"/>
    </row>
    <row r="2291">
      <c r="A2291" s="5">
        <v>2290.0</v>
      </c>
      <c r="B2291" s="5" t="s">
        <v>84</v>
      </c>
      <c r="C2291" s="12" t="s">
        <v>255</v>
      </c>
      <c r="D2291" s="9" t="s">
        <v>62</v>
      </c>
      <c r="E2291" s="8"/>
      <c r="F2291" s="8"/>
    </row>
    <row r="2292">
      <c r="A2292" s="5">
        <v>2291.0</v>
      </c>
      <c r="B2292" s="5" t="s">
        <v>84</v>
      </c>
      <c r="C2292" s="12" t="s">
        <v>255</v>
      </c>
      <c r="D2292" s="9" t="s">
        <v>63</v>
      </c>
      <c r="E2292" s="8"/>
      <c r="F2292" s="11">
        <v>209.0</v>
      </c>
    </row>
    <row r="2293">
      <c r="A2293" s="5">
        <v>2292.0</v>
      </c>
      <c r="B2293" s="5" t="s">
        <v>84</v>
      </c>
      <c r="C2293" s="12" t="s">
        <v>255</v>
      </c>
      <c r="D2293" s="9" t="s">
        <v>64</v>
      </c>
      <c r="E2293" s="8"/>
      <c r="F2293" s="11">
        <v>202.0</v>
      </c>
    </row>
    <row r="2294">
      <c r="A2294" s="5">
        <v>2293.0</v>
      </c>
      <c r="B2294" s="5" t="s">
        <v>84</v>
      </c>
      <c r="C2294" s="12" t="s">
        <v>255</v>
      </c>
      <c r="D2294" s="9" t="s">
        <v>66</v>
      </c>
      <c r="E2294" s="8"/>
      <c r="F2294" s="11">
        <v>202.0</v>
      </c>
    </row>
    <row r="2295">
      <c r="A2295" s="5">
        <v>2294.0</v>
      </c>
      <c r="B2295" s="5" t="s">
        <v>84</v>
      </c>
      <c r="C2295" s="12" t="s">
        <v>255</v>
      </c>
      <c r="D2295" s="9" t="s">
        <v>69</v>
      </c>
      <c r="E2295" s="11">
        <v>70.0</v>
      </c>
      <c r="F2295" s="11">
        <v>202.0</v>
      </c>
    </row>
    <row r="2296">
      <c r="A2296" s="5">
        <v>2295.0</v>
      </c>
      <c r="B2296" s="5" t="s">
        <v>84</v>
      </c>
      <c r="C2296" s="12" t="s">
        <v>255</v>
      </c>
      <c r="D2296" s="9" t="s">
        <v>73</v>
      </c>
      <c r="E2296" s="11">
        <v>70.0</v>
      </c>
      <c r="F2296" s="11">
        <v>202.0</v>
      </c>
    </row>
    <row r="2297">
      <c r="A2297" s="5">
        <v>2296.0</v>
      </c>
      <c r="B2297" s="5" t="s">
        <v>84</v>
      </c>
      <c r="C2297" s="12" t="s">
        <v>255</v>
      </c>
      <c r="D2297" s="9" t="s">
        <v>71</v>
      </c>
      <c r="E2297" s="11">
        <v>67.0</v>
      </c>
      <c r="F2297" s="11">
        <v>198.0</v>
      </c>
    </row>
    <row r="2298">
      <c r="A2298" s="5">
        <v>2297.0</v>
      </c>
      <c r="B2298" s="5" t="s">
        <v>84</v>
      </c>
      <c r="C2298" s="12" t="s">
        <v>255</v>
      </c>
      <c r="D2298" s="9" t="s">
        <v>68</v>
      </c>
      <c r="E2298" s="11">
        <v>66.0</v>
      </c>
      <c r="F2298" s="11">
        <v>194.0</v>
      </c>
    </row>
    <row r="2299">
      <c r="A2299" s="5">
        <v>2298.0</v>
      </c>
      <c r="B2299" s="5" t="s">
        <v>84</v>
      </c>
      <c r="C2299" s="12" t="s">
        <v>255</v>
      </c>
      <c r="D2299" s="9" t="s">
        <v>73</v>
      </c>
      <c r="E2299" s="8"/>
      <c r="F2299" s="11">
        <v>194.0</v>
      </c>
    </row>
    <row r="2300">
      <c r="A2300" s="5">
        <v>2299.0</v>
      </c>
      <c r="B2300" s="5" t="s">
        <v>84</v>
      </c>
      <c r="C2300" s="12" t="s">
        <v>255</v>
      </c>
      <c r="D2300" s="9" t="s">
        <v>70</v>
      </c>
      <c r="E2300" s="8"/>
      <c r="F2300" s="11">
        <v>187.0</v>
      </c>
    </row>
    <row r="2301">
      <c r="A2301" s="5">
        <v>2300.0</v>
      </c>
      <c r="B2301" s="5" t="s">
        <v>84</v>
      </c>
      <c r="C2301" s="12" t="s">
        <v>255</v>
      </c>
      <c r="D2301" s="9" t="s">
        <v>68</v>
      </c>
      <c r="E2301" s="8"/>
      <c r="F2301" s="11">
        <v>180.0</v>
      </c>
    </row>
    <row r="2302">
      <c r="A2302" s="5">
        <v>2301.0</v>
      </c>
      <c r="B2302" s="5" t="s">
        <v>84</v>
      </c>
      <c r="C2302" s="12" t="s">
        <v>255</v>
      </c>
      <c r="D2302" s="9" t="s">
        <v>73</v>
      </c>
      <c r="E2302" s="8"/>
      <c r="F2302" s="11">
        <v>158.0</v>
      </c>
    </row>
    <row r="2303">
      <c r="A2303" s="5">
        <v>2302.0</v>
      </c>
      <c r="B2303" s="5" t="s">
        <v>77</v>
      </c>
      <c r="C2303" s="12" t="s">
        <v>256</v>
      </c>
      <c r="D2303" s="9" t="s">
        <v>60</v>
      </c>
      <c r="E2303" s="8"/>
      <c r="F2303" s="8"/>
    </row>
    <row r="2304">
      <c r="A2304" s="5">
        <v>2303.0</v>
      </c>
      <c r="B2304" s="5" t="s">
        <v>77</v>
      </c>
      <c r="C2304" s="12" t="s">
        <v>256</v>
      </c>
      <c r="D2304" s="9" t="s">
        <v>62</v>
      </c>
      <c r="E2304" s="11">
        <v>16622.0</v>
      </c>
      <c r="F2304" s="8"/>
    </row>
    <row r="2305">
      <c r="A2305" s="5">
        <v>2304.0</v>
      </c>
      <c r="B2305" s="5" t="s">
        <v>77</v>
      </c>
      <c r="C2305" s="12" t="s">
        <v>256</v>
      </c>
      <c r="D2305" s="9" t="s">
        <v>63</v>
      </c>
      <c r="E2305" s="11">
        <v>16605.0</v>
      </c>
      <c r="F2305" s="11">
        <v>14173.0</v>
      </c>
    </row>
    <row r="2306">
      <c r="A2306" s="5">
        <v>2305.0</v>
      </c>
      <c r="B2306" s="5" t="s">
        <v>77</v>
      </c>
      <c r="C2306" s="12" t="s">
        <v>256</v>
      </c>
      <c r="D2306" s="9" t="s">
        <v>64</v>
      </c>
      <c r="E2306" s="11">
        <v>16297.0</v>
      </c>
      <c r="F2306" s="11">
        <v>14056.0</v>
      </c>
    </row>
    <row r="2307">
      <c r="A2307" s="5">
        <v>2306.0</v>
      </c>
      <c r="B2307" s="5" t="s">
        <v>77</v>
      </c>
      <c r="C2307" s="12" t="s">
        <v>256</v>
      </c>
      <c r="D2307" s="9" t="s">
        <v>66</v>
      </c>
      <c r="E2307" s="11">
        <v>15539.0</v>
      </c>
      <c r="F2307" s="11">
        <v>12589.0</v>
      </c>
    </row>
    <row r="2308">
      <c r="A2308" s="5">
        <v>2307.0</v>
      </c>
      <c r="B2308" s="5" t="s">
        <v>77</v>
      </c>
      <c r="C2308" s="12" t="s">
        <v>256</v>
      </c>
      <c r="D2308" s="9" t="s">
        <v>70</v>
      </c>
      <c r="E2308" s="11">
        <v>15294.0</v>
      </c>
      <c r="F2308" s="11">
        <v>12541.0</v>
      </c>
    </row>
    <row r="2309">
      <c r="A2309" s="5">
        <v>2308.0</v>
      </c>
      <c r="B2309" s="5" t="s">
        <v>77</v>
      </c>
      <c r="C2309" s="12" t="s">
        <v>256</v>
      </c>
      <c r="D2309" s="9" t="s">
        <v>73</v>
      </c>
      <c r="E2309" s="11">
        <v>15917.0</v>
      </c>
      <c r="F2309" s="11">
        <v>11503.0</v>
      </c>
    </row>
    <row r="2310">
      <c r="A2310" s="5">
        <v>2309.0</v>
      </c>
      <c r="B2310" s="5" t="s">
        <v>77</v>
      </c>
      <c r="C2310" s="12" t="s">
        <v>256</v>
      </c>
      <c r="D2310" s="9" t="s">
        <v>71</v>
      </c>
      <c r="E2310" s="11">
        <v>14837.0</v>
      </c>
      <c r="F2310" s="11">
        <v>10708.0</v>
      </c>
    </row>
    <row r="2311">
      <c r="A2311" s="5">
        <v>2310.0</v>
      </c>
      <c r="B2311" s="5" t="s">
        <v>77</v>
      </c>
      <c r="C2311" s="12" t="s">
        <v>256</v>
      </c>
      <c r="D2311" s="9" t="s">
        <v>68</v>
      </c>
      <c r="E2311" s="11">
        <v>14769.0</v>
      </c>
      <c r="F2311" s="11">
        <v>11382.0</v>
      </c>
    </row>
    <row r="2312">
      <c r="A2312" s="5">
        <v>2311.0</v>
      </c>
      <c r="B2312" s="5" t="s">
        <v>77</v>
      </c>
      <c r="C2312" s="12" t="s">
        <v>256</v>
      </c>
      <c r="D2312" s="9" t="s">
        <v>73</v>
      </c>
      <c r="E2312" s="11">
        <v>14725.0</v>
      </c>
      <c r="F2312" s="11">
        <v>9072.0</v>
      </c>
    </row>
    <row r="2313">
      <c r="A2313" s="5">
        <v>2312.0</v>
      </c>
      <c r="B2313" s="5" t="s">
        <v>77</v>
      </c>
      <c r="C2313" s="12" t="s">
        <v>256</v>
      </c>
      <c r="D2313" s="9" t="s">
        <v>70</v>
      </c>
      <c r="E2313" s="11">
        <v>15205.0</v>
      </c>
      <c r="F2313" s="11">
        <v>8119.0</v>
      </c>
    </row>
    <row r="2314">
      <c r="A2314" s="5">
        <v>2313.0</v>
      </c>
      <c r="B2314" s="5" t="s">
        <v>77</v>
      </c>
      <c r="C2314" s="12" t="s">
        <v>256</v>
      </c>
      <c r="D2314" s="9" t="s">
        <v>68</v>
      </c>
      <c r="E2314" s="11">
        <v>13988.0</v>
      </c>
      <c r="F2314" s="11">
        <v>6370.0</v>
      </c>
    </row>
    <row r="2315">
      <c r="A2315" s="5">
        <v>2314.0</v>
      </c>
      <c r="B2315" s="5" t="s">
        <v>77</v>
      </c>
      <c r="C2315" s="12" t="s">
        <v>256</v>
      </c>
      <c r="D2315" s="9" t="s">
        <v>73</v>
      </c>
      <c r="E2315" s="11">
        <v>13340.0</v>
      </c>
      <c r="F2315" s="11">
        <v>5534.0</v>
      </c>
    </row>
    <row r="2316">
      <c r="A2316" s="5">
        <v>2315.0</v>
      </c>
      <c r="B2316" s="5" t="s">
        <v>84</v>
      </c>
      <c r="C2316" s="12" t="s">
        <v>257</v>
      </c>
      <c r="D2316" s="9" t="s">
        <v>60</v>
      </c>
      <c r="E2316" s="8"/>
      <c r="F2316" s="8"/>
    </row>
    <row r="2317">
      <c r="A2317" s="5">
        <v>2316.0</v>
      </c>
      <c r="B2317" s="5" t="s">
        <v>84</v>
      </c>
      <c r="C2317" s="12" t="s">
        <v>257</v>
      </c>
      <c r="D2317" s="9" t="s">
        <v>62</v>
      </c>
      <c r="E2317" s="8"/>
      <c r="F2317" s="8"/>
    </row>
    <row r="2318">
      <c r="A2318" s="5">
        <v>2317.0</v>
      </c>
      <c r="B2318" s="5" t="s">
        <v>84</v>
      </c>
      <c r="C2318" s="12" t="s">
        <v>257</v>
      </c>
      <c r="D2318" s="9" t="s">
        <v>63</v>
      </c>
      <c r="E2318" s="8"/>
      <c r="F2318" s="11">
        <v>2384.0</v>
      </c>
    </row>
    <row r="2319">
      <c r="A2319" s="5">
        <v>2318.0</v>
      </c>
      <c r="B2319" s="5" t="s">
        <v>84</v>
      </c>
      <c r="C2319" s="12" t="s">
        <v>257</v>
      </c>
      <c r="D2319" s="9" t="s">
        <v>64</v>
      </c>
      <c r="E2319" s="8"/>
      <c r="F2319" s="11">
        <v>2468.0</v>
      </c>
    </row>
    <row r="2320">
      <c r="A2320" s="5">
        <v>2319.0</v>
      </c>
      <c r="B2320" s="5" t="s">
        <v>84</v>
      </c>
      <c r="C2320" s="12" t="s">
        <v>257</v>
      </c>
      <c r="D2320" s="9" t="s">
        <v>66</v>
      </c>
      <c r="E2320" s="8"/>
      <c r="F2320" s="11">
        <v>2442.0</v>
      </c>
    </row>
    <row r="2321">
      <c r="A2321" s="5">
        <v>2320.0</v>
      </c>
      <c r="B2321" s="5" t="s">
        <v>84</v>
      </c>
      <c r="C2321" s="12" t="s">
        <v>257</v>
      </c>
      <c r="D2321" s="9" t="s">
        <v>70</v>
      </c>
      <c r="E2321" s="11">
        <v>714.0</v>
      </c>
      <c r="F2321" s="11">
        <v>2442.0</v>
      </c>
    </row>
    <row r="2322">
      <c r="A2322" s="5">
        <v>2321.0</v>
      </c>
      <c r="B2322" s="5" t="s">
        <v>84</v>
      </c>
      <c r="C2322" s="12" t="s">
        <v>257</v>
      </c>
      <c r="D2322" s="9" t="s">
        <v>73</v>
      </c>
      <c r="E2322" s="11">
        <v>714.0</v>
      </c>
      <c r="F2322" s="11">
        <v>2442.0</v>
      </c>
    </row>
    <row r="2323">
      <c r="A2323" s="5">
        <v>2322.0</v>
      </c>
      <c r="B2323" s="5" t="s">
        <v>84</v>
      </c>
      <c r="C2323" s="12" t="s">
        <v>257</v>
      </c>
      <c r="D2323" s="9" t="s">
        <v>71</v>
      </c>
      <c r="E2323" s="11">
        <v>696.0</v>
      </c>
      <c r="F2323" s="11">
        <v>2380.0</v>
      </c>
    </row>
    <row r="2324">
      <c r="A2324" s="5">
        <v>2323.0</v>
      </c>
      <c r="B2324" s="5" t="s">
        <v>84</v>
      </c>
      <c r="C2324" s="12" t="s">
        <v>257</v>
      </c>
      <c r="D2324" s="9" t="s">
        <v>68</v>
      </c>
      <c r="E2324" s="11">
        <v>664.0</v>
      </c>
      <c r="F2324" s="11">
        <v>2292.0</v>
      </c>
    </row>
    <row r="2325">
      <c r="A2325" s="5">
        <v>2324.0</v>
      </c>
      <c r="B2325" s="5" t="s">
        <v>84</v>
      </c>
      <c r="C2325" s="12" t="s">
        <v>257</v>
      </c>
      <c r="D2325" s="9" t="s">
        <v>73</v>
      </c>
      <c r="E2325" s="8"/>
      <c r="F2325" s="11">
        <v>2241.0</v>
      </c>
    </row>
    <row r="2326">
      <c r="A2326" s="5">
        <v>2325.0</v>
      </c>
      <c r="B2326" s="5" t="s">
        <v>84</v>
      </c>
      <c r="C2326" s="12" t="s">
        <v>257</v>
      </c>
      <c r="D2326" s="9" t="s">
        <v>70</v>
      </c>
      <c r="E2326" s="8"/>
      <c r="F2326" s="11">
        <v>2252.0</v>
      </c>
    </row>
    <row r="2327">
      <c r="A2327" s="5">
        <v>2326.0</v>
      </c>
      <c r="B2327" s="5" t="s">
        <v>84</v>
      </c>
      <c r="C2327" s="12" t="s">
        <v>257</v>
      </c>
      <c r="D2327" s="9" t="s">
        <v>68</v>
      </c>
      <c r="E2327" s="8"/>
      <c r="F2327" s="11">
        <v>2266.0</v>
      </c>
    </row>
    <row r="2328">
      <c r="A2328" s="5">
        <v>2327.0</v>
      </c>
      <c r="B2328" s="5" t="s">
        <v>84</v>
      </c>
      <c r="C2328" s="12" t="s">
        <v>257</v>
      </c>
      <c r="D2328" s="9" t="s">
        <v>73</v>
      </c>
      <c r="E2328" s="8"/>
      <c r="F2328" s="11">
        <v>2127.0</v>
      </c>
    </row>
    <row r="2329">
      <c r="A2329" s="5">
        <v>2328.0</v>
      </c>
      <c r="B2329" s="5" t="s">
        <v>77</v>
      </c>
      <c r="C2329" s="12" t="s">
        <v>258</v>
      </c>
      <c r="D2329" s="9" t="s">
        <v>60</v>
      </c>
      <c r="E2329" s="8"/>
      <c r="F2329" s="8"/>
    </row>
    <row r="2330">
      <c r="A2330" s="5">
        <v>2329.0</v>
      </c>
      <c r="B2330" s="5" t="s">
        <v>77</v>
      </c>
      <c r="C2330" s="12" t="s">
        <v>258</v>
      </c>
      <c r="D2330" s="9" t="s">
        <v>62</v>
      </c>
      <c r="E2330" s="8"/>
      <c r="F2330" s="8"/>
    </row>
    <row r="2331">
      <c r="A2331" s="5">
        <v>2330.0</v>
      </c>
      <c r="B2331" s="5" t="s">
        <v>77</v>
      </c>
      <c r="C2331" s="12" t="s">
        <v>258</v>
      </c>
      <c r="D2331" s="9" t="s">
        <v>63</v>
      </c>
      <c r="E2331" s="8"/>
      <c r="F2331" s="11">
        <v>1023.0</v>
      </c>
    </row>
    <row r="2332">
      <c r="A2332" s="5">
        <v>2331.0</v>
      </c>
      <c r="B2332" s="5" t="s">
        <v>77</v>
      </c>
      <c r="C2332" s="12" t="s">
        <v>258</v>
      </c>
      <c r="D2332" s="9" t="s">
        <v>64</v>
      </c>
      <c r="E2332" s="8"/>
      <c r="F2332" s="11">
        <v>1023.0</v>
      </c>
    </row>
    <row r="2333">
      <c r="A2333" s="5">
        <v>2332.0</v>
      </c>
      <c r="B2333" s="5" t="s">
        <v>77</v>
      </c>
      <c r="C2333" s="12" t="s">
        <v>258</v>
      </c>
      <c r="D2333" s="9" t="s">
        <v>66</v>
      </c>
      <c r="E2333" s="8"/>
      <c r="F2333" s="11">
        <v>1093.0</v>
      </c>
    </row>
    <row r="2334">
      <c r="A2334" s="5">
        <v>2333.0</v>
      </c>
      <c r="B2334" s="5" t="s">
        <v>77</v>
      </c>
      <c r="C2334" s="12" t="s">
        <v>258</v>
      </c>
      <c r="D2334" s="9" t="s">
        <v>70</v>
      </c>
      <c r="E2334" s="11">
        <v>423.0</v>
      </c>
      <c r="F2334" s="11">
        <v>1063.0</v>
      </c>
    </row>
    <row r="2335">
      <c r="A2335" s="5">
        <v>2334.0</v>
      </c>
      <c r="B2335" s="5" t="s">
        <v>77</v>
      </c>
      <c r="C2335" s="12" t="s">
        <v>258</v>
      </c>
      <c r="D2335" s="9" t="s">
        <v>73</v>
      </c>
      <c r="E2335" s="11">
        <v>406.0</v>
      </c>
      <c r="F2335" s="11">
        <v>1016.0</v>
      </c>
    </row>
    <row r="2336">
      <c r="A2336" s="5">
        <v>2335.0</v>
      </c>
      <c r="B2336" s="5" t="s">
        <v>77</v>
      </c>
      <c r="C2336" s="12" t="s">
        <v>258</v>
      </c>
      <c r="D2336" s="9" t="s">
        <v>72</v>
      </c>
      <c r="E2336" s="11">
        <v>399.0</v>
      </c>
      <c r="F2336" s="11">
        <v>1019.0</v>
      </c>
    </row>
    <row r="2337">
      <c r="A2337" s="5">
        <v>2336.0</v>
      </c>
      <c r="B2337" s="5" t="s">
        <v>77</v>
      </c>
      <c r="C2337" s="12" t="s">
        <v>258</v>
      </c>
      <c r="D2337" s="9" t="s">
        <v>68</v>
      </c>
      <c r="E2337" s="11">
        <v>406.0</v>
      </c>
      <c r="F2337" s="11">
        <v>1030.0</v>
      </c>
    </row>
    <row r="2338">
      <c r="A2338" s="5">
        <v>2337.0</v>
      </c>
      <c r="B2338" s="5" t="s">
        <v>77</v>
      </c>
      <c r="C2338" s="12" t="s">
        <v>258</v>
      </c>
      <c r="D2338" s="9" t="s">
        <v>73</v>
      </c>
      <c r="E2338" s="8"/>
      <c r="F2338" s="11">
        <v>1041.0</v>
      </c>
    </row>
    <row r="2339">
      <c r="A2339" s="5">
        <v>2338.0</v>
      </c>
      <c r="B2339" s="5" t="s">
        <v>77</v>
      </c>
      <c r="C2339" s="12" t="s">
        <v>258</v>
      </c>
      <c r="D2339" s="9" t="s">
        <v>70</v>
      </c>
      <c r="E2339" s="8"/>
      <c r="F2339" s="11">
        <v>1126.0</v>
      </c>
    </row>
    <row r="2340">
      <c r="A2340" s="5">
        <v>2339.0</v>
      </c>
      <c r="B2340" s="5" t="s">
        <v>77</v>
      </c>
      <c r="C2340" s="12" t="s">
        <v>258</v>
      </c>
      <c r="D2340" s="9" t="s">
        <v>68</v>
      </c>
      <c r="E2340" s="8"/>
      <c r="F2340" s="11">
        <v>1144.0</v>
      </c>
    </row>
    <row r="2341">
      <c r="A2341" s="5">
        <v>2340.0</v>
      </c>
      <c r="B2341" s="5" t="s">
        <v>77</v>
      </c>
      <c r="C2341" s="12" t="s">
        <v>258</v>
      </c>
      <c r="D2341" s="9" t="s">
        <v>73</v>
      </c>
      <c r="E2341" s="8"/>
      <c r="F2341" s="11">
        <v>1188.0</v>
      </c>
    </row>
    <row r="2342">
      <c r="A2342" s="5">
        <v>2341.0</v>
      </c>
      <c r="B2342" s="5" t="s">
        <v>75</v>
      </c>
      <c r="C2342" s="12" t="s">
        <v>259</v>
      </c>
      <c r="D2342" s="9" t="s">
        <v>60</v>
      </c>
      <c r="E2342" s="11">
        <v>48877.0</v>
      </c>
      <c r="F2342" s="8"/>
    </row>
    <row r="2343">
      <c r="A2343" s="5">
        <v>2342.0</v>
      </c>
      <c r="B2343" s="5" t="s">
        <v>75</v>
      </c>
      <c r="C2343" s="12" t="s">
        <v>259</v>
      </c>
      <c r="D2343" s="9" t="s">
        <v>62</v>
      </c>
      <c r="E2343" s="11">
        <v>49045.0</v>
      </c>
      <c r="F2343" s="8"/>
    </row>
    <row r="2344">
      <c r="A2344" s="5">
        <v>2343.0</v>
      </c>
      <c r="B2344" s="5" t="s">
        <v>75</v>
      </c>
      <c r="C2344" s="12" t="s">
        <v>259</v>
      </c>
      <c r="D2344" s="9" t="s">
        <v>63</v>
      </c>
      <c r="E2344" s="11">
        <v>51315.0</v>
      </c>
      <c r="F2344" s="11">
        <v>52515.0</v>
      </c>
    </row>
    <row r="2345">
      <c r="A2345" s="5">
        <v>2344.0</v>
      </c>
      <c r="B2345" s="5" t="s">
        <v>75</v>
      </c>
      <c r="C2345" s="12" t="s">
        <v>259</v>
      </c>
      <c r="D2345" s="9" t="s">
        <v>64</v>
      </c>
      <c r="E2345" s="11">
        <v>45407.0</v>
      </c>
      <c r="F2345" s="11">
        <v>43744.0</v>
      </c>
    </row>
    <row r="2346">
      <c r="A2346" s="5">
        <v>2345.0</v>
      </c>
      <c r="B2346" s="5" t="s">
        <v>75</v>
      </c>
      <c r="C2346" s="12" t="s">
        <v>259</v>
      </c>
      <c r="D2346" s="9" t="s">
        <v>66</v>
      </c>
      <c r="E2346" s="11">
        <v>49601.0</v>
      </c>
      <c r="F2346" s="11">
        <v>49105.0</v>
      </c>
    </row>
    <row r="2347">
      <c r="A2347" s="5">
        <v>2346.0</v>
      </c>
      <c r="B2347" s="5" t="s">
        <v>75</v>
      </c>
      <c r="C2347" s="12" t="s">
        <v>259</v>
      </c>
      <c r="D2347" s="9" t="s">
        <v>70</v>
      </c>
      <c r="E2347" s="11">
        <v>50060.0</v>
      </c>
      <c r="F2347" s="11">
        <v>48060.0</v>
      </c>
    </row>
    <row r="2348">
      <c r="A2348" s="5">
        <v>2347.0</v>
      </c>
      <c r="B2348" s="5" t="s">
        <v>75</v>
      </c>
      <c r="C2348" s="12" t="s">
        <v>259</v>
      </c>
      <c r="D2348" s="9" t="s">
        <v>73</v>
      </c>
      <c r="E2348" s="11">
        <v>50207.0</v>
      </c>
      <c r="F2348" s="11">
        <v>49571.0</v>
      </c>
    </row>
    <row r="2349">
      <c r="A2349" s="5">
        <v>2348.0</v>
      </c>
      <c r="B2349" s="5" t="s">
        <v>75</v>
      </c>
      <c r="C2349" s="12" t="s">
        <v>259</v>
      </c>
      <c r="D2349" s="9" t="s">
        <v>72</v>
      </c>
      <c r="E2349" s="11">
        <v>51569.0</v>
      </c>
      <c r="F2349" s="11">
        <v>51562.0</v>
      </c>
    </row>
    <row r="2350">
      <c r="A2350" s="5">
        <v>2349.0</v>
      </c>
      <c r="B2350" s="5" t="s">
        <v>75</v>
      </c>
      <c r="C2350" s="12" t="s">
        <v>259</v>
      </c>
      <c r="D2350" s="9" t="s">
        <v>68</v>
      </c>
      <c r="E2350" s="11">
        <v>52588.0</v>
      </c>
      <c r="F2350" s="11">
        <v>54521.0</v>
      </c>
    </row>
    <row r="2351">
      <c r="A2351" s="5">
        <v>2350.0</v>
      </c>
      <c r="B2351" s="5" t="s">
        <v>75</v>
      </c>
      <c r="C2351" s="12" t="s">
        <v>259</v>
      </c>
      <c r="D2351" s="9" t="s">
        <v>73</v>
      </c>
      <c r="E2351" s="11">
        <v>50618.0</v>
      </c>
      <c r="F2351" s="11">
        <v>54781.0</v>
      </c>
    </row>
    <row r="2352">
      <c r="A2352" s="5">
        <v>2351.0</v>
      </c>
      <c r="B2352" s="5" t="s">
        <v>75</v>
      </c>
      <c r="C2352" s="12" t="s">
        <v>259</v>
      </c>
      <c r="D2352" s="9" t="s">
        <v>70</v>
      </c>
      <c r="E2352" s="11">
        <v>51784.0</v>
      </c>
      <c r="F2352" s="11">
        <v>57425.0</v>
      </c>
    </row>
    <row r="2353">
      <c r="A2353" s="5">
        <v>2352.0</v>
      </c>
      <c r="B2353" s="5" t="s">
        <v>75</v>
      </c>
      <c r="C2353" s="12" t="s">
        <v>259</v>
      </c>
      <c r="D2353" s="9" t="s">
        <v>68</v>
      </c>
      <c r="E2353" s="11">
        <v>50532.0</v>
      </c>
      <c r="F2353" s="11">
        <v>51129.0</v>
      </c>
    </row>
    <row r="2354">
      <c r="A2354" s="5">
        <v>2353.0</v>
      </c>
      <c r="B2354" s="5" t="s">
        <v>75</v>
      </c>
      <c r="C2354" s="12" t="s">
        <v>259</v>
      </c>
      <c r="D2354" s="9" t="s">
        <v>73</v>
      </c>
      <c r="E2354" s="11">
        <v>47556.0</v>
      </c>
      <c r="F2354" s="11">
        <v>49794.0</v>
      </c>
    </row>
    <row r="2355">
      <c r="A2355" s="5">
        <v>2354.0</v>
      </c>
      <c r="B2355" s="5" t="s">
        <v>75</v>
      </c>
      <c r="C2355" s="12" t="s">
        <v>260</v>
      </c>
      <c r="D2355" s="9" t="s">
        <v>60</v>
      </c>
      <c r="E2355" s="11">
        <v>25500.0</v>
      </c>
      <c r="F2355" s="8"/>
    </row>
    <row r="2356">
      <c r="A2356" s="5">
        <v>2355.0</v>
      </c>
      <c r="B2356" s="5" t="s">
        <v>75</v>
      </c>
      <c r="C2356" s="12" t="s">
        <v>260</v>
      </c>
      <c r="D2356" s="9" t="s">
        <v>62</v>
      </c>
      <c r="E2356" s="11">
        <v>25375.0</v>
      </c>
      <c r="F2356" s="8"/>
    </row>
    <row r="2357">
      <c r="A2357" s="5">
        <v>2356.0</v>
      </c>
      <c r="B2357" s="5" t="s">
        <v>75</v>
      </c>
      <c r="C2357" s="12" t="s">
        <v>260</v>
      </c>
      <c r="D2357" s="9" t="s">
        <v>63</v>
      </c>
      <c r="E2357" s="11">
        <v>26199.0</v>
      </c>
      <c r="F2357" s="11">
        <v>38757.0</v>
      </c>
    </row>
    <row r="2358">
      <c r="A2358" s="5">
        <v>2357.0</v>
      </c>
      <c r="B2358" s="5" t="s">
        <v>75</v>
      </c>
      <c r="C2358" s="12" t="s">
        <v>260</v>
      </c>
      <c r="D2358" s="9" t="s">
        <v>64</v>
      </c>
      <c r="E2358" s="11">
        <v>26968.0</v>
      </c>
      <c r="F2358" s="11">
        <v>41598.0</v>
      </c>
    </row>
    <row r="2359">
      <c r="A2359" s="5">
        <v>2358.0</v>
      </c>
      <c r="B2359" s="5" t="s">
        <v>75</v>
      </c>
      <c r="C2359" s="12" t="s">
        <v>260</v>
      </c>
      <c r="D2359" s="9" t="s">
        <v>66</v>
      </c>
      <c r="E2359" s="11">
        <v>26773.0</v>
      </c>
      <c r="F2359" s="11">
        <v>40392.0</v>
      </c>
    </row>
    <row r="2360">
      <c r="A2360" s="5">
        <v>2359.0</v>
      </c>
      <c r="B2360" s="5" t="s">
        <v>75</v>
      </c>
      <c r="C2360" s="12" t="s">
        <v>260</v>
      </c>
      <c r="D2360" s="9" t="s">
        <v>70</v>
      </c>
      <c r="E2360" s="11">
        <v>25760.0</v>
      </c>
      <c r="F2360" s="11">
        <v>38019.0</v>
      </c>
    </row>
    <row r="2361">
      <c r="A2361" s="5">
        <v>2360.0</v>
      </c>
      <c r="B2361" s="5" t="s">
        <v>75</v>
      </c>
      <c r="C2361" s="12" t="s">
        <v>260</v>
      </c>
      <c r="D2361" s="9" t="s">
        <v>73</v>
      </c>
      <c r="E2361" s="11">
        <v>27084.0</v>
      </c>
      <c r="F2361" s="11">
        <v>41877.0</v>
      </c>
    </row>
    <row r="2362">
      <c r="A2362" s="5">
        <v>2361.0</v>
      </c>
      <c r="B2362" s="5" t="s">
        <v>75</v>
      </c>
      <c r="C2362" s="12" t="s">
        <v>260</v>
      </c>
      <c r="D2362" s="9" t="s">
        <v>72</v>
      </c>
      <c r="E2362" s="11">
        <v>25941.0</v>
      </c>
      <c r="F2362" s="11">
        <v>41375.0</v>
      </c>
    </row>
    <row r="2363">
      <c r="A2363" s="5">
        <v>2362.0</v>
      </c>
      <c r="B2363" s="5" t="s">
        <v>75</v>
      </c>
      <c r="C2363" s="12" t="s">
        <v>260</v>
      </c>
      <c r="D2363" s="9" t="s">
        <v>68</v>
      </c>
      <c r="E2363" s="11">
        <v>26090.0</v>
      </c>
      <c r="F2363" s="11">
        <v>40392.0</v>
      </c>
    </row>
    <row r="2364">
      <c r="A2364" s="5">
        <v>2363.0</v>
      </c>
      <c r="B2364" s="5" t="s">
        <v>75</v>
      </c>
      <c r="C2364" s="12" t="s">
        <v>260</v>
      </c>
      <c r="D2364" s="9" t="s">
        <v>73</v>
      </c>
      <c r="E2364" s="11">
        <v>25996.0</v>
      </c>
      <c r="F2364" s="11">
        <v>40205.0</v>
      </c>
    </row>
    <row r="2365">
      <c r="A2365" s="5">
        <v>2364.0</v>
      </c>
      <c r="B2365" s="5" t="s">
        <v>75</v>
      </c>
      <c r="C2365" s="12" t="s">
        <v>260</v>
      </c>
      <c r="D2365" s="9" t="s">
        <v>70</v>
      </c>
      <c r="E2365" s="11">
        <v>25888.0</v>
      </c>
      <c r="F2365" s="11">
        <v>40718.0</v>
      </c>
    </row>
    <row r="2366">
      <c r="A2366" s="5">
        <v>2365.0</v>
      </c>
      <c r="B2366" s="5" t="s">
        <v>75</v>
      </c>
      <c r="C2366" s="12" t="s">
        <v>260</v>
      </c>
      <c r="D2366" s="9" t="s">
        <v>68</v>
      </c>
      <c r="E2366" s="11">
        <v>26557.0</v>
      </c>
      <c r="F2366" s="11">
        <v>42963.0</v>
      </c>
    </row>
    <row r="2367">
      <c r="A2367" s="5">
        <v>2366.0</v>
      </c>
      <c r="B2367" s="5" t="s">
        <v>75</v>
      </c>
      <c r="C2367" s="12" t="s">
        <v>260</v>
      </c>
      <c r="D2367" s="9" t="s">
        <v>73</v>
      </c>
      <c r="E2367" s="11">
        <v>25005.0</v>
      </c>
      <c r="F2367" s="11">
        <v>39050.0</v>
      </c>
    </row>
    <row r="2368">
      <c r="A2368" s="5">
        <v>2367.0</v>
      </c>
      <c r="B2368" s="5" t="s">
        <v>93</v>
      </c>
      <c r="C2368" s="12" t="s">
        <v>261</v>
      </c>
      <c r="D2368" s="9" t="s">
        <v>60</v>
      </c>
      <c r="E2368" s="8"/>
      <c r="F2368" s="8"/>
    </row>
    <row r="2369">
      <c r="A2369" s="5">
        <v>2368.0</v>
      </c>
      <c r="B2369" s="5" t="s">
        <v>93</v>
      </c>
      <c r="C2369" s="12" t="s">
        <v>261</v>
      </c>
      <c r="D2369" s="9" t="s">
        <v>62</v>
      </c>
      <c r="E2369" s="11">
        <v>19986.0</v>
      </c>
      <c r="F2369" s="8"/>
    </row>
    <row r="2370">
      <c r="A2370" s="5">
        <v>2369.0</v>
      </c>
      <c r="B2370" s="5" t="s">
        <v>93</v>
      </c>
      <c r="C2370" s="12" t="s">
        <v>261</v>
      </c>
      <c r="D2370" s="9" t="s">
        <v>63</v>
      </c>
      <c r="E2370" s="11">
        <v>21649.0</v>
      </c>
      <c r="F2370" s="11">
        <v>61859.0</v>
      </c>
    </row>
    <row r="2371">
      <c r="A2371" s="5">
        <v>2370.0</v>
      </c>
      <c r="B2371" s="5" t="s">
        <v>93</v>
      </c>
      <c r="C2371" s="12" t="s">
        <v>261</v>
      </c>
      <c r="D2371" s="9" t="s">
        <v>64</v>
      </c>
      <c r="E2371" s="11">
        <v>21233.0</v>
      </c>
      <c r="F2371" s="11">
        <v>62112.0</v>
      </c>
    </row>
    <row r="2372">
      <c r="A2372" s="5">
        <v>2371.0</v>
      </c>
      <c r="B2372" s="5" t="s">
        <v>93</v>
      </c>
      <c r="C2372" s="12" t="s">
        <v>261</v>
      </c>
      <c r="D2372" s="9" t="s">
        <v>66</v>
      </c>
      <c r="E2372" s="11">
        <v>23052.0</v>
      </c>
      <c r="F2372" s="11">
        <v>67700.0</v>
      </c>
    </row>
    <row r="2373">
      <c r="A2373" s="5">
        <v>2372.0</v>
      </c>
      <c r="B2373" s="5" t="s">
        <v>93</v>
      </c>
      <c r="C2373" s="12" t="s">
        <v>261</v>
      </c>
      <c r="D2373" s="9" t="s">
        <v>70</v>
      </c>
      <c r="E2373" s="11">
        <v>22803.0</v>
      </c>
      <c r="F2373" s="11">
        <v>57429.0</v>
      </c>
    </row>
    <row r="2374">
      <c r="A2374" s="5">
        <v>2373.0</v>
      </c>
      <c r="B2374" s="5" t="s">
        <v>93</v>
      </c>
      <c r="C2374" s="12" t="s">
        <v>261</v>
      </c>
      <c r="D2374" s="9" t="s">
        <v>66</v>
      </c>
      <c r="E2374" s="11">
        <v>21630.0</v>
      </c>
      <c r="F2374" s="11">
        <v>53590.0</v>
      </c>
    </row>
    <row r="2375">
      <c r="A2375" s="5">
        <v>2374.0</v>
      </c>
      <c r="B2375" s="5" t="s">
        <v>93</v>
      </c>
      <c r="C2375" s="12" t="s">
        <v>261</v>
      </c>
      <c r="D2375" s="9" t="s">
        <v>72</v>
      </c>
      <c r="E2375" s="11">
        <v>20792.0</v>
      </c>
      <c r="F2375" s="11">
        <v>50634.0</v>
      </c>
    </row>
    <row r="2376">
      <c r="A2376" s="5">
        <v>2375.0</v>
      </c>
      <c r="B2376" s="5" t="s">
        <v>93</v>
      </c>
      <c r="C2376" s="12" t="s">
        <v>261</v>
      </c>
      <c r="D2376" s="9" t="s">
        <v>68</v>
      </c>
      <c r="E2376" s="11">
        <v>17937.0</v>
      </c>
      <c r="F2376" s="11">
        <v>51111.0</v>
      </c>
    </row>
    <row r="2377">
      <c r="A2377" s="5">
        <v>2376.0</v>
      </c>
      <c r="B2377" s="5" t="s">
        <v>93</v>
      </c>
      <c r="C2377" s="12" t="s">
        <v>261</v>
      </c>
      <c r="D2377" s="9" t="s">
        <v>73</v>
      </c>
      <c r="E2377" s="11">
        <v>16543.0</v>
      </c>
      <c r="F2377" s="11">
        <v>54286.0</v>
      </c>
    </row>
    <row r="2378">
      <c r="A2378" s="5">
        <v>2377.0</v>
      </c>
      <c r="B2378" s="5" t="s">
        <v>93</v>
      </c>
      <c r="C2378" s="12" t="s">
        <v>261</v>
      </c>
      <c r="D2378" s="9" t="s">
        <v>70</v>
      </c>
      <c r="E2378" s="11">
        <v>16735.0</v>
      </c>
      <c r="F2378" s="11">
        <v>39068.0</v>
      </c>
    </row>
    <row r="2379">
      <c r="A2379" s="5">
        <v>2378.0</v>
      </c>
      <c r="B2379" s="5" t="s">
        <v>93</v>
      </c>
      <c r="C2379" s="12" t="s">
        <v>261</v>
      </c>
      <c r="D2379" s="9" t="s">
        <v>68</v>
      </c>
      <c r="E2379" s="11">
        <v>15638.0</v>
      </c>
      <c r="F2379" s="11">
        <v>48786.0</v>
      </c>
    </row>
    <row r="2380">
      <c r="A2380" s="5">
        <v>2379.0</v>
      </c>
      <c r="B2380" s="5" t="s">
        <v>93</v>
      </c>
      <c r="C2380" s="12" t="s">
        <v>261</v>
      </c>
      <c r="D2380" s="9" t="s">
        <v>73</v>
      </c>
      <c r="E2380" s="11">
        <v>15765.0</v>
      </c>
      <c r="F2380" s="11">
        <v>51048.0</v>
      </c>
    </row>
    <row r="2381">
      <c r="A2381" s="5">
        <v>2380.0</v>
      </c>
      <c r="B2381" s="5" t="s">
        <v>61</v>
      </c>
      <c r="C2381" s="12" t="s">
        <v>262</v>
      </c>
      <c r="D2381" s="9" t="s">
        <v>60</v>
      </c>
      <c r="E2381" s="8"/>
      <c r="F2381" s="8"/>
    </row>
    <row r="2382">
      <c r="A2382" s="5">
        <v>2381.0</v>
      </c>
      <c r="B2382" s="5" t="s">
        <v>61</v>
      </c>
      <c r="C2382" s="12" t="s">
        <v>262</v>
      </c>
      <c r="D2382" s="9" t="s">
        <v>62</v>
      </c>
      <c r="E2382" s="11">
        <v>2395.0</v>
      </c>
      <c r="F2382" s="8"/>
    </row>
    <row r="2383">
      <c r="A2383" s="5">
        <v>2382.0</v>
      </c>
      <c r="B2383" s="5" t="s">
        <v>61</v>
      </c>
      <c r="C2383" s="12" t="s">
        <v>262</v>
      </c>
      <c r="D2383" s="9" t="s">
        <v>63</v>
      </c>
      <c r="E2383" s="11">
        <v>2370.0</v>
      </c>
      <c r="F2383" s="11">
        <v>2860.0</v>
      </c>
    </row>
    <row r="2384">
      <c r="A2384" s="5">
        <v>2383.0</v>
      </c>
      <c r="B2384" s="5" t="s">
        <v>61</v>
      </c>
      <c r="C2384" s="12" t="s">
        <v>262</v>
      </c>
      <c r="D2384" s="9" t="s">
        <v>64</v>
      </c>
      <c r="E2384" s="11">
        <v>2333.0</v>
      </c>
      <c r="F2384" s="11">
        <v>2893.0</v>
      </c>
    </row>
    <row r="2385">
      <c r="A2385" s="5">
        <v>2384.0</v>
      </c>
      <c r="B2385" s="5" t="s">
        <v>61</v>
      </c>
      <c r="C2385" s="12" t="s">
        <v>262</v>
      </c>
      <c r="D2385" s="9" t="s">
        <v>66</v>
      </c>
      <c r="E2385" s="11">
        <v>2473.0</v>
      </c>
      <c r="F2385" s="11">
        <v>3033.0</v>
      </c>
    </row>
    <row r="2386">
      <c r="A2386" s="5">
        <v>2385.0</v>
      </c>
      <c r="B2386" s="5" t="s">
        <v>61</v>
      </c>
      <c r="C2386" s="12" t="s">
        <v>262</v>
      </c>
      <c r="D2386" s="9" t="s">
        <v>70</v>
      </c>
      <c r="E2386" s="11">
        <v>2583.0</v>
      </c>
      <c r="F2386" s="11">
        <v>3223.0</v>
      </c>
    </row>
    <row r="2387">
      <c r="A2387" s="5">
        <v>2386.0</v>
      </c>
      <c r="B2387" s="5" t="s">
        <v>61</v>
      </c>
      <c r="C2387" s="12" t="s">
        <v>262</v>
      </c>
      <c r="D2387" s="9" t="s">
        <v>66</v>
      </c>
      <c r="E2387" s="11">
        <v>2414.0</v>
      </c>
      <c r="F2387" s="11">
        <v>2655.0</v>
      </c>
    </row>
    <row r="2388">
      <c r="A2388" s="5">
        <v>2387.0</v>
      </c>
      <c r="B2388" s="5" t="s">
        <v>61</v>
      </c>
      <c r="C2388" s="12" t="s">
        <v>262</v>
      </c>
      <c r="D2388" s="9" t="s">
        <v>72</v>
      </c>
      <c r="E2388" s="11">
        <v>2342.0</v>
      </c>
      <c r="F2388" s="11">
        <v>2439.0</v>
      </c>
    </row>
    <row r="2389">
      <c r="A2389" s="5">
        <v>2388.0</v>
      </c>
      <c r="B2389" s="5" t="s">
        <v>61</v>
      </c>
      <c r="C2389" s="12" t="s">
        <v>262</v>
      </c>
      <c r="D2389" s="9" t="s">
        <v>68</v>
      </c>
      <c r="E2389" s="11">
        <v>2346.0</v>
      </c>
      <c r="F2389" s="11">
        <v>2563.0</v>
      </c>
    </row>
    <row r="2390">
      <c r="A2390" s="5">
        <v>2389.0</v>
      </c>
      <c r="B2390" s="5" t="s">
        <v>61</v>
      </c>
      <c r="C2390" s="12" t="s">
        <v>262</v>
      </c>
      <c r="D2390" s="9" t="s">
        <v>73</v>
      </c>
      <c r="E2390" s="11">
        <v>2170.0</v>
      </c>
      <c r="F2390" s="11">
        <v>2076.0</v>
      </c>
    </row>
    <row r="2391">
      <c r="A2391" s="5">
        <v>2390.0</v>
      </c>
      <c r="B2391" s="5" t="s">
        <v>61</v>
      </c>
      <c r="C2391" s="12" t="s">
        <v>262</v>
      </c>
      <c r="D2391" s="9" t="s">
        <v>70</v>
      </c>
      <c r="E2391" s="11">
        <v>2129.0</v>
      </c>
      <c r="F2391" s="11">
        <v>1881.0</v>
      </c>
    </row>
    <row r="2392">
      <c r="A2392" s="5">
        <v>2391.0</v>
      </c>
      <c r="B2392" s="5" t="s">
        <v>61</v>
      </c>
      <c r="C2392" s="12" t="s">
        <v>262</v>
      </c>
      <c r="D2392" s="9" t="s">
        <v>68</v>
      </c>
      <c r="E2392" s="11">
        <v>2122.0</v>
      </c>
      <c r="F2392" s="11">
        <v>2292.0</v>
      </c>
    </row>
    <row r="2393">
      <c r="A2393" s="5">
        <v>2392.0</v>
      </c>
      <c r="B2393" s="5" t="s">
        <v>61</v>
      </c>
      <c r="C2393" s="12" t="s">
        <v>262</v>
      </c>
      <c r="D2393" s="9" t="s">
        <v>73</v>
      </c>
      <c r="E2393" s="11">
        <v>2149.0</v>
      </c>
      <c r="F2393" s="11">
        <v>2237.0</v>
      </c>
    </row>
    <row r="2394">
      <c r="A2394" s="5">
        <v>2393.0</v>
      </c>
      <c r="B2394" s="5" t="s">
        <v>77</v>
      </c>
      <c r="C2394" s="12" t="s">
        <v>263</v>
      </c>
      <c r="D2394" s="9" t="s">
        <v>60</v>
      </c>
      <c r="E2394" s="8"/>
      <c r="F2394" s="8"/>
    </row>
    <row r="2395">
      <c r="A2395" s="5">
        <v>2394.0</v>
      </c>
      <c r="B2395" s="5" t="s">
        <v>77</v>
      </c>
      <c r="C2395" s="12" t="s">
        <v>263</v>
      </c>
      <c r="D2395" s="9" t="s">
        <v>62</v>
      </c>
      <c r="E2395" s="11">
        <v>20747.0</v>
      </c>
      <c r="F2395" s="8"/>
    </row>
    <row r="2396">
      <c r="A2396" s="5">
        <v>2395.0</v>
      </c>
      <c r="B2396" s="5" t="s">
        <v>77</v>
      </c>
      <c r="C2396" s="12" t="s">
        <v>263</v>
      </c>
      <c r="D2396" s="9" t="s">
        <v>63</v>
      </c>
      <c r="E2396" s="11">
        <v>20043.0</v>
      </c>
      <c r="F2396" s="11">
        <v>6846.0</v>
      </c>
    </row>
    <row r="2397">
      <c r="A2397" s="5">
        <v>2396.0</v>
      </c>
      <c r="B2397" s="5" t="s">
        <v>77</v>
      </c>
      <c r="C2397" s="12" t="s">
        <v>263</v>
      </c>
      <c r="D2397" s="9" t="s">
        <v>64</v>
      </c>
      <c r="E2397" s="11">
        <v>19345.0</v>
      </c>
      <c r="F2397" s="11">
        <v>6447.0</v>
      </c>
    </row>
    <row r="2398">
      <c r="A2398" s="5">
        <v>2397.0</v>
      </c>
      <c r="B2398" s="5" t="s">
        <v>77</v>
      </c>
      <c r="C2398" s="12" t="s">
        <v>263</v>
      </c>
      <c r="D2398" s="9" t="s">
        <v>66</v>
      </c>
      <c r="E2398" s="11">
        <v>18921.0</v>
      </c>
      <c r="F2398" s="11">
        <v>6538.0</v>
      </c>
    </row>
    <row r="2399">
      <c r="A2399" s="5">
        <v>2398.0</v>
      </c>
      <c r="B2399" s="5" t="s">
        <v>77</v>
      </c>
      <c r="C2399" s="12" t="s">
        <v>263</v>
      </c>
      <c r="D2399" s="9" t="s">
        <v>70</v>
      </c>
      <c r="E2399" s="11">
        <v>18306.0</v>
      </c>
      <c r="F2399" s="11">
        <v>6150.0</v>
      </c>
    </row>
    <row r="2400">
      <c r="A2400" s="5">
        <v>2399.0</v>
      </c>
      <c r="B2400" s="5" t="s">
        <v>77</v>
      </c>
      <c r="C2400" s="12" t="s">
        <v>263</v>
      </c>
      <c r="D2400" s="9" t="s">
        <v>66</v>
      </c>
      <c r="E2400" s="11">
        <v>17809.0</v>
      </c>
      <c r="F2400" s="11">
        <v>5959.0</v>
      </c>
    </row>
    <row r="2401">
      <c r="A2401" s="5">
        <v>2400.0</v>
      </c>
      <c r="B2401" s="5" t="s">
        <v>77</v>
      </c>
      <c r="C2401" s="12" t="s">
        <v>263</v>
      </c>
      <c r="D2401" s="9" t="s">
        <v>72</v>
      </c>
      <c r="E2401" s="11">
        <v>17141.0</v>
      </c>
      <c r="F2401" s="11">
        <v>5618.0</v>
      </c>
    </row>
    <row r="2402">
      <c r="A2402" s="5">
        <v>2401.0</v>
      </c>
      <c r="B2402" s="5" t="s">
        <v>77</v>
      </c>
      <c r="C2402" s="12" t="s">
        <v>263</v>
      </c>
      <c r="D2402" s="9" t="s">
        <v>69</v>
      </c>
      <c r="E2402" s="11">
        <v>16198.0</v>
      </c>
      <c r="F2402" s="11">
        <v>4353.0</v>
      </c>
    </row>
    <row r="2403">
      <c r="A2403" s="5">
        <v>2402.0</v>
      </c>
      <c r="B2403" s="5" t="s">
        <v>77</v>
      </c>
      <c r="C2403" s="12" t="s">
        <v>263</v>
      </c>
      <c r="D2403" s="9" t="s">
        <v>73</v>
      </c>
      <c r="E2403" s="11">
        <v>15491.0</v>
      </c>
      <c r="F2403" s="11">
        <v>3806.0</v>
      </c>
    </row>
    <row r="2404">
      <c r="A2404" s="5">
        <v>2403.0</v>
      </c>
      <c r="B2404" s="5" t="s">
        <v>77</v>
      </c>
      <c r="C2404" s="12" t="s">
        <v>263</v>
      </c>
      <c r="D2404" s="9" t="s">
        <v>70</v>
      </c>
      <c r="E2404" s="11">
        <v>14916.0</v>
      </c>
      <c r="F2404" s="11">
        <v>3590.0</v>
      </c>
    </row>
    <row r="2405">
      <c r="A2405" s="5">
        <v>2404.0</v>
      </c>
      <c r="B2405" s="5" t="s">
        <v>77</v>
      </c>
      <c r="C2405" s="12" t="s">
        <v>263</v>
      </c>
      <c r="D2405" s="9" t="s">
        <v>68</v>
      </c>
      <c r="E2405" s="11">
        <v>14203.0</v>
      </c>
      <c r="F2405" s="11">
        <v>3128.0</v>
      </c>
    </row>
    <row r="2406">
      <c r="A2406" s="5">
        <v>2405.0</v>
      </c>
      <c r="B2406" s="5" t="s">
        <v>77</v>
      </c>
      <c r="C2406" s="12" t="s">
        <v>263</v>
      </c>
      <c r="D2406" s="9" t="s">
        <v>73</v>
      </c>
      <c r="E2406" s="11">
        <v>13390.0</v>
      </c>
      <c r="F2406" s="11">
        <v>2651.0</v>
      </c>
    </row>
    <row r="2407">
      <c r="A2407" s="5">
        <v>2406.0</v>
      </c>
      <c r="B2407" s="5" t="s">
        <v>61</v>
      </c>
      <c r="C2407" s="12" t="s">
        <v>264</v>
      </c>
      <c r="D2407" s="9" t="s">
        <v>60</v>
      </c>
      <c r="E2407" s="8"/>
      <c r="F2407" s="8"/>
    </row>
    <row r="2408">
      <c r="A2408" s="5">
        <v>2407.0</v>
      </c>
      <c r="B2408" s="5" t="s">
        <v>61</v>
      </c>
      <c r="C2408" s="12" t="s">
        <v>264</v>
      </c>
      <c r="D2408" s="9" t="s">
        <v>62</v>
      </c>
      <c r="E2408" s="11">
        <v>119147.0</v>
      </c>
      <c r="F2408" s="8"/>
    </row>
    <row r="2409">
      <c r="A2409" s="5">
        <v>2408.0</v>
      </c>
      <c r="B2409" s="5" t="s">
        <v>61</v>
      </c>
      <c r="C2409" s="12" t="s">
        <v>264</v>
      </c>
      <c r="D2409" s="9" t="s">
        <v>63</v>
      </c>
      <c r="E2409" s="11">
        <v>117429.0</v>
      </c>
      <c r="F2409" s="11">
        <v>295282.0</v>
      </c>
    </row>
    <row r="2410">
      <c r="A2410" s="5">
        <v>2409.0</v>
      </c>
      <c r="B2410" s="5" t="s">
        <v>61</v>
      </c>
      <c r="C2410" s="12" t="s">
        <v>264</v>
      </c>
      <c r="D2410" s="9" t="s">
        <v>64</v>
      </c>
      <c r="E2410" s="11">
        <v>107300.0</v>
      </c>
      <c r="F2410" s="11">
        <v>276587.0</v>
      </c>
    </row>
    <row r="2411">
      <c r="A2411" s="5">
        <v>2410.0</v>
      </c>
      <c r="B2411" s="5" t="s">
        <v>61</v>
      </c>
      <c r="C2411" s="12" t="s">
        <v>264</v>
      </c>
      <c r="D2411" s="9" t="s">
        <v>66</v>
      </c>
      <c r="E2411" s="11">
        <v>107656.0</v>
      </c>
      <c r="F2411" s="11">
        <v>261838.0</v>
      </c>
    </row>
    <row r="2412">
      <c r="A2412" s="5">
        <v>2411.0</v>
      </c>
      <c r="B2412" s="5" t="s">
        <v>61</v>
      </c>
      <c r="C2412" s="12" t="s">
        <v>264</v>
      </c>
      <c r="D2412" s="9" t="s">
        <v>70</v>
      </c>
      <c r="E2412" s="11">
        <v>104886.0</v>
      </c>
      <c r="F2412" s="11">
        <v>262205.0</v>
      </c>
    </row>
    <row r="2413">
      <c r="A2413" s="5">
        <v>2412.0</v>
      </c>
      <c r="B2413" s="5" t="s">
        <v>61</v>
      </c>
      <c r="C2413" s="12" t="s">
        <v>264</v>
      </c>
      <c r="D2413" s="9" t="s">
        <v>66</v>
      </c>
      <c r="E2413" s="11">
        <v>101043.0</v>
      </c>
      <c r="F2413" s="11">
        <v>261211.0</v>
      </c>
    </row>
    <row r="2414">
      <c r="A2414" s="5">
        <v>2413.0</v>
      </c>
      <c r="B2414" s="5" t="s">
        <v>61</v>
      </c>
      <c r="C2414" s="12" t="s">
        <v>264</v>
      </c>
      <c r="D2414" s="9" t="s">
        <v>72</v>
      </c>
      <c r="E2414" s="11">
        <v>99166.0</v>
      </c>
      <c r="F2414" s="11">
        <v>256169.0</v>
      </c>
    </row>
    <row r="2415">
      <c r="A2415" s="5">
        <v>2414.0</v>
      </c>
      <c r="B2415" s="5" t="s">
        <v>61</v>
      </c>
      <c r="C2415" s="12" t="s">
        <v>264</v>
      </c>
      <c r="D2415" s="9" t="s">
        <v>69</v>
      </c>
      <c r="E2415" s="11">
        <v>96291.0</v>
      </c>
      <c r="F2415" s="11">
        <v>252345.0</v>
      </c>
    </row>
    <row r="2416">
      <c r="A2416" s="5">
        <v>2415.0</v>
      </c>
      <c r="B2416" s="5" t="s">
        <v>61</v>
      </c>
      <c r="C2416" s="12" t="s">
        <v>264</v>
      </c>
      <c r="D2416" s="9" t="s">
        <v>73</v>
      </c>
      <c r="E2416" s="11">
        <v>89107.0</v>
      </c>
      <c r="F2416" s="11">
        <v>232198.0</v>
      </c>
    </row>
    <row r="2417">
      <c r="A2417" s="5">
        <v>2416.0</v>
      </c>
      <c r="B2417" s="5" t="s">
        <v>61</v>
      </c>
      <c r="C2417" s="12" t="s">
        <v>264</v>
      </c>
      <c r="D2417" s="9" t="s">
        <v>70</v>
      </c>
      <c r="E2417" s="11">
        <v>82257.0</v>
      </c>
      <c r="F2417" s="11">
        <v>215975.0</v>
      </c>
    </row>
    <row r="2418">
      <c r="A2418" s="5">
        <v>2417.0</v>
      </c>
      <c r="B2418" s="5" t="s">
        <v>61</v>
      </c>
      <c r="C2418" s="12" t="s">
        <v>264</v>
      </c>
      <c r="D2418" s="9" t="s">
        <v>68</v>
      </c>
      <c r="E2418" s="11">
        <v>74385.0</v>
      </c>
      <c r="F2418" s="11">
        <v>202132.0</v>
      </c>
    </row>
    <row r="2419">
      <c r="A2419" s="5">
        <v>2418.0</v>
      </c>
      <c r="B2419" s="5" t="s">
        <v>61</v>
      </c>
      <c r="C2419" s="12" t="s">
        <v>264</v>
      </c>
      <c r="D2419" s="9" t="s">
        <v>73</v>
      </c>
      <c r="E2419" s="11">
        <v>72284.0</v>
      </c>
      <c r="F2419" s="11">
        <v>188355.0</v>
      </c>
    </row>
    <row r="2420">
      <c r="A2420" s="5">
        <v>2419.0</v>
      </c>
      <c r="B2420" s="5" t="s">
        <v>61</v>
      </c>
      <c r="C2420" s="12" t="s">
        <v>265</v>
      </c>
      <c r="D2420" s="9" t="s">
        <v>60</v>
      </c>
      <c r="E2420" s="8"/>
      <c r="F2420" s="8"/>
    </row>
    <row r="2421">
      <c r="A2421" s="5">
        <v>2420.0</v>
      </c>
      <c r="B2421" s="5" t="s">
        <v>61</v>
      </c>
      <c r="C2421" s="12" t="s">
        <v>265</v>
      </c>
      <c r="D2421" s="9" t="s">
        <v>62</v>
      </c>
      <c r="E2421" s="8"/>
      <c r="F2421" s="8"/>
    </row>
    <row r="2422">
      <c r="A2422" s="5">
        <v>2421.0</v>
      </c>
      <c r="B2422" s="5" t="s">
        <v>61</v>
      </c>
      <c r="C2422" s="12" t="s">
        <v>265</v>
      </c>
      <c r="D2422" s="9" t="s">
        <v>63</v>
      </c>
      <c r="E2422" s="8"/>
      <c r="F2422" s="11">
        <v>183.0</v>
      </c>
    </row>
    <row r="2423">
      <c r="A2423" s="5">
        <v>2422.0</v>
      </c>
      <c r="B2423" s="5" t="s">
        <v>61</v>
      </c>
      <c r="C2423" s="12" t="s">
        <v>265</v>
      </c>
      <c r="D2423" s="9" t="s">
        <v>64</v>
      </c>
      <c r="E2423" s="8"/>
      <c r="F2423" s="11">
        <v>183.0</v>
      </c>
    </row>
    <row r="2424">
      <c r="A2424" s="5">
        <v>2423.0</v>
      </c>
      <c r="B2424" s="5" t="s">
        <v>61</v>
      </c>
      <c r="C2424" s="12" t="s">
        <v>265</v>
      </c>
      <c r="D2424" s="9" t="s">
        <v>66</v>
      </c>
      <c r="E2424" s="8"/>
      <c r="F2424" s="11">
        <v>191.0</v>
      </c>
    </row>
    <row r="2425">
      <c r="A2425" s="5">
        <v>2424.0</v>
      </c>
      <c r="B2425" s="5" t="s">
        <v>61</v>
      </c>
      <c r="C2425" s="12" t="s">
        <v>265</v>
      </c>
      <c r="D2425" s="9" t="s">
        <v>70</v>
      </c>
      <c r="E2425" s="11">
        <v>61.0</v>
      </c>
      <c r="F2425" s="11">
        <v>183.0</v>
      </c>
    </row>
    <row r="2426">
      <c r="A2426" s="5">
        <v>2425.0</v>
      </c>
      <c r="B2426" s="5" t="s">
        <v>61</v>
      </c>
      <c r="C2426" s="12" t="s">
        <v>265</v>
      </c>
      <c r="D2426" s="9" t="s">
        <v>66</v>
      </c>
      <c r="E2426" s="11">
        <v>59.0</v>
      </c>
      <c r="F2426" s="11">
        <v>180.0</v>
      </c>
    </row>
    <row r="2427">
      <c r="A2427" s="5">
        <v>2426.0</v>
      </c>
      <c r="B2427" s="5" t="s">
        <v>61</v>
      </c>
      <c r="C2427" s="12" t="s">
        <v>265</v>
      </c>
      <c r="D2427" s="9" t="s">
        <v>72</v>
      </c>
      <c r="E2427" s="11">
        <v>58.0</v>
      </c>
      <c r="F2427" s="11">
        <v>176.0</v>
      </c>
    </row>
    <row r="2428">
      <c r="A2428" s="5">
        <v>2427.0</v>
      </c>
      <c r="B2428" s="5" t="s">
        <v>61</v>
      </c>
      <c r="C2428" s="12" t="s">
        <v>265</v>
      </c>
      <c r="D2428" s="9" t="s">
        <v>69</v>
      </c>
      <c r="E2428" s="11">
        <v>58.0</v>
      </c>
      <c r="F2428" s="11">
        <v>176.0</v>
      </c>
    </row>
    <row r="2429">
      <c r="A2429" s="5">
        <v>2428.0</v>
      </c>
      <c r="B2429" s="5" t="s">
        <v>61</v>
      </c>
      <c r="C2429" s="12" t="s">
        <v>265</v>
      </c>
      <c r="D2429" s="9" t="s">
        <v>73</v>
      </c>
      <c r="E2429" s="8"/>
      <c r="F2429" s="11">
        <v>161.0</v>
      </c>
    </row>
    <row r="2430">
      <c r="A2430" s="5">
        <v>2429.0</v>
      </c>
      <c r="B2430" s="5" t="s">
        <v>61</v>
      </c>
      <c r="C2430" s="12" t="s">
        <v>265</v>
      </c>
      <c r="D2430" s="9" t="s">
        <v>70</v>
      </c>
      <c r="E2430" s="8"/>
      <c r="F2430" s="11">
        <v>161.0</v>
      </c>
    </row>
    <row r="2431">
      <c r="A2431" s="5">
        <v>2430.0</v>
      </c>
      <c r="B2431" s="5" t="s">
        <v>61</v>
      </c>
      <c r="C2431" s="12" t="s">
        <v>265</v>
      </c>
      <c r="D2431" s="9" t="s">
        <v>68</v>
      </c>
      <c r="E2431" s="8"/>
      <c r="F2431" s="8"/>
    </row>
    <row r="2432">
      <c r="A2432" s="5">
        <v>2431.0</v>
      </c>
      <c r="B2432" s="5" t="s">
        <v>61</v>
      </c>
      <c r="C2432" s="12" t="s">
        <v>265</v>
      </c>
      <c r="D2432" s="9" t="s">
        <v>73</v>
      </c>
      <c r="E2432" s="8"/>
      <c r="F2432" s="8"/>
    </row>
    <row r="2433">
      <c r="A2433" s="5">
        <v>2432.0</v>
      </c>
      <c r="B2433" s="5" t="s">
        <v>77</v>
      </c>
      <c r="C2433" s="12" t="s">
        <v>266</v>
      </c>
      <c r="D2433" s="9" t="s">
        <v>60</v>
      </c>
      <c r="E2433" s="8"/>
      <c r="F2433" s="8"/>
    </row>
    <row r="2434">
      <c r="A2434" s="5">
        <v>2433.0</v>
      </c>
      <c r="B2434" s="5" t="s">
        <v>77</v>
      </c>
      <c r="C2434" s="12" t="s">
        <v>266</v>
      </c>
      <c r="D2434" s="9" t="s">
        <v>62</v>
      </c>
      <c r="E2434" s="11">
        <v>2764.0</v>
      </c>
      <c r="F2434" s="8"/>
    </row>
    <row r="2435">
      <c r="A2435" s="5">
        <v>2434.0</v>
      </c>
      <c r="B2435" s="5" t="s">
        <v>77</v>
      </c>
      <c r="C2435" s="12" t="s">
        <v>266</v>
      </c>
      <c r="D2435" s="9" t="s">
        <v>63</v>
      </c>
      <c r="E2435" s="11">
        <v>2692.0</v>
      </c>
      <c r="F2435" s="11">
        <v>1540.0</v>
      </c>
    </row>
    <row r="2436">
      <c r="A2436" s="5">
        <v>2435.0</v>
      </c>
      <c r="B2436" s="5" t="s">
        <v>77</v>
      </c>
      <c r="C2436" s="12" t="s">
        <v>266</v>
      </c>
      <c r="D2436" s="9" t="s">
        <v>64</v>
      </c>
      <c r="E2436" s="11">
        <v>2628.0</v>
      </c>
      <c r="F2436" s="11">
        <v>1503.0</v>
      </c>
    </row>
    <row r="2437">
      <c r="A2437" s="5">
        <v>2436.0</v>
      </c>
      <c r="B2437" s="5" t="s">
        <v>77</v>
      </c>
      <c r="C2437" s="12" t="s">
        <v>266</v>
      </c>
      <c r="D2437" s="9" t="s">
        <v>66</v>
      </c>
      <c r="E2437" s="11">
        <v>2563.0</v>
      </c>
      <c r="F2437" s="11">
        <v>1456.0</v>
      </c>
    </row>
    <row r="2438">
      <c r="A2438" s="5">
        <v>2437.0</v>
      </c>
      <c r="B2438" s="5" t="s">
        <v>77</v>
      </c>
      <c r="C2438" s="12" t="s">
        <v>266</v>
      </c>
      <c r="D2438" s="9" t="s">
        <v>70</v>
      </c>
      <c r="E2438" s="11">
        <v>2458.0</v>
      </c>
      <c r="F2438" s="11">
        <v>1316.0</v>
      </c>
    </row>
    <row r="2439">
      <c r="A2439" s="5">
        <v>2438.0</v>
      </c>
      <c r="B2439" s="5" t="s">
        <v>77</v>
      </c>
      <c r="C2439" s="12" t="s">
        <v>266</v>
      </c>
      <c r="D2439" s="9" t="s">
        <v>66</v>
      </c>
      <c r="E2439" s="11">
        <v>2368.0</v>
      </c>
      <c r="F2439" s="11">
        <v>1221.0</v>
      </c>
    </row>
    <row r="2440">
      <c r="A2440" s="5">
        <v>2439.0</v>
      </c>
      <c r="B2440" s="5" t="s">
        <v>77</v>
      </c>
      <c r="C2440" s="12" t="s">
        <v>266</v>
      </c>
      <c r="D2440" s="9" t="s">
        <v>72</v>
      </c>
      <c r="E2440" s="11">
        <v>2372.0</v>
      </c>
      <c r="F2440" s="11">
        <v>1338.0</v>
      </c>
    </row>
    <row r="2441">
      <c r="A2441" s="5">
        <v>2440.0</v>
      </c>
      <c r="B2441" s="5" t="s">
        <v>77</v>
      </c>
      <c r="C2441" s="12" t="s">
        <v>266</v>
      </c>
      <c r="D2441" s="9" t="s">
        <v>69</v>
      </c>
      <c r="E2441" s="11">
        <v>2327.0</v>
      </c>
      <c r="F2441" s="11">
        <v>1397.0</v>
      </c>
    </row>
    <row r="2442">
      <c r="A2442" s="5">
        <v>2441.0</v>
      </c>
      <c r="B2442" s="5" t="s">
        <v>77</v>
      </c>
      <c r="C2442" s="12" t="s">
        <v>266</v>
      </c>
      <c r="D2442" s="9" t="s">
        <v>73</v>
      </c>
      <c r="E2442" s="11">
        <v>2303.0</v>
      </c>
      <c r="F2442" s="11">
        <v>1463.0</v>
      </c>
    </row>
    <row r="2443">
      <c r="A2443" s="5">
        <v>2442.0</v>
      </c>
      <c r="B2443" s="5" t="s">
        <v>77</v>
      </c>
      <c r="C2443" s="12" t="s">
        <v>266</v>
      </c>
      <c r="D2443" s="9" t="s">
        <v>70</v>
      </c>
      <c r="E2443" s="11">
        <v>2182.0</v>
      </c>
      <c r="F2443" s="11">
        <v>1232.0</v>
      </c>
    </row>
    <row r="2444">
      <c r="A2444" s="5">
        <v>2443.0</v>
      </c>
      <c r="B2444" s="5" t="s">
        <v>77</v>
      </c>
      <c r="C2444" s="12" t="s">
        <v>266</v>
      </c>
      <c r="D2444" s="9" t="s">
        <v>68</v>
      </c>
      <c r="E2444" s="11">
        <v>2106.0</v>
      </c>
      <c r="F2444" s="11">
        <v>1162.0</v>
      </c>
    </row>
    <row r="2445">
      <c r="A2445" s="5">
        <v>2444.0</v>
      </c>
      <c r="B2445" s="5" t="s">
        <v>77</v>
      </c>
      <c r="C2445" s="12" t="s">
        <v>266</v>
      </c>
      <c r="D2445" s="9" t="s">
        <v>73</v>
      </c>
      <c r="E2445" s="11">
        <v>2111.0</v>
      </c>
      <c r="F2445" s="11">
        <v>1357.0</v>
      </c>
    </row>
    <row r="2446">
      <c r="A2446" s="5">
        <v>2445.0</v>
      </c>
      <c r="B2446" s="5" t="s">
        <v>80</v>
      </c>
      <c r="C2446" s="12" t="s">
        <v>267</v>
      </c>
      <c r="D2446" s="9" t="s">
        <v>60</v>
      </c>
      <c r="E2446" s="8"/>
      <c r="F2446" s="8"/>
    </row>
    <row r="2447">
      <c r="A2447" s="5">
        <v>2446.0</v>
      </c>
      <c r="B2447" s="5" t="s">
        <v>80</v>
      </c>
      <c r="C2447" s="12" t="s">
        <v>267</v>
      </c>
      <c r="D2447" s="9" t="s">
        <v>62</v>
      </c>
      <c r="E2447" s="8"/>
      <c r="F2447" s="8"/>
    </row>
    <row r="2448">
      <c r="A2448" s="5">
        <v>2447.0</v>
      </c>
      <c r="B2448" s="5" t="s">
        <v>80</v>
      </c>
      <c r="C2448" s="12" t="s">
        <v>267</v>
      </c>
      <c r="D2448" s="9" t="s">
        <v>63</v>
      </c>
      <c r="E2448" s="8"/>
      <c r="F2448" s="11">
        <v>158.0</v>
      </c>
    </row>
    <row r="2449">
      <c r="A2449" s="5">
        <v>2448.0</v>
      </c>
      <c r="B2449" s="5" t="s">
        <v>80</v>
      </c>
      <c r="C2449" s="12" t="s">
        <v>267</v>
      </c>
      <c r="D2449" s="9" t="s">
        <v>64</v>
      </c>
      <c r="E2449" s="8"/>
      <c r="F2449" s="11">
        <v>172.0</v>
      </c>
    </row>
    <row r="2450">
      <c r="A2450" s="5">
        <v>2449.0</v>
      </c>
      <c r="B2450" s="5" t="s">
        <v>80</v>
      </c>
      <c r="C2450" s="12" t="s">
        <v>267</v>
      </c>
      <c r="D2450" s="9" t="s">
        <v>66</v>
      </c>
      <c r="E2450" s="8"/>
      <c r="F2450" s="11">
        <v>161.0</v>
      </c>
    </row>
    <row r="2451">
      <c r="A2451" s="5">
        <v>2450.0</v>
      </c>
      <c r="B2451" s="5" t="s">
        <v>80</v>
      </c>
      <c r="C2451" s="12" t="s">
        <v>267</v>
      </c>
      <c r="D2451" s="9" t="s">
        <v>70</v>
      </c>
      <c r="E2451" s="11">
        <v>58.0</v>
      </c>
      <c r="F2451" s="11">
        <v>154.0</v>
      </c>
    </row>
    <row r="2452">
      <c r="A2452" s="5">
        <v>2451.0</v>
      </c>
      <c r="B2452" s="5" t="s">
        <v>80</v>
      </c>
      <c r="C2452" s="12" t="s">
        <v>267</v>
      </c>
      <c r="D2452" s="9" t="s">
        <v>66</v>
      </c>
      <c r="E2452" s="11">
        <v>57.0</v>
      </c>
      <c r="F2452" s="11">
        <v>176.0</v>
      </c>
    </row>
    <row r="2453">
      <c r="A2453" s="5">
        <v>2452.0</v>
      </c>
      <c r="B2453" s="5" t="s">
        <v>80</v>
      </c>
      <c r="C2453" s="12" t="s">
        <v>267</v>
      </c>
      <c r="D2453" s="9" t="s">
        <v>72</v>
      </c>
      <c r="E2453" s="11">
        <v>57.0</v>
      </c>
      <c r="F2453" s="11">
        <v>158.0</v>
      </c>
    </row>
    <row r="2454">
      <c r="A2454" s="5">
        <v>2453.0</v>
      </c>
      <c r="B2454" s="5" t="s">
        <v>80</v>
      </c>
      <c r="C2454" s="12" t="s">
        <v>267</v>
      </c>
      <c r="D2454" s="9" t="s">
        <v>69</v>
      </c>
      <c r="E2454" s="11">
        <v>57.0</v>
      </c>
      <c r="F2454" s="11">
        <v>172.0</v>
      </c>
    </row>
    <row r="2455">
      <c r="A2455" s="5">
        <v>2454.0</v>
      </c>
      <c r="B2455" s="5" t="s">
        <v>80</v>
      </c>
      <c r="C2455" s="12" t="s">
        <v>267</v>
      </c>
      <c r="D2455" s="9" t="s">
        <v>73</v>
      </c>
      <c r="E2455" s="8"/>
      <c r="F2455" s="11">
        <v>176.0</v>
      </c>
    </row>
    <row r="2456">
      <c r="A2456" s="5">
        <v>2455.0</v>
      </c>
      <c r="B2456" s="5" t="s">
        <v>80</v>
      </c>
      <c r="C2456" s="12" t="s">
        <v>267</v>
      </c>
      <c r="D2456" s="9" t="s">
        <v>70</v>
      </c>
      <c r="E2456" s="8"/>
      <c r="F2456" s="11">
        <v>147.0</v>
      </c>
    </row>
    <row r="2457">
      <c r="A2457" s="5">
        <v>2456.0</v>
      </c>
      <c r="B2457" s="5" t="s">
        <v>80</v>
      </c>
      <c r="C2457" s="12" t="s">
        <v>267</v>
      </c>
      <c r="D2457" s="9" t="s">
        <v>68</v>
      </c>
      <c r="E2457" s="8"/>
      <c r="F2457" s="11">
        <v>143.0</v>
      </c>
    </row>
    <row r="2458">
      <c r="A2458" s="5">
        <v>2457.0</v>
      </c>
      <c r="B2458" s="5" t="s">
        <v>80</v>
      </c>
      <c r="C2458" s="12" t="s">
        <v>267</v>
      </c>
      <c r="D2458" s="9" t="s">
        <v>73</v>
      </c>
      <c r="E2458" s="8"/>
      <c r="F2458" s="11">
        <v>121.0</v>
      </c>
    </row>
    <row r="2459">
      <c r="A2459" s="5">
        <v>2458.0</v>
      </c>
      <c r="B2459" s="5" t="s">
        <v>84</v>
      </c>
      <c r="C2459" s="12" t="s">
        <v>268</v>
      </c>
      <c r="D2459" s="9" t="s">
        <v>60</v>
      </c>
      <c r="E2459" s="8"/>
      <c r="F2459" s="8"/>
    </row>
    <row r="2460">
      <c r="A2460" s="5">
        <v>2459.0</v>
      </c>
      <c r="B2460" s="5" t="s">
        <v>84</v>
      </c>
      <c r="C2460" s="12" t="s">
        <v>268</v>
      </c>
      <c r="D2460" s="9" t="s">
        <v>62</v>
      </c>
      <c r="E2460" s="11">
        <v>20918.0</v>
      </c>
      <c r="F2460" s="8"/>
    </row>
    <row r="2461">
      <c r="A2461" s="5">
        <v>2460.0</v>
      </c>
      <c r="B2461" s="5" t="s">
        <v>84</v>
      </c>
      <c r="C2461" s="12" t="s">
        <v>268</v>
      </c>
      <c r="D2461" s="9" t="s">
        <v>63</v>
      </c>
      <c r="E2461" s="11">
        <v>21370.0</v>
      </c>
      <c r="F2461" s="11">
        <v>50682.0</v>
      </c>
    </row>
    <row r="2462">
      <c r="A2462" s="5">
        <v>2461.0</v>
      </c>
      <c r="B2462" s="5" t="s">
        <v>84</v>
      </c>
      <c r="C2462" s="12" t="s">
        <v>268</v>
      </c>
      <c r="D2462" s="9" t="s">
        <v>64</v>
      </c>
      <c r="E2462" s="11">
        <v>20277.0</v>
      </c>
      <c r="F2462" s="11">
        <v>48177.0</v>
      </c>
    </row>
    <row r="2463">
      <c r="A2463" s="5">
        <v>2462.0</v>
      </c>
      <c r="B2463" s="5" t="s">
        <v>84</v>
      </c>
      <c r="C2463" s="12" t="s">
        <v>268</v>
      </c>
      <c r="D2463" s="9" t="s">
        <v>66</v>
      </c>
      <c r="E2463" s="11">
        <v>19563.0</v>
      </c>
      <c r="F2463" s="11">
        <v>42541.0</v>
      </c>
    </row>
    <row r="2464">
      <c r="A2464" s="5">
        <v>2463.0</v>
      </c>
      <c r="B2464" s="5" t="s">
        <v>84</v>
      </c>
      <c r="C2464" s="12" t="s">
        <v>268</v>
      </c>
      <c r="D2464" s="9" t="s">
        <v>70</v>
      </c>
      <c r="E2464" s="11">
        <v>20331.0</v>
      </c>
      <c r="F2464" s="11">
        <v>46461.0</v>
      </c>
    </row>
    <row r="2465">
      <c r="A2465" s="5">
        <v>2464.0</v>
      </c>
      <c r="B2465" s="5" t="s">
        <v>84</v>
      </c>
      <c r="C2465" s="12" t="s">
        <v>268</v>
      </c>
      <c r="D2465" s="9" t="s">
        <v>66</v>
      </c>
      <c r="E2465" s="11">
        <v>19585.0</v>
      </c>
      <c r="F2465" s="11">
        <v>32152.0</v>
      </c>
    </row>
    <row r="2466">
      <c r="A2466" s="5">
        <v>2465.0</v>
      </c>
      <c r="B2466" s="5" t="s">
        <v>84</v>
      </c>
      <c r="C2466" s="12" t="s">
        <v>268</v>
      </c>
      <c r="D2466" s="9" t="s">
        <v>72</v>
      </c>
      <c r="E2466" s="11">
        <v>16880.0</v>
      </c>
      <c r="F2466" s="11">
        <v>28581.0</v>
      </c>
    </row>
    <row r="2467">
      <c r="A2467" s="5">
        <v>2466.0</v>
      </c>
      <c r="B2467" s="5" t="s">
        <v>84</v>
      </c>
      <c r="C2467" s="12" t="s">
        <v>268</v>
      </c>
      <c r="D2467" s="9" t="s">
        <v>69</v>
      </c>
      <c r="E2467" s="11">
        <v>14115.0</v>
      </c>
      <c r="F2467" s="11">
        <v>30993.0</v>
      </c>
    </row>
    <row r="2468">
      <c r="A2468" s="5">
        <v>2467.0</v>
      </c>
      <c r="B2468" s="5" t="s">
        <v>84</v>
      </c>
      <c r="C2468" s="12" t="s">
        <v>268</v>
      </c>
      <c r="D2468" s="9" t="s">
        <v>73</v>
      </c>
      <c r="E2468" s="11">
        <v>13541.0</v>
      </c>
      <c r="F2468" s="11">
        <v>27697.0</v>
      </c>
    </row>
    <row r="2469">
      <c r="A2469" s="5">
        <v>2468.0</v>
      </c>
      <c r="B2469" s="5" t="s">
        <v>84</v>
      </c>
      <c r="C2469" s="12" t="s">
        <v>268</v>
      </c>
      <c r="D2469" s="9" t="s">
        <v>71</v>
      </c>
      <c r="E2469" s="11">
        <v>12540.0</v>
      </c>
      <c r="F2469" s="11">
        <v>26890.0</v>
      </c>
    </row>
    <row r="2470">
      <c r="A2470" s="5">
        <v>2469.0</v>
      </c>
      <c r="B2470" s="5" t="s">
        <v>84</v>
      </c>
      <c r="C2470" s="12" t="s">
        <v>268</v>
      </c>
      <c r="D2470" s="9" t="s">
        <v>68</v>
      </c>
      <c r="E2470" s="11">
        <v>11762.0</v>
      </c>
      <c r="F2470" s="11">
        <v>25024.0</v>
      </c>
    </row>
    <row r="2471">
      <c r="A2471" s="5">
        <v>2470.0</v>
      </c>
      <c r="B2471" s="5" t="s">
        <v>84</v>
      </c>
      <c r="C2471" s="12" t="s">
        <v>268</v>
      </c>
      <c r="D2471" s="9" t="s">
        <v>73</v>
      </c>
      <c r="E2471" s="11">
        <v>10854.0</v>
      </c>
      <c r="F2471" s="11">
        <v>24514.0</v>
      </c>
    </row>
    <row r="2472">
      <c r="A2472" s="5">
        <v>2471.0</v>
      </c>
      <c r="B2472" s="5" t="s">
        <v>77</v>
      </c>
      <c r="C2472" s="12" t="s">
        <v>269</v>
      </c>
      <c r="D2472" s="9" t="s">
        <v>60</v>
      </c>
      <c r="E2472" s="8"/>
      <c r="F2472" s="8"/>
    </row>
    <row r="2473">
      <c r="A2473" s="5">
        <v>2472.0</v>
      </c>
      <c r="B2473" s="5" t="s">
        <v>77</v>
      </c>
      <c r="C2473" s="12" t="s">
        <v>269</v>
      </c>
      <c r="D2473" s="9" t="s">
        <v>62</v>
      </c>
      <c r="E2473" s="11">
        <v>9504.0</v>
      </c>
      <c r="F2473" s="8"/>
    </row>
    <row r="2474">
      <c r="A2474" s="5">
        <v>2473.0</v>
      </c>
      <c r="B2474" s="5" t="s">
        <v>77</v>
      </c>
      <c r="C2474" s="12" t="s">
        <v>269</v>
      </c>
      <c r="D2474" s="9" t="s">
        <v>63</v>
      </c>
      <c r="E2474" s="11">
        <v>9674.0</v>
      </c>
      <c r="F2474" s="11">
        <v>25878.0</v>
      </c>
    </row>
    <row r="2475">
      <c r="A2475" s="5">
        <v>2474.0</v>
      </c>
      <c r="B2475" s="5" t="s">
        <v>77</v>
      </c>
      <c r="C2475" s="12" t="s">
        <v>269</v>
      </c>
      <c r="D2475" s="9" t="s">
        <v>64</v>
      </c>
      <c r="E2475" s="11">
        <v>9193.0</v>
      </c>
      <c r="F2475" s="11">
        <v>24807.0</v>
      </c>
    </row>
    <row r="2476">
      <c r="A2476" s="5">
        <v>2475.0</v>
      </c>
      <c r="B2476" s="5" t="s">
        <v>77</v>
      </c>
      <c r="C2476" s="12" t="s">
        <v>269</v>
      </c>
      <c r="D2476" s="9" t="s">
        <v>66</v>
      </c>
      <c r="E2476" s="11">
        <v>9427.0</v>
      </c>
      <c r="F2476" s="11">
        <v>25013.0</v>
      </c>
    </row>
    <row r="2477">
      <c r="A2477" s="5">
        <v>2476.0</v>
      </c>
      <c r="B2477" s="5" t="s">
        <v>77</v>
      </c>
      <c r="C2477" s="12" t="s">
        <v>269</v>
      </c>
      <c r="D2477" s="9" t="s">
        <v>70</v>
      </c>
      <c r="E2477" s="11">
        <v>9039.0</v>
      </c>
      <c r="F2477" s="11">
        <v>23869.0</v>
      </c>
    </row>
    <row r="2478">
      <c r="A2478" s="5">
        <v>2477.0</v>
      </c>
      <c r="B2478" s="5" t="s">
        <v>77</v>
      </c>
      <c r="C2478" s="12" t="s">
        <v>269</v>
      </c>
      <c r="D2478" s="9" t="s">
        <v>66</v>
      </c>
      <c r="E2478" s="11">
        <v>8752.0</v>
      </c>
      <c r="F2478" s="11">
        <v>23128.0</v>
      </c>
    </row>
    <row r="2479">
      <c r="A2479" s="5">
        <v>2478.0</v>
      </c>
      <c r="B2479" s="5" t="s">
        <v>77</v>
      </c>
      <c r="C2479" s="12" t="s">
        <v>269</v>
      </c>
      <c r="D2479" s="9" t="s">
        <v>72</v>
      </c>
      <c r="E2479" s="11">
        <v>8314.0</v>
      </c>
      <c r="F2479" s="11">
        <v>22801.0</v>
      </c>
    </row>
    <row r="2480">
      <c r="A2480" s="5">
        <v>2479.0</v>
      </c>
      <c r="B2480" s="5" t="s">
        <v>77</v>
      </c>
      <c r="C2480" s="12" t="s">
        <v>269</v>
      </c>
      <c r="D2480" s="9" t="s">
        <v>69</v>
      </c>
      <c r="E2480" s="11">
        <v>8463.0</v>
      </c>
      <c r="F2480" s="11">
        <v>22446.0</v>
      </c>
    </row>
    <row r="2481">
      <c r="A2481" s="5">
        <v>2480.0</v>
      </c>
      <c r="B2481" s="5" t="s">
        <v>77</v>
      </c>
      <c r="C2481" s="12" t="s">
        <v>269</v>
      </c>
      <c r="D2481" s="9" t="s">
        <v>73</v>
      </c>
      <c r="E2481" s="11">
        <v>8028.0</v>
      </c>
      <c r="F2481" s="11">
        <v>21397.0</v>
      </c>
    </row>
    <row r="2482">
      <c r="A2482" s="5">
        <v>2481.0</v>
      </c>
      <c r="B2482" s="5" t="s">
        <v>77</v>
      </c>
      <c r="C2482" s="12" t="s">
        <v>269</v>
      </c>
      <c r="D2482" s="9" t="s">
        <v>71</v>
      </c>
      <c r="E2482" s="11">
        <v>7814.0</v>
      </c>
      <c r="F2482" s="11">
        <v>21016.0</v>
      </c>
    </row>
    <row r="2483">
      <c r="A2483" s="5">
        <v>2482.0</v>
      </c>
      <c r="B2483" s="5" t="s">
        <v>77</v>
      </c>
      <c r="C2483" s="12" t="s">
        <v>269</v>
      </c>
      <c r="D2483" s="9" t="s">
        <v>68</v>
      </c>
      <c r="E2483" s="11">
        <v>7711.0</v>
      </c>
      <c r="F2483" s="11">
        <v>20818.0</v>
      </c>
    </row>
    <row r="2484">
      <c r="A2484" s="5">
        <v>2483.0</v>
      </c>
      <c r="B2484" s="5" t="s">
        <v>77</v>
      </c>
      <c r="C2484" s="12" t="s">
        <v>269</v>
      </c>
      <c r="D2484" s="9" t="s">
        <v>73</v>
      </c>
      <c r="E2484" s="11">
        <v>7306.0</v>
      </c>
      <c r="F2484" s="11">
        <v>19923.0</v>
      </c>
    </row>
    <row r="2485">
      <c r="A2485" s="5">
        <v>2484.0</v>
      </c>
      <c r="B2485" s="5" t="s">
        <v>75</v>
      </c>
      <c r="C2485" s="12" t="s">
        <v>270</v>
      </c>
      <c r="D2485" s="9" t="s">
        <v>60</v>
      </c>
      <c r="E2485" s="11">
        <v>115701.0</v>
      </c>
      <c r="F2485" s="8"/>
    </row>
    <row r="2486">
      <c r="A2486" s="5">
        <v>2485.0</v>
      </c>
      <c r="B2486" s="5" t="s">
        <v>75</v>
      </c>
      <c r="C2486" s="12" t="s">
        <v>270</v>
      </c>
      <c r="D2486" s="9" t="s">
        <v>62</v>
      </c>
      <c r="E2486" s="11">
        <v>112459.0</v>
      </c>
      <c r="F2486" s="8"/>
    </row>
    <row r="2487">
      <c r="A2487" s="5">
        <v>2486.0</v>
      </c>
      <c r="B2487" s="5" t="s">
        <v>75</v>
      </c>
      <c r="C2487" s="12" t="s">
        <v>270</v>
      </c>
      <c r="D2487" s="9" t="s">
        <v>63</v>
      </c>
      <c r="E2487" s="11">
        <v>105133.0</v>
      </c>
      <c r="F2487" s="11">
        <v>298002.0</v>
      </c>
    </row>
    <row r="2488">
      <c r="A2488" s="5">
        <v>2487.0</v>
      </c>
      <c r="B2488" s="5" t="s">
        <v>75</v>
      </c>
      <c r="C2488" s="12" t="s">
        <v>270</v>
      </c>
      <c r="D2488" s="9" t="s">
        <v>64</v>
      </c>
      <c r="E2488" s="11">
        <v>97661.0</v>
      </c>
      <c r="F2488" s="11">
        <v>277845.0</v>
      </c>
    </row>
    <row r="2489">
      <c r="A2489" s="5">
        <v>2488.0</v>
      </c>
      <c r="B2489" s="5" t="s">
        <v>75</v>
      </c>
      <c r="C2489" s="12" t="s">
        <v>270</v>
      </c>
      <c r="D2489" s="9" t="s">
        <v>66</v>
      </c>
      <c r="E2489" s="11">
        <v>98502.0</v>
      </c>
      <c r="F2489" s="11">
        <v>285274.0</v>
      </c>
    </row>
    <row r="2490">
      <c r="A2490" s="5">
        <v>2489.0</v>
      </c>
      <c r="B2490" s="5" t="s">
        <v>75</v>
      </c>
      <c r="C2490" s="12" t="s">
        <v>270</v>
      </c>
      <c r="D2490" s="9" t="s">
        <v>70</v>
      </c>
      <c r="E2490" s="11">
        <v>100005.0</v>
      </c>
      <c r="F2490" s="11">
        <v>284658.0</v>
      </c>
    </row>
    <row r="2491">
      <c r="A2491" s="5">
        <v>2490.0</v>
      </c>
      <c r="B2491" s="5" t="s">
        <v>75</v>
      </c>
      <c r="C2491" s="12" t="s">
        <v>270</v>
      </c>
      <c r="D2491" s="9" t="s">
        <v>66</v>
      </c>
      <c r="E2491" s="11">
        <v>93035.0</v>
      </c>
      <c r="F2491" s="11">
        <v>261571.0</v>
      </c>
    </row>
    <row r="2492">
      <c r="A2492" s="5">
        <v>2491.0</v>
      </c>
      <c r="B2492" s="5" t="s">
        <v>75</v>
      </c>
      <c r="C2492" s="12" t="s">
        <v>270</v>
      </c>
      <c r="D2492" s="9" t="s">
        <v>72</v>
      </c>
      <c r="E2492" s="11">
        <v>84379.0</v>
      </c>
      <c r="F2492" s="11">
        <v>237369.0</v>
      </c>
    </row>
    <row r="2493">
      <c r="A2493" s="5">
        <v>2492.0</v>
      </c>
      <c r="B2493" s="5" t="s">
        <v>75</v>
      </c>
      <c r="C2493" s="12" t="s">
        <v>270</v>
      </c>
      <c r="D2493" s="9" t="s">
        <v>69</v>
      </c>
      <c r="E2493" s="11">
        <v>80858.0</v>
      </c>
      <c r="F2493" s="11">
        <v>225407.0</v>
      </c>
    </row>
    <row r="2494">
      <c r="A2494" s="5">
        <v>2493.0</v>
      </c>
      <c r="B2494" s="5" t="s">
        <v>75</v>
      </c>
      <c r="C2494" s="12" t="s">
        <v>270</v>
      </c>
      <c r="D2494" s="9" t="s">
        <v>73</v>
      </c>
      <c r="E2494" s="11">
        <v>77833.0</v>
      </c>
      <c r="F2494" s="11">
        <v>218509.0</v>
      </c>
    </row>
    <row r="2495">
      <c r="A2495" s="5">
        <v>2494.0</v>
      </c>
      <c r="B2495" s="5" t="s">
        <v>75</v>
      </c>
      <c r="C2495" s="12" t="s">
        <v>270</v>
      </c>
      <c r="D2495" s="9" t="s">
        <v>71</v>
      </c>
      <c r="E2495" s="11">
        <v>74248.0</v>
      </c>
      <c r="F2495" s="11">
        <v>205678.0</v>
      </c>
    </row>
    <row r="2496">
      <c r="A2496" s="5">
        <v>2495.0</v>
      </c>
      <c r="B2496" s="5" t="s">
        <v>75</v>
      </c>
      <c r="C2496" s="12" t="s">
        <v>270</v>
      </c>
      <c r="D2496" s="9" t="s">
        <v>68</v>
      </c>
      <c r="E2496" s="11">
        <v>70402.0</v>
      </c>
      <c r="F2496" s="11">
        <v>194538.0</v>
      </c>
    </row>
    <row r="2497">
      <c r="A2497" s="5">
        <v>2496.0</v>
      </c>
      <c r="B2497" s="5" t="s">
        <v>75</v>
      </c>
      <c r="C2497" s="12" t="s">
        <v>270</v>
      </c>
      <c r="D2497" s="9" t="s">
        <v>73</v>
      </c>
      <c r="E2497" s="11">
        <v>76348.0</v>
      </c>
      <c r="F2497" s="11">
        <v>216148.0</v>
      </c>
    </row>
    <row r="2498">
      <c r="A2498" s="5">
        <v>2497.0</v>
      </c>
      <c r="B2498" s="5" t="s">
        <v>61</v>
      </c>
      <c r="C2498" s="12" t="s">
        <v>271</v>
      </c>
      <c r="D2498" s="9" t="s">
        <v>60</v>
      </c>
      <c r="E2498" s="8"/>
      <c r="F2498" s="8"/>
    </row>
    <row r="2499">
      <c r="A2499" s="5">
        <v>2498.0</v>
      </c>
      <c r="B2499" s="5" t="s">
        <v>61</v>
      </c>
      <c r="C2499" s="12" t="s">
        <v>271</v>
      </c>
      <c r="D2499" s="9" t="s">
        <v>62</v>
      </c>
      <c r="E2499" s="11">
        <v>24710.0</v>
      </c>
      <c r="F2499" s="8"/>
    </row>
    <row r="2500">
      <c r="A2500" s="5">
        <v>2499.0</v>
      </c>
      <c r="B2500" s="5" t="s">
        <v>61</v>
      </c>
      <c r="C2500" s="12" t="s">
        <v>271</v>
      </c>
      <c r="D2500" s="9" t="s">
        <v>63</v>
      </c>
      <c r="E2500" s="11">
        <v>22675.0</v>
      </c>
      <c r="F2500" s="11">
        <v>53054.0</v>
      </c>
    </row>
    <row r="2501">
      <c r="A2501" s="5">
        <v>2500.0</v>
      </c>
      <c r="B2501" s="5" t="s">
        <v>61</v>
      </c>
      <c r="C2501" s="12" t="s">
        <v>271</v>
      </c>
      <c r="D2501" s="9" t="s">
        <v>64</v>
      </c>
      <c r="E2501" s="11">
        <v>19873.0</v>
      </c>
      <c r="F2501" s="11">
        <v>48525.0</v>
      </c>
    </row>
    <row r="2502">
      <c r="A2502" s="5">
        <v>2501.0</v>
      </c>
      <c r="B2502" s="5" t="s">
        <v>61</v>
      </c>
      <c r="C2502" s="12" t="s">
        <v>271</v>
      </c>
      <c r="D2502" s="9" t="s">
        <v>66</v>
      </c>
      <c r="E2502" s="11">
        <v>22669.0</v>
      </c>
      <c r="F2502" s="11">
        <v>55093.0</v>
      </c>
    </row>
    <row r="2503">
      <c r="A2503" s="5">
        <v>2502.0</v>
      </c>
      <c r="B2503" s="5" t="s">
        <v>61</v>
      </c>
      <c r="C2503" s="12" t="s">
        <v>271</v>
      </c>
      <c r="D2503" s="9" t="s">
        <v>70</v>
      </c>
      <c r="E2503" s="11">
        <v>22367.0</v>
      </c>
      <c r="F2503" s="11">
        <v>53516.0</v>
      </c>
    </row>
    <row r="2504">
      <c r="A2504" s="5">
        <v>2503.0</v>
      </c>
      <c r="B2504" s="5" t="s">
        <v>61</v>
      </c>
      <c r="C2504" s="12" t="s">
        <v>271</v>
      </c>
      <c r="D2504" s="9" t="s">
        <v>66</v>
      </c>
      <c r="E2504" s="11">
        <v>19628.0</v>
      </c>
      <c r="F2504" s="11">
        <v>46256.0</v>
      </c>
    </row>
    <row r="2505">
      <c r="A2505" s="5">
        <v>2504.0</v>
      </c>
      <c r="B2505" s="5" t="s">
        <v>61</v>
      </c>
      <c r="C2505" s="12" t="s">
        <v>271</v>
      </c>
      <c r="D2505" s="9" t="s">
        <v>72</v>
      </c>
      <c r="E2505" s="11">
        <v>19166.0</v>
      </c>
      <c r="F2505" s="11">
        <v>45375.0</v>
      </c>
    </row>
    <row r="2506">
      <c r="A2506" s="5">
        <v>2505.0</v>
      </c>
      <c r="B2506" s="5" t="s">
        <v>61</v>
      </c>
      <c r="C2506" s="12" t="s">
        <v>271</v>
      </c>
      <c r="D2506" s="9" t="s">
        <v>69</v>
      </c>
      <c r="E2506" s="11">
        <v>18406.0</v>
      </c>
      <c r="F2506" s="11">
        <v>43337.0</v>
      </c>
    </row>
    <row r="2507">
      <c r="A2507" s="5">
        <v>2506.0</v>
      </c>
      <c r="B2507" s="5" t="s">
        <v>61</v>
      </c>
      <c r="C2507" s="12" t="s">
        <v>271</v>
      </c>
      <c r="D2507" s="9" t="s">
        <v>73</v>
      </c>
      <c r="E2507" s="11">
        <v>17629.0</v>
      </c>
      <c r="F2507" s="11">
        <v>42215.0</v>
      </c>
    </row>
    <row r="2508">
      <c r="A2508" s="5">
        <v>2507.0</v>
      </c>
      <c r="B2508" s="5" t="s">
        <v>61</v>
      </c>
      <c r="C2508" s="12" t="s">
        <v>271</v>
      </c>
      <c r="D2508" s="9" t="s">
        <v>71</v>
      </c>
      <c r="E2508" s="11">
        <v>15811.0</v>
      </c>
      <c r="F2508" s="11">
        <v>40245.0</v>
      </c>
    </row>
    <row r="2509">
      <c r="A2509" s="5">
        <v>2508.0</v>
      </c>
      <c r="B2509" s="5" t="s">
        <v>61</v>
      </c>
      <c r="C2509" s="12" t="s">
        <v>271</v>
      </c>
      <c r="D2509" s="9" t="s">
        <v>68</v>
      </c>
      <c r="E2509" s="11">
        <v>15153.0</v>
      </c>
      <c r="F2509" s="11">
        <v>39270.0</v>
      </c>
    </row>
    <row r="2510">
      <c r="A2510" s="5">
        <v>2509.0</v>
      </c>
      <c r="B2510" s="5" t="s">
        <v>61</v>
      </c>
      <c r="C2510" s="12" t="s">
        <v>271</v>
      </c>
      <c r="D2510" s="9" t="s">
        <v>73</v>
      </c>
      <c r="E2510" s="11">
        <v>14871.0</v>
      </c>
      <c r="F2510" s="11">
        <v>35365.0</v>
      </c>
    </row>
    <row r="2511">
      <c r="A2511" s="5">
        <v>2510.0</v>
      </c>
      <c r="B2511" s="5" t="s">
        <v>84</v>
      </c>
      <c r="C2511" s="12" t="s">
        <v>272</v>
      </c>
      <c r="D2511" s="9" t="s">
        <v>60</v>
      </c>
      <c r="E2511" s="8"/>
      <c r="F2511" s="8"/>
    </row>
    <row r="2512">
      <c r="A2512" s="5">
        <v>2511.0</v>
      </c>
      <c r="B2512" s="5" t="s">
        <v>84</v>
      </c>
      <c r="C2512" s="12" t="s">
        <v>272</v>
      </c>
      <c r="D2512" s="9" t="s">
        <v>62</v>
      </c>
      <c r="E2512" s="8"/>
      <c r="F2512" s="8"/>
    </row>
    <row r="2513">
      <c r="A2513" s="5">
        <v>2512.0</v>
      </c>
      <c r="B2513" s="5" t="s">
        <v>84</v>
      </c>
      <c r="C2513" s="12" t="s">
        <v>272</v>
      </c>
      <c r="D2513" s="9" t="s">
        <v>63</v>
      </c>
      <c r="E2513" s="8"/>
      <c r="F2513" s="11">
        <v>161.0</v>
      </c>
    </row>
    <row r="2514">
      <c r="A2514" s="5">
        <v>2513.0</v>
      </c>
      <c r="B2514" s="5" t="s">
        <v>84</v>
      </c>
      <c r="C2514" s="12" t="s">
        <v>272</v>
      </c>
      <c r="D2514" s="9" t="s">
        <v>64</v>
      </c>
      <c r="E2514" s="8"/>
      <c r="F2514" s="11">
        <v>161.0</v>
      </c>
    </row>
    <row r="2515">
      <c r="A2515" s="5">
        <v>2514.0</v>
      </c>
      <c r="B2515" s="5" t="s">
        <v>84</v>
      </c>
      <c r="C2515" s="12" t="s">
        <v>272</v>
      </c>
      <c r="D2515" s="9" t="s">
        <v>66</v>
      </c>
      <c r="E2515" s="8"/>
      <c r="F2515" s="11">
        <v>158.0</v>
      </c>
    </row>
    <row r="2516">
      <c r="A2516" s="5">
        <v>2515.0</v>
      </c>
      <c r="B2516" s="5" t="s">
        <v>84</v>
      </c>
      <c r="C2516" s="12" t="s">
        <v>272</v>
      </c>
      <c r="D2516" s="9" t="s">
        <v>70</v>
      </c>
      <c r="E2516" s="8"/>
      <c r="F2516" s="11">
        <v>158.0</v>
      </c>
    </row>
    <row r="2517">
      <c r="A2517" s="5">
        <v>2516.0</v>
      </c>
      <c r="B2517" s="5" t="s">
        <v>84</v>
      </c>
      <c r="C2517" s="12" t="s">
        <v>272</v>
      </c>
      <c r="D2517" s="9" t="s">
        <v>66</v>
      </c>
      <c r="E2517" s="8"/>
      <c r="F2517" s="11">
        <v>143.0</v>
      </c>
    </row>
    <row r="2518">
      <c r="A2518" s="5">
        <v>2517.0</v>
      </c>
      <c r="B2518" s="5" t="s">
        <v>84</v>
      </c>
      <c r="C2518" s="12" t="s">
        <v>272</v>
      </c>
      <c r="D2518" s="9" t="s">
        <v>72</v>
      </c>
      <c r="E2518" s="8"/>
      <c r="F2518" s="11">
        <v>121.0</v>
      </c>
    </row>
    <row r="2519">
      <c r="A2519" s="5">
        <v>2518.0</v>
      </c>
      <c r="B2519" s="5" t="s">
        <v>84</v>
      </c>
      <c r="C2519" s="12" t="s">
        <v>272</v>
      </c>
      <c r="D2519" s="9" t="s">
        <v>69</v>
      </c>
      <c r="E2519" s="8"/>
      <c r="F2519" s="11">
        <v>103.0</v>
      </c>
    </row>
    <row r="2520">
      <c r="A2520" s="5">
        <v>2519.0</v>
      </c>
      <c r="B2520" s="5" t="s">
        <v>84</v>
      </c>
      <c r="C2520" s="12" t="s">
        <v>272</v>
      </c>
      <c r="D2520" s="9" t="s">
        <v>73</v>
      </c>
      <c r="E2520" s="8"/>
      <c r="F2520" s="11">
        <v>103.0</v>
      </c>
    </row>
    <row r="2521">
      <c r="A2521" s="5">
        <v>2520.0</v>
      </c>
      <c r="B2521" s="5" t="s">
        <v>84</v>
      </c>
      <c r="C2521" s="12" t="s">
        <v>272</v>
      </c>
      <c r="D2521" s="9" t="s">
        <v>71</v>
      </c>
      <c r="E2521" s="8"/>
      <c r="F2521" s="11">
        <v>99.0</v>
      </c>
    </row>
    <row r="2522">
      <c r="A2522" s="5">
        <v>2521.0</v>
      </c>
      <c r="B2522" s="5" t="s">
        <v>84</v>
      </c>
      <c r="C2522" s="12" t="s">
        <v>272</v>
      </c>
      <c r="D2522" s="9" t="s">
        <v>68</v>
      </c>
      <c r="E2522" s="8"/>
      <c r="F2522" s="11">
        <v>15.0</v>
      </c>
    </row>
    <row r="2523">
      <c r="A2523" s="5">
        <v>2522.0</v>
      </c>
      <c r="B2523" s="5" t="s">
        <v>84</v>
      </c>
      <c r="C2523" s="12" t="s">
        <v>272</v>
      </c>
      <c r="D2523" s="9" t="s">
        <v>73</v>
      </c>
      <c r="E2523" s="8"/>
      <c r="F2523" s="11">
        <v>15.0</v>
      </c>
    </row>
    <row r="2524">
      <c r="A2524" s="5">
        <v>2523.0</v>
      </c>
      <c r="B2524" s="5" t="s">
        <v>77</v>
      </c>
      <c r="C2524" s="12" t="s">
        <v>273</v>
      </c>
      <c r="D2524" s="9" t="s">
        <v>60</v>
      </c>
      <c r="E2524" s="8"/>
      <c r="F2524" s="8"/>
    </row>
    <row r="2525">
      <c r="A2525" s="5">
        <v>2524.0</v>
      </c>
      <c r="B2525" s="5" t="s">
        <v>77</v>
      </c>
      <c r="C2525" s="12" t="s">
        <v>273</v>
      </c>
      <c r="D2525" s="9" t="s">
        <v>62</v>
      </c>
      <c r="E2525" s="8"/>
      <c r="F2525" s="8"/>
    </row>
    <row r="2526">
      <c r="A2526" s="5">
        <v>2525.0</v>
      </c>
      <c r="B2526" s="5" t="s">
        <v>77</v>
      </c>
      <c r="C2526" s="12" t="s">
        <v>273</v>
      </c>
      <c r="D2526" s="9" t="s">
        <v>63</v>
      </c>
      <c r="E2526" s="8"/>
      <c r="F2526" s="11">
        <v>3784.0</v>
      </c>
    </row>
    <row r="2527">
      <c r="A2527" s="5">
        <v>2526.0</v>
      </c>
      <c r="B2527" s="5" t="s">
        <v>77</v>
      </c>
      <c r="C2527" s="12" t="s">
        <v>273</v>
      </c>
      <c r="D2527" s="9" t="s">
        <v>64</v>
      </c>
      <c r="E2527" s="8"/>
      <c r="F2527" s="11">
        <v>3366.0</v>
      </c>
    </row>
    <row r="2528">
      <c r="A2528" s="5">
        <v>2527.0</v>
      </c>
      <c r="B2528" s="5" t="s">
        <v>77</v>
      </c>
      <c r="C2528" s="12" t="s">
        <v>273</v>
      </c>
      <c r="D2528" s="9" t="s">
        <v>66</v>
      </c>
      <c r="E2528" s="8"/>
      <c r="F2528" s="11">
        <v>3161.0</v>
      </c>
    </row>
    <row r="2529">
      <c r="A2529" s="5">
        <v>2528.0</v>
      </c>
      <c r="B2529" s="5" t="s">
        <v>77</v>
      </c>
      <c r="C2529" s="12" t="s">
        <v>273</v>
      </c>
      <c r="D2529" s="9" t="s">
        <v>70</v>
      </c>
      <c r="E2529" s="8"/>
      <c r="F2529" s="11">
        <v>3128.0</v>
      </c>
    </row>
    <row r="2530">
      <c r="A2530" s="5">
        <v>2529.0</v>
      </c>
      <c r="B2530" s="5" t="s">
        <v>77</v>
      </c>
      <c r="C2530" s="12" t="s">
        <v>273</v>
      </c>
      <c r="D2530" s="9" t="s">
        <v>66</v>
      </c>
      <c r="E2530" s="8"/>
      <c r="F2530" s="11">
        <v>2655.0</v>
      </c>
    </row>
    <row r="2531">
      <c r="A2531" s="5">
        <v>2530.0</v>
      </c>
      <c r="B2531" s="5" t="s">
        <v>77</v>
      </c>
      <c r="C2531" s="12" t="s">
        <v>273</v>
      </c>
      <c r="D2531" s="9" t="s">
        <v>72</v>
      </c>
      <c r="E2531" s="8"/>
      <c r="F2531" s="11">
        <v>2285.0</v>
      </c>
    </row>
    <row r="2532">
      <c r="A2532" s="5">
        <v>2531.0</v>
      </c>
      <c r="B2532" s="5" t="s">
        <v>77</v>
      </c>
      <c r="C2532" s="12" t="s">
        <v>273</v>
      </c>
      <c r="D2532" s="9" t="s">
        <v>69</v>
      </c>
      <c r="E2532" s="8"/>
      <c r="F2532" s="11">
        <v>1852.0</v>
      </c>
    </row>
    <row r="2533">
      <c r="A2533" s="5">
        <v>2532.0</v>
      </c>
      <c r="B2533" s="5" t="s">
        <v>77</v>
      </c>
      <c r="C2533" s="12" t="s">
        <v>273</v>
      </c>
      <c r="D2533" s="9" t="s">
        <v>73</v>
      </c>
      <c r="E2533" s="8"/>
      <c r="F2533" s="11">
        <v>1709.0</v>
      </c>
    </row>
    <row r="2534">
      <c r="A2534" s="5">
        <v>2533.0</v>
      </c>
      <c r="B2534" s="5" t="s">
        <v>77</v>
      </c>
      <c r="C2534" s="12" t="s">
        <v>273</v>
      </c>
      <c r="D2534" s="9" t="s">
        <v>71</v>
      </c>
      <c r="E2534" s="8"/>
      <c r="F2534" s="11">
        <v>1668.0</v>
      </c>
    </row>
    <row r="2535">
      <c r="A2535" s="5">
        <v>2534.0</v>
      </c>
      <c r="B2535" s="5" t="s">
        <v>77</v>
      </c>
      <c r="C2535" s="12" t="s">
        <v>273</v>
      </c>
      <c r="D2535" s="9" t="s">
        <v>69</v>
      </c>
      <c r="E2535" s="8"/>
      <c r="F2535" s="11">
        <v>1621.0</v>
      </c>
    </row>
    <row r="2536">
      <c r="A2536" s="5">
        <v>2535.0</v>
      </c>
      <c r="B2536" s="5" t="s">
        <v>77</v>
      </c>
      <c r="C2536" s="12" t="s">
        <v>273</v>
      </c>
      <c r="D2536" s="9" t="s">
        <v>73</v>
      </c>
      <c r="E2536" s="8"/>
      <c r="F2536" s="11">
        <v>1533.0</v>
      </c>
    </row>
    <row r="2537">
      <c r="A2537" s="5">
        <v>2536.0</v>
      </c>
      <c r="B2537" s="5" t="s">
        <v>75</v>
      </c>
      <c r="C2537" s="12" t="s">
        <v>274</v>
      </c>
      <c r="D2537" s="9" t="s">
        <v>60</v>
      </c>
      <c r="E2537" s="8"/>
      <c r="F2537" s="8"/>
    </row>
    <row r="2538">
      <c r="A2538" s="5">
        <v>2537.0</v>
      </c>
      <c r="B2538" s="5" t="s">
        <v>75</v>
      </c>
      <c r="C2538" s="12" t="s">
        <v>274</v>
      </c>
      <c r="D2538" s="9" t="s">
        <v>62</v>
      </c>
      <c r="E2538" s="11">
        <v>126438.0</v>
      </c>
      <c r="F2538" s="8"/>
    </row>
    <row r="2539">
      <c r="A2539" s="5">
        <v>2538.0</v>
      </c>
      <c r="B2539" s="5" t="s">
        <v>75</v>
      </c>
      <c r="C2539" s="12" t="s">
        <v>274</v>
      </c>
      <c r="D2539" s="9" t="s">
        <v>63</v>
      </c>
      <c r="E2539" s="11">
        <v>132308.0</v>
      </c>
      <c r="F2539" s="11">
        <v>304805.0</v>
      </c>
    </row>
    <row r="2540">
      <c r="A2540" s="5">
        <v>2539.0</v>
      </c>
      <c r="B2540" s="5" t="s">
        <v>75</v>
      </c>
      <c r="C2540" s="12" t="s">
        <v>274</v>
      </c>
      <c r="D2540" s="9" t="s">
        <v>64</v>
      </c>
      <c r="E2540" s="11">
        <v>114420.0</v>
      </c>
      <c r="F2540" s="11">
        <v>261813.0</v>
      </c>
    </row>
    <row r="2541">
      <c r="A2541" s="5">
        <v>2540.0</v>
      </c>
      <c r="B2541" s="5" t="s">
        <v>75</v>
      </c>
      <c r="C2541" s="12" t="s">
        <v>274</v>
      </c>
      <c r="D2541" s="9" t="s">
        <v>66</v>
      </c>
      <c r="E2541" s="11">
        <v>134562.0</v>
      </c>
      <c r="F2541" s="11">
        <v>323459.0</v>
      </c>
    </row>
    <row r="2542">
      <c r="A2542" s="5">
        <v>2541.0</v>
      </c>
      <c r="B2542" s="5" t="s">
        <v>75</v>
      </c>
      <c r="C2542" s="12" t="s">
        <v>274</v>
      </c>
      <c r="D2542" s="9" t="s">
        <v>70</v>
      </c>
      <c r="E2542" s="11">
        <v>137343.0</v>
      </c>
      <c r="F2542" s="11">
        <v>327595.0</v>
      </c>
    </row>
    <row r="2543">
      <c r="A2543" s="5">
        <v>2542.0</v>
      </c>
      <c r="B2543" s="5" t="s">
        <v>75</v>
      </c>
      <c r="C2543" s="12" t="s">
        <v>274</v>
      </c>
      <c r="D2543" s="9" t="s">
        <v>66</v>
      </c>
      <c r="E2543" s="11">
        <v>137333.0</v>
      </c>
      <c r="F2543" s="11">
        <v>326480.0</v>
      </c>
    </row>
    <row r="2544">
      <c r="A2544" s="5">
        <v>2543.0</v>
      </c>
      <c r="B2544" s="5" t="s">
        <v>75</v>
      </c>
      <c r="C2544" s="12" t="s">
        <v>274</v>
      </c>
      <c r="D2544" s="9" t="s">
        <v>72</v>
      </c>
      <c r="E2544" s="11">
        <v>142883.0</v>
      </c>
      <c r="F2544" s="11">
        <v>333869.0</v>
      </c>
    </row>
    <row r="2545">
      <c r="A2545" s="5">
        <v>2544.0</v>
      </c>
      <c r="B2545" s="5" t="s">
        <v>75</v>
      </c>
      <c r="C2545" s="12" t="s">
        <v>274</v>
      </c>
      <c r="D2545" s="9" t="s">
        <v>69</v>
      </c>
      <c r="E2545" s="11">
        <v>143843.0</v>
      </c>
      <c r="F2545" s="11">
        <v>343121.0</v>
      </c>
    </row>
    <row r="2546">
      <c r="A2546" s="5">
        <v>2545.0</v>
      </c>
      <c r="B2546" s="5" t="s">
        <v>75</v>
      </c>
      <c r="C2546" s="12" t="s">
        <v>274</v>
      </c>
      <c r="D2546" s="9" t="s">
        <v>73</v>
      </c>
      <c r="E2546" s="11">
        <v>144641.0</v>
      </c>
      <c r="F2546" s="11">
        <v>352259.0</v>
      </c>
    </row>
    <row r="2547">
      <c r="A2547" s="5">
        <v>2546.0</v>
      </c>
      <c r="B2547" s="5" t="s">
        <v>75</v>
      </c>
      <c r="C2547" s="12" t="s">
        <v>274</v>
      </c>
      <c r="D2547" s="9" t="s">
        <v>71</v>
      </c>
      <c r="E2547" s="11">
        <v>135601.0</v>
      </c>
      <c r="F2547" s="11">
        <v>318684.0</v>
      </c>
    </row>
    <row r="2548">
      <c r="A2548" s="5">
        <v>2547.0</v>
      </c>
      <c r="B2548" s="5" t="s">
        <v>75</v>
      </c>
      <c r="C2548" s="12" t="s">
        <v>274</v>
      </c>
      <c r="D2548" s="9" t="s">
        <v>69</v>
      </c>
      <c r="E2548" s="11">
        <v>134096.0</v>
      </c>
      <c r="F2548" s="11">
        <v>321651.0</v>
      </c>
    </row>
    <row r="2549">
      <c r="A2549" s="5">
        <v>2548.0</v>
      </c>
      <c r="B2549" s="5" t="s">
        <v>75</v>
      </c>
      <c r="C2549" s="12" t="s">
        <v>274</v>
      </c>
      <c r="D2549" s="9" t="s">
        <v>73</v>
      </c>
      <c r="E2549" s="11">
        <v>133794.0</v>
      </c>
      <c r="F2549" s="11">
        <v>320774.0</v>
      </c>
    </row>
    <row r="2550">
      <c r="A2550" s="5">
        <v>2549.0</v>
      </c>
      <c r="B2550" s="5" t="s">
        <v>93</v>
      </c>
      <c r="C2550" s="12" t="s">
        <v>275</v>
      </c>
      <c r="D2550" s="9" t="s">
        <v>60</v>
      </c>
      <c r="E2550" s="8"/>
      <c r="F2550" s="8"/>
    </row>
    <row r="2551">
      <c r="A2551" s="5">
        <v>2550.0</v>
      </c>
      <c r="B2551" s="5" t="s">
        <v>93</v>
      </c>
      <c r="C2551" s="12" t="s">
        <v>275</v>
      </c>
      <c r="D2551" s="9" t="s">
        <v>62</v>
      </c>
      <c r="E2551" s="11">
        <v>66108.0</v>
      </c>
      <c r="F2551" s="8"/>
    </row>
    <row r="2552">
      <c r="A2552" s="5">
        <v>2551.0</v>
      </c>
      <c r="B2552" s="5" t="s">
        <v>93</v>
      </c>
      <c r="C2552" s="12" t="s">
        <v>275</v>
      </c>
      <c r="D2552" s="9" t="s">
        <v>63</v>
      </c>
      <c r="E2552" s="11">
        <v>63099.0</v>
      </c>
      <c r="F2552" s="11">
        <v>167597.0</v>
      </c>
    </row>
    <row r="2553">
      <c r="A2553" s="5">
        <v>2552.0</v>
      </c>
      <c r="B2553" s="5" t="s">
        <v>93</v>
      </c>
      <c r="C2553" s="12" t="s">
        <v>275</v>
      </c>
      <c r="D2553" s="9" t="s">
        <v>64</v>
      </c>
      <c r="E2553" s="11">
        <v>60672.0</v>
      </c>
      <c r="F2553" s="11">
        <v>162602.0</v>
      </c>
    </row>
    <row r="2554">
      <c r="A2554" s="5">
        <v>2553.0</v>
      </c>
      <c r="B2554" s="5" t="s">
        <v>93</v>
      </c>
      <c r="C2554" s="12" t="s">
        <v>275</v>
      </c>
      <c r="D2554" s="9" t="s">
        <v>66</v>
      </c>
      <c r="E2554" s="11">
        <v>58347.0</v>
      </c>
      <c r="F2554" s="11">
        <v>158935.0</v>
      </c>
    </row>
    <row r="2555">
      <c r="A2555" s="5">
        <v>2554.0</v>
      </c>
      <c r="B2555" s="5" t="s">
        <v>93</v>
      </c>
      <c r="C2555" s="12" t="s">
        <v>275</v>
      </c>
      <c r="D2555" s="9" t="s">
        <v>70</v>
      </c>
      <c r="E2555" s="11">
        <v>51975.0</v>
      </c>
      <c r="F2555" s="11">
        <v>139405.0</v>
      </c>
    </row>
    <row r="2556">
      <c r="A2556" s="5">
        <v>2555.0</v>
      </c>
      <c r="B2556" s="5" t="s">
        <v>93</v>
      </c>
      <c r="C2556" s="12" t="s">
        <v>275</v>
      </c>
      <c r="D2556" s="9" t="s">
        <v>66</v>
      </c>
      <c r="E2556" s="11">
        <v>45911.0</v>
      </c>
      <c r="F2556" s="11">
        <v>123875.0</v>
      </c>
    </row>
    <row r="2557">
      <c r="A2557" s="5">
        <v>2556.0</v>
      </c>
      <c r="B2557" s="5" t="s">
        <v>93</v>
      </c>
      <c r="C2557" s="12" t="s">
        <v>275</v>
      </c>
      <c r="D2557" s="9" t="s">
        <v>72</v>
      </c>
      <c r="E2557" s="11">
        <v>43231.0</v>
      </c>
      <c r="F2557" s="11">
        <v>116149.0</v>
      </c>
    </row>
    <row r="2558">
      <c r="A2558" s="5">
        <v>2557.0</v>
      </c>
      <c r="B2558" s="5" t="s">
        <v>93</v>
      </c>
      <c r="C2558" s="12" t="s">
        <v>275</v>
      </c>
      <c r="D2558" s="9" t="s">
        <v>69</v>
      </c>
      <c r="E2558" s="11">
        <v>42310.0</v>
      </c>
      <c r="F2558" s="11">
        <v>113241.0</v>
      </c>
    </row>
    <row r="2559">
      <c r="A2559" s="5">
        <v>2558.0</v>
      </c>
      <c r="B2559" s="5" t="s">
        <v>93</v>
      </c>
      <c r="C2559" s="12" t="s">
        <v>275</v>
      </c>
      <c r="D2559" s="9" t="s">
        <v>73</v>
      </c>
      <c r="E2559" s="11">
        <v>40190.0</v>
      </c>
      <c r="F2559" s="11">
        <v>106842.0</v>
      </c>
    </row>
    <row r="2560">
      <c r="A2560" s="5">
        <v>2559.0</v>
      </c>
      <c r="B2560" s="5" t="s">
        <v>93</v>
      </c>
      <c r="C2560" s="12" t="s">
        <v>275</v>
      </c>
      <c r="D2560" s="9" t="s">
        <v>71</v>
      </c>
      <c r="E2560" s="11">
        <v>40578.0</v>
      </c>
      <c r="F2560" s="11">
        <v>84704.0</v>
      </c>
    </row>
    <row r="2561">
      <c r="A2561" s="5">
        <v>2560.0</v>
      </c>
      <c r="B2561" s="5" t="s">
        <v>93</v>
      </c>
      <c r="C2561" s="12" t="s">
        <v>275</v>
      </c>
      <c r="D2561" s="9" t="s">
        <v>69</v>
      </c>
      <c r="E2561" s="11">
        <v>37365.0</v>
      </c>
      <c r="F2561" s="11">
        <v>101415.0</v>
      </c>
    </row>
    <row r="2562">
      <c r="A2562" s="5">
        <v>2561.0</v>
      </c>
      <c r="B2562" s="5" t="s">
        <v>93</v>
      </c>
      <c r="C2562" s="12" t="s">
        <v>275</v>
      </c>
      <c r="D2562" s="9" t="s">
        <v>73</v>
      </c>
      <c r="E2562" s="11">
        <v>33944.0</v>
      </c>
      <c r="F2562" s="11">
        <v>112562.0</v>
      </c>
    </row>
    <row r="2563">
      <c r="A2563" s="5">
        <v>2562.0</v>
      </c>
      <c r="B2563" s="5" t="s">
        <v>75</v>
      </c>
      <c r="C2563" s="12" t="s">
        <v>276</v>
      </c>
      <c r="D2563" s="9" t="s">
        <v>60</v>
      </c>
      <c r="E2563" s="11">
        <v>192381.0</v>
      </c>
      <c r="F2563" s="8"/>
    </row>
    <row r="2564">
      <c r="A2564" s="5">
        <v>2563.0</v>
      </c>
      <c r="B2564" s="5" t="s">
        <v>75</v>
      </c>
      <c r="C2564" s="12" t="s">
        <v>276</v>
      </c>
      <c r="D2564" s="9" t="s">
        <v>62</v>
      </c>
      <c r="E2564" s="11">
        <v>188074.0</v>
      </c>
      <c r="F2564" s="8"/>
    </row>
    <row r="2565">
      <c r="A2565" s="5">
        <v>2564.0</v>
      </c>
      <c r="B2565" s="5" t="s">
        <v>75</v>
      </c>
      <c r="C2565" s="12" t="s">
        <v>276</v>
      </c>
      <c r="D2565" s="9" t="s">
        <v>63</v>
      </c>
      <c r="E2565" s="11">
        <v>201829.0</v>
      </c>
      <c r="F2565" s="11">
        <v>493505.0</v>
      </c>
    </row>
    <row r="2566">
      <c r="A2566" s="5">
        <v>2565.0</v>
      </c>
      <c r="B2566" s="5" t="s">
        <v>75</v>
      </c>
      <c r="C2566" s="12" t="s">
        <v>276</v>
      </c>
      <c r="D2566" s="9" t="s">
        <v>64</v>
      </c>
      <c r="E2566" s="11">
        <v>196485.0</v>
      </c>
      <c r="F2566" s="11">
        <v>475108.0</v>
      </c>
    </row>
    <row r="2567">
      <c r="A2567" s="5">
        <v>2566.0</v>
      </c>
      <c r="B2567" s="5" t="s">
        <v>75</v>
      </c>
      <c r="C2567" s="12" t="s">
        <v>276</v>
      </c>
      <c r="D2567" s="9" t="s">
        <v>66</v>
      </c>
      <c r="E2567" s="11">
        <v>208209.0</v>
      </c>
      <c r="F2567" s="11">
        <v>522467.0</v>
      </c>
    </row>
    <row r="2568">
      <c r="A2568" s="5">
        <v>2567.0</v>
      </c>
      <c r="B2568" s="5" t="s">
        <v>75</v>
      </c>
      <c r="C2568" s="12" t="s">
        <v>276</v>
      </c>
      <c r="D2568" s="9" t="s">
        <v>70</v>
      </c>
      <c r="E2568" s="11">
        <v>210993.0</v>
      </c>
      <c r="F2568" s="11">
        <v>528906.0</v>
      </c>
    </row>
    <row r="2569">
      <c r="A2569" s="5">
        <v>2568.0</v>
      </c>
      <c r="B2569" s="5" t="s">
        <v>75</v>
      </c>
      <c r="C2569" s="12" t="s">
        <v>276</v>
      </c>
      <c r="D2569" s="9" t="s">
        <v>66</v>
      </c>
      <c r="E2569" s="11">
        <v>218961.0</v>
      </c>
      <c r="F2569" s="11">
        <v>542041.0</v>
      </c>
    </row>
    <row r="2570">
      <c r="A2570" s="5">
        <v>2569.0</v>
      </c>
      <c r="B2570" s="5" t="s">
        <v>75</v>
      </c>
      <c r="C2570" s="12" t="s">
        <v>276</v>
      </c>
      <c r="D2570" s="9" t="s">
        <v>72</v>
      </c>
      <c r="E2570" s="11">
        <v>222638.0</v>
      </c>
      <c r="F2570" s="11">
        <v>541986.0</v>
      </c>
    </row>
    <row r="2571">
      <c r="A2571" s="5">
        <v>2570.0</v>
      </c>
      <c r="B2571" s="5" t="s">
        <v>75</v>
      </c>
      <c r="C2571" s="12" t="s">
        <v>276</v>
      </c>
      <c r="D2571" s="9" t="s">
        <v>69</v>
      </c>
      <c r="E2571" s="11">
        <v>221558.0</v>
      </c>
      <c r="F2571" s="11">
        <v>540409.0</v>
      </c>
    </row>
    <row r="2572">
      <c r="A2572" s="5">
        <v>2571.0</v>
      </c>
      <c r="B2572" s="5" t="s">
        <v>75</v>
      </c>
      <c r="C2572" s="12" t="s">
        <v>276</v>
      </c>
      <c r="D2572" s="9" t="s">
        <v>73</v>
      </c>
      <c r="E2572" s="11">
        <v>222080.0</v>
      </c>
      <c r="F2572" s="11">
        <v>540640.0</v>
      </c>
    </row>
    <row r="2573">
      <c r="A2573" s="5">
        <v>2572.0</v>
      </c>
      <c r="B2573" s="5" t="s">
        <v>75</v>
      </c>
      <c r="C2573" s="12" t="s">
        <v>276</v>
      </c>
      <c r="D2573" s="9" t="s">
        <v>71</v>
      </c>
      <c r="E2573" s="11">
        <v>218306.0</v>
      </c>
      <c r="F2573" s="11">
        <v>531939.0</v>
      </c>
    </row>
    <row r="2574">
      <c r="A2574" s="5">
        <v>2573.0</v>
      </c>
      <c r="B2574" s="5" t="s">
        <v>75</v>
      </c>
      <c r="C2574" s="12" t="s">
        <v>276</v>
      </c>
      <c r="D2574" s="9" t="s">
        <v>69</v>
      </c>
      <c r="E2574" s="11">
        <v>223770.0</v>
      </c>
      <c r="F2574" s="11">
        <v>550552.0</v>
      </c>
    </row>
    <row r="2575">
      <c r="A2575" s="5">
        <v>2574.0</v>
      </c>
      <c r="B2575" s="5" t="s">
        <v>75</v>
      </c>
      <c r="C2575" s="12" t="s">
        <v>276</v>
      </c>
      <c r="D2575" s="9" t="s">
        <v>73</v>
      </c>
      <c r="E2575" s="11">
        <v>222940.0</v>
      </c>
      <c r="F2575" s="11">
        <v>543662.0</v>
      </c>
    </row>
    <row r="2576">
      <c r="A2576" s="5">
        <v>2575.0</v>
      </c>
      <c r="B2576" s="5" t="s">
        <v>84</v>
      </c>
      <c r="C2576" s="12" t="s">
        <v>277</v>
      </c>
      <c r="D2576" s="9" t="s">
        <v>60</v>
      </c>
      <c r="E2576" s="11">
        <v>2132446.0</v>
      </c>
      <c r="F2576" s="8"/>
    </row>
    <row r="2577">
      <c r="A2577" s="5">
        <v>2576.0</v>
      </c>
      <c r="B2577" s="5" t="s">
        <v>84</v>
      </c>
      <c r="C2577" s="12" t="s">
        <v>277</v>
      </c>
      <c r="D2577" s="9" t="s">
        <v>62</v>
      </c>
      <c r="E2577" s="11">
        <v>2191193.0</v>
      </c>
      <c r="F2577" s="8"/>
    </row>
    <row r="2578">
      <c r="A2578" s="5">
        <v>2577.0</v>
      </c>
      <c r="B2578" s="5" t="s">
        <v>84</v>
      </c>
      <c r="C2578" s="12" t="s">
        <v>277</v>
      </c>
      <c r="D2578" s="9" t="s">
        <v>63</v>
      </c>
      <c r="E2578" s="11">
        <v>2215504.0</v>
      </c>
      <c r="F2578" s="11">
        <v>5433057.0</v>
      </c>
    </row>
    <row r="2579">
      <c r="A2579" s="5">
        <v>2578.0</v>
      </c>
      <c r="B2579" s="5" t="s">
        <v>84</v>
      </c>
      <c r="C2579" s="12" t="s">
        <v>277</v>
      </c>
      <c r="D2579" s="9" t="s">
        <v>64</v>
      </c>
      <c r="E2579" s="11">
        <v>2164458.0</v>
      </c>
      <c r="F2579" s="11">
        <v>5311840.0</v>
      </c>
    </row>
    <row r="2580">
      <c r="A2580" s="5">
        <v>2579.0</v>
      </c>
      <c r="B2580" s="5" t="s">
        <v>84</v>
      </c>
      <c r="C2580" s="12" t="s">
        <v>277</v>
      </c>
      <c r="D2580" s="9" t="s">
        <v>66</v>
      </c>
      <c r="E2580" s="11">
        <v>2277034.0</v>
      </c>
      <c r="F2580" s="11">
        <v>5656839.0</v>
      </c>
    </row>
    <row r="2581">
      <c r="A2581" s="5">
        <v>2580.0</v>
      </c>
      <c r="B2581" s="5" t="s">
        <v>84</v>
      </c>
      <c r="C2581" s="12" t="s">
        <v>277</v>
      </c>
      <c r="D2581" s="9" t="s">
        <v>70</v>
      </c>
      <c r="E2581" s="11">
        <v>2337014.0</v>
      </c>
      <c r="F2581" s="11">
        <v>5828697.0</v>
      </c>
    </row>
    <row r="2582">
      <c r="A2582" s="5">
        <v>2581.0</v>
      </c>
      <c r="B2582" s="5" t="s">
        <v>84</v>
      </c>
      <c r="C2582" s="12" t="s">
        <v>277</v>
      </c>
      <c r="D2582" s="9" t="s">
        <v>66</v>
      </c>
      <c r="E2582" s="11">
        <v>2296686.0</v>
      </c>
      <c r="F2582" s="11">
        <v>5737616.0</v>
      </c>
    </row>
    <row r="2583">
      <c r="A2583" s="5">
        <v>2582.0</v>
      </c>
      <c r="B2583" s="5" t="s">
        <v>84</v>
      </c>
      <c r="C2583" s="12" t="s">
        <v>277</v>
      </c>
      <c r="D2583" s="9" t="s">
        <v>72</v>
      </c>
      <c r="E2583" s="11">
        <v>2318861.0</v>
      </c>
      <c r="F2583" s="11">
        <v>5826394.0</v>
      </c>
    </row>
    <row r="2584">
      <c r="A2584" s="5">
        <v>2583.0</v>
      </c>
      <c r="B2584" s="5" t="s">
        <v>84</v>
      </c>
      <c r="C2584" s="12" t="s">
        <v>277</v>
      </c>
      <c r="D2584" s="9" t="s">
        <v>69</v>
      </c>
      <c r="E2584" s="11">
        <v>2307819.0</v>
      </c>
      <c r="F2584" s="11">
        <v>5790765.0</v>
      </c>
    </row>
    <row r="2585">
      <c r="A2585" s="5">
        <v>2584.0</v>
      </c>
      <c r="B2585" s="5" t="s">
        <v>84</v>
      </c>
      <c r="C2585" s="12" t="s">
        <v>277</v>
      </c>
      <c r="D2585" s="9" t="s">
        <v>73</v>
      </c>
      <c r="E2585" s="11">
        <v>2261151.0</v>
      </c>
      <c r="F2585" s="11">
        <v>5681664.0</v>
      </c>
    </row>
    <row r="2586">
      <c r="A2586" s="5">
        <v>2585.0</v>
      </c>
      <c r="B2586" s="5" t="s">
        <v>84</v>
      </c>
      <c r="C2586" s="12" t="s">
        <v>277</v>
      </c>
      <c r="D2586" s="9" t="s">
        <v>71</v>
      </c>
      <c r="E2586" s="11">
        <v>2255957.0</v>
      </c>
      <c r="F2586" s="11">
        <v>5650950.0</v>
      </c>
    </row>
    <row r="2587">
      <c r="A2587" s="5">
        <v>2586.0</v>
      </c>
      <c r="B2587" s="5" t="s">
        <v>84</v>
      </c>
      <c r="C2587" s="12" t="s">
        <v>277</v>
      </c>
      <c r="D2587" s="9" t="s">
        <v>69</v>
      </c>
      <c r="E2587" s="11">
        <v>2230817.0</v>
      </c>
      <c r="F2587" s="11">
        <v>5601405.0</v>
      </c>
    </row>
    <row r="2588">
      <c r="A2588" s="5">
        <v>2587.0</v>
      </c>
      <c r="B2588" s="5" t="s">
        <v>84</v>
      </c>
      <c r="C2588" s="12" t="s">
        <v>277</v>
      </c>
      <c r="D2588" s="9" t="s">
        <v>73</v>
      </c>
      <c r="E2588" s="11">
        <v>2273332.0</v>
      </c>
      <c r="F2588" s="11">
        <v>5713560.0</v>
      </c>
    </row>
    <row r="2589">
      <c r="A2589" s="5">
        <v>2588.0</v>
      </c>
      <c r="B2589" s="5" t="s">
        <v>84</v>
      </c>
      <c r="C2589" s="12" t="s">
        <v>278</v>
      </c>
      <c r="D2589" s="9" t="s">
        <v>60</v>
      </c>
      <c r="E2589" s="8"/>
      <c r="F2589" s="8"/>
    </row>
    <row r="2590">
      <c r="A2590" s="5">
        <v>2589.0</v>
      </c>
      <c r="B2590" s="5" t="s">
        <v>84</v>
      </c>
      <c r="C2590" s="12" t="s">
        <v>278</v>
      </c>
      <c r="D2590" s="9" t="s">
        <v>62</v>
      </c>
      <c r="E2590" s="11">
        <v>4430.0</v>
      </c>
      <c r="F2590" s="8"/>
    </row>
    <row r="2591">
      <c r="A2591" s="5">
        <v>2590.0</v>
      </c>
      <c r="B2591" s="5" t="s">
        <v>84</v>
      </c>
      <c r="C2591" s="12" t="s">
        <v>278</v>
      </c>
      <c r="D2591" s="9" t="s">
        <v>63</v>
      </c>
      <c r="E2591" s="11">
        <v>4174.0</v>
      </c>
      <c r="F2591" s="11">
        <v>6645.0</v>
      </c>
    </row>
    <row r="2592">
      <c r="A2592" s="5">
        <v>2591.0</v>
      </c>
      <c r="B2592" s="5" t="s">
        <v>84</v>
      </c>
      <c r="C2592" s="12" t="s">
        <v>278</v>
      </c>
      <c r="D2592" s="9" t="s">
        <v>64</v>
      </c>
      <c r="E2592" s="11">
        <v>4134.0</v>
      </c>
      <c r="F2592" s="11">
        <v>7891.0</v>
      </c>
    </row>
    <row r="2593">
      <c r="A2593" s="5">
        <v>2592.0</v>
      </c>
      <c r="B2593" s="5" t="s">
        <v>84</v>
      </c>
      <c r="C2593" s="12" t="s">
        <v>278</v>
      </c>
      <c r="D2593" s="9" t="s">
        <v>66</v>
      </c>
      <c r="E2593" s="11">
        <v>4153.0</v>
      </c>
      <c r="F2593" s="11">
        <v>8331.0</v>
      </c>
    </row>
    <row r="2594">
      <c r="A2594" s="5">
        <v>2593.0</v>
      </c>
      <c r="B2594" s="5" t="s">
        <v>84</v>
      </c>
      <c r="C2594" s="12" t="s">
        <v>278</v>
      </c>
      <c r="D2594" s="9" t="s">
        <v>70</v>
      </c>
      <c r="E2594" s="11">
        <v>3172.0</v>
      </c>
      <c r="F2594" s="11">
        <v>5999.0</v>
      </c>
    </row>
    <row r="2595">
      <c r="A2595" s="5">
        <v>2594.0</v>
      </c>
      <c r="B2595" s="5" t="s">
        <v>84</v>
      </c>
      <c r="C2595" s="12" t="s">
        <v>278</v>
      </c>
      <c r="D2595" s="9" t="s">
        <v>66</v>
      </c>
      <c r="E2595" s="11">
        <v>3183.0</v>
      </c>
      <c r="F2595" s="11">
        <v>6648.0</v>
      </c>
    </row>
    <row r="2596">
      <c r="A2596" s="5">
        <v>2595.0</v>
      </c>
      <c r="B2596" s="5" t="s">
        <v>84</v>
      </c>
      <c r="C2596" s="12" t="s">
        <v>278</v>
      </c>
      <c r="D2596" s="9" t="s">
        <v>72</v>
      </c>
      <c r="E2596" s="11">
        <v>2957.0</v>
      </c>
      <c r="F2596" s="11">
        <v>5776.0</v>
      </c>
    </row>
    <row r="2597">
      <c r="A2597" s="5">
        <v>2596.0</v>
      </c>
      <c r="B2597" s="5" t="s">
        <v>84</v>
      </c>
      <c r="C2597" s="12" t="s">
        <v>278</v>
      </c>
      <c r="D2597" s="9" t="s">
        <v>69</v>
      </c>
      <c r="E2597" s="11">
        <v>2869.0</v>
      </c>
      <c r="F2597" s="11">
        <v>5611.0</v>
      </c>
    </row>
    <row r="2598">
      <c r="A2598" s="5">
        <v>2597.0</v>
      </c>
      <c r="B2598" s="5" t="s">
        <v>84</v>
      </c>
      <c r="C2598" s="12" t="s">
        <v>278</v>
      </c>
      <c r="D2598" s="9" t="s">
        <v>73</v>
      </c>
      <c r="E2598" s="11">
        <v>2523.0</v>
      </c>
      <c r="F2598" s="11">
        <v>4598.0</v>
      </c>
    </row>
    <row r="2599">
      <c r="A2599" s="5">
        <v>2598.0</v>
      </c>
      <c r="B2599" s="5" t="s">
        <v>84</v>
      </c>
      <c r="C2599" s="12" t="s">
        <v>278</v>
      </c>
      <c r="D2599" s="9" t="s">
        <v>71</v>
      </c>
      <c r="E2599" s="11">
        <v>2538.0</v>
      </c>
      <c r="F2599" s="11">
        <v>4620.0</v>
      </c>
    </row>
    <row r="2600">
      <c r="A2600" s="5">
        <v>2599.0</v>
      </c>
      <c r="B2600" s="5" t="s">
        <v>84</v>
      </c>
      <c r="C2600" s="12" t="s">
        <v>278</v>
      </c>
      <c r="D2600" s="9" t="s">
        <v>69</v>
      </c>
      <c r="E2600" s="11">
        <v>2712.0</v>
      </c>
      <c r="F2600" s="11">
        <v>5090.0</v>
      </c>
    </row>
    <row r="2601">
      <c r="A2601" s="5">
        <v>2600.0</v>
      </c>
      <c r="B2601" s="5" t="s">
        <v>84</v>
      </c>
      <c r="C2601" s="12" t="s">
        <v>278</v>
      </c>
      <c r="D2601" s="9" t="s">
        <v>73</v>
      </c>
      <c r="E2601" s="11">
        <v>3092.0</v>
      </c>
      <c r="F2601" s="11">
        <v>5306.0</v>
      </c>
    </row>
    <row r="2602">
      <c r="A2602" s="5">
        <v>2601.0</v>
      </c>
      <c r="B2602" s="5" t="s">
        <v>61</v>
      </c>
      <c r="C2602" s="12" t="s">
        <v>279</v>
      </c>
      <c r="D2602" s="9" t="s">
        <v>60</v>
      </c>
      <c r="E2602" s="8"/>
      <c r="F2602" s="8"/>
    </row>
    <row r="2603">
      <c r="A2603" s="5">
        <v>2602.0</v>
      </c>
      <c r="B2603" s="5" t="s">
        <v>61</v>
      </c>
      <c r="C2603" s="12" t="s">
        <v>279</v>
      </c>
      <c r="D2603" s="9" t="s">
        <v>62</v>
      </c>
      <c r="E2603" s="11">
        <v>47755.0</v>
      </c>
      <c r="F2603" s="8"/>
    </row>
    <row r="2604">
      <c r="A2604" s="5">
        <v>2603.0</v>
      </c>
      <c r="B2604" s="5" t="s">
        <v>61</v>
      </c>
      <c r="C2604" s="12" t="s">
        <v>279</v>
      </c>
      <c r="D2604" s="9" t="s">
        <v>63</v>
      </c>
      <c r="E2604" s="11">
        <v>43747.0</v>
      </c>
      <c r="F2604" s="11">
        <v>104443.0</v>
      </c>
    </row>
    <row r="2605">
      <c r="A2605" s="5">
        <v>2604.0</v>
      </c>
      <c r="B2605" s="5" t="s">
        <v>61</v>
      </c>
      <c r="C2605" s="12" t="s">
        <v>279</v>
      </c>
      <c r="D2605" s="9" t="s">
        <v>64</v>
      </c>
      <c r="E2605" s="11">
        <v>44831.0</v>
      </c>
      <c r="F2605" s="11">
        <v>116607.0</v>
      </c>
    </row>
    <row r="2606">
      <c r="A2606" s="5">
        <v>2605.0</v>
      </c>
      <c r="B2606" s="5" t="s">
        <v>61</v>
      </c>
      <c r="C2606" s="12" t="s">
        <v>279</v>
      </c>
      <c r="D2606" s="9" t="s">
        <v>66</v>
      </c>
      <c r="E2606" s="11">
        <v>50512.0</v>
      </c>
      <c r="F2606" s="11">
        <v>120039.0</v>
      </c>
    </row>
    <row r="2607">
      <c r="A2607" s="5">
        <v>2606.0</v>
      </c>
      <c r="B2607" s="5" t="s">
        <v>61</v>
      </c>
      <c r="C2607" s="12" t="s">
        <v>279</v>
      </c>
      <c r="D2607" s="9" t="s">
        <v>70</v>
      </c>
      <c r="E2607" s="11">
        <v>48718.0</v>
      </c>
      <c r="F2607" s="11">
        <v>116944.0</v>
      </c>
    </row>
    <row r="2608">
      <c r="A2608" s="5">
        <v>2607.0</v>
      </c>
      <c r="B2608" s="5" t="s">
        <v>61</v>
      </c>
      <c r="C2608" s="12" t="s">
        <v>279</v>
      </c>
      <c r="D2608" s="9" t="s">
        <v>66</v>
      </c>
      <c r="E2608" s="11">
        <v>48872.0</v>
      </c>
      <c r="F2608" s="11">
        <v>116530.0</v>
      </c>
    </row>
    <row r="2609">
      <c r="A2609" s="5">
        <v>2608.0</v>
      </c>
      <c r="B2609" s="5" t="s">
        <v>61</v>
      </c>
      <c r="C2609" s="12" t="s">
        <v>279</v>
      </c>
      <c r="D2609" s="9" t="s">
        <v>72</v>
      </c>
      <c r="E2609" s="11">
        <v>46965.0</v>
      </c>
      <c r="F2609" s="11">
        <v>111888.0</v>
      </c>
    </row>
    <row r="2610">
      <c r="A2610" s="5">
        <v>2609.0</v>
      </c>
      <c r="B2610" s="5" t="s">
        <v>61</v>
      </c>
      <c r="C2610" s="12" t="s">
        <v>279</v>
      </c>
      <c r="D2610" s="9" t="s">
        <v>69</v>
      </c>
      <c r="E2610" s="11">
        <v>50678.0</v>
      </c>
      <c r="F2610" s="11">
        <v>119306.0</v>
      </c>
    </row>
    <row r="2611">
      <c r="A2611" s="5">
        <v>2610.0</v>
      </c>
      <c r="B2611" s="5" t="s">
        <v>61</v>
      </c>
      <c r="C2611" s="12" t="s">
        <v>279</v>
      </c>
      <c r="D2611" s="9" t="s">
        <v>73</v>
      </c>
      <c r="E2611" s="11">
        <v>51412.0</v>
      </c>
      <c r="F2611" s="11">
        <v>122683.0</v>
      </c>
    </row>
    <row r="2612">
      <c r="A2612" s="5">
        <v>2611.0</v>
      </c>
      <c r="B2612" s="5" t="s">
        <v>61</v>
      </c>
      <c r="C2612" s="12" t="s">
        <v>279</v>
      </c>
      <c r="D2612" s="9" t="s">
        <v>71</v>
      </c>
      <c r="E2612" s="11">
        <v>53188.0</v>
      </c>
      <c r="F2612" s="11">
        <v>126915.0</v>
      </c>
    </row>
    <row r="2613">
      <c r="A2613" s="5">
        <v>2612.0</v>
      </c>
      <c r="B2613" s="5" t="s">
        <v>61</v>
      </c>
      <c r="C2613" s="12" t="s">
        <v>279</v>
      </c>
      <c r="D2613" s="9" t="s">
        <v>69</v>
      </c>
      <c r="E2613" s="11">
        <v>51070.0</v>
      </c>
      <c r="F2613" s="11">
        <v>122038.0</v>
      </c>
    </row>
    <row r="2614">
      <c r="A2614" s="5">
        <v>2613.0</v>
      </c>
      <c r="B2614" s="5" t="s">
        <v>61</v>
      </c>
      <c r="C2614" s="12" t="s">
        <v>279</v>
      </c>
      <c r="D2614" s="9" t="s">
        <v>73</v>
      </c>
      <c r="E2614" s="11">
        <v>50757.0</v>
      </c>
      <c r="F2614" s="11">
        <v>119951.0</v>
      </c>
    </row>
    <row r="2615">
      <c r="A2615" s="5">
        <v>2614.0</v>
      </c>
      <c r="B2615" s="5" t="s">
        <v>80</v>
      </c>
      <c r="C2615" s="12" t="s">
        <v>280</v>
      </c>
      <c r="D2615" s="9" t="s">
        <v>60</v>
      </c>
      <c r="E2615" s="8"/>
      <c r="F2615" s="8"/>
    </row>
    <row r="2616">
      <c r="A2616" s="5">
        <v>2615.0</v>
      </c>
      <c r="B2616" s="5" t="s">
        <v>80</v>
      </c>
      <c r="C2616" s="12" t="s">
        <v>280</v>
      </c>
      <c r="D2616" s="9" t="s">
        <v>62</v>
      </c>
      <c r="E2616" s="8"/>
      <c r="F2616" s="8"/>
    </row>
    <row r="2617">
      <c r="A2617" s="5">
        <v>2616.0</v>
      </c>
      <c r="B2617" s="5" t="s">
        <v>80</v>
      </c>
      <c r="C2617" s="12" t="s">
        <v>280</v>
      </c>
      <c r="D2617" s="9" t="s">
        <v>63</v>
      </c>
      <c r="E2617" s="8"/>
      <c r="F2617" s="11">
        <v>117.0</v>
      </c>
    </row>
    <row r="2618">
      <c r="A2618" s="5">
        <v>2617.0</v>
      </c>
      <c r="B2618" s="5" t="s">
        <v>80</v>
      </c>
      <c r="C2618" s="12" t="s">
        <v>280</v>
      </c>
      <c r="D2618" s="9" t="s">
        <v>64</v>
      </c>
      <c r="E2618" s="8"/>
      <c r="F2618" s="11">
        <v>117.0</v>
      </c>
    </row>
    <row r="2619">
      <c r="A2619" s="5">
        <v>2618.0</v>
      </c>
      <c r="B2619" s="5" t="s">
        <v>80</v>
      </c>
      <c r="C2619" s="12" t="s">
        <v>280</v>
      </c>
      <c r="D2619" s="9" t="s">
        <v>66</v>
      </c>
      <c r="E2619" s="8"/>
      <c r="F2619" s="11">
        <v>92.0</v>
      </c>
    </row>
    <row r="2620">
      <c r="A2620" s="5">
        <v>2619.0</v>
      </c>
      <c r="B2620" s="5" t="s">
        <v>80</v>
      </c>
      <c r="C2620" s="12" t="s">
        <v>280</v>
      </c>
      <c r="D2620" s="9" t="s">
        <v>70</v>
      </c>
      <c r="E2620" s="11">
        <v>35.0</v>
      </c>
      <c r="F2620" s="11">
        <v>95.0</v>
      </c>
    </row>
    <row r="2621">
      <c r="A2621" s="5">
        <v>2620.0</v>
      </c>
      <c r="B2621" s="5" t="s">
        <v>80</v>
      </c>
      <c r="C2621" s="12" t="s">
        <v>280</v>
      </c>
      <c r="D2621" s="9" t="s">
        <v>66</v>
      </c>
      <c r="E2621" s="11">
        <v>31.0</v>
      </c>
      <c r="F2621" s="11">
        <v>48.0</v>
      </c>
    </row>
    <row r="2622">
      <c r="A2622" s="5">
        <v>2621.0</v>
      </c>
      <c r="B2622" s="5" t="s">
        <v>80</v>
      </c>
      <c r="C2622" s="12" t="s">
        <v>280</v>
      </c>
      <c r="D2622" s="9" t="s">
        <v>72</v>
      </c>
      <c r="E2622" s="11">
        <v>30.0</v>
      </c>
      <c r="F2622" s="11">
        <v>55.0</v>
      </c>
    </row>
    <row r="2623">
      <c r="A2623" s="5">
        <v>2622.0</v>
      </c>
      <c r="B2623" s="5" t="s">
        <v>80</v>
      </c>
      <c r="C2623" s="12" t="s">
        <v>280</v>
      </c>
      <c r="D2623" s="9" t="s">
        <v>69</v>
      </c>
      <c r="E2623" s="11">
        <v>30.0</v>
      </c>
      <c r="F2623" s="11">
        <v>55.0</v>
      </c>
    </row>
    <row r="2624">
      <c r="A2624" s="5">
        <v>2623.0</v>
      </c>
      <c r="B2624" s="5" t="s">
        <v>80</v>
      </c>
      <c r="C2624" s="12" t="s">
        <v>280</v>
      </c>
      <c r="D2624" s="9" t="s">
        <v>73</v>
      </c>
      <c r="E2624" s="8"/>
      <c r="F2624" s="11">
        <v>81.0</v>
      </c>
    </row>
    <row r="2625">
      <c r="A2625" s="5">
        <v>2624.0</v>
      </c>
      <c r="B2625" s="5" t="s">
        <v>80</v>
      </c>
      <c r="C2625" s="12" t="s">
        <v>280</v>
      </c>
      <c r="D2625" s="9" t="s">
        <v>71</v>
      </c>
      <c r="E2625" s="8"/>
      <c r="F2625" s="11">
        <v>84.0</v>
      </c>
    </row>
    <row r="2626">
      <c r="A2626" s="5">
        <v>2625.0</v>
      </c>
      <c r="B2626" s="5" t="s">
        <v>80</v>
      </c>
      <c r="C2626" s="12" t="s">
        <v>280</v>
      </c>
      <c r="D2626" s="9" t="s">
        <v>69</v>
      </c>
      <c r="E2626" s="8"/>
      <c r="F2626" s="11">
        <v>88.0</v>
      </c>
    </row>
    <row r="2627">
      <c r="A2627" s="5">
        <v>2626.0</v>
      </c>
      <c r="B2627" s="5" t="s">
        <v>80</v>
      </c>
      <c r="C2627" s="12" t="s">
        <v>280</v>
      </c>
      <c r="D2627" s="9" t="s">
        <v>73</v>
      </c>
      <c r="E2627" s="8"/>
      <c r="F2627" s="11">
        <v>81.0</v>
      </c>
    </row>
    <row r="2628">
      <c r="A2628" s="5">
        <v>2627.0</v>
      </c>
      <c r="B2628" s="5" t="s">
        <v>84</v>
      </c>
      <c r="C2628" s="12" t="s">
        <v>281</v>
      </c>
      <c r="D2628" s="9" t="s">
        <v>60</v>
      </c>
      <c r="E2628" s="8"/>
      <c r="F2628" s="8"/>
    </row>
    <row r="2629">
      <c r="A2629" s="5">
        <v>2628.0</v>
      </c>
      <c r="B2629" s="5" t="s">
        <v>84</v>
      </c>
      <c r="C2629" s="12" t="s">
        <v>281</v>
      </c>
      <c r="D2629" s="9" t="s">
        <v>62</v>
      </c>
      <c r="E2629" s="11">
        <v>70198.0</v>
      </c>
      <c r="F2629" s="8"/>
    </row>
    <row r="2630">
      <c r="A2630" s="5">
        <v>2629.0</v>
      </c>
      <c r="B2630" s="5" t="s">
        <v>84</v>
      </c>
      <c r="C2630" s="12" t="s">
        <v>281</v>
      </c>
      <c r="D2630" s="9" t="s">
        <v>63</v>
      </c>
      <c r="E2630" s="11">
        <v>75502.0</v>
      </c>
      <c r="F2630" s="11">
        <v>201747.0</v>
      </c>
    </row>
    <row r="2631">
      <c r="A2631" s="5">
        <v>2630.0</v>
      </c>
      <c r="B2631" s="5" t="s">
        <v>84</v>
      </c>
      <c r="C2631" s="12" t="s">
        <v>281</v>
      </c>
      <c r="D2631" s="9" t="s">
        <v>64</v>
      </c>
      <c r="E2631" s="11">
        <v>69597.0</v>
      </c>
      <c r="F2631" s="11">
        <v>185341.0</v>
      </c>
    </row>
    <row r="2632">
      <c r="A2632" s="5">
        <v>2631.0</v>
      </c>
      <c r="B2632" s="5" t="s">
        <v>84</v>
      </c>
      <c r="C2632" s="12" t="s">
        <v>281</v>
      </c>
      <c r="D2632" s="9" t="s">
        <v>66</v>
      </c>
      <c r="E2632" s="11">
        <v>69597.0</v>
      </c>
      <c r="F2632" s="11">
        <v>186812.0</v>
      </c>
    </row>
    <row r="2633">
      <c r="A2633" s="5">
        <v>2632.0</v>
      </c>
      <c r="B2633" s="5" t="s">
        <v>84</v>
      </c>
      <c r="C2633" s="12" t="s">
        <v>281</v>
      </c>
      <c r="D2633" s="9" t="s">
        <v>70</v>
      </c>
      <c r="E2633" s="11">
        <v>62934.0</v>
      </c>
      <c r="F2633" s="11">
        <v>175785.0</v>
      </c>
    </row>
    <row r="2634">
      <c r="A2634" s="5">
        <v>2633.0</v>
      </c>
      <c r="B2634" s="5" t="s">
        <v>84</v>
      </c>
      <c r="C2634" s="12" t="s">
        <v>281</v>
      </c>
      <c r="D2634" s="9" t="s">
        <v>66</v>
      </c>
      <c r="E2634" s="11">
        <v>63705.0</v>
      </c>
      <c r="F2634" s="11">
        <v>171825.0</v>
      </c>
    </row>
    <row r="2635">
      <c r="A2635" s="5">
        <v>2634.0</v>
      </c>
      <c r="B2635" s="5" t="s">
        <v>84</v>
      </c>
      <c r="C2635" s="12" t="s">
        <v>281</v>
      </c>
      <c r="D2635" s="9" t="s">
        <v>72</v>
      </c>
      <c r="E2635" s="11">
        <v>66558.0</v>
      </c>
      <c r="F2635" s="11">
        <v>181630.0</v>
      </c>
    </row>
    <row r="2636">
      <c r="A2636" s="5">
        <v>2635.0</v>
      </c>
      <c r="B2636" s="5" t="s">
        <v>84</v>
      </c>
      <c r="C2636" s="12" t="s">
        <v>281</v>
      </c>
      <c r="D2636" s="9" t="s">
        <v>69</v>
      </c>
      <c r="E2636" s="11">
        <v>56441.0</v>
      </c>
      <c r="F2636" s="11">
        <v>168268.0</v>
      </c>
    </row>
    <row r="2637">
      <c r="A2637" s="5">
        <v>2636.0</v>
      </c>
      <c r="B2637" s="5" t="s">
        <v>84</v>
      </c>
      <c r="C2637" s="12" t="s">
        <v>281</v>
      </c>
      <c r="D2637" s="9" t="s">
        <v>73</v>
      </c>
      <c r="E2637" s="11">
        <v>52881.0</v>
      </c>
      <c r="F2637" s="11">
        <v>192103.0</v>
      </c>
    </row>
    <row r="2638">
      <c r="A2638" s="5">
        <v>2637.0</v>
      </c>
      <c r="B2638" s="5" t="s">
        <v>84</v>
      </c>
      <c r="C2638" s="12" t="s">
        <v>281</v>
      </c>
      <c r="D2638" s="9" t="s">
        <v>71</v>
      </c>
      <c r="E2638" s="11">
        <v>57515.0</v>
      </c>
      <c r="F2638" s="11">
        <v>193262.0</v>
      </c>
    </row>
    <row r="2639">
      <c r="A2639" s="5">
        <v>2638.0</v>
      </c>
      <c r="B2639" s="5" t="s">
        <v>84</v>
      </c>
      <c r="C2639" s="12" t="s">
        <v>281</v>
      </c>
      <c r="D2639" s="9" t="s">
        <v>69</v>
      </c>
      <c r="E2639" s="11">
        <v>57871.0</v>
      </c>
      <c r="F2639" s="11">
        <v>172525.0</v>
      </c>
    </row>
    <row r="2640">
      <c r="A2640" s="5">
        <v>2639.0</v>
      </c>
      <c r="B2640" s="5" t="s">
        <v>84</v>
      </c>
      <c r="C2640" s="12" t="s">
        <v>281</v>
      </c>
      <c r="D2640" s="9" t="s">
        <v>73</v>
      </c>
      <c r="E2640" s="11">
        <v>56424.0</v>
      </c>
      <c r="F2640" s="11">
        <v>152415.0</v>
      </c>
    </row>
    <row r="2641">
      <c r="A2641" s="5">
        <v>2640.0</v>
      </c>
      <c r="B2641" s="5" t="s">
        <v>61</v>
      </c>
      <c r="C2641" s="12" t="s">
        <v>282</v>
      </c>
      <c r="D2641" s="9" t="s">
        <v>60</v>
      </c>
      <c r="E2641" s="8"/>
      <c r="F2641" s="8"/>
    </row>
    <row r="2642">
      <c r="A2642" s="5">
        <v>2641.0</v>
      </c>
      <c r="B2642" s="5" t="s">
        <v>61</v>
      </c>
      <c r="C2642" s="12" t="s">
        <v>282</v>
      </c>
      <c r="D2642" s="9" t="s">
        <v>62</v>
      </c>
      <c r="E2642" s="11">
        <v>61210.0</v>
      </c>
      <c r="F2642" s="8"/>
    </row>
    <row r="2643">
      <c r="A2643" s="5">
        <v>2642.0</v>
      </c>
      <c r="B2643" s="5" t="s">
        <v>61</v>
      </c>
      <c r="C2643" s="12" t="s">
        <v>282</v>
      </c>
      <c r="D2643" s="9" t="s">
        <v>63</v>
      </c>
      <c r="E2643" s="11">
        <v>58912.0</v>
      </c>
      <c r="F2643" s="11">
        <v>150230.0</v>
      </c>
    </row>
    <row r="2644">
      <c r="A2644" s="5">
        <v>2643.0</v>
      </c>
      <c r="B2644" s="5" t="s">
        <v>61</v>
      </c>
      <c r="C2644" s="12" t="s">
        <v>282</v>
      </c>
      <c r="D2644" s="9" t="s">
        <v>64</v>
      </c>
      <c r="E2644" s="11">
        <v>53450.0</v>
      </c>
      <c r="F2644" s="11">
        <v>140057.0</v>
      </c>
    </row>
    <row r="2645">
      <c r="A2645" s="5">
        <v>2644.0</v>
      </c>
      <c r="B2645" s="5" t="s">
        <v>61</v>
      </c>
      <c r="C2645" s="12" t="s">
        <v>282</v>
      </c>
      <c r="D2645" s="9" t="s">
        <v>66</v>
      </c>
      <c r="E2645" s="11">
        <v>48984.0</v>
      </c>
      <c r="F2645" s="11">
        <v>127164.0</v>
      </c>
    </row>
    <row r="2646">
      <c r="A2646" s="5">
        <v>2645.0</v>
      </c>
      <c r="B2646" s="5" t="s">
        <v>61</v>
      </c>
      <c r="C2646" s="12" t="s">
        <v>282</v>
      </c>
      <c r="D2646" s="9" t="s">
        <v>70</v>
      </c>
      <c r="E2646" s="11">
        <v>45777.0</v>
      </c>
      <c r="F2646" s="11">
        <v>113651.0</v>
      </c>
    </row>
    <row r="2647">
      <c r="A2647" s="5">
        <v>2646.0</v>
      </c>
      <c r="B2647" s="5" t="s">
        <v>61</v>
      </c>
      <c r="C2647" s="12" t="s">
        <v>282</v>
      </c>
      <c r="D2647" s="9" t="s">
        <v>66</v>
      </c>
      <c r="E2647" s="11">
        <v>42475.0</v>
      </c>
      <c r="F2647" s="11">
        <v>102456.0</v>
      </c>
    </row>
    <row r="2648">
      <c r="A2648" s="5">
        <v>2647.0</v>
      </c>
      <c r="B2648" s="5" t="s">
        <v>61</v>
      </c>
      <c r="C2648" s="12" t="s">
        <v>282</v>
      </c>
      <c r="D2648" s="9" t="s">
        <v>72</v>
      </c>
      <c r="E2648" s="11">
        <v>41455.0</v>
      </c>
      <c r="F2648" s="11">
        <v>97942.0</v>
      </c>
    </row>
    <row r="2649">
      <c r="A2649" s="5">
        <v>2648.0</v>
      </c>
      <c r="B2649" s="5" t="s">
        <v>61</v>
      </c>
      <c r="C2649" s="12" t="s">
        <v>282</v>
      </c>
      <c r="D2649" s="9" t="s">
        <v>69</v>
      </c>
      <c r="E2649" s="11">
        <v>38968.0</v>
      </c>
      <c r="F2649" s="11">
        <v>90549.0</v>
      </c>
    </row>
    <row r="2650">
      <c r="A2650" s="5">
        <v>2649.0</v>
      </c>
      <c r="B2650" s="5" t="s">
        <v>61</v>
      </c>
      <c r="C2650" s="12" t="s">
        <v>282</v>
      </c>
      <c r="D2650" s="9" t="s">
        <v>73</v>
      </c>
      <c r="E2650" s="11">
        <v>35111.0</v>
      </c>
      <c r="F2650" s="11">
        <v>78767.0</v>
      </c>
    </row>
    <row r="2651">
      <c r="A2651" s="5">
        <v>2650.0</v>
      </c>
      <c r="B2651" s="5" t="s">
        <v>61</v>
      </c>
      <c r="C2651" s="12" t="s">
        <v>282</v>
      </c>
      <c r="D2651" s="9" t="s">
        <v>71</v>
      </c>
      <c r="E2651" s="11">
        <v>33441.0</v>
      </c>
      <c r="F2651" s="11">
        <v>70806.0</v>
      </c>
    </row>
    <row r="2652">
      <c r="A2652" s="5">
        <v>2651.0</v>
      </c>
      <c r="B2652" s="5" t="s">
        <v>61</v>
      </c>
      <c r="C2652" s="12" t="s">
        <v>282</v>
      </c>
      <c r="D2652" s="9" t="s">
        <v>69</v>
      </c>
      <c r="E2652" s="11">
        <v>30646.0</v>
      </c>
      <c r="F2652" s="11">
        <v>61140.0</v>
      </c>
    </row>
    <row r="2653">
      <c r="A2653" s="5">
        <v>2652.0</v>
      </c>
      <c r="B2653" s="5" t="s">
        <v>61</v>
      </c>
      <c r="C2653" s="12" t="s">
        <v>282</v>
      </c>
      <c r="D2653" s="9" t="s">
        <v>73</v>
      </c>
      <c r="E2653" s="11">
        <v>28736.0</v>
      </c>
      <c r="F2653" s="11">
        <v>53645.0</v>
      </c>
    </row>
    <row r="2654">
      <c r="A2654" s="5">
        <v>2653.0</v>
      </c>
      <c r="B2654" s="5" t="s">
        <v>93</v>
      </c>
      <c r="C2654" s="12" t="s">
        <v>283</v>
      </c>
      <c r="D2654" s="9" t="s">
        <v>60</v>
      </c>
      <c r="E2654" s="8"/>
      <c r="F2654" s="8"/>
    </row>
    <row r="2655">
      <c r="A2655" s="5">
        <v>2654.0</v>
      </c>
      <c r="B2655" s="5" t="s">
        <v>93</v>
      </c>
      <c r="C2655" s="12" t="s">
        <v>283</v>
      </c>
      <c r="D2655" s="9" t="s">
        <v>62</v>
      </c>
      <c r="E2655" s="11">
        <v>7260.0</v>
      </c>
      <c r="F2655" s="8"/>
    </row>
    <row r="2656">
      <c r="A2656" s="5">
        <v>2655.0</v>
      </c>
      <c r="B2656" s="5" t="s">
        <v>93</v>
      </c>
      <c r="C2656" s="12" t="s">
        <v>283</v>
      </c>
      <c r="D2656" s="9" t="s">
        <v>63</v>
      </c>
      <c r="E2656" s="11">
        <v>8360.0</v>
      </c>
      <c r="F2656" s="11">
        <v>21852.0</v>
      </c>
    </row>
    <row r="2657">
      <c r="A2657" s="5">
        <v>2656.0</v>
      </c>
      <c r="B2657" s="5" t="s">
        <v>93</v>
      </c>
      <c r="C2657" s="12" t="s">
        <v>283</v>
      </c>
      <c r="D2657" s="9" t="s">
        <v>64</v>
      </c>
      <c r="E2657" s="11">
        <v>7764.0</v>
      </c>
      <c r="F2657" s="11">
        <v>23058.0</v>
      </c>
    </row>
    <row r="2658">
      <c r="A2658" s="5">
        <v>2657.0</v>
      </c>
      <c r="B2658" s="5" t="s">
        <v>93</v>
      </c>
      <c r="C2658" s="12" t="s">
        <v>283</v>
      </c>
      <c r="D2658" s="9" t="s">
        <v>66</v>
      </c>
      <c r="E2658" s="11">
        <v>7208.0</v>
      </c>
      <c r="F2658" s="11">
        <v>22207.0</v>
      </c>
    </row>
    <row r="2659">
      <c r="A2659" s="5">
        <v>2658.0</v>
      </c>
      <c r="B2659" s="5" t="s">
        <v>93</v>
      </c>
      <c r="C2659" s="12" t="s">
        <v>283</v>
      </c>
      <c r="D2659" s="9" t="s">
        <v>70</v>
      </c>
      <c r="E2659" s="11">
        <v>7014.0</v>
      </c>
      <c r="F2659" s="11">
        <v>21712.0</v>
      </c>
    </row>
    <row r="2660">
      <c r="A2660" s="5">
        <v>2659.0</v>
      </c>
      <c r="B2660" s="5" t="s">
        <v>93</v>
      </c>
      <c r="C2660" s="12" t="s">
        <v>283</v>
      </c>
      <c r="D2660" s="9" t="s">
        <v>66</v>
      </c>
      <c r="E2660" s="11">
        <v>7054.0</v>
      </c>
      <c r="F2660" s="11">
        <v>20796.0</v>
      </c>
    </row>
    <row r="2661">
      <c r="A2661" s="5">
        <v>2660.0</v>
      </c>
      <c r="B2661" s="5" t="s">
        <v>93</v>
      </c>
      <c r="C2661" s="12" t="s">
        <v>283</v>
      </c>
      <c r="D2661" s="9" t="s">
        <v>72</v>
      </c>
      <c r="E2661" s="11">
        <v>6589.0</v>
      </c>
      <c r="F2661" s="11">
        <v>20044.0</v>
      </c>
    </row>
    <row r="2662">
      <c r="A2662" s="5">
        <v>2661.0</v>
      </c>
      <c r="B2662" s="5" t="s">
        <v>93</v>
      </c>
      <c r="C2662" s="12" t="s">
        <v>283</v>
      </c>
      <c r="D2662" s="9" t="s">
        <v>69</v>
      </c>
      <c r="E2662" s="11">
        <v>6186.0</v>
      </c>
      <c r="F2662" s="11">
        <v>18881.0</v>
      </c>
    </row>
    <row r="2663">
      <c r="A2663" s="5">
        <v>2662.0</v>
      </c>
      <c r="B2663" s="5" t="s">
        <v>93</v>
      </c>
      <c r="C2663" s="12" t="s">
        <v>283</v>
      </c>
      <c r="D2663" s="9" t="s">
        <v>73</v>
      </c>
      <c r="E2663" s="11">
        <v>5667.0</v>
      </c>
      <c r="F2663" s="11">
        <v>17305.0</v>
      </c>
    </row>
    <row r="2664">
      <c r="A2664" s="5">
        <v>2663.0</v>
      </c>
      <c r="B2664" s="5" t="s">
        <v>93</v>
      </c>
      <c r="C2664" s="12" t="s">
        <v>283</v>
      </c>
      <c r="D2664" s="9" t="s">
        <v>72</v>
      </c>
      <c r="E2664" s="11">
        <v>5100.0</v>
      </c>
      <c r="F2664" s="11">
        <v>15764.0</v>
      </c>
    </row>
    <row r="2665">
      <c r="A2665" s="5">
        <v>2664.0</v>
      </c>
      <c r="B2665" s="5" t="s">
        <v>93</v>
      </c>
      <c r="C2665" s="12" t="s">
        <v>283</v>
      </c>
      <c r="D2665" s="9" t="s">
        <v>69</v>
      </c>
      <c r="E2665" s="11">
        <v>5265.0</v>
      </c>
      <c r="F2665" s="11">
        <v>16252.0</v>
      </c>
    </row>
    <row r="2666">
      <c r="A2666" s="5">
        <v>2665.0</v>
      </c>
      <c r="B2666" s="5" t="s">
        <v>93</v>
      </c>
      <c r="C2666" s="12" t="s">
        <v>283</v>
      </c>
      <c r="D2666" s="9" t="s">
        <v>73</v>
      </c>
      <c r="E2666" s="11">
        <v>4747.0</v>
      </c>
      <c r="F2666" s="11">
        <v>14639.0</v>
      </c>
    </row>
    <row r="2667">
      <c r="A2667" s="5">
        <v>2666.0</v>
      </c>
      <c r="B2667" s="5" t="s">
        <v>77</v>
      </c>
      <c r="C2667" s="12" t="s">
        <v>284</v>
      </c>
      <c r="D2667" s="9" t="s">
        <v>60</v>
      </c>
      <c r="E2667" s="8"/>
      <c r="F2667" s="8"/>
    </row>
    <row r="2668">
      <c r="A2668" s="5">
        <v>2667.0</v>
      </c>
      <c r="B2668" s="5" t="s">
        <v>77</v>
      </c>
      <c r="C2668" s="12" t="s">
        <v>284</v>
      </c>
      <c r="D2668" s="9" t="s">
        <v>62</v>
      </c>
      <c r="E2668" s="11">
        <v>8462.0</v>
      </c>
      <c r="F2668" s="8"/>
    </row>
    <row r="2669">
      <c r="A2669" s="5">
        <v>2668.0</v>
      </c>
      <c r="B2669" s="5" t="s">
        <v>77</v>
      </c>
      <c r="C2669" s="12" t="s">
        <v>284</v>
      </c>
      <c r="D2669" s="9" t="s">
        <v>63</v>
      </c>
      <c r="E2669" s="11">
        <v>8054.0</v>
      </c>
      <c r="F2669" s="11">
        <v>2428.0</v>
      </c>
    </row>
    <row r="2670">
      <c r="A2670" s="5">
        <v>2669.0</v>
      </c>
      <c r="B2670" s="5" t="s">
        <v>77</v>
      </c>
      <c r="C2670" s="12" t="s">
        <v>284</v>
      </c>
      <c r="D2670" s="9" t="s">
        <v>64</v>
      </c>
      <c r="E2670" s="11">
        <v>7842.0</v>
      </c>
      <c r="F2670" s="11">
        <v>2156.0</v>
      </c>
    </row>
    <row r="2671">
      <c r="A2671" s="5">
        <v>2670.0</v>
      </c>
      <c r="B2671" s="5" t="s">
        <v>77</v>
      </c>
      <c r="C2671" s="12" t="s">
        <v>284</v>
      </c>
      <c r="D2671" s="9" t="s">
        <v>66</v>
      </c>
      <c r="E2671" s="11">
        <v>7641.0</v>
      </c>
      <c r="F2671" s="11">
        <v>1845.0</v>
      </c>
    </row>
    <row r="2672">
      <c r="A2672" s="5">
        <v>2671.0</v>
      </c>
      <c r="B2672" s="5" t="s">
        <v>77</v>
      </c>
      <c r="C2672" s="12" t="s">
        <v>284</v>
      </c>
      <c r="D2672" s="9" t="s">
        <v>70</v>
      </c>
      <c r="E2672" s="11">
        <v>7399.0</v>
      </c>
      <c r="F2672" s="11">
        <v>1654.0</v>
      </c>
    </row>
    <row r="2673">
      <c r="A2673" s="5">
        <v>2672.0</v>
      </c>
      <c r="B2673" s="5" t="s">
        <v>77</v>
      </c>
      <c r="C2673" s="12" t="s">
        <v>284</v>
      </c>
      <c r="D2673" s="9" t="s">
        <v>66</v>
      </c>
      <c r="E2673" s="11">
        <v>7396.0</v>
      </c>
      <c r="F2673" s="11">
        <v>2226.0</v>
      </c>
    </row>
    <row r="2674">
      <c r="A2674" s="5">
        <v>2673.0</v>
      </c>
      <c r="B2674" s="5" t="s">
        <v>77</v>
      </c>
      <c r="C2674" s="12" t="s">
        <v>284</v>
      </c>
      <c r="D2674" s="9" t="s">
        <v>72</v>
      </c>
      <c r="E2674" s="11">
        <v>7213.0</v>
      </c>
      <c r="F2674" s="11">
        <v>2274.0</v>
      </c>
    </row>
    <row r="2675">
      <c r="A2675" s="5">
        <v>2674.0</v>
      </c>
      <c r="B2675" s="5" t="s">
        <v>77</v>
      </c>
      <c r="C2675" s="12" t="s">
        <v>284</v>
      </c>
      <c r="D2675" s="9" t="s">
        <v>69</v>
      </c>
      <c r="E2675" s="11">
        <v>7005.0</v>
      </c>
      <c r="F2675" s="11">
        <v>2131.0</v>
      </c>
    </row>
    <row r="2676">
      <c r="A2676" s="5">
        <v>2675.0</v>
      </c>
      <c r="B2676" s="5" t="s">
        <v>77</v>
      </c>
      <c r="C2676" s="12" t="s">
        <v>284</v>
      </c>
      <c r="D2676" s="9" t="s">
        <v>73</v>
      </c>
      <c r="E2676" s="11">
        <v>6828.0</v>
      </c>
      <c r="F2676" s="11">
        <v>2101.0</v>
      </c>
    </row>
    <row r="2677">
      <c r="A2677" s="5">
        <v>2676.0</v>
      </c>
      <c r="B2677" s="5" t="s">
        <v>77</v>
      </c>
      <c r="C2677" s="12" t="s">
        <v>284</v>
      </c>
      <c r="D2677" s="9" t="s">
        <v>72</v>
      </c>
      <c r="E2677" s="11">
        <v>6633.0</v>
      </c>
      <c r="F2677" s="11">
        <v>1969.0</v>
      </c>
    </row>
    <row r="2678">
      <c r="A2678" s="5">
        <v>2677.0</v>
      </c>
      <c r="B2678" s="5" t="s">
        <v>77</v>
      </c>
      <c r="C2678" s="12" t="s">
        <v>284</v>
      </c>
      <c r="D2678" s="9" t="s">
        <v>69</v>
      </c>
      <c r="E2678" s="11">
        <v>6430.0</v>
      </c>
      <c r="F2678" s="11">
        <v>1907.0</v>
      </c>
    </row>
    <row r="2679">
      <c r="A2679" s="5">
        <v>2678.0</v>
      </c>
      <c r="B2679" s="5" t="s">
        <v>77</v>
      </c>
      <c r="C2679" s="12" t="s">
        <v>284</v>
      </c>
      <c r="D2679" s="9" t="s">
        <v>73</v>
      </c>
      <c r="E2679" s="11">
        <v>6244.0</v>
      </c>
      <c r="F2679" s="11">
        <v>1819.0</v>
      </c>
    </row>
    <row r="2680">
      <c r="A2680" s="5">
        <v>2679.0</v>
      </c>
      <c r="B2680" s="5" t="s">
        <v>77</v>
      </c>
      <c r="C2680" s="12" t="s">
        <v>285</v>
      </c>
      <c r="D2680" s="9" t="s">
        <v>60</v>
      </c>
      <c r="E2680" s="8"/>
      <c r="F2680" s="8"/>
    </row>
    <row r="2681">
      <c r="A2681" s="5">
        <v>2680.0</v>
      </c>
      <c r="B2681" s="5" t="s">
        <v>77</v>
      </c>
      <c r="C2681" s="12" t="s">
        <v>285</v>
      </c>
      <c r="D2681" s="9" t="s">
        <v>62</v>
      </c>
      <c r="E2681" s="11">
        <v>9312.0</v>
      </c>
      <c r="F2681" s="8"/>
    </row>
    <row r="2682">
      <c r="A2682" s="5">
        <v>2681.0</v>
      </c>
      <c r="B2682" s="5" t="s">
        <v>77</v>
      </c>
      <c r="C2682" s="12" t="s">
        <v>285</v>
      </c>
      <c r="D2682" s="9" t="s">
        <v>63</v>
      </c>
      <c r="E2682" s="11">
        <v>9000.0</v>
      </c>
      <c r="F2682" s="11">
        <v>9428.0</v>
      </c>
    </row>
    <row r="2683">
      <c r="A2683" s="5">
        <v>2682.0</v>
      </c>
      <c r="B2683" s="5" t="s">
        <v>77</v>
      </c>
      <c r="C2683" s="12" t="s">
        <v>285</v>
      </c>
      <c r="D2683" s="9" t="s">
        <v>64</v>
      </c>
      <c r="E2683" s="11">
        <v>8747.0</v>
      </c>
      <c r="F2683" s="11">
        <v>8735.0</v>
      </c>
    </row>
    <row r="2684">
      <c r="A2684" s="5">
        <v>2683.0</v>
      </c>
      <c r="B2684" s="5" t="s">
        <v>77</v>
      </c>
      <c r="C2684" s="12" t="s">
        <v>285</v>
      </c>
      <c r="D2684" s="9" t="s">
        <v>66</v>
      </c>
      <c r="E2684" s="11">
        <v>8678.0</v>
      </c>
      <c r="F2684" s="11">
        <v>8148.0</v>
      </c>
    </row>
    <row r="2685">
      <c r="A2685" s="5">
        <v>2684.0</v>
      </c>
      <c r="B2685" s="5" t="s">
        <v>77</v>
      </c>
      <c r="C2685" s="12" t="s">
        <v>285</v>
      </c>
      <c r="D2685" s="9" t="s">
        <v>70</v>
      </c>
      <c r="E2685" s="11">
        <v>9438.0</v>
      </c>
      <c r="F2685" s="11">
        <v>10213.0</v>
      </c>
    </row>
    <row r="2686">
      <c r="A2686" s="5">
        <v>2685.0</v>
      </c>
      <c r="B2686" s="5" t="s">
        <v>77</v>
      </c>
      <c r="C2686" s="12" t="s">
        <v>285</v>
      </c>
      <c r="D2686" s="9" t="s">
        <v>66</v>
      </c>
      <c r="E2686" s="11">
        <v>9714.0</v>
      </c>
      <c r="F2686" s="11">
        <v>10345.0</v>
      </c>
    </row>
    <row r="2687">
      <c r="A2687" s="5">
        <v>2686.0</v>
      </c>
      <c r="B2687" s="5" t="s">
        <v>77</v>
      </c>
      <c r="C2687" s="12" t="s">
        <v>285</v>
      </c>
      <c r="D2687" s="9" t="s">
        <v>72</v>
      </c>
      <c r="E2687" s="11">
        <v>9685.0</v>
      </c>
      <c r="F2687" s="11">
        <v>10774.0</v>
      </c>
    </row>
    <row r="2688">
      <c r="A2688" s="5">
        <v>2687.0</v>
      </c>
      <c r="B2688" s="5" t="s">
        <v>77</v>
      </c>
      <c r="C2688" s="12" t="s">
        <v>285</v>
      </c>
      <c r="D2688" s="9" t="s">
        <v>69</v>
      </c>
      <c r="E2688" s="11">
        <v>9269.0</v>
      </c>
      <c r="F2688" s="11">
        <v>9927.0</v>
      </c>
    </row>
    <row r="2689">
      <c r="A2689" s="5">
        <v>2688.0</v>
      </c>
      <c r="B2689" s="5" t="s">
        <v>77</v>
      </c>
      <c r="C2689" s="12" t="s">
        <v>285</v>
      </c>
      <c r="D2689" s="9" t="s">
        <v>73</v>
      </c>
      <c r="E2689" s="11">
        <v>9500.0</v>
      </c>
      <c r="F2689" s="11">
        <v>10627.0</v>
      </c>
    </row>
    <row r="2690">
      <c r="A2690" s="5">
        <v>2689.0</v>
      </c>
      <c r="B2690" s="5" t="s">
        <v>77</v>
      </c>
      <c r="C2690" s="12" t="s">
        <v>285</v>
      </c>
      <c r="D2690" s="9" t="s">
        <v>72</v>
      </c>
      <c r="E2690" s="11">
        <v>9692.0</v>
      </c>
      <c r="F2690" s="11">
        <v>11932.0</v>
      </c>
    </row>
    <row r="2691">
      <c r="A2691" s="5">
        <v>2690.0</v>
      </c>
      <c r="B2691" s="5" t="s">
        <v>77</v>
      </c>
      <c r="C2691" s="12" t="s">
        <v>285</v>
      </c>
      <c r="D2691" s="9" t="s">
        <v>69</v>
      </c>
      <c r="E2691" s="11">
        <v>9690.0</v>
      </c>
      <c r="F2691" s="11">
        <v>12563.0</v>
      </c>
    </row>
    <row r="2692">
      <c r="A2692" s="5">
        <v>2691.0</v>
      </c>
      <c r="B2692" s="5" t="s">
        <v>77</v>
      </c>
      <c r="C2692" s="12" t="s">
        <v>285</v>
      </c>
      <c r="D2692" s="9" t="s">
        <v>73</v>
      </c>
      <c r="E2692" s="11">
        <v>9865.0</v>
      </c>
      <c r="F2692" s="11">
        <v>13887.0</v>
      </c>
    </row>
  </sheetData>
  <autoFilter ref="$B$1:$F$2692">
    <sortState ref="B1:F2692">
      <sortCondition ref="C1:C2692"/>
    </sortState>
  </autoFil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1" max="11" width="24.75"/>
  </cols>
  <sheetData>
    <row r="1">
      <c r="A1" s="5" t="s">
        <v>286</v>
      </c>
      <c r="B1" s="5" t="s">
        <v>22</v>
      </c>
      <c r="C1" s="5" t="s">
        <v>24</v>
      </c>
      <c r="D1" s="5" t="s">
        <v>26</v>
      </c>
      <c r="E1" s="5" t="s">
        <v>28</v>
      </c>
      <c r="F1" s="5" t="s">
        <v>30</v>
      </c>
      <c r="G1" s="5" t="s">
        <v>32</v>
      </c>
      <c r="H1" s="5" t="s">
        <v>34</v>
      </c>
      <c r="I1" s="5" t="s">
        <v>36</v>
      </c>
      <c r="J1" s="5" t="s">
        <v>38</v>
      </c>
      <c r="K1" s="5" t="s">
        <v>5</v>
      </c>
      <c r="L1" s="5" t="s">
        <v>4</v>
      </c>
      <c r="M1" s="6" t="s">
        <v>58</v>
      </c>
    </row>
    <row r="2">
      <c r="A2" s="11">
        <f t="array" ref="A2:A2692">SEQUENCE(2691)</f>
        <v>1</v>
      </c>
      <c r="B2" s="11">
        <v>0.05</v>
      </c>
      <c r="C2" s="11">
        <v>0.095</v>
      </c>
      <c r="D2" s="11">
        <v>56.0</v>
      </c>
      <c r="E2" s="11">
        <v>54.0</v>
      </c>
      <c r="F2" s="11">
        <v>0.495</v>
      </c>
      <c r="G2" s="11">
        <v>0.485</v>
      </c>
      <c r="H2" s="11">
        <v>0.02</v>
      </c>
      <c r="I2" s="11">
        <v>2.059536E7</v>
      </c>
      <c r="J2" s="11">
        <v>0.213</v>
      </c>
      <c r="K2" s="12" t="s">
        <v>59</v>
      </c>
      <c r="L2" s="5" t="s">
        <v>61</v>
      </c>
      <c r="M2" s="9" t="s">
        <v>60</v>
      </c>
    </row>
    <row r="3">
      <c r="A3" s="11">
        <v>2.0</v>
      </c>
      <c r="B3" s="11">
        <v>0.049</v>
      </c>
      <c r="C3" s="11">
        <v>0.093</v>
      </c>
      <c r="D3" s="11">
        <v>56.0</v>
      </c>
      <c r="E3" s="11">
        <v>54.0</v>
      </c>
      <c r="F3" s="11">
        <v>0.495</v>
      </c>
      <c r="G3" s="11">
        <v>0.484</v>
      </c>
      <c r="H3" s="11">
        <v>0.02</v>
      </c>
      <c r="I3" s="11">
        <v>2.1347782E7</v>
      </c>
      <c r="J3" s="11">
        <v>0.216</v>
      </c>
      <c r="K3" s="12" t="s">
        <v>59</v>
      </c>
      <c r="L3" s="5" t="s">
        <v>61</v>
      </c>
      <c r="M3" s="9" t="s">
        <v>62</v>
      </c>
    </row>
    <row r="4">
      <c r="A4" s="11">
        <v>3.0</v>
      </c>
      <c r="B4" s="11">
        <v>0.048</v>
      </c>
      <c r="C4" s="11">
        <v>0.091</v>
      </c>
      <c r="D4" s="11">
        <v>57.0</v>
      </c>
      <c r="E4" s="11">
        <v>55.0</v>
      </c>
      <c r="F4" s="11">
        <v>0.495</v>
      </c>
      <c r="G4" s="11">
        <v>0.485</v>
      </c>
      <c r="H4" s="11">
        <v>0.02</v>
      </c>
      <c r="I4" s="11">
        <v>2.2202806E7</v>
      </c>
      <c r="J4" s="11">
        <v>0.219</v>
      </c>
      <c r="K4" s="12" t="s">
        <v>59</v>
      </c>
      <c r="L4" s="5" t="s">
        <v>61</v>
      </c>
      <c r="M4" s="9" t="s">
        <v>63</v>
      </c>
    </row>
    <row r="5">
      <c r="A5" s="11">
        <v>4.0</v>
      </c>
      <c r="B5" s="11">
        <v>0.047</v>
      </c>
      <c r="C5" s="11">
        <v>0.088</v>
      </c>
      <c r="D5" s="11">
        <v>57.0</v>
      </c>
      <c r="E5" s="11">
        <v>55.0</v>
      </c>
      <c r="F5" s="11">
        <v>0.494</v>
      </c>
      <c r="G5" s="11">
        <v>0.485</v>
      </c>
      <c r="H5" s="11">
        <v>0.02</v>
      </c>
      <c r="I5" s="11">
        <v>2.3116142E7</v>
      </c>
      <c r="J5" s="11">
        <v>0.222</v>
      </c>
      <c r="K5" s="12" t="s">
        <v>59</v>
      </c>
      <c r="L5" s="5" t="s">
        <v>61</v>
      </c>
      <c r="M5" s="9" t="s">
        <v>64</v>
      </c>
    </row>
    <row r="6">
      <c r="A6" s="11">
        <v>5.0</v>
      </c>
      <c r="B6" s="11">
        <v>0.046</v>
      </c>
      <c r="C6" s="11">
        <v>0.086</v>
      </c>
      <c r="D6" s="11">
        <v>58.0</v>
      </c>
      <c r="E6" s="11">
        <v>55.0</v>
      </c>
      <c r="F6" s="11">
        <v>0.494</v>
      </c>
      <c r="G6" s="11">
        <v>0.486</v>
      </c>
      <c r="H6" s="11">
        <v>0.02</v>
      </c>
      <c r="I6" s="11">
        <v>2.4018682E7</v>
      </c>
      <c r="J6" s="11">
        <v>0.226</v>
      </c>
      <c r="K6" s="12" t="s">
        <v>59</v>
      </c>
      <c r="L6" s="5" t="s">
        <v>61</v>
      </c>
      <c r="M6" s="9" t="s">
        <v>65</v>
      </c>
    </row>
    <row r="7">
      <c r="A7" s="11">
        <v>6.0</v>
      </c>
      <c r="B7" s="11">
        <v>0.045</v>
      </c>
      <c r="C7" s="11">
        <v>0.084</v>
      </c>
      <c r="D7" s="11">
        <v>58.0</v>
      </c>
      <c r="E7" s="11">
        <v>56.0</v>
      </c>
      <c r="F7" s="11">
        <v>0.493</v>
      </c>
      <c r="G7" s="11">
        <v>0.487</v>
      </c>
      <c r="H7" s="11">
        <v>0.02</v>
      </c>
      <c r="I7" s="11">
        <v>2.4860855E7</v>
      </c>
      <c r="J7" s="11">
        <v>0.229</v>
      </c>
      <c r="K7" s="12" t="s">
        <v>59</v>
      </c>
      <c r="L7" s="5" t="s">
        <v>61</v>
      </c>
      <c r="M7" s="9" t="s">
        <v>66</v>
      </c>
    </row>
    <row r="8">
      <c r="A8" s="11">
        <v>7.0</v>
      </c>
      <c r="B8" s="11">
        <v>0.044</v>
      </c>
      <c r="C8" s="11">
        <v>0.082</v>
      </c>
      <c r="D8" s="11">
        <v>59.0</v>
      </c>
      <c r="E8" s="11">
        <v>56.0</v>
      </c>
      <c r="F8" s="11">
        <v>0.493</v>
      </c>
      <c r="G8" s="11">
        <v>0.487</v>
      </c>
      <c r="H8" s="11">
        <v>0.02</v>
      </c>
      <c r="I8" s="11">
        <v>2.5631282E7</v>
      </c>
      <c r="J8" s="11">
        <v>0.232</v>
      </c>
      <c r="K8" s="12" t="s">
        <v>59</v>
      </c>
      <c r="L8" s="5" t="s">
        <v>61</v>
      </c>
      <c r="M8" s="9" t="s">
        <v>67</v>
      </c>
    </row>
    <row r="9">
      <c r="A9" s="11">
        <v>8.0</v>
      </c>
      <c r="B9" s="11">
        <v>0.042</v>
      </c>
      <c r="C9" s="11">
        <v>0.08</v>
      </c>
      <c r="D9" s="11">
        <v>59.0</v>
      </c>
      <c r="E9" s="11">
        <v>57.0</v>
      </c>
      <c r="F9" s="11">
        <v>0.492</v>
      </c>
      <c r="G9" s="11">
        <v>0.487</v>
      </c>
      <c r="H9" s="11">
        <v>0.021</v>
      </c>
      <c r="I9" s="11">
        <v>2.6349243E7</v>
      </c>
      <c r="J9" s="11">
        <v>0.236</v>
      </c>
      <c r="K9" s="12" t="s">
        <v>59</v>
      </c>
      <c r="L9" s="5" t="s">
        <v>61</v>
      </c>
      <c r="M9" s="9" t="s">
        <v>68</v>
      </c>
    </row>
    <row r="10">
      <c r="A10" s="11">
        <v>9.0</v>
      </c>
      <c r="B10" s="11">
        <v>0.041</v>
      </c>
      <c r="C10" s="11">
        <v>0.079</v>
      </c>
      <c r="D10" s="11">
        <v>60.0</v>
      </c>
      <c r="E10" s="11">
        <v>57.0</v>
      </c>
      <c r="F10" s="11">
        <v>0.492</v>
      </c>
      <c r="G10" s="11">
        <v>0.487</v>
      </c>
      <c r="H10" s="11">
        <v>0.021</v>
      </c>
      <c r="I10" s="11">
        <v>2.7032197E7</v>
      </c>
      <c r="J10" s="11">
        <v>0.239</v>
      </c>
      <c r="K10" s="12" t="s">
        <v>59</v>
      </c>
      <c r="L10" s="5" t="s">
        <v>61</v>
      </c>
      <c r="M10" s="9" t="s">
        <v>69</v>
      </c>
    </row>
    <row r="11">
      <c r="A11" s="11">
        <v>10.0</v>
      </c>
      <c r="B11" s="11">
        <v>0.039</v>
      </c>
      <c r="C11" s="11">
        <v>0.077</v>
      </c>
      <c r="D11" s="11">
        <v>60.0</v>
      </c>
      <c r="E11" s="11">
        <v>58.0</v>
      </c>
      <c r="F11" s="11">
        <v>0.49</v>
      </c>
      <c r="G11" s="11">
        <v>0.489</v>
      </c>
      <c r="H11" s="11">
        <v>0.021</v>
      </c>
      <c r="I11" s="11">
        <v>2.7708187E7</v>
      </c>
      <c r="J11" s="11">
        <v>0.243</v>
      </c>
      <c r="K11" s="12" t="s">
        <v>59</v>
      </c>
      <c r="L11" s="5" t="s">
        <v>61</v>
      </c>
      <c r="M11" s="9" t="s">
        <v>70</v>
      </c>
    </row>
    <row r="12">
      <c r="A12" s="11">
        <v>11.0</v>
      </c>
      <c r="B12" s="11">
        <v>0.038</v>
      </c>
      <c r="C12" s="11">
        <v>0.075</v>
      </c>
      <c r="D12" s="11">
        <v>61.0</v>
      </c>
      <c r="E12" s="11">
        <v>58.0</v>
      </c>
      <c r="F12" s="11">
        <v>0.486</v>
      </c>
      <c r="G12" s="11">
        <v>0.492</v>
      </c>
      <c r="H12" s="11">
        <v>0.022</v>
      </c>
      <c r="I12" s="11">
        <v>2.8397812E7</v>
      </c>
      <c r="J12" s="11">
        <v>0.247</v>
      </c>
      <c r="K12" s="12" t="s">
        <v>59</v>
      </c>
      <c r="L12" s="5" t="s">
        <v>61</v>
      </c>
      <c r="M12" s="9" t="s">
        <v>71</v>
      </c>
    </row>
    <row r="13">
      <c r="A13" s="11">
        <v>12.0</v>
      </c>
      <c r="B13" s="11">
        <v>0.037</v>
      </c>
      <c r="C13" s="11">
        <v>0.074</v>
      </c>
      <c r="D13" s="11">
        <v>61.0</v>
      </c>
      <c r="E13" s="11">
        <v>59.0</v>
      </c>
      <c r="F13" s="11">
        <v>0.481</v>
      </c>
      <c r="G13" s="11">
        <v>0.497</v>
      </c>
      <c r="H13" s="11">
        <v>0.022</v>
      </c>
      <c r="I13" s="11">
        <v>2.910548E7</v>
      </c>
      <c r="J13" s="11">
        <v>0.251</v>
      </c>
      <c r="K13" s="12" t="s">
        <v>59</v>
      </c>
      <c r="L13" s="5" t="s">
        <v>61</v>
      </c>
      <c r="M13" s="9" t="s">
        <v>72</v>
      </c>
    </row>
    <row r="14">
      <c r="A14" s="11">
        <v>13.0</v>
      </c>
      <c r="B14" s="11">
        <v>0.035</v>
      </c>
      <c r="C14" s="11">
        <v>0.072</v>
      </c>
      <c r="D14" s="11">
        <v>62.0</v>
      </c>
      <c r="E14" s="11">
        <v>59.0</v>
      </c>
      <c r="F14" s="11">
        <v>0.474</v>
      </c>
      <c r="G14" s="11">
        <v>0.503</v>
      </c>
      <c r="H14" s="11">
        <v>0.023</v>
      </c>
      <c r="I14" s="11">
        <v>2.9824536E7</v>
      </c>
      <c r="J14" s="11">
        <v>0.255</v>
      </c>
      <c r="K14" s="12" t="s">
        <v>59</v>
      </c>
      <c r="L14" s="5" t="s">
        <v>61</v>
      </c>
      <c r="M14" s="9" t="s">
        <v>73</v>
      </c>
    </row>
    <row r="15">
      <c r="A15" s="11">
        <v>14.0</v>
      </c>
      <c r="B15" s="11">
        <v>0.019</v>
      </c>
      <c r="C15" s="11">
        <v>0.023</v>
      </c>
      <c r="D15" s="11">
        <v>77.0</v>
      </c>
      <c r="E15" s="11">
        <v>71.0</v>
      </c>
      <c r="F15" s="11">
        <v>0.303</v>
      </c>
      <c r="G15" s="11">
        <v>0.628</v>
      </c>
      <c r="H15" s="11">
        <v>0.068</v>
      </c>
      <c r="I15" s="11">
        <v>3089027.0</v>
      </c>
      <c r="J15" s="11">
        <v>0.417</v>
      </c>
      <c r="K15" s="12" t="s">
        <v>74</v>
      </c>
      <c r="L15" s="5" t="s">
        <v>75</v>
      </c>
      <c r="M15" s="9" t="s">
        <v>60</v>
      </c>
    </row>
    <row r="16">
      <c r="A16" s="11">
        <v>15.0</v>
      </c>
      <c r="B16" s="11">
        <v>0.018</v>
      </c>
      <c r="C16" s="11">
        <v>0.022</v>
      </c>
      <c r="D16" s="11">
        <v>78.0</v>
      </c>
      <c r="E16" s="11">
        <v>72.0</v>
      </c>
      <c r="F16" s="11">
        <v>0.297</v>
      </c>
      <c r="G16" s="11">
        <v>0.632</v>
      </c>
      <c r="H16" s="11">
        <v>0.071</v>
      </c>
      <c r="I16" s="11">
        <v>3064111.0</v>
      </c>
      <c r="J16" s="11">
        <v>0.424</v>
      </c>
      <c r="K16" s="12" t="s">
        <v>74</v>
      </c>
      <c r="L16" s="5" t="s">
        <v>75</v>
      </c>
      <c r="M16" s="9" t="s">
        <v>62</v>
      </c>
    </row>
    <row r="17">
      <c r="A17" s="11">
        <v>16.0</v>
      </c>
      <c r="B17" s="11">
        <v>0.017</v>
      </c>
      <c r="C17" s="11">
        <v>0.021</v>
      </c>
      <c r="D17" s="11">
        <v>78.0</v>
      </c>
      <c r="E17" s="11">
        <v>72.0</v>
      </c>
      <c r="F17" s="11">
        <v>0.29</v>
      </c>
      <c r="G17" s="11">
        <v>0.636</v>
      </c>
      <c r="H17" s="11">
        <v>0.075</v>
      </c>
      <c r="I17" s="11">
        <v>3051427.0</v>
      </c>
      <c r="J17" s="11">
        <v>0.435</v>
      </c>
      <c r="K17" s="12" t="s">
        <v>74</v>
      </c>
      <c r="L17" s="5" t="s">
        <v>75</v>
      </c>
      <c r="M17" s="9" t="s">
        <v>63</v>
      </c>
    </row>
    <row r="18">
      <c r="A18" s="11">
        <v>17.0</v>
      </c>
      <c r="B18" s="11">
        <v>0.016</v>
      </c>
      <c r="C18" s="11">
        <v>0.02</v>
      </c>
      <c r="D18" s="11">
        <v>79.0</v>
      </c>
      <c r="E18" s="11">
        <v>72.0</v>
      </c>
      <c r="F18" s="11">
        <v>0.282</v>
      </c>
      <c r="G18" s="11">
        <v>0.64</v>
      </c>
      <c r="H18" s="11">
        <v>0.078</v>
      </c>
      <c r="I18" s="11">
        <v>3033659.0</v>
      </c>
      <c r="J18" s="11">
        <v>0.446</v>
      </c>
      <c r="K18" s="12" t="s">
        <v>74</v>
      </c>
      <c r="L18" s="5" t="s">
        <v>75</v>
      </c>
      <c r="M18" s="9" t="s">
        <v>64</v>
      </c>
    </row>
    <row r="19">
      <c r="A19" s="11">
        <v>18.0</v>
      </c>
      <c r="B19" s="11">
        <v>0.015</v>
      </c>
      <c r="C19" s="11">
        <v>0.019</v>
      </c>
      <c r="D19" s="11">
        <v>79.0</v>
      </c>
      <c r="E19" s="11">
        <v>73.0</v>
      </c>
      <c r="F19" s="11">
        <v>0.273</v>
      </c>
      <c r="G19" s="11">
        <v>0.645</v>
      </c>
      <c r="H19" s="11">
        <v>0.082</v>
      </c>
      <c r="I19" s="11">
        <v>3014579.0</v>
      </c>
      <c r="J19" s="11">
        <v>0.457</v>
      </c>
      <c r="K19" s="12" t="s">
        <v>74</v>
      </c>
      <c r="L19" s="5" t="s">
        <v>75</v>
      </c>
      <c r="M19" s="9" t="s">
        <v>65</v>
      </c>
    </row>
    <row r="20">
      <c r="A20" s="11">
        <v>19.0</v>
      </c>
      <c r="B20" s="11">
        <v>0.014</v>
      </c>
      <c r="C20" s="11">
        <v>0.018</v>
      </c>
      <c r="D20" s="11">
        <v>79.0</v>
      </c>
      <c r="E20" s="11">
        <v>73.0</v>
      </c>
      <c r="F20" s="11">
        <v>0.265</v>
      </c>
      <c r="G20" s="11">
        <v>0.649</v>
      </c>
      <c r="H20" s="11">
        <v>0.085</v>
      </c>
      <c r="I20" s="11">
        <v>2992724.0</v>
      </c>
      <c r="J20" s="11">
        <v>0.467</v>
      </c>
      <c r="K20" s="12" t="s">
        <v>74</v>
      </c>
      <c r="L20" s="5" t="s">
        <v>75</v>
      </c>
      <c r="M20" s="9" t="s">
        <v>66</v>
      </c>
    </row>
    <row r="21">
      <c r="A21" s="11">
        <v>20.0</v>
      </c>
      <c r="B21" s="11">
        <v>0.014</v>
      </c>
      <c r="C21" s="11">
        <v>0.017</v>
      </c>
      <c r="D21" s="11">
        <v>80.0</v>
      </c>
      <c r="E21" s="11">
        <v>73.0</v>
      </c>
      <c r="F21" s="11">
        <v>0.258</v>
      </c>
      <c r="G21" s="11">
        <v>0.654</v>
      </c>
      <c r="H21" s="11">
        <v>0.089</v>
      </c>
      <c r="I21" s="11">
        <v>2968028.0</v>
      </c>
      <c r="J21" s="11">
        <v>0.478</v>
      </c>
      <c r="K21" s="12" t="s">
        <v>74</v>
      </c>
      <c r="L21" s="5" t="s">
        <v>75</v>
      </c>
      <c r="M21" s="9" t="s">
        <v>67</v>
      </c>
    </row>
    <row r="22">
      <c r="A22" s="11">
        <v>21.0</v>
      </c>
      <c r="B22" s="11">
        <v>0.013</v>
      </c>
      <c r="C22" s="11">
        <v>0.017</v>
      </c>
      <c r="D22" s="11">
        <v>80.0</v>
      </c>
      <c r="E22" s="11">
        <v>73.0</v>
      </c>
      <c r="F22" s="11">
        <v>0.25</v>
      </c>
      <c r="G22" s="11">
        <v>0.658</v>
      </c>
      <c r="H22" s="11">
        <v>0.092</v>
      </c>
      <c r="I22" s="11">
        <v>2940880.0</v>
      </c>
      <c r="J22" s="11">
        <v>0.489</v>
      </c>
      <c r="K22" s="12" t="s">
        <v>74</v>
      </c>
      <c r="L22" s="5" t="s">
        <v>75</v>
      </c>
      <c r="M22" s="9" t="s">
        <v>68</v>
      </c>
    </row>
    <row r="23">
      <c r="A23" s="11">
        <v>22.0</v>
      </c>
      <c r="B23" s="11">
        <v>0.013</v>
      </c>
      <c r="C23" s="11">
        <v>0.016</v>
      </c>
      <c r="D23" s="11">
        <v>80.0</v>
      </c>
      <c r="E23" s="11">
        <v>74.0</v>
      </c>
      <c r="F23" s="11">
        <v>0.243</v>
      </c>
      <c r="G23" s="11">
        <v>0.662</v>
      </c>
      <c r="H23" s="11">
        <v>0.095</v>
      </c>
      <c r="I23" s="11">
        <v>2912559.0</v>
      </c>
      <c r="J23" s="11">
        <v>0.5</v>
      </c>
      <c r="K23" s="12" t="s">
        <v>74</v>
      </c>
      <c r="L23" s="5" t="s">
        <v>75</v>
      </c>
      <c r="M23" s="9" t="s">
        <v>69</v>
      </c>
    </row>
    <row r="24">
      <c r="A24" s="11">
        <v>23.0</v>
      </c>
      <c r="B24" s="11">
        <v>0.013</v>
      </c>
      <c r="C24" s="11">
        <v>0.015</v>
      </c>
      <c r="D24" s="11">
        <v>80.0</v>
      </c>
      <c r="E24" s="11">
        <v>74.0</v>
      </c>
      <c r="F24" s="11">
        <v>0.236</v>
      </c>
      <c r="G24" s="11">
        <v>0.666</v>
      </c>
      <c r="H24" s="11">
        <v>0.098</v>
      </c>
      <c r="I24" s="11">
        <v>2884303.0</v>
      </c>
      <c r="J24" s="11">
        <v>0.511</v>
      </c>
      <c r="K24" s="12" t="s">
        <v>74</v>
      </c>
      <c r="L24" s="5" t="s">
        <v>75</v>
      </c>
      <c r="M24" s="9" t="s">
        <v>70</v>
      </c>
    </row>
    <row r="25">
      <c r="A25" s="11">
        <v>24.0</v>
      </c>
      <c r="B25" s="11">
        <v>0.013</v>
      </c>
      <c r="C25" s="11">
        <v>0.015</v>
      </c>
      <c r="D25" s="11">
        <v>80.0</v>
      </c>
      <c r="E25" s="11">
        <v>74.0</v>
      </c>
      <c r="F25" s="11">
        <v>0.228</v>
      </c>
      <c r="G25" s="11">
        <v>0.671</v>
      </c>
      <c r="H25" s="11">
        <v>0.101</v>
      </c>
      <c r="I25" s="11">
        <v>2856673.0</v>
      </c>
      <c r="J25" s="11">
        <v>0.522</v>
      </c>
      <c r="K25" s="12" t="s">
        <v>74</v>
      </c>
      <c r="L25" s="5" t="s">
        <v>75</v>
      </c>
      <c r="M25" s="9" t="s">
        <v>71</v>
      </c>
    </row>
    <row r="26">
      <c r="A26" s="11">
        <v>25.0</v>
      </c>
      <c r="B26" s="11">
        <v>0.013</v>
      </c>
      <c r="C26" s="11">
        <v>0.014</v>
      </c>
      <c r="D26" s="11">
        <v>80.0</v>
      </c>
      <c r="E26" s="11">
        <v>74.0</v>
      </c>
      <c r="F26" s="11">
        <v>0.221</v>
      </c>
      <c r="G26" s="11">
        <v>0.676</v>
      </c>
      <c r="H26" s="11">
        <v>0.103</v>
      </c>
      <c r="I26" s="11">
        <v>2829337.0</v>
      </c>
      <c r="J26" s="11">
        <v>0.532</v>
      </c>
      <c r="K26" s="12" t="s">
        <v>74</v>
      </c>
      <c r="L26" s="5" t="s">
        <v>75</v>
      </c>
      <c r="M26" s="9" t="s">
        <v>72</v>
      </c>
    </row>
    <row r="27">
      <c r="A27" s="11">
        <v>26.0</v>
      </c>
      <c r="B27" s="11">
        <v>0.013</v>
      </c>
      <c r="C27" s="11">
        <v>0.014</v>
      </c>
      <c r="D27" s="11">
        <v>80.0</v>
      </c>
      <c r="E27" s="11">
        <v>74.0</v>
      </c>
      <c r="F27" s="11">
        <v>0.213</v>
      </c>
      <c r="G27" s="11">
        <v>0.681</v>
      </c>
      <c r="H27" s="11">
        <v>0.106</v>
      </c>
      <c r="I27" s="11">
        <v>2801681.0</v>
      </c>
      <c r="J27" s="11">
        <v>0.543</v>
      </c>
      <c r="K27" s="12" t="s">
        <v>74</v>
      </c>
      <c r="L27" s="5" t="s">
        <v>75</v>
      </c>
      <c r="M27" s="9" t="s">
        <v>73</v>
      </c>
    </row>
    <row r="28">
      <c r="A28" s="11">
        <v>27.0</v>
      </c>
      <c r="B28" s="11">
        <v>0.02</v>
      </c>
      <c r="C28" s="11">
        <v>0.034</v>
      </c>
      <c r="D28" s="11">
        <v>71.0</v>
      </c>
      <c r="E28" s="11">
        <v>67.0</v>
      </c>
      <c r="F28" s="11">
        <v>0.342</v>
      </c>
      <c r="G28" s="11">
        <v>0.619</v>
      </c>
      <c r="H28" s="11">
        <v>0.039</v>
      </c>
      <c r="I28" s="11">
        <v>3.1719449E7</v>
      </c>
      <c r="J28" s="11">
        <v>0.599</v>
      </c>
      <c r="K28" s="12" t="s">
        <v>76</v>
      </c>
      <c r="L28" s="5" t="s">
        <v>77</v>
      </c>
      <c r="M28" s="9" t="s">
        <v>60</v>
      </c>
    </row>
    <row r="29">
      <c r="A29" s="11">
        <v>28.0</v>
      </c>
      <c r="B29" s="11">
        <v>0.019</v>
      </c>
      <c r="C29" s="11">
        <v>0.033</v>
      </c>
      <c r="D29" s="11">
        <v>71.0</v>
      </c>
      <c r="E29" s="11">
        <v>68.0</v>
      </c>
      <c r="F29" s="11">
        <v>0.33</v>
      </c>
      <c r="G29" s="11">
        <v>0.63</v>
      </c>
      <c r="H29" s="11">
        <v>0.04</v>
      </c>
      <c r="I29" s="11">
        <v>3.2150198E7</v>
      </c>
      <c r="J29" s="11">
        <v>0.607</v>
      </c>
      <c r="K29" s="12" t="s">
        <v>76</v>
      </c>
      <c r="L29" s="5" t="s">
        <v>77</v>
      </c>
      <c r="M29" s="9" t="s">
        <v>62</v>
      </c>
    </row>
    <row r="30">
      <c r="A30" s="11">
        <v>29.0</v>
      </c>
      <c r="B30" s="11">
        <v>0.019</v>
      </c>
      <c r="C30" s="11">
        <v>0.032</v>
      </c>
      <c r="D30" s="11">
        <v>71.0</v>
      </c>
      <c r="E30" s="11">
        <v>68.0</v>
      </c>
      <c r="F30" s="11">
        <v>0.318</v>
      </c>
      <c r="G30" s="11">
        <v>0.641</v>
      </c>
      <c r="H30" s="11">
        <v>0.041</v>
      </c>
      <c r="I30" s="11">
        <v>3.2572977E7</v>
      </c>
      <c r="J30" s="11">
        <v>0.615</v>
      </c>
      <c r="K30" s="12" t="s">
        <v>76</v>
      </c>
      <c r="L30" s="5" t="s">
        <v>77</v>
      </c>
      <c r="M30" s="9" t="s">
        <v>63</v>
      </c>
    </row>
    <row r="31">
      <c r="A31" s="11">
        <v>30.0</v>
      </c>
      <c r="B31" s="11">
        <v>0.02</v>
      </c>
      <c r="C31" s="11">
        <v>0.031</v>
      </c>
      <c r="D31" s="11">
        <v>71.0</v>
      </c>
      <c r="E31" s="11">
        <v>68.0</v>
      </c>
      <c r="F31" s="11">
        <v>0.307</v>
      </c>
      <c r="G31" s="11">
        <v>0.651</v>
      </c>
      <c r="H31" s="11">
        <v>0.042</v>
      </c>
      <c r="I31" s="11">
        <v>3.3003442E7</v>
      </c>
      <c r="J31" s="11">
        <v>0.623</v>
      </c>
      <c r="K31" s="12" t="s">
        <v>76</v>
      </c>
      <c r="L31" s="5" t="s">
        <v>77</v>
      </c>
      <c r="M31" s="9" t="s">
        <v>64</v>
      </c>
    </row>
    <row r="32">
      <c r="A32" s="11">
        <v>31.0</v>
      </c>
      <c r="B32" s="11">
        <v>0.02</v>
      </c>
      <c r="C32" s="11">
        <v>0.03</v>
      </c>
      <c r="D32" s="11">
        <v>71.0</v>
      </c>
      <c r="E32" s="11">
        <v>68.0</v>
      </c>
      <c r="F32" s="11">
        <v>0.297</v>
      </c>
      <c r="G32" s="11">
        <v>0.66</v>
      </c>
      <c r="H32" s="11">
        <v>0.043</v>
      </c>
      <c r="I32" s="11">
        <v>3.3461345E7</v>
      </c>
      <c r="J32" s="11">
        <v>0.631</v>
      </c>
      <c r="K32" s="12" t="s">
        <v>76</v>
      </c>
      <c r="L32" s="5" t="s">
        <v>77</v>
      </c>
      <c r="M32" s="9" t="s">
        <v>65</v>
      </c>
    </row>
    <row r="33">
      <c r="A33" s="11">
        <v>32.0</v>
      </c>
      <c r="B33" s="11">
        <v>0.021</v>
      </c>
      <c r="C33" s="11">
        <v>0.029</v>
      </c>
      <c r="D33" s="11">
        <v>71.0</v>
      </c>
      <c r="E33" s="11">
        <v>68.0</v>
      </c>
      <c r="F33" s="11">
        <v>0.289</v>
      </c>
      <c r="G33" s="11">
        <v>0.667</v>
      </c>
      <c r="H33" s="11">
        <v>0.044</v>
      </c>
      <c r="I33" s="11">
        <v>3.3960903E7</v>
      </c>
      <c r="J33" s="11">
        <v>0.638</v>
      </c>
      <c r="K33" s="12" t="s">
        <v>76</v>
      </c>
      <c r="L33" s="5" t="s">
        <v>77</v>
      </c>
      <c r="M33" s="9" t="s">
        <v>66</v>
      </c>
    </row>
    <row r="34">
      <c r="A34" s="11">
        <v>33.0</v>
      </c>
      <c r="B34" s="11">
        <v>0.022</v>
      </c>
      <c r="C34" s="11">
        <v>0.028</v>
      </c>
      <c r="D34" s="11">
        <v>72.0</v>
      </c>
      <c r="E34" s="11">
        <v>68.0</v>
      </c>
      <c r="F34" s="11">
        <v>0.282</v>
      </c>
      <c r="G34" s="11">
        <v>0.673</v>
      </c>
      <c r="H34" s="11">
        <v>0.045</v>
      </c>
      <c r="I34" s="11">
        <v>3.4507214E7</v>
      </c>
      <c r="J34" s="11">
        <v>0.646</v>
      </c>
      <c r="K34" s="12" t="s">
        <v>76</v>
      </c>
      <c r="L34" s="5" t="s">
        <v>77</v>
      </c>
      <c r="M34" s="9" t="s">
        <v>67</v>
      </c>
    </row>
    <row r="35">
      <c r="A35" s="11">
        <v>34.0</v>
      </c>
      <c r="B35" s="11">
        <v>0.023</v>
      </c>
      <c r="C35" s="11">
        <v>0.026</v>
      </c>
      <c r="D35" s="11">
        <v>72.0</v>
      </c>
      <c r="E35" s="11">
        <v>69.0</v>
      </c>
      <c r="F35" s="11">
        <v>0.277</v>
      </c>
      <c r="G35" s="11">
        <v>0.677</v>
      </c>
      <c r="H35" s="11">
        <v>0.046</v>
      </c>
      <c r="I35" s="11">
        <v>3.5097043E7</v>
      </c>
      <c r="J35" s="11">
        <v>0.653</v>
      </c>
      <c r="K35" s="12" t="s">
        <v>76</v>
      </c>
      <c r="L35" s="5" t="s">
        <v>77</v>
      </c>
      <c r="M35" s="9" t="s">
        <v>68</v>
      </c>
    </row>
    <row r="36">
      <c r="A36" s="11">
        <v>35.0</v>
      </c>
      <c r="B36" s="11">
        <v>0.024</v>
      </c>
      <c r="C36" s="11">
        <v>0.025</v>
      </c>
      <c r="D36" s="11">
        <v>72.0</v>
      </c>
      <c r="E36" s="11">
        <v>69.0</v>
      </c>
      <c r="F36" s="11">
        <v>0.274</v>
      </c>
      <c r="G36" s="11">
        <v>0.68</v>
      </c>
      <c r="H36" s="11">
        <v>0.047</v>
      </c>
      <c r="I36" s="11">
        <v>3.5725377E7</v>
      </c>
      <c r="J36" s="11">
        <v>0.661</v>
      </c>
      <c r="K36" s="12" t="s">
        <v>76</v>
      </c>
      <c r="L36" s="5" t="s">
        <v>77</v>
      </c>
      <c r="M36" s="9" t="s">
        <v>69</v>
      </c>
    </row>
    <row r="37">
      <c r="A37" s="11">
        <v>36.0</v>
      </c>
      <c r="B37" s="11">
        <v>0.024</v>
      </c>
      <c r="C37" s="11">
        <v>0.024</v>
      </c>
      <c r="D37" s="11">
        <v>72.0</v>
      </c>
      <c r="E37" s="11">
        <v>69.0</v>
      </c>
      <c r="F37" s="11">
        <v>0.272</v>
      </c>
      <c r="G37" s="11">
        <v>0.681</v>
      </c>
      <c r="H37" s="11">
        <v>0.047</v>
      </c>
      <c r="I37" s="11">
        <v>3.6383302E7</v>
      </c>
      <c r="J37" s="11">
        <v>0.668</v>
      </c>
      <c r="K37" s="12" t="s">
        <v>76</v>
      </c>
      <c r="L37" s="5" t="s">
        <v>77</v>
      </c>
      <c r="M37" s="9" t="s">
        <v>70</v>
      </c>
    </row>
    <row r="38">
      <c r="A38" s="11">
        <v>37.0</v>
      </c>
      <c r="B38" s="11">
        <v>0.025</v>
      </c>
      <c r="C38" s="11">
        <v>0.024</v>
      </c>
      <c r="D38" s="11">
        <v>72.0</v>
      </c>
      <c r="E38" s="11">
        <v>69.0</v>
      </c>
      <c r="F38" s="11">
        <v>0.271</v>
      </c>
      <c r="G38" s="11">
        <v>0.681</v>
      </c>
      <c r="H38" s="11">
        <v>0.047</v>
      </c>
      <c r="I38" s="11">
        <v>3.706282E7</v>
      </c>
      <c r="J38" s="11">
        <v>0.675</v>
      </c>
      <c r="K38" s="12" t="s">
        <v>76</v>
      </c>
      <c r="L38" s="5" t="s">
        <v>77</v>
      </c>
      <c r="M38" s="9" t="s">
        <v>71</v>
      </c>
    </row>
    <row r="39">
      <c r="A39" s="11">
        <v>38.0</v>
      </c>
      <c r="B39" s="11">
        <v>0.025</v>
      </c>
      <c r="C39" s="11">
        <v>0.023</v>
      </c>
      <c r="D39" s="11">
        <v>72.0</v>
      </c>
      <c r="E39" s="11">
        <v>69.0</v>
      </c>
      <c r="F39" s="11">
        <v>0.272</v>
      </c>
      <c r="G39" s="11">
        <v>0.681</v>
      </c>
      <c r="H39" s="11">
        <v>0.047</v>
      </c>
      <c r="I39" s="11">
        <v>3.7762962E7</v>
      </c>
      <c r="J39" s="11">
        <v>0.682</v>
      </c>
      <c r="K39" s="12" t="s">
        <v>76</v>
      </c>
      <c r="L39" s="5" t="s">
        <v>77</v>
      </c>
      <c r="M39" s="9" t="s">
        <v>72</v>
      </c>
    </row>
    <row r="40">
      <c r="A40" s="11">
        <v>39.0</v>
      </c>
      <c r="B40" s="11">
        <v>0.025</v>
      </c>
      <c r="C40" s="11">
        <v>0.022</v>
      </c>
      <c r="D40" s="11">
        <v>73.0</v>
      </c>
      <c r="E40" s="11">
        <v>69.0</v>
      </c>
      <c r="F40" s="11">
        <v>0.274</v>
      </c>
      <c r="G40" s="11">
        <v>0.679</v>
      </c>
      <c r="H40" s="11">
        <v>0.047</v>
      </c>
      <c r="I40" s="11">
        <v>3.8481705E7</v>
      </c>
      <c r="J40" s="11">
        <v>0.689</v>
      </c>
      <c r="K40" s="12" t="s">
        <v>76</v>
      </c>
      <c r="L40" s="5" t="s">
        <v>77</v>
      </c>
      <c r="M40" s="9" t="s">
        <v>73</v>
      </c>
    </row>
    <row r="41">
      <c r="A41" s="8">
        <v>40.0</v>
      </c>
      <c r="B41" s="8"/>
      <c r="C41" s="8"/>
      <c r="D41" s="8"/>
      <c r="E41" s="8"/>
      <c r="F41" s="8"/>
      <c r="G41" s="8"/>
      <c r="H41" s="8"/>
      <c r="I41" s="11">
        <v>57522.0</v>
      </c>
      <c r="J41" s="11">
        <v>0.886</v>
      </c>
      <c r="K41" s="12" t="s">
        <v>79</v>
      </c>
      <c r="L41" s="5" t="s">
        <v>80</v>
      </c>
      <c r="M41" s="9" t="s">
        <v>60</v>
      </c>
    </row>
    <row r="42">
      <c r="A42" s="8">
        <v>41.0</v>
      </c>
      <c r="B42" s="8"/>
      <c r="C42" s="8"/>
      <c r="D42" s="8"/>
      <c r="E42" s="8"/>
      <c r="F42" s="8"/>
      <c r="G42" s="8"/>
      <c r="H42" s="8"/>
      <c r="I42" s="11">
        <v>58176.0</v>
      </c>
      <c r="J42" s="11">
        <v>0.885</v>
      </c>
      <c r="K42" s="12" t="s">
        <v>79</v>
      </c>
      <c r="L42" s="5" t="s">
        <v>80</v>
      </c>
      <c r="M42" s="9" t="s">
        <v>62</v>
      </c>
    </row>
    <row r="43">
      <c r="A43" s="8">
        <v>42.0</v>
      </c>
      <c r="B43" s="8"/>
      <c r="C43" s="8"/>
      <c r="D43" s="8"/>
      <c r="E43" s="8"/>
      <c r="F43" s="8"/>
      <c r="G43" s="8"/>
      <c r="H43" s="8"/>
      <c r="I43" s="11">
        <v>58729.0</v>
      </c>
      <c r="J43" s="11">
        <v>0.884</v>
      </c>
      <c r="K43" s="12" t="s">
        <v>79</v>
      </c>
      <c r="L43" s="5" t="s">
        <v>80</v>
      </c>
      <c r="M43" s="9" t="s">
        <v>63</v>
      </c>
    </row>
    <row r="44">
      <c r="A44" s="8">
        <v>43.0</v>
      </c>
      <c r="B44" s="8"/>
      <c r="C44" s="8"/>
      <c r="D44" s="8"/>
      <c r="E44" s="8"/>
      <c r="F44" s="8"/>
      <c r="G44" s="8"/>
      <c r="H44" s="8"/>
      <c r="I44" s="11">
        <v>59117.0</v>
      </c>
      <c r="J44" s="11">
        <v>0.883</v>
      </c>
      <c r="K44" s="12" t="s">
        <v>79</v>
      </c>
      <c r="L44" s="5" t="s">
        <v>80</v>
      </c>
      <c r="M44" s="9" t="s">
        <v>64</v>
      </c>
    </row>
    <row r="45">
      <c r="A45" s="8">
        <v>44.0</v>
      </c>
      <c r="B45" s="8"/>
      <c r="C45" s="8"/>
      <c r="D45" s="8"/>
      <c r="E45" s="8"/>
      <c r="F45" s="8"/>
      <c r="G45" s="8"/>
      <c r="H45" s="8"/>
      <c r="I45" s="11">
        <v>59262.0</v>
      </c>
      <c r="J45" s="11">
        <v>0.882</v>
      </c>
      <c r="K45" s="12" t="s">
        <v>79</v>
      </c>
      <c r="L45" s="5" t="s">
        <v>80</v>
      </c>
      <c r="M45" s="9" t="s">
        <v>65</v>
      </c>
    </row>
    <row r="46">
      <c r="A46" s="8">
        <v>45.0</v>
      </c>
      <c r="B46" s="8"/>
      <c r="C46" s="8"/>
      <c r="D46" s="8"/>
      <c r="E46" s="8"/>
      <c r="F46" s="8"/>
      <c r="G46" s="8"/>
      <c r="H46" s="8"/>
      <c r="I46" s="11">
        <v>59117.0</v>
      </c>
      <c r="J46" s="11">
        <v>0.881</v>
      </c>
      <c r="K46" s="12" t="s">
        <v>79</v>
      </c>
      <c r="L46" s="5" t="s">
        <v>80</v>
      </c>
      <c r="M46" s="9" t="s">
        <v>66</v>
      </c>
    </row>
    <row r="47">
      <c r="A47" s="11">
        <v>46.0</v>
      </c>
      <c r="B47" s="11">
        <v>0.022</v>
      </c>
      <c r="C47" s="8"/>
      <c r="D47" s="8"/>
      <c r="E47" s="8"/>
      <c r="F47" s="8"/>
      <c r="G47" s="8"/>
      <c r="H47" s="8"/>
      <c r="I47" s="11">
        <v>58652.0</v>
      </c>
      <c r="J47" s="11">
        <v>0.88</v>
      </c>
      <c r="K47" s="12" t="s">
        <v>79</v>
      </c>
      <c r="L47" s="5" t="s">
        <v>80</v>
      </c>
      <c r="M47" s="9" t="s">
        <v>67</v>
      </c>
    </row>
    <row r="48">
      <c r="A48" s="8">
        <v>47.0</v>
      </c>
      <c r="B48" s="8"/>
      <c r="C48" s="8"/>
      <c r="D48" s="8"/>
      <c r="E48" s="8"/>
      <c r="F48" s="8"/>
      <c r="G48" s="8"/>
      <c r="H48" s="8"/>
      <c r="I48" s="11">
        <v>57919.0</v>
      </c>
      <c r="J48" s="11">
        <v>0.879</v>
      </c>
      <c r="K48" s="12" t="s">
        <v>79</v>
      </c>
      <c r="L48" s="5" t="s">
        <v>80</v>
      </c>
      <c r="M48" s="9" t="s">
        <v>68</v>
      </c>
    </row>
    <row r="49">
      <c r="A49" s="8">
        <v>48.0</v>
      </c>
      <c r="B49" s="8"/>
      <c r="C49" s="8"/>
      <c r="D49" s="8"/>
      <c r="E49" s="8"/>
      <c r="F49" s="8"/>
      <c r="G49" s="8"/>
      <c r="H49" s="8"/>
      <c r="I49" s="11">
        <v>57053.0</v>
      </c>
      <c r="J49" s="11">
        <v>0.878</v>
      </c>
      <c r="K49" s="12" t="s">
        <v>79</v>
      </c>
      <c r="L49" s="5" t="s">
        <v>80</v>
      </c>
      <c r="M49" s="9" t="s">
        <v>69</v>
      </c>
    </row>
    <row r="50">
      <c r="A50" s="8">
        <v>49.0</v>
      </c>
      <c r="B50" s="8"/>
      <c r="C50" s="8"/>
      <c r="D50" s="8"/>
      <c r="E50" s="8"/>
      <c r="F50" s="8"/>
      <c r="G50" s="8"/>
      <c r="H50" s="8"/>
      <c r="I50" s="11">
        <v>56245.0</v>
      </c>
      <c r="J50" s="11">
        <v>0.877</v>
      </c>
      <c r="K50" s="12" t="s">
        <v>79</v>
      </c>
      <c r="L50" s="5" t="s">
        <v>80</v>
      </c>
      <c r="M50" s="9" t="s">
        <v>70</v>
      </c>
    </row>
    <row r="51">
      <c r="A51" s="11">
        <v>50.0</v>
      </c>
      <c r="B51" s="11">
        <v>0.019</v>
      </c>
      <c r="C51" s="8"/>
      <c r="D51" s="8"/>
      <c r="E51" s="8"/>
      <c r="F51" s="8"/>
      <c r="G51" s="8"/>
      <c r="H51" s="8"/>
      <c r="I51" s="11">
        <v>55636.0</v>
      </c>
      <c r="J51" s="11">
        <v>0.876</v>
      </c>
      <c r="K51" s="12" t="s">
        <v>79</v>
      </c>
      <c r="L51" s="5" t="s">
        <v>80</v>
      </c>
      <c r="M51" s="9" t="s">
        <v>71</v>
      </c>
    </row>
    <row r="52">
      <c r="A52" s="8">
        <v>51.0</v>
      </c>
      <c r="B52" s="8"/>
      <c r="C52" s="8"/>
      <c r="D52" s="8"/>
      <c r="E52" s="8"/>
      <c r="F52" s="8"/>
      <c r="G52" s="8"/>
      <c r="H52" s="8"/>
      <c r="I52" s="11">
        <v>55274.0</v>
      </c>
      <c r="J52" s="11">
        <v>0.875</v>
      </c>
      <c r="K52" s="12" t="s">
        <v>79</v>
      </c>
      <c r="L52" s="5" t="s">
        <v>80</v>
      </c>
      <c r="M52" s="9" t="s">
        <v>72</v>
      </c>
    </row>
    <row r="53">
      <c r="A53" s="8">
        <v>52.0</v>
      </c>
      <c r="B53" s="8"/>
      <c r="C53" s="8"/>
      <c r="D53" s="8"/>
      <c r="E53" s="8"/>
      <c r="F53" s="8"/>
      <c r="G53" s="8"/>
      <c r="H53" s="8"/>
      <c r="I53" s="11">
        <v>55128.0</v>
      </c>
      <c r="J53" s="11">
        <v>0.874</v>
      </c>
      <c r="K53" s="12" t="s">
        <v>79</v>
      </c>
      <c r="L53" s="5" t="s">
        <v>80</v>
      </c>
      <c r="M53" s="9" t="s">
        <v>73</v>
      </c>
    </row>
    <row r="54">
      <c r="A54" s="11">
        <v>53.0</v>
      </c>
      <c r="B54" s="11">
        <v>0.011</v>
      </c>
      <c r="C54" s="11">
        <v>0.004</v>
      </c>
      <c r="D54" s="8"/>
      <c r="E54" s="8"/>
      <c r="F54" s="8"/>
      <c r="G54" s="8"/>
      <c r="H54" s="8"/>
      <c r="I54" s="11">
        <v>65399.0</v>
      </c>
      <c r="J54" s="11">
        <v>0.924</v>
      </c>
      <c r="K54" s="12" t="s">
        <v>81</v>
      </c>
      <c r="L54" s="5" t="s">
        <v>75</v>
      </c>
      <c r="M54" s="9" t="s">
        <v>60</v>
      </c>
    </row>
    <row r="55">
      <c r="A55" s="11">
        <v>54.0</v>
      </c>
      <c r="B55" s="11">
        <v>0.012</v>
      </c>
      <c r="C55" s="11">
        <v>0.004</v>
      </c>
      <c r="D55" s="8"/>
      <c r="E55" s="8"/>
      <c r="F55" s="8"/>
      <c r="G55" s="8"/>
      <c r="H55" s="8"/>
      <c r="I55" s="11">
        <v>68000.0</v>
      </c>
      <c r="J55" s="11">
        <v>0.921</v>
      </c>
      <c r="K55" s="12" t="s">
        <v>81</v>
      </c>
      <c r="L55" s="5" t="s">
        <v>75</v>
      </c>
      <c r="M55" s="9" t="s">
        <v>62</v>
      </c>
    </row>
    <row r="56">
      <c r="A56" s="11">
        <v>55.0</v>
      </c>
      <c r="B56" s="11">
        <v>0.011</v>
      </c>
      <c r="C56" s="11">
        <v>0.004</v>
      </c>
      <c r="D56" s="8"/>
      <c r="E56" s="8"/>
      <c r="F56" s="8"/>
      <c r="G56" s="8"/>
      <c r="H56" s="8"/>
      <c r="I56" s="11">
        <v>71639.0</v>
      </c>
      <c r="J56" s="11">
        <v>0.916</v>
      </c>
      <c r="K56" s="12" t="s">
        <v>81</v>
      </c>
      <c r="L56" s="5" t="s">
        <v>75</v>
      </c>
      <c r="M56" s="9" t="s">
        <v>63</v>
      </c>
    </row>
    <row r="57">
      <c r="A57" s="11">
        <v>56.0</v>
      </c>
      <c r="B57" s="11">
        <v>0.01</v>
      </c>
      <c r="C57" s="11">
        <v>0.003</v>
      </c>
      <c r="D57" s="8"/>
      <c r="E57" s="8"/>
      <c r="F57" s="8"/>
      <c r="G57" s="8"/>
      <c r="H57" s="8"/>
      <c r="I57" s="11">
        <v>75643.0</v>
      </c>
      <c r="J57" s="11">
        <v>0.912</v>
      </c>
      <c r="K57" s="12" t="s">
        <v>81</v>
      </c>
      <c r="L57" s="5" t="s">
        <v>75</v>
      </c>
      <c r="M57" s="9" t="s">
        <v>64</v>
      </c>
    </row>
    <row r="58">
      <c r="A58" s="11">
        <v>57.0</v>
      </c>
      <c r="B58" s="11">
        <v>0.011</v>
      </c>
      <c r="C58" s="11">
        <v>0.003</v>
      </c>
      <c r="D58" s="8"/>
      <c r="E58" s="8"/>
      <c r="F58" s="8"/>
      <c r="G58" s="8"/>
      <c r="H58" s="8"/>
      <c r="I58" s="11">
        <v>79060.0</v>
      </c>
      <c r="J58" s="11">
        <v>0.908</v>
      </c>
      <c r="K58" s="12" t="s">
        <v>81</v>
      </c>
      <c r="L58" s="5" t="s">
        <v>75</v>
      </c>
      <c r="M58" s="9" t="s">
        <v>65</v>
      </c>
    </row>
    <row r="59">
      <c r="A59" s="11">
        <v>58.0</v>
      </c>
      <c r="B59" s="11">
        <v>0.011</v>
      </c>
      <c r="C59" s="11">
        <v>0.003</v>
      </c>
      <c r="D59" s="8"/>
      <c r="E59" s="8"/>
      <c r="F59" s="8"/>
      <c r="G59" s="8"/>
      <c r="H59" s="8"/>
      <c r="I59" s="11">
        <v>81223.0</v>
      </c>
      <c r="J59" s="11">
        <v>0.903</v>
      </c>
      <c r="K59" s="12" t="s">
        <v>81</v>
      </c>
      <c r="L59" s="5" t="s">
        <v>75</v>
      </c>
      <c r="M59" s="9" t="s">
        <v>66</v>
      </c>
    </row>
    <row r="60">
      <c r="A60" s="11">
        <v>59.0</v>
      </c>
      <c r="B60" s="11">
        <v>0.011</v>
      </c>
      <c r="C60" s="11">
        <v>0.003</v>
      </c>
      <c r="D60" s="8"/>
      <c r="E60" s="8"/>
      <c r="F60" s="8"/>
      <c r="G60" s="8"/>
      <c r="H60" s="8"/>
      <c r="I60" s="11">
        <v>81877.0</v>
      </c>
      <c r="J60" s="11">
        <v>0.898</v>
      </c>
      <c r="K60" s="12" t="s">
        <v>81</v>
      </c>
      <c r="L60" s="5" t="s">
        <v>75</v>
      </c>
      <c r="M60" s="9" t="s">
        <v>67</v>
      </c>
    </row>
    <row r="61">
      <c r="A61" s="11">
        <v>60.0</v>
      </c>
      <c r="B61" s="11">
        <v>0.01</v>
      </c>
      <c r="C61" s="11">
        <v>0.003</v>
      </c>
      <c r="D61" s="8"/>
      <c r="E61" s="8"/>
      <c r="F61" s="8"/>
      <c r="G61" s="8"/>
      <c r="H61" s="8"/>
      <c r="I61" s="11">
        <v>81292.0</v>
      </c>
      <c r="J61" s="11">
        <v>0.894</v>
      </c>
      <c r="K61" s="12" t="s">
        <v>81</v>
      </c>
      <c r="L61" s="5" t="s">
        <v>75</v>
      </c>
      <c r="M61" s="9" t="s">
        <v>68</v>
      </c>
    </row>
    <row r="62">
      <c r="A62" s="11">
        <v>61.0</v>
      </c>
      <c r="B62" s="11">
        <v>0.01</v>
      </c>
      <c r="C62" s="11">
        <v>0.003</v>
      </c>
      <c r="D62" s="8"/>
      <c r="E62" s="8"/>
      <c r="F62" s="8"/>
      <c r="G62" s="8"/>
      <c r="H62" s="8"/>
      <c r="I62" s="11">
        <v>79969.0</v>
      </c>
      <c r="J62" s="11">
        <v>0.889</v>
      </c>
      <c r="K62" s="12" t="s">
        <v>81</v>
      </c>
      <c r="L62" s="5" t="s">
        <v>75</v>
      </c>
      <c r="M62" s="9" t="s">
        <v>69</v>
      </c>
    </row>
    <row r="63">
      <c r="A63" s="11">
        <v>62.0</v>
      </c>
      <c r="B63" s="11">
        <v>0.01</v>
      </c>
      <c r="C63" s="11">
        <v>0.003</v>
      </c>
      <c r="D63" s="8"/>
      <c r="E63" s="8"/>
      <c r="F63" s="8"/>
      <c r="G63" s="8"/>
      <c r="H63" s="8"/>
      <c r="I63" s="11">
        <v>78659.0</v>
      </c>
      <c r="J63" s="11">
        <v>0.884</v>
      </c>
      <c r="K63" s="12" t="s">
        <v>81</v>
      </c>
      <c r="L63" s="5" t="s">
        <v>75</v>
      </c>
      <c r="M63" s="9" t="s">
        <v>70</v>
      </c>
    </row>
    <row r="64">
      <c r="A64" s="11">
        <v>63.0</v>
      </c>
      <c r="B64" s="11">
        <v>0.01</v>
      </c>
      <c r="C64" s="11">
        <v>0.002</v>
      </c>
      <c r="D64" s="8"/>
      <c r="E64" s="8"/>
      <c r="F64" s="8"/>
      <c r="G64" s="8"/>
      <c r="H64" s="8"/>
      <c r="I64" s="11">
        <v>77907.0</v>
      </c>
      <c r="J64" s="11">
        <v>0.878</v>
      </c>
      <c r="K64" s="12" t="s">
        <v>81</v>
      </c>
      <c r="L64" s="5" t="s">
        <v>75</v>
      </c>
      <c r="M64" s="9" t="s">
        <v>71</v>
      </c>
    </row>
    <row r="65">
      <c r="A65" s="8">
        <v>64.0</v>
      </c>
      <c r="B65" s="8"/>
      <c r="C65" s="11">
        <v>0.002</v>
      </c>
      <c r="D65" s="8"/>
      <c r="E65" s="8"/>
      <c r="F65" s="8"/>
      <c r="G65" s="8"/>
      <c r="H65" s="8"/>
      <c r="I65" s="11">
        <v>77865.0</v>
      </c>
      <c r="J65" s="11">
        <v>0.873</v>
      </c>
      <c r="K65" s="12" t="s">
        <v>81</v>
      </c>
      <c r="L65" s="5" t="s">
        <v>75</v>
      </c>
      <c r="M65" s="9" t="s">
        <v>72</v>
      </c>
    </row>
    <row r="66">
      <c r="A66" s="11">
        <v>65.0</v>
      </c>
      <c r="B66" s="11">
        <v>0.01</v>
      </c>
      <c r="C66" s="11">
        <v>0.002</v>
      </c>
      <c r="D66" s="8"/>
      <c r="E66" s="8"/>
      <c r="F66" s="8"/>
      <c r="G66" s="8"/>
      <c r="H66" s="8"/>
      <c r="I66" s="11">
        <v>78360.0</v>
      </c>
      <c r="J66" s="11">
        <v>0.867</v>
      </c>
      <c r="K66" s="12" t="s">
        <v>81</v>
      </c>
      <c r="L66" s="5" t="s">
        <v>75</v>
      </c>
      <c r="M66" s="9" t="s">
        <v>73</v>
      </c>
    </row>
    <row r="67">
      <c r="A67" s="11">
        <v>66.0</v>
      </c>
      <c r="B67" s="11">
        <v>0.05</v>
      </c>
      <c r="C67" s="11">
        <v>0.128</v>
      </c>
      <c r="D67" s="11">
        <v>47.0</v>
      </c>
      <c r="E67" s="11">
        <v>44.0</v>
      </c>
      <c r="F67" s="11">
        <v>0.476</v>
      </c>
      <c r="G67" s="11">
        <v>0.499</v>
      </c>
      <c r="H67" s="11">
        <v>0.025</v>
      </c>
      <c r="I67" s="11">
        <v>1.392493E7</v>
      </c>
      <c r="J67" s="11">
        <v>0.324</v>
      </c>
      <c r="K67" s="12" t="s">
        <v>82</v>
      </c>
      <c r="L67" s="5" t="s">
        <v>77</v>
      </c>
      <c r="M67" s="9" t="s">
        <v>60</v>
      </c>
    </row>
    <row r="68">
      <c r="A68" s="11">
        <v>67.0</v>
      </c>
      <c r="B68" s="11">
        <v>0.05</v>
      </c>
      <c r="C68" s="11">
        <v>0.127</v>
      </c>
      <c r="D68" s="11">
        <v>47.0</v>
      </c>
      <c r="E68" s="11">
        <v>45.0</v>
      </c>
      <c r="F68" s="11">
        <v>0.477</v>
      </c>
      <c r="G68" s="11">
        <v>0.499</v>
      </c>
      <c r="H68" s="11">
        <v>0.025</v>
      </c>
      <c r="I68" s="11">
        <v>1.4385283E7</v>
      </c>
      <c r="J68" s="11">
        <v>0.332</v>
      </c>
      <c r="K68" s="12" t="s">
        <v>82</v>
      </c>
      <c r="L68" s="5" t="s">
        <v>77</v>
      </c>
      <c r="M68" s="9" t="s">
        <v>62</v>
      </c>
    </row>
    <row r="69">
      <c r="A69" s="11">
        <v>68.0</v>
      </c>
      <c r="B69" s="11">
        <v>0.05</v>
      </c>
      <c r="C69" s="11">
        <v>0.126</v>
      </c>
      <c r="D69" s="11">
        <v>48.0</v>
      </c>
      <c r="E69" s="11">
        <v>45.0</v>
      </c>
      <c r="F69" s="11">
        <v>0.477</v>
      </c>
      <c r="G69" s="11">
        <v>0.499</v>
      </c>
      <c r="H69" s="11">
        <v>0.025</v>
      </c>
      <c r="I69" s="11">
        <v>1.4886574E7</v>
      </c>
      <c r="J69" s="11">
        <v>0.339</v>
      </c>
      <c r="K69" s="12" t="s">
        <v>82</v>
      </c>
      <c r="L69" s="5" t="s">
        <v>77</v>
      </c>
      <c r="M69" s="9" t="s">
        <v>63</v>
      </c>
    </row>
    <row r="70">
      <c r="A70" s="11">
        <v>69.0</v>
      </c>
      <c r="B70" s="11">
        <v>0.05</v>
      </c>
      <c r="C70" s="11">
        <v>0.125</v>
      </c>
      <c r="D70" s="11">
        <v>49.0</v>
      </c>
      <c r="E70" s="11">
        <v>46.0</v>
      </c>
      <c r="F70" s="11">
        <v>0.477</v>
      </c>
      <c r="G70" s="11">
        <v>0.498</v>
      </c>
      <c r="H70" s="11">
        <v>0.025</v>
      </c>
      <c r="I70" s="11">
        <v>1.5421075E7</v>
      </c>
      <c r="J70" s="11">
        <v>0.346</v>
      </c>
      <c r="K70" s="12" t="s">
        <v>82</v>
      </c>
      <c r="L70" s="5" t="s">
        <v>77</v>
      </c>
      <c r="M70" s="9" t="s">
        <v>64</v>
      </c>
    </row>
    <row r="71">
      <c r="A71" s="11">
        <v>70.0</v>
      </c>
      <c r="B71" s="11">
        <v>0.05</v>
      </c>
      <c r="C71" s="11">
        <v>0.123</v>
      </c>
      <c r="D71" s="11">
        <v>49.0</v>
      </c>
      <c r="E71" s="11">
        <v>47.0</v>
      </c>
      <c r="F71" s="11">
        <v>0.477</v>
      </c>
      <c r="G71" s="11">
        <v>0.498</v>
      </c>
      <c r="H71" s="11">
        <v>0.025</v>
      </c>
      <c r="I71" s="11">
        <v>1.5976715E7</v>
      </c>
      <c r="J71" s="11">
        <v>0.354</v>
      </c>
      <c r="K71" s="12" t="s">
        <v>82</v>
      </c>
      <c r="L71" s="5" t="s">
        <v>77</v>
      </c>
      <c r="M71" s="9" t="s">
        <v>65</v>
      </c>
    </row>
    <row r="72">
      <c r="A72" s="11">
        <v>71.0</v>
      </c>
      <c r="B72" s="11">
        <v>0.049</v>
      </c>
      <c r="C72" s="11">
        <v>0.122</v>
      </c>
      <c r="D72" s="11">
        <v>50.0</v>
      </c>
      <c r="E72" s="11">
        <v>47.0</v>
      </c>
      <c r="F72" s="11">
        <v>0.478</v>
      </c>
      <c r="G72" s="11">
        <v>0.498</v>
      </c>
      <c r="H72" s="11">
        <v>0.025</v>
      </c>
      <c r="I72" s="11">
        <v>1.6544376E7</v>
      </c>
      <c r="J72" s="11">
        <v>0.362</v>
      </c>
      <c r="K72" s="12" t="s">
        <v>82</v>
      </c>
      <c r="L72" s="5" t="s">
        <v>77</v>
      </c>
      <c r="M72" s="9" t="s">
        <v>66</v>
      </c>
    </row>
    <row r="73">
      <c r="A73" s="11">
        <v>72.0</v>
      </c>
      <c r="B73" s="11">
        <v>0.049</v>
      </c>
      <c r="C73" s="11">
        <v>0.12</v>
      </c>
      <c r="D73" s="11">
        <v>50.0</v>
      </c>
      <c r="E73" s="11">
        <v>48.0</v>
      </c>
      <c r="F73" s="11">
        <v>0.478</v>
      </c>
      <c r="G73" s="11">
        <v>0.497</v>
      </c>
      <c r="H73" s="11">
        <v>0.024</v>
      </c>
      <c r="I73" s="11">
        <v>1.7122409E7</v>
      </c>
      <c r="J73" s="11">
        <v>0.369</v>
      </c>
      <c r="K73" s="12" t="s">
        <v>82</v>
      </c>
      <c r="L73" s="5" t="s">
        <v>77</v>
      </c>
      <c r="M73" s="9" t="s">
        <v>67</v>
      </c>
    </row>
    <row r="74">
      <c r="A74" s="11">
        <v>73.0</v>
      </c>
      <c r="B74" s="11">
        <v>0.048</v>
      </c>
      <c r="C74" s="11">
        <v>0.117</v>
      </c>
      <c r="D74" s="11">
        <v>51.0</v>
      </c>
      <c r="E74" s="11">
        <v>48.0</v>
      </c>
      <c r="F74" s="11">
        <v>0.479</v>
      </c>
      <c r="G74" s="11">
        <v>0.497</v>
      </c>
      <c r="H74" s="11">
        <v>0.024</v>
      </c>
      <c r="I74" s="11">
        <v>1.7712824E7</v>
      </c>
      <c r="J74" s="11">
        <v>0.377</v>
      </c>
      <c r="K74" s="12" t="s">
        <v>82</v>
      </c>
      <c r="L74" s="5" t="s">
        <v>77</v>
      </c>
      <c r="M74" s="9" t="s">
        <v>68</v>
      </c>
    </row>
    <row r="75">
      <c r="A75" s="11">
        <v>74.0</v>
      </c>
      <c r="B75" s="11">
        <v>0.048</v>
      </c>
      <c r="C75" s="11">
        <v>0.115</v>
      </c>
      <c r="D75" s="11">
        <v>51.0</v>
      </c>
      <c r="E75" s="11">
        <v>48.0</v>
      </c>
      <c r="F75" s="11">
        <v>0.479</v>
      </c>
      <c r="G75" s="11">
        <v>0.497</v>
      </c>
      <c r="H75" s="11">
        <v>0.024</v>
      </c>
      <c r="I75" s="11">
        <v>1.8314441E7</v>
      </c>
      <c r="J75" s="11">
        <v>0.385</v>
      </c>
      <c r="K75" s="12" t="s">
        <v>82</v>
      </c>
      <c r="L75" s="5" t="s">
        <v>77</v>
      </c>
      <c r="M75" s="9" t="s">
        <v>69</v>
      </c>
    </row>
    <row r="76">
      <c r="A76" s="11">
        <v>75.0</v>
      </c>
      <c r="B76" s="11">
        <v>0.047</v>
      </c>
      <c r="C76" s="11">
        <v>0.112</v>
      </c>
      <c r="D76" s="11">
        <v>52.0</v>
      </c>
      <c r="E76" s="11">
        <v>49.0</v>
      </c>
      <c r="F76" s="11">
        <v>0.479</v>
      </c>
      <c r="G76" s="11">
        <v>0.497</v>
      </c>
      <c r="H76" s="11">
        <v>0.024</v>
      </c>
      <c r="I76" s="11">
        <v>1.892665E7</v>
      </c>
      <c r="J76" s="11">
        <v>0.393</v>
      </c>
      <c r="K76" s="12" t="s">
        <v>82</v>
      </c>
      <c r="L76" s="5" t="s">
        <v>77</v>
      </c>
      <c r="M76" s="9" t="s">
        <v>70</v>
      </c>
    </row>
    <row r="77">
      <c r="A77" s="11">
        <v>76.0</v>
      </c>
      <c r="B77" s="11">
        <v>0.046</v>
      </c>
      <c r="C77" s="11">
        <v>0.11</v>
      </c>
      <c r="D77" s="11">
        <v>52.0</v>
      </c>
      <c r="E77" s="11">
        <v>49.0</v>
      </c>
      <c r="F77" s="11">
        <v>0.478</v>
      </c>
      <c r="G77" s="11">
        <v>0.498</v>
      </c>
      <c r="H77" s="11">
        <v>0.024</v>
      </c>
      <c r="I77" s="11">
        <v>1.9549124E7</v>
      </c>
      <c r="J77" s="11">
        <v>0.401</v>
      </c>
      <c r="K77" s="12" t="s">
        <v>82</v>
      </c>
      <c r="L77" s="5" t="s">
        <v>77</v>
      </c>
      <c r="M77" s="9" t="s">
        <v>71</v>
      </c>
    </row>
    <row r="78">
      <c r="A78" s="11">
        <v>77.0</v>
      </c>
      <c r="B78" s="11">
        <v>0.046</v>
      </c>
      <c r="C78" s="11">
        <v>0.107</v>
      </c>
      <c r="D78" s="11">
        <v>53.0</v>
      </c>
      <c r="E78" s="11">
        <v>50.0</v>
      </c>
      <c r="F78" s="11">
        <v>0.477</v>
      </c>
      <c r="G78" s="11">
        <v>0.499</v>
      </c>
      <c r="H78" s="11">
        <v>0.024</v>
      </c>
      <c r="I78" s="11">
        <v>2.018049E7</v>
      </c>
      <c r="J78" s="11">
        <v>0.409</v>
      </c>
      <c r="K78" s="12" t="s">
        <v>82</v>
      </c>
      <c r="L78" s="5" t="s">
        <v>77</v>
      </c>
      <c r="M78" s="9" t="s">
        <v>72</v>
      </c>
    </row>
    <row r="79">
      <c r="A79" s="11">
        <v>78.0</v>
      </c>
      <c r="B79" s="11">
        <v>0.045</v>
      </c>
      <c r="C79" s="11">
        <v>0.104</v>
      </c>
      <c r="D79" s="11">
        <v>53.0</v>
      </c>
      <c r="E79" s="11">
        <v>50.0</v>
      </c>
      <c r="F79" s="11">
        <v>0.476</v>
      </c>
      <c r="G79" s="11">
        <v>0.5</v>
      </c>
      <c r="H79" s="11">
        <v>0.024</v>
      </c>
      <c r="I79" s="11">
        <v>2.0820525E7</v>
      </c>
      <c r="J79" s="11">
        <v>0.417</v>
      </c>
      <c r="K79" s="12" t="s">
        <v>82</v>
      </c>
      <c r="L79" s="5" t="s">
        <v>77</v>
      </c>
      <c r="M79" s="9" t="s">
        <v>73</v>
      </c>
    </row>
    <row r="80">
      <c r="A80" s="11">
        <v>79.0</v>
      </c>
      <c r="B80" s="11">
        <v>0.02</v>
      </c>
      <c r="C80" s="11">
        <v>0.014</v>
      </c>
      <c r="D80" s="11">
        <v>76.0</v>
      </c>
      <c r="E80" s="11">
        <v>71.0</v>
      </c>
      <c r="F80" s="11">
        <v>0.292</v>
      </c>
      <c r="G80" s="11">
        <v>0.637</v>
      </c>
      <c r="H80" s="11">
        <v>0.071</v>
      </c>
      <c r="I80" s="11">
        <v>77648.0</v>
      </c>
      <c r="J80" s="11">
        <v>0.321</v>
      </c>
      <c r="K80" s="12" t="s">
        <v>83</v>
      </c>
      <c r="L80" s="5" t="s">
        <v>84</v>
      </c>
      <c r="M80" s="9" t="s">
        <v>60</v>
      </c>
    </row>
    <row r="81">
      <c r="A81" s="11">
        <v>80.0</v>
      </c>
      <c r="B81" s="11">
        <v>0.02</v>
      </c>
      <c r="C81" s="11">
        <v>0.013</v>
      </c>
      <c r="D81" s="11">
        <v>76.0</v>
      </c>
      <c r="E81" s="11">
        <v>71.0</v>
      </c>
      <c r="F81" s="11">
        <v>0.291</v>
      </c>
      <c r="G81" s="11">
        <v>0.639</v>
      </c>
      <c r="H81" s="11">
        <v>0.07</v>
      </c>
      <c r="I81" s="11">
        <v>78972.0</v>
      </c>
      <c r="J81" s="11">
        <v>0.317</v>
      </c>
      <c r="K81" s="12" t="s">
        <v>83</v>
      </c>
      <c r="L81" s="5" t="s">
        <v>84</v>
      </c>
      <c r="M81" s="9" t="s">
        <v>62</v>
      </c>
    </row>
    <row r="82">
      <c r="A82" s="11">
        <v>81.0</v>
      </c>
      <c r="B82" s="11">
        <v>0.02</v>
      </c>
      <c r="C82" s="11">
        <v>0.012</v>
      </c>
      <c r="D82" s="11">
        <v>76.0</v>
      </c>
      <c r="E82" s="11">
        <v>71.0</v>
      </c>
      <c r="F82" s="11">
        <v>0.29</v>
      </c>
      <c r="G82" s="11">
        <v>0.64</v>
      </c>
      <c r="H82" s="11">
        <v>0.07</v>
      </c>
      <c r="I82" s="11">
        <v>80030.0</v>
      </c>
      <c r="J82" s="11">
        <v>0.311</v>
      </c>
      <c r="K82" s="12" t="s">
        <v>83</v>
      </c>
      <c r="L82" s="5" t="s">
        <v>84</v>
      </c>
      <c r="M82" s="9" t="s">
        <v>63</v>
      </c>
    </row>
    <row r="83">
      <c r="A83" s="11">
        <v>82.0</v>
      </c>
      <c r="B83" s="11">
        <v>0.019</v>
      </c>
      <c r="C83" s="11">
        <v>0.012</v>
      </c>
      <c r="D83" s="11">
        <v>77.0</v>
      </c>
      <c r="E83" s="11">
        <v>72.0</v>
      </c>
      <c r="F83" s="11">
        <v>0.288</v>
      </c>
      <c r="G83" s="11">
        <v>0.64</v>
      </c>
      <c r="H83" s="11">
        <v>0.071</v>
      </c>
      <c r="I83" s="11">
        <v>80904.0</v>
      </c>
      <c r="J83" s="11">
        <v>0.305</v>
      </c>
      <c r="K83" s="12" t="s">
        <v>83</v>
      </c>
      <c r="L83" s="5" t="s">
        <v>84</v>
      </c>
      <c r="M83" s="9" t="s">
        <v>64</v>
      </c>
    </row>
    <row r="84">
      <c r="A84" s="11">
        <v>83.0</v>
      </c>
      <c r="B84" s="11">
        <v>0.019</v>
      </c>
      <c r="C84" s="11">
        <v>0.011</v>
      </c>
      <c r="D84" s="11">
        <v>77.0</v>
      </c>
      <c r="E84" s="11">
        <v>72.0</v>
      </c>
      <c r="F84" s="11">
        <v>0.286</v>
      </c>
      <c r="G84" s="11">
        <v>0.642</v>
      </c>
      <c r="H84" s="11">
        <v>0.072</v>
      </c>
      <c r="I84" s="11">
        <v>81718.0</v>
      </c>
      <c r="J84" s="11">
        <v>0.298</v>
      </c>
      <c r="K84" s="12" t="s">
        <v>83</v>
      </c>
      <c r="L84" s="5" t="s">
        <v>84</v>
      </c>
      <c r="M84" s="9" t="s">
        <v>65</v>
      </c>
    </row>
    <row r="85">
      <c r="A85" s="11">
        <v>84.0</v>
      </c>
      <c r="B85" s="11">
        <v>0.019</v>
      </c>
      <c r="C85" s="11">
        <v>0.011</v>
      </c>
      <c r="D85" s="11">
        <v>77.0</v>
      </c>
      <c r="E85" s="11">
        <v>72.0</v>
      </c>
      <c r="F85" s="11">
        <v>0.283</v>
      </c>
      <c r="G85" s="11">
        <v>0.644</v>
      </c>
      <c r="H85" s="11">
        <v>0.073</v>
      </c>
      <c r="I85" s="11">
        <v>82565.0</v>
      </c>
      <c r="J85" s="11">
        <v>0.292</v>
      </c>
      <c r="K85" s="12" t="s">
        <v>83</v>
      </c>
      <c r="L85" s="5" t="s">
        <v>84</v>
      </c>
      <c r="M85" s="9" t="s">
        <v>66</v>
      </c>
    </row>
    <row r="86">
      <c r="A86" s="11">
        <v>85.0</v>
      </c>
      <c r="B86" s="11">
        <v>0.018</v>
      </c>
      <c r="C86" s="11">
        <v>0.01</v>
      </c>
      <c r="D86" s="11">
        <v>77.0</v>
      </c>
      <c r="E86" s="11">
        <v>72.0</v>
      </c>
      <c r="F86" s="11">
        <v>0.28</v>
      </c>
      <c r="G86" s="11">
        <v>0.647</v>
      </c>
      <c r="H86" s="11">
        <v>0.073</v>
      </c>
      <c r="I86" s="11">
        <v>83467.0</v>
      </c>
      <c r="J86" s="11">
        <v>0.286</v>
      </c>
      <c r="K86" s="12" t="s">
        <v>83</v>
      </c>
      <c r="L86" s="5" t="s">
        <v>84</v>
      </c>
      <c r="M86" s="9" t="s">
        <v>67</v>
      </c>
    </row>
    <row r="87">
      <c r="A87" s="11">
        <v>86.0</v>
      </c>
      <c r="B87" s="11">
        <v>0.018</v>
      </c>
      <c r="C87" s="11">
        <v>0.01</v>
      </c>
      <c r="D87" s="11">
        <v>77.0</v>
      </c>
      <c r="E87" s="11">
        <v>72.0</v>
      </c>
      <c r="F87" s="11">
        <v>0.276</v>
      </c>
      <c r="G87" s="11">
        <v>0.651</v>
      </c>
      <c r="H87" s="11">
        <v>0.073</v>
      </c>
      <c r="I87" s="11">
        <v>84397.0</v>
      </c>
      <c r="J87" s="11">
        <v>0.28</v>
      </c>
      <c r="K87" s="12" t="s">
        <v>83</v>
      </c>
      <c r="L87" s="5" t="s">
        <v>84</v>
      </c>
      <c r="M87" s="9" t="s">
        <v>68</v>
      </c>
    </row>
    <row r="88">
      <c r="A88" s="11">
        <v>87.0</v>
      </c>
      <c r="B88" s="11">
        <v>0.018</v>
      </c>
      <c r="C88" s="11">
        <v>0.009</v>
      </c>
      <c r="D88" s="11">
        <v>77.0</v>
      </c>
      <c r="E88" s="11">
        <v>73.0</v>
      </c>
      <c r="F88" s="11">
        <v>0.271</v>
      </c>
      <c r="G88" s="11">
        <v>0.656</v>
      </c>
      <c r="H88" s="11">
        <v>0.073</v>
      </c>
      <c r="I88" s="11">
        <v>85349.0</v>
      </c>
      <c r="J88" s="11">
        <v>0.274</v>
      </c>
      <c r="K88" s="12" t="s">
        <v>83</v>
      </c>
      <c r="L88" s="5" t="s">
        <v>84</v>
      </c>
      <c r="M88" s="9" t="s">
        <v>69</v>
      </c>
    </row>
    <row r="89">
      <c r="A89" s="11">
        <v>88.0</v>
      </c>
      <c r="B89" s="11">
        <v>0.017</v>
      </c>
      <c r="C89" s="11">
        <v>0.009</v>
      </c>
      <c r="D89" s="11">
        <v>78.0</v>
      </c>
      <c r="E89" s="11">
        <v>73.0</v>
      </c>
      <c r="F89" s="11">
        <v>0.267</v>
      </c>
      <c r="G89" s="11">
        <v>0.661</v>
      </c>
      <c r="H89" s="11">
        <v>0.073</v>
      </c>
      <c r="I89" s="11">
        <v>86300.0</v>
      </c>
      <c r="J89" s="11">
        <v>0.268</v>
      </c>
      <c r="K89" s="12" t="s">
        <v>83</v>
      </c>
      <c r="L89" s="5" t="s">
        <v>84</v>
      </c>
      <c r="M89" s="9" t="s">
        <v>70</v>
      </c>
    </row>
    <row r="90">
      <c r="A90" s="11">
        <v>89.0</v>
      </c>
      <c r="B90" s="11">
        <v>0.017</v>
      </c>
      <c r="C90" s="11">
        <v>0.009</v>
      </c>
      <c r="D90" s="11">
        <v>78.0</v>
      </c>
      <c r="E90" s="11">
        <v>73.0</v>
      </c>
      <c r="F90" s="11">
        <v>0.262</v>
      </c>
      <c r="G90" s="11">
        <v>0.665</v>
      </c>
      <c r="H90" s="11">
        <v>0.072</v>
      </c>
      <c r="I90" s="11">
        <v>87233.0</v>
      </c>
      <c r="J90" s="11">
        <v>0.262</v>
      </c>
      <c r="K90" s="12" t="s">
        <v>83</v>
      </c>
      <c r="L90" s="5" t="s">
        <v>84</v>
      </c>
      <c r="M90" s="9" t="s">
        <v>71</v>
      </c>
    </row>
    <row r="91">
      <c r="A91" s="11">
        <v>90.0</v>
      </c>
      <c r="B91" s="11">
        <v>0.017</v>
      </c>
      <c r="C91" s="11">
        <v>0.008</v>
      </c>
      <c r="D91" s="11">
        <v>78.0</v>
      </c>
      <c r="E91" s="11">
        <v>73.0</v>
      </c>
      <c r="F91" s="11">
        <v>0.258</v>
      </c>
      <c r="G91" s="11">
        <v>0.67</v>
      </c>
      <c r="H91" s="11">
        <v>0.072</v>
      </c>
      <c r="I91" s="11">
        <v>88152.0</v>
      </c>
      <c r="J91" s="11">
        <v>0.257</v>
      </c>
      <c r="K91" s="12" t="s">
        <v>83</v>
      </c>
      <c r="L91" s="5" t="s">
        <v>84</v>
      </c>
      <c r="M91" s="9" t="s">
        <v>72</v>
      </c>
    </row>
    <row r="92">
      <c r="A92" s="11">
        <v>91.0</v>
      </c>
      <c r="B92" s="11">
        <v>0.017</v>
      </c>
      <c r="C92" s="11">
        <v>0.008</v>
      </c>
      <c r="D92" s="11">
        <v>78.0</v>
      </c>
      <c r="E92" s="11">
        <v>73.0</v>
      </c>
      <c r="F92" s="11">
        <v>0.254</v>
      </c>
      <c r="G92" s="11">
        <v>0.675</v>
      </c>
      <c r="H92" s="11">
        <v>0.071</v>
      </c>
      <c r="I92" s="11">
        <v>89069.0</v>
      </c>
      <c r="J92" s="11">
        <v>0.251</v>
      </c>
      <c r="K92" s="12" t="s">
        <v>83</v>
      </c>
      <c r="L92" s="5" t="s">
        <v>84</v>
      </c>
      <c r="M92" s="9" t="s">
        <v>73</v>
      </c>
    </row>
    <row r="93">
      <c r="A93" s="11">
        <v>92.0</v>
      </c>
      <c r="B93" s="11">
        <v>0.019</v>
      </c>
      <c r="C93" s="11">
        <v>0.018</v>
      </c>
      <c r="D93" s="11">
        <v>78.0</v>
      </c>
      <c r="E93" s="11">
        <v>70.0</v>
      </c>
      <c r="F93" s="11">
        <v>0.279</v>
      </c>
      <c r="G93" s="11">
        <v>0.621</v>
      </c>
      <c r="H93" s="11">
        <v>0.099</v>
      </c>
      <c r="I93" s="11">
        <v>3.6903067E7</v>
      </c>
      <c r="J93" s="11">
        <v>0.891</v>
      </c>
      <c r="K93" s="12" t="s">
        <v>85</v>
      </c>
      <c r="L93" s="5" t="s">
        <v>84</v>
      </c>
      <c r="M93" s="9" t="s">
        <v>60</v>
      </c>
    </row>
    <row r="94">
      <c r="A94" s="11">
        <v>93.0</v>
      </c>
      <c r="B94" s="11">
        <v>0.018</v>
      </c>
      <c r="C94" s="11">
        <v>0.018</v>
      </c>
      <c r="D94" s="11">
        <v>78.0</v>
      </c>
      <c r="E94" s="11">
        <v>70.0</v>
      </c>
      <c r="F94" s="11">
        <v>0.276</v>
      </c>
      <c r="G94" s="11">
        <v>0.624</v>
      </c>
      <c r="H94" s="11">
        <v>0.1</v>
      </c>
      <c r="I94" s="11">
        <v>3.7273361E7</v>
      </c>
      <c r="J94" s="11">
        <v>0.893</v>
      </c>
      <c r="K94" s="12" t="s">
        <v>85</v>
      </c>
      <c r="L94" s="5" t="s">
        <v>84</v>
      </c>
      <c r="M94" s="9" t="s">
        <v>62</v>
      </c>
    </row>
    <row r="95">
      <c r="A95" s="11">
        <v>94.0</v>
      </c>
      <c r="B95" s="11">
        <v>0.018</v>
      </c>
      <c r="C95" s="11">
        <v>0.017</v>
      </c>
      <c r="D95" s="11">
        <v>78.0</v>
      </c>
      <c r="E95" s="11">
        <v>71.0</v>
      </c>
      <c r="F95" s="11">
        <v>0.273</v>
      </c>
      <c r="G95" s="11">
        <v>0.626</v>
      </c>
      <c r="H95" s="11">
        <v>0.101</v>
      </c>
      <c r="I95" s="11">
        <v>3.7627545E7</v>
      </c>
      <c r="J95" s="11">
        <v>0.895</v>
      </c>
      <c r="K95" s="12" t="s">
        <v>85</v>
      </c>
      <c r="L95" s="5" t="s">
        <v>84</v>
      </c>
      <c r="M95" s="9" t="s">
        <v>63</v>
      </c>
    </row>
    <row r="96">
      <c r="A96" s="11">
        <v>95.0</v>
      </c>
      <c r="B96" s="11">
        <v>0.018</v>
      </c>
      <c r="C96" s="11">
        <v>0.017</v>
      </c>
      <c r="D96" s="11">
        <v>78.0</v>
      </c>
      <c r="E96" s="11">
        <v>71.0</v>
      </c>
      <c r="F96" s="11">
        <v>0.27</v>
      </c>
      <c r="G96" s="11">
        <v>0.629</v>
      </c>
      <c r="H96" s="11">
        <v>0.101</v>
      </c>
      <c r="I96" s="11">
        <v>3.7970411E7</v>
      </c>
      <c r="J96" s="11">
        <v>0.897</v>
      </c>
      <c r="K96" s="12" t="s">
        <v>85</v>
      </c>
      <c r="L96" s="5" t="s">
        <v>84</v>
      </c>
      <c r="M96" s="9" t="s">
        <v>64</v>
      </c>
    </row>
    <row r="97">
      <c r="A97" s="11">
        <v>96.0</v>
      </c>
      <c r="B97" s="11">
        <v>0.018</v>
      </c>
      <c r="C97" s="11">
        <v>0.016</v>
      </c>
      <c r="D97" s="11">
        <v>78.0</v>
      </c>
      <c r="E97" s="11">
        <v>71.0</v>
      </c>
      <c r="F97" s="11">
        <v>0.266</v>
      </c>
      <c r="G97" s="11">
        <v>0.632</v>
      </c>
      <c r="H97" s="11">
        <v>0.102</v>
      </c>
      <c r="I97" s="11">
        <v>3.8308779E7</v>
      </c>
      <c r="J97" s="11">
        <v>0.899</v>
      </c>
      <c r="K97" s="12" t="s">
        <v>85</v>
      </c>
      <c r="L97" s="5" t="s">
        <v>84</v>
      </c>
      <c r="M97" s="9" t="s">
        <v>65</v>
      </c>
    </row>
    <row r="98">
      <c r="A98" s="11">
        <v>97.0</v>
      </c>
      <c r="B98" s="11">
        <v>0.018</v>
      </c>
      <c r="C98" s="11">
        <v>0.015</v>
      </c>
      <c r="D98" s="11">
        <v>79.0</v>
      </c>
      <c r="E98" s="11">
        <v>71.0</v>
      </c>
      <c r="F98" s="11">
        <v>0.263</v>
      </c>
      <c r="G98" s="11">
        <v>0.634</v>
      </c>
      <c r="H98" s="11">
        <v>0.102</v>
      </c>
      <c r="I98" s="11">
        <v>3.8647854E7</v>
      </c>
      <c r="J98" s="11">
        <v>0.901</v>
      </c>
      <c r="K98" s="12" t="s">
        <v>85</v>
      </c>
      <c r="L98" s="5" t="s">
        <v>84</v>
      </c>
      <c r="M98" s="9" t="s">
        <v>66</v>
      </c>
    </row>
    <row r="99">
      <c r="A99" s="11">
        <v>98.0</v>
      </c>
      <c r="B99" s="11">
        <v>0.018</v>
      </c>
      <c r="C99" s="11">
        <v>0.015</v>
      </c>
      <c r="D99" s="11">
        <v>79.0</v>
      </c>
      <c r="E99" s="11">
        <v>71.0</v>
      </c>
      <c r="F99" s="11">
        <v>0.26</v>
      </c>
      <c r="G99" s="11">
        <v>0.637</v>
      </c>
      <c r="H99" s="11">
        <v>0.103</v>
      </c>
      <c r="I99" s="11">
        <v>3.8988923E7</v>
      </c>
      <c r="J99" s="11">
        <v>0.903</v>
      </c>
      <c r="K99" s="12" t="s">
        <v>85</v>
      </c>
      <c r="L99" s="5" t="s">
        <v>84</v>
      </c>
      <c r="M99" s="9" t="s">
        <v>67</v>
      </c>
    </row>
    <row r="100">
      <c r="A100" s="11">
        <v>99.0</v>
      </c>
      <c r="B100" s="11">
        <v>0.017</v>
      </c>
      <c r="C100" s="11">
        <v>0.014</v>
      </c>
      <c r="D100" s="11">
        <v>79.0</v>
      </c>
      <c r="E100" s="11">
        <v>71.0</v>
      </c>
      <c r="F100" s="11">
        <v>0.257</v>
      </c>
      <c r="G100" s="11">
        <v>0.639</v>
      </c>
      <c r="H100" s="11">
        <v>0.104</v>
      </c>
      <c r="I100" s="11">
        <v>3.9331357E7</v>
      </c>
      <c r="J100" s="11">
        <v>0.904</v>
      </c>
      <c r="K100" s="12" t="s">
        <v>85</v>
      </c>
      <c r="L100" s="5" t="s">
        <v>84</v>
      </c>
      <c r="M100" s="9" t="s">
        <v>68</v>
      </c>
    </row>
    <row r="101">
      <c r="A101" s="11">
        <v>100.0</v>
      </c>
      <c r="B101" s="11">
        <v>0.017</v>
      </c>
      <c r="C101" s="11">
        <v>0.014</v>
      </c>
      <c r="D101" s="11">
        <v>79.0</v>
      </c>
      <c r="E101" s="11">
        <v>72.0</v>
      </c>
      <c r="F101" s="11">
        <v>0.254</v>
      </c>
      <c r="G101" s="11">
        <v>0.641</v>
      </c>
      <c r="H101" s="11">
        <v>0.104</v>
      </c>
      <c r="I101" s="11">
        <v>3.9676083E7</v>
      </c>
      <c r="J101" s="11">
        <v>0.906</v>
      </c>
      <c r="K101" s="12" t="s">
        <v>85</v>
      </c>
      <c r="L101" s="5" t="s">
        <v>84</v>
      </c>
      <c r="M101" s="9" t="s">
        <v>69</v>
      </c>
    </row>
    <row r="102">
      <c r="A102" s="11">
        <v>101.0</v>
      </c>
      <c r="B102" s="11">
        <v>0.017</v>
      </c>
      <c r="C102" s="11">
        <v>0.013</v>
      </c>
      <c r="D102" s="11">
        <v>79.0</v>
      </c>
      <c r="E102" s="11">
        <v>72.0</v>
      </c>
      <c r="F102" s="11">
        <v>0.251</v>
      </c>
      <c r="G102" s="11">
        <v>0.643</v>
      </c>
      <c r="H102" s="11">
        <v>0.105</v>
      </c>
      <c r="I102" s="11">
        <v>4.0023641E7</v>
      </c>
      <c r="J102" s="11">
        <v>0.908</v>
      </c>
      <c r="K102" s="12" t="s">
        <v>85</v>
      </c>
      <c r="L102" s="5" t="s">
        <v>84</v>
      </c>
      <c r="M102" s="9" t="s">
        <v>70</v>
      </c>
    </row>
    <row r="103">
      <c r="A103" s="11">
        <v>102.0</v>
      </c>
      <c r="B103" s="11">
        <v>0.017</v>
      </c>
      <c r="C103" s="11">
        <v>0.013</v>
      </c>
      <c r="D103" s="11">
        <v>79.0</v>
      </c>
      <c r="E103" s="11">
        <v>72.0</v>
      </c>
      <c r="F103" s="11">
        <v>0.249</v>
      </c>
      <c r="G103" s="11">
        <v>0.645</v>
      </c>
      <c r="H103" s="11">
        <v>0.106</v>
      </c>
      <c r="I103" s="11">
        <v>4.0374224E7</v>
      </c>
      <c r="J103" s="11">
        <v>0.91</v>
      </c>
      <c r="K103" s="12" t="s">
        <v>85</v>
      </c>
      <c r="L103" s="5" t="s">
        <v>84</v>
      </c>
      <c r="M103" s="9" t="s">
        <v>71</v>
      </c>
    </row>
    <row r="104">
      <c r="A104" s="11">
        <v>103.0</v>
      </c>
      <c r="B104" s="11">
        <v>0.017</v>
      </c>
      <c r="C104" s="11">
        <v>0.013</v>
      </c>
      <c r="D104" s="11">
        <v>80.0</v>
      </c>
      <c r="E104" s="11">
        <v>72.0</v>
      </c>
      <c r="F104" s="11">
        <v>0.246</v>
      </c>
      <c r="G104" s="11">
        <v>0.646</v>
      </c>
      <c r="H104" s="11">
        <v>0.107</v>
      </c>
      <c r="I104" s="11">
        <v>4.0728738E7</v>
      </c>
      <c r="J104" s="11">
        <v>0.911</v>
      </c>
      <c r="K104" s="12" t="s">
        <v>85</v>
      </c>
      <c r="L104" s="5" t="s">
        <v>84</v>
      </c>
      <c r="M104" s="9" t="s">
        <v>72</v>
      </c>
    </row>
    <row r="105">
      <c r="A105" s="11">
        <v>104.0</v>
      </c>
      <c r="B105" s="11">
        <v>0.017</v>
      </c>
      <c r="C105" s="11">
        <v>0.012</v>
      </c>
      <c r="D105" s="11">
        <v>80.0</v>
      </c>
      <c r="E105" s="11">
        <v>72.0</v>
      </c>
      <c r="F105" s="11">
        <v>0.244</v>
      </c>
      <c r="G105" s="11">
        <v>0.648</v>
      </c>
      <c r="H105" s="11">
        <v>0.108</v>
      </c>
      <c r="I105" s="11">
        <v>4.1086927E7</v>
      </c>
      <c r="J105" s="11">
        <v>0.913</v>
      </c>
      <c r="K105" s="12" t="s">
        <v>85</v>
      </c>
      <c r="L105" s="5" t="s">
        <v>84</v>
      </c>
      <c r="M105" s="9" t="s">
        <v>73</v>
      </c>
    </row>
    <row r="106">
      <c r="A106" s="11">
        <v>105.0</v>
      </c>
      <c r="B106" s="11">
        <v>0.013</v>
      </c>
      <c r="C106" s="11">
        <v>0.027</v>
      </c>
      <c r="D106" s="11">
        <v>75.0</v>
      </c>
      <c r="E106" s="11">
        <v>68.0</v>
      </c>
      <c r="F106" s="11">
        <v>0.259</v>
      </c>
      <c r="G106" s="11">
        <v>0.641</v>
      </c>
      <c r="H106" s="11">
        <v>0.1</v>
      </c>
      <c r="I106" s="11">
        <v>3076098.0</v>
      </c>
      <c r="J106" s="11">
        <v>0.647</v>
      </c>
      <c r="K106" s="12" t="s">
        <v>86</v>
      </c>
      <c r="L106" s="5" t="s">
        <v>61</v>
      </c>
      <c r="M106" s="9" t="s">
        <v>60</v>
      </c>
    </row>
    <row r="107">
      <c r="A107" s="11">
        <v>106.0</v>
      </c>
      <c r="B107" s="11">
        <v>0.013</v>
      </c>
      <c r="C107" s="11">
        <v>0.025</v>
      </c>
      <c r="D107" s="11">
        <v>75.0</v>
      </c>
      <c r="E107" s="11">
        <v>68.0</v>
      </c>
      <c r="F107" s="11">
        <v>0.25</v>
      </c>
      <c r="G107" s="11">
        <v>0.646</v>
      </c>
      <c r="H107" s="11">
        <v>0.104</v>
      </c>
      <c r="I107" s="11">
        <v>3059960.0</v>
      </c>
      <c r="J107" s="11">
        <v>0.644</v>
      </c>
      <c r="K107" s="12" t="s">
        <v>86</v>
      </c>
      <c r="L107" s="5" t="s">
        <v>61</v>
      </c>
      <c r="M107" s="9" t="s">
        <v>62</v>
      </c>
    </row>
    <row r="108">
      <c r="A108" s="11">
        <v>107.0</v>
      </c>
      <c r="B108" s="11">
        <v>0.013</v>
      </c>
      <c r="C108" s="11">
        <v>0.024</v>
      </c>
      <c r="D108" s="11">
        <v>76.0</v>
      </c>
      <c r="E108" s="11">
        <v>69.0</v>
      </c>
      <c r="F108" s="11">
        <v>0.241</v>
      </c>
      <c r="G108" s="11">
        <v>0.651</v>
      </c>
      <c r="H108" s="11">
        <v>0.108</v>
      </c>
      <c r="I108" s="11">
        <v>3047002.0</v>
      </c>
      <c r="J108" s="11">
        <v>0.643</v>
      </c>
      <c r="K108" s="12" t="s">
        <v>86</v>
      </c>
      <c r="L108" s="5" t="s">
        <v>61</v>
      </c>
      <c r="M108" s="9" t="s">
        <v>63</v>
      </c>
    </row>
    <row r="109">
      <c r="A109" s="11">
        <v>108.0</v>
      </c>
      <c r="B109" s="11">
        <v>0.014</v>
      </c>
      <c r="C109" s="11">
        <v>0.023</v>
      </c>
      <c r="D109" s="11">
        <v>76.0</v>
      </c>
      <c r="E109" s="11">
        <v>69.0</v>
      </c>
      <c r="F109" s="11">
        <v>0.233</v>
      </c>
      <c r="G109" s="11">
        <v>0.655</v>
      </c>
      <c r="H109" s="11">
        <v>0.112</v>
      </c>
      <c r="I109" s="11">
        <v>3036032.0</v>
      </c>
      <c r="J109" s="11">
        <v>0.643</v>
      </c>
      <c r="K109" s="12" t="s">
        <v>86</v>
      </c>
      <c r="L109" s="5" t="s">
        <v>61</v>
      </c>
      <c r="M109" s="9" t="s">
        <v>64</v>
      </c>
    </row>
    <row r="110">
      <c r="A110" s="11">
        <v>109.0</v>
      </c>
      <c r="B110" s="11">
        <v>0.014</v>
      </c>
      <c r="C110" s="11">
        <v>0.022</v>
      </c>
      <c r="D110" s="11">
        <v>76.0</v>
      </c>
      <c r="E110" s="11">
        <v>70.0</v>
      </c>
      <c r="F110" s="11">
        <v>0.225</v>
      </c>
      <c r="G110" s="11">
        <v>0.66</v>
      </c>
      <c r="H110" s="11">
        <v>0.115</v>
      </c>
      <c r="I110" s="11">
        <v>3025652.0</v>
      </c>
      <c r="J110" s="11">
        <v>0.642</v>
      </c>
      <c r="K110" s="12" t="s">
        <v>86</v>
      </c>
      <c r="L110" s="5" t="s">
        <v>61</v>
      </c>
      <c r="M110" s="9" t="s">
        <v>65</v>
      </c>
    </row>
    <row r="111">
      <c r="A111" s="11">
        <v>110.0</v>
      </c>
      <c r="B111" s="11">
        <v>0.014</v>
      </c>
      <c r="C111" s="11">
        <v>0.021</v>
      </c>
      <c r="D111" s="11">
        <v>77.0</v>
      </c>
      <c r="E111" s="11">
        <v>70.0</v>
      </c>
      <c r="F111" s="11">
        <v>0.219</v>
      </c>
      <c r="G111" s="11">
        <v>0.665</v>
      </c>
      <c r="H111" s="11">
        <v>0.116</v>
      </c>
      <c r="I111" s="11">
        <v>3014917.0</v>
      </c>
      <c r="J111" s="11">
        <v>0.642</v>
      </c>
      <c r="K111" s="12" t="s">
        <v>86</v>
      </c>
      <c r="L111" s="5" t="s">
        <v>61</v>
      </c>
      <c r="M111" s="9" t="s">
        <v>66</v>
      </c>
    </row>
    <row r="112">
      <c r="A112" s="11">
        <v>111.0</v>
      </c>
      <c r="B112" s="11">
        <v>0.014</v>
      </c>
      <c r="C112" s="11">
        <v>0.02</v>
      </c>
      <c r="D112" s="11">
        <v>77.0</v>
      </c>
      <c r="E112" s="11">
        <v>70.0</v>
      </c>
      <c r="F112" s="11">
        <v>0.214</v>
      </c>
      <c r="G112" s="11">
        <v>0.67</v>
      </c>
      <c r="H112" s="11">
        <v>0.116</v>
      </c>
      <c r="I112" s="11">
        <v>3002911.0</v>
      </c>
      <c r="J112" s="11">
        <v>0.642</v>
      </c>
      <c r="K112" s="12" t="s">
        <v>86</v>
      </c>
      <c r="L112" s="5" t="s">
        <v>61</v>
      </c>
      <c r="M112" s="9" t="s">
        <v>67</v>
      </c>
    </row>
    <row r="113">
      <c r="A113" s="11">
        <v>112.0</v>
      </c>
      <c r="B113" s="11">
        <v>0.014</v>
      </c>
      <c r="C113" s="11">
        <v>0.019</v>
      </c>
      <c r="D113" s="11">
        <v>77.0</v>
      </c>
      <c r="E113" s="11">
        <v>70.0</v>
      </c>
      <c r="F113" s="11">
        <v>0.211</v>
      </c>
      <c r="G113" s="11">
        <v>0.676</v>
      </c>
      <c r="H113" s="11">
        <v>0.114</v>
      </c>
      <c r="I113" s="11">
        <v>2989882.0</v>
      </c>
      <c r="J113" s="11">
        <v>0.641</v>
      </c>
      <c r="K113" s="12" t="s">
        <v>86</v>
      </c>
      <c r="L113" s="5" t="s">
        <v>61</v>
      </c>
      <c r="M113" s="9" t="s">
        <v>68</v>
      </c>
    </row>
    <row r="114">
      <c r="A114" s="11">
        <v>113.0</v>
      </c>
      <c r="B114" s="11">
        <v>0.014</v>
      </c>
      <c r="C114" s="11">
        <v>0.018</v>
      </c>
      <c r="D114" s="11">
        <v>77.0</v>
      </c>
      <c r="E114" s="11">
        <v>71.0</v>
      </c>
      <c r="F114" s="11">
        <v>0.208</v>
      </c>
      <c r="G114" s="11">
        <v>0.681</v>
      </c>
      <c r="H114" s="11">
        <v>0.111</v>
      </c>
      <c r="I114" s="11">
        <v>2977488.0</v>
      </c>
      <c r="J114" s="11">
        <v>0.64</v>
      </c>
      <c r="K114" s="12" t="s">
        <v>86</v>
      </c>
      <c r="L114" s="5" t="s">
        <v>61</v>
      </c>
      <c r="M114" s="9" t="s">
        <v>69</v>
      </c>
    </row>
    <row r="115">
      <c r="A115" s="11">
        <v>114.0</v>
      </c>
      <c r="B115" s="11">
        <v>0.014</v>
      </c>
      <c r="C115" s="11">
        <v>0.017</v>
      </c>
      <c r="D115" s="11">
        <v>78.0</v>
      </c>
      <c r="E115" s="11">
        <v>71.0</v>
      </c>
      <c r="F115" s="11">
        <v>0.206</v>
      </c>
      <c r="G115" s="11">
        <v>0.686</v>
      </c>
      <c r="H115" s="11">
        <v>0.108</v>
      </c>
      <c r="I115" s="11">
        <v>2968154.0</v>
      </c>
      <c r="J115" s="11">
        <v>0.638</v>
      </c>
      <c r="K115" s="12" t="s">
        <v>86</v>
      </c>
      <c r="L115" s="5" t="s">
        <v>61</v>
      </c>
      <c r="M115" s="9" t="s">
        <v>70</v>
      </c>
    </row>
    <row r="116">
      <c r="A116" s="11">
        <v>115.0</v>
      </c>
      <c r="B116" s="11">
        <v>0.014</v>
      </c>
      <c r="C116" s="11">
        <v>0.016</v>
      </c>
      <c r="D116" s="11">
        <v>78.0</v>
      </c>
      <c r="E116" s="11">
        <v>71.0</v>
      </c>
      <c r="F116" s="11">
        <v>0.205</v>
      </c>
      <c r="G116" s="11">
        <v>0.689</v>
      </c>
      <c r="H116" s="11">
        <v>0.105</v>
      </c>
      <c r="I116" s="11">
        <v>2963496.0</v>
      </c>
      <c r="J116" s="11">
        <v>0.636</v>
      </c>
      <c r="K116" s="12" t="s">
        <v>86</v>
      </c>
      <c r="L116" s="5" t="s">
        <v>61</v>
      </c>
      <c r="M116" s="9" t="s">
        <v>71</v>
      </c>
    </row>
    <row r="117">
      <c r="A117" s="11">
        <v>116.0</v>
      </c>
      <c r="B117" s="11">
        <v>0.014</v>
      </c>
      <c r="C117" s="11">
        <v>0.015</v>
      </c>
      <c r="D117" s="11">
        <v>78.0</v>
      </c>
      <c r="E117" s="11">
        <v>71.0</v>
      </c>
      <c r="F117" s="11">
        <v>0.204</v>
      </c>
      <c r="G117" s="11">
        <v>0.692</v>
      </c>
      <c r="H117" s="11">
        <v>0.104</v>
      </c>
      <c r="I117" s="11">
        <v>2964120.0</v>
      </c>
      <c r="J117" s="11">
        <v>0.634</v>
      </c>
      <c r="K117" s="12" t="s">
        <v>86</v>
      </c>
      <c r="L117" s="5" t="s">
        <v>61</v>
      </c>
      <c r="M117" s="9" t="s">
        <v>72</v>
      </c>
    </row>
    <row r="118">
      <c r="A118" s="11">
        <v>117.0</v>
      </c>
      <c r="B118" s="11">
        <v>0.014</v>
      </c>
      <c r="C118" s="11">
        <v>0.015</v>
      </c>
      <c r="D118" s="11">
        <v>78.0</v>
      </c>
      <c r="E118" s="11">
        <v>71.0</v>
      </c>
      <c r="F118" s="11">
        <v>0.203</v>
      </c>
      <c r="G118" s="11">
        <v>0.693</v>
      </c>
      <c r="H118" s="11">
        <v>0.103</v>
      </c>
      <c r="I118" s="11">
        <v>2969081.0</v>
      </c>
      <c r="J118" s="11">
        <v>0.632</v>
      </c>
      <c r="K118" s="12" t="s">
        <v>86</v>
      </c>
      <c r="L118" s="5" t="s">
        <v>61</v>
      </c>
      <c r="M118" s="9" t="s">
        <v>73</v>
      </c>
    </row>
    <row r="119">
      <c r="A119" s="11">
        <v>118.0</v>
      </c>
      <c r="B119" s="11">
        <v>0.014</v>
      </c>
      <c r="C119" s="8"/>
      <c r="D119" s="11">
        <v>76.0</v>
      </c>
      <c r="E119" s="11">
        <v>71.0</v>
      </c>
      <c r="F119" s="11">
        <v>0.232</v>
      </c>
      <c r="G119" s="11">
        <v>0.692</v>
      </c>
      <c r="H119" s="11">
        <v>0.076</v>
      </c>
      <c r="I119" s="11">
        <v>90858.0</v>
      </c>
      <c r="J119" s="11">
        <v>0.467</v>
      </c>
      <c r="K119" s="12" t="s">
        <v>87</v>
      </c>
      <c r="L119" s="5" t="s">
        <v>84</v>
      </c>
      <c r="M119" s="9" t="s">
        <v>60</v>
      </c>
    </row>
    <row r="120">
      <c r="A120" s="11">
        <v>119.0</v>
      </c>
      <c r="B120" s="11">
        <v>0.014</v>
      </c>
      <c r="C120" s="8"/>
      <c r="D120" s="11">
        <v>76.0</v>
      </c>
      <c r="E120" s="11">
        <v>71.0</v>
      </c>
      <c r="F120" s="11">
        <v>0.229</v>
      </c>
      <c r="G120" s="11">
        <v>0.694</v>
      </c>
      <c r="H120" s="11">
        <v>0.078</v>
      </c>
      <c r="I120" s="11">
        <v>92894.0</v>
      </c>
      <c r="J120" s="11">
        <v>0.463</v>
      </c>
      <c r="K120" s="12" t="s">
        <v>87</v>
      </c>
      <c r="L120" s="5" t="s">
        <v>84</v>
      </c>
      <c r="M120" s="9" t="s">
        <v>62</v>
      </c>
    </row>
    <row r="121">
      <c r="A121" s="11">
        <v>120.0</v>
      </c>
      <c r="B121" s="11">
        <v>0.013</v>
      </c>
      <c r="C121" s="8"/>
      <c r="D121" s="11">
        <v>76.0</v>
      </c>
      <c r="E121" s="11">
        <v>71.0</v>
      </c>
      <c r="F121" s="11">
        <v>0.225</v>
      </c>
      <c r="G121" s="11">
        <v>0.695</v>
      </c>
      <c r="H121" s="11">
        <v>0.079</v>
      </c>
      <c r="I121" s="11">
        <v>94995.0</v>
      </c>
      <c r="J121" s="11">
        <v>0.46</v>
      </c>
      <c r="K121" s="12" t="s">
        <v>87</v>
      </c>
      <c r="L121" s="5" t="s">
        <v>84</v>
      </c>
      <c r="M121" s="9" t="s">
        <v>63</v>
      </c>
    </row>
    <row r="122">
      <c r="A122" s="11">
        <v>121.0</v>
      </c>
      <c r="B122" s="11">
        <v>0.013</v>
      </c>
      <c r="C122" s="8"/>
      <c r="D122" s="11">
        <v>76.0</v>
      </c>
      <c r="E122" s="11">
        <v>72.0</v>
      </c>
      <c r="F122" s="11">
        <v>0.221</v>
      </c>
      <c r="G122" s="11">
        <v>0.698</v>
      </c>
      <c r="H122" s="11">
        <v>0.081</v>
      </c>
      <c r="I122" s="11">
        <v>97015.0</v>
      </c>
      <c r="J122" s="11">
        <v>0.456</v>
      </c>
      <c r="K122" s="12" t="s">
        <v>87</v>
      </c>
      <c r="L122" s="5" t="s">
        <v>84</v>
      </c>
      <c r="M122" s="9" t="s">
        <v>64</v>
      </c>
    </row>
    <row r="123">
      <c r="A123" s="11">
        <v>122.0</v>
      </c>
      <c r="B123" s="11">
        <v>0.013</v>
      </c>
      <c r="C123" s="8"/>
      <c r="D123" s="11">
        <v>77.0</v>
      </c>
      <c r="E123" s="11">
        <v>72.0</v>
      </c>
      <c r="F123" s="11">
        <v>0.217</v>
      </c>
      <c r="G123" s="11">
        <v>0.699</v>
      </c>
      <c r="H123" s="11">
        <v>0.083</v>
      </c>
      <c r="I123" s="11">
        <v>98742.0</v>
      </c>
      <c r="J123" s="11">
        <v>0.452</v>
      </c>
      <c r="K123" s="12" t="s">
        <v>87</v>
      </c>
      <c r="L123" s="5" t="s">
        <v>84</v>
      </c>
      <c r="M123" s="9" t="s">
        <v>65</v>
      </c>
    </row>
    <row r="124">
      <c r="A124" s="11">
        <v>123.0</v>
      </c>
      <c r="B124" s="11">
        <v>0.012</v>
      </c>
      <c r="C124" s="8"/>
      <c r="D124" s="11">
        <v>77.0</v>
      </c>
      <c r="E124" s="11">
        <v>72.0</v>
      </c>
      <c r="F124" s="11">
        <v>0.215</v>
      </c>
      <c r="G124" s="11">
        <v>0.699</v>
      </c>
      <c r="H124" s="11">
        <v>0.086</v>
      </c>
      <c r="I124" s="11">
        <v>100031.0</v>
      </c>
      <c r="J124" s="11">
        <v>0.449</v>
      </c>
      <c r="K124" s="12" t="s">
        <v>87</v>
      </c>
      <c r="L124" s="5" t="s">
        <v>84</v>
      </c>
      <c r="M124" s="9" t="s">
        <v>66</v>
      </c>
    </row>
    <row r="125">
      <c r="A125" s="11">
        <v>124.0</v>
      </c>
      <c r="B125" s="11">
        <v>0.012</v>
      </c>
      <c r="C125" s="8"/>
      <c r="D125" s="11">
        <v>77.0</v>
      </c>
      <c r="E125" s="11">
        <v>72.0</v>
      </c>
      <c r="F125" s="11">
        <v>0.213</v>
      </c>
      <c r="G125" s="11">
        <v>0.698</v>
      </c>
      <c r="H125" s="11">
        <v>0.089</v>
      </c>
      <c r="I125" s="11">
        <v>100830.0</v>
      </c>
      <c r="J125" s="11">
        <v>0.445</v>
      </c>
      <c r="K125" s="12" t="s">
        <v>87</v>
      </c>
      <c r="L125" s="5" t="s">
        <v>84</v>
      </c>
      <c r="M125" s="9" t="s">
        <v>67</v>
      </c>
    </row>
    <row r="126">
      <c r="A126" s="11">
        <v>125.0</v>
      </c>
      <c r="B126" s="11">
        <v>0.012</v>
      </c>
      <c r="C126" s="8"/>
      <c r="D126" s="11">
        <v>77.0</v>
      </c>
      <c r="E126" s="11">
        <v>72.0</v>
      </c>
      <c r="F126" s="11">
        <v>0.212</v>
      </c>
      <c r="G126" s="11">
        <v>0.696</v>
      </c>
      <c r="H126" s="11">
        <v>0.092</v>
      </c>
      <c r="I126" s="11">
        <v>101219.0</v>
      </c>
      <c r="J126" s="11">
        <v>0.441</v>
      </c>
      <c r="K126" s="12" t="s">
        <v>87</v>
      </c>
      <c r="L126" s="5" t="s">
        <v>84</v>
      </c>
      <c r="M126" s="9" t="s">
        <v>68</v>
      </c>
    </row>
    <row r="127">
      <c r="A127" s="11">
        <v>126.0</v>
      </c>
      <c r="B127" s="11">
        <v>0.011</v>
      </c>
      <c r="C127" s="8"/>
      <c r="D127" s="11">
        <v>77.0</v>
      </c>
      <c r="E127" s="11">
        <v>72.0</v>
      </c>
      <c r="F127" s="11">
        <v>0.212</v>
      </c>
      <c r="G127" s="11">
        <v>0.693</v>
      </c>
      <c r="H127" s="11">
        <v>0.096</v>
      </c>
      <c r="I127" s="11">
        <v>101344.0</v>
      </c>
      <c r="J127" s="11">
        <v>0.438</v>
      </c>
      <c r="K127" s="12" t="s">
        <v>87</v>
      </c>
      <c r="L127" s="5" t="s">
        <v>84</v>
      </c>
      <c r="M127" s="9" t="s">
        <v>69</v>
      </c>
    </row>
    <row r="128">
      <c r="A128" s="11">
        <v>127.0</v>
      </c>
      <c r="B128" s="11">
        <v>0.011</v>
      </c>
      <c r="C128" s="8"/>
      <c r="D128" s="11">
        <v>77.0</v>
      </c>
      <c r="E128" s="11">
        <v>72.0</v>
      </c>
      <c r="F128" s="11">
        <v>0.21</v>
      </c>
      <c r="G128" s="11">
        <v>0.69</v>
      </c>
      <c r="H128" s="11">
        <v>0.099</v>
      </c>
      <c r="I128" s="11">
        <v>101418.0</v>
      </c>
      <c r="J128" s="11">
        <v>0.434</v>
      </c>
      <c r="K128" s="12" t="s">
        <v>87</v>
      </c>
      <c r="L128" s="5" t="s">
        <v>84</v>
      </c>
      <c r="M128" s="9" t="s">
        <v>70</v>
      </c>
    </row>
    <row r="129">
      <c r="A129" s="11">
        <v>128.0</v>
      </c>
      <c r="B129" s="11">
        <v>0.011</v>
      </c>
      <c r="C129" s="8"/>
      <c r="D129" s="11">
        <v>77.0</v>
      </c>
      <c r="E129" s="11">
        <v>73.0</v>
      </c>
      <c r="F129" s="11">
        <v>0.208</v>
      </c>
      <c r="G129" s="11">
        <v>0.689</v>
      </c>
      <c r="H129" s="11">
        <v>0.103</v>
      </c>
      <c r="I129" s="11">
        <v>101597.0</v>
      </c>
      <c r="J129" s="11">
        <v>0.431</v>
      </c>
      <c r="K129" s="12" t="s">
        <v>87</v>
      </c>
      <c r="L129" s="5" t="s">
        <v>84</v>
      </c>
      <c r="M129" s="9" t="s">
        <v>71</v>
      </c>
    </row>
    <row r="130">
      <c r="A130" s="11">
        <v>129.0</v>
      </c>
      <c r="B130" s="11">
        <v>0.011</v>
      </c>
      <c r="C130" s="8"/>
      <c r="D130" s="11">
        <v>78.0</v>
      </c>
      <c r="E130" s="11">
        <v>73.0</v>
      </c>
      <c r="F130" s="11">
        <v>0.204</v>
      </c>
      <c r="G130" s="11">
        <v>0.689</v>
      </c>
      <c r="H130" s="11">
        <v>0.107</v>
      </c>
      <c r="I130" s="11">
        <v>101932.0</v>
      </c>
      <c r="J130" s="11">
        <v>0.427</v>
      </c>
      <c r="K130" s="12" t="s">
        <v>87</v>
      </c>
      <c r="L130" s="5" t="s">
        <v>84</v>
      </c>
      <c r="M130" s="9" t="s">
        <v>72</v>
      </c>
    </row>
    <row r="131">
      <c r="A131" s="11">
        <v>130.0</v>
      </c>
      <c r="B131" s="11">
        <v>0.01</v>
      </c>
      <c r="C131" s="8"/>
      <c r="D131" s="11">
        <v>78.0</v>
      </c>
      <c r="E131" s="11">
        <v>73.0</v>
      </c>
      <c r="F131" s="11">
        <v>0.199</v>
      </c>
      <c r="G131" s="11">
        <v>0.69</v>
      </c>
      <c r="H131" s="11">
        <v>0.11</v>
      </c>
      <c r="I131" s="11">
        <v>102384.0</v>
      </c>
      <c r="J131" s="11">
        <v>0.424</v>
      </c>
      <c r="K131" s="12" t="s">
        <v>87</v>
      </c>
      <c r="L131" s="5" t="s">
        <v>84</v>
      </c>
      <c r="M131" s="9" t="s">
        <v>73</v>
      </c>
    </row>
    <row r="132">
      <c r="A132" s="11">
        <v>131.0</v>
      </c>
      <c r="B132" s="11">
        <v>0.013</v>
      </c>
      <c r="C132" s="11">
        <v>0.005</v>
      </c>
      <c r="D132" s="11">
        <v>82.0</v>
      </c>
      <c r="E132" s="11">
        <v>77.0</v>
      </c>
      <c r="F132" s="11">
        <v>0.207</v>
      </c>
      <c r="G132" s="11">
        <v>0.669</v>
      </c>
      <c r="H132" s="11">
        <v>0.124</v>
      </c>
      <c r="I132" s="11">
        <v>1.9153E7</v>
      </c>
      <c r="J132" s="11">
        <v>0.872</v>
      </c>
      <c r="K132" s="12" t="s">
        <v>88</v>
      </c>
      <c r="L132" s="5" t="s">
        <v>80</v>
      </c>
      <c r="M132" s="9" t="s">
        <v>60</v>
      </c>
    </row>
    <row r="133">
      <c r="A133" s="11">
        <v>132.0</v>
      </c>
      <c r="B133" s="11">
        <v>0.013</v>
      </c>
      <c r="C133" s="11">
        <v>0.005</v>
      </c>
      <c r="D133" s="11">
        <v>82.0</v>
      </c>
      <c r="E133" s="11">
        <v>77.0</v>
      </c>
      <c r="F133" s="11">
        <v>0.206</v>
      </c>
      <c r="G133" s="11">
        <v>0.669</v>
      </c>
      <c r="H133" s="11">
        <v>0.125</v>
      </c>
      <c r="I133" s="11">
        <v>1.9413E7</v>
      </c>
      <c r="J133" s="11">
        <v>0.874</v>
      </c>
      <c r="K133" s="12" t="s">
        <v>88</v>
      </c>
      <c r="L133" s="5" t="s">
        <v>80</v>
      </c>
      <c r="M133" s="9" t="s">
        <v>62</v>
      </c>
    </row>
    <row r="134">
      <c r="A134" s="11">
        <v>133.0</v>
      </c>
      <c r="B134" s="11">
        <v>0.013</v>
      </c>
      <c r="C134" s="11">
        <v>0.005</v>
      </c>
      <c r="D134" s="11">
        <v>83.0</v>
      </c>
      <c r="E134" s="11">
        <v>77.0</v>
      </c>
      <c r="F134" s="11">
        <v>0.204</v>
      </c>
      <c r="G134" s="11">
        <v>0.67</v>
      </c>
      <c r="H134" s="11">
        <v>0.126</v>
      </c>
      <c r="I134" s="11">
        <v>1.96514E7</v>
      </c>
      <c r="J134" s="11">
        <v>0.875</v>
      </c>
      <c r="K134" s="12" t="s">
        <v>88</v>
      </c>
      <c r="L134" s="5" t="s">
        <v>80</v>
      </c>
      <c r="M134" s="9" t="s">
        <v>63</v>
      </c>
    </row>
    <row r="135">
      <c r="A135" s="11">
        <v>134.0</v>
      </c>
      <c r="B135" s="11">
        <v>0.013</v>
      </c>
      <c r="C135" s="11">
        <v>0.005</v>
      </c>
      <c r="D135" s="11">
        <v>83.0</v>
      </c>
      <c r="E135" s="11">
        <v>78.0</v>
      </c>
      <c r="F135" s="11">
        <v>0.202</v>
      </c>
      <c r="G135" s="11">
        <v>0.671</v>
      </c>
      <c r="H135" s="11">
        <v>0.127</v>
      </c>
      <c r="I135" s="11">
        <v>1.98954E7</v>
      </c>
      <c r="J135" s="11">
        <v>0.877</v>
      </c>
      <c r="K135" s="12" t="s">
        <v>88</v>
      </c>
      <c r="L135" s="5" t="s">
        <v>80</v>
      </c>
      <c r="M135" s="9" t="s">
        <v>64</v>
      </c>
    </row>
    <row r="136">
      <c r="A136" s="11">
        <v>135.0</v>
      </c>
      <c r="B136" s="11">
        <v>0.012</v>
      </c>
      <c r="C136" s="11">
        <v>0.005</v>
      </c>
      <c r="D136" s="11">
        <v>83.0</v>
      </c>
      <c r="E136" s="11">
        <v>78.0</v>
      </c>
      <c r="F136" s="11">
        <v>0.2</v>
      </c>
      <c r="G136" s="11">
        <v>0.672</v>
      </c>
      <c r="H136" s="11">
        <v>0.128</v>
      </c>
      <c r="I136" s="11">
        <v>2.01274E7</v>
      </c>
      <c r="J136" s="11">
        <v>0.878</v>
      </c>
      <c r="K136" s="12" t="s">
        <v>88</v>
      </c>
      <c r="L136" s="5" t="s">
        <v>80</v>
      </c>
      <c r="M136" s="9" t="s">
        <v>65</v>
      </c>
    </row>
    <row r="137">
      <c r="A137" s="11">
        <v>136.0</v>
      </c>
      <c r="B137" s="11">
        <v>0.013</v>
      </c>
      <c r="C137" s="11">
        <v>0.005</v>
      </c>
      <c r="D137" s="11">
        <v>83.0</v>
      </c>
      <c r="E137" s="11">
        <v>79.0</v>
      </c>
      <c r="F137" s="11">
        <v>0.198</v>
      </c>
      <c r="G137" s="11">
        <v>0.673</v>
      </c>
      <c r="H137" s="11">
        <v>0.129</v>
      </c>
      <c r="I137" s="11">
        <v>2.03948E7</v>
      </c>
      <c r="J137" s="11">
        <v>0.88</v>
      </c>
      <c r="K137" s="12" t="s">
        <v>88</v>
      </c>
      <c r="L137" s="5" t="s">
        <v>80</v>
      </c>
      <c r="M137" s="9" t="s">
        <v>66</v>
      </c>
    </row>
    <row r="138">
      <c r="A138" s="11">
        <v>137.0</v>
      </c>
      <c r="B138" s="11">
        <v>0.013</v>
      </c>
      <c r="C138" s="11">
        <v>0.005</v>
      </c>
      <c r="D138" s="11">
        <v>84.0</v>
      </c>
      <c r="E138" s="11">
        <v>79.0</v>
      </c>
      <c r="F138" s="11">
        <v>0.195</v>
      </c>
      <c r="G138" s="11">
        <v>0.674</v>
      </c>
      <c r="H138" s="11">
        <v>0.13</v>
      </c>
      <c r="I138" s="11">
        <v>2.06979E7</v>
      </c>
      <c r="J138" s="11">
        <v>0.882</v>
      </c>
      <c r="K138" s="12" t="s">
        <v>88</v>
      </c>
      <c r="L138" s="5" t="s">
        <v>80</v>
      </c>
      <c r="M138" s="9" t="s">
        <v>67</v>
      </c>
    </row>
    <row r="139">
      <c r="A139" s="11">
        <v>138.0</v>
      </c>
      <c r="B139" s="11">
        <v>0.014</v>
      </c>
      <c r="C139" s="11">
        <v>0.005</v>
      </c>
      <c r="D139" s="11">
        <v>84.0</v>
      </c>
      <c r="E139" s="11">
        <v>79.0</v>
      </c>
      <c r="F139" s="11">
        <v>0.193</v>
      </c>
      <c r="G139" s="11">
        <v>0.676</v>
      </c>
      <c r="H139" s="11">
        <v>0.131</v>
      </c>
      <c r="I139" s="11">
        <v>2.08276E7</v>
      </c>
      <c r="J139" s="11">
        <v>0.883</v>
      </c>
      <c r="K139" s="12" t="s">
        <v>88</v>
      </c>
      <c r="L139" s="5" t="s">
        <v>80</v>
      </c>
      <c r="M139" s="9" t="s">
        <v>68</v>
      </c>
    </row>
    <row r="140">
      <c r="A140" s="11">
        <v>139.0</v>
      </c>
      <c r="B140" s="11">
        <v>0.014</v>
      </c>
      <c r="C140" s="11">
        <v>0.004</v>
      </c>
      <c r="D140" s="11">
        <v>84.0</v>
      </c>
      <c r="E140" s="11">
        <v>79.0</v>
      </c>
      <c r="F140" s="11">
        <v>0.192</v>
      </c>
      <c r="G140" s="11">
        <v>0.677</v>
      </c>
      <c r="H140" s="11">
        <v>0.132</v>
      </c>
      <c r="I140" s="11">
        <v>2.12492E7</v>
      </c>
      <c r="J140" s="11">
        <v>0.884</v>
      </c>
      <c r="K140" s="12" t="s">
        <v>88</v>
      </c>
      <c r="L140" s="5" t="s">
        <v>80</v>
      </c>
      <c r="M140" s="9" t="s">
        <v>69</v>
      </c>
    </row>
    <row r="141">
      <c r="A141" s="11">
        <v>140.0</v>
      </c>
      <c r="B141" s="11">
        <v>0.014</v>
      </c>
      <c r="C141" s="11">
        <v>0.004</v>
      </c>
      <c r="D141" s="11">
        <v>84.0</v>
      </c>
      <c r="E141" s="11">
        <v>79.0</v>
      </c>
      <c r="F141" s="11">
        <v>0.19</v>
      </c>
      <c r="G141" s="11">
        <v>0.677</v>
      </c>
      <c r="H141" s="11">
        <v>0.133</v>
      </c>
      <c r="I141" s="11">
        <v>2.16917E7</v>
      </c>
      <c r="J141" s="11">
        <v>0.886</v>
      </c>
      <c r="K141" s="12" t="s">
        <v>88</v>
      </c>
      <c r="L141" s="5" t="s">
        <v>80</v>
      </c>
      <c r="M141" s="9" t="s">
        <v>70</v>
      </c>
    </row>
    <row r="142">
      <c r="A142" s="11">
        <v>141.0</v>
      </c>
      <c r="B142" s="11">
        <v>0.014</v>
      </c>
      <c r="C142" s="11">
        <v>0.004</v>
      </c>
      <c r="D142" s="11">
        <v>84.0</v>
      </c>
      <c r="E142" s="11">
        <v>80.0</v>
      </c>
      <c r="F142" s="11">
        <v>0.189</v>
      </c>
      <c r="G142" s="11">
        <v>0.676</v>
      </c>
      <c r="H142" s="11">
        <v>0.134</v>
      </c>
      <c r="I142" s="11">
        <v>2.20318E7</v>
      </c>
      <c r="J142" s="11">
        <v>0.887</v>
      </c>
      <c r="K142" s="12" t="s">
        <v>88</v>
      </c>
      <c r="L142" s="5" t="s">
        <v>80</v>
      </c>
      <c r="M142" s="9" t="s">
        <v>71</v>
      </c>
    </row>
    <row r="143">
      <c r="A143" s="11">
        <v>142.0</v>
      </c>
      <c r="B143" s="11">
        <v>0.014</v>
      </c>
      <c r="C143" s="11">
        <v>0.004</v>
      </c>
      <c r="D143" s="11">
        <v>84.0</v>
      </c>
      <c r="E143" s="11">
        <v>80.0</v>
      </c>
      <c r="F143" s="11">
        <v>0.189</v>
      </c>
      <c r="G143" s="11">
        <v>0.674</v>
      </c>
      <c r="H143" s="11">
        <v>0.137</v>
      </c>
      <c r="I143" s="11">
        <v>2.234E7</v>
      </c>
      <c r="J143" s="11">
        <v>0.889</v>
      </c>
      <c r="K143" s="12" t="s">
        <v>88</v>
      </c>
      <c r="L143" s="5" t="s">
        <v>80</v>
      </c>
      <c r="M143" s="9" t="s">
        <v>72</v>
      </c>
    </row>
    <row r="144">
      <c r="A144" s="11">
        <v>143.0</v>
      </c>
      <c r="B144" s="11">
        <v>0.014</v>
      </c>
      <c r="C144" s="11">
        <v>0.004</v>
      </c>
      <c r="D144" s="11">
        <v>84.0</v>
      </c>
      <c r="E144" s="11">
        <v>80.0</v>
      </c>
      <c r="F144" s="11">
        <v>0.189</v>
      </c>
      <c r="G144" s="11">
        <v>0.671</v>
      </c>
      <c r="H144" s="11">
        <v>0.14</v>
      </c>
      <c r="I144" s="11">
        <v>2.27239E7</v>
      </c>
      <c r="J144" s="11">
        <v>0.89</v>
      </c>
      <c r="K144" s="12" t="s">
        <v>88</v>
      </c>
      <c r="L144" s="5" t="s">
        <v>80</v>
      </c>
      <c r="M144" s="9" t="s">
        <v>73</v>
      </c>
    </row>
    <row r="145">
      <c r="A145" s="11">
        <v>144.0</v>
      </c>
      <c r="B145" s="11">
        <v>0.01</v>
      </c>
      <c r="C145" s="11">
        <v>0.005</v>
      </c>
      <c r="D145" s="11">
        <v>81.0</v>
      </c>
      <c r="E145" s="11">
        <v>75.0</v>
      </c>
      <c r="F145" s="11">
        <v>0.17</v>
      </c>
      <c r="G145" s="11">
        <v>0.675</v>
      </c>
      <c r="H145" s="11">
        <v>0.155</v>
      </c>
      <c r="I145" s="11">
        <v>8011566.0</v>
      </c>
      <c r="J145" s="11">
        <v>0.658</v>
      </c>
      <c r="K145" s="12" t="s">
        <v>89</v>
      </c>
      <c r="L145" s="5" t="s">
        <v>75</v>
      </c>
      <c r="M145" s="9" t="s">
        <v>60</v>
      </c>
    </row>
    <row r="146">
      <c r="A146" s="11">
        <v>145.0</v>
      </c>
      <c r="B146" s="11">
        <v>0.009</v>
      </c>
      <c r="C146" s="11">
        <v>0.005</v>
      </c>
      <c r="D146" s="11">
        <v>82.0</v>
      </c>
      <c r="E146" s="11">
        <v>76.0</v>
      </c>
      <c r="F146" s="11">
        <v>0.168</v>
      </c>
      <c r="G146" s="11">
        <v>0.676</v>
      </c>
      <c r="H146" s="11">
        <v>0.156</v>
      </c>
      <c r="I146" s="11">
        <v>8042293.0</v>
      </c>
      <c r="J146" s="11">
        <v>0.658</v>
      </c>
      <c r="K146" s="12" t="s">
        <v>89</v>
      </c>
      <c r="L146" s="5" t="s">
        <v>75</v>
      </c>
      <c r="M146" s="9" t="s">
        <v>62</v>
      </c>
    </row>
    <row r="147">
      <c r="A147" s="11">
        <v>146.0</v>
      </c>
      <c r="B147" s="11">
        <v>0.01</v>
      </c>
      <c r="C147" s="11">
        <v>0.004</v>
      </c>
      <c r="D147" s="11">
        <v>82.0</v>
      </c>
      <c r="E147" s="11">
        <v>76.0</v>
      </c>
      <c r="F147" s="11">
        <v>0.167</v>
      </c>
      <c r="G147" s="11">
        <v>0.677</v>
      </c>
      <c r="H147" s="11">
        <v>0.156</v>
      </c>
      <c r="I147" s="11">
        <v>8081957.0</v>
      </c>
      <c r="J147" s="11">
        <v>0.658</v>
      </c>
      <c r="K147" s="12" t="s">
        <v>89</v>
      </c>
      <c r="L147" s="5" t="s">
        <v>75</v>
      </c>
      <c r="M147" s="9" t="s">
        <v>63</v>
      </c>
    </row>
    <row r="148">
      <c r="A148" s="11">
        <v>147.0</v>
      </c>
      <c r="B148" s="11">
        <v>0.01</v>
      </c>
      <c r="C148" s="11">
        <v>0.004</v>
      </c>
      <c r="D148" s="11">
        <v>82.0</v>
      </c>
      <c r="E148" s="11">
        <v>76.0</v>
      </c>
      <c r="F148" s="11">
        <v>0.165</v>
      </c>
      <c r="G148" s="11">
        <v>0.678</v>
      </c>
      <c r="H148" s="11">
        <v>0.157</v>
      </c>
      <c r="I148" s="11">
        <v>8121423.0</v>
      </c>
      <c r="J148" s="11">
        <v>0.658</v>
      </c>
      <c r="K148" s="12" t="s">
        <v>89</v>
      </c>
      <c r="L148" s="5" t="s">
        <v>75</v>
      </c>
      <c r="M148" s="9" t="s">
        <v>64</v>
      </c>
    </row>
    <row r="149">
      <c r="A149" s="11">
        <v>148.0</v>
      </c>
      <c r="B149" s="11">
        <v>0.01</v>
      </c>
      <c r="C149" s="11">
        <v>0.004</v>
      </c>
      <c r="D149" s="11">
        <v>82.0</v>
      </c>
      <c r="E149" s="11">
        <v>76.0</v>
      </c>
      <c r="F149" s="11">
        <v>0.163</v>
      </c>
      <c r="G149" s="11">
        <v>0.679</v>
      </c>
      <c r="H149" s="11">
        <v>0.158</v>
      </c>
      <c r="I149" s="11">
        <v>8171966.0</v>
      </c>
      <c r="J149" s="11">
        <v>0.658</v>
      </c>
      <c r="K149" s="12" t="s">
        <v>89</v>
      </c>
      <c r="L149" s="5" t="s">
        <v>75</v>
      </c>
      <c r="M149" s="9" t="s">
        <v>65</v>
      </c>
    </row>
    <row r="150">
      <c r="A150" s="11">
        <v>149.0</v>
      </c>
      <c r="B150" s="11">
        <v>0.01</v>
      </c>
      <c r="C150" s="11">
        <v>0.004</v>
      </c>
      <c r="D150" s="11">
        <v>82.0</v>
      </c>
      <c r="E150" s="11">
        <v>77.0</v>
      </c>
      <c r="F150" s="11">
        <v>0.16</v>
      </c>
      <c r="G150" s="11">
        <v>0.679</v>
      </c>
      <c r="H150" s="11">
        <v>0.161</v>
      </c>
      <c r="I150" s="11">
        <v>8227829.0</v>
      </c>
      <c r="J150" s="11">
        <v>0.658</v>
      </c>
      <c r="K150" s="12" t="s">
        <v>89</v>
      </c>
      <c r="L150" s="5" t="s">
        <v>75</v>
      </c>
      <c r="M150" s="9" t="s">
        <v>66</v>
      </c>
    </row>
    <row r="151">
      <c r="A151" s="11">
        <v>150.0</v>
      </c>
      <c r="B151" s="11">
        <v>0.009</v>
      </c>
      <c r="C151" s="11">
        <v>0.004</v>
      </c>
      <c r="D151" s="11">
        <v>83.0</v>
      </c>
      <c r="E151" s="11">
        <v>77.0</v>
      </c>
      <c r="F151" s="11">
        <v>0.158</v>
      </c>
      <c r="G151" s="11">
        <v>0.679</v>
      </c>
      <c r="H151" s="11">
        <v>0.164</v>
      </c>
      <c r="I151" s="11">
        <v>8268641.0</v>
      </c>
      <c r="J151" s="11">
        <v>0.658</v>
      </c>
      <c r="K151" s="12" t="s">
        <v>89</v>
      </c>
      <c r="L151" s="5" t="s">
        <v>75</v>
      </c>
      <c r="M151" s="9" t="s">
        <v>67</v>
      </c>
    </row>
    <row r="152">
      <c r="A152" s="11">
        <v>151.0</v>
      </c>
      <c r="B152" s="11">
        <v>0.009</v>
      </c>
      <c r="C152" s="11">
        <v>0.004</v>
      </c>
      <c r="D152" s="11">
        <v>83.0</v>
      </c>
      <c r="E152" s="11">
        <v>77.0</v>
      </c>
      <c r="F152" s="11">
        <v>0.155</v>
      </c>
      <c r="G152" s="11">
        <v>0.678</v>
      </c>
      <c r="H152" s="11">
        <v>0.167</v>
      </c>
      <c r="I152" s="11">
        <v>8300788.0</v>
      </c>
      <c r="J152" s="11">
        <v>0.658</v>
      </c>
      <c r="K152" s="12" t="s">
        <v>89</v>
      </c>
      <c r="L152" s="5" t="s">
        <v>75</v>
      </c>
      <c r="M152" s="9" t="s">
        <v>68</v>
      </c>
    </row>
    <row r="153">
      <c r="A153" s="11">
        <v>152.0</v>
      </c>
      <c r="B153" s="11">
        <v>0.009</v>
      </c>
      <c r="C153" s="11">
        <v>0.004</v>
      </c>
      <c r="D153" s="11">
        <v>83.0</v>
      </c>
      <c r="E153" s="11">
        <v>78.0</v>
      </c>
      <c r="F153" s="11">
        <v>0.152</v>
      </c>
      <c r="G153" s="11">
        <v>0.677</v>
      </c>
      <c r="H153" s="11">
        <v>0.171</v>
      </c>
      <c r="I153" s="11">
        <v>8336926.0</v>
      </c>
      <c r="J153" s="11">
        <v>0.658</v>
      </c>
      <c r="K153" s="12" t="s">
        <v>89</v>
      </c>
      <c r="L153" s="5" t="s">
        <v>75</v>
      </c>
      <c r="M153" s="9" t="s">
        <v>69</v>
      </c>
    </row>
    <row r="154">
      <c r="A154" s="11">
        <v>153.0</v>
      </c>
      <c r="B154" s="11">
        <v>0.009</v>
      </c>
      <c r="C154" s="11">
        <v>0.004</v>
      </c>
      <c r="D154" s="11">
        <v>83.0</v>
      </c>
      <c r="E154" s="11">
        <v>77.0</v>
      </c>
      <c r="F154" s="11">
        <v>0.15</v>
      </c>
      <c r="G154" s="11">
        <v>0.675</v>
      </c>
      <c r="H154" s="11">
        <v>0.175</v>
      </c>
      <c r="I154" s="11">
        <v>8365275.0</v>
      </c>
      <c r="J154" s="11">
        <v>0.658</v>
      </c>
      <c r="K154" s="12" t="s">
        <v>89</v>
      </c>
      <c r="L154" s="5" t="s">
        <v>75</v>
      </c>
      <c r="M154" s="9" t="s">
        <v>70</v>
      </c>
    </row>
    <row r="155">
      <c r="A155" s="11">
        <v>154.0</v>
      </c>
      <c r="B155" s="11">
        <v>0.009</v>
      </c>
      <c r="C155" s="11">
        <v>0.004</v>
      </c>
      <c r="D155" s="11">
        <v>83.0</v>
      </c>
      <c r="E155" s="11">
        <v>78.0</v>
      </c>
      <c r="F155" s="11">
        <v>0.148</v>
      </c>
      <c r="G155" s="11">
        <v>0.674</v>
      </c>
      <c r="H155" s="11">
        <v>0.178</v>
      </c>
      <c r="I155" s="11">
        <v>8389771.0</v>
      </c>
      <c r="J155" s="11">
        <v>0.659</v>
      </c>
      <c r="K155" s="12" t="s">
        <v>89</v>
      </c>
      <c r="L155" s="5" t="s">
        <v>75</v>
      </c>
      <c r="M155" s="9" t="s">
        <v>71</v>
      </c>
    </row>
    <row r="156">
      <c r="A156" s="11">
        <v>155.0</v>
      </c>
      <c r="B156" s="11">
        <v>0.009</v>
      </c>
      <c r="C156" s="11">
        <v>0.003</v>
      </c>
      <c r="D156" s="11">
        <v>84.0</v>
      </c>
      <c r="E156" s="11">
        <v>78.0</v>
      </c>
      <c r="F156" s="11">
        <v>0.146</v>
      </c>
      <c r="G156" s="11">
        <v>0.673</v>
      </c>
      <c r="H156" s="11">
        <v>0.181</v>
      </c>
      <c r="I156" s="11">
        <v>8406187.0</v>
      </c>
      <c r="J156" s="11">
        <v>0.659</v>
      </c>
      <c r="K156" s="12" t="s">
        <v>89</v>
      </c>
      <c r="L156" s="5" t="s">
        <v>75</v>
      </c>
      <c r="M156" s="9" t="s">
        <v>72</v>
      </c>
    </row>
    <row r="157">
      <c r="A157" s="11">
        <v>156.0</v>
      </c>
      <c r="B157" s="11">
        <v>0.009</v>
      </c>
      <c r="C157" s="11">
        <v>0.003</v>
      </c>
      <c r="D157" s="11">
        <v>84.0</v>
      </c>
      <c r="E157" s="11">
        <v>78.0</v>
      </c>
      <c r="F157" s="11">
        <v>0.145</v>
      </c>
      <c r="G157" s="11">
        <v>0.672</v>
      </c>
      <c r="H157" s="11">
        <v>0.182</v>
      </c>
      <c r="I157" s="11">
        <v>8429991.0</v>
      </c>
      <c r="J157" s="11">
        <v>0.659</v>
      </c>
      <c r="K157" s="12" t="s">
        <v>89</v>
      </c>
      <c r="L157" s="5" t="s">
        <v>75</v>
      </c>
      <c r="M157" s="9" t="s">
        <v>73</v>
      </c>
    </row>
    <row r="158">
      <c r="A158" s="11">
        <v>157.0</v>
      </c>
      <c r="B158" s="11">
        <v>0.015</v>
      </c>
      <c r="C158" s="11">
        <v>0.061</v>
      </c>
      <c r="D158" s="11">
        <v>70.0</v>
      </c>
      <c r="E158" s="11">
        <v>64.0</v>
      </c>
      <c r="F158" s="11">
        <v>0.311</v>
      </c>
      <c r="G158" s="11">
        <v>0.633</v>
      </c>
      <c r="H158" s="11">
        <v>0.056</v>
      </c>
      <c r="I158" s="11">
        <v>8048600.0</v>
      </c>
      <c r="J158" s="11">
        <v>0.514</v>
      </c>
      <c r="K158" s="12" t="s">
        <v>90</v>
      </c>
      <c r="L158" s="5" t="s">
        <v>61</v>
      </c>
      <c r="M158" s="9" t="s">
        <v>60</v>
      </c>
    </row>
    <row r="159">
      <c r="A159" s="11">
        <v>158.0</v>
      </c>
      <c r="B159" s="11">
        <v>0.014</v>
      </c>
      <c r="C159" s="11">
        <v>0.057</v>
      </c>
      <c r="D159" s="11">
        <v>70.0</v>
      </c>
      <c r="E159" s="11">
        <v>64.0</v>
      </c>
      <c r="F159" s="11">
        <v>0.301</v>
      </c>
      <c r="G159" s="11">
        <v>0.641</v>
      </c>
      <c r="H159" s="11">
        <v>0.058</v>
      </c>
      <c r="I159" s="11">
        <v>8111200.0</v>
      </c>
      <c r="J159" s="11">
        <v>0.516</v>
      </c>
      <c r="K159" s="12" t="s">
        <v>90</v>
      </c>
      <c r="L159" s="5" t="s">
        <v>61</v>
      </c>
      <c r="M159" s="9" t="s">
        <v>62</v>
      </c>
    </row>
    <row r="160">
      <c r="A160" s="11">
        <v>159.0</v>
      </c>
      <c r="B160" s="11">
        <v>0.014</v>
      </c>
      <c r="C160" s="11">
        <v>0.053</v>
      </c>
      <c r="D160" s="11">
        <v>70.0</v>
      </c>
      <c r="E160" s="11">
        <v>65.0</v>
      </c>
      <c r="F160" s="11">
        <v>0.291</v>
      </c>
      <c r="G160" s="11">
        <v>0.649</v>
      </c>
      <c r="H160" s="11">
        <v>0.06</v>
      </c>
      <c r="I160" s="11">
        <v>8171950.0</v>
      </c>
      <c r="J160" s="11">
        <v>0.518</v>
      </c>
      <c r="K160" s="12" t="s">
        <v>90</v>
      </c>
      <c r="L160" s="5" t="s">
        <v>61</v>
      </c>
      <c r="M160" s="9" t="s">
        <v>63</v>
      </c>
    </row>
    <row r="161">
      <c r="A161" s="11">
        <v>160.0</v>
      </c>
      <c r="B161" s="11">
        <v>0.014</v>
      </c>
      <c r="C161" s="11">
        <v>0.05</v>
      </c>
      <c r="D161" s="11">
        <v>71.0</v>
      </c>
      <c r="E161" s="11">
        <v>65.0</v>
      </c>
      <c r="F161" s="11">
        <v>0.28</v>
      </c>
      <c r="G161" s="11">
        <v>0.658</v>
      </c>
      <c r="H161" s="11">
        <v>0.062</v>
      </c>
      <c r="I161" s="11">
        <v>8234100.0</v>
      </c>
      <c r="J161" s="11">
        <v>0.52</v>
      </c>
      <c r="K161" s="12" t="s">
        <v>90</v>
      </c>
      <c r="L161" s="5" t="s">
        <v>61</v>
      </c>
      <c r="M161" s="9" t="s">
        <v>64</v>
      </c>
    </row>
    <row r="162">
      <c r="A162" s="11">
        <v>161.0</v>
      </c>
      <c r="B162" s="11">
        <v>0.016</v>
      </c>
      <c r="C162" s="11">
        <v>0.047</v>
      </c>
      <c r="D162" s="11">
        <v>71.0</v>
      </c>
      <c r="E162" s="11">
        <v>66.0</v>
      </c>
      <c r="F162" s="11">
        <v>0.27</v>
      </c>
      <c r="G162" s="11">
        <v>0.667</v>
      </c>
      <c r="H162" s="11">
        <v>0.064</v>
      </c>
      <c r="I162" s="11">
        <v>8306500.0</v>
      </c>
      <c r="J162" s="11">
        <v>0.522</v>
      </c>
      <c r="K162" s="12" t="s">
        <v>90</v>
      </c>
      <c r="L162" s="5" t="s">
        <v>61</v>
      </c>
      <c r="M162" s="9" t="s">
        <v>65</v>
      </c>
    </row>
    <row r="163">
      <c r="A163" s="11">
        <v>162.0</v>
      </c>
      <c r="B163" s="11">
        <v>0.017</v>
      </c>
      <c r="C163" s="11">
        <v>0.044</v>
      </c>
      <c r="D163" s="11">
        <v>72.0</v>
      </c>
      <c r="E163" s="11">
        <v>66.0</v>
      </c>
      <c r="F163" s="11">
        <v>0.26</v>
      </c>
      <c r="G163" s="11">
        <v>0.676</v>
      </c>
      <c r="H163" s="11">
        <v>0.064</v>
      </c>
      <c r="I163" s="11">
        <v>8391850.0</v>
      </c>
      <c r="J163" s="11">
        <v>0.524</v>
      </c>
      <c r="K163" s="12" t="s">
        <v>90</v>
      </c>
      <c r="L163" s="5" t="s">
        <v>61</v>
      </c>
      <c r="M163" s="9" t="s">
        <v>66</v>
      </c>
    </row>
    <row r="164">
      <c r="A164" s="11">
        <v>163.0</v>
      </c>
      <c r="B164" s="11">
        <v>0.018</v>
      </c>
      <c r="C164" s="11">
        <v>0.042</v>
      </c>
      <c r="D164" s="11">
        <v>72.0</v>
      </c>
      <c r="E164" s="11">
        <v>67.0</v>
      </c>
      <c r="F164" s="11">
        <v>0.251</v>
      </c>
      <c r="G164" s="11">
        <v>0.685</v>
      </c>
      <c r="H164" s="11">
        <v>0.064</v>
      </c>
      <c r="I164" s="11">
        <v>8484550.0</v>
      </c>
      <c r="J164" s="11">
        <v>0.526</v>
      </c>
      <c r="K164" s="12" t="s">
        <v>90</v>
      </c>
      <c r="L164" s="5" t="s">
        <v>61</v>
      </c>
      <c r="M164" s="9" t="s">
        <v>67</v>
      </c>
    </row>
    <row r="165">
      <c r="A165" s="11">
        <v>164.0</v>
      </c>
      <c r="B165" s="11">
        <v>0.018</v>
      </c>
      <c r="C165" s="11">
        <v>0.039</v>
      </c>
      <c r="D165" s="11">
        <v>73.0</v>
      </c>
      <c r="E165" s="11">
        <v>67.0</v>
      </c>
      <c r="F165" s="11">
        <v>0.243</v>
      </c>
      <c r="G165" s="11">
        <v>0.693</v>
      </c>
      <c r="H165" s="11">
        <v>0.063</v>
      </c>
      <c r="I165" s="11">
        <v>8581300.0</v>
      </c>
      <c r="J165" s="11">
        <v>0.528</v>
      </c>
      <c r="K165" s="12" t="s">
        <v>90</v>
      </c>
      <c r="L165" s="5" t="s">
        <v>61</v>
      </c>
      <c r="M165" s="9" t="s">
        <v>68</v>
      </c>
    </row>
    <row r="166">
      <c r="A166" s="11">
        <v>165.0</v>
      </c>
      <c r="B166" s="11">
        <v>0.017</v>
      </c>
      <c r="C166" s="11">
        <v>0.037</v>
      </c>
      <c r="D166" s="11">
        <v>73.0</v>
      </c>
      <c r="E166" s="11">
        <v>67.0</v>
      </c>
      <c r="F166" s="11">
        <v>0.237</v>
      </c>
      <c r="G166" s="11">
        <v>0.701</v>
      </c>
      <c r="H166" s="11">
        <v>0.062</v>
      </c>
      <c r="I166" s="11">
        <v>8763400.0</v>
      </c>
      <c r="J166" s="11">
        <v>0.53</v>
      </c>
      <c r="K166" s="12" t="s">
        <v>90</v>
      </c>
      <c r="L166" s="5" t="s">
        <v>61</v>
      </c>
      <c r="M166" s="9" t="s">
        <v>69</v>
      </c>
    </row>
    <row r="167">
      <c r="A167" s="11">
        <v>166.0</v>
      </c>
      <c r="B167" s="11">
        <v>0.017</v>
      </c>
      <c r="C167" s="11">
        <v>0.035</v>
      </c>
      <c r="D167" s="11">
        <v>73.0</v>
      </c>
      <c r="E167" s="11">
        <v>67.0</v>
      </c>
      <c r="F167" s="11">
        <v>0.231</v>
      </c>
      <c r="G167" s="11">
        <v>0.708</v>
      </c>
      <c r="H167" s="11">
        <v>0.061</v>
      </c>
      <c r="I167" s="11">
        <v>8947243.0</v>
      </c>
      <c r="J167" s="11">
        <v>0.532</v>
      </c>
      <c r="K167" s="12" t="s">
        <v>90</v>
      </c>
      <c r="L167" s="5" t="s">
        <v>61</v>
      </c>
      <c r="M167" s="9" t="s">
        <v>70</v>
      </c>
    </row>
    <row r="168">
      <c r="A168" s="11">
        <v>167.0</v>
      </c>
      <c r="B168" s="11">
        <v>0.018</v>
      </c>
      <c r="C168" s="11">
        <v>0.034</v>
      </c>
      <c r="D168" s="11">
        <v>74.0</v>
      </c>
      <c r="E168" s="11">
        <v>67.0</v>
      </c>
      <c r="F168" s="11">
        <v>0.227</v>
      </c>
      <c r="G168" s="11">
        <v>0.714</v>
      </c>
      <c r="H168" s="11">
        <v>0.059</v>
      </c>
      <c r="I168" s="11">
        <v>9054332.0</v>
      </c>
      <c r="J168" s="11">
        <v>0.534</v>
      </c>
      <c r="K168" s="12" t="s">
        <v>90</v>
      </c>
      <c r="L168" s="5" t="s">
        <v>61</v>
      </c>
      <c r="M168" s="9" t="s">
        <v>71</v>
      </c>
    </row>
    <row r="169">
      <c r="A169" s="11">
        <v>168.0</v>
      </c>
      <c r="B169" s="11">
        <v>0.019</v>
      </c>
      <c r="C169" s="11">
        <v>0.032</v>
      </c>
      <c r="D169" s="11">
        <v>74.0</v>
      </c>
      <c r="E169" s="11">
        <v>68.0</v>
      </c>
      <c r="F169" s="11">
        <v>0.224</v>
      </c>
      <c r="G169" s="11">
        <v>0.718</v>
      </c>
      <c r="H169" s="11">
        <v>0.058</v>
      </c>
      <c r="I169" s="11">
        <v>9173082.0</v>
      </c>
      <c r="J169" s="11">
        <v>0.536</v>
      </c>
      <c r="K169" s="12" t="s">
        <v>90</v>
      </c>
      <c r="L169" s="5" t="s">
        <v>61</v>
      </c>
      <c r="M169" s="9" t="s">
        <v>72</v>
      </c>
    </row>
    <row r="170">
      <c r="A170" s="11">
        <v>169.0</v>
      </c>
      <c r="B170" s="11">
        <v>0.019</v>
      </c>
      <c r="C170" s="11">
        <v>0.031</v>
      </c>
      <c r="D170" s="11">
        <v>74.0</v>
      </c>
      <c r="E170" s="11">
        <v>68.0</v>
      </c>
      <c r="F170" s="11">
        <v>0.222</v>
      </c>
      <c r="G170" s="11">
        <v>0.721</v>
      </c>
      <c r="H170" s="11">
        <v>0.057</v>
      </c>
      <c r="I170" s="11">
        <v>9295784.0</v>
      </c>
      <c r="J170" s="11">
        <v>0.539</v>
      </c>
      <c r="K170" s="12" t="s">
        <v>90</v>
      </c>
      <c r="L170" s="5" t="s">
        <v>61</v>
      </c>
      <c r="M170" s="9" t="s">
        <v>73</v>
      </c>
    </row>
    <row r="171">
      <c r="A171" s="11">
        <v>170.0</v>
      </c>
      <c r="B171" s="11">
        <v>0.018</v>
      </c>
      <c r="C171" s="11">
        <v>0.013</v>
      </c>
      <c r="D171" s="11">
        <v>75.0</v>
      </c>
      <c r="E171" s="11">
        <v>69.0</v>
      </c>
      <c r="F171" s="11">
        <v>0.293</v>
      </c>
      <c r="G171" s="11">
        <v>0.654</v>
      </c>
      <c r="H171" s="11">
        <v>0.054</v>
      </c>
      <c r="I171" s="11">
        <v>297759.0</v>
      </c>
      <c r="J171" s="11">
        <v>0.82</v>
      </c>
      <c r="K171" s="12" t="s">
        <v>91</v>
      </c>
      <c r="L171" s="5" t="s">
        <v>84</v>
      </c>
      <c r="M171" s="9" t="s">
        <v>60</v>
      </c>
    </row>
    <row r="172">
      <c r="A172" s="11">
        <v>171.0</v>
      </c>
      <c r="B172" s="11">
        <v>0.017</v>
      </c>
      <c r="C172" s="11">
        <v>0.013</v>
      </c>
      <c r="D172" s="11">
        <v>76.0</v>
      </c>
      <c r="E172" s="11">
        <v>70.0</v>
      </c>
      <c r="F172" s="11">
        <v>0.286</v>
      </c>
      <c r="G172" s="11">
        <v>0.659</v>
      </c>
      <c r="H172" s="11">
        <v>0.055</v>
      </c>
      <c r="I172" s="11">
        <v>303005.0</v>
      </c>
      <c r="J172" s="11">
        <v>0.821</v>
      </c>
      <c r="K172" s="12" t="s">
        <v>91</v>
      </c>
      <c r="L172" s="5" t="s">
        <v>84</v>
      </c>
      <c r="M172" s="9" t="s">
        <v>62</v>
      </c>
    </row>
    <row r="173">
      <c r="A173" s="11">
        <v>172.0</v>
      </c>
      <c r="B173" s="11">
        <v>0.016</v>
      </c>
      <c r="C173" s="11">
        <v>0.013</v>
      </c>
      <c r="D173" s="11">
        <v>76.0</v>
      </c>
      <c r="E173" s="11">
        <v>70.0</v>
      </c>
      <c r="F173" s="11">
        <v>0.279</v>
      </c>
      <c r="G173" s="11">
        <v>0.664</v>
      </c>
      <c r="H173" s="11">
        <v>0.057</v>
      </c>
      <c r="I173" s="11">
        <v>309039.0</v>
      </c>
      <c r="J173" s="11">
        <v>0.821</v>
      </c>
      <c r="K173" s="12" t="s">
        <v>91</v>
      </c>
      <c r="L173" s="5" t="s">
        <v>84</v>
      </c>
      <c r="M173" s="9" t="s">
        <v>63</v>
      </c>
    </row>
    <row r="174">
      <c r="A174" s="11">
        <v>173.0</v>
      </c>
      <c r="B174" s="11">
        <v>0.016</v>
      </c>
      <c r="C174" s="11">
        <v>0.013</v>
      </c>
      <c r="D174" s="11">
        <v>76.0</v>
      </c>
      <c r="E174" s="11">
        <v>70.0</v>
      </c>
      <c r="F174" s="11">
        <v>0.271</v>
      </c>
      <c r="G174" s="11">
        <v>0.67</v>
      </c>
      <c r="H174" s="11">
        <v>0.059</v>
      </c>
      <c r="I174" s="11">
        <v>315624.0</v>
      </c>
      <c r="J174" s="11">
        <v>0.822</v>
      </c>
      <c r="K174" s="12" t="s">
        <v>91</v>
      </c>
      <c r="L174" s="5" t="s">
        <v>84</v>
      </c>
      <c r="M174" s="9" t="s">
        <v>64</v>
      </c>
    </row>
    <row r="175">
      <c r="A175" s="11">
        <v>174.0</v>
      </c>
      <c r="B175" s="11">
        <v>0.015</v>
      </c>
      <c r="C175" s="11">
        <v>0.013</v>
      </c>
      <c r="D175" s="11">
        <v>77.0</v>
      </c>
      <c r="E175" s="11">
        <v>70.0</v>
      </c>
      <c r="F175" s="11">
        <v>0.263</v>
      </c>
      <c r="G175" s="11">
        <v>0.676</v>
      </c>
      <c r="H175" s="11">
        <v>0.061</v>
      </c>
      <c r="I175" s="11">
        <v>322400.0</v>
      </c>
      <c r="J175" s="11">
        <v>0.822</v>
      </c>
      <c r="K175" s="12" t="s">
        <v>91</v>
      </c>
      <c r="L175" s="5" t="s">
        <v>84</v>
      </c>
      <c r="M175" s="9" t="s">
        <v>65</v>
      </c>
    </row>
    <row r="176">
      <c r="A176" s="11">
        <v>175.0</v>
      </c>
      <c r="B176" s="11">
        <v>0.015</v>
      </c>
      <c r="C176" s="11">
        <v>0.013</v>
      </c>
      <c r="D176" s="11">
        <v>77.0</v>
      </c>
      <c r="E176" s="11">
        <v>71.0</v>
      </c>
      <c r="F176" s="11">
        <v>0.256</v>
      </c>
      <c r="G176" s="11">
        <v>0.682</v>
      </c>
      <c r="H176" s="11">
        <v>0.062</v>
      </c>
      <c r="I176" s="11">
        <v>329088.0</v>
      </c>
      <c r="J176" s="11">
        <v>0.823</v>
      </c>
      <c r="K176" s="12" t="s">
        <v>91</v>
      </c>
      <c r="L176" s="5" t="s">
        <v>84</v>
      </c>
      <c r="M176" s="9" t="s">
        <v>66</v>
      </c>
    </row>
    <row r="177">
      <c r="A177" s="11">
        <v>176.0</v>
      </c>
      <c r="B177" s="11">
        <v>0.015</v>
      </c>
      <c r="C177" s="11">
        <v>0.012</v>
      </c>
      <c r="D177" s="11">
        <v>77.0</v>
      </c>
      <c r="E177" s="11">
        <v>71.0</v>
      </c>
      <c r="F177" s="11">
        <v>0.249</v>
      </c>
      <c r="G177" s="11">
        <v>0.688</v>
      </c>
      <c r="H177" s="11">
        <v>0.064</v>
      </c>
      <c r="I177" s="11">
        <v>335622.0</v>
      </c>
      <c r="J177" s="11">
        <v>0.823</v>
      </c>
      <c r="K177" s="12" t="s">
        <v>91</v>
      </c>
      <c r="L177" s="5" t="s">
        <v>84</v>
      </c>
      <c r="M177" s="9" t="s">
        <v>67</v>
      </c>
    </row>
    <row r="178">
      <c r="A178" s="11">
        <v>177.0</v>
      </c>
      <c r="B178" s="11">
        <v>0.015</v>
      </c>
      <c r="C178" s="11">
        <v>0.012</v>
      </c>
      <c r="D178" s="11">
        <v>77.0</v>
      </c>
      <c r="E178" s="11">
        <v>71.0</v>
      </c>
      <c r="F178" s="11">
        <v>0.242</v>
      </c>
      <c r="G178" s="11">
        <v>0.693</v>
      </c>
      <c r="H178" s="11">
        <v>0.065</v>
      </c>
      <c r="I178" s="11">
        <v>342049.0</v>
      </c>
      <c r="J178" s="11">
        <v>0.824</v>
      </c>
      <c r="K178" s="12" t="s">
        <v>91</v>
      </c>
      <c r="L178" s="5" t="s">
        <v>84</v>
      </c>
      <c r="M178" s="9" t="s">
        <v>68</v>
      </c>
    </row>
    <row r="179">
      <c r="A179" s="11">
        <v>178.0</v>
      </c>
      <c r="B179" s="11">
        <v>0.016</v>
      </c>
      <c r="C179" s="11">
        <v>0.012</v>
      </c>
      <c r="D179" s="11">
        <v>77.0</v>
      </c>
      <c r="E179" s="11">
        <v>71.0</v>
      </c>
      <c r="F179" s="11">
        <v>0.236</v>
      </c>
      <c r="G179" s="11">
        <v>0.698</v>
      </c>
      <c r="H179" s="11">
        <v>0.066</v>
      </c>
      <c r="I179" s="11">
        <v>348340.0</v>
      </c>
      <c r="J179" s="11">
        <v>0.824</v>
      </c>
      <c r="K179" s="12" t="s">
        <v>91</v>
      </c>
      <c r="L179" s="5" t="s">
        <v>84</v>
      </c>
      <c r="M179" s="9" t="s">
        <v>69</v>
      </c>
    </row>
    <row r="180">
      <c r="A180" s="11">
        <v>179.0</v>
      </c>
      <c r="B180" s="11">
        <v>0.016</v>
      </c>
      <c r="C180" s="11">
        <v>0.012</v>
      </c>
      <c r="D180" s="11">
        <v>78.0</v>
      </c>
      <c r="E180" s="11">
        <v>71.0</v>
      </c>
      <c r="F180" s="11">
        <v>0.23</v>
      </c>
      <c r="G180" s="11">
        <v>0.702</v>
      </c>
      <c r="H180" s="11">
        <v>0.068</v>
      </c>
      <c r="I180" s="11">
        <v>354492.0</v>
      </c>
      <c r="J180" s="11">
        <v>0.825</v>
      </c>
      <c r="K180" s="12" t="s">
        <v>91</v>
      </c>
      <c r="L180" s="5" t="s">
        <v>84</v>
      </c>
      <c r="M180" s="9" t="s">
        <v>70</v>
      </c>
    </row>
    <row r="181">
      <c r="A181" s="11">
        <v>180.0</v>
      </c>
      <c r="B181" s="11">
        <v>0.016</v>
      </c>
      <c r="C181" s="11">
        <v>0.011</v>
      </c>
      <c r="D181" s="11">
        <v>78.0</v>
      </c>
      <c r="E181" s="11">
        <v>72.0</v>
      </c>
      <c r="F181" s="11">
        <v>0.225</v>
      </c>
      <c r="G181" s="11">
        <v>0.706</v>
      </c>
      <c r="H181" s="11">
        <v>0.07</v>
      </c>
      <c r="I181" s="11">
        <v>360498.0</v>
      </c>
      <c r="J181" s="11">
        <v>0.825</v>
      </c>
      <c r="K181" s="12" t="s">
        <v>91</v>
      </c>
      <c r="L181" s="5" t="s">
        <v>84</v>
      </c>
      <c r="M181" s="9" t="s">
        <v>71</v>
      </c>
    </row>
    <row r="182">
      <c r="A182" s="11">
        <v>181.0</v>
      </c>
      <c r="B182" s="11">
        <v>0.015</v>
      </c>
      <c r="C182" s="11">
        <v>0.011</v>
      </c>
      <c r="D182" s="11">
        <v>78.0</v>
      </c>
      <c r="E182" s="11">
        <v>72.0</v>
      </c>
      <c r="F182" s="11">
        <v>0.22</v>
      </c>
      <c r="G182" s="11">
        <v>0.708</v>
      </c>
      <c r="H182" s="11">
        <v>0.072</v>
      </c>
      <c r="I182" s="11">
        <v>366331.0</v>
      </c>
      <c r="J182" s="11">
        <v>0.826</v>
      </c>
      <c r="K182" s="12" t="s">
        <v>91</v>
      </c>
      <c r="L182" s="5" t="s">
        <v>84</v>
      </c>
      <c r="M182" s="9" t="s">
        <v>72</v>
      </c>
    </row>
    <row r="183">
      <c r="A183" s="11">
        <v>182.0</v>
      </c>
      <c r="B183" s="11">
        <v>0.015</v>
      </c>
      <c r="C183" s="11">
        <v>0.011</v>
      </c>
      <c r="D183" s="11">
        <v>78.0</v>
      </c>
      <c r="E183" s="11">
        <v>72.0</v>
      </c>
      <c r="F183" s="11">
        <v>0.216</v>
      </c>
      <c r="G183" s="11">
        <v>0.71</v>
      </c>
      <c r="H183" s="11">
        <v>0.074</v>
      </c>
      <c r="I183" s="11">
        <v>371960.0</v>
      </c>
      <c r="J183" s="11">
        <v>0.827</v>
      </c>
      <c r="K183" s="12" t="s">
        <v>91</v>
      </c>
      <c r="L183" s="5" t="s">
        <v>84</v>
      </c>
      <c r="M183" s="9" t="s">
        <v>73</v>
      </c>
    </row>
    <row r="184">
      <c r="A184" s="11">
        <v>183.0</v>
      </c>
      <c r="B184" s="11">
        <v>0.021</v>
      </c>
      <c r="C184" s="11">
        <v>0.011</v>
      </c>
      <c r="D184" s="11">
        <v>76.0</v>
      </c>
      <c r="E184" s="11">
        <v>74.0</v>
      </c>
      <c r="F184" s="11">
        <v>0.308</v>
      </c>
      <c r="G184" s="11">
        <v>0.667</v>
      </c>
      <c r="H184" s="11">
        <v>0.024</v>
      </c>
      <c r="I184" s="11">
        <v>668239.0</v>
      </c>
      <c r="J184" s="11">
        <v>0.884</v>
      </c>
      <c r="K184" s="12" t="s">
        <v>92</v>
      </c>
      <c r="L184" s="5" t="s">
        <v>93</v>
      </c>
      <c r="M184" s="9" t="s">
        <v>60</v>
      </c>
    </row>
    <row r="185">
      <c r="A185" s="11">
        <v>184.0</v>
      </c>
      <c r="B185" s="11">
        <v>0.021</v>
      </c>
      <c r="C185" s="11">
        <v>0.011</v>
      </c>
      <c r="D185" s="11">
        <v>76.0</v>
      </c>
      <c r="E185" s="11">
        <v>74.0</v>
      </c>
      <c r="F185" s="11">
        <v>0.305</v>
      </c>
      <c r="G185" s="11">
        <v>0.67</v>
      </c>
      <c r="H185" s="11">
        <v>0.024</v>
      </c>
      <c r="I185" s="11">
        <v>698749.0</v>
      </c>
      <c r="J185" s="11">
        <v>0.884</v>
      </c>
      <c r="K185" s="12" t="s">
        <v>92</v>
      </c>
      <c r="L185" s="5" t="s">
        <v>93</v>
      </c>
      <c r="M185" s="9" t="s">
        <v>62</v>
      </c>
    </row>
    <row r="186">
      <c r="A186" s="11">
        <v>185.0</v>
      </c>
      <c r="B186" s="11">
        <v>0.02</v>
      </c>
      <c r="C186" s="11">
        <v>0.01</v>
      </c>
      <c r="D186" s="11">
        <v>76.0</v>
      </c>
      <c r="E186" s="11">
        <v>74.0</v>
      </c>
      <c r="F186" s="11">
        <v>0.301</v>
      </c>
      <c r="G186" s="11">
        <v>0.675</v>
      </c>
      <c r="H186" s="11">
        <v>0.024</v>
      </c>
      <c r="I186" s="11">
        <v>732541.0</v>
      </c>
      <c r="J186" s="11">
        <v>0.884</v>
      </c>
      <c r="K186" s="12" t="s">
        <v>92</v>
      </c>
      <c r="L186" s="5" t="s">
        <v>93</v>
      </c>
      <c r="M186" s="9" t="s">
        <v>63</v>
      </c>
    </row>
    <row r="187">
      <c r="A187" s="11">
        <v>186.0</v>
      </c>
      <c r="B187" s="11">
        <v>0.02</v>
      </c>
      <c r="C187" s="11">
        <v>0.01</v>
      </c>
      <c r="D187" s="11">
        <v>76.0</v>
      </c>
      <c r="E187" s="11">
        <v>74.0</v>
      </c>
      <c r="F187" s="11">
        <v>0.294</v>
      </c>
      <c r="G187" s="11">
        <v>0.683</v>
      </c>
      <c r="H187" s="11">
        <v>0.023</v>
      </c>
      <c r="I187" s="11">
        <v>772058.0</v>
      </c>
      <c r="J187" s="11">
        <v>0.884</v>
      </c>
      <c r="K187" s="12" t="s">
        <v>92</v>
      </c>
      <c r="L187" s="5" t="s">
        <v>93</v>
      </c>
      <c r="M187" s="9" t="s">
        <v>64</v>
      </c>
    </row>
    <row r="188">
      <c r="A188" s="11">
        <v>187.0</v>
      </c>
      <c r="B188" s="11">
        <v>0.019</v>
      </c>
      <c r="C188" s="11">
        <v>0.01</v>
      </c>
      <c r="D188" s="11">
        <v>76.0</v>
      </c>
      <c r="E188" s="11">
        <v>75.0</v>
      </c>
      <c r="F188" s="11">
        <v>0.283</v>
      </c>
      <c r="G188" s="11">
        <v>0.694</v>
      </c>
      <c r="H188" s="11">
        <v>0.023</v>
      </c>
      <c r="I188" s="11">
        <v>820505.0</v>
      </c>
      <c r="J188" s="11">
        <v>0.884</v>
      </c>
      <c r="K188" s="12" t="s">
        <v>92</v>
      </c>
      <c r="L188" s="5" t="s">
        <v>93</v>
      </c>
      <c r="M188" s="9" t="s">
        <v>65</v>
      </c>
    </row>
    <row r="189">
      <c r="A189" s="11">
        <v>188.0</v>
      </c>
      <c r="B189" s="11">
        <v>0.019</v>
      </c>
      <c r="C189" s="11">
        <v>0.009</v>
      </c>
      <c r="D189" s="11">
        <v>76.0</v>
      </c>
      <c r="E189" s="11">
        <v>75.0</v>
      </c>
      <c r="F189" s="11">
        <v>0.269</v>
      </c>
      <c r="G189" s="11">
        <v>0.709</v>
      </c>
      <c r="H189" s="11">
        <v>0.022</v>
      </c>
      <c r="I189" s="11">
        <v>879534.0</v>
      </c>
      <c r="J189" s="11">
        <v>0.884</v>
      </c>
      <c r="K189" s="12" t="s">
        <v>92</v>
      </c>
      <c r="L189" s="5" t="s">
        <v>93</v>
      </c>
      <c r="M189" s="9" t="s">
        <v>66</v>
      </c>
    </row>
    <row r="190">
      <c r="A190" s="11">
        <v>189.0</v>
      </c>
      <c r="B190" s="11">
        <v>0.018</v>
      </c>
      <c r="C190" s="11">
        <v>0.009</v>
      </c>
      <c r="D190" s="11">
        <v>76.0</v>
      </c>
      <c r="E190" s="11">
        <v>75.0</v>
      </c>
      <c r="F190" s="11">
        <v>0.252</v>
      </c>
      <c r="G190" s="11">
        <v>0.727</v>
      </c>
      <c r="H190" s="11">
        <v>0.022</v>
      </c>
      <c r="I190" s="11">
        <v>950951.0</v>
      </c>
      <c r="J190" s="11">
        <v>0.884</v>
      </c>
      <c r="K190" s="12" t="s">
        <v>92</v>
      </c>
      <c r="L190" s="5" t="s">
        <v>93</v>
      </c>
      <c r="M190" s="9" t="s">
        <v>67</v>
      </c>
    </row>
    <row r="191">
      <c r="A191" s="11">
        <v>190.0</v>
      </c>
      <c r="B191" s="11">
        <v>0.018</v>
      </c>
      <c r="C191" s="11">
        <v>0.009</v>
      </c>
      <c r="D191" s="11">
        <v>77.0</v>
      </c>
      <c r="E191" s="11">
        <v>75.0</v>
      </c>
      <c r="F191" s="11">
        <v>0.233</v>
      </c>
      <c r="G191" s="11">
        <v>0.746</v>
      </c>
      <c r="H191" s="11">
        <v>0.021</v>
      </c>
      <c r="I191" s="11">
        <v>1032353.0</v>
      </c>
      <c r="J191" s="11">
        <v>0.884</v>
      </c>
      <c r="K191" s="12" t="s">
        <v>92</v>
      </c>
      <c r="L191" s="5" t="s">
        <v>93</v>
      </c>
      <c r="M191" s="9" t="s">
        <v>68</v>
      </c>
    </row>
    <row r="192">
      <c r="A192" s="11">
        <v>191.0</v>
      </c>
      <c r="B192" s="11">
        <v>0.017</v>
      </c>
      <c r="C192" s="11">
        <v>0.008</v>
      </c>
      <c r="D192" s="11">
        <v>77.0</v>
      </c>
      <c r="E192" s="11">
        <v>75.0</v>
      </c>
      <c r="F192" s="11">
        <v>0.217</v>
      </c>
      <c r="G192" s="11">
        <v>0.763</v>
      </c>
      <c r="H192" s="11">
        <v>0.021</v>
      </c>
      <c r="I192" s="11">
        <v>1116038.0</v>
      </c>
      <c r="J192" s="11">
        <v>0.885</v>
      </c>
      <c r="K192" s="12" t="s">
        <v>92</v>
      </c>
      <c r="L192" s="5" t="s">
        <v>93</v>
      </c>
      <c r="M192" s="9" t="s">
        <v>69</v>
      </c>
    </row>
    <row r="193">
      <c r="A193" s="11">
        <v>192.0</v>
      </c>
      <c r="B193" s="11">
        <v>0.017</v>
      </c>
      <c r="C193" s="11">
        <v>0.007</v>
      </c>
      <c r="D193" s="11">
        <v>77.0</v>
      </c>
      <c r="E193" s="11">
        <v>75.0</v>
      </c>
      <c r="F193" s="11">
        <v>0.205</v>
      </c>
      <c r="G193" s="11">
        <v>0.775</v>
      </c>
      <c r="H193" s="11">
        <v>0.02</v>
      </c>
      <c r="I193" s="11">
        <v>1191539.0</v>
      </c>
      <c r="J193" s="11">
        <v>0.885</v>
      </c>
      <c r="K193" s="12" t="s">
        <v>92</v>
      </c>
      <c r="L193" s="5" t="s">
        <v>93</v>
      </c>
      <c r="M193" s="9" t="s">
        <v>70</v>
      </c>
    </row>
    <row r="194">
      <c r="A194" s="11">
        <v>193.0</v>
      </c>
      <c r="B194" s="11">
        <v>0.016</v>
      </c>
      <c r="C194" s="11">
        <v>0.007</v>
      </c>
      <c r="D194" s="11">
        <v>77.0</v>
      </c>
      <c r="E194" s="11">
        <v>76.0</v>
      </c>
      <c r="F194" s="11">
        <v>0.199</v>
      </c>
      <c r="G194" s="11">
        <v>0.781</v>
      </c>
      <c r="H194" s="11">
        <v>0.02</v>
      </c>
      <c r="I194" s="11">
        <v>1251513.0</v>
      </c>
      <c r="J194" s="11">
        <v>0.885</v>
      </c>
      <c r="K194" s="12" t="s">
        <v>92</v>
      </c>
      <c r="L194" s="5" t="s">
        <v>93</v>
      </c>
      <c r="M194" s="9" t="s">
        <v>71</v>
      </c>
    </row>
    <row r="195">
      <c r="A195" s="11">
        <v>194.0</v>
      </c>
      <c r="B195" s="11">
        <v>0.016</v>
      </c>
      <c r="C195" s="11">
        <v>0.006</v>
      </c>
      <c r="D195" s="11">
        <v>77.0</v>
      </c>
      <c r="E195" s="11">
        <v>76.0</v>
      </c>
      <c r="F195" s="11">
        <v>0.198</v>
      </c>
      <c r="G195" s="11">
        <v>0.781</v>
      </c>
      <c r="H195" s="11">
        <v>0.021</v>
      </c>
      <c r="I195" s="11">
        <v>1292764.0</v>
      </c>
      <c r="J195" s="11">
        <v>0.886</v>
      </c>
      <c r="K195" s="12" t="s">
        <v>92</v>
      </c>
      <c r="L195" s="5" t="s">
        <v>93</v>
      </c>
      <c r="M195" s="9" t="s">
        <v>72</v>
      </c>
    </row>
    <row r="196">
      <c r="A196" s="11">
        <v>195.0</v>
      </c>
      <c r="B196" s="11">
        <v>0.016</v>
      </c>
      <c r="C196" s="11">
        <v>0.006</v>
      </c>
      <c r="D196" s="11">
        <v>77.0</v>
      </c>
      <c r="E196" s="11">
        <v>76.0</v>
      </c>
      <c r="F196" s="11">
        <v>0.202</v>
      </c>
      <c r="G196" s="11">
        <v>0.777</v>
      </c>
      <c r="H196" s="11">
        <v>0.021</v>
      </c>
      <c r="I196" s="11">
        <v>1317827.0</v>
      </c>
      <c r="J196" s="11">
        <v>0.886</v>
      </c>
      <c r="K196" s="12" t="s">
        <v>92</v>
      </c>
      <c r="L196" s="5" t="s">
        <v>93</v>
      </c>
      <c r="M196" s="9" t="s">
        <v>73</v>
      </c>
    </row>
    <row r="197">
      <c r="A197" s="11">
        <v>196.0</v>
      </c>
      <c r="B197" s="11">
        <v>0.027</v>
      </c>
      <c r="C197" s="11">
        <v>0.064</v>
      </c>
      <c r="D197" s="11">
        <v>66.0</v>
      </c>
      <c r="E197" s="11">
        <v>65.0</v>
      </c>
      <c r="F197" s="11">
        <v>0.37</v>
      </c>
      <c r="G197" s="11">
        <v>0.59</v>
      </c>
      <c r="H197" s="11">
        <v>0.041</v>
      </c>
      <c r="I197" s="11">
        <v>1.32383265E8</v>
      </c>
      <c r="J197" s="11">
        <v>0.236</v>
      </c>
      <c r="K197" s="12" t="s">
        <v>94</v>
      </c>
      <c r="L197" s="5" t="s">
        <v>61</v>
      </c>
      <c r="M197" s="9" t="s">
        <v>60</v>
      </c>
    </row>
    <row r="198">
      <c r="A198" s="11">
        <v>197.0</v>
      </c>
      <c r="B198" s="11">
        <v>0.026</v>
      </c>
      <c r="C198" s="11">
        <v>0.062</v>
      </c>
      <c r="D198" s="11">
        <v>66.0</v>
      </c>
      <c r="E198" s="11">
        <v>66.0</v>
      </c>
      <c r="F198" s="11">
        <v>0.364</v>
      </c>
      <c r="G198" s="11">
        <v>0.595</v>
      </c>
      <c r="H198" s="11">
        <v>0.041</v>
      </c>
      <c r="I198" s="11">
        <v>1.34729503E8</v>
      </c>
      <c r="J198" s="11">
        <v>0.241</v>
      </c>
      <c r="K198" s="12" t="s">
        <v>94</v>
      </c>
      <c r="L198" s="5" t="s">
        <v>61</v>
      </c>
      <c r="M198" s="9" t="s">
        <v>62</v>
      </c>
    </row>
    <row r="199">
      <c r="A199" s="11">
        <v>198.0</v>
      </c>
      <c r="B199" s="11">
        <v>0.026</v>
      </c>
      <c r="C199" s="11">
        <v>0.059</v>
      </c>
      <c r="D199" s="11">
        <v>67.0</v>
      </c>
      <c r="E199" s="11">
        <v>66.0</v>
      </c>
      <c r="F199" s="11">
        <v>0.359</v>
      </c>
      <c r="G199" s="11">
        <v>0.6</v>
      </c>
      <c r="H199" s="11">
        <v>0.041</v>
      </c>
      <c r="I199" s="11">
        <v>1.37006279E8</v>
      </c>
      <c r="J199" s="11">
        <v>0.248</v>
      </c>
      <c r="K199" s="12" t="s">
        <v>94</v>
      </c>
      <c r="L199" s="5" t="s">
        <v>61</v>
      </c>
      <c r="M199" s="9" t="s">
        <v>63</v>
      </c>
    </row>
    <row r="200">
      <c r="A200" s="11">
        <v>199.0</v>
      </c>
      <c r="B200" s="11">
        <v>0.025</v>
      </c>
      <c r="C200" s="11">
        <v>0.056</v>
      </c>
      <c r="D200" s="11">
        <v>67.0</v>
      </c>
      <c r="E200" s="11">
        <v>66.0</v>
      </c>
      <c r="F200" s="11">
        <v>0.354</v>
      </c>
      <c r="G200" s="11">
        <v>0.605</v>
      </c>
      <c r="H200" s="11">
        <v>0.042</v>
      </c>
      <c r="I200" s="11">
        <v>1.39185986E8</v>
      </c>
      <c r="J200" s="11">
        <v>0.254</v>
      </c>
      <c r="K200" s="12" t="s">
        <v>94</v>
      </c>
      <c r="L200" s="5" t="s">
        <v>61</v>
      </c>
      <c r="M200" s="9" t="s">
        <v>64</v>
      </c>
    </row>
    <row r="201">
      <c r="A201" s="11">
        <v>200.0</v>
      </c>
      <c r="B201" s="11">
        <v>0.024</v>
      </c>
      <c r="C201" s="11">
        <v>0.053</v>
      </c>
      <c r="D201" s="11">
        <v>68.0</v>
      </c>
      <c r="E201" s="11">
        <v>67.0</v>
      </c>
      <c r="F201" s="11">
        <v>0.348</v>
      </c>
      <c r="G201" s="11">
        <v>0.609</v>
      </c>
      <c r="H201" s="11">
        <v>0.042</v>
      </c>
      <c r="I201" s="11">
        <v>1.41235035E8</v>
      </c>
      <c r="J201" s="11">
        <v>0.261</v>
      </c>
      <c r="K201" s="12" t="s">
        <v>94</v>
      </c>
      <c r="L201" s="5" t="s">
        <v>61</v>
      </c>
      <c r="M201" s="9" t="s">
        <v>65</v>
      </c>
    </row>
    <row r="202">
      <c r="A202" s="11">
        <v>201.0</v>
      </c>
      <c r="B202" s="11">
        <v>0.023</v>
      </c>
      <c r="C202" s="11">
        <v>0.051</v>
      </c>
      <c r="D202" s="11">
        <v>68.0</v>
      </c>
      <c r="E202" s="11">
        <v>67.0</v>
      </c>
      <c r="F202" s="11">
        <v>0.343</v>
      </c>
      <c r="G202" s="11">
        <v>0.614</v>
      </c>
      <c r="H202" s="11">
        <v>0.043</v>
      </c>
      <c r="I202" s="11">
        <v>1.4313518E8</v>
      </c>
      <c r="J202" s="11">
        <v>0.268</v>
      </c>
      <c r="K202" s="12" t="s">
        <v>94</v>
      </c>
      <c r="L202" s="5" t="s">
        <v>61</v>
      </c>
      <c r="M202" s="9" t="s">
        <v>66</v>
      </c>
    </row>
    <row r="203">
      <c r="A203" s="11">
        <v>202.0</v>
      </c>
      <c r="B203" s="11">
        <v>0.023</v>
      </c>
      <c r="C203" s="11">
        <v>0.048</v>
      </c>
      <c r="D203" s="11">
        <v>68.0</v>
      </c>
      <c r="E203" s="11">
        <v>67.0</v>
      </c>
      <c r="F203" s="11">
        <v>0.338</v>
      </c>
      <c r="G203" s="11">
        <v>0.619</v>
      </c>
      <c r="H203" s="11">
        <v>0.044</v>
      </c>
      <c r="I203" s="11">
        <v>1.44868702E8</v>
      </c>
      <c r="J203" s="11">
        <v>0.275</v>
      </c>
      <c r="K203" s="12" t="s">
        <v>94</v>
      </c>
      <c r="L203" s="5" t="s">
        <v>61</v>
      </c>
      <c r="M203" s="9" t="s">
        <v>67</v>
      </c>
    </row>
    <row r="204">
      <c r="A204" s="11">
        <v>203.0</v>
      </c>
      <c r="B204" s="11">
        <v>0.022</v>
      </c>
      <c r="C204" s="11">
        <v>0.046</v>
      </c>
      <c r="D204" s="11">
        <v>69.0</v>
      </c>
      <c r="E204" s="11">
        <v>68.0</v>
      </c>
      <c r="F204" s="11">
        <v>0.333</v>
      </c>
      <c r="G204" s="11">
        <v>0.623</v>
      </c>
      <c r="H204" s="11">
        <v>0.044</v>
      </c>
      <c r="I204" s="11">
        <v>1.46457067E8</v>
      </c>
      <c r="J204" s="11">
        <v>0.282</v>
      </c>
      <c r="K204" s="12" t="s">
        <v>94</v>
      </c>
      <c r="L204" s="5" t="s">
        <v>61</v>
      </c>
      <c r="M204" s="9" t="s">
        <v>68</v>
      </c>
    </row>
    <row r="205">
      <c r="A205" s="11">
        <v>204.0</v>
      </c>
      <c r="B205" s="11">
        <v>0.022</v>
      </c>
      <c r="C205" s="11">
        <v>0.043</v>
      </c>
      <c r="D205" s="11">
        <v>69.0</v>
      </c>
      <c r="E205" s="11">
        <v>68.0</v>
      </c>
      <c r="F205" s="11">
        <v>0.327</v>
      </c>
      <c r="G205" s="11">
        <v>0.628</v>
      </c>
      <c r="H205" s="11">
        <v>0.045</v>
      </c>
      <c r="I205" s="11">
        <v>1.47969967E8</v>
      </c>
      <c r="J205" s="11">
        <v>0.29</v>
      </c>
      <c r="K205" s="12" t="s">
        <v>94</v>
      </c>
      <c r="L205" s="5" t="s">
        <v>61</v>
      </c>
      <c r="M205" s="9" t="s">
        <v>69</v>
      </c>
    </row>
    <row r="206">
      <c r="A206" s="11">
        <v>205.0</v>
      </c>
      <c r="B206" s="11">
        <v>0.021</v>
      </c>
      <c r="C206" s="11">
        <v>0.041</v>
      </c>
      <c r="D206" s="11">
        <v>70.0</v>
      </c>
      <c r="E206" s="11">
        <v>68.0</v>
      </c>
      <c r="F206" s="11">
        <v>0.322</v>
      </c>
      <c r="G206" s="11">
        <v>0.632</v>
      </c>
      <c r="H206" s="11">
        <v>0.046</v>
      </c>
      <c r="I206" s="11">
        <v>1.495031E8</v>
      </c>
      <c r="J206" s="11">
        <v>0.297</v>
      </c>
      <c r="K206" s="12" t="s">
        <v>94</v>
      </c>
      <c r="L206" s="5" t="s">
        <v>61</v>
      </c>
      <c r="M206" s="9" t="s">
        <v>70</v>
      </c>
    </row>
    <row r="207">
      <c r="A207" s="11">
        <v>206.0</v>
      </c>
      <c r="B207" s="11">
        <v>0.021</v>
      </c>
      <c r="C207" s="11">
        <v>0.039</v>
      </c>
      <c r="D207" s="11">
        <v>70.0</v>
      </c>
      <c r="E207" s="11">
        <v>69.0</v>
      </c>
      <c r="F207" s="11">
        <v>0.317</v>
      </c>
      <c r="G207" s="11">
        <v>0.637</v>
      </c>
      <c r="H207" s="11">
        <v>0.046</v>
      </c>
      <c r="I207" s="11">
        <v>1.51125475E8</v>
      </c>
      <c r="J207" s="11">
        <v>0.305</v>
      </c>
      <c r="K207" s="12" t="s">
        <v>94</v>
      </c>
      <c r="L207" s="5" t="s">
        <v>61</v>
      </c>
      <c r="M207" s="9" t="s">
        <v>71</v>
      </c>
    </row>
    <row r="208">
      <c r="A208" s="11">
        <v>207.0</v>
      </c>
      <c r="B208" s="11">
        <v>0.021</v>
      </c>
      <c r="C208" s="11">
        <v>0.037</v>
      </c>
      <c r="D208" s="11">
        <v>71.0</v>
      </c>
      <c r="E208" s="11">
        <v>69.0</v>
      </c>
      <c r="F208" s="11">
        <v>0.311</v>
      </c>
      <c r="G208" s="11">
        <v>0.642</v>
      </c>
      <c r="H208" s="11">
        <v>0.047</v>
      </c>
      <c r="I208" s="11">
        <v>1.52862431E8</v>
      </c>
      <c r="J208" s="11">
        <v>0.312</v>
      </c>
      <c r="K208" s="12" t="s">
        <v>94</v>
      </c>
      <c r="L208" s="5" t="s">
        <v>61</v>
      </c>
      <c r="M208" s="9" t="s">
        <v>72</v>
      </c>
    </row>
    <row r="209">
      <c r="A209" s="11">
        <v>208.0</v>
      </c>
      <c r="B209" s="11">
        <v>0.02</v>
      </c>
      <c r="C209" s="11">
        <v>0.035</v>
      </c>
      <c r="D209" s="11">
        <v>71.0</v>
      </c>
      <c r="E209" s="11">
        <v>70.0</v>
      </c>
      <c r="F209" s="11">
        <v>0.306</v>
      </c>
      <c r="G209" s="11">
        <v>0.647</v>
      </c>
      <c r="H209" s="11">
        <v>0.047</v>
      </c>
      <c r="I209" s="11">
        <v>1.54695368E8</v>
      </c>
      <c r="J209" s="11">
        <v>0.32</v>
      </c>
      <c r="K209" s="12" t="s">
        <v>94</v>
      </c>
      <c r="L209" s="5" t="s">
        <v>61</v>
      </c>
      <c r="M209" s="9" t="s">
        <v>73</v>
      </c>
    </row>
    <row r="210">
      <c r="A210" s="11">
        <v>209.0</v>
      </c>
      <c r="B210" s="11">
        <v>0.013</v>
      </c>
      <c r="C210" s="11">
        <v>0.015</v>
      </c>
      <c r="D210" s="11">
        <v>75.0</v>
      </c>
      <c r="E210" s="11">
        <v>71.0</v>
      </c>
      <c r="F210" s="11">
        <v>0.219</v>
      </c>
      <c r="G210" s="11">
        <v>0.666</v>
      </c>
      <c r="H210" s="11">
        <v>0.115</v>
      </c>
      <c r="I210" s="11">
        <v>267190.0</v>
      </c>
      <c r="J210" s="11">
        <v>0.338</v>
      </c>
      <c r="K210" s="12" t="s">
        <v>95</v>
      </c>
      <c r="L210" s="5" t="s">
        <v>84</v>
      </c>
      <c r="M210" s="9" t="s">
        <v>60</v>
      </c>
    </row>
    <row r="211">
      <c r="A211" s="11">
        <v>210.0</v>
      </c>
      <c r="B211" s="11">
        <v>0.013</v>
      </c>
      <c r="C211" s="11">
        <v>0.015</v>
      </c>
      <c r="D211" s="11">
        <v>76.0</v>
      </c>
      <c r="E211" s="11">
        <v>71.0</v>
      </c>
      <c r="F211" s="11">
        <v>0.217</v>
      </c>
      <c r="G211" s="11">
        <v>0.669</v>
      </c>
      <c r="H211" s="11">
        <v>0.115</v>
      </c>
      <c r="I211" s="11">
        <v>268296.0</v>
      </c>
      <c r="J211" s="11">
        <v>0.337</v>
      </c>
      <c r="K211" s="12" t="s">
        <v>95</v>
      </c>
      <c r="L211" s="5" t="s">
        <v>84</v>
      </c>
      <c r="M211" s="9" t="s">
        <v>62</v>
      </c>
    </row>
    <row r="212">
      <c r="A212" s="11">
        <v>211.0</v>
      </c>
      <c r="B212" s="11">
        <v>0.013</v>
      </c>
      <c r="C212" s="11">
        <v>0.015</v>
      </c>
      <c r="D212" s="11">
        <v>76.0</v>
      </c>
      <c r="E212" s="11">
        <v>71.0</v>
      </c>
      <c r="F212" s="11">
        <v>0.214</v>
      </c>
      <c r="G212" s="11">
        <v>0.672</v>
      </c>
      <c r="H212" s="11">
        <v>0.114</v>
      </c>
      <c r="I212" s="11">
        <v>269524.0</v>
      </c>
      <c r="J212" s="11">
        <v>0.335</v>
      </c>
      <c r="K212" s="12" t="s">
        <v>95</v>
      </c>
      <c r="L212" s="5" t="s">
        <v>84</v>
      </c>
      <c r="M212" s="9" t="s">
        <v>63</v>
      </c>
    </row>
    <row r="213">
      <c r="A213" s="11">
        <v>212.0</v>
      </c>
      <c r="B213" s="11">
        <v>0.013</v>
      </c>
      <c r="C213" s="11">
        <v>0.015</v>
      </c>
      <c r="D213" s="11">
        <v>76.0</v>
      </c>
      <c r="E213" s="11">
        <v>71.0</v>
      </c>
      <c r="F213" s="11">
        <v>0.211</v>
      </c>
      <c r="G213" s="11">
        <v>0.677</v>
      </c>
      <c r="H213" s="11">
        <v>0.112</v>
      </c>
      <c r="I213" s="11">
        <v>270844.0</v>
      </c>
      <c r="J213" s="11">
        <v>0.333</v>
      </c>
      <c r="K213" s="12" t="s">
        <v>95</v>
      </c>
      <c r="L213" s="5" t="s">
        <v>84</v>
      </c>
      <c r="M213" s="9" t="s">
        <v>64</v>
      </c>
    </row>
    <row r="214">
      <c r="A214" s="11">
        <v>213.0</v>
      </c>
      <c r="B214" s="11">
        <v>0.013</v>
      </c>
      <c r="C214" s="11">
        <v>0.015</v>
      </c>
      <c r="D214" s="11">
        <v>76.0</v>
      </c>
      <c r="E214" s="11">
        <v>71.0</v>
      </c>
      <c r="F214" s="11">
        <v>0.209</v>
      </c>
      <c r="G214" s="11">
        <v>0.681</v>
      </c>
      <c r="H214" s="11">
        <v>0.11</v>
      </c>
      <c r="I214" s="11">
        <v>272205.0</v>
      </c>
      <c r="J214" s="11">
        <v>0.331</v>
      </c>
      <c r="K214" s="12" t="s">
        <v>95</v>
      </c>
      <c r="L214" s="5" t="s">
        <v>84</v>
      </c>
      <c r="M214" s="9" t="s">
        <v>65</v>
      </c>
    </row>
    <row r="215">
      <c r="A215" s="11">
        <v>214.0</v>
      </c>
      <c r="B215" s="11">
        <v>0.013</v>
      </c>
      <c r="C215" s="11">
        <v>0.015</v>
      </c>
      <c r="D215" s="11">
        <v>76.0</v>
      </c>
      <c r="E215" s="11">
        <v>72.0</v>
      </c>
      <c r="F215" s="11">
        <v>0.206</v>
      </c>
      <c r="G215" s="11">
        <v>0.686</v>
      </c>
      <c r="H215" s="11">
        <v>0.108</v>
      </c>
      <c r="I215" s="11">
        <v>273568.0</v>
      </c>
      <c r="J215" s="11">
        <v>0.329</v>
      </c>
      <c r="K215" s="12" t="s">
        <v>95</v>
      </c>
      <c r="L215" s="5" t="s">
        <v>84</v>
      </c>
      <c r="M215" s="9" t="s">
        <v>66</v>
      </c>
    </row>
    <row r="216">
      <c r="A216" s="11">
        <v>215.0</v>
      </c>
      <c r="B216" s="11">
        <v>0.013</v>
      </c>
      <c r="C216" s="11">
        <v>0.014</v>
      </c>
      <c r="D216" s="11">
        <v>77.0</v>
      </c>
      <c r="E216" s="11">
        <v>72.0</v>
      </c>
      <c r="F216" s="11">
        <v>0.203</v>
      </c>
      <c r="G216" s="11">
        <v>0.69</v>
      </c>
      <c r="H216" s="11">
        <v>0.107</v>
      </c>
      <c r="I216" s="11">
        <v>274923.0</v>
      </c>
      <c r="J216" s="11">
        <v>0.328</v>
      </c>
      <c r="K216" s="12" t="s">
        <v>95</v>
      </c>
      <c r="L216" s="5" t="s">
        <v>84</v>
      </c>
      <c r="M216" s="9" t="s">
        <v>67</v>
      </c>
    </row>
    <row r="217">
      <c r="A217" s="11">
        <v>216.0</v>
      </c>
      <c r="B217" s="11">
        <v>0.013</v>
      </c>
      <c r="C217" s="11">
        <v>0.014</v>
      </c>
      <c r="D217" s="11">
        <v>77.0</v>
      </c>
      <c r="E217" s="11">
        <v>72.0</v>
      </c>
      <c r="F217" s="11">
        <v>0.2</v>
      </c>
      <c r="G217" s="11">
        <v>0.694</v>
      </c>
      <c r="H217" s="11">
        <v>0.106</v>
      </c>
      <c r="I217" s="11">
        <v>276277.0</v>
      </c>
      <c r="J217" s="11">
        <v>0.326</v>
      </c>
      <c r="K217" s="12" t="s">
        <v>95</v>
      </c>
      <c r="L217" s="5" t="s">
        <v>84</v>
      </c>
      <c r="M217" s="9" t="s">
        <v>68</v>
      </c>
    </row>
    <row r="218">
      <c r="A218" s="11">
        <v>217.0</v>
      </c>
      <c r="B218" s="11">
        <v>0.013</v>
      </c>
      <c r="C218" s="11">
        <v>0.014</v>
      </c>
      <c r="D218" s="11">
        <v>77.0</v>
      </c>
      <c r="E218" s="11">
        <v>72.0</v>
      </c>
      <c r="F218" s="11">
        <v>0.198</v>
      </c>
      <c r="G218" s="11">
        <v>0.698</v>
      </c>
      <c r="H218" s="11">
        <v>0.105</v>
      </c>
      <c r="I218" s="11">
        <v>277634.0</v>
      </c>
      <c r="J218" s="11">
        <v>0.324</v>
      </c>
      <c r="K218" s="12" t="s">
        <v>95</v>
      </c>
      <c r="L218" s="5" t="s">
        <v>84</v>
      </c>
      <c r="M218" s="9" t="s">
        <v>69</v>
      </c>
    </row>
    <row r="219">
      <c r="A219" s="11">
        <v>218.0</v>
      </c>
      <c r="B219" s="11">
        <v>0.013</v>
      </c>
      <c r="C219" s="11">
        <v>0.014</v>
      </c>
      <c r="D219" s="11">
        <v>77.0</v>
      </c>
      <c r="E219" s="11">
        <v>72.0</v>
      </c>
      <c r="F219" s="11">
        <v>0.195</v>
      </c>
      <c r="G219" s="11">
        <v>0.701</v>
      </c>
      <c r="H219" s="11">
        <v>0.104</v>
      </c>
      <c r="I219" s="11">
        <v>279006.0</v>
      </c>
      <c r="J219" s="11">
        <v>0.322</v>
      </c>
      <c r="K219" s="12" t="s">
        <v>95</v>
      </c>
      <c r="L219" s="5" t="s">
        <v>84</v>
      </c>
      <c r="M219" s="9" t="s">
        <v>70</v>
      </c>
    </row>
    <row r="220">
      <c r="A220" s="11">
        <v>219.0</v>
      </c>
      <c r="B220" s="11">
        <v>0.013</v>
      </c>
      <c r="C220" s="11">
        <v>0.014</v>
      </c>
      <c r="D220" s="11">
        <v>77.0</v>
      </c>
      <c r="E220" s="11">
        <v>72.0</v>
      </c>
      <c r="F220" s="11">
        <v>0.193</v>
      </c>
      <c r="G220" s="11">
        <v>0.703</v>
      </c>
      <c r="H220" s="11">
        <v>0.104</v>
      </c>
      <c r="I220" s="11">
        <v>280396.0</v>
      </c>
      <c r="J220" s="11">
        <v>0.321</v>
      </c>
      <c r="K220" s="12" t="s">
        <v>95</v>
      </c>
      <c r="L220" s="5" t="s">
        <v>84</v>
      </c>
      <c r="M220" s="9" t="s">
        <v>71</v>
      </c>
    </row>
    <row r="221">
      <c r="A221" s="11">
        <v>220.0</v>
      </c>
      <c r="B221" s="11">
        <v>0.013</v>
      </c>
      <c r="C221" s="11">
        <v>0.014</v>
      </c>
      <c r="D221" s="11">
        <v>77.0</v>
      </c>
      <c r="E221" s="11">
        <v>73.0</v>
      </c>
      <c r="F221" s="11">
        <v>0.191</v>
      </c>
      <c r="G221" s="11">
        <v>0.704</v>
      </c>
      <c r="H221" s="11">
        <v>0.105</v>
      </c>
      <c r="I221" s="11">
        <v>281804.0</v>
      </c>
      <c r="J221" s="11">
        <v>0.319</v>
      </c>
      <c r="K221" s="12" t="s">
        <v>95</v>
      </c>
      <c r="L221" s="5" t="s">
        <v>84</v>
      </c>
      <c r="M221" s="9" t="s">
        <v>72</v>
      </c>
    </row>
    <row r="222">
      <c r="A222" s="11">
        <v>221.0</v>
      </c>
      <c r="B222" s="11">
        <v>0.013</v>
      </c>
      <c r="C222" s="11">
        <v>0.014</v>
      </c>
      <c r="D222" s="11">
        <v>78.0</v>
      </c>
      <c r="E222" s="11">
        <v>73.0</v>
      </c>
      <c r="F222" s="11">
        <v>0.19</v>
      </c>
      <c r="G222" s="11">
        <v>0.704</v>
      </c>
      <c r="H222" s="11">
        <v>0.106</v>
      </c>
      <c r="I222" s="11">
        <v>283221.0</v>
      </c>
      <c r="J222" s="11">
        <v>0.318</v>
      </c>
      <c r="K222" s="12" t="s">
        <v>95</v>
      </c>
      <c r="L222" s="5" t="s">
        <v>84</v>
      </c>
      <c r="M222" s="9" t="s">
        <v>73</v>
      </c>
    </row>
    <row r="223">
      <c r="A223" s="11">
        <v>222.0</v>
      </c>
      <c r="B223" s="11">
        <v>0.009</v>
      </c>
      <c r="C223" s="11">
        <v>0.011</v>
      </c>
      <c r="D223" s="11">
        <v>75.0</v>
      </c>
      <c r="E223" s="11">
        <v>63.0</v>
      </c>
      <c r="F223" s="11">
        <v>0.186</v>
      </c>
      <c r="G223" s="11">
        <v>0.679</v>
      </c>
      <c r="H223" s="11">
        <v>0.134</v>
      </c>
      <c r="I223" s="11">
        <v>1.0005E7</v>
      </c>
      <c r="J223" s="11">
        <v>0.7</v>
      </c>
      <c r="K223" s="12" t="s">
        <v>96</v>
      </c>
      <c r="L223" s="5" t="s">
        <v>75</v>
      </c>
      <c r="M223" s="9" t="s">
        <v>60</v>
      </c>
    </row>
    <row r="224">
      <c r="A224" s="11">
        <v>223.0</v>
      </c>
      <c r="B224" s="11">
        <v>0.009</v>
      </c>
      <c r="C224" s="11">
        <v>0.01</v>
      </c>
      <c r="D224" s="11">
        <v>75.0</v>
      </c>
      <c r="E224" s="11">
        <v>63.0</v>
      </c>
      <c r="F224" s="11">
        <v>0.179</v>
      </c>
      <c r="G224" s="11">
        <v>0.684</v>
      </c>
      <c r="H224" s="11">
        <v>0.137</v>
      </c>
      <c r="I224" s="11">
        <v>9928000.0</v>
      </c>
      <c r="J224" s="11">
        <v>0.705</v>
      </c>
      <c r="K224" s="12" t="s">
        <v>96</v>
      </c>
      <c r="L224" s="5" t="s">
        <v>75</v>
      </c>
      <c r="M224" s="9" t="s">
        <v>62</v>
      </c>
    </row>
    <row r="225">
      <c r="A225" s="11">
        <v>224.0</v>
      </c>
      <c r="B225" s="11">
        <v>0.009</v>
      </c>
      <c r="C225" s="11">
        <v>0.009</v>
      </c>
      <c r="D225" s="11">
        <v>74.0</v>
      </c>
      <c r="E225" s="11">
        <v>62.0</v>
      </c>
      <c r="F225" s="11">
        <v>0.172</v>
      </c>
      <c r="G225" s="11">
        <v>0.687</v>
      </c>
      <c r="H225" s="11">
        <v>0.14</v>
      </c>
      <c r="I225" s="11">
        <v>9865000.0</v>
      </c>
      <c r="J225" s="11">
        <v>0.709</v>
      </c>
      <c r="K225" s="12" t="s">
        <v>96</v>
      </c>
      <c r="L225" s="5" t="s">
        <v>75</v>
      </c>
      <c r="M225" s="9" t="s">
        <v>63</v>
      </c>
    </row>
    <row r="226">
      <c r="A226" s="11">
        <v>225.0</v>
      </c>
      <c r="B226" s="11">
        <v>0.009</v>
      </c>
      <c r="C226" s="11">
        <v>0.009</v>
      </c>
      <c r="D226" s="11">
        <v>75.0</v>
      </c>
      <c r="E226" s="11">
        <v>63.0</v>
      </c>
      <c r="F226" s="11">
        <v>0.166</v>
      </c>
      <c r="G226" s="11">
        <v>0.691</v>
      </c>
      <c r="H226" s="11">
        <v>0.143</v>
      </c>
      <c r="I226" s="11">
        <v>9797000.0</v>
      </c>
      <c r="J226" s="11">
        <v>0.714</v>
      </c>
      <c r="K226" s="12" t="s">
        <v>96</v>
      </c>
      <c r="L226" s="5" t="s">
        <v>75</v>
      </c>
      <c r="M226" s="9" t="s">
        <v>64</v>
      </c>
    </row>
    <row r="227">
      <c r="A227" s="11">
        <v>226.0</v>
      </c>
      <c r="B227" s="11">
        <v>0.009</v>
      </c>
      <c r="C227" s="11">
        <v>0.008</v>
      </c>
      <c r="D227" s="11">
        <v>75.0</v>
      </c>
      <c r="E227" s="11">
        <v>63.0</v>
      </c>
      <c r="F227" s="11">
        <v>0.16</v>
      </c>
      <c r="G227" s="11">
        <v>0.694</v>
      </c>
      <c r="H227" s="11">
        <v>0.146</v>
      </c>
      <c r="I227" s="11">
        <v>9730000.0</v>
      </c>
      <c r="J227" s="11">
        <v>0.719</v>
      </c>
      <c r="K227" s="12" t="s">
        <v>96</v>
      </c>
      <c r="L227" s="5" t="s">
        <v>75</v>
      </c>
      <c r="M227" s="9" t="s">
        <v>65</v>
      </c>
    </row>
    <row r="228">
      <c r="A228" s="11">
        <v>227.0</v>
      </c>
      <c r="B228" s="11">
        <v>0.009</v>
      </c>
      <c r="C228" s="11">
        <v>0.007</v>
      </c>
      <c r="D228" s="11">
        <v>75.0</v>
      </c>
      <c r="E228" s="11">
        <v>63.0</v>
      </c>
      <c r="F228" s="11">
        <v>0.155</v>
      </c>
      <c r="G228" s="11">
        <v>0.698</v>
      </c>
      <c r="H228" s="11">
        <v>0.147</v>
      </c>
      <c r="I228" s="11">
        <v>9663000.0</v>
      </c>
      <c r="J228" s="11">
        <v>0.724</v>
      </c>
      <c r="K228" s="12" t="s">
        <v>96</v>
      </c>
      <c r="L228" s="5" t="s">
        <v>75</v>
      </c>
      <c r="M228" s="9" t="s">
        <v>66</v>
      </c>
    </row>
    <row r="229">
      <c r="A229" s="11">
        <v>228.0</v>
      </c>
      <c r="B229" s="11">
        <v>0.01</v>
      </c>
      <c r="C229" s="11">
        <v>0.007</v>
      </c>
      <c r="D229" s="11">
        <v>76.0</v>
      </c>
      <c r="E229" s="11">
        <v>64.0</v>
      </c>
      <c r="F229" s="11">
        <v>0.152</v>
      </c>
      <c r="G229" s="11">
        <v>0.702</v>
      </c>
      <c r="H229" s="11">
        <v>0.147</v>
      </c>
      <c r="I229" s="11">
        <v>9604000.0</v>
      </c>
      <c r="J229" s="11">
        <v>0.728</v>
      </c>
      <c r="K229" s="12" t="s">
        <v>96</v>
      </c>
      <c r="L229" s="5" t="s">
        <v>75</v>
      </c>
      <c r="M229" s="9" t="s">
        <v>67</v>
      </c>
    </row>
    <row r="230">
      <c r="A230" s="11">
        <v>229.0</v>
      </c>
      <c r="B230" s="11">
        <v>0.011</v>
      </c>
      <c r="C230" s="11">
        <v>0.006</v>
      </c>
      <c r="D230" s="11">
        <v>76.0</v>
      </c>
      <c r="E230" s="11">
        <v>65.0</v>
      </c>
      <c r="F230" s="11">
        <v>0.15</v>
      </c>
      <c r="G230" s="11">
        <v>0.705</v>
      </c>
      <c r="H230" s="11">
        <v>0.145</v>
      </c>
      <c r="I230" s="11">
        <v>9560000.0</v>
      </c>
      <c r="J230" s="11">
        <v>0.733</v>
      </c>
      <c r="K230" s="12" t="s">
        <v>96</v>
      </c>
      <c r="L230" s="5" t="s">
        <v>75</v>
      </c>
      <c r="M230" s="9" t="s">
        <v>68</v>
      </c>
    </row>
    <row r="231">
      <c r="A231" s="11">
        <v>230.0</v>
      </c>
      <c r="B231" s="11">
        <v>0.011</v>
      </c>
      <c r="C231" s="11">
        <v>0.006</v>
      </c>
      <c r="D231" s="11">
        <v>77.0</v>
      </c>
      <c r="E231" s="11">
        <v>65.0</v>
      </c>
      <c r="F231" s="11">
        <v>0.148</v>
      </c>
      <c r="G231" s="11">
        <v>0.708</v>
      </c>
      <c r="H231" s="11">
        <v>0.143</v>
      </c>
      <c r="I231" s="11">
        <v>9528000.0</v>
      </c>
      <c r="J231" s="11">
        <v>0.737</v>
      </c>
      <c r="K231" s="12" t="s">
        <v>96</v>
      </c>
      <c r="L231" s="5" t="s">
        <v>75</v>
      </c>
      <c r="M231" s="9" t="s">
        <v>69</v>
      </c>
    </row>
    <row r="232">
      <c r="A232" s="11">
        <v>231.0</v>
      </c>
      <c r="B232" s="11">
        <v>0.011</v>
      </c>
      <c r="C232" s="11">
        <v>0.005</v>
      </c>
      <c r="D232" s="11">
        <v>76.0</v>
      </c>
      <c r="E232" s="11">
        <v>65.0</v>
      </c>
      <c r="F232" s="11">
        <v>0.148</v>
      </c>
      <c r="G232" s="11">
        <v>0.711</v>
      </c>
      <c r="H232" s="11">
        <v>0.141</v>
      </c>
      <c r="I232" s="11">
        <v>9507000.0</v>
      </c>
      <c r="J232" s="11">
        <v>0.742</v>
      </c>
      <c r="K232" s="12" t="s">
        <v>96</v>
      </c>
      <c r="L232" s="5" t="s">
        <v>75</v>
      </c>
      <c r="M232" s="9" t="s">
        <v>70</v>
      </c>
    </row>
    <row r="233">
      <c r="A233" s="11">
        <v>232.0</v>
      </c>
      <c r="B233" s="11">
        <v>0.011</v>
      </c>
      <c r="C233" s="11">
        <v>0.005</v>
      </c>
      <c r="D233" s="11">
        <v>77.0</v>
      </c>
      <c r="E233" s="11">
        <v>65.0</v>
      </c>
      <c r="F233" s="11">
        <v>0.148</v>
      </c>
      <c r="G233" s="11">
        <v>0.712</v>
      </c>
      <c r="H233" s="11">
        <v>0.139</v>
      </c>
      <c r="I233" s="11">
        <v>9490000.0</v>
      </c>
      <c r="J233" s="11">
        <v>0.746</v>
      </c>
      <c r="K233" s="12" t="s">
        <v>96</v>
      </c>
      <c r="L233" s="5" t="s">
        <v>75</v>
      </c>
      <c r="M233" s="9" t="s">
        <v>71</v>
      </c>
    </row>
    <row r="234">
      <c r="A234" s="11">
        <v>233.0</v>
      </c>
      <c r="B234" s="11">
        <v>0.012</v>
      </c>
      <c r="C234" s="11">
        <v>0.004</v>
      </c>
      <c r="D234" s="11">
        <v>77.0</v>
      </c>
      <c r="E234" s="11">
        <v>65.0</v>
      </c>
      <c r="F234" s="11">
        <v>0.149</v>
      </c>
      <c r="G234" s="11">
        <v>0.712</v>
      </c>
      <c r="H234" s="11">
        <v>0.138</v>
      </c>
      <c r="I234" s="11">
        <v>9473000.0</v>
      </c>
      <c r="J234" s="11">
        <v>0.75</v>
      </c>
      <c r="K234" s="12" t="s">
        <v>96</v>
      </c>
      <c r="L234" s="5" t="s">
        <v>75</v>
      </c>
      <c r="M234" s="9" t="s">
        <v>72</v>
      </c>
    </row>
    <row r="235">
      <c r="A235" s="11">
        <v>234.0</v>
      </c>
      <c r="B235" s="11">
        <v>0.012</v>
      </c>
      <c r="C235" s="11">
        <v>0.004</v>
      </c>
      <c r="D235" s="11">
        <v>78.0</v>
      </c>
      <c r="E235" s="11">
        <v>67.0</v>
      </c>
      <c r="F235" s="11">
        <v>0.151</v>
      </c>
      <c r="G235" s="11">
        <v>0.711</v>
      </c>
      <c r="H235" s="11">
        <v>0.138</v>
      </c>
      <c r="I235" s="11">
        <v>9464000.0</v>
      </c>
      <c r="J235" s="11">
        <v>0.755</v>
      </c>
      <c r="K235" s="12" t="s">
        <v>96</v>
      </c>
      <c r="L235" s="5" t="s">
        <v>75</v>
      </c>
      <c r="M235" s="9" t="s">
        <v>73</v>
      </c>
    </row>
    <row r="236">
      <c r="A236" s="11">
        <v>235.0</v>
      </c>
      <c r="B236" s="11">
        <v>0.011</v>
      </c>
      <c r="C236" s="11">
        <v>0.005</v>
      </c>
      <c r="D236" s="11">
        <v>81.0</v>
      </c>
      <c r="E236" s="11">
        <v>75.0</v>
      </c>
      <c r="F236" s="11">
        <v>0.176</v>
      </c>
      <c r="G236" s="11">
        <v>0.655</v>
      </c>
      <c r="H236" s="11">
        <v>0.169</v>
      </c>
      <c r="I236" s="11">
        <v>1.025125E7</v>
      </c>
      <c r="J236" s="11">
        <v>0.971</v>
      </c>
      <c r="K236" s="12" t="s">
        <v>97</v>
      </c>
      <c r="L236" s="5" t="s">
        <v>75</v>
      </c>
      <c r="M236" s="9" t="s">
        <v>60</v>
      </c>
    </row>
    <row r="237">
      <c r="A237" s="11">
        <v>236.0</v>
      </c>
      <c r="B237" s="11">
        <v>0.011</v>
      </c>
      <c r="C237" s="11">
        <v>0.005</v>
      </c>
      <c r="D237" s="11">
        <v>81.0</v>
      </c>
      <c r="E237" s="11">
        <v>75.0</v>
      </c>
      <c r="F237" s="11">
        <v>0.175</v>
      </c>
      <c r="G237" s="11">
        <v>0.655</v>
      </c>
      <c r="H237" s="11">
        <v>0.17</v>
      </c>
      <c r="I237" s="11">
        <v>1.028657E7</v>
      </c>
      <c r="J237" s="11">
        <v>0.972</v>
      </c>
      <c r="K237" s="12" t="s">
        <v>97</v>
      </c>
      <c r="L237" s="5" t="s">
        <v>75</v>
      </c>
      <c r="M237" s="9" t="s">
        <v>62</v>
      </c>
    </row>
    <row r="238">
      <c r="A238" s="11">
        <v>237.0</v>
      </c>
      <c r="B238" s="11">
        <v>0.011</v>
      </c>
      <c r="C238" s="11">
        <v>0.004</v>
      </c>
      <c r="D238" s="11">
        <v>81.0</v>
      </c>
      <c r="E238" s="11">
        <v>75.0</v>
      </c>
      <c r="F238" s="11">
        <v>0.174</v>
      </c>
      <c r="G238" s="11">
        <v>0.655</v>
      </c>
      <c r="H238" s="11">
        <v>0.171</v>
      </c>
      <c r="I238" s="11">
        <v>1.0332785E7</v>
      </c>
      <c r="J238" s="11">
        <v>0.972</v>
      </c>
      <c r="K238" s="12" t="s">
        <v>97</v>
      </c>
      <c r="L238" s="5" t="s">
        <v>75</v>
      </c>
      <c r="M238" s="9" t="s">
        <v>63</v>
      </c>
    </row>
    <row r="239">
      <c r="A239" s="11">
        <v>238.0</v>
      </c>
      <c r="B239" s="11">
        <v>0.011</v>
      </c>
      <c r="C239" s="11">
        <v>0.004</v>
      </c>
      <c r="D239" s="11">
        <v>81.0</v>
      </c>
      <c r="E239" s="11">
        <v>75.0</v>
      </c>
      <c r="F239" s="11">
        <v>0.173</v>
      </c>
      <c r="G239" s="11">
        <v>0.655</v>
      </c>
      <c r="H239" s="11">
        <v>0.172</v>
      </c>
      <c r="I239" s="11">
        <v>1.0376133E7</v>
      </c>
      <c r="J239" s="11">
        <v>0.973</v>
      </c>
      <c r="K239" s="12" t="s">
        <v>97</v>
      </c>
      <c r="L239" s="5" t="s">
        <v>75</v>
      </c>
      <c r="M239" s="9" t="s">
        <v>64</v>
      </c>
    </row>
    <row r="240">
      <c r="A240" s="11">
        <v>239.0</v>
      </c>
      <c r="B240" s="11">
        <v>0.011</v>
      </c>
      <c r="C240" s="11">
        <v>0.004</v>
      </c>
      <c r="D240" s="11">
        <v>82.0</v>
      </c>
      <c r="E240" s="11">
        <v>76.0</v>
      </c>
      <c r="F240" s="11">
        <v>0.172</v>
      </c>
      <c r="G240" s="11">
        <v>0.656</v>
      </c>
      <c r="H240" s="11">
        <v>0.173</v>
      </c>
      <c r="I240" s="11">
        <v>1.0421137E7</v>
      </c>
      <c r="J240" s="11">
        <v>0.973</v>
      </c>
      <c r="K240" s="12" t="s">
        <v>97</v>
      </c>
      <c r="L240" s="5" t="s">
        <v>75</v>
      </c>
      <c r="M240" s="9" t="s">
        <v>65</v>
      </c>
    </row>
    <row r="241">
      <c r="A241" s="11">
        <v>240.0</v>
      </c>
      <c r="B241" s="11">
        <v>0.011</v>
      </c>
      <c r="C241" s="11">
        <v>0.004</v>
      </c>
      <c r="D241" s="11">
        <v>82.0</v>
      </c>
      <c r="E241" s="11">
        <v>76.0</v>
      </c>
      <c r="F241" s="11">
        <v>0.171</v>
      </c>
      <c r="G241" s="11">
        <v>0.657</v>
      </c>
      <c r="H241" s="11">
        <v>0.173</v>
      </c>
      <c r="I241" s="11">
        <v>1.0478617E7</v>
      </c>
      <c r="J241" s="11">
        <v>0.974</v>
      </c>
      <c r="K241" s="12" t="s">
        <v>97</v>
      </c>
      <c r="L241" s="5" t="s">
        <v>75</v>
      </c>
      <c r="M241" s="9" t="s">
        <v>66</v>
      </c>
    </row>
    <row r="242">
      <c r="A242" s="11">
        <v>241.0</v>
      </c>
      <c r="B242" s="11">
        <v>0.012</v>
      </c>
      <c r="C242" s="11">
        <v>0.004</v>
      </c>
      <c r="D242" s="11">
        <v>82.0</v>
      </c>
      <c r="E242" s="11">
        <v>77.0</v>
      </c>
      <c r="F242" s="11">
        <v>0.17</v>
      </c>
      <c r="G242" s="11">
        <v>0.658</v>
      </c>
      <c r="H242" s="11">
        <v>0.172</v>
      </c>
      <c r="I242" s="11">
        <v>1.0547958E7</v>
      </c>
      <c r="J242" s="11">
        <v>0.974</v>
      </c>
      <c r="K242" s="12" t="s">
        <v>97</v>
      </c>
      <c r="L242" s="5" t="s">
        <v>75</v>
      </c>
      <c r="M242" s="9" t="s">
        <v>67</v>
      </c>
    </row>
    <row r="243">
      <c r="A243" s="11">
        <v>242.0</v>
      </c>
      <c r="B243" s="11">
        <v>0.012</v>
      </c>
      <c r="C243" s="11">
        <v>0.004</v>
      </c>
      <c r="D243" s="11">
        <v>83.0</v>
      </c>
      <c r="E243" s="11">
        <v>77.0</v>
      </c>
      <c r="F243" s="11">
        <v>0.169</v>
      </c>
      <c r="G243" s="11">
        <v>0.659</v>
      </c>
      <c r="H243" s="11">
        <v>0.172</v>
      </c>
      <c r="I243" s="11">
        <v>1.06257E7</v>
      </c>
      <c r="J243" s="11">
        <v>0.975</v>
      </c>
      <c r="K243" s="12" t="s">
        <v>97</v>
      </c>
      <c r="L243" s="5" t="s">
        <v>75</v>
      </c>
      <c r="M243" s="9" t="s">
        <v>68</v>
      </c>
    </row>
    <row r="244">
      <c r="A244" s="11">
        <v>243.0</v>
      </c>
      <c r="B244" s="11">
        <v>0.012</v>
      </c>
      <c r="C244" s="11">
        <v>0.004</v>
      </c>
      <c r="D244" s="11">
        <v>83.0</v>
      </c>
      <c r="E244" s="11">
        <v>77.0</v>
      </c>
      <c r="F244" s="11">
        <v>0.168</v>
      </c>
      <c r="G244" s="11">
        <v>0.661</v>
      </c>
      <c r="H244" s="11">
        <v>0.171</v>
      </c>
      <c r="I244" s="11">
        <v>1.0709973E7</v>
      </c>
      <c r="J244" s="11">
        <v>0.975</v>
      </c>
      <c r="K244" s="12" t="s">
        <v>97</v>
      </c>
      <c r="L244" s="5" t="s">
        <v>75</v>
      </c>
      <c r="M244" s="9" t="s">
        <v>69</v>
      </c>
    </row>
    <row r="245">
      <c r="A245" s="11">
        <v>244.0</v>
      </c>
      <c r="B245" s="11">
        <v>0.012</v>
      </c>
      <c r="C245" s="11">
        <v>0.004</v>
      </c>
      <c r="D245" s="11">
        <v>83.0</v>
      </c>
      <c r="E245" s="11">
        <v>77.0</v>
      </c>
      <c r="F245" s="11">
        <v>0.168</v>
      </c>
      <c r="G245" s="11">
        <v>0.661</v>
      </c>
      <c r="H245" s="11">
        <v>0.171</v>
      </c>
      <c r="I245" s="11">
        <v>1.0796493E7</v>
      </c>
      <c r="J245" s="11">
        <v>0.976</v>
      </c>
      <c r="K245" s="12" t="s">
        <v>97</v>
      </c>
      <c r="L245" s="5" t="s">
        <v>75</v>
      </c>
      <c r="M245" s="9" t="s">
        <v>70</v>
      </c>
    </row>
    <row r="246">
      <c r="A246" s="11">
        <v>245.0</v>
      </c>
      <c r="B246" s="11">
        <v>0.012</v>
      </c>
      <c r="C246" s="11">
        <v>0.004</v>
      </c>
      <c r="D246" s="11">
        <v>83.0</v>
      </c>
      <c r="E246" s="11">
        <v>78.0</v>
      </c>
      <c r="F246" s="11">
        <v>0.168</v>
      </c>
      <c r="G246" s="11">
        <v>0.661</v>
      </c>
      <c r="H246" s="11">
        <v>0.172</v>
      </c>
      <c r="I246" s="11">
        <v>1.0920272E7</v>
      </c>
      <c r="J246" s="11">
        <v>0.976</v>
      </c>
      <c r="K246" s="12" t="s">
        <v>97</v>
      </c>
      <c r="L246" s="5" t="s">
        <v>75</v>
      </c>
      <c r="M246" s="9" t="s">
        <v>71</v>
      </c>
    </row>
    <row r="247">
      <c r="A247" s="11">
        <v>246.0</v>
      </c>
      <c r="B247" s="11">
        <v>0.012</v>
      </c>
      <c r="C247" s="11">
        <v>0.004</v>
      </c>
      <c r="D247" s="11">
        <v>83.0</v>
      </c>
      <c r="E247" s="11">
        <v>78.0</v>
      </c>
      <c r="F247" s="11">
        <v>0.168</v>
      </c>
      <c r="G247" s="11">
        <v>0.658</v>
      </c>
      <c r="H247" s="11">
        <v>0.174</v>
      </c>
      <c r="I247" s="11">
        <v>1.1047744E7</v>
      </c>
      <c r="J247" s="11">
        <v>0.977</v>
      </c>
      <c r="K247" s="12" t="s">
        <v>97</v>
      </c>
      <c r="L247" s="5" t="s">
        <v>75</v>
      </c>
      <c r="M247" s="9" t="s">
        <v>72</v>
      </c>
    </row>
    <row r="248">
      <c r="A248" s="11">
        <v>247.0</v>
      </c>
      <c r="B248" s="11">
        <v>0.011</v>
      </c>
      <c r="C248" s="11">
        <v>0.004</v>
      </c>
      <c r="D248" s="11">
        <v>83.0</v>
      </c>
      <c r="E248" s="11">
        <v>78.0</v>
      </c>
      <c r="F248" s="11">
        <v>0.169</v>
      </c>
      <c r="G248" s="11">
        <v>0.655</v>
      </c>
      <c r="H248" s="11">
        <v>0.176</v>
      </c>
      <c r="I248" s="11">
        <v>1.1128246E7</v>
      </c>
      <c r="J248" s="11">
        <v>0.977</v>
      </c>
      <c r="K248" s="12" t="s">
        <v>97</v>
      </c>
      <c r="L248" s="5" t="s">
        <v>75</v>
      </c>
      <c r="M248" s="9" t="s">
        <v>73</v>
      </c>
    </row>
    <row r="249">
      <c r="A249" s="11">
        <v>248.0</v>
      </c>
      <c r="B249" s="11">
        <v>0.029</v>
      </c>
      <c r="C249" s="11">
        <v>0.021</v>
      </c>
      <c r="D249" s="11">
        <v>74.0</v>
      </c>
      <c r="E249" s="11">
        <v>67.0</v>
      </c>
      <c r="F249" s="11">
        <v>0.402</v>
      </c>
      <c r="G249" s="11">
        <v>0.555</v>
      </c>
      <c r="H249" s="11">
        <v>0.043</v>
      </c>
      <c r="I249" s="11">
        <v>238586.0</v>
      </c>
      <c r="J249" s="11">
        <v>0.477</v>
      </c>
      <c r="K249" s="12" t="s">
        <v>98</v>
      </c>
      <c r="L249" s="5" t="s">
        <v>84</v>
      </c>
      <c r="M249" s="9" t="s">
        <v>60</v>
      </c>
    </row>
    <row r="250">
      <c r="A250" s="11">
        <v>249.0</v>
      </c>
      <c r="B250" s="11">
        <v>0.029</v>
      </c>
      <c r="C250" s="11">
        <v>0.021</v>
      </c>
      <c r="D250" s="11">
        <v>74.0</v>
      </c>
      <c r="E250" s="11">
        <v>67.0</v>
      </c>
      <c r="F250" s="11">
        <v>0.397</v>
      </c>
      <c r="G250" s="11">
        <v>0.56</v>
      </c>
      <c r="H250" s="11">
        <v>0.042</v>
      </c>
      <c r="I250" s="11">
        <v>245198.0</v>
      </c>
      <c r="J250" s="11">
        <v>0.474</v>
      </c>
      <c r="K250" s="12" t="s">
        <v>98</v>
      </c>
      <c r="L250" s="5" t="s">
        <v>84</v>
      </c>
      <c r="M250" s="9" t="s">
        <v>62</v>
      </c>
    </row>
    <row r="251">
      <c r="A251" s="11">
        <v>250.0</v>
      </c>
      <c r="B251" s="11">
        <v>0.028</v>
      </c>
      <c r="C251" s="11">
        <v>0.02</v>
      </c>
      <c r="D251" s="11">
        <v>75.0</v>
      </c>
      <c r="E251" s="11">
        <v>68.0</v>
      </c>
      <c r="F251" s="11">
        <v>0.393</v>
      </c>
      <c r="G251" s="11">
        <v>0.565</v>
      </c>
      <c r="H251" s="11">
        <v>0.042</v>
      </c>
      <c r="I251" s="11">
        <v>251766.0</v>
      </c>
      <c r="J251" s="11">
        <v>0.471</v>
      </c>
      <c r="K251" s="12" t="s">
        <v>98</v>
      </c>
      <c r="L251" s="5" t="s">
        <v>84</v>
      </c>
      <c r="M251" s="9" t="s">
        <v>63</v>
      </c>
    </row>
    <row r="252">
      <c r="A252" s="11">
        <v>251.0</v>
      </c>
      <c r="B252" s="11">
        <v>0.028</v>
      </c>
      <c r="C252" s="11">
        <v>0.019</v>
      </c>
      <c r="D252" s="11">
        <v>75.0</v>
      </c>
      <c r="E252" s="11">
        <v>68.0</v>
      </c>
      <c r="F252" s="11">
        <v>0.388</v>
      </c>
      <c r="G252" s="11">
        <v>0.57</v>
      </c>
      <c r="H252" s="11">
        <v>0.042</v>
      </c>
      <c r="I252" s="11">
        <v>258346.0</v>
      </c>
      <c r="J252" s="11">
        <v>0.469</v>
      </c>
      <c r="K252" s="12" t="s">
        <v>98</v>
      </c>
      <c r="L252" s="5" t="s">
        <v>84</v>
      </c>
      <c r="M252" s="9" t="s">
        <v>64</v>
      </c>
    </row>
    <row r="253">
      <c r="A253" s="11">
        <v>252.0</v>
      </c>
      <c r="B253" s="11">
        <v>0.027</v>
      </c>
      <c r="C253" s="11">
        <v>0.019</v>
      </c>
      <c r="D253" s="11">
        <v>75.0</v>
      </c>
      <c r="E253" s="11">
        <v>69.0</v>
      </c>
      <c r="F253" s="11">
        <v>0.384</v>
      </c>
      <c r="G253" s="11">
        <v>0.575</v>
      </c>
      <c r="H253" s="11">
        <v>0.041</v>
      </c>
      <c r="I253" s="11">
        <v>265040.0</v>
      </c>
      <c r="J253" s="11">
        <v>0.466</v>
      </c>
      <c r="K253" s="12" t="s">
        <v>98</v>
      </c>
      <c r="L253" s="5" t="s">
        <v>84</v>
      </c>
      <c r="M253" s="9" t="s">
        <v>65</v>
      </c>
    </row>
    <row r="254">
      <c r="A254" s="11">
        <v>253.0</v>
      </c>
      <c r="B254" s="11">
        <v>0.027</v>
      </c>
      <c r="C254" s="11">
        <v>0.018</v>
      </c>
      <c r="D254" s="11">
        <v>75.0</v>
      </c>
      <c r="E254" s="11">
        <v>69.0</v>
      </c>
      <c r="F254" s="11">
        <v>0.379</v>
      </c>
      <c r="G254" s="11">
        <v>0.58</v>
      </c>
      <c r="H254" s="11">
        <v>0.041</v>
      </c>
      <c r="I254" s="11">
        <v>271920.0</v>
      </c>
      <c r="J254" s="11">
        <v>0.463</v>
      </c>
      <c r="K254" s="12" t="s">
        <v>98</v>
      </c>
      <c r="L254" s="5" t="s">
        <v>84</v>
      </c>
      <c r="M254" s="9" t="s">
        <v>66</v>
      </c>
    </row>
    <row r="255">
      <c r="A255" s="11">
        <v>254.0</v>
      </c>
      <c r="B255" s="11">
        <v>0.026</v>
      </c>
      <c r="C255" s="11">
        <v>0.018</v>
      </c>
      <c r="D255" s="11">
        <v>75.0</v>
      </c>
      <c r="E255" s="11">
        <v>69.0</v>
      </c>
      <c r="F255" s="11">
        <v>0.374</v>
      </c>
      <c r="G255" s="11">
        <v>0.585</v>
      </c>
      <c r="H255" s="11">
        <v>0.04</v>
      </c>
      <c r="I255" s="11">
        <v>278985.0</v>
      </c>
      <c r="J255" s="11">
        <v>0.46</v>
      </c>
      <c r="K255" s="12" t="s">
        <v>98</v>
      </c>
      <c r="L255" s="5" t="s">
        <v>84</v>
      </c>
      <c r="M255" s="9" t="s">
        <v>67</v>
      </c>
    </row>
    <row r="256">
      <c r="A256" s="11">
        <v>255.0</v>
      </c>
      <c r="B256" s="11">
        <v>0.026</v>
      </c>
      <c r="C256" s="11">
        <v>0.017</v>
      </c>
      <c r="D256" s="11">
        <v>76.0</v>
      </c>
      <c r="E256" s="11">
        <v>70.0</v>
      </c>
      <c r="F256" s="11">
        <v>0.37</v>
      </c>
      <c r="G256" s="11">
        <v>0.59</v>
      </c>
      <c r="H256" s="11">
        <v>0.04</v>
      </c>
      <c r="I256" s="11">
        <v>286196.0</v>
      </c>
      <c r="J256" s="11">
        <v>0.458</v>
      </c>
      <c r="K256" s="12" t="s">
        <v>98</v>
      </c>
      <c r="L256" s="5" t="s">
        <v>84</v>
      </c>
      <c r="M256" s="9" t="s">
        <v>68</v>
      </c>
    </row>
    <row r="257">
      <c r="A257" s="11">
        <v>256.0</v>
      </c>
      <c r="B257" s="11">
        <v>0.025</v>
      </c>
      <c r="C257" s="11">
        <v>0.017</v>
      </c>
      <c r="D257" s="11">
        <v>76.0</v>
      </c>
      <c r="E257" s="11">
        <v>70.0</v>
      </c>
      <c r="F257" s="11">
        <v>0.365</v>
      </c>
      <c r="G257" s="11">
        <v>0.596</v>
      </c>
      <c r="H257" s="11">
        <v>0.039</v>
      </c>
      <c r="I257" s="11">
        <v>293544.0</v>
      </c>
      <c r="J257" s="11">
        <v>0.455</v>
      </c>
      <c r="K257" s="12" t="s">
        <v>98</v>
      </c>
      <c r="L257" s="5" t="s">
        <v>84</v>
      </c>
      <c r="M257" s="9" t="s">
        <v>69</v>
      </c>
    </row>
    <row r="258">
      <c r="A258" s="11">
        <v>257.0</v>
      </c>
      <c r="B258" s="11">
        <v>0.025</v>
      </c>
      <c r="C258" s="11">
        <v>0.016</v>
      </c>
      <c r="D258" s="11">
        <v>76.0</v>
      </c>
      <c r="E258" s="11">
        <v>70.0</v>
      </c>
      <c r="F258" s="11">
        <v>0.36</v>
      </c>
      <c r="G258" s="11">
        <v>0.601</v>
      </c>
      <c r="H258" s="11">
        <v>0.039</v>
      </c>
      <c r="I258" s="11">
        <v>301016.0</v>
      </c>
      <c r="J258" s="11">
        <v>0.452</v>
      </c>
      <c r="K258" s="12" t="s">
        <v>98</v>
      </c>
      <c r="L258" s="5" t="s">
        <v>84</v>
      </c>
      <c r="M258" s="9" t="s">
        <v>70</v>
      </c>
    </row>
    <row r="259">
      <c r="A259" s="11">
        <v>258.0</v>
      </c>
      <c r="B259" s="11">
        <v>0.024</v>
      </c>
      <c r="C259" s="11">
        <v>0.016</v>
      </c>
      <c r="D259" s="11">
        <v>76.0</v>
      </c>
      <c r="E259" s="11">
        <v>70.0</v>
      </c>
      <c r="F259" s="11">
        <v>0.355</v>
      </c>
      <c r="G259" s="11">
        <v>0.606</v>
      </c>
      <c r="H259" s="11">
        <v>0.039</v>
      </c>
      <c r="I259" s="11">
        <v>308595.0</v>
      </c>
      <c r="J259" s="11">
        <v>0.45</v>
      </c>
      <c r="K259" s="12" t="s">
        <v>98</v>
      </c>
      <c r="L259" s="5" t="s">
        <v>84</v>
      </c>
      <c r="M259" s="9" t="s">
        <v>71</v>
      </c>
    </row>
    <row r="260">
      <c r="A260" s="11">
        <v>259.0</v>
      </c>
      <c r="B260" s="11">
        <v>0.024</v>
      </c>
      <c r="C260" s="11">
        <v>0.015</v>
      </c>
      <c r="D260" s="11">
        <v>77.0</v>
      </c>
      <c r="E260" s="11">
        <v>71.0</v>
      </c>
      <c r="F260" s="11">
        <v>0.349</v>
      </c>
      <c r="G260" s="11">
        <v>0.612</v>
      </c>
      <c r="H260" s="11">
        <v>0.039</v>
      </c>
      <c r="I260" s="11">
        <v>316280.0</v>
      </c>
      <c r="J260" s="11">
        <v>0.447</v>
      </c>
      <c r="K260" s="12" t="s">
        <v>98</v>
      </c>
      <c r="L260" s="5" t="s">
        <v>84</v>
      </c>
      <c r="M260" s="9" t="s">
        <v>72</v>
      </c>
    </row>
    <row r="261">
      <c r="A261" s="11">
        <v>260.0</v>
      </c>
      <c r="B261" s="11">
        <v>0.024</v>
      </c>
      <c r="C261" s="11">
        <v>0.015</v>
      </c>
      <c r="D261" s="11">
        <v>77.0</v>
      </c>
      <c r="E261" s="11">
        <v>71.0</v>
      </c>
      <c r="F261" s="11">
        <v>0.344</v>
      </c>
      <c r="G261" s="11">
        <v>0.617</v>
      </c>
      <c r="H261" s="11">
        <v>0.039</v>
      </c>
      <c r="I261" s="11">
        <v>324060.0</v>
      </c>
      <c r="J261" s="11">
        <v>0.445</v>
      </c>
      <c r="K261" s="12" t="s">
        <v>98</v>
      </c>
      <c r="L261" s="5" t="s">
        <v>84</v>
      </c>
      <c r="M261" s="9" t="s">
        <v>73</v>
      </c>
    </row>
    <row r="262">
      <c r="A262" s="11">
        <v>261.0</v>
      </c>
      <c r="B262" s="11">
        <v>0.043</v>
      </c>
      <c r="C262" s="11">
        <v>0.09</v>
      </c>
      <c r="D262" s="11">
        <v>57.0</v>
      </c>
      <c r="E262" s="11">
        <v>53.0</v>
      </c>
      <c r="F262" s="11">
        <v>0.454</v>
      </c>
      <c r="G262" s="11">
        <v>0.517</v>
      </c>
      <c r="H262" s="11">
        <v>0.029</v>
      </c>
      <c r="I262" s="11">
        <v>6949366.0</v>
      </c>
      <c r="J262" s="11">
        <v>0.383</v>
      </c>
      <c r="K262" s="12" t="s">
        <v>99</v>
      </c>
      <c r="L262" s="5" t="s">
        <v>77</v>
      </c>
      <c r="M262" s="9" t="s">
        <v>60</v>
      </c>
    </row>
    <row r="263">
      <c r="A263" s="11">
        <v>262.0</v>
      </c>
      <c r="B263" s="11">
        <v>0.042</v>
      </c>
      <c r="C263" s="11">
        <v>0.088</v>
      </c>
      <c r="D263" s="11">
        <v>57.0</v>
      </c>
      <c r="E263" s="11">
        <v>54.0</v>
      </c>
      <c r="F263" s="11">
        <v>0.453</v>
      </c>
      <c r="G263" s="11">
        <v>0.518</v>
      </c>
      <c r="H263" s="11">
        <v>0.029</v>
      </c>
      <c r="I263" s="11">
        <v>7174911.0</v>
      </c>
      <c r="J263" s="11">
        <v>0.387</v>
      </c>
      <c r="K263" s="12" t="s">
        <v>99</v>
      </c>
      <c r="L263" s="5" t="s">
        <v>77</v>
      </c>
      <c r="M263" s="9" t="s">
        <v>62</v>
      </c>
    </row>
    <row r="264">
      <c r="A264" s="11">
        <v>263.0</v>
      </c>
      <c r="B264" s="11">
        <v>0.042</v>
      </c>
      <c r="C264" s="11">
        <v>0.085</v>
      </c>
      <c r="D264" s="11">
        <v>58.0</v>
      </c>
      <c r="E264" s="11">
        <v>54.0</v>
      </c>
      <c r="F264" s="11">
        <v>0.451</v>
      </c>
      <c r="G264" s="11">
        <v>0.52</v>
      </c>
      <c r="H264" s="11">
        <v>0.028</v>
      </c>
      <c r="I264" s="11">
        <v>7414744.0</v>
      </c>
      <c r="J264" s="11">
        <v>0.39</v>
      </c>
      <c r="K264" s="12" t="s">
        <v>99</v>
      </c>
      <c r="L264" s="5" t="s">
        <v>77</v>
      </c>
      <c r="M264" s="9" t="s">
        <v>63</v>
      </c>
    </row>
    <row r="265">
      <c r="A265" s="11">
        <v>264.0</v>
      </c>
      <c r="B265" s="11">
        <v>0.041</v>
      </c>
      <c r="C265" s="11">
        <v>0.082</v>
      </c>
      <c r="D265" s="11">
        <v>58.0</v>
      </c>
      <c r="E265" s="11">
        <v>55.0</v>
      </c>
      <c r="F265" s="11">
        <v>0.449</v>
      </c>
      <c r="G265" s="11">
        <v>0.522</v>
      </c>
      <c r="H265" s="11">
        <v>0.028</v>
      </c>
      <c r="I265" s="11">
        <v>7665681.0</v>
      </c>
      <c r="J265" s="11">
        <v>0.393</v>
      </c>
      <c r="K265" s="12" t="s">
        <v>99</v>
      </c>
      <c r="L265" s="5" t="s">
        <v>77</v>
      </c>
      <c r="M265" s="9" t="s">
        <v>64</v>
      </c>
    </row>
    <row r="266">
      <c r="A266" s="11">
        <v>265.0</v>
      </c>
      <c r="B266" s="11">
        <v>0.041</v>
      </c>
      <c r="C266" s="11">
        <v>0.078</v>
      </c>
      <c r="D266" s="11">
        <v>58.0</v>
      </c>
      <c r="E266" s="11">
        <v>55.0</v>
      </c>
      <c r="F266" s="11">
        <v>0.447</v>
      </c>
      <c r="G266" s="11">
        <v>0.525</v>
      </c>
      <c r="H266" s="11">
        <v>0.028</v>
      </c>
      <c r="I266" s="11">
        <v>7922796.0</v>
      </c>
      <c r="J266" s="11">
        <v>0.396</v>
      </c>
      <c r="K266" s="12" t="s">
        <v>99</v>
      </c>
      <c r="L266" s="5" t="s">
        <v>77</v>
      </c>
      <c r="M266" s="9" t="s">
        <v>65</v>
      </c>
    </row>
    <row r="267">
      <c r="A267" s="11">
        <v>266.0</v>
      </c>
      <c r="B267" s="11">
        <v>0.04</v>
      </c>
      <c r="C267" s="11">
        <v>0.075</v>
      </c>
      <c r="D267" s="11">
        <v>59.0</v>
      </c>
      <c r="E267" s="11">
        <v>56.0</v>
      </c>
      <c r="F267" s="11">
        <v>0.445</v>
      </c>
      <c r="G267" s="11">
        <v>0.527</v>
      </c>
      <c r="H267" s="11">
        <v>0.028</v>
      </c>
      <c r="I267" s="11">
        <v>8182362.0</v>
      </c>
      <c r="J267" s="11">
        <v>0.4</v>
      </c>
      <c r="K267" s="12" t="s">
        <v>99</v>
      </c>
      <c r="L267" s="5" t="s">
        <v>77</v>
      </c>
      <c r="M267" s="9" t="s">
        <v>66</v>
      </c>
    </row>
    <row r="268">
      <c r="A268" s="11">
        <v>267.0</v>
      </c>
      <c r="B268" s="11">
        <v>0.04</v>
      </c>
      <c r="C268" s="11">
        <v>0.072</v>
      </c>
      <c r="D268" s="11">
        <v>59.0</v>
      </c>
      <c r="E268" s="11">
        <v>56.0</v>
      </c>
      <c r="F268" s="11">
        <v>0.443</v>
      </c>
      <c r="G268" s="11">
        <v>0.529</v>
      </c>
      <c r="H268" s="11">
        <v>0.028</v>
      </c>
      <c r="I268" s="11">
        <v>8443671.0</v>
      </c>
      <c r="J268" s="11">
        <v>0.403</v>
      </c>
      <c r="K268" s="12" t="s">
        <v>99</v>
      </c>
      <c r="L268" s="5" t="s">
        <v>77</v>
      </c>
      <c r="M268" s="9" t="s">
        <v>67</v>
      </c>
    </row>
    <row r="269">
      <c r="A269" s="11">
        <v>268.0</v>
      </c>
      <c r="B269" s="11">
        <v>0.039</v>
      </c>
      <c r="C269" s="11">
        <v>0.069</v>
      </c>
      <c r="D269" s="11">
        <v>59.0</v>
      </c>
      <c r="E269" s="11">
        <v>57.0</v>
      </c>
      <c r="F269" s="11">
        <v>0.441</v>
      </c>
      <c r="G269" s="11">
        <v>0.531</v>
      </c>
      <c r="H269" s="11">
        <v>0.028</v>
      </c>
      <c r="I269" s="11">
        <v>8707490.0</v>
      </c>
      <c r="J269" s="11">
        <v>0.407</v>
      </c>
      <c r="K269" s="12" t="s">
        <v>99</v>
      </c>
      <c r="L269" s="5" t="s">
        <v>77</v>
      </c>
      <c r="M269" s="9" t="s">
        <v>68</v>
      </c>
    </row>
    <row r="270">
      <c r="A270" s="11">
        <v>269.0</v>
      </c>
      <c r="B270" s="11">
        <v>0.039</v>
      </c>
      <c r="C270" s="11">
        <v>0.066</v>
      </c>
      <c r="D270" s="11">
        <v>60.0</v>
      </c>
      <c r="E270" s="11">
        <v>57.0</v>
      </c>
      <c r="F270" s="11">
        <v>0.439</v>
      </c>
      <c r="G270" s="11">
        <v>0.533</v>
      </c>
      <c r="H270" s="11">
        <v>0.029</v>
      </c>
      <c r="I270" s="11">
        <v>8973293.0</v>
      </c>
      <c r="J270" s="11">
        <v>0.411</v>
      </c>
      <c r="K270" s="12" t="s">
        <v>99</v>
      </c>
      <c r="L270" s="5" t="s">
        <v>77</v>
      </c>
      <c r="M270" s="9" t="s">
        <v>69</v>
      </c>
    </row>
    <row r="271">
      <c r="A271" s="11">
        <v>270.0</v>
      </c>
      <c r="B271" s="11">
        <v>0.038</v>
      </c>
      <c r="C271" s="11">
        <v>0.064</v>
      </c>
      <c r="D271" s="11">
        <v>60.0</v>
      </c>
      <c r="E271" s="11">
        <v>57.0</v>
      </c>
      <c r="F271" s="11">
        <v>0.436</v>
      </c>
      <c r="G271" s="11">
        <v>0.535</v>
      </c>
      <c r="H271" s="11">
        <v>0.029</v>
      </c>
      <c r="I271" s="11">
        <v>9240783.0</v>
      </c>
      <c r="J271" s="11">
        <v>0.415</v>
      </c>
      <c r="K271" s="12" t="s">
        <v>99</v>
      </c>
      <c r="L271" s="5" t="s">
        <v>77</v>
      </c>
      <c r="M271" s="9" t="s">
        <v>70</v>
      </c>
    </row>
    <row r="272">
      <c r="A272" s="11">
        <v>271.0</v>
      </c>
      <c r="B272" s="11">
        <v>0.038</v>
      </c>
      <c r="C272" s="11">
        <v>0.062</v>
      </c>
      <c r="D272" s="11">
        <v>60.0</v>
      </c>
      <c r="E272" s="11">
        <v>57.0</v>
      </c>
      <c r="F272" s="11">
        <v>0.434</v>
      </c>
      <c r="G272" s="11">
        <v>0.537</v>
      </c>
      <c r="H272" s="11">
        <v>0.029</v>
      </c>
      <c r="I272" s="11">
        <v>9509798.0</v>
      </c>
      <c r="J272" s="11">
        <v>0.419</v>
      </c>
      <c r="K272" s="12" t="s">
        <v>99</v>
      </c>
      <c r="L272" s="5" t="s">
        <v>77</v>
      </c>
      <c r="M272" s="9" t="s">
        <v>71</v>
      </c>
    </row>
    <row r="273">
      <c r="A273" s="11">
        <v>272.0</v>
      </c>
      <c r="B273" s="11">
        <v>0.037</v>
      </c>
      <c r="C273" s="11">
        <v>0.06</v>
      </c>
      <c r="D273" s="11">
        <v>60.0</v>
      </c>
      <c r="E273" s="11">
        <v>58.0</v>
      </c>
      <c r="F273" s="11">
        <v>0.432</v>
      </c>
      <c r="G273" s="11">
        <v>0.539</v>
      </c>
      <c r="H273" s="11">
        <v>0.029</v>
      </c>
      <c r="I273" s="11">
        <v>9779795.0</v>
      </c>
      <c r="J273" s="11">
        <v>0.423</v>
      </c>
      <c r="K273" s="12" t="s">
        <v>99</v>
      </c>
      <c r="L273" s="5" t="s">
        <v>77</v>
      </c>
      <c r="M273" s="9" t="s">
        <v>72</v>
      </c>
    </row>
    <row r="274">
      <c r="A274" s="11">
        <v>273.0</v>
      </c>
      <c r="B274" s="11">
        <v>0.037</v>
      </c>
      <c r="C274" s="11">
        <v>0.058</v>
      </c>
      <c r="D274" s="11">
        <v>61.0</v>
      </c>
      <c r="E274" s="11">
        <v>58.0</v>
      </c>
      <c r="F274" s="11">
        <v>0.43</v>
      </c>
      <c r="G274" s="11">
        <v>0.542</v>
      </c>
      <c r="H274" s="11">
        <v>0.029</v>
      </c>
      <c r="I274" s="11">
        <v>1.0050702E7</v>
      </c>
      <c r="J274" s="11">
        <v>0.427</v>
      </c>
      <c r="K274" s="12" t="s">
        <v>99</v>
      </c>
      <c r="L274" s="5" t="s">
        <v>77</v>
      </c>
      <c r="M274" s="9" t="s">
        <v>73</v>
      </c>
    </row>
    <row r="275">
      <c r="A275" s="11">
        <v>274.0</v>
      </c>
      <c r="B275" s="11">
        <v>0.014</v>
      </c>
      <c r="C275" s="8"/>
      <c r="D275" s="11">
        <v>81.0</v>
      </c>
      <c r="E275" s="11">
        <v>75.0</v>
      </c>
      <c r="F275" s="8"/>
      <c r="G275" s="8"/>
      <c r="H275" s="8"/>
      <c r="I275" s="11">
        <v>61833.0</v>
      </c>
      <c r="J275" s="11">
        <v>1.0</v>
      </c>
      <c r="K275" s="12" t="s">
        <v>100</v>
      </c>
      <c r="L275" s="5" t="s">
        <v>84</v>
      </c>
      <c r="M275" s="9" t="s">
        <v>60</v>
      </c>
    </row>
    <row r="276">
      <c r="A276" s="11">
        <v>275.0</v>
      </c>
      <c r="B276" s="11">
        <v>0.013</v>
      </c>
      <c r="C276" s="8"/>
      <c r="D276" s="11">
        <v>81.0</v>
      </c>
      <c r="E276" s="11">
        <v>75.0</v>
      </c>
      <c r="F276" s="8"/>
      <c r="G276" s="8"/>
      <c r="H276" s="8"/>
      <c r="I276" s="11">
        <v>62504.0</v>
      </c>
      <c r="J276" s="11">
        <v>1.0</v>
      </c>
      <c r="K276" s="12" t="s">
        <v>100</v>
      </c>
      <c r="L276" s="5" t="s">
        <v>84</v>
      </c>
      <c r="M276" s="9" t="s">
        <v>62</v>
      </c>
    </row>
    <row r="277">
      <c r="A277" s="11">
        <v>276.0</v>
      </c>
      <c r="B277" s="11">
        <v>0.013</v>
      </c>
      <c r="C277" s="8"/>
      <c r="D277" s="11">
        <v>81.0</v>
      </c>
      <c r="E277" s="11">
        <v>76.0</v>
      </c>
      <c r="F277" s="8"/>
      <c r="G277" s="8"/>
      <c r="H277" s="8"/>
      <c r="I277" s="11">
        <v>62912.0</v>
      </c>
      <c r="J277" s="11">
        <v>1.0</v>
      </c>
      <c r="K277" s="12" t="s">
        <v>100</v>
      </c>
      <c r="L277" s="5" t="s">
        <v>84</v>
      </c>
      <c r="M277" s="9" t="s">
        <v>63</v>
      </c>
    </row>
    <row r="278">
      <c r="A278" s="11">
        <v>277.0</v>
      </c>
      <c r="B278" s="11">
        <v>0.013</v>
      </c>
      <c r="C278" s="8"/>
      <c r="D278" s="11">
        <v>81.0</v>
      </c>
      <c r="E278" s="11">
        <v>76.0</v>
      </c>
      <c r="F278" s="8"/>
      <c r="G278" s="8"/>
      <c r="H278" s="8"/>
      <c r="I278" s="11">
        <v>63325.0</v>
      </c>
      <c r="J278" s="11">
        <v>1.0</v>
      </c>
      <c r="K278" s="12" t="s">
        <v>100</v>
      </c>
      <c r="L278" s="5" t="s">
        <v>84</v>
      </c>
      <c r="M278" s="9" t="s">
        <v>64</v>
      </c>
    </row>
    <row r="279">
      <c r="A279" s="11">
        <v>278.0</v>
      </c>
      <c r="B279" s="11">
        <v>0.013</v>
      </c>
      <c r="C279" s="8"/>
      <c r="D279" s="11">
        <v>81.0</v>
      </c>
      <c r="E279" s="11">
        <v>76.0</v>
      </c>
      <c r="F279" s="8"/>
      <c r="G279" s="8"/>
      <c r="H279" s="8"/>
      <c r="I279" s="11">
        <v>63740.0</v>
      </c>
      <c r="J279" s="11">
        <v>1.0</v>
      </c>
      <c r="K279" s="12" t="s">
        <v>100</v>
      </c>
      <c r="L279" s="5" t="s">
        <v>84</v>
      </c>
      <c r="M279" s="9" t="s">
        <v>65</v>
      </c>
    </row>
    <row r="280">
      <c r="A280" s="11">
        <v>279.0</v>
      </c>
      <c r="B280" s="11">
        <v>0.013</v>
      </c>
      <c r="C280" s="8"/>
      <c r="D280" s="11">
        <v>81.0</v>
      </c>
      <c r="E280" s="11">
        <v>76.0</v>
      </c>
      <c r="F280" s="8"/>
      <c r="G280" s="8"/>
      <c r="H280" s="8"/>
      <c r="I280" s="11">
        <v>64154.0</v>
      </c>
      <c r="J280" s="11">
        <v>1.0</v>
      </c>
      <c r="K280" s="12" t="s">
        <v>100</v>
      </c>
      <c r="L280" s="5" t="s">
        <v>84</v>
      </c>
      <c r="M280" s="9" t="s">
        <v>66</v>
      </c>
    </row>
    <row r="281">
      <c r="A281" s="11">
        <v>280.0</v>
      </c>
      <c r="B281" s="11">
        <v>0.013</v>
      </c>
      <c r="C281" s="8"/>
      <c r="D281" s="11">
        <v>82.0</v>
      </c>
      <c r="E281" s="11">
        <v>76.0</v>
      </c>
      <c r="F281" s="8"/>
      <c r="G281" s="8"/>
      <c r="H281" s="8"/>
      <c r="I281" s="11">
        <v>64523.0</v>
      </c>
      <c r="J281" s="11">
        <v>1.0</v>
      </c>
      <c r="K281" s="12" t="s">
        <v>100</v>
      </c>
      <c r="L281" s="5" t="s">
        <v>84</v>
      </c>
      <c r="M281" s="9" t="s">
        <v>67</v>
      </c>
    </row>
    <row r="282">
      <c r="A282" s="11">
        <v>281.0</v>
      </c>
      <c r="B282" s="11">
        <v>0.013</v>
      </c>
      <c r="C282" s="8"/>
      <c r="D282" s="11">
        <v>82.0</v>
      </c>
      <c r="E282" s="11">
        <v>76.0</v>
      </c>
      <c r="F282" s="8"/>
      <c r="G282" s="8"/>
      <c r="H282" s="8"/>
      <c r="I282" s="11">
        <v>64888.0</v>
      </c>
      <c r="J282" s="11">
        <v>1.0</v>
      </c>
      <c r="K282" s="12" t="s">
        <v>100</v>
      </c>
      <c r="L282" s="5" t="s">
        <v>84</v>
      </c>
      <c r="M282" s="9" t="s">
        <v>68</v>
      </c>
    </row>
    <row r="283">
      <c r="A283" s="11">
        <v>282.0</v>
      </c>
      <c r="B283" s="11">
        <v>0.013</v>
      </c>
      <c r="C283" s="8"/>
      <c r="D283" s="11">
        <v>82.0</v>
      </c>
      <c r="E283" s="11">
        <v>77.0</v>
      </c>
      <c r="F283" s="8"/>
      <c r="G283" s="8"/>
      <c r="H283" s="8"/>
      <c r="I283" s="11">
        <v>65273.0</v>
      </c>
      <c r="J283" s="11">
        <v>1.0</v>
      </c>
      <c r="K283" s="12" t="s">
        <v>100</v>
      </c>
      <c r="L283" s="5" t="s">
        <v>84</v>
      </c>
      <c r="M283" s="9" t="s">
        <v>69</v>
      </c>
    </row>
    <row r="284">
      <c r="A284" s="11">
        <v>283.0</v>
      </c>
      <c r="B284" s="11">
        <v>0.012</v>
      </c>
      <c r="C284" s="8"/>
      <c r="D284" s="11">
        <v>82.0</v>
      </c>
      <c r="E284" s="11">
        <v>77.0</v>
      </c>
      <c r="F284" s="8"/>
      <c r="G284" s="8"/>
      <c r="H284" s="8"/>
      <c r="I284" s="11">
        <v>65636.0</v>
      </c>
      <c r="J284" s="11">
        <v>1.0</v>
      </c>
      <c r="K284" s="12" t="s">
        <v>100</v>
      </c>
      <c r="L284" s="5" t="s">
        <v>84</v>
      </c>
      <c r="M284" s="9" t="s">
        <v>70</v>
      </c>
    </row>
    <row r="285">
      <c r="A285" s="11">
        <v>284.0</v>
      </c>
      <c r="B285" s="11">
        <v>0.012</v>
      </c>
      <c r="C285" s="8"/>
      <c r="D285" s="11">
        <v>82.0</v>
      </c>
      <c r="E285" s="11">
        <v>77.0</v>
      </c>
      <c r="F285" s="8"/>
      <c r="G285" s="8"/>
      <c r="H285" s="8"/>
      <c r="I285" s="11">
        <v>65124.0</v>
      </c>
      <c r="J285" s="11">
        <v>1.0</v>
      </c>
      <c r="K285" s="12" t="s">
        <v>100</v>
      </c>
      <c r="L285" s="5" t="s">
        <v>84</v>
      </c>
      <c r="M285" s="9" t="s">
        <v>71</v>
      </c>
    </row>
    <row r="286">
      <c r="A286" s="11">
        <v>285.0</v>
      </c>
      <c r="B286" s="11">
        <v>0.012</v>
      </c>
      <c r="C286" s="8"/>
      <c r="D286" s="11">
        <v>82.0</v>
      </c>
      <c r="E286" s="11">
        <v>77.0</v>
      </c>
      <c r="F286" s="8"/>
      <c r="G286" s="8"/>
      <c r="H286" s="8"/>
      <c r="I286" s="11">
        <v>64564.0</v>
      </c>
      <c r="J286" s="11">
        <v>1.0</v>
      </c>
      <c r="K286" s="12" t="s">
        <v>100</v>
      </c>
      <c r="L286" s="5" t="s">
        <v>84</v>
      </c>
      <c r="M286" s="9" t="s">
        <v>72</v>
      </c>
    </row>
    <row r="287">
      <c r="A287" s="11">
        <v>286.0</v>
      </c>
      <c r="B287" s="11">
        <v>0.012</v>
      </c>
      <c r="C287" s="8"/>
      <c r="D287" s="11">
        <v>82.0</v>
      </c>
      <c r="E287" s="11">
        <v>77.0</v>
      </c>
      <c r="F287" s="8"/>
      <c r="G287" s="8"/>
      <c r="H287" s="8"/>
      <c r="I287" s="11">
        <v>64798.0</v>
      </c>
      <c r="J287" s="11">
        <v>1.0</v>
      </c>
      <c r="K287" s="12" t="s">
        <v>100</v>
      </c>
      <c r="L287" s="5" t="s">
        <v>84</v>
      </c>
      <c r="M287" s="9" t="s">
        <v>73</v>
      </c>
    </row>
    <row r="288">
      <c r="A288" s="11">
        <v>287.0</v>
      </c>
      <c r="B288" s="11">
        <v>0.028</v>
      </c>
      <c r="C288" s="11">
        <v>0.059</v>
      </c>
      <c r="D288" s="11">
        <v>60.0</v>
      </c>
      <c r="E288" s="11">
        <v>60.0</v>
      </c>
      <c r="F288" s="11">
        <v>0.406</v>
      </c>
      <c r="G288" s="11">
        <v>0.556</v>
      </c>
      <c r="H288" s="11">
        <v>0.038</v>
      </c>
      <c r="I288" s="11">
        <v>564350.0</v>
      </c>
      <c r="J288" s="11">
        <v>0.254</v>
      </c>
      <c r="K288" s="12" t="s">
        <v>101</v>
      </c>
      <c r="L288" s="5" t="s">
        <v>61</v>
      </c>
      <c r="M288" s="9" t="s">
        <v>60</v>
      </c>
    </row>
    <row r="289">
      <c r="A289" s="11">
        <v>288.0</v>
      </c>
      <c r="B289" s="11">
        <v>0.027</v>
      </c>
      <c r="C289" s="11">
        <v>0.056</v>
      </c>
      <c r="D289" s="11">
        <v>61.0</v>
      </c>
      <c r="E289" s="11">
        <v>61.0</v>
      </c>
      <c r="F289" s="11">
        <v>0.393</v>
      </c>
      <c r="G289" s="11">
        <v>0.568</v>
      </c>
      <c r="H289" s="11">
        <v>0.039</v>
      </c>
      <c r="I289" s="11">
        <v>580888.0</v>
      </c>
      <c r="J289" s="11">
        <v>0.265</v>
      </c>
      <c r="K289" s="12" t="s">
        <v>101</v>
      </c>
      <c r="L289" s="5" t="s">
        <v>61</v>
      </c>
      <c r="M289" s="9" t="s">
        <v>62</v>
      </c>
    </row>
    <row r="290">
      <c r="A290" s="11">
        <v>289.0</v>
      </c>
      <c r="B290" s="11">
        <v>0.026</v>
      </c>
      <c r="C290" s="11">
        <v>0.053</v>
      </c>
      <c r="D290" s="11">
        <v>62.0</v>
      </c>
      <c r="E290" s="11">
        <v>62.0</v>
      </c>
      <c r="F290" s="11">
        <v>0.38</v>
      </c>
      <c r="G290" s="11">
        <v>0.581</v>
      </c>
      <c r="H290" s="11">
        <v>0.039</v>
      </c>
      <c r="I290" s="11">
        <v>598455.0</v>
      </c>
      <c r="J290" s="11">
        <v>0.276</v>
      </c>
      <c r="K290" s="12" t="s">
        <v>101</v>
      </c>
      <c r="L290" s="5" t="s">
        <v>61</v>
      </c>
      <c r="M290" s="9" t="s">
        <v>63</v>
      </c>
    </row>
    <row r="291">
      <c r="A291" s="11">
        <v>290.0</v>
      </c>
      <c r="B291" s="11">
        <v>0.025</v>
      </c>
      <c r="C291" s="11">
        <v>0.051</v>
      </c>
      <c r="D291" s="11">
        <v>63.0</v>
      </c>
      <c r="E291" s="11">
        <v>62.0</v>
      </c>
      <c r="F291" s="11">
        <v>0.365</v>
      </c>
      <c r="G291" s="11">
        <v>0.595</v>
      </c>
      <c r="H291" s="11">
        <v>0.04</v>
      </c>
      <c r="I291" s="11">
        <v>616383.0</v>
      </c>
      <c r="J291" s="11">
        <v>0.287</v>
      </c>
      <c r="K291" s="12" t="s">
        <v>101</v>
      </c>
      <c r="L291" s="5" t="s">
        <v>61</v>
      </c>
      <c r="M291" s="9" t="s">
        <v>64</v>
      </c>
    </row>
    <row r="292">
      <c r="A292" s="11">
        <v>291.0</v>
      </c>
      <c r="B292" s="11">
        <v>0.024</v>
      </c>
      <c r="C292" s="11">
        <v>0.048</v>
      </c>
      <c r="D292" s="11">
        <v>63.0</v>
      </c>
      <c r="E292" s="11">
        <v>63.0</v>
      </c>
      <c r="F292" s="11">
        <v>0.352</v>
      </c>
      <c r="G292" s="11">
        <v>0.608</v>
      </c>
      <c r="H292" s="11">
        <v>0.04</v>
      </c>
      <c r="I292" s="11">
        <v>633893.0</v>
      </c>
      <c r="J292" s="11">
        <v>0.298</v>
      </c>
      <c r="K292" s="12" t="s">
        <v>101</v>
      </c>
      <c r="L292" s="5" t="s">
        <v>61</v>
      </c>
      <c r="M292" s="9" t="s">
        <v>65</v>
      </c>
    </row>
    <row r="293">
      <c r="A293" s="11">
        <v>292.0</v>
      </c>
      <c r="B293" s="11">
        <v>0.023</v>
      </c>
      <c r="C293" s="11">
        <v>0.045</v>
      </c>
      <c r="D293" s="11">
        <v>64.0</v>
      </c>
      <c r="E293" s="11">
        <v>64.0</v>
      </c>
      <c r="F293" s="11">
        <v>0.34</v>
      </c>
      <c r="G293" s="11">
        <v>0.619</v>
      </c>
      <c r="H293" s="11">
        <v>0.041</v>
      </c>
      <c r="I293" s="11">
        <v>650417.0</v>
      </c>
      <c r="J293" s="11">
        <v>0.31</v>
      </c>
      <c r="K293" s="12" t="s">
        <v>101</v>
      </c>
      <c r="L293" s="5" t="s">
        <v>61</v>
      </c>
      <c r="M293" s="9" t="s">
        <v>66</v>
      </c>
    </row>
    <row r="294">
      <c r="A294" s="11">
        <v>293.0</v>
      </c>
      <c r="B294" s="11">
        <v>0.022</v>
      </c>
      <c r="C294" s="11">
        <v>0.043</v>
      </c>
      <c r="D294" s="11">
        <v>65.0</v>
      </c>
      <c r="E294" s="11">
        <v>65.0</v>
      </c>
      <c r="F294" s="11">
        <v>0.329</v>
      </c>
      <c r="G294" s="11">
        <v>0.629</v>
      </c>
      <c r="H294" s="11">
        <v>0.041</v>
      </c>
      <c r="I294" s="11">
        <v>665568.0</v>
      </c>
      <c r="J294" s="11">
        <v>0.317</v>
      </c>
      <c r="K294" s="12" t="s">
        <v>101</v>
      </c>
      <c r="L294" s="5" t="s">
        <v>61</v>
      </c>
      <c r="M294" s="9" t="s">
        <v>67</v>
      </c>
    </row>
    <row r="295">
      <c r="A295" s="11">
        <v>294.0</v>
      </c>
      <c r="B295" s="11">
        <v>0.022</v>
      </c>
      <c r="C295" s="11">
        <v>0.041</v>
      </c>
      <c r="D295" s="11">
        <v>66.0</v>
      </c>
      <c r="E295" s="11">
        <v>65.0</v>
      </c>
      <c r="F295" s="11">
        <v>0.32</v>
      </c>
      <c r="G295" s="11">
        <v>0.638</v>
      </c>
      <c r="H295" s="11">
        <v>0.042</v>
      </c>
      <c r="I295" s="11">
        <v>679365.0</v>
      </c>
      <c r="J295" s="11">
        <v>0.325</v>
      </c>
      <c r="K295" s="12" t="s">
        <v>101</v>
      </c>
      <c r="L295" s="5" t="s">
        <v>61</v>
      </c>
      <c r="M295" s="9" t="s">
        <v>68</v>
      </c>
    </row>
    <row r="296">
      <c r="A296" s="11">
        <v>295.0</v>
      </c>
      <c r="B296" s="11">
        <v>0.021</v>
      </c>
      <c r="C296" s="11">
        <v>0.038</v>
      </c>
      <c r="D296" s="11">
        <v>66.0</v>
      </c>
      <c r="E296" s="11">
        <v>66.0</v>
      </c>
      <c r="F296" s="11">
        <v>0.312</v>
      </c>
      <c r="G296" s="11">
        <v>0.645</v>
      </c>
      <c r="H296" s="11">
        <v>0.043</v>
      </c>
      <c r="I296" s="11">
        <v>692159.0</v>
      </c>
      <c r="J296" s="11">
        <v>0.332</v>
      </c>
      <c r="K296" s="12" t="s">
        <v>101</v>
      </c>
      <c r="L296" s="5" t="s">
        <v>61</v>
      </c>
      <c r="M296" s="9" t="s">
        <v>69</v>
      </c>
    </row>
    <row r="297">
      <c r="A297" s="11">
        <v>296.0</v>
      </c>
      <c r="B297" s="11">
        <v>0.021</v>
      </c>
      <c r="C297" s="11">
        <v>0.036</v>
      </c>
      <c r="D297" s="11">
        <v>67.0</v>
      </c>
      <c r="E297" s="11">
        <v>66.0</v>
      </c>
      <c r="F297" s="11">
        <v>0.305</v>
      </c>
      <c r="G297" s="11">
        <v>0.651</v>
      </c>
      <c r="H297" s="11">
        <v>0.044</v>
      </c>
      <c r="I297" s="11">
        <v>704542.0</v>
      </c>
      <c r="J297" s="11">
        <v>0.34</v>
      </c>
      <c r="K297" s="12" t="s">
        <v>101</v>
      </c>
      <c r="L297" s="5" t="s">
        <v>61</v>
      </c>
      <c r="M297" s="9" t="s">
        <v>70</v>
      </c>
    </row>
    <row r="298">
      <c r="A298" s="11">
        <v>297.0</v>
      </c>
      <c r="B298" s="11">
        <v>0.021</v>
      </c>
      <c r="C298" s="11">
        <v>0.034</v>
      </c>
      <c r="D298" s="11">
        <v>67.0</v>
      </c>
      <c r="E298" s="11">
        <v>67.0</v>
      </c>
      <c r="F298" s="11">
        <v>0.298</v>
      </c>
      <c r="G298" s="11">
        <v>0.657</v>
      </c>
      <c r="H298" s="11">
        <v>0.045</v>
      </c>
      <c r="I298" s="11">
        <v>716939.0</v>
      </c>
      <c r="J298" s="11">
        <v>0.348</v>
      </c>
      <c r="K298" s="12" t="s">
        <v>101</v>
      </c>
      <c r="L298" s="5" t="s">
        <v>61</v>
      </c>
      <c r="M298" s="9" t="s">
        <v>71</v>
      </c>
    </row>
    <row r="299">
      <c r="A299" s="11">
        <v>298.0</v>
      </c>
      <c r="B299" s="11">
        <v>0.02</v>
      </c>
      <c r="C299" s="11">
        <v>0.033</v>
      </c>
      <c r="D299" s="11">
        <v>68.0</v>
      </c>
      <c r="E299" s="11">
        <v>67.0</v>
      </c>
      <c r="F299" s="11">
        <v>0.291</v>
      </c>
      <c r="G299" s="11">
        <v>0.663</v>
      </c>
      <c r="H299" s="11">
        <v>0.046</v>
      </c>
      <c r="I299" s="11">
        <v>729429.0</v>
      </c>
      <c r="J299" s="11">
        <v>0.356</v>
      </c>
      <c r="K299" s="12" t="s">
        <v>101</v>
      </c>
      <c r="L299" s="5" t="s">
        <v>61</v>
      </c>
      <c r="M299" s="9" t="s">
        <v>72</v>
      </c>
    </row>
    <row r="300">
      <c r="A300" s="11">
        <v>299.0</v>
      </c>
      <c r="B300" s="11">
        <v>0.02</v>
      </c>
      <c r="C300" s="11">
        <v>0.031</v>
      </c>
      <c r="D300" s="11">
        <v>68.0</v>
      </c>
      <c r="E300" s="11">
        <v>68.0</v>
      </c>
      <c r="F300" s="11">
        <v>0.285</v>
      </c>
      <c r="G300" s="11">
        <v>0.668</v>
      </c>
      <c r="H300" s="11">
        <v>0.047</v>
      </c>
      <c r="I300" s="11">
        <v>741822.0</v>
      </c>
      <c r="J300" s="11">
        <v>0.364</v>
      </c>
      <c r="K300" s="12" t="s">
        <v>101</v>
      </c>
      <c r="L300" s="5" t="s">
        <v>61</v>
      </c>
      <c r="M300" s="9" t="s">
        <v>73</v>
      </c>
    </row>
    <row r="301">
      <c r="A301" s="11">
        <v>300.0</v>
      </c>
      <c r="B301" s="11">
        <v>0.031</v>
      </c>
      <c r="C301" s="11">
        <v>0.057</v>
      </c>
      <c r="D301" s="11">
        <v>65.0</v>
      </c>
      <c r="E301" s="11">
        <v>61.0</v>
      </c>
      <c r="F301" s="11">
        <v>0.398</v>
      </c>
      <c r="G301" s="11">
        <v>0.56</v>
      </c>
      <c r="H301" s="11">
        <v>0.042</v>
      </c>
      <c r="I301" s="11">
        <v>8495271.0</v>
      </c>
      <c r="J301" s="11">
        <v>0.618</v>
      </c>
      <c r="K301" s="12" t="s">
        <v>102</v>
      </c>
      <c r="L301" s="5" t="s">
        <v>84</v>
      </c>
      <c r="M301" s="9" t="s">
        <v>60</v>
      </c>
    </row>
    <row r="302">
      <c r="A302" s="11">
        <v>301.0</v>
      </c>
      <c r="B302" s="11">
        <v>0.031</v>
      </c>
      <c r="C302" s="11">
        <v>0.054</v>
      </c>
      <c r="D302" s="11">
        <v>65.0</v>
      </c>
      <c r="E302" s="11">
        <v>61.0</v>
      </c>
      <c r="F302" s="11">
        <v>0.396</v>
      </c>
      <c r="G302" s="11">
        <v>0.562</v>
      </c>
      <c r="H302" s="11">
        <v>0.042</v>
      </c>
      <c r="I302" s="11">
        <v>8669066.0</v>
      </c>
      <c r="J302" s="11">
        <v>0.623</v>
      </c>
      <c r="K302" s="12" t="s">
        <v>102</v>
      </c>
      <c r="L302" s="5" t="s">
        <v>84</v>
      </c>
      <c r="M302" s="9" t="s">
        <v>62</v>
      </c>
    </row>
    <row r="303">
      <c r="A303" s="11">
        <v>302.0</v>
      </c>
      <c r="B303" s="11">
        <v>0.03</v>
      </c>
      <c r="C303" s="11">
        <v>0.052</v>
      </c>
      <c r="D303" s="11">
        <v>66.0</v>
      </c>
      <c r="E303" s="11">
        <v>62.0</v>
      </c>
      <c r="F303" s="11">
        <v>0.393</v>
      </c>
      <c r="G303" s="11">
        <v>0.564</v>
      </c>
      <c r="H303" s="11">
        <v>0.043</v>
      </c>
      <c r="I303" s="11">
        <v>8843350.0</v>
      </c>
      <c r="J303" s="11">
        <v>0.628</v>
      </c>
      <c r="K303" s="12" t="s">
        <v>102</v>
      </c>
      <c r="L303" s="5" t="s">
        <v>84</v>
      </c>
      <c r="M303" s="9" t="s">
        <v>63</v>
      </c>
    </row>
    <row r="304">
      <c r="A304" s="11">
        <v>303.0</v>
      </c>
      <c r="B304" s="11">
        <v>0.03</v>
      </c>
      <c r="C304" s="11">
        <v>0.049</v>
      </c>
      <c r="D304" s="11">
        <v>66.0</v>
      </c>
      <c r="E304" s="11">
        <v>62.0</v>
      </c>
      <c r="F304" s="11">
        <v>0.39</v>
      </c>
      <c r="G304" s="11">
        <v>0.567</v>
      </c>
      <c r="H304" s="11">
        <v>0.043</v>
      </c>
      <c r="I304" s="11">
        <v>9016787.0</v>
      </c>
      <c r="J304" s="11">
        <v>0.633</v>
      </c>
      <c r="K304" s="12" t="s">
        <v>102</v>
      </c>
      <c r="L304" s="5" t="s">
        <v>84</v>
      </c>
      <c r="M304" s="9" t="s">
        <v>64</v>
      </c>
    </row>
    <row r="305">
      <c r="A305" s="11">
        <v>304.0</v>
      </c>
      <c r="B305" s="11">
        <v>0.029</v>
      </c>
      <c r="C305" s="11">
        <v>0.046</v>
      </c>
      <c r="D305" s="11">
        <v>67.0</v>
      </c>
      <c r="E305" s="11">
        <v>62.0</v>
      </c>
      <c r="F305" s="11">
        <v>0.387</v>
      </c>
      <c r="G305" s="11">
        <v>0.569</v>
      </c>
      <c r="H305" s="11">
        <v>0.044</v>
      </c>
      <c r="I305" s="11">
        <v>9187610.0</v>
      </c>
      <c r="J305" s="11">
        <v>0.637</v>
      </c>
      <c r="K305" s="12" t="s">
        <v>102</v>
      </c>
      <c r="L305" s="5" t="s">
        <v>84</v>
      </c>
      <c r="M305" s="9" t="s">
        <v>65</v>
      </c>
    </row>
    <row r="306">
      <c r="A306" s="11">
        <v>305.0</v>
      </c>
      <c r="B306" s="11">
        <v>0.029</v>
      </c>
      <c r="C306" s="11">
        <v>0.044</v>
      </c>
      <c r="D306" s="11">
        <v>67.0</v>
      </c>
      <c r="E306" s="11">
        <v>63.0</v>
      </c>
      <c r="F306" s="11">
        <v>0.383</v>
      </c>
      <c r="G306" s="11">
        <v>0.573</v>
      </c>
      <c r="H306" s="11">
        <v>0.044</v>
      </c>
      <c r="I306" s="11">
        <v>9354709.0</v>
      </c>
      <c r="J306" s="11">
        <v>0.642</v>
      </c>
      <c r="K306" s="12" t="s">
        <v>102</v>
      </c>
      <c r="L306" s="5" t="s">
        <v>84</v>
      </c>
      <c r="M306" s="9" t="s">
        <v>66</v>
      </c>
    </row>
    <row r="307">
      <c r="A307" s="11">
        <v>306.0</v>
      </c>
      <c r="B307" s="11">
        <v>0.028</v>
      </c>
      <c r="C307" s="11">
        <v>0.042</v>
      </c>
      <c r="D307" s="11">
        <v>67.0</v>
      </c>
      <c r="E307" s="11">
        <v>63.0</v>
      </c>
      <c r="F307" s="11">
        <v>0.379</v>
      </c>
      <c r="G307" s="11">
        <v>0.576</v>
      </c>
      <c r="H307" s="11">
        <v>0.045</v>
      </c>
      <c r="I307" s="11">
        <v>9517395.0</v>
      </c>
      <c r="J307" s="11">
        <v>0.647</v>
      </c>
      <c r="K307" s="12" t="s">
        <v>102</v>
      </c>
      <c r="L307" s="5" t="s">
        <v>84</v>
      </c>
      <c r="M307" s="9" t="s">
        <v>67</v>
      </c>
    </row>
    <row r="308">
      <c r="A308" s="11">
        <v>307.0</v>
      </c>
      <c r="B308" s="11">
        <v>0.028</v>
      </c>
      <c r="C308" s="11">
        <v>0.04</v>
      </c>
      <c r="D308" s="11">
        <v>68.0</v>
      </c>
      <c r="E308" s="11">
        <v>63.0</v>
      </c>
      <c r="F308" s="11">
        <v>0.374</v>
      </c>
      <c r="G308" s="11">
        <v>0.58</v>
      </c>
      <c r="H308" s="11">
        <v>0.045</v>
      </c>
      <c r="I308" s="11">
        <v>9676456.0</v>
      </c>
      <c r="J308" s="11">
        <v>0.651</v>
      </c>
      <c r="K308" s="12" t="s">
        <v>102</v>
      </c>
      <c r="L308" s="5" t="s">
        <v>84</v>
      </c>
      <c r="M308" s="9" t="s">
        <v>68</v>
      </c>
    </row>
    <row r="309">
      <c r="A309" s="11">
        <v>308.0</v>
      </c>
      <c r="B309" s="11">
        <v>0.027</v>
      </c>
      <c r="C309" s="11">
        <v>0.038</v>
      </c>
      <c r="D309" s="11">
        <v>68.0</v>
      </c>
      <c r="E309" s="11">
        <v>64.0</v>
      </c>
      <c r="F309" s="11">
        <v>0.37</v>
      </c>
      <c r="G309" s="11">
        <v>0.585</v>
      </c>
      <c r="H309" s="11">
        <v>0.046</v>
      </c>
      <c r="I309" s="11">
        <v>9834098.0</v>
      </c>
      <c r="J309" s="11">
        <v>0.656</v>
      </c>
      <c r="K309" s="12" t="s">
        <v>102</v>
      </c>
      <c r="L309" s="5" t="s">
        <v>84</v>
      </c>
      <c r="M309" s="9" t="s">
        <v>69</v>
      </c>
    </row>
    <row r="310">
      <c r="A310" s="11">
        <v>309.0</v>
      </c>
      <c r="B310" s="11">
        <v>0.027</v>
      </c>
      <c r="C310" s="11">
        <v>0.036</v>
      </c>
      <c r="D310" s="11">
        <v>68.0</v>
      </c>
      <c r="E310" s="11">
        <v>64.0</v>
      </c>
      <c r="F310" s="11">
        <v>0.365</v>
      </c>
      <c r="G310" s="11">
        <v>0.589</v>
      </c>
      <c r="H310" s="11">
        <v>0.046</v>
      </c>
      <c r="I310" s="11">
        <v>9993406.0</v>
      </c>
      <c r="J310" s="11">
        <v>0.66</v>
      </c>
      <c r="K310" s="12" t="s">
        <v>102</v>
      </c>
      <c r="L310" s="5" t="s">
        <v>84</v>
      </c>
      <c r="M310" s="9" t="s">
        <v>70</v>
      </c>
    </row>
    <row r="311">
      <c r="A311" s="11">
        <v>310.0</v>
      </c>
      <c r="B311" s="11">
        <v>0.026</v>
      </c>
      <c r="C311" s="11">
        <v>0.035</v>
      </c>
      <c r="D311" s="11">
        <v>69.0</v>
      </c>
      <c r="E311" s="11">
        <v>64.0</v>
      </c>
      <c r="F311" s="11">
        <v>0.36</v>
      </c>
      <c r="G311" s="11">
        <v>0.593</v>
      </c>
      <c r="H311" s="11">
        <v>0.047</v>
      </c>
      <c r="I311" s="11">
        <v>1.0156601E7</v>
      </c>
      <c r="J311" s="11">
        <v>0.664</v>
      </c>
      <c r="K311" s="12" t="s">
        <v>102</v>
      </c>
      <c r="L311" s="5" t="s">
        <v>84</v>
      </c>
      <c r="M311" s="9" t="s">
        <v>71</v>
      </c>
    </row>
    <row r="312">
      <c r="A312" s="11">
        <v>311.0</v>
      </c>
      <c r="B312" s="11">
        <v>0.026</v>
      </c>
      <c r="C312" s="11">
        <v>0.033</v>
      </c>
      <c r="D312" s="11">
        <v>69.0</v>
      </c>
      <c r="E312" s="11">
        <v>65.0</v>
      </c>
      <c r="F312" s="11">
        <v>0.356</v>
      </c>
      <c r="G312" s="11">
        <v>0.596</v>
      </c>
      <c r="H312" s="11">
        <v>0.048</v>
      </c>
      <c r="I312" s="11">
        <v>1.0324445E7</v>
      </c>
      <c r="J312" s="11">
        <v>0.669</v>
      </c>
      <c r="K312" s="12" t="s">
        <v>102</v>
      </c>
      <c r="L312" s="5" t="s">
        <v>84</v>
      </c>
      <c r="M312" s="9" t="s">
        <v>72</v>
      </c>
    </row>
    <row r="313">
      <c r="A313" s="11">
        <v>312.0</v>
      </c>
      <c r="B313" s="11">
        <v>0.026</v>
      </c>
      <c r="C313" s="11">
        <v>0.032</v>
      </c>
      <c r="D313" s="11">
        <v>69.0</v>
      </c>
      <c r="E313" s="11">
        <v>65.0</v>
      </c>
      <c r="F313" s="11">
        <v>0.352</v>
      </c>
      <c r="G313" s="11">
        <v>0.599</v>
      </c>
      <c r="H313" s="11">
        <v>0.048</v>
      </c>
      <c r="I313" s="11">
        <v>1.0496285E7</v>
      </c>
      <c r="J313" s="11">
        <v>0.673</v>
      </c>
      <c r="K313" s="12" t="s">
        <v>102</v>
      </c>
      <c r="L313" s="5" t="s">
        <v>84</v>
      </c>
      <c r="M313" s="9" t="s">
        <v>73</v>
      </c>
    </row>
    <row r="314">
      <c r="A314" s="11">
        <v>313.0</v>
      </c>
      <c r="B314" s="11">
        <v>0.01</v>
      </c>
      <c r="C314" s="11">
        <v>0.008</v>
      </c>
      <c r="D314" s="11">
        <v>77.0</v>
      </c>
      <c r="E314" s="11">
        <v>72.0</v>
      </c>
      <c r="F314" s="11">
        <v>0.202</v>
      </c>
      <c r="G314" s="11">
        <v>0.691</v>
      </c>
      <c r="H314" s="11">
        <v>0.107</v>
      </c>
      <c r="I314" s="11">
        <v>3834364.0</v>
      </c>
      <c r="J314" s="11">
        <v>0.393</v>
      </c>
      <c r="K314" s="12" t="s">
        <v>103</v>
      </c>
      <c r="L314" s="5" t="s">
        <v>75</v>
      </c>
      <c r="M314" s="9" t="s">
        <v>60</v>
      </c>
    </row>
    <row r="315">
      <c r="A315" s="11">
        <v>314.0</v>
      </c>
      <c r="B315" s="11">
        <v>0.01</v>
      </c>
      <c r="C315" s="11">
        <v>0.008</v>
      </c>
      <c r="D315" s="11">
        <v>77.0</v>
      </c>
      <c r="E315" s="11">
        <v>73.0</v>
      </c>
      <c r="F315" s="11">
        <v>0.199</v>
      </c>
      <c r="G315" s="11">
        <v>0.689</v>
      </c>
      <c r="H315" s="11">
        <v>0.112</v>
      </c>
      <c r="I315" s="11">
        <v>3879353.0</v>
      </c>
      <c r="J315" s="11">
        <v>0.393</v>
      </c>
      <c r="K315" s="12" t="s">
        <v>103</v>
      </c>
      <c r="L315" s="5" t="s">
        <v>75</v>
      </c>
      <c r="M315" s="9" t="s">
        <v>62</v>
      </c>
    </row>
    <row r="316">
      <c r="A316" s="11">
        <v>315.0</v>
      </c>
      <c r="B316" s="11">
        <v>0.009</v>
      </c>
      <c r="C316" s="11">
        <v>0.007</v>
      </c>
      <c r="D316" s="11">
        <v>77.0</v>
      </c>
      <c r="E316" s="11">
        <v>73.0</v>
      </c>
      <c r="F316" s="11">
        <v>0.197</v>
      </c>
      <c r="G316" s="11">
        <v>0.686</v>
      </c>
      <c r="H316" s="11">
        <v>0.117</v>
      </c>
      <c r="I316" s="11">
        <v>3897579.0</v>
      </c>
      <c r="J316" s="11">
        <v>0.393</v>
      </c>
      <c r="K316" s="12" t="s">
        <v>103</v>
      </c>
      <c r="L316" s="5" t="s">
        <v>75</v>
      </c>
      <c r="M316" s="9" t="s">
        <v>63</v>
      </c>
    </row>
    <row r="317">
      <c r="A317" s="11">
        <v>316.0</v>
      </c>
      <c r="B317" s="11">
        <v>0.009</v>
      </c>
      <c r="C317" s="11">
        <v>0.007</v>
      </c>
      <c r="D317" s="11">
        <v>78.0</v>
      </c>
      <c r="E317" s="11">
        <v>73.0</v>
      </c>
      <c r="F317" s="11">
        <v>0.194</v>
      </c>
      <c r="G317" s="11">
        <v>0.684</v>
      </c>
      <c r="H317" s="11">
        <v>0.122</v>
      </c>
      <c r="I317" s="11">
        <v>3895779.0</v>
      </c>
      <c r="J317" s="11">
        <v>0.392</v>
      </c>
      <c r="K317" s="12" t="s">
        <v>103</v>
      </c>
      <c r="L317" s="5" t="s">
        <v>75</v>
      </c>
      <c r="M317" s="9" t="s">
        <v>64</v>
      </c>
    </row>
    <row r="318">
      <c r="A318" s="11">
        <v>317.0</v>
      </c>
      <c r="B318" s="11">
        <v>0.008</v>
      </c>
      <c r="C318" s="11">
        <v>0.007</v>
      </c>
      <c r="D318" s="11">
        <v>78.0</v>
      </c>
      <c r="E318" s="11">
        <v>73.0</v>
      </c>
      <c r="F318" s="11">
        <v>0.192</v>
      </c>
      <c r="G318" s="11">
        <v>0.682</v>
      </c>
      <c r="H318" s="11">
        <v>0.127</v>
      </c>
      <c r="I318" s="11">
        <v>3886723.0</v>
      </c>
      <c r="J318" s="11">
        <v>0.392</v>
      </c>
      <c r="K318" s="12" t="s">
        <v>103</v>
      </c>
      <c r="L318" s="5" t="s">
        <v>75</v>
      </c>
      <c r="M318" s="9" t="s">
        <v>65</v>
      </c>
    </row>
    <row r="319">
      <c r="A319" s="11">
        <v>318.0</v>
      </c>
      <c r="B319" s="11">
        <v>0.008</v>
      </c>
      <c r="C319" s="11">
        <v>0.007</v>
      </c>
      <c r="D319" s="11">
        <v>78.0</v>
      </c>
      <c r="E319" s="11">
        <v>73.0</v>
      </c>
      <c r="F319" s="11">
        <v>0.189</v>
      </c>
      <c r="G319" s="11">
        <v>0.68</v>
      </c>
      <c r="H319" s="11">
        <v>0.131</v>
      </c>
      <c r="I319" s="11">
        <v>3879828.0</v>
      </c>
      <c r="J319" s="11">
        <v>0.392</v>
      </c>
      <c r="K319" s="12" t="s">
        <v>103</v>
      </c>
      <c r="L319" s="5" t="s">
        <v>75</v>
      </c>
      <c r="M319" s="9" t="s">
        <v>66</v>
      </c>
    </row>
    <row r="320">
      <c r="A320" s="11">
        <v>319.0</v>
      </c>
      <c r="B320" s="11">
        <v>0.008</v>
      </c>
      <c r="C320" s="11">
        <v>0.007</v>
      </c>
      <c r="D320" s="11">
        <v>78.0</v>
      </c>
      <c r="E320" s="11">
        <v>73.0</v>
      </c>
      <c r="F320" s="11">
        <v>0.186</v>
      </c>
      <c r="G320" s="11">
        <v>0.678</v>
      </c>
      <c r="H320" s="11">
        <v>0.136</v>
      </c>
      <c r="I320" s="11">
        <v>3875157.0</v>
      </c>
      <c r="J320" s="11">
        <v>0.392</v>
      </c>
      <c r="K320" s="12" t="s">
        <v>103</v>
      </c>
      <c r="L320" s="5" t="s">
        <v>75</v>
      </c>
      <c r="M320" s="9" t="s">
        <v>67</v>
      </c>
    </row>
    <row r="321">
      <c r="A321" s="11">
        <v>320.0</v>
      </c>
      <c r="B321" s="11">
        <v>0.008</v>
      </c>
      <c r="C321" s="11">
        <v>0.007</v>
      </c>
      <c r="D321" s="11">
        <v>78.0</v>
      </c>
      <c r="E321" s="11">
        <v>73.0</v>
      </c>
      <c r="F321" s="11">
        <v>0.184</v>
      </c>
      <c r="G321" s="11">
        <v>0.676</v>
      </c>
      <c r="H321" s="11">
        <v>0.14</v>
      </c>
      <c r="I321" s="11">
        <v>3868665.0</v>
      </c>
      <c r="J321" s="11">
        <v>0.392</v>
      </c>
      <c r="K321" s="12" t="s">
        <v>103</v>
      </c>
      <c r="L321" s="5" t="s">
        <v>75</v>
      </c>
      <c r="M321" s="9" t="s">
        <v>68</v>
      </c>
    </row>
    <row r="322">
      <c r="A322" s="11">
        <v>321.0</v>
      </c>
      <c r="B322" s="11">
        <v>0.008</v>
      </c>
      <c r="C322" s="11">
        <v>0.007</v>
      </c>
      <c r="D322" s="11">
        <v>78.0</v>
      </c>
      <c r="E322" s="11">
        <v>73.0</v>
      </c>
      <c r="F322" s="11">
        <v>0.181</v>
      </c>
      <c r="G322" s="11">
        <v>0.674</v>
      </c>
      <c r="H322" s="11">
        <v>0.144</v>
      </c>
      <c r="I322" s="11">
        <v>3861201.0</v>
      </c>
      <c r="J322" s="11">
        <v>0.392</v>
      </c>
      <c r="K322" s="12" t="s">
        <v>103</v>
      </c>
      <c r="L322" s="5" t="s">
        <v>75</v>
      </c>
      <c r="M322" s="9" t="s">
        <v>69</v>
      </c>
    </row>
    <row r="323">
      <c r="A323" s="11">
        <v>322.0</v>
      </c>
      <c r="B323" s="11">
        <v>0.009</v>
      </c>
      <c r="C323" s="11">
        <v>0.007</v>
      </c>
      <c r="D323" s="11">
        <v>78.0</v>
      </c>
      <c r="E323" s="11">
        <v>73.0</v>
      </c>
      <c r="F323" s="11">
        <v>0.178</v>
      </c>
      <c r="G323" s="11">
        <v>0.674</v>
      </c>
      <c r="H323" s="11">
        <v>0.148</v>
      </c>
      <c r="I323" s="11">
        <v>3853446.0</v>
      </c>
      <c r="J323" s="11">
        <v>0.392</v>
      </c>
      <c r="K323" s="12" t="s">
        <v>103</v>
      </c>
      <c r="L323" s="5" t="s">
        <v>75</v>
      </c>
      <c r="M323" s="9" t="s">
        <v>70</v>
      </c>
    </row>
    <row r="324">
      <c r="A324" s="11">
        <v>323.0</v>
      </c>
      <c r="B324" s="11">
        <v>0.009</v>
      </c>
      <c r="C324" s="11">
        <v>0.007</v>
      </c>
      <c r="D324" s="11">
        <v>78.0</v>
      </c>
      <c r="E324" s="11">
        <v>73.0</v>
      </c>
      <c r="F324" s="11">
        <v>0.174</v>
      </c>
      <c r="G324" s="11">
        <v>0.675</v>
      </c>
      <c r="H324" s="11">
        <v>0.151</v>
      </c>
      <c r="I324" s="11">
        <v>3845929.0</v>
      </c>
      <c r="J324" s="11">
        <v>0.392</v>
      </c>
      <c r="K324" s="12" t="s">
        <v>103</v>
      </c>
      <c r="L324" s="5" t="s">
        <v>75</v>
      </c>
      <c r="M324" s="9" t="s">
        <v>71</v>
      </c>
    </row>
    <row r="325">
      <c r="A325" s="11">
        <v>324.0</v>
      </c>
      <c r="B325" s="11">
        <v>0.009</v>
      </c>
      <c r="C325" s="11">
        <v>0.006</v>
      </c>
      <c r="D325" s="11">
        <v>79.0</v>
      </c>
      <c r="E325" s="11">
        <v>73.0</v>
      </c>
      <c r="F325" s="11">
        <v>0.169</v>
      </c>
      <c r="G325" s="11">
        <v>0.678</v>
      </c>
      <c r="H325" s="11">
        <v>0.153</v>
      </c>
      <c r="I325" s="11">
        <v>3839322.0</v>
      </c>
      <c r="J325" s="11">
        <v>0.393</v>
      </c>
      <c r="K325" s="12" t="s">
        <v>103</v>
      </c>
      <c r="L325" s="5" t="s">
        <v>75</v>
      </c>
      <c r="M325" s="9" t="s">
        <v>72</v>
      </c>
    </row>
    <row r="326">
      <c r="A326" s="11">
        <v>325.0</v>
      </c>
      <c r="B326" s="11">
        <v>0.009</v>
      </c>
      <c r="C326" s="11">
        <v>0.006</v>
      </c>
      <c r="D326" s="11">
        <v>79.0</v>
      </c>
      <c r="E326" s="11">
        <v>74.0</v>
      </c>
      <c r="F326" s="11">
        <v>0.163</v>
      </c>
      <c r="G326" s="11">
        <v>0.682</v>
      </c>
      <c r="H326" s="11">
        <v>0.155</v>
      </c>
      <c r="I326" s="11">
        <v>3833916.0</v>
      </c>
      <c r="J326" s="11">
        <v>0.394</v>
      </c>
      <c r="K326" s="12" t="s">
        <v>103</v>
      </c>
      <c r="L326" s="5" t="s">
        <v>75</v>
      </c>
      <c r="M326" s="9" t="s">
        <v>73</v>
      </c>
    </row>
    <row r="327">
      <c r="A327" s="11">
        <v>326.0</v>
      </c>
      <c r="B327" s="11">
        <v>0.027</v>
      </c>
      <c r="C327" s="11">
        <v>0.054</v>
      </c>
      <c r="D327" s="11">
        <v>52.0</v>
      </c>
      <c r="E327" s="11">
        <v>49.0</v>
      </c>
      <c r="F327" s="11">
        <v>0.383</v>
      </c>
      <c r="G327" s="11">
        <v>0.587</v>
      </c>
      <c r="H327" s="11">
        <v>0.029</v>
      </c>
      <c r="I327" s="11">
        <v>1755375.0</v>
      </c>
      <c r="J327" s="11">
        <v>0.532</v>
      </c>
      <c r="K327" s="12" t="s">
        <v>104</v>
      </c>
      <c r="L327" s="5" t="s">
        <v>77</v>
      </c>
      <c r="M327" s="9" t="s">
        <v>60</v>
      </c>
    </row>
    <row r="328">
      <c r="A328" s="11">
        <v>327.0</v>
      </c>
      <c r="B328" s="11">
        <v>0.027</v>
      </c>
      <c r="C328" s="11">
        <v>0.054</v>
      </c>
      <c r="D328" s="11">
        <v>51.0</v>
      </c>
      <c r="E328" s="11">
        <v>48.0</v>
      </c>
      <c r="F328" s="11">
        <v>0.377</v>
      </c>
      <c r="G328" s="11">
        <v>0.593</v>
      </c>
      <c r="H328" s="11">
        <v>0.03</v>
      </c>
      <c r="I328" s="11">
        <v>1783349.0</v>
      </c>
      <c r="J328" s="11">
        <v>0.541</v>
      </c>
      <c r="K328" s="12" t="s">
        <v>104</v>
      </c>
      <c r="L328" s="5" t="s">
        <v>77</v>
      </c>
      <c r="M328" s="9" t="s">
        <v>62</v>
      </c>
    </row>
    <row r="329">
      <c r="A329" s="11">
        <v>328.0</v>
      </c>
      <c r="B329" s="11">
        <v>0.026</v>
      </c>
      <c r="C329" s="11">
        <v>0.054</v>
      </c>
      <c r="D329" s="11">
        <v>49.0</v>
      </c>
      <c r="E329" s="11">
        <v>48.0</v>
      </c>
      <c r="F329" s="11">
        <v>0.372</v>
      </c>
      <c r="G329" s="11">
        <v>0.598</v>
      </c>
      <c r="H329" s="11">
        <v>0.03</v>
      </c>
      <c r="I329" s="11">
        <v>1808976.0</v>
      </c>
      <c r="J329" s="11">
        <v>0.544</v>
      </c>
      <c r="K329" s="12" t="s">
        <v>104</v>
      </c>
      <c r="L329" s="5" t="s">
        <v>77</v>
      </c>
      <c r="M329" s="9" t="s">
        <v>63</v>
      </c>
    </row>
    <row r="330">
      <c r="A330" s="11">
        <v>329.0</v>
      </c>
      <c r="B330" s="11">
        <v>0.026</v>
      </c>
      <c r="C330" s="11">
        <v>0.051</v>
      </c>
      <c r="D330" s="11">
        <v>48.0</v>
      </c>
      <c r="E330" s="11">
        <v>47.0</v>
      </c>
      <c r="F330" s="11">
        <v>0.367</v>
      </c>
      <c r="G330" s="11">
        <v>0.602</v>
      </c>
      <c r="H330" s="11">
        <v>0.031</v>
      </c>
      <c r="I330" s="11">
        <v>1832602.0</v>
      </c>
      <c r="J330" s="11">
        <v>0.546</v>
      </c>
      <c r="K330" s="12" t="s">
        <v>104</v>
      </c>
      <c r="L330" s="5" t="s">
        <v>77</v>
      </c>
      <c r="M330" s="9" t="s">
        <v>64</v>
      </c>
    </row>
    <row r="331">
      <c r="A331" s="11">
        <v>330.0</v>
      </c>
      <c r="B331" s="11">
        <v>0.026</v>
      </c>
      <c r="C331" s="11">
        <v>0.046</v>
      </c>
      <c r="D331" s="11">
        <v>48.0</v>
      </c>
      <c r="E331" s="11">
        <v>47.0</v>
      </c>
      <c r="F331" s="11">
        <v>0.362</v>
      </c>
      <c r="G331" s="11">
        <v>0.607</v>
      </c>
      <c r="H331" s="11">
        <v>0.032</v>
      </c>
      <c r="I331" s="11">
        <v>1854739.0</v>
      </c>
      <c r="J331" s="11">
        <v>0.548</v>
      </c>
      <c r="K331" s="12" t="s">
        <v>104</v>
      </c>
      <c r="L331" s="5" t="s">
        <v>77</v>
      </c>
      <c r="M331" s="9" t="s">
        <v>65</v>
      </c>
    </row>
    <row r="332">
      <c r="A332" s="11">
        <v>331.0</v>
      </c>
      <c r="B332" s="11">
        <v>0.025</v>
      </c>
      <c r="C332" s="11">
        <v>0.043</v>
      </c>
      <c r="D332" s="11">
        <v>47.0</v>
      </c>
      <c r="E332" s="11">
        <v>46.0</v>
      </c>
      <c r="F332" s="11">
        <v>0.358</v>
      </c>
      <c r="G332" s="11">
        <v>0.61</v>
      </c>
      <c r="H332" s="11">
        <v>0.032</v>
      </c>
      <c r="I332" s="11">
        <v>1875805.0</v>
      </c>
      <c r="J332" s="11">
        <v>0.551</v>
      </c>
      <c r="K332" s="12" t="s">
        <v>104</v>
      </c>
      <c r="L332" s="5" t="s">
        <v>77</v>
      </c>
      <c r="M332" s="9" t="s">
        <v>66</v>
      </c>
    </row>
    <row r="333">
      <c r="A333" s="11">
        <v>332.0</v>
      </c>
      <c r="B333" s="11">
        <v>0.025</v>
      </c>
      <c r="C333" s="11">
        <v>0.043</v>
      </c>
      <c r="D333" s="11">
        <v>47.0</v>
      </c>
      <c r="E333" s="11">
        <v>46.0</v>
      </c>
      <c r="F333" s="11">
        <v>0.354</v>
      </c>
      <c r="G333" s="11">
        <v>0.613</v>
      </c>
      <c r="H333" s="11">
        <v>0.033</v>
      </c>
      <c r="I333" s="11">
        <v>1895944.0</v>
      </c>
      <c r="J333" s="11">
        <v>0.553</v>
      </c>
      <c r="K333" s="12" t="s">
        <v>104</v>
      </c>
      <c r="L333" s="5" t="s">
        <v>77</v>
      </c>
      <c r="M333" s="9" t="s">
        <v>67</v>
      </c>
    </row>
    <row r="334">
      <c r="A334" s="11">
        <v>333.0</v>
      </c>
      <c r="B334" s="11">
        <v>0.025</v>
      </c>
      <c r="C334" s="11">
        <v>0.043</v>
      </c>
      <c r="D334" s="11">
        <v>46.0</v>
      </c>
      <c r="E334" s="11">
        <v>46.0</v>
      </c>
      <c r="F334" s="11">
        <v>0.351</v>
      </c>
      <c r="G334" s="11">
        <v>0.616</v>
      </c>
      <c r="H334" s="11">
        <v>0.033</v>
      </c>
      <c r="I334" s="11">
        <v>1915187.0</v>
      </c>
      <c r="J334" s="11">
        <v>0.555</v>
      </c>
      <c r="K334" s="12" t="s">
        <v>104</v>
      </c>
      <c r="L334" s="5" t="s">
        <v>77</v>
      </c>
      <c r="M334" s="9" t="s">
        <v>68</v>
      </c>
    </row>
    <row r="335">
      <c r="A335" s="11">
        <v>334.0</v>
      </c>
      <c r="B335" s="11">
        <v>0.025</v>
      </c>
      <c r="C335" s="11">
        <v>0.043</v>
      </c>
      <c r="D335" s="11">
        <v>46.0</v>
      </c>
      <c r="E335" s="11">
        <v>46.0</v>
      </c>
      <c r="F335" s="11">
        <v>0.348</v>
      </c>
      <c r="G335" s="11">
        <v>0.618</v>
      </c>
      <c r="H335" s="11">
        <v>0.034</v>
      </c>
      <c r="I335" s="11">
        <v>1933719.0</v>
      </c>
      <c r="J335" s="11">
        <v>0.558</v>
      </c>
      <c r="K335" s="12" t="s">
        <v>104</v>
      </c>
      <c r="L335" s="5" t="s">
        <v>77</v>
      </c>
      <c r="M335" s="9" t="s">
        <v>69</v>
      </c>
    </row>
    <row r="336">
      <c r="A336" s="11">
        <v>335.0</v>
      </c>
      <c r="B336" s="11">
        <v>0.025</v>
      </c>
      <c r="C336" s="11">
        <v>0.041</v>
      </c>
      <c r="D336" s="11">
        <v>46.0</v>
      </c>
      <c r="E336" s="11">
        <v>47.0</v>
      </c>
      <c r="F336" s="11">
        <v>0.345</v>
      </c>
      <c r="G336" s="11">
        <v>0.621</v>
      </c>
      <c r="H336" s="11">
        <v>0.034</v>
      </c>
      <c r="I336" s="11">
        <v>1951715.0</v>
      </c>
      <c r="J336" s="11">
        <v>0.56</v>
      </c>
      <c r="K336" s="12" t="s">
        <v>104</v>
      </c>
      <c r="L336" s="5" t="s">
        <v>77</v>
      </c>
      <c r="M336" s="9" t="s">
        <v>70</v>
      </c>
    </row>
    <row r="337">
      <c r="A337" s="11">
        <v>336.0</v>
      </c>
      <c r="B337" s="11">
        <v>0.024</v>
      </c>
      <c r="C337" s="11">
        <v>0.04</v>
      </c>
      <c r="D337" s="11">
        <v>46.0</v>
      </c>
      <c r="E337" s="11">
        <v>47.0</v>
      </c>
      <c r="F337" s="11">
        <v>0.343</v>
      </c>
      <c r="G337" s="11">
        <v>0.623</v>
      </c>
      <c r="H337" s="11">
        <v>0.035</v>
      </c>
      <c r="I337" s="11">
        <v>1969341.0</v>
      </c>
      <c r="J337" s="11">
        <v>0.562</v>
      </c>
      <c r="K337" s="12" t="s">
        <v>104</v>
      </c>
      <c r="L337" s="5" t="s">
        <v>77</v>
      </c>
      <c r="M337" s="9" t="s">
        <v>71</v>
      </c>
    </row>
    <row r="338">
      <c r="A338" s="11">
        <v>337.0</v>
      </c>
      <c r="B338" s="11">
        <v>0.024</v>
      </c>
      <c r="C338" s="11">
        <v>0.039</v>
      </c>
      <c r="D338" s="11">
        <v>46.0</v>
      </c>
      <c r="E338" s="11">
        <v>47.0</v>
      </c>
      <c r="F338" s="11">
        <v>0.34</v>
      </c>
      <c r="G338" s="11">
        <v>0.625</v>
      </c>
      <c r="H338" s="11">
        <v>0.035</v>
      </c>
      <c r="I338" s="11">
        <v>1986701.0</v>
      </c>
      <c r="J338" s="11">
        <v>0.565</v>
      </c>
      <c r="K338" s="12" t="s">
        <v>104</v>
      </c>
      <c r="L338" s="5" t="s">
        <v>77</v>
      </c>
      <c r="M338" s="9" t="s">
        <v>72</v>
      </c>
    </row>
    <row r="339">
      <c r="A339" s="11">
        <v>338.0</v>
      </c>
      <c r="B339" s="11">
        <v>0.024</v>
      </c>
      <c r="C339" s="11">
        <v>0.037</v>
      </c>
      <c r="D339" s="11">
        <v>46.0</v>
      </c>
      <c r="E339" s="11">
        <v>48.0</v>
      </c>
      <c r="F339" s="11">
        <v>0.338</v>
      </c>
      <c r="G339" s="11">
        <v>0.627</v>
      </c>
      <c r="H339" s="11">
        <v>0.036</v>
      </c>
      <c r="I339" s="11">
        <v>2003910.0</v>
      </c>
      <c r="J339" s="11">
        <v>0.567</v>
      </c>
      <c r="K339" s="12" t="s">
        <v>104</v>
      </c>
      <c r="L339" s="5" t="s">
        <v>77</v>
      </c>
      <c r="M339" s="9" t="s">
        <v>73</v>
      </c>
    </row>
    <row r="340">
      <c r="A340" s="11">
        <v>339.0</v>
      </c>
      <c r="B340" s="11">
        <v>0.021</v>
      </c>
      <c r="C340" s="11">
        <v>0.029</v>
      </c>
      <c r="D340" s="11">
        <v>74.0</v>
      </c>
      <c r="E340" s="11">
        <v>67.0</v>
      </c>
      <c r="F340" s="11">
        <v>0.296</v>
      </c>
      <c r="G340" s="11">
        <v>0.649</v>
      </c>
      <c r="H340" s="11">
        <v>0.055</v>
      </c>
      <c r="I340" s="11">
        <v>1.74504898E8</v>
      </c>
      <c r="J340" s="11">
        <v>0.812</v>
      </c>
      <c r="K340" s="12" t="s">
        <v>105</v>
      </c>
      <c r="L340" s="5" t="s">
        <v>84</v>
      </c>
      <c r="M340" s="9" t="s">
        <v>60</v>
      </c>
    </row>
    <row r="341">
      <c r="A341" s="11">
        <v>340.0</v>
      </c>
      <c r="B341" s="11">
        <v>0.02</v>
      </c>
      <c r="C341" s="11">
        <v>0.027</v>
      </c>
      <c r="D341" s="11">
        <v>74.0</v>
      </c>
      <c r="E341" s="11">
        <v>67.0</v>
      </c>
      <c r="F341" s="11">
        <v>0.291</v>
      </c>
      <c r="G341" s="11">
        <v>0.653</v>
      </c>
      <c r="H341" s="11">
        <v>0.056</v>
      </c>
      <c r="I341" s="11">
        <v>1.76968205E8</v>
      </c>
      <c r="J341" s="11">
        <v>0.816</v>
      </c>
      <c r="K341" s="12" t="s">
        <v>105</v>
      </c>
      <c r="L341" s="5" t="s">
        <v>84</v>
      </c>
      <c r="M341" s="9" t="s">
        <v>62</v>
      </c>
    </row>
    <row r="342">
      <c r="A342" s="11">
        <v>341.0</v>
      </c>
      <c r="B342" s="11">
        <v>0.02</v>
      </c>
      <c r="C342" s="11">
        <v>0.025</v>
      </c>
      <c r="D342" s="11">
        <v>75.0</v>
      </c>
      <c r="E342" s="11">
        <v>67.0</v>
      </c>
      <c r="F342" s="11">
        <v>0.287</v>
      </c>
      <c r="G342" s="11">
        <v>0.655</v>
      </c>
      <c r="H342" s="11">
        <v>0.057</v>
      </c>
      <c r="I342" s="11">
        <v>1.79393768E8</v>
      </c>
      <c r="J342" s="11">
        <v>0.819</v>
      </c>
      <c r="K342" s="12" t="s">
        <v>105</v>
      </c>
      <c r="L342" s="5" t="s">
        <v>84</v>
      </c>
      <c r="M342" s="9" t="s">
        <v>63</v>
      </c>
    </row>
    <row r="343">
      <c r="A343" s="11">
        <v>342.0</v>
      </c>
      <c r="B343" s="11">
        <v>0.019</v>
      </c>
      <c r="C343" s="11">
        <v>0.024</v>
      </c>
      <c r="D343" s="11">
        <v>75.0</v>
      </c>
      <c r="E343" s="11">
        <v>67.0</v>
      </c>
      <c r="F343" s="11">
        <v>0.283</v>
      </c>
      <c r="G343" s="11">
        <v>0.658</v>
      </c>
      <c r="H343" s="11">
        <v>0.059</v>
      </c>
      <c r="I343" s="11">
        <v>1.81752951E8</v>
      </c>
      <c r="J343" s="11">
        <v>0.822</v>
      </c>
      <c r="K343" s="12" t="s">
        <v>105</v>
      </c>
      <c r="L343" s="5" t="s">
        <v>84</v>
      </c>
      <c r="M343" s="9" t="s">
        <v>64</v>
      </c>
    </row>
    <row r="344">
      <c r="A344" s="11">
        <v>343.0</v>
      </c>
      <c r="B344" s="11">
        <v>0.019</v>
      </c>
      <c r="C344" s="11">
        <v>0.022</v>
      </c>
      <c r="D344" s="11">
        <v>75.0</v>
      </c>
      <c r="E344" s="11">
        <v>68.0</v>
      </c>
      <c r="F344" s="11">
        <v>0.28</v>
      </c>
      <c r="G344" s="11">
        <v>0.66</v>
      </c>
      <c r="H344" s="11">
        <v>0.06</v>
      </c>
      <c r="I344" s="11">
        <v>1.84010283E8</v>
      </c>
      <c r="J344" s="11">
        <v>0.825</v>
      </c>
      <c r="K344" s="12" t="s">
        <v>105</v>
      </c>
      <c r="L344" s="5" t="s">
        <v>84</v>
      </c>
      <c r="M344" s="9" t="s">
        <v>65</v>
      </c>
    </row>
    <row r="345">
      <c r="A345" s="11">
        <v>344.0</v>
      </c>
      <c r="B345" s="11">
        <v>0.018</v>
      </c>
      <c r="C345" s="11">
        <v>0.02</v>
      </c>
      <c r="D345" s="11">
        <v>76.0</v>
      </c>
      <c r="E345" s="11">
        <v>68.0</v>
      </c>
      <c r="F345" s="11">
        <v>0.276</v>
      </c>
      <c r="G345" s="11">
        <v>0.663</v>
      </c>
      <c r="H345" s="11">
        <v>0.062</v>
      </c>
      <c r="I345" s="11">
        <v>1.86142403E8</v>
      </c>
      <c r="J345" s="11">
        <v>0.828</v>
      </c>
      <c r="K345" s="12" t="s">
        <v>105</v>
      </c>
      <c r="L345" s="5" t="s">
        <v>84</v>
      </c>
      <c r="M345" s="9" t="s">
        <v>66</v>
      </c>
    </row>
    <row r="346">
      <c r="A346" s="11">
        <v>345.0</v>
      </c>
      <c r="B346" s="11">
        <v>0.017</v>
      </c>
      <c r="C346" s="11">
        <v>0.019</v>
      </c>
      <c r="D346" s="11">
        <v>76.0</v>
      </c>
      <c r="E346" s="11">
        <v>68.0</v>
      </c>
      <c r="F346" s="11">
        <v>0.272</v>
      </c>
      <c r="G346" s="11">
        <v>0.665</v>
      </c>
      <c r="H346" s="11">
        <v>0.063</v>
      </c>
      <c r="I346" s="11">
        <v>1.88134315E8</v>
      </c>
      <c r="J346" s="11">
        <v>0.831</v>
      </c>
      <c r="K346" s="12" t="s">
        <v>105</v>
      </c>
      <c r="L346" s="5" t="s">
        <v>84</v>
      </c>
      <c r="M346" s="9" t="s">
        <v>67</v>
      </c>
    </row>
    <row r="347">
      <c r="A347" s="11">
        <v>346.0</v>
      </c>
      <c r="B347" s="11">
        <v>0.017</v>
      </c>
      <c r="C347" s="11">
        <v>0.018</v>
      </c>
      <c r="D347" s="11">
        <v>76.0</v>
      </c>
      <c r="E347" s="11">
        <v>69.0</v>
      </c>
      <c r="F347" s="11">
        <v>0.268</v>
      </c>
      <c r="G347" s="11">
        <v>0.668</v>
      </c>
      <c r="H347" s="11">
        <v>0.064</v>
      </c>
      <c r="I347" s="11">
        <v>1.89996976E8</v>
      </c>
      <c r="J347" s="11">
        <v>0.834</v>
      </c>
      <c r="K347" s="12" t="s">
        <v>105</v>
      </c>
      <c r="L347" s="5" t="s">
        <v>84</v>
      </c>
      <c r="M347" s="9" t="s">
        <v>68</v>
      </c>
    </row>
    <row r="348">
      <c r="A348" s="11">
        <v>347.0</v>
      </c>
      <c r="B348" s="11">
        <v>0.016</v>
      </c>
      <c r="C348" s="11">
        <v>0.017</v>
      </c>
      <c r="D348" s="11">
        <v>76.0</v>
      </c>
      <c r="E348" s="11">
        <v>69.0</v>
      </c>
      <c r="F348" s="11">
        <v>0.264</v>
      </c>
      <c r="G348" s="11">
        <v>0.671</v>
      </c>
      <c r="H348" s="11">
        <v>0.066</v>
      </c>
      <c r="I348" s="11">
        <v>1.91765567E8</v>
      </c>
      <c r="J348" s="11">
        <v>0.837</v>
      </c>
      <c r="K348" s="12" t="s">
        <v>105</v>
      </c>
      <c r="L348" s="5" t="s">
        <v>84</v>
      </c>
      <c r="M348" s="9" t="s">
        <v>69</v>
      </c>
    </row>
    <row r="349">
      <c r="A349" s="11">
        <v>348.0</v>
      </c>
      <c r="B349" s="11">
        <v>0.016</v>
      </c>
      <c r="C349" s="11">
        <v>0.016</v>
      </c>
      <c r="D349" s="11">
        <v>77.0</v>
      </c>
      <c r="E349" s="11">
        <v>69.0</v>
      </c>
      <c r="F349" s="11">
        <v>0.259</v>
      </c>
      <c r="G349" s="11">
        <v>0.673</v>
      </c>
      <c r="H349" s="11">
        <v>0.067</v>
      </c>
      <c r="I349" s="11">
        <v>1.93490922E8</v>
      </c>
      <c r="J349" s="11">
        <v>0.84</v>
      </c>
      <c r="K349" s="12" t="s">
        <v>105</v>
      </c>
      <c r="L349" s="5" t="s">
        <v>84</v>
      </c>
      <c r="M349" s="9" t="s">
        <v>70</v>
      </c>
    </row>
    <row r="350">
      <c r="A350" s="11">
        <v>349.0</v>
      </c>
      <c r="B350" s="11">
        <v>0.016</v>
      </c>
      <c r="C350" s="11">
        <v>0.015</v>
      </c>
      <c r="D350" s="11">
        <v>77.0</v>
      </c>
      <c r="E350" s="11">
        <v>70.0</v>
      </c>
      <c r="F350" s="11">
        <v>0.255</v>
      </c>
      <c r="G350" s="11">
        <v>0.676</v>
      </c>
      <c r="H350" s="11">
        <v>0.069</v>
      </c>
      <c r="I350" s="11">
        <v>1.95210154E8</v>
      </c>
      <c r="J350" s="11">
        <v>0.843</v>
      </c>
      <c r="K350" s="12" t="s">
        <v>105</v>
      </c>
      <c r="L350" s="5" t="s">
        <v>84</v>
      </c>
      <c r="M350" s="9" t="s">
        <v>71</v>
      </c>
    </row>
    <row r="351">
      <c r="A351" s="11">
        <v>350.0</v>
      </c>
      <c r="B351" s="11">
        <v>0.015</v>
      </c>
      <c r="C351" s="11">
        <v>0.014</v>
      </c>
      <c r="D351" s="11">
        <v>77.0</v>
      </c>
      <c r="E351" s="11">
        <v>70.0</v>
      </c>
      <c r="F351" s="11">
        <v>0.25</v>
      </c>
      <c r="G351" s="11">
        <v>0.679</v>
      </c>
      <c r="H351" s="11">
        <v>0.071</v>
      </c>
      <c r="I351" s="11">
        <v>1.96935134E8</v>
      </c>
      <c r="J351" s="11">
        <v>0.846</v>
      </c>
      <c r="K351" s="12" t="s">
        <v>105</v>
      </c>
      <c r="L351" s="5" t="s">
        <v>84</v>
      </c>
      <c r="M351" s="9" t="s">
        <v>72</v>
      </c>
    </row>
    <row r="352">
      <c r="A352" s="11">
        <v>351.0</v>
      </c>
      <c r="B352" s="11">
        <v>0.015</v>
      </c>
      <c r="C352" s="11">
        <v>0.013</v>
      </c>
      <c r="D352" s="11">
        <v>77.0</v>
      </c>
      <c r="E352" s="11">
        <v>70.0</v>
      </c>
      <c r="F352" s="11">
        <v>0.246</v>
      </c>
      <c r="G352" s="11">
        <v>0.681</v>
      </c>
      <c r="H352" s="11">
        <v>0.073</v>
      </c>
      <c r="I352" s="11">
        <v>1.98656019E8</v>
      </c>
      <c r="J352" s="11">
        <v>0.849</v>
      </c>
      <c r="K352" s="12" t="s">
        <v>105</v>
      </c>
      <c r="L352" s="5" t="s">
        <v>84</v>
      </c>
      <c r="M352" s="9" t="s">
        <v>73</v>
      </c>
    </row>
    <row r="353">
      <c r="A353" s="11">
        <v>352.0</v>
      </c>
      <c r="B353" s="11">
        <v>0.023</v>
      </c>
      <c r="C353" s="11">
        <v>0.008</v>
      </c>
      <c r="D353" s="11">
        <v>78.0</v>
      </c>
      <c r="E353" s="11">
        <v>74.0</v>
      </c>
      <c r="F353" s="11">
        <v>0.304</v>
      </c>
      <c r="G353" s="11">
        <v>0.668</v>
      </c>
      <c r="H353" s="11">
        <v>0.028</v>
      </c>
      <c r="I353" s="11">
        <v>331801.0</v>
      </c>
      <c r="J353" s="11">
        <v>0.712</v>
      </c>
      <c r="K353" s="12" t="s">
        <v>106</v>
      </c>
      <c r="L353" s="5" t="s">
        <v>61</v>
      </c>
      <c r="M353" s="9" t="s">
        <v>60</v>
      </c>
    </row>
    <row r="354">
      <c r="A354" s="11">
        <v>353.0</v>
      </c>
      <c r="B354" s="11">
        <v>0.022</v>
      </c>
      <c r="C354" s="11">
        <v>0.008</v>
      </c>
      <c r="D354" s="11">
        <v>78.0</v>
      </c>
      <c r="E354" s="11">
        <v>74.0</v>
      </c>
      <c r="F354" s="11">
        <v>0.301</v>
      </c>
      <c r="G354" s="11">
        <v>0.671</v>
      </c>
      <c r="H354" s="11">
        <v>0.028</v>
      </c>
      <c r="I354" s="11">
        <v>339114.0</v>
      </c>
      <c r="J354" s="11">
        <v>0.717</v>
      </c>
      <c r="K354" s="12" t="s">
        <v>106</v>
      </c>
      <c r="L354" s="5" t="s">
        <v>61</v>
      </c>
      <c r="M354" s="9" t="s">
        <v>62</v>
      </c>
    </row>
    <row r="355">
      <c r="A355" s="11">
        <v>354.0</v>
      </c>
      <c r="B355" s="11">
        <v>0.022</v>
      </c>
      <c r="C355" s="11">
        <v>0.008</v>
      </c>
      <c r="D355" s="11">
        <v>78.0</v>
      </c>
      <c r="E355" s="11">
        <v>75.0</v>
      </c>
      <c r="F355" s="11">
        <v>0.298</v>
      </c>
      <c r="G355" s="11">
        <v>0.673</v>
      </c>
      <c r="H355" s="11">
        <v>0.029</v>
      </c>
      <c r="I355" s="11">
        <v>346407.0</v>
      </c>
      <c r="J355" s="11">
        <v>0.721</v>
      </c>
      <c r="K355" s="12" t="s">
        <v>106</v>
      </c>
      <c r="L355" s="5" t="s">
        <v>61</v>
      </c>
      <c r="M355" s="9" t="s">
        <v>63</v>
      </c>
    </row>
    <row r="356">
      <c r="A356" s="11">
        <v>355.0</v>
      </c>
      <c r="B356" s="11">
        <v>0.021</v>
      </c>
      <c r="C356" s="11">
        <v>0.008</v>
      </c>
      <c r="D356" s="11">
        <v>79.0</v>
      </c>
      <c r="E356" s="11">
        <v>75.0</v>
      </c>
      <c r="F356" s="11">
        <v>0.295</v>
      </c>
      <c r="G356" s="11">
        <v>0.675</v>
      </c>
      <c r="H356" s="11">
        <v>0.03</v>
      </c>
      <c r="I356" s="11">
        <v>353649.0</v>
      </c>
      <c r="J356" s="11">
        <v>0.726</v>
      </c>
      <c r="K356" s="12" t="s">
        <v>106</v>
      </c>
      <c r="L356" s="5" t="s">
        <v>61</v>
      </c>
      <c r="M356" s="9" t="s">
        <v>64</v>
      </c>
    </row>
    <row r="357">
      <c r="A357" s="11">
        <v>356.0</v>
      </c>
      <c r="B357" s="11">
        <v>0.02</v>
      </c>
      <c r="C357" s="11">
        <v>0.008</v>
      </c>
      <c r="D357" s="11">
        <v>79.0</v>
      </c>
      <c r="E357" s="11">
        <v>75.0</v>
      </c>
      <c r="F357" s="11">
        <v>0.292</v>
      </c>
      <c r="G357" s="11">
        <v>0.677</v>
      </c>
      <c r="H357" s="11">
        <v>0.031</v>
      </c>
      <c r="I357" s="11">
        <v>360797.0</v>
      </c>
      <c r="J357" s="11">
        <v>0.731</v>
      </c>
      <c r="K357" s="12" t="s">
        <v>106</v>
      </c>
      <c r="L357" s="5" t="s">
        <v>61</v>
      </c>
      <c r="M357" s="9" t="s">
        <v>65</v>
      </c>
    </row>
    <row r="358">
      <c r="A358" s="11">
        <v>357.0</v>
      </c>
      <c r="B358" s="11">
        <v>0.02</v>
      </c>
      <c r="C358" s="11">
        <v>0.007</v>
      </c>
      <c r="D358" s="11">
        <v>79.0</v>
      </c>
      <c r="E358" s="11">
        <v>75.0</v>
      </c>
      <c r="F358" s="11">
        <v>0.289</v>
      </c>
      <c r="G358" s="11">
        <v>0.679</v>
      </c>
      <c r="H358" s="11">
        <v>0.032</v>
      </c>
      <c r="I358" s="11">
        <v>367815.0</v>
      </c>
      <c r="J358" s="11">
        <v>0.735</v>
      </c>
      <c r="K358" s="12" t="s">
        <v>106</v>
      </c>
      <c r="L358" s="5" t="s">
        <v>61</v>
      </c>
      <c r="M358" s="9" t="s">
        <v>66</v>
      </c>
    </row>
    <row r="359">
      <c r="A359" s="11">
        <v>358.0</v>
      </c>
      <c r="B359" s="11">
        <v>0.019</v>
      </c>
      <c r="C359" s="11">
        <v>0.007</v>
      </c>
      <c r="D359" s="11">
        <v>79.0</v>
      </c>
      <c r="E359" s="11">
        <v>75.0</v>
      </c>
      <c r="F359" s="11">
        <v>0.285</v>
      </c>
      <c r="G359" s="11">
        <v>0.683</v>
      </c>
      <c r="H359" s="11">
        <v>0.033</v>
      </c>
      <c r="I359" s="11">
        <v>374697.0</v>
      </c>
      <c r="J359" s="11">
        <v>0.739</v>
      </c>
      <c r="K359" s="12" t="s">
        <v>106</v>
      </c>
      <c r="L359" s="5" t="s">
        <v>61</v>
      </c>
      <c r="M359" s="9" t="s">
        <v>67</v>
      </c>
    </row>
    <row r="360">
      <c r="A360" s="11">
        <v>359.0</v>
      </c>
      <c r="B360" s="11">
        <v>0.018</v>
      </c>
      <c r="C360" s="11">
        <v>0.008</v>
      </c>
      <c r="D360" s="11">
        <v>79.0</v>
      </c>
      <c r="E360" s="11">
        <v>76.0</v>
      </c>
      <c r="F360" s="11">
        <v>0.28</v>
      </c>
      <c r="G360" s="11">
        <v>0.686</v>
      </c>
      <c r="H360" s="11">
        <v>0.033</v>
      </c>
      <c r="I360" s="11">
        <v>381440.0</v>
      </c>
      <c r="J360" s="11">
        <v>0.743</v>
      </c>
      <c r="K360" s="12" t="s">
        <v>106</v>
      </c>
      <c r="L360" s="5" t="s">
        <v>61</v>
      </c>
      <c r="M360" s="9" t="s">
        <v>68</v>
      </c>
    </row>
    <row r="361">
      <c r="A361" s="11">
        <v>360.0</v>
      </c>
      <c r="B361" s="11">
        <v>0.018</v>
      </c>
      <c r="C361" s="11">
        <v>0.008</v>
      </c>
      <c r="D361" s="11">
        <v>80.0</v>
      </c>
      <c r="E361" s="11">
        <v>76.0</v>
      </c>
      <c r="F361" s="11">
        <v>0.275</v>
      </c>
      <c r="G361" s="11">
        <v>0.691</v>
      </c>
      <c r="H361" s="11">
        <v>0.034</v>
      </c>
      <c r="I361" s="11">
        <v>388017.0</v>
      </c>
      <c r="J361" s="11">
        <v>0.747</v>
      </c>
      <c r="K361" s="12" t="s">
        <v>106</v>
      </c>
      <c r="L361" s="5" t="s">
        <v>61</v>
      </c>
      <c r="M361" s="9" t="s">
        <v>69</v>
      </c>
    </row>
    <row r="362">
      <c r="A362" s="11">
        <v>361.0</v>
      </c>
      <c r="B362" s="11">
        <v>0.017</v>
      </c>
      <c r="C362" s="11">
        <v>0.008</v>
      </c>
      <c r="D362" s="11">
        <v>80.0</v>
      </c>
      <c r="E362" s="11">
        <v>76.0</v>
      </c>
      <c r="F362" s="11">
        <v>0.271</v>
      </c>
      <c r="G362" s="11">
        <v>0.694</v>
      </c>
      <c r="H362" s="11">
        <v>0.035</v>
      </c>
      <c r="I362" s="11">
        <v>394400.0</v>
      </c>
      <c r="J362" s="11">
        <v>0.751</v>
      </c>
      <c r="K362" s="12" t="s">
        <v>106</v>
      </c>
      <c r="L362" s="5" t="s">
        <v>61</v>
      </c>
      <c r="M362" s="9" t="s">
        <v>70</v>
      </c>
    </row>
    <row r="363">
      <c r="A363" s="11">
        <v>362.0</v>
      </c>
      <c r="B363" s="11">
        <v>0.017</v>
      </c>
      <c r="C363" s="11">
        <v>0.008</v>
      </c>
      <c r="D363" s="11">
        <v>80.0</v>
      </c>
      <c r="E363" s="11">
        <v>76.0</v>
      </c>
      <c r="F363" s="11">
        <v>0.266</v>
      </c>
      <c r="G363" s="11">
        <v>0.697</v>
      </c>
      <c r="H363" s="11">
        <v>0.037</v>
      </c>
      <c r="I363" s="11">
        <v>400569.0</v>
      </c>
      <c r="J363" s="11">
        <v>0.755</v>
      </c>
      <c r="K363" s="12" t="s">
        <v>106</v>
      </c>
      <c r="L363" s="5" t="s">
        <v>61</v>
      </c>
      <c r="M363" s="9" t="s">
        <v>71</v>
      </c>
    </row>
    <row r="364">
      <c r="A364" s="11">
        <v>363.0</v>
      </c>
      <c r="B364" s="11">
        <v>0.016</v>
      </c>
      <c r="C364" s="11">
        <v>0.008</v>
      </c>
      <c r="D364" s="11">
        <v>80.0</v>
      </c>
      <c r="E364" s="11">
        <v>76.0</v>
      </c>
      <c r="F364" s="11">
        <v>0.262</v>
      </c>
      <c r="G364" s="11">
        <v>0.7</v>
      </c>
      <c r="H364" s="11">
        <v>0.038</v>
      </c>
      <c r="I364" s="11">
        <v>406512.0</v>
      </c>
      <c r="J364" s="11">
        <v>0.759</v>
      </c>
      <c r="K364" s="12" t="s">
        <v>106</v>
      </c>
      <c r="L364" s="5" t="s">
        <v>61</v>
      </c>
      <c r="M364" s="9" t="s">
        <v>72</v>
      </c>
    </row>
    <row r="365">
      <c r="A365" s="11">
        <v>364.0</v>
      </c>
      <c r="B365" s="11">
        <v>0.016</v>
      </c>
      <c r="C365" s="11">
        <v>0.008</v>
      </c>
      <c r="D365" s="11">
        <v>80.0</v>
      </c>
      <c r="E365" s="11">
        <v>77.0</v>
      </c>
      <c r="F365" s="11">
        <v>0.258</v>
      </c>
      <c r="G365" s="11">
        <v>0.702</v>
      </c>
      <c r="H365" s="11">
        <v>0.04</v>
      </c>
      <c r="I365" s="11">
        <v>412238.0</v>
      </c>
      <c r="J365" s="11">
        <v>0.762</v>
      </c>
      <c r="K365" s="12" t="s">
        <v>106</v>
      </c>
      <c r="L365" s="5" t="s">
        <v>61</v>
      </c>
      <c r="M365" s="9" t="s">
        <v>73</v>
      </c>
    </row>
    <row r="366">
      <c r="A366" s="11">
        <v>365.0</v>
      </c>
      <c r="B366" s="11">
        <v>0.009</v>
      </c>
      <c r="C366" s="11">
        <v>0.018</v>
      </c>
      <c r="D366" s="11">
        <v>75.0</v>
      </c>
      <c r="E366" s="11">
        <v>68.0</v>
      </c>
      <c r="F366" s="11">
        <v>0.157</v>
      </c>
      <c r="G366" s="11">
        <v>0.677</v>
      </c>
      <c r="H366" s="11">
        <v>0.166</v>
      </c>
      <c r="I366" s="11">
        <v>8170172.0</v>
      </c>
      <c r="J366" s="11">
        <v>0.689</v>
      </c>
      <c r="K366" s="12" t="s">
        <v>107</v>
      </c>
      <c r="L366" s="5" t="s">
        <v>75</v>
      </c>
      <c r="M366" s="9" t="s">
        <v>60</v>
      </c>
    </row>
    <row r="367">
      <c r="A367" s="11">
        <v>366.0</v>
      </c>
      <c r="B367" s="11">
        <v>0.009</v>
      </c>
      <c r="C367" s="11">
        <v>0.017</v>
      </c>
      <c r="D367" s="11">
        <v>75.0</v>
      </c>
      <c r="E367" s="11">
        <v>69.0</v>
      </c>
      <c r="F367" s="11">
        <v>0.152</v>
      </c>
      <c r="G367" s="11">
        <v>0.68</v>
      </c>
      <c r="H367" s="11">
        <v>0.168</v>
      </c>
      <c r="I367" s="11">
        <v>8020282.0</v>
      </c>
      <c r="J367" s="11">
        <v>0.692</v>
      </c>
      <c r="K367" s="12" t="s">
        <v>107</v>
      </c>
      <c r="L367" s="5" t="s">
        <v>75</v>
      </c>
      <c r="M367" s="9" t="s">
        <v>62</v>
      </c>
    </row>
    <row r="368">
      <c r="A368" s="11">
        <v>367.0</v>
      </c>
      <c r="B368" s="11">
        <v>0.009</v>
      </c>
      <c r="C368" s="11">
        <v>0.016</v>
      </c>
      <c r="D368" s="11">
        <v>75.0</v>
      </c>
      <c r="E368" s="11">
        <v>69.0</v>
      </c>
      <c r="F368" s="11">
        <v>0.148</v>
      </c>
      <c r="G368" s="11">
        <v>0.683</v>
      </c>
      <c r="H368" s="11">
        <v>0.17</v>
      </c>
      <c r="I368" s="11">
        <v>7868468.0</v>
      </c>
      <c r="J368" s="11">
        <v>0.695</v>
      </c>
      <c r="K368" s="12" t="s">
        <v>107</v>
      </c>
      <c r="L368" s="5" t="s">
        <v>75</v>
      </c>
      <c r="M368" s="9" t="s">
        <v>63</v>
      </c>
    </row>
    <row r="369">
      <c r="A369" s="11">
        <v>368.0</v>
      </c>
      <c r="B369" s="11">
        <v>0.009</v>
      </c>
      <c r="C369" s="11">
        <v>0.016</v>
      </c>
      <c r="D369" s="11">
        <v>76.0</v>
      </c>
      <c r="E369" s="11">
        <v>69.0</v>
      </c>
      <c r="F369" s="11">
        <v>0.143</v>
      </c>
      <c r="G369" s="11">
        <v>0.685</v>
      </c>
      <c r="H369" s="11">
        <v>0.171</v>
      </c>
      <c r="I369" s="11">
        <v>7823557.0</v>
      </c>
      <c r="J369" s="11">
        <v>0.699</v>
      </c>
      <c r="K369" s="12" t="s">
        <v>107</v>
      </c>
      <c r="L369" s="5" t="s">
        <v>75</v>
      </c>
      <c r="M369" s="9" t="s">
        <v>64</v>
      </c>
    </row>
    <row r="370">
      <c r="A370" s="11">
        <v>369.0</v>
      </c>
      <c r="B370" s="11">
        <v>0.009</v>
      </c>
      <c r="C370" s="11">
        <v>0.015</v>
      </c>
      <c r="D370" s="11">
        <v>76.0</v>
      </c>
      <c r="E370" s="11">
        <v>69.0</v>
      </c>
      <c r="F370" s="11">
        <v>0.14</v>
      </c>
      <c r="G370" s="11">
        <v>0.688</v>
      </c>
      <c r="H370" s="11">
        <v>0.173</v>
      </c>
      <c r="I370" s="11">
        <v>7781161.0</v>
      </c>
      <c r="J370" s="11">
        <v>0.702</v>
      </c>
      <c r="K370" s="12" t="s">
        <v>107</v>
      </c>
      <c r="L370" s="5" t="s">
        <v>75</v>
      </c>
      <c r="M370" s="9" t="s">
        <v>65</v>
      </c>
    </row>
    <row r="371">
      <c r="A371" s="11">
        <v>370.0</v>
      </c>
      <c r="B371" s="11">
        <v>0.009</v>
      </c>
      <c r="C371" s="11">
        <v>0.014</v>
      </c>
      <c r="D371" s="11">
        <v>76.0</v>
      </c>
      <c r="E371" s="11">
        <v>69.0</v>
      </c>
      <c r="F371" s="11">
        <v>0.137</v>
      </c>
      <c r="G371" s="11">
        <v>0.689</v>
      </c>
      <c r="H371" s="11">
        <v>0.174</v>
      </c>
      <c r="I371" s="11">
        <v>7739900.0</v>
      </c>
      <c r="J371" s="11">
        <v>0.706</v>
      </c>
      <c r="K371" s="12" t="s">
        <v>107</v>
      </c>
      <c r="L371" s="5" t="s">
        <v>75</v>
      </c>
      <c r="M371" s="9" t="s">
        <v>66</v>
      </c>
    </row>
    <row r="372">
      <c r="A372" s="11">
        <v>371.0</v>
      </c>
      <c r="B372" s="11">
        <v>0.01</v>
      </c>
      <c r="C372" s="11">
        <v>0.013</v>
      </c>
      <c r="D372" s="11">
        <v>76.0</v>
      </c>
      <c r="E372" s="11">
        <v>69.0</v>
      </c>
      <c r="F372" s="11">
        <v>0.135</v>
      </c>
      <c r="G372" s="11">
        <v>0.69</v>
      </c>
      <c r="H372" s="11">
        <v>0.176</v>
      </c>
      <c r="I372" s="11">
        <v>7699020.0</v>
      </c>
      <c r="J372" s="11">
        <v>0.709</v>
      </c>
      <c r="K372" s="12" t="s">
        <v>107</v>
      </c>
      <c r="L372" s="5" t="s">
        <v>75</v>
      </c>
      <c r="M372" s="9" t="s">
        <v>67</v>
      </c>
    </row>
    <row r="373">
      <c r="A373" s="11">
        <v>372.0</v>
      </c>
      <c r="B373" s="11">
        <v>0.01</v>
      </c>
      <c r="C373" s="11">
        <v>0.012</v>
      </c>
      <c r="D373" s="11">
        <v>76.0</v>
      </c>
      <c r="E373" s="11">
        <v>69.0</v>
      </c>
      <c r="F373" s="11">
        <v>0.133</v>
      </c>
      <c r="G373" s="11">
        <v>0.689</v>
      </c>
      <c r="H373" s="11">
        <v>0.177</v>
      </c>
      <c r="I373" s="11">
        <v>7545338.0</v>
      </c>
      <c r="J373" s="11">
        <v>0.713</v>
      </c>
      <c r="K373" s="12" t="s">
        <v>107</v>
      </c>
      <c r="L373" s="5" t="s">
        <v>75</v>
      </c>
      <c r="M373" s="9" t="s">
        <v>68</v>
      </c>
    </row>
    <row r="374">
      <c r="A374" s="11">
        <v>373.0</v>
      </c>
      <c r="B374" s="11">
        <v>0.01</v>
      </c>
      <c r="C374" s="11">
        <v>0.012</v>
      </c>
      <c r="D374" s="11">
        <v>77.0</v>
      </c>
      <c r="E374" s="11">
        <v>70.0</v>
      </c>
      <c r="F374" s="11">
        <v>0.133</v>
      </c>
      <c r="G374" s="11">
        <v>0.688</v>
      </c>
      <c r="H374" s="11">
        <v>0.179</v>
      </c>
      <c r="I374" s="11">
        <v>7492561.0</v>
      </c>
      <c r="J374" s="11">
        <v>0.716</v>
      </c>
      <c r="K374" s="12" t="s">
        <v>107</v>
      </c>
      <c r="L374" s="5" t="s">
        <v>75</v>
      </c>
      <c r="M374" s="9" t="s">
        <v>69</v>
      </c>
    </row>
    <row r="375">
      <c r="A375" s="11">
        <v>374.0</v>
      </c>
      <c r="B375" s="11">
        <v>0.011</v>
      </c>
      <c r="C375" s="11">
        <v>0.012</v>
      </c>
      <c r="D375" s="11">
        <v>77.0</v>
      </c>
      <c r="E375" s="11">
        <v>70.0</v>
      </c>
      <c r="F375" s="11">
        <v>0.133</v>
      </c>
      <c r="G375" s="11">
        <v>0.686</v>
      </c>
      <c r="H375" s="11">
        <v>0.181</v>
      </c>
      <c r="I375" s="11">
        <v>7444443.0</v>
      </c>
      <c r="J375" s="11">
        <v>0.72</v>
      </c>
      <c r="K375" s="12" t="s">
        <v>107</v>
      </c>
      <c r="L375" s="5" t="s">
        <v>75</v>
      </c>
      <c r="M375" s="9" t="s">
        <v>70</v>
      </c>
    </row>
    <row r="376">
      <c r="A376" s="11">
        <v>375.0</v>
      </c>
      <c r="B376" s="11">
        <v>0.01</v>
      </c>
      <c r="C376" s="11">
        <v>0.011</v>
      </c>
      <c r="D376" s="11">
        <v>77.0</v>
      </c>
      <c r="E376" s="11">
        <v>70.0</v>
      </c>
      <c r="F376" s="11">
        <v>0.133</v>
      </c>
      <c r="G376" s="11">
        <v>0.683</v>
      </c>
      <c r="H376" s="11">
        <v>0.183</v>
      </c>
      <c r="I376" s="11">
        <v>7395599.0</v>
      </c>
      <c r="J376" s="11">
        <v>0.723</v>
      </c>
      <c r="K376" s="12" t="s">
        <v>107</v>
      </c>
      <c r="L376" s="5" t="s">
        <v>75</v>
      </c>
      <c r="M376" s="9" t="s">
        <v>71</v>
      </c>
    </row>
    <row r="377">
      <c r="A377" s="11">
        <v>376.0</v>
      </c>
      <c r="B377" s="11">
        <v>0.01</v>
      </c>
      <c r="C377" s="11">
        <v>0.011</v>
      </c>
      <c r="D377" s="11">
        <v>78.0</v>
      </c>
      <c r="E377" s="11">
        <v>71.0</v>
      </c>
      <c r="F377" s="11">
        <v>0.134</v>
      </c>
      <c r="G377" s="11">
        <v>0.68</v>
      </c>
      <c r="H377" s="11">
        <v>0.186</v>
      </c>
      <c r="I377" s="11">
        <v>7348328.0</v>
      </c>
      <c r="J377" s="11">
        <v>0.726</v>
      </c>
      <c r="K377" s="12" t="s">
        <v>107</v>
      </c>
      <c r="L377" s="5" t="s">
        <v>75</v>
      </c>
      <c r="M377" s="9" t="s">
        <v>72</v>
      </c>
    </row>
    <row r="378">
      <c r="A378" s="11">
        <v>377.0</v>
      </c>
      <c r="B378" s="11">
        <v>0.01</v>
      </c>
      <c r="C378" s="11">
        <v>0.011</v>
      </c>
      <c r="D378" s="11">
        <v>78.0</v>
      </c>
      <c r="E378" s="11">
        <v>71.0</v>
      </c>
      <c r="F378" s="11">
        <v>0.135</v>
      </c>
      <c r="G378" s="11">
        <v>0.675</v>
      </c>
      <c r="H378" s="11">
        <v>0.189</v>
      </c>
      <c r="I378" s="11">
        <v>7305888.0</v>
      </c>
      <c r="J378" s="11">
        <v>0.73</v>
      </c>
      <c r="K378" s="12" t="s">
        <v>107</v>
      </c>
      <c r="L378" s="5" t="s">
        <v>75</v>
      </c>
      <c r="M378" s="9" t="s">
        <v>73</v>
      </c>
    </row>
    <row r="379">
      <c r="A379" s="11">
        <v>378.0</v>
      </c>
      <c r="B379" s="11">
        <v>0.046</v>
      </c>
      <c r="C379" s="11">
        <v>0.096</v>
      </c>
      <c r="D379" s="11">
        <v>52.0</v>
      </c>
      <c r="E379" s="11">
        <v>49.0</v>
      </c>
      <c r="F379" s="11">
        <v>0.468</v>
      </c>
      <c r="G379" s="11">
        <v>0.505</v>
      </c>
      <c r="H379" s="11">
        <v>0.028</v>
      </c>
      <c r="I379" s="11">
        <v>1.1607944E7</v>
      </c>
      <c r="J379" s="11">
        <v>0.178</v>
      </c>
      <c r="K379" s="12" t="s">
        <v>108</v>
      </c>
      <c r="L379" s="5" t="s">
        <v>77</v>
      </c>
      <c r="M379" s="9" t="s">
        <v>60</v>
      </c>
    </row>
    <row r="380">
      <c r="A380" s="11">
        <v>379.0</v>
      </c>
      <c r="B380" s="11">
        <v>0.046</v>
      </c>
      <c r="C380" s="11">
        <v>0.095</v>
      </c>
      <c r="D380" s="11">
        <v>52.0</v>
      </c>
      <c r="E380" s="11">
        <v>50.0</v>
      </c>
      <c r="F380" s="11">
        <v>0.467</v>
      </c>
      <c r="G380" s="11">
        <v>0.506</v>
      </c>
      <c r="H380" s="11">
        <v>0.027</v>
      </c>
      <c r="I380" s="11">
        <v>1.194608E7</v>
      </c>
      <c r="J380" s="11">
        <v>0.185</v>
      </c>
      <c r="K380" s="12" t="s">
        <v>108</v>
      </c>
      <c r="L380" s="5" t="s">
        <v>77</v>
      </c>
      <c r="M380" s="9" t="s">
        <v>62</v>
      </c>
    </row>
    <row r="381">
      <c r="A381" s="11">
        <v>380.0</v>
      </c>
      <c r="B381" s="11">
        <v>0.046</v>
      </c>
      <c r="C381" s="11">
        <v>0.094</v>
      </c>
      <c r="D381" s="11">
        <v>52.0</v>
      </c>
      <c r="E381" s="11">
        <v>50.0</v>
      </c>
      <c r="F381" s="11">
        <v>0.467</v>
      </c>
      <c r="G381" s="11">
        <v>0.507</v>
      </c>
      <c r="H381" s="11">
        <v>0.027</v>
      </c>
      <c r="I381" s="11">
        <v>1.2296399E7</v>
      </c>
      <c r="J381" s="11">
        <v>0.193</v>
      </c>
      <c r="K381" s="12" t="s">
        <v>108</v>
      </c>
      <c r="L381" s="5" t="s">
        <v>77</v>
      </c>
      <c r="M381" s="9" t="s">
        <v>63</v>
      </c>
    </row>
    <row r="382">
      <c r="A382" s="11">
        <v>381.0</v>
      </c>
      <c r="B382" s="11">
        <v>0.045</v>
      </c>
      <c r="C382" s="11">
        <v>0.091</v>
      </c>
      <c r="D382" s="11">
        <v>53.0</v>
      </c>
      <c r="E382" s="11">
        <v>51.0</v>
      </c>
      <c r="F382" s="11">
        <v>0.466</v>
      </c>
      <c r="G382" s="11">
        <v>0.508</v>
      </c>
      <c r="H382" s="11">
        <v>0.026</v>
      </c>
      <c r="I382" s="11">
        <v>1.2659086E7</v>
      </c>
      <c r="J382" s="11">
        <v>0.2</v>
      </c>
      <c r="K382" s="12" t="s">
        <v>108</v>
      </c>
      <c r="L382" s="5" t="s">
        <v>77</v>
      </c>
      <c r="M382" s="9" t="s">
        <v>64</v>
      </c>
    </row>
    <row r="383">
      <c r="A383" s="11">
        <v>382.0</v>
      </c>
      <c r="B383" s="11">
        <v>0.045</v>
      </c>
      <c r="C383" s="11">
        <v>0.089</v>
      </c>
      <c r="D383" s="11">
        <v>53.0</v>
      </c>
      <c r="E383" s="11">
        <v>51.0</v>
      </c>
      <c r="F383" s="11">
        <v>0.466</v>
      </c>
      <c r="G383" s="11">
        <v>0.508</v>
      </c>
      <c r="H383" s="11">
        <v>0.026</v>
      </c>
      <c r="I383" s="11">
        <v>1.3034258E7</v>
      </c>
      <c r="J383" s="11">
        <v>0.208</v>
      </c>
      <c r="K383" s="12" t="s">
        <v>108</v>
      </c>
      <c r="L383" s="5" t="s">
        <v>77</v>
      </c>
      <c r="M383" s="9" t="s">
        <v>65</v>
      </c>
    </row>
    <row r="384">
      <c r="A384" s="11">
        <v>383.0</v>
      </c>
      <c r="B384" s="11">
        <v>0.045</v>
      </c>
      <c r="C384" s="11">
        <v>0.086</v>
      </c>
      <c r="D384" s="11">
        <v>53.0</v>
      </c>
      <c r="E384" s="11">
        <v>52.0</v>
      </c>
      <c r="F384" s="11">
        <v>0.465</v>
      </c>
      <c r="G384" s="11">
        <v>0.509</v>
      </c>
      <c r="H384" s="11">
        <v>0.026</v>
      </c>
      <c r="I384" s="11">
        <v>1.3421929E7</v>
      </c>
      <c r="J384" s="11">
        <v>0.215</v>
      </c>
      <c r="K384" s="12" t="s">
        <v>108</v>
      </c>
      <c r="L384" s="5" t="s">
        <v>77</v>
      </c>
      <c r="M384" s="9" t="s">
        <v>66</v>
      </c>
    </row>
    <row r="385">
      <c r="A385" s="11">
        <v>384.0</v>
      </c>
      <c r="B385" s="11">
        <v>0.044</v>
      </c>
      <c r="C385" s="11">
        <v>0.083</v>
      </c>
      <c r="D385" s="11">
        <v>54.0</v>
      </c>
      <c r="E385" s="11">
        <v>52.0</v>
      </c>
      <c r="F385" s="11">
        <v>0.464</v>
      </c>
      <c r="G385" s="11">
        <v>0.51</v>
      </c>
      <c r="H385" s="11">
        <v>0.025</v>
      </c>
      <c r="I385" s="11">
        <v>1.3822257E7</v>
      </c>
      <c r="J385" s="11">
        <v>0.223</v>
      </c>
      <c r="K385" s="12" t="s">
        <v>108</v>
      </c>
      <c r="L385" s="5" t="s">
        <v>77</v>
      </c>
      <c r="M385" s="9" t="s">
        <v>67</v>
      </c>
    </row>
    <row r="386">
      <c r="A386" s="11">
        <v>385.0</v>
      </c>
      <c r="B386" s="11">
        <v>0.044</v>
      </c>
      <c r="C386" s="11">
        <v>0.079</v>
      </c>
      <c r="D386" s="11">
        <v>54.0</v>
      </c>
      <c r="E386" s="11">
        <v>53.0</v>
      </c>
      <c r="F386" s="11">
        <v>0.463</v>
      </c>
      <c r="G386" s="11">
        <v>0.511</v>
      </c>
      <c r="H386" s="11">
        <v>0.025</v>
      </c>
      <c r="I386" s="11">
        <v>1.4235075E7</v>
      </c>
      <c r="J386" s="11">
        <v>0.232</v>
      </c>
      <c r="K386" s="12" t="s">
        <v>108</v>
      </c>
      <c r="L386" s="5" t="s">
        <v>77</v>
      </c>
      <c r="M386" s="9" t="s">
        <v>68</v>
      </c>
    </row>
    <row r="387">
      <c r="A387" s="11">
        <v>386.0</v>
      </c>
      <c r="B387" s="11">
        <v>0.044</v>
      </c>
      <c r="C387" s="11">
        <v>0.076</v>
      </c>
      <c r="D387" s="11">
        <v>55.0</v>
      </c>
      <c r="E387" s="11">
        <v>54.0</v>
      </c>
      <c r="F387" s="11">
        <v>0.462</v>
      </c>
      <c r="G387" s="11">
        <v>0.512</v>
      </c>
      <c r="H387" s="11">
        <v>0.025</v>
      </c>
      <c r="I387" s="11">
        <v>1.4659646E7</v>
      </c>
      <c r="J387" s="11">
        <v>0.24</v>
      </c>
      <c r="K387" s="12" t="s">
        <v>108</v>
      </c>
      <c r="L387" s="5" t="s">
        <v>77</v>
      </c>
      <c r="M387" s="9" t="s">
        <v>69</v>
      </c>
    </row>
    <row r="388">
      <c r="A388" s="11">
        <v>387.0</v>
      </c>
      <c r="B388" s="11">
        <v>0.043</v>
      </c>
      <c r="C388" s="11">
        <v>0.073</v>
      </c>
      <c r="D388" s="11">
        <v>55.0</v>
      </c>
      <c r="E388" s="11">
        <v>54.0</v>
      </c>
      <c r="F388" s="11">
        <v>0.461</v>
      </c>
      <c r="G388" s="11">
        <v>0.514</v>
      </c>
      <c r="H388" s="11">
        <v>0.025</v>
      </c>
      <c r="I388" s="11">
        <v>1.5094967E7</v>
      </c>
      <c r="J388" s="11">
        <v>0.248</v>
      </c>
      <c r="K388" s="12" t="s">
        <v>108</v>
      </c>
      <c r="L388" s="5" t="s">
        <v>77</v>
      </c>
      <c r="M388" s="9" t="s">
        <v>70</v>
      </c>
    </row>
    <row r="389">
      <c r="A389" s="11">
        <v>388.0</v>
      </c>
      <c r="B389" s="11">
        <v>0.043</v>
      </c>
      <c r="C389" s="11">
        <v>0.07</v>
      </c>
      <c r="D389" s="11">
        <v>56.0</v>
      </c>
      <c r="E389" s="11">
        <v>54.0</v>
      </c>
      <c r="F389" s="11">
        <v>0.46</v>
      </c>
      <c r="G389" s="11">
        <v>0.515</v>
      </c>
      <c r="H389" s="11">
        <v>0.025</v>
      </c>
      <c r="I389" s="11">
        <v>1.5540284E7</v>
      </c>
      <c r="J389" s="11">
        <v>0.257</v>
      </c>
      <c r="K389" s="12" t="s">
        <v>108</v>
      </c>
      <c r="L389" s="5" t="s">
        <v>77</v>
      </c>
      <c r="M389" s="9" t="s">
        <v>71</v>
      </c>
    </row>
    <row r="390">
      <c r="A390" s="11">
        <v>389.0</v>
      </c>
      <c r="B390" s="11">
        <v>0.042</v>
      </c>
      <c r="C390" s="11">
        <v>0.068</v>
      </c>
      <c r="D390" s="11">
        <v>56.0</v>
      </c>
      <c r="E390" s="11">
        <v>55.0</v>
      </c>
      <c r="F390" s="11">
        <v>0.458</v>
      </c>
      <c r="G390" s="11">
        <v>0.517</v>
      </c>
      <c r="H390" s="11">
        <v>0.025</v>
      </c>
      <c r="I390" s="11">
        <v>1.5995313E7</v>
      </c>
      <c r="J390" s="11">
        <v>0.265</v>
      </c>
      <c r="K390" s="12" t="s">
        <v>108</v>
      </c>
      <c r="L390" s="5" t="s">
        <v>77</v>
      </c>
      <c r="M390" s="9" t="s">
        <v>72</v>
      </c>
    </row>
    <row r="391">
      <c r="A391" s="11">
        <v>390.0</v>
      </c>
      <c r="B391" s="11">
        <v>0.041</v>
      </c>
      <c r="C391" s="11">
        <v>0.066</v>
      </c>
      <c r="D391" s="11">
        <v>56.0</v>
      </c>
      <c r="E391" s="11">
        <v>55.0</v>
      </c>
      <c r="F391" s="11">
        <v>0.457</v>
      </c>
      <c r="G391" s="11">
        <v>0.519</v>
      </c>
      <c r="H391" s="11">
        <v>0.024</v>
      </c>
      <c r="I391" s="11">
        <v>1.6460141E7</v>
      </c>
      <c r="J391" s="11">
        <v>0.273</v>
      </c>
      <c r="K391" s="12" t="s">
        <v>108</v>
      </c>
      <c r="L391" s="5" t="s">
        <v>77</v>
      </c>
      <c r="M391" s="9" t="s">
        <v>73</v>
      </c>
    </row>
    <row r="392">
      <c r="A392" s="11">
        <v>391.0</v>
      </c>
      <c r="B392" s="11">
        <v>0.042</v>
      </c>
      <c r="C392" s="11">
        <v>0.092</v>
      </c>
      <c r="D392" s="11">
        <v>49.0</v>
      </c>
      <c r="E392" s="11">
        <v>47.0</v>
      </c>
      <c r="F392" s="11">
        <v>0.49</v>
      </c>
      <c r="G392" s="11">
        <v>0.481</v>
      </c>
      <c r="H392" s="11">
        <v>0.029</v>
      </c>
      <c r="I392" s="11">
        <v>6674286.0</v>
      </c>
      <c r="J392" s="11">
        <v>0.082</v>
      </c>
      <c r="K392" s="12" t="s">
        <v>109</v>
      </c>
      <c r="L392" s="5" t="s">
        <v>77</v>
      </c>
      <c r="M392" s="9" t="s">
        <v>60</v>
      </c>
    </row>
    <row r="393">
      <c r="A393" s="11">
        <v>392.0</v>
      </c>
      <c r="B393" s="11">
        <v>0.042</v>
      </c>
      <c r="C393" s="11">
        <v>0.089</v>
      </c>
      <c r="D393" s="11">
        <v>50.0</v>
      </c>
      <c r="E393" s="11">
        <v>47.0</v>
      </c>
      <c r="F393" s="11">
        <v>0.484</v>
      </c>
      <c r="G393" s="11">
        <v>0.487</v>
      </c>
      <c r="H393" s="11">
        <v>0.029</v>
      </c>
      <c r="I393" s="11">
        <v>6839376.0</v>
      </c>
      <c r="J393" s="11">
        <v>0.085</v>
      </c>
      <c r="K393" s="12" t="s">
        <v>109</v>
      </c>
      <c r="L393" s="5" t="s">
        <v>77</v>
      </c>
      <c r="M393" s="9" t="s">
        <v>62</v>
      </c>
    </row>
    <row r="394">
      <c r="A394" s="11">
        <v>393.0</v>
      </c>
      <c r="B394" s="11">
        <v>0.043</v>
      </c>
      <c r="C394" s="11">
        <v>0.086</v>
      </c>
      <c r="D394" s="11">
        <v>50.0</v>
      </c>
      <c r="E394" s="11">
        <v>48.0</v>
      </c>
      <c r="F394" s="11">
        <v>0.476</v>
      </c>
      <c r="G394" s="11">
        <v>0.495</v>
      </c>
      <c r="H394" s="11">
        <v>0.028</v>
      </c>
      <c r="I394" s="11">
        <v>7037727.0</v>
      </c>
      <c r="J394" s="11">
        <v>0.087</v>
      </c>
      <c r="K394" s="12" t="s">
        <v>109</v>
      </c>
      <c r="L394" s="5" t="s">
        <v>77</v>
      </c>
      <c r="M394" s="9" t="s">
        <v>63</v>
      </c>
    </row>
    <row r="395">
      <c r="A395" s="11">
        <v>394.0</v>
      </c>
      <c r="B395" s="11">
        <v>0.043</v>
      </c>
      <c r="C395" s="11">
        <v>0.082</v>
      </c>
      <c r="D395" s="11">
        <v>50.0</v>
      </c>
      <c r="E395" s="11">
        <v>48.0</v>
      </c>
      <c r="F395" s="11">
        <v>0.468</v>
      </c>
      <c r="G395" s="11">
        <v>0.504</v>
      </c>
      <c r="H395" s="11">
        <v>0.028</v>
      </c>
      <c r="I395" s="11">
        <v>7264340.0</v>
      </c>
      <c r="J395" s="11">
        <v>0.089</v>
      </c>
      <c r="K395" s="12" t="s">
        <v>109</v>
      </c>
      <c r="L395" s="5" t="s">
        <v>77</v>
      </c>
      <c r="M395" s="9" t="s">
        <v>64</v>
      </c>
    </row>
    <row r="396">
      <c r="A396" s="11">
        <v>395.0</v>
      </c>
      <c r="B396" s="11">
        <v>0.043</v>
      </c>
      <c r="C396" s="11">
        <v>0.079</v>
      </c>
      <c r="D396" s="11">
        <v>51.0</v>
      </c>
      <c r="E396" s="11">
        <v>48.0</v>
      </c>
      <c r="F396" s="11">
        <v>0.461</v>
      </c>
      <c r="G396" s="11">
        <v>0.512</v>
      </c>
      <c r="H396" s="11">
        <v>0.028</v>
      </c>
      <c r="I396" s="11">
        <v>7510771.0</v>
      </c>
      <c r="J396" s="11">
        <v>0.091</v>
      </c>
      <c r="K396" s="12" t="s">
        <v>109</v>
      </c>
      <c r="L396" s="5" t="s">
        <v>77</v>
      </c>
      <c r="M396" s="9" t="s">
        <v>65</v>
      </c>
    </row>
    <row r="397">
      <c r="A397" s="11">
        <v>396.0</v>
      </c>
      <c r="B397" s="11">
        <v>0.044</v>
      </c>
      <c r="C397" s="11">
        <v>0.075</v>
      </c>
      <c r="D397" s="11">
        <v>51.0</v>
      </c>
      <c r="E397" s="11">
        <v>49.0</v>
      </c>
      <c r="F397" s="11">
        <v>0.454</v>
      </c>
      <c r="G397" s="11">
        <v>0.519</v>
      </c>
      <c r="H397" s="11">
        <v>0.027</v>
      </c>
      <c r="I397" s="11">
        <v>7770392.0</v>
      </c>
      <c r="J397" s="11">
        <v>0.094</v>
      </c>
      <c r="K397" s="12" t="s">
        <v>109</v>
      </c>
      <c r="L397" s="5" t="s">
        <v>77</v>
      </c>
      <c r="M397" s="9" t="s">
        <v>66</v>
      </c>
    </row>
    <row r="398">
      <c r="A398" s="11">
        <v>397.0</v>
      </c>
      <c r="B398" s="11">
        <v>0.044</v>
      </c>
      <c r="C398" s="11">
        <v>0.072</v>
      </c>
      <c r="D398" s="11">
        <v>52.0</v>
      </c>
      <c r="E398" s="11">
        <v>49.0</v>
      </c>
      <c r="F398" s="11">
        <v>0.449</v>
      </c>
      <c r="G398" s="11">
        <v>0.524</v>
      </c>
      <c r="H398" s="11">
        <v>0.027</v>
      </c>
      <c r="I398" s="11">
        <v>8042579.0</v>
      </c>
      <c r="J398" s="11">
        <v>0.096</v>
      </c>
      <c r="K398" s="12" t="s">
        <v>109</v>
      </c>
      <c r="L398" s="5" t="s">
        <v>77</v>
      </c>
      <c r="M398" s="9" t="s">
        <v>67</v>
      </c>
    </row>
    <row r="399">
      <c r="A399" s="11">
        <v>398.0</v>
      </c>
      <c r="B399" s="11">
        <v>0.044</v>
      </c>
      <c r="C399" s="11">
        <v>0.069</v>
      </c>
      <c r="D399" s="11">
        <v>53.0</v>
      </c>
      <c r="E399" s="11">
        <v>50.0</v>
      </c>
      <c r="F399" s="11">
        <v>0.445</v>
      </c>
      <c r="G399" s="11">
        <v>0.529</v>
      </c>
      <c r="H399" s="11">
        <v>0.026</v>
      </c>
      <c r="I399" s="11">
        <v>8328312.0</v>
      </c>
      <c r="J399" s="11">
        <v>0.099</v>
      </c>
      <c r="K399" s="12" t="s">
        <v>109</v>
      </c>
      <c r="L399" s="5" t="s">
        <v>77</v>
      </c>
      <c r="M399" s="9" t="s">
        <v>68</v>
      </c>
    </row>
    <row r="400">
      <c r="A400" s="11">
        <v>399.0</v>
      </c>
      <c r="B400" s="11">
        <v>0.045</v>
      </c>
      <c r="C400" s="11">
        <v>0.066</v>
      </c>
      <c r="D400" s="11">
        <v>53.0</v>
      </c>
      <c r="E400" s="11">
        <v>50.0</v>
      </c>
      <c r="F400" s="11">
        <v>0.442</v>
      </c>
      <c r="G400" s="11">
        <v>0.532</v>
      </c>
      <c r="H400" s="11">
        <v>0.026</v>
      </c>
      <c r="I400" s="11">
        <v>8624280.0</v>
      </c>
      <c r="J400" s="11">
        <v>0.101</v>
      </c>
      <c r="K400" s="12" t="s">
        <v>109</v>
      </c>
      <c r="L400" s="5" t="s">
        <v>77</v>
      </c>
      <c r="M400" s="9" t="s">
        <v>69</v>
      </c>
    </row>
    <row r="401">
      <c r="A401" s="11">
        <v>400.0</v>
      </c>
      <c r="B401" s="11">
        <v>0.045</v>
      </c>
      <c r="C401" s="11">
        <v>0.063</v>
      </c>
      <c r="D401" s="11">
        <v>54.0</v>
      </c>
      <c r="E401" s="11">
        <v>51.0</v>
      </c>
      <c r="F401" s="11">
        <v>0.44</v>
      </c>
      <c r="G401" s="11">
        <v>0.535</v>
      </c>
      <c r="H401" s="11">
        <v>0.026</v>
      </c>
      <c r="I401" s="11">
        <v>8926687.0</v>
      </c>
      <c r="J401" s="11">
        <v>0.104</v>
      </c>
      <c r="K401" s="12" t="s">
        <v>109</v>
      </c>
      <c r="L401" s="5" t="s">
        <v>77</v>
      </c>
      <c r="M401" s="9" t="s">
        <v>70</v>
      </c>
    </row>
    <row r="402">
      <c r="A402" s="11">
        <v>401.0</v>
      </c>
      <c r="B402" s="11">
        <v>0.045</v>
      </c>
      <c r="C402" s="11">
        <v>0.061</v>
      </c>
      <c r="D402" s="11">
        <v>54.0</v>
      </c>
      <c r="E402" s="11">
        <v>51.0</v>
      </c>
      <c r="F402" s="11">
        <v>0.439</v>
      </c>
      <c r="G402" s="11">
        <v>0.535</v>
      </c>
      <c r="H402" s="11">
        <v>0.025</v>
      </c>
      <c r="I402" s="11">
        <v>9232753.0</v>
      </c>
      <c r="J402" s="11">
        <v>0.106</v>
      </c>
      <c r="K402" s="12" t="s">
        <v>109</v>
      </c>
      <c r="L402" s="5" t="s">
        <v>77</v>
      </c>
      <c r="M402" s="9" t="s">
        <v>71</v>
      </c>
    </row>
    <row r="403">
      <c r="A403" s="11">
        <v>402.0</v>
      </c>
      <c r="B403" s="11">
        <v>0.045</v>
      </c>
      <c r="C403" s="11">
        <v>0.059</v>
      </c>
      <c r="D403" s="11">
        <v>55.0</v>
      </c>
      <c r="E403" s="11">
        <v>51.0</v>
      </c>
      <c r="F403" s="11">
        <v>0.44</v>
      </c>
      <c r="G403" s="11">
        <v>0.535</v>
      </c>
      <c r="H403" s="11">
        <v>0.025</v>
      </c>
      <c r="I403" s="11">
        <v>9540362.0</v>
      </c>
      <c r="J403" s="11">
        <v>0.109</v>
      </c>
      <c r="K403" s="12" t="s">
        <v>109</v>
      </c>
      <c r="L403" s="5" t="s">
        <v>77</v>
      </c>
      <c r="M403" s="9" t="s">
        <v>72</v>
      </c>
    </row>
    <row r="404">
      <c r="A404" s="11">
        <v>403.0</v>
      </c>
      <c r="B404" s="11">
        <v>0.045</v>
      </c>
      <c r="C404" s="11">
        <v>0.057</v>
      </c>
      <c r="D404" s="11">
        <v>56.0</v>
      </c>
      <c r="E404" s="11">
        <v>52.0</v>
      </c>
      <c r="F404" s="11">
        <v>0.442</v>
      </c>
      <c r="G404" s="11">
        <v>0.534</v>
      </c>
      <c r="H404" s="11">
        <v>0.024</v>
      </c>
      <c r="I404" s="11">
        <v>9849569.0</v>
      </c>
      <c r="J404" s="11">
        <v>0.112</v>
      </c>
      <c r="K404" s="12" t="s">
        <v>109</v>
      </c>
      <c r="L404" s="5" t="s">
        <v>77</v>
      </c>
      <c r="M404" s="9" t="s">
        <v>73</v>
      </c>
    </row>
    <row r="405">
      <c r="A405" s="11">
        <v>404.0</v>
      </c>
      <c r="B405" s="11">
        <v>0.028</v>
      </c>
      <c r="C405" s="11">
        <v>0.082</v>
      </c>
      <c r="D405" s="11">
        <v>65.0</v>
      </c>
      <c r="E405" s="11">
        <v>59.0</v>
      </c>
      <c r="F405" s="11">
        <v>0.408</v>
      </c>
      <c r="G405" s="11">
        <v>0.554</v>
      </c>
      <c r="H405" s="11">
        <v>0.038</v>
      </c>
      <c r="I405" s="11">
        <v>1.2222871E7</v>
      </c>
      <c r="J405" s="11">
        <v>0.186</v>
      </c>
      <c r="K405" s="12" t="s">
        <v>110</v>
      </c>
      <c r="L405" s="5" t="s">
        <v>61</v>
      </c>
      <c r="M405" s="9" t="s">
        <v>60</v>
      </c>
    </row>
    <row r="406">
      <c r="A406" s="11">
        <v>405.0</v>
      </c>
      <c r="B406" s="11">
        <v>0.027</v>
      </c>
      <c r="C406" s="11">
        <v>0.076</v>
      </c>
      <c r="D406" s="11">
        <v>66.0</v>
      </c>
      <c r="E406" s="11">
        <v>60.0</v>
      </c>
      <c r="F406" s="11">
        <v>0.397</v>
      </c>
      <c r="G406" s="11">
        <v>0.564</v>
      </c>
      <c r="H406" s="11">
        <v>0.039</v>
      </c>
      <c r="I406" s="11">
        <v>1.2472586E7</v>
      </c>
      <c r="J406" s="11">
        <v>0.187</v>
      </c>
      <c r="K406" s="12" t="s">
        <v>110</v>
      </c>
      <c r="L406" s="5" t="s">
        <v>61</v>
      </c>
      <c r="M406" s="9" t="s">
        <v>62</v>
      </c>
    </row>
    <row r="407">
      <c r="A407" s="11">
        <v>406.0</v>
      </c>
      <c r="B407" s="11">
        <v>0.027</v>
      </c>
      <c r="C407" s="11">
        <v>0.069</v>
      </c>
      <c r="D407" s="11">
        <v>67.0</v>
      </c>
      <c r="E407" s="11">
        <v>61.0</v>
      </c>
      <c r="F407" s="11">
        <v>0.388</v>
      </c>
      <c r="G407" s="11">
        <v>0.572</v>
      </c>
      <c r="H407" s="11">
        <v>0.04</v>
      </c>
      <c r="I407" s="11">
        <v>1.2709336E7</v>
      </c>
      <c r="J407" s="11">
        <v>0.188</v>
      </c>
      <c r="K407" s="12" t="s">
        <v>110</v>
      </c>
      <c r="L407" s="5" t="s">
        <v>61</v>
      </c>
      <c r="M407" s="9" t="s">
        <v>63</v>
      </c>
    </row>
    <row r="408">
      <c r="A408" s="11">
        <v>407.0</v>
      </c>
      <c r="B408" s="11">
        <v>0.026</v>
      </c>
      <c r="C408" s="11">
        <v>0.063</v>
      </c>
      <c r="D408" s="11">
        <v>68.0</v>
      </c>
      <c r="E408" s="11">
        <v>62.0</v>
      </c>
      <c r="F408" s="11">
        <v>0.379</v>
      </c>
      <c r="G408" s="11">
        <v>0.58</v>
      </c>
      <c r="H408" s="11">
        <v>0.041</v>
      </c>
      <c r="I408" s="11">
        <v>1.2934369E7</v>
      </c>
      <c r="J408" s="11">
        <v>0.189</v>
      </c>
      <c r="K408" s="12" t="s">
        <v>110</v>
      </c>
      <c r="L408" s="5" t="s">
        <v>61</v>
      </c>
      <c r="M408" s="9" t="s">
        <v>64</v>
      </c>
    </row>
    <row r="409">
      <c r="A409" s="11">
        <v>408.0</v>
      </c>
      <c r="B409" s="11">
        <v>0.026</v>
      </c>
      <c r="C409" s="11">
        <v>0.057</v>
      </c>
      <c r="D409" s="11">
        <v>69.0</v>
      </c>
      <c r="E409" s="11">
        <v>63.0</v>
      </c>
      <c r="F409" s="11">
        <v>0.37</v>
      </c>
      <c r="G409" s="11">
        <v>0.588</v>
      </c>
      <c r="H409" s="11">
        <v>0.043</v>
      </c>
      <c r="I409" s="11">
        <v>1.3149386E7</v>
      </c>
      <c r="J409" s="11">
        <v>0.191</v>
      </c>
      <c r="K409" s="12" t="s">
        <v>110</v>
      </c>
      <c r="L409" s="5" t="s">
        <v>61</v>
      </c>
      <c r="M409" s="9" t="s">
        <v>65</v>
      </c>
    </row>
    <row r="410">
      <c r="A410" s="11">
        <v>409.0</v>
      </c>
      <c r="B410" s="11">
        <v>0.026</v>
      </c>
      <c r="C410" s="11">
        <v>0.052</v>
      </c>
      <c r="D410" s="11">
        <v>70.0</v>
      </c>
      <c r="E410" s="11">
        <v>65.0</v>
      </c>
      <c r="F410" s="11">
        <v>0.361</v>
      </c>
      <c r="G410" s="11">
        <v>0.595</v>
      </c>
      <c r="H410" s="11">
        <v>0.044</v>
      </c>
      <c r="I410" s="11">
        <v>1.3356424E7</v>
      </c>
      <c r="J410" s="11">
        <v>0.192</v>
      </c>
      <c r="K410" s="12" t="s">
        <v>110</v>
      </c>
      <c r="L410" s="5" t="s">
        <v>61</v>
      </c>
      <c r="M410" s="9" t="s">
        <v>66</v>
      </c>
    </row>
    <row r="411">
      <c r="A411" s="11">
        <v>410.0</v>
      </c>
      <c r="B411" s="11">
        <v>0.026</v>
      </c>
      <c r="C411" s="11">
        <v>0.048</v>
      </c>
      <c r="D411" s="11">
        <v>71.0</v>
      </c>
      <c r="E411" s="11">
        <v>65.0</v>
      </c>
      <c r="F411" s="11">
        <v>0.351</v>
      </c>
      <c r="G411" s="11">
        <v>0.604</v>
      </c>
      <c r="H411" s="11">
        <v>0.045</v>
      </c>
      <c r="I411" s="11">
        <v>1.3555054E7</v>
      </c>
      <c r="J411" s="11">
        <v>0.193</v>
      </c>
      <c r="K411" s="12" t="s">
        <v>110</v>
      </c>
      <c r="L411" s="5" t="s">
        <v>61</v>
      </c>
      <c r="M411" s="9" t="s">
        <v>67</v>
      </c>
    </row>
    <row r="412">
      <c r="A412" s="11">
        <v>411.0</v>
      </c>
      <c r="B412" s="11">
        <v>0.026</v>
      </c>
      <c r="C412" s="11">
        <v>0.045</v>
      </c>
      <c r="D412" s="11">
        <v>72.0</v>
      </c>
      <c r="E412" s="11">
        <v>66.0</v>
      </c>
      <c r="F412" s="11">
        <v>0.341</v>
      </c>
      <c r="G412" s="11">
        <v>0.612</v>
      </c>
      <c r="H412" s="11">
        <v>0.046</v>
      </c>
      <c r="I412" s="11">
        <v>1.3747288E7</v>
      </c>
      <c r="J412" s="11">
        <v>0.194</v>
      </c>
      <c r="K412" s="12" t="s">
        <v>110</v>
      </c>
      <c r="L412" s="5" t="s">
        <v>61</v>
      </c>
      <c r="M412" s="9" t="s">
        <v>68</v>
      </c>
    </row>
    <row r="413">
      <c r="A413" s="11">
        <v>412.0</v>
      </c>
      <c r="B413" s="11">
        <v>0.026</v>
      </c>
      <c r="C413" s="11">
        <v>0.042</v>
      </c>
      <c r="D413" s="11">
        <v>72.0</v>
      </c>
      <c r="E413" s="11">
        <v>67.0</v>
      </c>
      <c r="F413" s="11">
        <v>0.332</v>
      </c>
      <c r="G413" s="11">
        <v>0.62</v>
      </c>
      <c r="H413" s="11">
        <v>0.048</v>
      </c>
      <c r="I413" s="11">
        <v>1.3940518E7</v>
      </c>
      <c r="J413" s="11">
        <v>0.195</v>
      </c>
      <c r="K413" s="12" t="s">
        <v>110</v>
      </c>
      <c r="L413" s="5" t="s">
        <v>61</v>
      </c>
      <c r="M413" s="9" t="s">
        <v>69</v>
      </c>
    </row>
    <row r="414">
      <c r="A414" s="11">
        <v>413.0</v>
      </c>
      <c r="B414" s="11">
        <v>0.026</v>
      </c>
      <c r="C414" s="11">
        <v>0.039</v>
      </c>
      <c r="D414" s="11">
        <v>73.0</v>
      </c>
      <c r="E414" s="11">
        <v>68.0</v>
      </c>
      <c r="F414" s="11">
        <v>0.324</v>
      </c>
      <c r="G414" s="11">
        <v>0.627</v>
      </c>
      <c r="H414" s="11">
        <v>0.049</v>
      </c>
      <c r="I414" s="11">
        <v>1.4144225E7</v>
      </c>
      <c r="J414" s="11">
        <v>0.197</v>
      </c>
      <c r="K414" s="12" t="s">
        <v>110</v>
      </c>
      <c r="L414" s="5" t="s">
        <v>61</v>
      </c>
      <c r="M414" s="9" t="s">
        <v>70</v>
      </c>
    </row>
    <row r="415">
      <c r="A415" s="11">
        <v>414.0</v>
      </c>
      <c r="B415" s="11">
        <v>0.026</v>
      </c>
      <c r="C415" s="11">
        <v>0.037</v>
      </c>
      <c r="D415" s="11">
        <v>73.0</v>
      </c>
      <c r="E415" s="11">
        <v>68.0</v>
      </c>
      <c r="F415" s="11">
        <v>0.318</v>
      </c>
      <c r="G415" s="11">
        <v>0.631</v>
      </c>
      <c r="H415" s="11">
        <v>0.05</v>
      </c>
      <c r="I415" s="11">
        <v>1.4364931E7</v>
      </c>
      <c r="J415" s="11">
        <v>0.198</v>
      </c>
      <c r="K415" s="12" t="s">
        <v>110</v>
      </c>
      <c r="L415" s="5" t="s">
        <v>61</v>
      </c>
      <c r="M415" s="9" t="s">
        <v>71</v>
      </c>
    </row>
    <row r="416">
      <c r="A416" s="11">
        <v>415.0</v>
      </c>
      <c r="B416" s="11">
        <v>0.026</v>
      </c>
      <c r="C416" s="11">
        <v>0.036</v>
      </c>
      <c r="D416" s="11">
        <v>74.0</v>
      </c>
      <c r="E416" s="11">
        <v>68.0</v>
      </c>
      <c r="F416" s="11">
        <v>0.314</v>
      </c>
      <c r="G416" s="11">
        <v>0.634</v>
      </c>
      <c r="H416" s="11">
        <v>0.051</v>
      </c>
      <c r="I416" s="11">
        <v>1.4605862E7</v>
      </c>
      <c r="J416" s="11">
        <v>0.2</v>
      </c>
      <c r="K416" s="12" t="s">
        <v>110</v>
      </c>
      <c r="L416" s="5" t="s">
        <v>61</v>
      </c>
      <c r="M416" s="9" t="s">
        <v>72</v>
      </c>
    </row>
    <row r="417">
      <c r="A417" s="11">
        <v>416.0</v>
      </c>
      <c r="B417" s="11">
        <v>0.026</v>
      </c>
      <c r="C417" s="11">
        <v>0.034</v>
      </c>
      <c r="D417" s="11">
        <v>74.0</v>
      </c>
      <c r="E417" s="11">
        <v>69.0</v>
      </c>
      <c r="F417" s="11">
        <v>0.312</v>
      </c>
      <c r="G417" s="11">
        <v>0.635</v>
      </c>
      <c r="H417" s="11">
        <v>0.053</v>
      </c>
      <c r="I417" s="11">
        <v>1.4864646E7</v>
      </c>
      <c r="J417" s="11">
        <v>0.201</v>
      </c>
      <c r="K417" s="12" t="s">
        <v>110</v>
      </c>
      <c r="L417" s="5" t="s">
        <v>61</v>
      </c>
      <c r="M417" s="9" t="s">
        <v>73</v>
      </c>
    </row>
    <row r="418">
      <c r="A418" s="11">
        <v>417.0</v>
      </c>
      <c r="B418" s="11">
        <v>0.041</v>
      </c>
      <c r="C418" s="11">
        <v>0.093</v>
      </c>
      <c r="D418" s="11">
        <v>53.0</v>
      </c>
      <c r="E418" s="11">
        <v>51.0</v>
      </c>
      <c r="F418" s="11">
        <v>0.453</v>
      </c>
      <c r="G418" s="11">
        <v>0.513</v>
      </c>
      <c r="H418" s="11">
        <v>0.034</v>
      </c>
      <c r="I418" s="11">
        <v>1.5927713E7</v>
      </c>
      <c r="J418" s="11">
        <v>0.455</v>
      </c>
      <c r="K418" s="12" t="s">
        <v>111</v>
      </c>
      <c r="L418" s="5" t="s">
        <v>77</v>
      </c>
      <c r="M418" s="9" t="s">
        <v>60</v>
      </c>
    </row>
    <row r="419">
      <c r="A419" s="11">
        <v>418.0</v>
      </c>
      <c r="B419" s="11">
        <v>0.041</v>
      </c>
      <c r="C419" s="11">
        <v>0.09</v>
      </c>
      <c r="D419" s="11">
        <v>53.0</v>
      </c>
      <c r="E419" s="11">
        <v>51.0</v>
      </c>
      <c r="F419" s="11">
        <v>0.451</v>
      </c>
      <c r="G419" s="11">
        <v>0.515</v>
      </c>
      <c r="H419" s="11">
        <v>0.034</v>
      </c>
      <c r="I419" s="11">
        <v>1.635044E7</v>
      </c>
      <c r="J419" s="11">
        <v>0.461</v>
      </c>
      <c r="K419" s="12" t="s">
        <v>111</v>
      </c>
      <c r="L419" s="5" t="s">
        <v>77</v>
      </c>
      <c r="M419" s="9" t="s">
        <v>62</v>
      </c>
    </row>
    <row r="420">
      <c r="A420" s="11">
        <v>419.0</v>
      </c>
      <c r="B420" s="11">
        <v>0.041</v>
      </c>
      <c r="C420" s="11">
        <v>0.087</v>
      </c>
      <c r="D420" s="11">
        <v>53.0</v>
      </c>
      <c r="E420" s="11">
        <v>51.0</v>
      </c>
      <c r="F420" s="11">
        <v>0.449</v>
      </c>
      <c r="G420" s="11">
        <v>0.518</v>
      </c>
      <c r="H420" s="11">
        <v>0.034</v>
      </c>
      <c r="I420" s="11">
        <v>1.6782044E7</v>
      </c>
      <c r="J420" s="11">
        <v>0.467</v>
      </c>
      <c r="K420" s="12" t="s">
        <v>111</v>
      </c>
      <c r="L420" s="5" t="s">
        <v>77</v>
      </c>
      <c r="M420" s="9" t="s">
        <v>63</v>
      </c>
    </row>
    <row r="421">
      <c r="A421" s="11">
        <v>420.0</v>
      </c>
      <c r="B421" s="11">
        <v>0.041</v>
      </c>
      <c r="C421" s="11">
        <v>0.084</v>
      </c>
      <c r="D421" s="11">
        <v>53.0</v>
      </c>
      <c r="E421" s="11">
        <v>51.0</v>
      </c>
      <c r="F421" s="11">
        <v>0.447</v>
      </c>
      <c r="G421" s="11">
        <v>0.52</v>
      </c>
      <c r="H421" s="11">
        <v>0.033</v>
      </c>
      <c r="I421" s="11">
        <v>1.7223277E7</v>
      </c>
      <c r="J421" s="11">
        <v>0.473</v>
      </c>
      <c r="K421" s="12" t="s">
        <v>111</v>
      </c>
      <c r="L421" s="5" t="s">
        <v>77</v>
      </c>
      <c r="M421" s="9" t="s">
        <v>64</v>
      </c>
    </row>
    <row r="422">
      <c r="A422" s="11">
        <v>421.0</v>
      </c>
      <c r="B422" s="11">
        <v>0.041</v>
      </c>
      <c r="C422" s="11">
        <v>0.081</v>
      </c>
      <c r="D422" s="11">
        <v>53.0</v>
      </c>
      <c r="E422" s="11">
        <v>51.0</v>
      </c>
      <c r="F422" s="11">
        <v>0.445</v>
      </c>
      <c r="G422" s="11">
        <v>0.522</v>
      </c>
      <c r="H422" s="11">
        <v>0.033</v>
      </c>
      <c r="I422" s="11">
        <v>1.767496E7</v>
      </c>
      <c r="J422" s="11">
        <v>0.479</v>
      </c>
      <c r="K422" s="12" t="s">
        <v>111</v>
      </c>
      <c r="L422" s="5" t="s">
        <v>77</v>
      </c>
      <c r="M422" s="9" t="s">
        <v>65</v>
      </c>
    </row>
    <row r="423">
      <c r="A423" s="11">
        <v>422.0</v>
      </c>
      <c r="B423" s="11">
        <v>0.04</v>
      </c>
      <c r="C423" s="11">
        <v>0.078</v>
      </c>
      <c r="D423" s="11">
        <v>53.0</v>
      </c>
      <c r="E423" s="11">
        <v>51.0</v>
      </c>
      <c r="F423" s="11">
        <v>0.443</v>
      </c>
      <c r="G423" s="11">
        <v>0.524</v>
      </c>
      <c r="H423" s="11">
        <v>0.033</v>
      </c>
      <c r="I423" s="11">
        <v>1.8137734E7</v>
      </c>
      <c r="J423" s="11">
        <v>0.485</v>
      </c>
      <c r="K423" s="12" t="s">
        <v>111</v>
      </c>
      <c r="L423" s="5" t="s">
        <v>77</v>
      </c>
      <c r="M423" s="9" t="s">
        <v>66</v>
      </c>
    </row>
    <row r="424">
      <c r="A424" s="11">
        <v>423.0</v>
      </c>
      <c r="B424" s="11">
        <v>0.04</v>
      </c>
      <c r="C424" s="11">
        <v>0.076</v>
      </c>
      <c r="D424" s="11">
        <v>53.0</v>
      </c>
      <c r="E424" s="11">
        <v>51.0</v>
      </c>
      <c r="F424" s="11">
        <v>0.441</v>
      </c>
      <c r="G424" s="11">
        <v>0.526</v>
      </c>
      <c r="H424" s="11">
        <v>0.033</v>
      </c>
      <c r="I424" s="11">
        <v>1.8611937E7</v>
      </c>
      <c r="J424" s="11">
        <v>0.491</v>
      </c>
      <c r="K424" s="12" t="s">
        <v>111</v>
      </c>
      <c r="L424" s="5" t="s">
        <v>77</v>
      </c>
      <c r="M424" s="9" t="s">
        <v>67</v>
      </c>
    </row>
    <row r="425">
      <c r="A425" s="11">
        <v>424.0</v>
      </c>
      <c r="B425" s="11">
        <v>0.04</v>
      </c>
      <c r="C425" s="11">
        <v>0.073</v>
      </c>
      <c r="D425" s="11">
        <v>53.0</v>
      </c>
      <c r="E425" s="11">
        <v>52.0</v>
      </c>
      <c r="F425" s="11">
        <v>0.439</v>
      </c>
      <c r="G425" s="11">
        <v>0.528</v>
      </c>
      <c r="H425" s="11">
        <v>0.033</v>
      </c>
      <c r="I425" s="11">
        <v>1.9097676E7</v>
      </c>
      <c r="J425" s="11">
        <v>0.497</v>
      </c>
      <c r="K425" s="12" t="s">
        <v>111</v>
      </c>
      <c r="L425" s="5" t="s">
        <v>77</v>
      </c>
      <c r="M425" s="9" t="s">
        <v>68</v>
      </c>
    </row>
    <row r="426">
      <c r="A426" s="11">
        <v>425.0</v>
      </c>
      <c r="B426" s="11">
        <v>0.039</v>
      </c>
      <c r="C426" s="11">
        <v>0.071</v>
      </c>
      <c r="D426" s="11">
        <v>54.0</v>
      </c>
      <c r="E426" s="11">
        <v>52.0</v>
      </c>
      <c r="F426" s="11">
        <v>0.438</v>
      </c>
      <c r="G426" s="11">
        <v>0.53</v>
      </c>
      <c r="H426" s="11">
        <v>0.033</v>
      </c>
      <c r="I426" s="11">
        <v>1.9595026E7</v>
      </c>
      <c r="J426" s="11">
        <v>0.503</v>
      </c>
      <c r="K426" s="12" t="s">
        <v>111</v>
      </c>
      <c r="L426" s="5" t="s">
        <v>77</v>
      </c>
      <c r="M426" s="9" t="s">
        <v>69</v>
      </c>
    </row>
    <row r="427">
      <c r="A427" s="11">
        <v>426.0</v>
      </c>
      <c r="B427" s="11">
        <v>0.039</v>
      </c>
      <c r="C427" s="11">
        <v>0.069</v>
      </c>
      <c r="D427" s="11">
        <v>54.0</v>
      </c>
      <c r="E427" s="11">
        <v>52.0</v>
      </c>
      <c r="F427" s="11">
        <v>0.436</v>
      </c>
      <c r="G427" s="11">
        <v>0.532</v>
      </c>
      <c r="H427" s="11">
        <v>0.033</v>
      </c>
      <c r="I427" s="11">
        <v>2.0103945E7</v>
      </c>
      <c r="J427" s="11">
        <v>0.509</v>
      </c>
      <c r="K427" s="12" t="s">
        <v>111</v>
      </c>
      <c r="L427" s="5" t="s">
        <v>77</v>
      </c>
      <c r="M427" s="9" t="s">
        <v>70</v>
      </c>
    </row>
    <row r="428">
      <c r="A428" s="11">
        <v>427.0</v>
      </c>
      <c r="B428" s="11">
        <v>0.039</v>
      </c>
      <c r="C428" s="11">
        <v>0.066</v>
      </c>
      <c r="D428" s="11">
        <v>55.0</v>
      </c>
      <c r="E428" s="11">
        <v>53.0</v>
      </c>
      <c r="F428" s="11">
        <v>0.434</v>
      </c>
      <c r="G428" s="11">
        <v>0.533</v>
      </c>
      <c r="H428" s="11">
        <v>0.032</v>
      </c>
      <c r="I428" s="11">
        <v>2.0624343E7</v>
      </c>
      <c r="J428" s="11">
        <v>0.515</v>
      </c>
      <c r="K428" s="12" t="s">
        <v>111</v>
      </c>
      <c r="L428" s="5" t="s">
        <v>77</v>
      </c>
      <c r="M428" s="9" t="s">
        <v>71</v>
      </c>
    </row>
    <row r="429">
      <c r="A429" s="11">
        <v>428.0</v>
      </c>
      <c r="B429" s="11">
        <v>0.038</v>
      </c>
      <c r="C429" s="11">
        <v>0.064</v>
      </c>
      <c r="D429" s="11">
        <v>55.0</v>
      </c>
      <c r="E429" s="11">
        <v>53.0</v>
      </c>
      <c r="F429" s="11">
        <v>0.432</v>
      </c>
      <c r="G429" s="11">
        <v>0.535</v>
      </c>
      <c r="H429" s="11">
        <v>0.032</v>
      </c>
      <c r="I429" s="11">
        <v>2.1156272E7</v>
      </c>
      <c r="J429" s="11">
        <v>0.521</v>
      </c>
      <c r="K429" s="12" t="s">
        <v>111</v>
      </c>
      <c r="L429" s="5" t="s">
        <v>77</v>
      </c>
      <c r="M429" s="9" t="s">
        <v>72</v>
      </c>
    </row>
    <row r="430">
      <c r="A430" s="11">
        <v>429.0</v>
      </c>
      <c r="B430" s="11">
        <v>0.038</v>
      </c>
      <c r="C430" s="11">
        <v>0.062</v>
      </c>
      <c r="D430" s="11">
        <v>56.0</v>
      </c>
      <c r="E430" s="11">
        <v>54.0</v>
      </c>
      <c r="F430" s="11">
        <v>0.431</v>
      </c>
      <c r="G430" s="11">
        <v>0.537</v>
      </c>
      <c r="H430" s="11">
        <v>0.032</v>
      </c>
      <c r="I430" s="11">
        <v>2.1699631E7</v>
      </c>
      <c r="J430" s="11">
        <v>0.527</v>
      </c>
      <c r="K430" s="12" t="s">
        <v>111</v>
      </c>
      <c r="L430" s="5" t="s">
        <v>77</v>
      </c>
      <c r="M430" s="9" t="s">
        <v>73</v>
      </c>
    </row>
    <row r="431">
      <c r="A431" s="11">
        <v>430.0</v>
      </c>
      <c r="B431" s="11">
        <v>0.011</v>
      </c>
      <c r="C431" s="11">
        <v>0.005</v>
      </c>
      <c r="D431" s="11">
        <v>82.0</v>
      </c>
      <c r="E431" s="11">
        <v>77.0</v>
      </c>
      <c r="F431" s="11">
        <v>0.192</v>
      </c>
      <c r="G431" s="11">
        <v>0.683</v>
      </c>
      <c r="H431" s="11">
        <v>0.125</v>
      </c>
      <c r="I431" s="11">
        <v>3.07697E7</v>
      </c>
      <c r="J431" s="11">
        <v>0.795</v>
      </c>
      <c r="K431" s="12" t="s">
        <v>112</v>
      </c>
      <c r="L431" s="5" t="s">
        <v>84</v>
      </c>
      <c r="M431" s="9" t="s">
        <v>60</v>
      </c>
    </row>
    <row r="432">
      <c r="A432" s="11">
        <v>431.0</v>
      </c>
      <c r="B432" s="11">
        <v>0.011</v>
      </c>
      <c r="C432" s="11">
        <v>0.005</v>
      </c>
      <c r="D432" s="11">
        <v>82.0</v>
      </c>
      <c r="E432" s="11">
        <v>77.0</v>
      </c>
      <c r="F432" s="11">
        <v>0.189</v>
      </c>
      <c r="G432" s="11">
        <v>0.685</v>
      </c>
      <c r="H432" s="11">
        <v>0.127</v>
      </c>
      <c r="I432" s="11">
        <v>3.10819E7</v>
      </c>
      <c r="J432" s="11">
        <v>0.798</v>
      </c>
      <c r="K432" s="12" t="s">
        <v>112</v>
      </c>
      <c r="L432" s="5" t="s">
        <v>84</v>
      </c>
      <c r="M432" s="9" t="s">
        <v>62</v>
      </c>
    </row>
    <row r="433">
      <c r="A433" s="11">
        <v>432.0</v>
      </c>
      <c r="B433" s="11">
        <v>0.011</v>
      </c>
      <c r="C433" s="11">
        <v>0.005</v>
      </c>
      <c r="D433" s="11">
        <v>82.0</v>
      </c>
      <c r="E433" s="11">
        <v>77.0</v>
      </c>
      <c r="F433" s="11">
        <v>0.186</v>
      </c>
      <c r="G433" s="11">
        <v>0.687</v>
      </c>
      <c r="H433" s="11">
        <v>0.128</v>
      </c>
      <c r="I433" s="11">
        <v>3.1362E7</v>
      </c>
      <c r="J433" s="11">
        <v>0.799</v>
      </c>
      <c r="K433" s="12" t="s">
        <v>112</v>
      </c>
      <c r="L433" s="5" t="s">
        <v>84</v>
      </c>
      <c r="M433" s="9" t="s">
        <v>63</v>
      </c>
    </row>
    <row r="434">
      <c r="A434" s="11">
        <v>433.0</v>
      </c>
      <c r="B434" s="11">
        <v>0.011</v>
      </c>
      <c r="C434" s="11">
        <v>0.005</v>
      </c>
      <c r="D434" s="11">
        <v>82.0</v>
      </c>
      <c r="E434" s="11">
        <v>77.0</v>
      </c>
      <c r="F434" s="11">
        <v>0.183</v>
      </c>
      <c r="G434" s="11">
        <v>0.689</v>
      </c>
      <c r="H434" s="11">
        <v>0.129</v>
      </c>
      <c r="I434" s="11">
        <v>3.1676E7</v>
      </c>
      <c r="J434" s="11">
        <v>0.8</v>
      </c>
      <c r="K434" s="12" t="s">
        <v>112</v>
      </c>
      <c r="L434" s="5" t="s">
        <v>84</v>
      </c>
      <c r="M434" s="9" t="s">
        <v>64</v>
      </c>
    </row>
    <row r="435">
      <c r="A435" s="11">
        <v>434.0</v>
      </c>
      <c r="B435" s="11">
        <v>0.011</v>
      </c>
      <c r="C435" s="11">
        <v>0.005</v>
      </c>
      <c r="D435" s="11">
        <v>83.0</v>
      </c>
      <c r="E435" s="11">
        <v>78.0</v>
      </c>
      <c r="F435" s="11">
        <v>0.18</v>
      </c>
      <c r="G435" s="11">
        <v>0.691</v>
      </c>
      <c r="H435" s="11">
        <v>0.13</v>
      </c>
      <c r="I435" s="11">
        <v>3.1995E7</v>
      </c>
      <c r="J435" s="11">
        <v>0.8</v>
      </c>
      <c r="K435" s="12" t="s">
        <v>112</v>
      </c>
      <c r="L435" s="5" t="s">
        <v>84</v>
      </c>
      <c r="M435" s="9" t="s">
        <v>65</v>
      </c>
    </row>
    <row r="436">
      <c r="A436" s="11">
        <v>435.0</v>
      </c>
      <c r="B436" s="11">
        <v>0.011</v>
      </c>
      <c r="C436" s="11">
        <v>0.005</v>
      </c>
      <c r="D436" s="11">
        <v>83.0</v>
      </c>
      <c r="E436" s="11">
        <v>78.0</v>
      </c>
      <c r="F436" s="11">
        <v>0.177</v>
      </c>
      <c r="G436" s="11">
        <v>0.692</v>
      </c>
      <c r="H436" s="11">
        <v>0.131</v>
      </c>
      <c r="I436" s="11">
        <v>3.2312E7</v>
      </c>
      <c r="J436" s="11">
        <v>0.801</v>
      </c>
      <c r="K436" s="12" t="s">
        <v>112</v>
      </c>
      <c r="L436" s="5" t="s">
        <v>84</v>
      </c>
      <c r="M436" s="9" t="s">
        <v>66</v>
      </c>
    </row>
    <row r="437">
      <c r="A437" s="11">
        <v>436.0</v>
      </c>
      <c r="B437" s="11">
        <v>0.011</v>
      </c>
      <c r="C437" s="11">
        <v>0.005</v>
      </c>
      <c r="D437" s="11">
        <v>83.0</v>
      </c>
      <c r="E437" s="11">
        <v>78.0</v>
      </c>
      <c r="F437" s="11">
        <v>0.174</v>
      </c>
      <c r="G437" s="11">
        <v>0.694</v>
      </c>
      <c r="H437" s="11">
        <v>0.133</v>
      </c>
      <c r="I437" s="11">
        <v>3.2570505E7</v>
      </c>
      <c r="J437" s="11">
        <v>0.802</v>
      </c>
      <c r="K437" s="12" t="s">
        <v>112</v>
      </c>
      <c r="L437" s="5" t="s">
        <v>84</v>
      </c>
      <c r="M437" s="9" t="s">
        <v>67</v>
      </c>
    </row>
    <row r="438">
      <c r="A438" s="11">
        <v>437.0</v>
      </c>
      <c r="B438" s="11">
        <v>0.011</v>
      </c>
      <c r="C438" s="11">
        <v>0.005</v>
      </c>
      <c r="D438" s="11">
        <v>83.0</v>
      </c>
      <c r="E438" s="11">
        <v>78.0</v>
      </c>
      <c r="F438" s="11">
        <v>0.171</v>
      </c>
      <c r="G438" s="11">
        <v>0.695</v>
      </c>
      <c r="H438" s="11">
        <v>0.134</v>
      </c>
      <c r="I438" s="11">
        <v>3.2887928E7</v>
      </c>
      <c r="J438" s="11">
        <v>0.804</v>
      </c>
      <c r="K438" s="12" t="s">
        <v>112</v>
      </c>
      <c r="L438" s="5" t="s">
        <v>84</v>
      </c>
      <c r="M438" s="9" t="s">
        <v>68</v>
      </c>
    </row>
    <row r="439">
      <c r="A439" s="11">
        <v>438.0</v>
      </c>
      <c r="B439" s="11">
        <v>0.011</v>
      </c>
      <c r="C439" s="11">
        <v>0.005</v>
      </c>
      <c r="D439" s="11">
        <v>83.0</v>
      </c>
      <c r="E439" s="11">
        <v>78.0</v>
      </c>
      <c r="F439" s="11">
        <v>0.168</v>
      </c>
      <c r="G439" s="11">
        <v>0.695</v>
      </c>
      <c r="H439" s="11">
        <v>0.136</v>
      </c>
      <c r="I439" s="11">
        <v>3.3245773E7</v>
      </c>
      <c r="J439" s="11">
        <v>0.806</v>
      </c>
      <c r="K439" s="12" t="s">
        <v>112</v>
      </c>
      <c r="L439" s="5" t="s">
        <v>84</v>
      </c>
      <c r="M439" s="9" t="s">
        <v>69</v>
      </c>
    </row>
    <row r="440">
      <c r="A440" s="11">
        <v>439.0</v>
      </c>
      <c r="B440" s="11">
        <v>0.011</v>
      </c>
      <c r="C440" s="11">
        <v>0.005</v>
      </c>
      <c r="D440" s="11">
        <v>83.0</v>
      </c>
      <c r="E440" s="11">
        <v>79.0</v>
      </c>
      <c r="F440" s="11">
        <v>0.166</v>
      </c>
      <c r="G440" s="11">
        <v>0.695</v>
      </c>
      <c r="H440" s="11">
        <v>0.139</v>
      </c>
      <c r="I440" s="11">
        <v>3.3628571E7</v>
      </c>
      <c r="J440" s="11">
        <v>0.808</v>
      </c>
      <c r="K440" s="12" t="s">
        <v>112</v>
      </c>
      <c r="L440" s="5" t="s">
        <v>84</v>
      </c>
      <c r="M440" s="9" t="s">
        <v>70</v>
      </c>
    </row>
    <row r="441">
      <c r="A441" s="11">
        <v>440.0</v>
      </c>
      <c r="B441" s="11">
        <v>0.011</v>
      </c>
      <c r="C441" s="11">
        <v>0.005</v>
      </c>
      <c r="D441" s="11">
        <v>83.0</v>
      </c>
      <c r="E441" s="11">
        <v>79.0</v>
      </c>
      <c r="F441" s="11">
        <v>0.165</v>
      </c>
      <c r="G441" s="11">
        <v>0.694</v>
      </c>
      <c r="H441" s="11">
        <v>0.142</v>
      </c>
      <c r="I441" s="11">
        <v>3.4005274E7</v>
      </c>
      <c r="J441" s="11">
        <v>0.809</v>
      </c>
      <c r="K441" s="12" t="s">
        <v>112</v>
      </c>
      <c r="L441" s="5" t="s">
        <v>84</v>
      </c>
      <c r="M441" s="9" t="s">
        <v>71</v>
      </c>
    </row>
    <row r="442">
      <c r="A442" s="11">
        <v>441.0</v>
      </c>
      <c r="B442" s="11">
        <v>0.011</v>
      </c>
      <c r="C442" s="11">
        <v>0.005</v>
      </c>
      <c r="D442" s="11">
        <v>83.0</v>
      </c>
      <c r="E442" s="11">
        <v>79.0</v>
      </c>
      <c r="F442" s="11">
        <v>0.164</v>
      </c>
      <c r="G442" s="11">
        <v>0.691</v>
      </c>
      <c r="H442" s="11">
        <v>0.145</v>
      </c>
      <c r="I442" s="11">
        <v>3.434278E7</v>
      </c>
      <c r="J442" s="11">
        <v>0.811</v>
      </c>
      <c r="K442" s="12" t="s">
        <v>112</v>
      </c>
      <c r="L442" s="5" t="s">
        <v>84</v>
      </c>
      <c r="M442" s="9" t="s">
        <v>72</v>
      </c>
    </row>
    <row r="443">
      <c r="A443" s="11">
        <v>442.0</v>
      </c>
      <c r="B443" s="11">
        <v>0.011</v>
      </c>
      <c r="C443" s="11">
        <v>0.005</v>
      </c>
      <c r="D443" s="11">
        <v>83.0</v>
      </c>
      <c r="E443" s="11">
        <v>79.0</v>
      </c>
      <c r="F443" s="11">
        <v>0.164</v>
      </c>
      <c r="G443" s="11">
        <v>0.688</v>
      </c>
      <c r="H443" s="11">
        <v>0.148</v>
      </c>
      <c r="I443" s="11">
        <v>3.4754312E7</v>
      </c>
      <c r="J443" s="11">
        <v>0.813</v>
      </c>
      <c r="K443" s="12" t="s">
        <v>112</v>
      </c>
      <c r="L443" s="5" t="s">
        <v>84</v>
      </c>
      <c r="M443" s="9" t="s">
        <v>73</v>
      </c>
    </row>
    <row r="444">
      <c r="A444" s="8">
        <v>443.0</v>
      </c>
      <c r="B444" s="8"/>
      <c r="C444" s="8"/>
      <c r="D444" s="8"/>
      <c r="E444" s="8"/>
      <c r="F444" s="8"/>
      <c r="G444" s="8"/>
      <c r="H444" s="8"/>
      <c r="I444" s="11">
        <v>41685.0</v>
      </c>
      <c r="J444" s="11">
        <v>1.0</v>
      </c>
      <c r="K444" s="12" t="s">
        <v>113</v>
      </c>
      <c r="L444" s="5" t="s">
        <v>84</v>
      </c>
      <c r="M444" s="9" t="s">
        <v>60</v>
      </c>
    </row>
    <row r="445">
      <c r="A445" s="8">
        <v>444.0</v>
      </c>
      <c r="B445" s="8"/>
      <c r="C445" s="8"/>
      <c r="D445" s="8"/>
      <c r="E445" s="8"/>
      <c r="F445" s="8"/>
      <c r="G445" s="8"/>
      <c r="H445" s="8"/>
      <c r="I445" s="11">
        <v>43317.0</v>
      </c>
      <c r="J445" s="11">
        <v>1.0</v>
      </c>
      <c r="K445" s="12" t="s">
        <v>113</v>
      </c>
      <c r="L445" s="5" t="s">
        <v>84</v>
      </c>
      <c r="M445" s="9" t="s">
        <v>62</v>
      </c>
    </row>
    <row r="446">
      <c r="A446" s="8">
        <v>445.0</v>
      </c>
      <c r="B446" s="8"/>
      <c r="C446" s="8"/>
      <c r="D446" s="8"/>
      <c r="E446" s="8"/>
      <c r="F446" s="8"/>
      <c r="G446" s="8"/>
      <c r="H446" s="8"/>
      <c r="I446" s="11">
        <v>44742.0</v>
      </c>
      <c r="J446" s="11">
        <v>1.0</v>
      </c>
      <c r="K446" s="12" t="s">
        <v>113</v>
      </c>
      <c r="L446" s="5" t="s">
        <v>84</v>
      </c>
      <c r="M446" s="9" t="s">
        <v>63</v>
      </c>
    </row>
    <row r="447">
      <c r="A447" s="8">
        <v>446.0</v>
      </c>
      <c r="B447" s="8"/>
      <c r="C447" s="8"/>
      <c r="D447" s="8"/>
      <c r="E447" s="8"/>
      <c r="F447" s="8"/>
      <c r="G447" s="8"/>
      <c r="H447" s="8"/>
      <c r="I447" s="11">
        <v>46032.0</v>
      </c>
      <c r="J447" s="11">
        <v>1.0</v>
      </c>
      <c r="K447" s="12" t="s">
        <v>113</v>
      </c>
      <c r="L447" s="5" t="s">
        <v>84</v>
      </c>
      <c r="M447" s="9" t="s">
        <v>64</v>
      </c>
    </row>
    <row r="448">
      <c r="A448" s="8">
        <v>447.0</v>
      </c>
      <c r="B448" s="8"/>
      <c r="C448" s="8"/>
      <c r="D448" s="8"/>
      <c r="E448" s="8"/>
      <c r="F448" s="8"/>
      <c r="G448" s="8"/>
      <c r="H448" s="8"/>
      <c r="I448" s="11">
        <v>47299.0</v>
      </c>
      <c r="J448" s="11">
        <v>1.0</v>
      </c>
      <c r="K448" s="12" t="s">
        <v>113</v>
      </c>
      <c r="L448" s="5" t="s">
        <v>84</v>
      </c>
      <c r="M448" s="9" t="s">
        <v>65</v>
      </c>
    </row>
    <row r="449">
      <c r="A449" s="8">
        <v>448.0</v>
      </c>
      <c r="B449" s="8"/>
      <c r="C449" s="8"/>
      <c r="D449" s="8"/>
      <c r="E449" s="8"/>
      <c r="F449" s="8"/>
      <c r="G449" s="8"/>
      <c r="H449" s="8"/>
      <c r="I449" s="11">
        <v>48623.0</v>
      </c>
      <c r="J449" s="11">
        <v>1.0</v>
      </c>
      <c r="K449" s="12" t="s">
        <v>113</v>
      </c>
      <c r="L449" s="5" t="s">
        <v>84</v>
      </c>
      <c r="M449" s="9" t="s">
        <v>66</v>
      </c>
    </row>
    <row r="450">
      <c r="A450" s="8">
        <v>449.0</v>
      </c>
      <c r="B450" s="8"/>
      <c r="C450" s="8"/>
      <c r="D450" s="8"/>
      <c r="E450" s="8"/>
      <c r="F450" s="8"/>
      <c r="G450" s="8"/>
      <c r="H450" s="8"/>
      <c r="I450" s="11">
        <v>50026.0</v>
      </c>
      <c r="J450" s="11">
        <v>1.0</v>
      </c>
      <c r="K450" s="12" t="s">
        <v>113</v>
      </c>
      <c r="L450" s="5" t="s">
        <v>84</v>
      </c>
      <c r="M450" s="9" t="s">
        <v>67</v>
      </c>
    </row>
    <row r="451">
      <c r="A451" s="11">
        <v>450.0</v>
      </c>
      <c r="B451" s="11">
        <v>0.014</v>
      </c>
      <c r="C451" s="8"/>
      <c r="D451" s="8"/>
      <c r="E451" s="8"/>
      <c r="F451" s="8"/>
      <c r="G451" s="8"/>
      <c r="H451" s="8"/>
      <c r="I451" s="11">
        <v>51472.0</v>
      </c>
      <c r="J451" s="11">
        <v>1.0</v>
      </c>
      <c r="K451" s="12" t="s">
        <v>113</v>
      </c>
      <c r="L451" s="5" t="s">
        <v>84</v>
      </c>
      <c r="M451" s="9" t="s">
        <v>68</v>
      </c>
    </row>
    <row r="452">
      <c r="A452" s="8">
        <v>451.0</v>
      </c>
      <c r="B452" s="8"/>
      <c r="C452" s="8"/>
      <c r="D452" s="8"/>
      <c r="E452" s="8"/>
      <c r="F452" s="8"/>
      <c r="G452" s="8"/>
      <c r="H452" s="8"/>
      <c r="I452" s="11">
        <v>52912.0</v>
      </c>
      <c r="J452" s="11">
        <v>1.0</v>
      </c>
      <c r="K452" s="12" t="s">
        <v>113</v>
      </c>
      <c r="L452" s="5" t="s">
        <v>84</v>
      </c>
      <c r="M452" s="9" t="s">
        <v>69</v>
      </c>
    </row>
    <row r="453">
      <c r="A453" s="11">
        <v>452.0</v>
      </c>
      <c r="B453" s="11">
        <v>0.016</v>
      </c>
      <c r="C453" s="8"/>
      <c r="D453" s="8"/>
      <c r="E453" s="8"/>
      <c r="F453" s="8"/>
      <c r="G453" s="8"/>
      <c r="H453" s="8"/>
      <c r="I453" s="11">
        <v>54275.0</v>
      </c>
      <c r="J453" s="11">
        <v>1.0</v>
      </c>
      <c r="K453" s="12" t="s">
        <v>113</v>
      </c>
      <c r="L453" s="5" t="s">
        <v>84</v>
      </c>
      <c r="M453" s="9" t="s">
        <v>70</v>
      </c>
    </row>
    <row r="454">
      <c r="A454" s="11">
        <v>453.0</v>
      </c>
      <c r="B454" s="11">
        <v>0.015</v>
      </c>
      <c r="C454" s="8"/>
      <c r="D454" s="8"/>
      <c r="E454" s="8"/>
      <c r="F454" s="8"/>
      <c r="G454" s="8"/>
      <c r="H454" s="8"/>
      <c r="I454" s="11">
        <v>55509.0</v>
      </c>
      <c r="J454" s="11">
        <v>1.0</v>
      </c>
      <c r="K454" s="12" t="s">
        <v>113</v>
      </c>
      <c r="L454" s="5" t="s">
        <v>84</v>
      </c>
      <c r="M454" s="9" t="s">
        <v>71</v>
      </c>
    </row>
    <row r="455">
      <c r="A455" s="11">
        <v>454.0</v>
      </c>
      <c r="B455" s="11">
        <v>0.015</v>
      </c>
      <c r="C455" s="8"/>
      <c r="D455" s="8"/>
      <c r="E455" s="8"/>
      <c r="F455" s="8"/>
      <c r="G455" s="8"/>
      <c r="H455" s="8"/>
      <c r="I455" s="11">
        <v>56601.0</v>
      </c>
      <c r="J455" s="11">
        <v>1.0</v>
      </c>
      <c r="K455" s="12" t="s">
        <v>113</v>
      </c>
      <c r="L455" s="5" t="s">
        <v>84</v>
      </c>
      <c r="M455" s="9" t="s">
        <v>72</v>
      </c>
    </row>
    <row r="456">
      <c r="A456" s="11">
        <v>455.0</v>
      </c>
      <c r="B456" s="11">
        <v>0.013</v>
      </c>
      <c r="C456" s="8"/>
      <c r="D456" s="8"/>
      <c r="E456" s="8"/>
      <c r="F456" s="8"/>
      <c r="G456" s="8"/>
      <c r="H456" s="8"/>
      <c r="I456" s="11">
        <v>57570.0</v>
      </c>
      <c r="J456" s="11">
        <v>1.0</v>
      </c>
      <c r="K456" s="12" t="s">
        <v>113</v>
      </c>
      <c r="L456" s="5" t="s">
        <v>84</v>
      </c>
      <c r="M456" s="9" t="s">
        <v>73</v>
      </c>
    </row>
    <row r="457">
      <c r="A457" s="11">
        <v>456.0</v>
      </c>
      <c r="B457" s="11">
        <v>0.039</v>
      </c>
      <c r="C457" s="11">
        <v>0.113</v>
      </c>
      <c r="D457" s="11">
        <v>45.0</v>
      </c>
      <c r="E457" s="11">
        <v>42.0</v>
      </c>
      <c r="F457" s="11">
        <v>0.423</v>
      </c>
      <c r="G457" s="11">
        <v>0.537</v>
      </c>
      <c r="H457" s="11">
        <v>0.04</v>
      </c>
      <c r="I457" s="11">
        <v>3638316.0</v>
      </c>
      <c r="J457" s="11">
        <v>0.376</v>
      </c>
      <c r="K457" s="12" t="s">
        <v>114</v>
      </c>
      <c r="L457" s="5" t="s">
        <v>77</v>
      </c>
      <c r="M457" s="9" t="s">
        <v>60</v>
      </c>
    </row>
    <row r="458">
      <c r="A458" s="11">
        <v>457.0</v>
      </c>
      <c r="B458" s="11">
        <v>0.039</v>
      </c>
      <c r="C458" s="11">
        <v>0.113</v>
      </c>
      <c r="D458" s="11">
        <v>45.0</v>
      </c>
      <c r="E458" s="11">
        <v>42.0</v>
      </c>
      <c r="F458" s="11">
        <v>0.422</v>
      </c>
      <c r="G458" s="11">
        <v>0.538</v>
      </c>
      <c r="H458" s="11">
        <v>0.04</v>
      </c>
      <c r="I458" s="11">
        <v>3704045.0</v>
      </c>
      <c r="J458" s="11">
        <v>0.377</v>
      </c>
      <c r="K458" s="12" t="s">
        <v>114</v>
      </c>
      <c r="L458" s="5" t="s">
        <v>77</v>
      </c>
      <c r="M458" s="9" t="s">
        <v>62</v>
      </c>
    </row>
    <row r="459">
      <c r="A459" s="11">
        <v>458.0</v>
      </c>
      <c r="B459" s="11">
        <v>0.039</v>
      </c>
      <c r="C459" s="11">
        <v>0.113</v>
      </c>
      <c r="D459" s="11">
        <v>46.0</v>
      </c>
      <c r="E459" s="11">
        <v>42.0</v>
      </c>
      <c r="F459" s="11">
        <v>0.422</v>
      </c>
      <c r="G459" s="11">
        <v>0.539</v>
      </c>
      <c r="H459" s="11">
        <v>0.04</v>
      </c>
      <c r="I459" s="11">
        <v>3767248.0</v>
      </c>
      <c r="J459" s="11">
        <v>0.378</v>
      </c>
      <c r="K459" s="12" t="s">
        <v>114</v>
      </c>
      <c r="L459" s="5" t="s">
        <v>77</v>
      </c>
      <c r="M459" s="9" t="s">
        <v>63</v>
      </c>
    </row>
    <row r="460">
      <c r="A460" s="11">
        <v>459.0</v>
      </c>
      <c r="B460" s="11">
        <v>0.038</v>
      </c>
      <c r="C460" s="11">
        <v>0.112</v>
      </c>
      <c r="D460" s="11">
        <v>46.0</v>
      </c>
      <c r="E460" s="11">
        <v>43.0</v>
      </c>
      <c r="F460" s="11">
        <v>0.421</v>
      </c>
      <c r="G460" s="11">
        <v>0.539</v>
      </c>
      <c r="H460" s="11">
        <v>0.04</v>
      </c>
      <c r="I460" s="11">
        <v>3829636.0</v>
      </c>
      <c r="J460" s="11">
        <v>0.379</v>
      </c>
      <c r="K460" s="12" t="s">
        <v>114</v>
      </c>
      <c r="L460" s="5" t="s">
        <v>77</v>
      </c>
      <c r="M460" s="9" t="s">
        <v>64</v>
      </c>
    </row>
    <row r="461">
      <c r="A461" s="11">
        <v>460.0</v>
      </c>
      <c r="B461" s="11">
        <v>0.038</v>
      </c>
      <c r="C461" s="11">
        <v>0.111</v>
      </c>
      <c r="D461" s="11">
        <v>46.0</v>
      </c>
      <c r="E461" s="11">
        <v>43.0</v>
      </c>
      <c r="F461" s="11">
        <v>0.42</v>
      </c>
      <c r="G461" s="11">
        <v>0.54</v>
      </c>
      <c r="H461" s="11">
        <v>0.04</v>
      </c>
      <c r="I461" s="11">
        <v>3893595.0</v>
      </c>
      <c r="J461" s="11">
        <v>0.38</v>
      </c>
      <c r="K461" s="12" t="s">
        <v>114</v>
      </c>
      <c r="L461" s="5" t="s">
        <v>77</v>
      </c>
      <c r="M461" s="9" t="s">
        <v>65</v>
      </c>
    </row>
    <row r="462">
      <c r="A462" s="11">
        <v>461.0</v>
      </c>
      <c r="B462" s="11">
        <v>0.037</v>
      </c>
      <c r="C462" s="11">
        <v>0.111</v>
      </c>
      <c r="D462" s="11">
        <v>47.0</v>
      </c>
      <c r="E462" s="11">
        <v>43.0</v>
      </c>
      <c r="F462" s="11">
        <v>0.419</v>
      </c>
      <c r="G462" s="11">
        <v>0.542</v>
      </c>
      <c r="H462" s="11">
        <v>0.04</v>
      </c>
      <c r="I462" s="11">
        <v>3960897.0</v>
      </c>
      <c r="J462" s="11">
        <v>0.381</v>
      </c>
      <c r="K462" s="12" t="s">
        <v>114</v>
      </c>
      <c r="L462" s="5" t="s">
        <v>77</v>
      </c>
      <c r="M462" s="9" t="s">
        <v>66</v>
      </c>
    </row>
    <row r="463">
      <c r="A463" s="11">
        <v>462.0</v>
      </c>
      <c r="B463" s="11">
        <v>0.037</v>
      </c>
      <c r="C463" s="11">
        <v>0.109</v>
      </c>
      <c r="D463" s="11">
        <v>47.0</v>
      </c>
      <c r="E463" s="11">
        <v>44.0</v>
      </c>
      <c r="F463" s="11">
        <v>0.417</v>
      </c>
      <c r="G463" s="11">
        <v>0.544</v>
      </c>
      <c r="H463" s="11">
        <v>0.04</v>
      </c>
      <c r="I463" s="11">
        <v>4032102.0</v>
      </c>
      <c r="J463" s="11">
        <v>0.382</v>
      </c>
      <c r="K463" s="12" t="s">
        <v>114</v>
      </c>
      <c r="L463" s="5" t="s">
        <v>77</v>
      </c>
      <c r="M463" s="9" t="s">
        <v>67</v>
      </c>
    </row>
    <row r="464">
      <c r="A464" s="11">
        <v>463.0</v>
      </c>
      <c r="B464" s="11">
        <v>0.036</v>
      </c>
      <c r="C464" s="11">
        <v>0.108</v>
      </c>
      <c r="D464" s="11">
        <v>48.0</v>
      </c>
      <c r="E464" s="11">
        <v>45.0</v>
      </c>
      <c r="F464" s="11">
        <v>0.415</v>
      </c>
      <c r="G464" s="11">
        <v>0.546</v>
      </c>
      <c r="H464" s="11">
        <v>0.039</v>
      </c>
      <c r="I464" s="11">
        <v>4106897.0</v>
      </c>
      <c r="J464" s="11">
        <v>0.383</v>
      </c>
      <c r="K464" s="12" t="s">
        <v>114</v>
      </c>
      <c r="L464" s="5" t="s">
        <v>77</v>
      </c>
      <c r="M464" s="9" t="s">
        <v>68</v>
      </c>
    </row>
    <row r="465">
      <c r="A465" s="11">
        <v>464.0</v>
      </c>
      <c r="B465" s="11">
        <v>0.036</v>
      </c>
      <c r="C465" s="11">
        <v>0.107</v>
      </c>
      <c r="D465" s="11">
        <v>48.0</v>
      </c>
      <c r="E465" s="11">
        <v>45.0</v>
      </c>
      <c r="F465" s="11">
        <v>0.412</v>
      </c>
      <c r="G465" s="11">
        <v>0.549</v>
      </c>
      <c r="H465" s="11">
        <v>0.039</v>
      </c>
      <c r="I465" s="11">
        <v>4185106.0</v>
      </c>
      <c r="J465" s="11">
        <v>0.385</v>
      </c>
      <c r="K465" s="12" t="s">
        <v>114</v>
      </c>
      <c r="L465" s="5" t="s">
        <v>77</v>
      </c>
      <c r="M465" s="9" t="s">
        <v>69</v>
      </c>
    </row>
    <row r="466">
      <c r="A466" s="11">
        <v>465.0</v>
      </c>
      <c r="B466" s="11">
        <v>0.035</v>
      </c>
      <c r="C466" s="11">
        <v>0.105</v>
      </c>
      <c r="D466" s="11">
        <v>49.0</v>
      </c>
      <c r="E466" s="11">
        <v>46.0</v>
      </c>
      <c r="F466" s="11">
        <v>0.409</v>
      </c>
      <c r="G466" s="11">
        <v>0.552</v>
      </c>
      <c r="H466" s="11">
        <v>0.039</v>
      </c>
      <c r="I466" s="11">
        <v>4266247.0</v>
      </c>
      <c r="J466" s="11">
        <v>0.386</v>
      </c>
      <c r="K466" s="12" t="s">
        <v>114</v>
      </c>
      <c r="L466" s="5" t="s">
        <v>77</v>
      </c>
      <c r="M466" s="9" t="s">
        <v>70</v>
      </c>
    </row>
    <row r="467">
      <c r="A467" s="11">
        <v>466.0</v>
      </c>
      <c r="B467" s="11">
        <v>0.035</v>
      </c>
      <c r="C467" s="11">
        <v>0.103</v>
      </c>
      <c r="D467" s="11">
        <v>50.0</v>
      </c>
      <c r="E467" s="11">
        <v>46.0</v>
      </c>
      <c r="F467" s="11">
        <v>0.406</v>
      </c>
      <c r="G467" s="11">
        <v>0.555</v>
      </c>
      <c r="H467" s="11">
        <v>0.039</v>
      </c>
      <c r="I467" s="11">
        <v>4349921.0</v>
      </c>
      <c r="J467" s="11">
        <v>0.388</v>
      </c>
      <c r="K467" s="12" t="s">
        <v>114</v>
      </c>
      <c r="L467" s="5" t="s">
        <v>77</v>
      </c>
      <c r="M467" s="9" t="s">
        <v>71</v>
      </c>
    </row>
    <row r="468">
      <c r="A468" s="11">
        <v>467.0</v>
      </c>
      <c r="B468" s="11">
        <v>0.035</v>
      </c>
      <c r="C468" s="11">
        <v>0.1</v>
      </c>
      <c r="D468" s="11">
        <v>51.0</v>
      </c>
      <c r="E468" s="11">
        <v>47.0</v>
      </c>
      <c r="F468" s="11">
        <v>0.404</v>
      </c>
      <c r="G468" s="11">
        <v>0.558</v>
      </c>
      <c r="H468" s="11">
        <v>0.039</v>
      </c>
      <c r="I468" s="11">
        <v>4436217.0</v>
      </c>
      <c r="J468" s="11">
        <v>0.39</v>
      </c>
      <c r="K468" s="12" t="s">
        <v>114</v>
      </c>
      <c r="L468" s="5" t="s">
        <v>77</v>
      </c>
      <c r="M468" s="9" t="s">
        <v>72</v>
      </c>
    </row>
    <row r="469">
      <c r="A469" s="11">
        <v>468.0</v>
      </c>
      <c r="B469" s="11">
        <v>0.034</v>
      </c>
      <c r="C469" s="11">
        <v>0.098</v>
      </c>
      <c r="D469" s="11">
        <v>51.0</v>
      </c>
      <c r="E469" s="11">
        <v>48.0</v>
      </c>
      <c r="F469" s="11">
        <v>0.401</v>
      </c>
      <c r="G469" s="11">
        <v>0.561</v>
      </c>
      <c r="H469" s="11">
        <v>0.039</v>
      </c>
      <c r="I469" s="11">
        <v>4525209.0</v>
      </c>
      <c r="J469" s="11">
        <v>0.393</v>
      </c>
      <c r="K469" s="12" t="s">
        <v>114</v>
      </c>
      <c r="L469" s="5" t="s">
        <v>77</v>
      </c>
      <c r="M469" s="9" t="s">
        <v>73</v>
      </c>
    </row>
    <row r="470">
      <c r="A470" s="11">
        <v>469.0</v>
      </c>
      <c r="B470" s="11">
        <v>0.051</v>
      </c>
      <c r="C470" s="11">
        <v>0.106</v>
      </c>
      <c r="D470" s="11">
        <v>48.0</v>
      </c>
      <c r="E470" s="11">
        <v>46.0</v>
      </c>
      <c r="F470" s="11">
        <v>0.49</v>
      </c>
      <c r="G470" s="11">
        <v>0.482</v>
      </c>
      <c r="H470" s="11">
        <v>0.028</v>
      </c>
      <c r="I470" s="11">
        <v>8301151.0</v>
      </c>
      <c r="J470" s="11">
        <v>0.216</v>
      </c>
      <c r="K470" s="12" t="s">
        <v>115</v>
      </c>
      <c r="L470" s="5" t="s">
        <v>77</v>
      </c>
      <c r="M470" s="9" t="s">
        <v>60</v>
      </c>
    </row>
    <row r="471">
      <c r="A471" s="11">
        <v>470.0</v>
      </c>
      <c r="B471" s="11">
        <v>0.051</v>
      </c>
      <c r="C471" s="11">
        <v>0.105</v>
      </c>
      <c r="D471" s="11">
        <v>48.0</v>
      </c>
      <c r="E471" s="11">
        <v>46.0</v>
      </c>
      <c r="F471" s="11">
        <v>0.491</v>
      </c>
      <c r="G471" s="11">
        <v>0.481</v>
      </c>
      <c r="H471" s="11">
        <v>0.028</v>
      </c>
      <c r="I471" s="11">
        <v>8620917.0</v>
      </c>
      <c r="J471" s="11">
        <v>0.217</v>
      </c>
      <c r="K471" s="12" t="s">
        <v>115</v>
      </c>
      <c r="L471" s="5" t="s">
        <v>77</v>
      </c>
      <c r="M471" s="9" t="s">
        <v>62</v>
      </c>
    </row>
    <row r="472">
      <c r="A472" s="11">
        <v>471.0</v>
      </c>
      <c r="B472" s="11">
        <v>0.051</v>
      </c>
      <c r="C472" s="11">
        <v>0.104</v>
      </c>
      <c r="D472" s="11">
        <v>48.0</v>
      </c>
      <c r="E472" s="11">
        <v>46.0</v>
      </c>
      <c r="F472" s="11">
        <v>0.491</v>
      </c>
      <c r="G472" s="11">
        <v>0.481</v>
      </c>
      <c r="H472" s="11">
        <v>0.028</v>
      </c>
      <c r="I472" s="11">
        <v>8959964.0</v>
      </c>
      <c r="J472" s="11">
        <v>0.217</v>
      </c>
      <c r="K472" s="12" t="s">
        <v>115</v>
      </c>
      <c r="L472" s="5" t="s">
        <v>77</v>
      </c>
      <c r="M472" s="9" t="s">
        <v>63</v>
      </c>
    </row>
    <row r="473">
      <c r="A473" s="11">
        <v>472.0</v>
      </c>
      <c r="B473" s="11">
        <v>0.05</v>
      </c>
      <c r="C473" s="11">
        <v>0.103</v>
      </c>
      <c r="D473" s="11">
        <v>48.0</v>
      </c>
      <c r="E473" s="11">
        <v>46.0</v>
      </c>
      <c r="F473" s="11">
        <v>0.492</v>
      </c>
      <c r="G473" s="11">
        <v>0.481</v>
      </c>
      <c r="H473" s="11">
        <v>0.027</v>
      </c>
      <c r="I473" s="11">
        <v>9311234.0</v>
      </c>
      <c r="J473" s="11">
        <v>0.217</v>
      </c>
      <c r="K473" s="12" t="s">
        <v>115</v>
      </c>
      <c r="L473" s="5" t="s">
        <v>77</v>
      </c>
      <c r="M473" s="9" t="s">
        <v>64</v>
      </c>
    </row>
    <row r="474">
      <c r="A474" s="11">
        <v>473.0</v>
      </c>
      <c r="B474" s="11">
        <v>0.05</v>
      </c>
      <c r="C474" s="11">
        <v>0.102</v>
      </c>
      <c r="D474" s="11">
        <v>48.0</v>
      </c>
      <c r="E474" s="11">
        <v>47.0</v>
      </c>
      <c r="F474" s="11">
        <v>0.492</v>
      </c>
      <c r="G474" s="11">
        <v>0.481</v>
      </c>
      <c r="H474" s="11">
        <v>0.027</v>
      </c>
      <c r="I474" s="11">
        <v>9665024.0</v>
      </c>
      <c r="J474" s="11">
        <v>0.218</v>
      </c>
      <c r="K474" s="12" t="s">
        <v>115</v>
      </c>
      <c r="L474" s="5" t="s">
        <v>77</v>
      </c>
      <c r="M474" s="9" t="s">
        <v>65</v>
      </c>
    </row>
    <row r="475">
      <c r="A475" s="11">
        <v>474.0</v>
      </c>
      <c r="B475" s="11">
        <v>0.05</v>
      </c>
      <c r="C475" s="11">
        <v>0.101</v>
      </c>
      <c r="D475" s="11">
        <v>48.0</v>
      </c>
      <c r="E475" s="11">
        <v>47.0</v>
      </c>
      <c r="F475" s="11">
        <v>0.492</v>
      </c>
      <c r="G475" s="11">
        <v>0.481</v>
      </c>
      <c r="H475" s="11">
        <v>0.027</v>
      </c>
      <c r="I475" s="11">
        <v>1.0014413E7</v>
      </c>
      <c r="J475" s="11">
        <v>0.218</v>
      </c>
      <c r="K475" s="12" t="s">
        <v>115</v>
      </c>
      <c r="L475" s="5" t="s">
        <v>77</v>
      </c>
      <c r="M475" s="9" t="s">
        <v>66</v>
      </c>
    </row>
    <row r="476">
      <c r="A476" s="11">
        <v>475.0</v>
      </c>
      <c r="B476" s="11">
        <v>0.049</v>
      </c>
      <c r="C476" s="11">
        <v>0.1</v>
      </c>
      <c r="D476" s="11">
        <v>49.0</v>
      </c>
      <c r="E476" s="11">
        <v>47.0</v>
      </c>
      <c r="F476" s="11">
        <v>0.492</v>
      </c>
      <c r="G476" s="11">
        <v>0.482</v>
      </c>
      <c r="H476" s="11">
        <v>0.026</v>
      </c>
      <c r="I476" s="11">
        <v>1.0356822E7</v>
      </c>
      <c r="J476" s="11">
        <v>0.218</v>
      </c>
      <c r="K476" s="12" t="s">
        <v>115</v>
      </c>
      <c r="L476" s="5" t="s">
        <v>77</v>
      </c>
      <c r="M476" s="9" t="s">
        <v>67</v>
      </c>
    </row>
    <row r="477">
      <c r="A477" s="11">
        <v>476.0</v>
      </c>
      <c r="B477" s="11">
        <v>0.049</v>
      </c>
      <c r="C477" s="11">
        <v>0.099</v>
      </c>
      <c r="D477" s="11">
        <v>49.0</v>
      </c>
      <c r="E477" s="11">
        <v>48.0</v>
      </c>
      <c r="F477" s="11">
        <v>0.492</v>
      </c>
      <c r="G477" s="11">
        <v>0.482</v>
      </c>
      <c r="H477" s="11">
        <v>0.026</v>
      </c>
      <c r="I477" s="11">
        <v>1.0694366E7</v>
      </c>
      <c r="J477" s="11">
        <v>0.219</v>
      </c>
      <c r="K477" s="12" t="s">
        <v>115</v>
      </c>
      <c r="L477" s="5" t="s">
        <v>77</v>
      </c>
      <c r="M477" s="9" t="s">
        <v>68</v>
      </c>
    </row>
    <row r="478">
      <c r="A478" s="11">
        <v>477.0</v>
      </c>
      <c r="B478" s="11">
        <v>0.048</v>
      </c>
      <c r="C478" s="11">
        <v>0.097</v>
      </c>
      <c r="D478" s="11">
        <v>50.0</v>
      </c>
      <c r="E478" s="11">
        <v>48.0</v>
      </c>
      <c r="F478" s="11">
        <v>0.491</v>
      </c>
      <c r="G478" s="11">
        <v>0.484</v>
      </c>
      <c r="H478" s="11">
        <v>0.026</v>
      </c>
      <c r="I478" s="11">
        <v>1.1030628E7</v>
      </c>
      <c r="J478" s="11">
        <v>0.219</v>
      </c>
      <c r="K478" s="12" t="s">
        <v>115</v>
      </c>
      <c r="L478" s="5" t="s">
        <v>77</v>
      </c>
      <c r="M478" s="9" t="s">
        <v>69</v>
      </c>
    </row>
    <row r="479">
      <c r="A479" s="11">
        <v>478.0</v>
      </c>
      <c r="B479" s="11">
        <v>0.048</v>
      </c>
      <c r="C479" s="11">
        <v>0.095</v>
      </c>
      <c r="D479" s="11">
        <v>50.0</v>
      </c>
      <c r="E479" s="11">
        <v>49.0</v>
      </c>
      <c r="F479" s="11">
        <v>0.49</v>
      </c>
      <c r="G479" s="11">
        <v>0.485</v>
      </c>
      <c r="H479" s="11">
        <v>0.025</v>
      </c>
      <c r="I479" s="11">
        <v>1.1371325E7</v>
      </c>
      <c r="J479" s="11">
        <v>0.219</v>
      </c>
      <c r="K479" s="12" t="s">
        <v>115</v>
      </c>
      <c r="L479" s="5" t="s">
        <v>77</v>
      </c>
      <c r="M479" s="9" t="s">
        <v>70</v>
      </c>
    </row>
    <row r="480">
      <c r="A480" s="11">
        <v>479.0</v>
      </c>
      <c r="B480" s="11">
        <v>0.047</v>
      </c>
      <c r="C480" s="11">
        <v>0.094</v>
      </c>
      <c r="D480" s="11">
        <v>51.0</v>
      </c>
      <c r="E480" s="11">
        <v>49.0</v>
      </c>
      <c r="F480" s="11">
        <v>0.488</v>
      </c>
      <c r="G480" s="11">
        <v>0.487</v>
      </c>
      <c r="H480" s="11">
        <v>0.025</v>
      </c>
      <c r="I480" s="11">
        <v>1.1720781E7</v>
      </c>
      <c r="J480" s="11">
        <v>0.22</v>
      </c>
      <c r="K480" s="12" t="s">
        <v>115</v>
      </c>
      <c r="L480" s="5" t="s">
        <v>77</v>
      </c>
      <c r="M480" s="9" t="s">
        <v>71</v>
      </c>
    </row>
    <row r="481">
      <c r="A481" s="11">
        <v>480.0</v>
      </c>
      <c r="B481" s="11">
        <v>0.047</v>
      </c>
      <c r="C481" s="11">
        <v>0.092</v>
      </c>
      <c r="D481" s="11">
        <v>51.0</v>
      </c>
      <c r="E481" s="11">
        <v>49.0</v>
      </c>
      <c r="F481" s="11">
        <v>0.487</v>
      </c>
      <c r="G481" s="11">
        <v>0.488</v>
      </c>
      <c r="H481" s="11">
        <v>0.025</v>
      </c>
      <c r="I481" s="11">
        <v>1.2080037E7</v>
      </c>
      <c r="J481" s="11">
        <v>0.22</v>
      </c>
      <c r="K481" s="12" t="s">
        <v>115</v>
      </c>
      <c r="L481" s="5" t="s">
        <v>77</v>
      </c>
      <c r="M481" s="9" t="s">
        <v>72</v>
      </c>
    </row>
    <row r="482">
      <c r="A482" s="11">
        <v>481.0</v>
      </c>
      <c r="B482" s="11">
        <v>0.046</v>
      </c>
      <c r="C482" s="11">
        <v>0.09</v>
      </c>
      <c r="D482" s="11">
        <v>52.0</v>
      </c>
      <c r="E482" s="11">
        <v>50.0</v>
      </c>
      <c r="F482" s="11">
        <v>0.485</v>
      </c>
      <c r="G482" s="11">
        <v>0.49</v>
      </c>
      <c r="H482" s="11">
        <v>0.024</v>
      </c>
      <c r="I482" s="11">
        <v>1.2448175E7</v>
      </c>
      <c r="J482" s="11">
        <v>0.221</v>
      </c>
      <c r="K482" s="12" t="s">
        <v>115</v>
      </c>
      <c r="L482" s="5" t="s">
        <v>77</v>
      </c>
      <c r="M482" s="9" t="s">
        <v>73</v>
      </c>
    </row>
    <row r="483">
      <c r="A483" s="11">
        <v>482.0</v>
      </c>
      <c r="B483" s="11">
        <v>0.017</v>
      </c>
      <c r="C483" s="11">
        <v>0.009</v>
      </c>
      <c r="D483" s="11">
        <v>80.0</v>
      </c>
      <c r="E483" s="11">
        <v>74.0</v>
      </c>
      <c r="F483" s="11">
        <v>0.278</v>
      </c>
      <c r="G483" s="11">
        <v>0.65</v>
      </c>
      <c r="H483" s="11">
        <v>0.072</v>
      </c>
      <c r="I483" s="11">
        <v>1.5454402E7</v>
      </c>
      <c r="J483" s="11">
        <v>0.861</v>
      </c>
      <c r="K483" s="12" t="s">
        <v>116</v>
      </c>
      <c r="L483" s="5" t="s">
        <v>84</v>
      </c>
      <c r="M483" s="9" t="s">
        <v>60</v>
      </c>
    </row>
    <row r="484">
      <c r="A484" s="11">
        <v>483.0</v>
      </c>
      <c r="B484" s="11">
        <v>0.016</v>
      </c>
      <c r="C484" s="11">
        <v>0.009</v>
      </c>
      <c r="D484" s="11">
        <v>80.0</v>
      </c>
      <c r="E484" s="11">
        <v>74.0</v>
      </c>
      <c r="F484" s="11">
        <v>0.273</v>
      </c>
      <c r="G484" s="11">
        <v>0.654</v>
      </c>
      <c r="H484" s="11">
        <v>0.074</v>
      </c>
      <c r="I484" s="11">
        <v>1.5639289E7</v>
      </c>
      <c r="J484" s="11">
        <v>0.864</v>
      </c>
      <c r="K484" s="12" t="s">
        <v>116</v>
      </c>
      <c r="L484" s="5" t="s">
        <v>84</v>
      </c>
      <c r="M484" s="9" t="s">
        <v>62</v>
      </c>
    </row>
    <row r="485">
      <c r="A485" s="11">
        <v>484.0</v>
      </c>
      <c r="B485" s="11">
        <v>0.016</v>
      </c>
      <c r="C485" s="11">
        <v>0.008</v>
      </c>
      <c r="D485" s="11">
        <v>81.0</v>
      </c>
      <c r="E485" s="11">
        <v>75.0</v>
      </c>
      <c r="F485" s="11">
        <v>0.267</v>
      </c>
      <c r="G485" s="11">
        <v>0.658</v>
      </c>
      <c r="H485" s="11">
        <v>0.075</v>
      </c>
      <c r="I485" s="11">
        <v>1.5819522E7</v>
      </c>
      <c r="J485" s="11">
        <v>0.866</v>
      </c>
      <c r="K485" s="12" t="s">
        <v>116</v>
      </c>
      <c r="L485" s="5" t="s">
        <v>84</v>
      </c>
      <c r="M485" s="9" t="s">
        <v>63</v>
      </c>
    </row>
    <row r="486">
      <c r="A486" s="11">
        <v>485.0</v>
      </c>
      <c r="B486" s="11">
        <v>0.016</v>
      </c>
      <c r="C486" s="11">
        <v>0.008</v>
      </c>
      <c r="D486" s="11">
        <v>81.0</v>
      </c>
      <c r="E486" s="11">
        <v>75.0</v>
      </c>
      <c r="F486" s="11">
        <v>0.261</v>
      </c>
      <c r="G486" s="11">
        <v>0.662</v>
      </c>
      <c r="H486" s="11">
        <v>0.077</v>
      </c>
      <c r="I486" s="11">
        <v>1.5995658E7</v>
      </c>
      <c r="J486" s="11">
        <v>0.869</v>
      </c>
      <c r="K486" s="12" t="s">
        <v>116</v>
      </c>
      <c r="L486" s="5" t="s">
        <v>84</v>
      </c>
      <c r="M486" s="9" t="s">
        <v>64</v>
      </c>
    </row>
    <row r="487">
      <c r="A487" s="11">
        <v>486.0</v>
      </c>
      <c r="B487" s="11">
        <v>0.015</v>
      </c>
      <c r="C487" s="11">
        <v>0.008</v>
      </c>
      <c r="D487" s="11">
        <v>81.0</v>
      </c>
      <c r="E487" s="11">
        <v>75.0</v>
      </c>
      <c r="F487" s="11">
        <v>0.255</v>
      </c>
      <c r="G487" s="11">
        <v>0.667</v>
      </c>
      <c r="H487" s="11">
        <v>0.079</v>
      </c>
      <c r="I487" s="11">
        <v>1.6168241E7</v>
      </c>
      <c r="J487" s="11">
        <v>0.872</v>
      </c>
      <c r="K487" s="12" t="s">
        <v>116</v>
      </c>
      <c r="L487" s="5" t="s">
        <v>84</v>
      </c>
      <c r="M487" s="9" t="s">
        <v>65</v>
      </c>
    </row>
    <row r="488">
      <c r="A488" s="11">
        <v>487.0</v>
      </c>
      <c r="B488" s="11">
        <v>0.015</v>
      </c>
      <c r="C488" s="11">
        <v>0.008</v>
      </c>
      <c r="D488" s="11">
        <v>81.0</v>
      </c>
      <c r="E488" s="11">
        <v>75.0</v>
      </c>
      <c r="F488" s="11">
        <v>0.249</v>
      </c>
      <c r="G488" s="11">
        <v>0.671</v>
      </c>
      <c r="H488" s="11">
        <v>0.08</v>
      </c>
      <c r="I488" s="11">
        <v>1.6337749E7</v>
      </c>
      <c r="J488" s="11">
        <v>0.874</v>
      </c>
      <c r="K488" s="12" t="s">
        <v>116</v>
      </c>
      <c r="L488" s="5" t="s">
        <v>84</v>
      </c>
      <c r="M488" s="9" t="s">
        <v>66</v>
      </c>
    </row>
    <row r="489">
      <c r="A489" s="11">
        <v>488.0</v>
      </c>
      <c r="B489" s="11">
        <v>0.015</v>
      </c>
      <c r="C489" s="11">
        <v>0.008</v>
      </c>
      <c r="D489" s="11">
        <v>81.0</v>
      </c>
      <c r="E489" s="11">
        <v>75.0</v>
      </c>
      <c r="F489" s="11">
        <v>0.243</v>
      </c>
      <c r="G489" s="11">
        <v>0.675</v>
      </c>
      <c r="H489" s="11">
        <v>0.082</v>
      </c>
      <c r="I489" s="11">
        <v>1.650453E7</v>
      </c>
      <c r="J489" s="11">
        <v>0.877</v>
      </c>
      <c r="K489" s="12" t="s">
        <v>116</v>
      </c>
      <c r="L489" s="5" t="s">
        <v>84</v>
      </c>
      <c r="M489" s="9" t="s">
        <v>67</v>
      </c>
    </row>
    <row r="490">
      <c r="A490" s="11">
        <v>489.0</v>
      </c>
      <c r="B490" s="11">
        <v>0.015</v>
      </c>
      <c r="C490" s="11">
        <v>0.008</v>
      </c>
      <c r="D490" s="11">
        <v>82.0</v>
      </c>
      <c r="E490" s="11">
        <v>76.0</v>
      </c>
      <c r="F490" s="11">
        <v>0.237</v>
      </c>
      <c r="G490" s="11">
        <v>0.678</v>
      </c>
      <c r="H490" s="11">
        <v>0.085</v>
      </c>
      <c r="I490" s="11">
        <v>1.6668892E7</v>
      </c>
      <c r="J490" s="11">
        <v>0.879</v>
      </c>
      <c r="K490" s="12" t="s">
        <v>116</v>
      </c>
      <c r="L490" s="5" t="s">
        <v>84</v>
      </c>
      <c r="M490" s="9" t="s">
        <v>68</v>
      </c>
    </row>
    <row r="491">
      <c r="A491" s="11">
        <v>490.0</v>
      </c>
      <c r="B491" s="11">
        <v>0.015</v>
      </c>
      <c r="C491" s="11">
        <v>0.008</v>
      </c>
      <c r="D491" s="11">
        <v>82.0</v>
      </c>
      <c r="E491" s="11">
        <v>76.0</v>
      </c>
      <c r="F491" s="11">
        <v>0.231</v>
      </c>
      <c r="G491" s="11">
        <v>0.682</v>
      </c>
      <c r="H491" s="11">
        <v>0.087</v>
      </c>
      <c r="I491" s="11">
        <v>1.6831184E7</v>
      </c>
      <c r="J491" s="11">
        <v>0.882</v>
      </c>
      <c r="K491" s="12" t="s">
        <v>116</v>
      </c>
      <c r="L491" s="5" t="s">
        <v>84</v>
      </c>
      <c r="M491" s="9" t="s">
        <v>69</v>
      </c>
    </row>
    <row r="492">
      <c r="A492" s="11">
        <v>491.0</v>
      </c>
      <c r="B492" s="11">
        <v>0.014</v>
      </c>
      <c r="C492" s="11">
        <v>0.008</v>
      </c>
      <c r="D492" s="11">
        <v>82.0</v>
      </c>
      <c r="E492" s="11">
        <v>76.0</v>
      </c>
      <c r="F492" s="11">
        <v>0.226</v>
      </c>
      <c r="G492" s="11">
        <v>0.685</v>
      </c>
      <c r="H492" s="11">
        <v>0.089</v>
      </c>
      <c r="I492" s="11">
        <v>1.6991729E7</v>
      </c>
      <c r="J492" s="11">
        <v>0.884</v>
      </c>
      <c r="K492" s="12" t="s">
        <v>116</v>
      </c>
      <c r="L492" s="5" t="s">
        <v>84</v>
      </c>
      <c r="M492" s="9" t="s">
        <v>70</v>
      </c>
    </row>
    <row r="493">
      <c r="A493" s="11">
        <v>492.0</v>
      </c>
      <c r="B493" s="11">
        <v>0.014</v>
      </c>
      <c r="C493" s="11">
        <v>0.008</v>
      </c>
      <c r="D493" s="11">
        <v>82.0</v>
      </c>
      <c r="E493" s="11">
        <v>76.0</v>
      </c>
      <c r="F493" s="11">
        <v>0.221</v>
      </c>
      <c r="G493" s="11">
        <v>0.687</v>
      </c>
      <c r="H493" s="11">
        <v>0.092</v>
      </c>
      <c r="I493" s="11">
        <v>1.715076E7</v>
      </c>
      <c r="J493" s="11">
        <v>0.886</v>
      </c>
      <c r="K493" s="12" t="s">
        <v>116</v>
      </c>
      <c r="L493" s="5" t="s">
        <v>84</v>
      </c>
      <c r="M493" s="9" t="s">
        <v>71</v>
      </c>
    </row>
    <row r="494">
      <c r="A494" s="11">
        <v>493.0</v>
      </c>
      <c r="B494" s="11">
        <v>0.014</v>
      </c>
      <c r="C494" s="11">
        <v>0.007</v>
      </c>
      <c r="D494" s="11">
        <v>82.0</v>
      </c>
      <c r="E494" s="11">
        <v>76.0</v>
      </c>
      <c r="F494" s="11">
        <v>0.217</v>
      </c>
      <c r="G494" s="11">
        <v>0.688</v>
      </c>
      <c r="H494" s="11">
        <v>0.094</v>
      </c>
      <c r="I494" s="11">
        <v>1.7308449E7</v>
      </c>
      <c r="J494" s="11">
        <v>0.888</v>
      </c>
      <c r="K494" s="12" t="s">
        <v>116</v>
      </c>
      <c r="L494" s="5" t="s">
        <v>84</v>
      </c>
      <c r="M494" s="9" t="s">
        <v>72</v>
      </c>
    </row>
    <row r="495">
      <c r="A495" s="11">
        <v>494.0</v>
      </c>
      <c r="B495" s="11">
        <v>0.014</v>
      </c>
      <c r="C495" s="11">
        <v>0.007</v>
      </c>
      <c r="D495" s="11">
        <v>82.0</v>
      </c>
      <c r="E495" s="11">
        <v>77.0</v>
      </c>
      <c r="F495" s="11">
        <v>0.214</v>
      </c>
      <c r="G495" s="11">
        <v>0.689</v>
      </c>
      <c r="H495" s="11">
        <v>0.097</v>
      </c>
      <c r="I495" s="11">
        <v>1.7464814E7</v>
      </c>
      <c r="J495" s="11">
        <v>0.89</v>
      </c>
      <c r="K495" s="12" t="s">
        <v>116</v>
      </c>
      <c r="L495" s="5" t="s">
        <v>84</v>
      </c>
      <c r="M495" s="9" t="s">
        <v>73</v>
      </c>
    </row>
    <row r="496">
      <c r="A496" s="11">
        <v>495.0</v>
      </c>
      <c r="B496" s="11">
        <v>0.014</v>
      </c>
      <c r="C496" s="11">
        <v>0.03</v>
      </c>
      <c r="D496" s="11">
        <v>74.0</v>
      </c>
      <c r="E496" s="11">
        <v>71.0</v>
      </c>
      <c r="F496" s="11">
        <v>0.256</v>
      </c>
      <c r="G496" s="11">
        <v>0.675</v>
      </c>
      <c r="H496" s="11">
        <v>0.069</v>
      </c>
      <c r="I496" s="11">
        <v>1.262645E9</v>
      </c>
      <c r="J496" s="11">
        <v>0.359</v>
      </c>
      <c r="K496" s="12" t="s">
        <v>117</v>
      </c>
      <c r="L496" s="5" t="s">
        <v>61</v>
      </c>
      <c r="M496" s="9" t="s">
        <v>60</v>
      </c>
    </row>
    <row r="497">
      <c r="A497" s="11">
        <v>496.0</v>
      </c>
      <c r="B497" s="11">
        <v>0.013</v>
      </c>
      <c r="C497" s="11">
        <v>0.028</v>
      </c>
      <c r="D497" s="11">
        <v>74.0</v>
      </c>
      <c r="E497" s="11">
        <v>71.0</v>
      </c>
      <c r="F497" s="11">
        <v>0.246</v>
      </c>
      <c r="G497" s="11">
        <v>0.683</v>
      </c>
      <c r="H497" s="11">
        <v>0.07</v>
      </c>
      <c r="I497" s="11">
        <v>1.27185E9</v>
      </c>
      <c r="J497" s="11">
        <v>0.371</v>
      </c>
      <c r="K497" s="12" t="s">
        <v>117</v>
      </c>
      <c r="L497" s="5" t="s">
        <v>61</v>
      </c>
      <c r="M497" s="9" t="s">
        <v>62</v>
      </c>
    </row>
    <row r="498">
      <c r="A498" s="11">
        <v>497.0</v>
      </c>
      <c r="B498" s="11">
        <v>0.013</v>
      </c>
      <c r="C498" s="11">
        <v>0.026</v>
      </c>
      <c r="D498" s="11">
        <v>74.0</v>
      </c>
      <c r="E498" s="11">
        <v>72.0</v>
      </c>
      <c r="F498" s="11">
        <v>0.236</v>
      </c>
      <c r="G498" s="11">
        <v>0.692</v>
      </c>
      <c r="H498" s="11">
        <v>0.072</v>
      </c>
      <c r="I498" s="11">
        <v>1.2804E9</v>
      </c>
      <c r="J498" s="11">
        <v>0.384</v>
      </c>
      <c r="K498" s="12" t="s">
        <v>117</v>
      </c>
      <c r="L498" s="5" t="s">
        <v>61</v>
      </c>
      <c r="M498" s="9" t="s">
        <v>63</v>
      </c>
    </row>
    <row r="499">
      <c r="A499" s="11">
        <v>498.0</v>
      </c>
      <c r="B499" s="11">
        <v>0.012</v>
      </c>
      <c r="C499" s="11">
        <v>0.024</v>
      </c>
      <c r="D499" s="11">
        <v>75.0</v>
      </c>
      <c r="E499" s="11">
        <v>72.0</v>
      </c>
      <c r="F499" s="11">
        <v>0.225</v>
      </c>
      <c r="G499" s="11">
        <v>0.702</v>
      </c>
      <c r="H499" s="11">
        <v>0.074</v>
      </c>
      <c r="I499" s="11">
        <v>1.2884E9</v>
      </c>
      <c r="J499" s="11">
        <v>0.398</v>
      </c>
      <c r="K499" s="12" t="s">
        <v>117</v>
      </c>
      <c r="L499" s="5" t="s">
        <v>61</v>
      </c>
      <c r="M499" s="9" t="s">
        <v>64</v>
      </c>
    </row>
    <row r="500">
      <c r="A500" s="11">
        <v>499.0</v>
      </c>
      <c r="B500" s="11">
        <v>0.012</v>
      </c>
      <c r="C500" s="11">
        <v>0.022</v>
      </c>
      <c r="D500" s="11">
        <v>75.0</v>
      </c>
      <c r="E500" s="11">
        <v>73.0</v>
      </c>
      <c r="F500" s="11">
        <v>0.214</v>
      </c>
      <c r="G500" s="11">
        <v>0.711</v>
      </c>
      <c r="H500" s="11">
        <v>0.075</v>
      </c>
      <c r="I500" s="11">
        <v>1.296075E9</v>
      </c>
      <c r="J500" s="11">
        <v>0.411</v>
      </c>
      <c r="K500" s="12" t="s">
        <v>117</v>
      </c>
      <c r="L500" s="5" t="s">
        <v>61</v>
      </c>
      <c r="M500" s="9" t="s">
        <v>65</v>
      </c>
    </row>
    <row r="501">
      <c r="A501" s="11">
        <v>500.0</v>
      </c>
      <c r="B501" s="11">
        <v>0.012</v>
      </c>
      <c r="C501" s="11">
        <v>0.02</v>
      </c>
      <c r="D501" s="11">
        <v>75.0</v>
      </c>
      <c r="E501" s="11">
        <v>73.0</v>
      </c>
      <c r="F501" s="11">
        <v>0.205</v>
      </c>
      <c r="G501" s="11">
        <v>0.718</v>
      </c>
      <c r="H501" s="11">
        <v>0.077</v>
      </c>
      <c r="I501" s="11">
        <v>1.30372E9</v>
      </c>
      <c r="J501" s="11">
        <v>0.425</v>
      </c>
      <c r="K501" s="12" t="s">
        <v>117</v>
      </c>
      <c r="L501" s="5" t="s">
        <v>61</v>
      </c>
      <c r="M501" s="9" t="s">
        <v>66</v>
      </c>
    </row>
    <row r="502">
      <c r="A502" s="11">
        <v>501.0</v>
      </c>
      <c r="B502" s="11">
        <v>0.012</v>
      </c>
      <c r="C502" s="11">
        <v>0.019</v>
      </c>
      <c r="D502" s="11">
        <v>76.0</v>
      </c>
      <c r="E502" s="11">
        <v>73.0</v>
      </c>
      <c r="F502" s="11">
        <v>0.198</v>
      </c>
      <c r="G502" s="11">
        <v>0.724</v>
      </c>
      <c r="H502" s="11">
        <v>0.078</v>
      </c>
      <c r="I502" s="11">
        <v>1.31102E9</v>
      </c>
      <c r="J502" s="11">
        <v>0.439</v>
      </c>
      <c r="K502" s="12" t="s">
        <v>117</v>
      </c>
      <c r="L502" s="5" t="s">
        <v>61</v>
      </c>
      <c r="M502" s="9" t="s">
        <v>67</v>
      </c>
    </row>
    <row r="503">
      <c r="A503" s="11">
        <v>502.0</v>
      </c>
      <c r="B503" s="11">
        <v>0.012</v>
      </c>
      <c r="C503" s="11">
        <v>0.017</v>
      </c>
      <c r="D503" s="11">
        <v>76.0</v>
      </c>
      <c r="E503" s="11">
        <v>73.0</v>
      </c>
      <c r="F503" s="11">
        <v>0.192</v>
      </c>
      <c r="G503" s="11">
        <v>0.729</v>
      </c>
      <c r="H503" s="11">
        <v>0.079</v>
      </c>
      <c r="I503" s="11">
        <v>1.317885E9</v>
      </c>
      <c r="J503" s="11">
        <v>0.452</v>
      </c>
      <c r="K503" s="12" t="s">
        <v>117</v>
      </c>
      <c r="L503" s="5" t="s">
        <v>61</v>
      </c>
      <c r="M503" s="9" t="s">
        <v>68</v>
      </c>
    </row>
    <row r="504">
      <c r="A504" s="11">
        <v>503.0</v>
      </c>
      <c r="B504" s="11">
        <v>0.012</v>
      </c>
      <c r="C504" s="11">
        <v>0.016</v>
      </c>
      <c r="D504" s="11">
        <v>76.0</v>
      </c>
      <c r="E504" s="11">
        <v>73.0</v>
      </c>
      <c r="F504" s="11">
        <v>0.187</v>
      </c>
      <c r="G504" s="11">
        <v>0.732</v>
      </c>
      <c r="H504" s="11">
        <v>0.081</v>
      </c>
      <c r="I504" s="11">
        <v>1.324655E9</v>
      </c>
      <c r="J504" s="11">
        <v>0.465</v>
      </c>
      <c r="K504" s="12" t="s">
        <v>117</v>
      </c>
      <c r="L504" s="5" t="s">
        <v>61</v>
      </c>
      <c r="M504" s="9" t="s">
        <v>69</v>
      </c>
    </row>
    <row r="505">
      <c r="A505" s="11">
        <v>504.0</v>
      </c>
      <c r="B505" s="11">
        <v>0.012</v>
      </c>
      <c r="C505" s="11">
        <v>0.015</v>
      </c>
      <c r="D505" s="11">
        <v>76.0</v>
      </c>
      <c r="E505" s="11">
        <v>73.0</v>
      </c>
      <c r="F505" s="11">
        <v>0.184</v>
      </c>
      <c r="G505" s="11">
        <v>0.734</v>
      </c>
      <c r="H505" s="11">
        <v>0.082</v>
      </c>
      <c r="I505" s="11">
        <v>1.33126E9</v>
      </c>
      <c r="J505" s="11">
        <v>0.479</v>
      </c>
      <c r="K505" s="12" t="s">
        <v>117</v>
      </c>
      <c r="L505" s="5" t="s">
        <v>61</v>
      </c>
      <c r="M505" s="9" t="s">
        <v>70</v>
      </c>
    </row>
    <row r="506">
      <c r="A506" s="11">
        <v>505.0</v>
      </c>
      <c r="B506" s="11">
        <v>0.012</v>
      </c>
      <c r="C506" s="11">
        <v>0.014</v>
      </c>
      <c r="D506" s="11">
        <v>76.0</v>
      </c>
      <c r="E506" s="11">
        <v>74.0</v>
      </c>
      <c r="F506" s="11">
        <v>0.181</v>
      </c>
      <c r="G506" s="11">
        <v>0.735</v>
      </c>
      <c r="H506" s="11">
        <v>0.084</v>
      </c>
      <c r="I506" s="11">
        <v>1.337705E9</v>
      </c>
      <c r="J506" s="11">
        <v>0.492</v>
      </c>
      <c r="K506" s="12" t="s">
        <v>117</v>
      </c>
      <c r="L506" s="5" t="s">
        <v>61</v>
      </c>
      <c r="M506" s="9" t="s">
        <v>71</v>
      </c>
    </row>
    <row r="507">
      <c r="A507" s="11">
        <v>506.0</v>
      </c>
      <c r="B507" s="11">
        <v>0.012</v>
      </c>
      <c r="C507" s="11">
        <v>0.013</v>
      </c>
      <c r="D507" s="11">
        <v>76.0</v>
      </c>
      <c r="E507" s="11">
        <v>74.0</v>
      </c>
      <c r="F507" s="11">
        <v>0.18</v>
      </c>
      <c r="G507" s="11">
        <v>0.735</v>
      </c>
      <c r="H507" s="11">
        <v>0.085</v>
      </c>
      <c r="I507" s="11">
        <v>1.34413E9</v>
      </c>
      <c r="J507" s="11">
        <v>0.506</v>
      </c>
      <c r="K507" s="12" t="s">
        <v>117</v>
      </c>
      <c r="L507" s="5" t="s">
        <v>61</v>
      </c>
      <c r="M507" s="9" t="s">
        <v>72</v>
      </c>
    </row>
    <row r="508">
      <c r="A508" s="11">
        <v>507.0</v>
      </c>
      <c r="B508" s="11">
        <v>0.012</v>
      </c>
      <c r="C508" s="11">
        <v>0.012</v>
      </c>
      <c r="D508" s="11">
        <v>77.0</v>
      </c>
      <c r="E508" s="11">
        <v>74.0</v>
      </c>
      <c r="F508" s="11">
        <v>0.18</v>
      </c>
      <c r="G508" s="11">
        <v>0.733</v>
      </c>
      <c r="H508" s="11">
        <v>0.087</v>
      </c>
      <c r="I508" s="11">
        <v>1.350695E9</v>
      </c>
      <c r="J508" s="11">
        <v>0.519</v>
      </c>
      <c r="K508" s="12" t="s">
        <v>117</v>
      </c>
      <c r="L508" s="5" t="s">
        <v>61</v>
      </c>
      <c r="M508" s="9" t="s">
        <v>73</v>
      </c>
    </row>
    <row r="509">
      <c r="A509" s="11">
        <v>508.0</v>
      </c>
      <c r="B509" s="11">
        <v>0.023</v>
      </c>
      <c r="C509" s="11">
        <v>0.021</v>
      </c>
      <c r="D509" s="11">
        <v>75.0</v>
      </c>
      <c r="E509" s="11">
        <v>67.0</v>
      </c>
      <c r="F509" s="11">
        <v>0.328</v>
      </c>
      <c r="G509" s="11">
        <v>0.624</v>
      </c>
      <c r="H509" s="11">
        <v>0.047</v>
      </c>
      <c r="I509" s="11">
        <v>3.9897984E7</v>
      </c>
      <c r="J509" s="11">
        <v>0.721</v>
      </c>
      <c r="K509" s="12" t="s">
        <v>118</v>
      </c>
      <c r="L509" s="5" t="s">
        <v>84</v>
      </c>
      <c r="M509" s="9" t="s">
        <v>60</v>
      </c>
    </row>
    <row r="510">
      <c r="A510" s="11">
        <v>509.0</v>
      </c>
      <c r="B510" s="11">
        <v>0.023</v>
      </c>
      <c r="C510" s="11">
        <v>0.021</v>
      </c>
      <c r="D510" s="11">
        <v>75.0</v>
      </c>
      <c r="E510" s="11">
        <v>68.0</v>
      </c>
      <c r="F510" s="11">
        <v>0.324</v>
      </c>
      <c r="G510" s="11">
        <v>0.628</v>
      </c>
      <c r="H510" s="11">
        <v>0.048</v>
      </c>
      <c r="I510" s="11">
        <v>4.0558648E7</v>
      </c>
      <c r="J510" s="11">
        <v>0.724</v>
      </c>
      <c r="K510" s="12" t="s">
        <v>118</v>
      </c>
      <c r="L510" s="5" t="s">
        <v>84</v>
      </c>
      <c r="M510" s="9" t="s">
        <v>62</v>
      </c>
    </row>
    <row r="511">
      <c r="A511" s="11">
        <v>510.0</v>
      </c>
      <c r="B511" s="11">
        <v>0.022</v>
      </c>
      <c r="C511" s="11">
        <v>0.02</v>
      </c>
      <c r="D511" s="11">
        <v>75.0</v>
      </c>
      <c r="E511" s="11">
        <v>68.0</v>
      </c>
      <c r="F511" s="11">
        <v>0.32</v>
      </c>
      <c r="G511" s="11">
        <v>0.631</v>
      </c>
      <c r="H511" s="11">
        <v>0.049</v>
      </c>
      <c r="I511" s="11">
        <v>4.1216304E7</v>
      </c>
      <c r="J511" s="11">
        <v>0.727</v>
      </c>
      <c r="K511" s="12" t="s">
        <v>118</v>
      </c>
      <c r="L511" s="5" t="s">
        <v>84</v>
      </c>
      <c r="M511" s="9" t="s">
        <v>63</v>
      </c>
    </row>
    <row r="512">
      <c r="A512" s="11">
        <v>511.0</v>
      </c>
      <c r="B512" s="11">
        <v>0.022</v>
      </c>
      <c r="C512" s="11">
        <v>0.02</v>
      </c>
      <c r="D512" s="11">
        <v>76.0</v>
      </c>
      <c r="E512" s="11">
        <v>68.0</v>
      </c>
      <c r="F512" s="11">
        <v>0.316</v>
      </c>
      <c r="G512" s="11">
        <v>0.635</v>
      </c>
      <c r="H512" s="11">
        <v>0.049</v>
      </c>
      <c r="I512" s="11">
        <v>4.1872051E7</v>
      </c>
      <c r="J512" s="11">
        <v>0.73</v>
      </c>
      <c r="K512" s="12" t="s">
        <v>118</v>
      </c>
      <c r="L512" s="5" t="s">
        <v>84</v>
      </c>
      <c r="M512" s="9" t="s">
        <v>64</v>
      </c>
    </row>
    <row r="513">
      <c r="A513" s="11">
        <v>512.0</v>
      </c>
      <c r="B513" s="11">
        <v>0.022</v>
      </c>
      <c r="C513" s="11">
        <v>0.019</v>
      </c>
      <c r="D513" s="11">
        <v>76.0</v>
      </c>
      <c r="E513" s="11">
        <v>68.0</v>
      </c>
      <c r="F513" s="11">
        <v>0.312</v>
      </c>
      <c r="G513" s="11">
        <v>0.638</v>
      </c>
      <c r="H513" s="11">
        <v>0.05</v>
      </c>
      <c r="I513" s="11">
        <v>4.2527623E7</v>
      </c>
      <c r="J513" s="11">
        <v>0.733</v>
      </c>
      <c r="K513" s="12" t="s">
        <v>118</v>
      </c>
      <c r="L513" s="5" t="s">
        <v>84</v>
      </c>
      <c r="M513" s="9" t="s">
        <v>65</v>
      </c>
    </row>
    <row r="514">
      <c r="A514" s="11">
        <v>513.0</v>
      </c>
      <c r="B514" s="11">
        <v>0.021</v>
      </c>
      <c r="C514" s="11">
        <v>0.018</v>
      </c>
      <c r="D514" s="11">
        <v>76.0</v>
      </c>
      <c r="E514" s="11">
        <v>69.0</v>
      </c>
      <c r="F514" s="11">
        <v>0.308</v>
      </c>
      <c r="G514" s="11">
        <v>0.642</v>
      </c>
      <c r="H514" s="11">
        <v>0.051</v>
      </c>
      <c r="I514" s="11">
        <v>4.3184026E7</v>
      </c>
      <c r="J514" s="11">
        <v>0.736</v>
      </c>
      <c r="K514" s="12" t="s">
        <v>118</v>
      </c>
      <c r="L514" s="5" t="s">
        <v>84</v>
      </c>
      <c r="M514" s="9" t="s">
        <v>66</v>
      </c>
    </row>
    <row r="515">
      <c r="A515" s="11">
        <v>514.0</v>
      </c>
      <c r="B515" s="11">
        <v>0.021</v>
      </c>
      <c r="C515" s="11">
        <v>0.018</v>
      </c>
      <c r="D515" s="11">
        <v>76.0</v>
      </c>
      <c r="E515" s="11">
        <v>69.0</v>
      </c>
      <c r="F515" s="11">
        <v>0.304</v>
      </c>
      <c r="G515" s="11">
        <v>0.645</v>
      </c>
      <c r="H515" s="11">
        <v>0.052</v>
      </c>
      <c r="I515" s="11">
        <v>4.384137E7</v>
      </c>
      <c r="J515" s="11">
        <v>0.739</v>
      </c>
      <c r="K515" s="12" t="s">
        <v>118</v>
      </c>
      <c r="L515" s="5" t="s">
        <v>84</v>
      </c>
      <c r="M515" s="9" t="s">
        <v>67</v>
      </c>
    </row>
    <row r="516">
      <c r="A516" s="11">
        <v>515.0</v>
      </c>
      <c r="B516" s="11">
        <v>0.021</v>
      </c>
      <c r="C516" s="11">
        <v>0.017</v>
      </c>
      <c r="D516" s="11">
        <v>77.0</v>
      </c>
      <c r="E516" s="11">
        <v>69.0</v>
      </c>
      <c r="F516" s="11">
        <v>0.3</v>
      </c>
      <c r="G516" s="11">
        <v>0.648</v>
      </c>
      <c r="H516" s="11">
        <v>0.052</v>
      </c>
      <c r="I516" s="11">
        <v>4.449839E7</v>
      </c>
      <c r="J516" s="11">
        <v>0.742</v>
      </c>
      <c r="K516" s="12" t="s">
        <v>118</v>
      </c>
      <c r="L516" s="5" t="s">
        <v>84</v>
      </c>
      <c r="M516" s="9" t="s">
        <v>68</v>
      </c>
    </row>
    <row r="517">
      <c r="A517" s="11">
        <v>516.0</v>
      </c>
      <c r="B517" s="11">
        <v>0.02</v>
      </c>
      <c r="C517" s="11">
        <v>0.017</v>
      </c>
      <c r="D517" s="11">
        <v>77.0</v>
      </c>
      <c r="E517" s="11">
        <v>69.0</v>
      </c>
      <c r="F517" s="11">
        <v>0.295</v>
      </c>
      <c r="G517" s="11">
        <v>0.651</v>
      </c>
      <c r="H517" s="11">
        <v>0.054</v>
      </c>
      <c r="I517" s="11">
        <v>4.5153037E7</v>
      </c>
      <c r="J517" s="11">
        <v>0.745</v>
      </c>
      <c r="K517" s="12" t="s">
        <v>118</v>
      </c>
      <c r="L517" s="5" t="s">
        <v>84</v>
      </c>
      <c r="M517" s="9" t="s">
        <v>69</v>
      </c>
    </row>
    <row r="518">
      <c r="A518" s="11">
        <v>517.0</v>
      </c>
      <c r="B518" s="11">
        <v>0.02</v>
      </c>
      <c r="C518" s="11">
        <v>0.016</v>
      </c>
      <c r="D518" s="11">
        <v>77.0</v>
      </c>
      <c r="E518" s="11">
        <v>70.0</v>
      </c>
      <c r="F518" s="11">
        <v>0.291</v>
      </c>
      <c r="G518" s="11">
        <v>0.654</v>
      </c>
      <c r="H518" s="11">
        <v>0.055</v>
      </c>
      <c r="I518" s="11">
        <v>4.5802561E7</v>
      </c>
      <c r="J518" s="11">
        <v>0.747</v>
      </c>
      <c r="K518" s="12" t="s">
        <v>118</v>
      </c>
      <c r="L518" s="5" t="s">
        <v>84</v>
      </c>
      <c r="M518" s="9" t="s">
        <v>70</v>
      </c>
    </row>
    <row r="519">
      <c r="A519" s="11">
        <v>518.0</v>
      </c>
      <c r="B519" s="11">
        <v>0.02</v>
      </c>
      <c r="C519" s="11">
        <v>0.016</v>
      </c>
      <c r="D519" s="11">
        <v>77.0</v>
      </c>
      <c r="E519" s="11">
        <v>70.0</v>
      </c>
      <c r="F519" s="11">
        <v>0.288</v>
      </c>
      <c r="G519" s="11">
        <v>0.656</v>
      </c>
      <c r="H519" s="11">
        <v>0.056</v>
      </c>
      <c r="I519" s="11">
        <v>4.6444798E7</v>
      </c>
      <c r="J519" s="11">
        <v>0.75</v>
      </c>
      <c r="K519" s="12" t="s">
        <v>118</v>
      </c>
      <c r="L519" s="5" t="s">
        <v>84</v>
      </c>
      <c r="M519" s="9" t="s">
        <v>71</v>
      </c>
    </row>
    <row r="520">
      <c r="A520" s="11">
        <v>519.0</v>
      </c>
      <c r="B520" s="11">
        <v>0.019</v>
      </c>
      <c r="C520" s="11">
        <v>0.015</v>
      </c>
      <c r="D520" s="11">
        <v>77.0</v>
      </c>
      <c r="E520" s="11">
        <v>70.0</v>
      </c>
      <c r="F520" s="11">
        <v>0.284</v>
      </c>
      <c r="G520" s="11">
        <v>0.658</v>
      </c>
      <c r="H520" s="11">
        <v>0.058</v>
      </c>
      <c r="I520" s="11">
        <v>4.7078792E7</v>
      </c>
      <c r="J520" s="11">
        <v>0.753</v>
      </c>
      <c r="K520" s="12" t="s">
        <v>118</v>
      </c>
      <c r="L520" s="5" t="s">
        <v>84</v>
      </c>
      <c r="M520" s="9" t="s">
        <v>72</v>
      </c>
    </row>
    <row r="521">
      <c r="A521" s="11">
        <v>520.0</v>
      </c>
      <c r="B521" s="11">
        <v>0.019</v>
      </c>
      <c r="C521" s="11">
        <v>0.015</v>
      </c>
      <c r="D521" s="11">
        <v>78.0</v>
      </c>
      <c r="E521" s="11">
        <v>70.0</v>
      </c>
      <c r="F521" s="11">
        <v>0.28</v>
      </c>
      <c r="G521" s="11">
        <v>0.66</v>
      </c>
      <c r="H521" s="11">
        <v>0.06</v>
      </c>
      <c r="I521" s="11">
        <v>4.7704427E7</v>
      </c>
      <c r="J521" s="11">
        <v>0.756</v>
      </c>
      <c r="K521" s="12" t="s">
        <v>118</v>
      </c>
      <c r="L521" s="5" t="s">
        <v>84</v>
      </c>
      <c r="M521" s="9" t="s">
        <v>73</v>
      </c>
    </row>
    <row r="522">
      <c r="A522" s="11">
        <v>521.0</v>
      </c>
      <c r="B522" s="11">
        <v>0.039</v>
      </c>
      <c r="C522" s="11">
        <v>0.073</v>
      </c>
      <c r="D522" s="11">
        <v>59.0</v>
      </c>
      <c r="E522" s="11">
        <v>56.0</v>
      </c>
      <c r="F522" s="11">
        <v>0.415</v>
      </c>
      <c r="G522" s="11">
        <v>0.554</v>
      </c>
      <c r="H522" s="11">
        <v>0.031</v>
      </c>
      <c r="I522" s="11">
        <v>528312.0</v>
      </c>
      <c r="J522" s="11">
        <v>0.281</v>
      </c>
      <c r="K522" s="12" t="s">
        <v>119</v>
      </c>
      <c r="L522" s="5" t="s">
        <v>77</v>
      </c>
      <c r="M522" s="9" t="s">
        <v>60</v>
      </c>
    </row>
    <row r="523">
      <c r="A523" s="11">
        <v>522.0</v>
      </c>
      <c r="B523" s="11">
        <v>0.039</v>
      </c>
      <c r="C523" s="11">
        <v>0.073</v>
      </c>
      <c r="D523" s="11">
        <v>60.0</v>
      </c>
      <c r="E523" s="11">
        <v>57.0</v>
      </c>
      <c r="F523" s="11">
        <v>0.414</v>
      </c>
      <c r="G523" s="11">
        <v>0.555</v>
      </c>
      <c r="H523" s="11">
        <v>0.031</v>
      </c>
      <c r="I523" s="11">
        <v>541976.0</v>
      </c>
      <c r="J523" s="11">
        <v>0.28</v>
      </c>
      <c r="K523" s="12" t="s">
        <v>119</v>
      </c>
      <c r="L523" s="5" t="s">
        <v>77</v>
      </c>
      <c r="M523" s="9" t="s">
        <v>62</v>
      </c>
    </row>
    <row r="524">
      <c r="A524" s="11">
        <v>523.0</v>
      </c>
      <c r="B524" s="11">
        <v>0.039</v>
      </c>
      <c r="C524" s="11">
        <v>0.072</v>
      </c>
      <c r="D524" s="11">
        <v>60.0</v>
      </c>
      <c r="E524" s="11">
        <v>57.0</v>
      </c>
      <c r="F524" s="11">
        <v>0.413</v>
      </c>
      <c r="G524" s="11">
        <v>0.556</v>
      </c>
      <c r="H524" s="11">
        <v>0.031</v>
      </c>
      <c r="I524" s="11">
        <v>556028.0</v>
      </c>
      <c r="J524" s="11">
        <v>0.28</v>
      </c>
      <c r="K524" s="12" t="s">
        <v>119</v>
      </c>
      <c r="L524" s="5" t="s">
        <v>77</v>
      </c>
      <c r="M524" s="9" t="s">
        <v>63</v>
      </c>
    </row>
    <row r="525">
      <c r="A525" s="11">
        <v>524.0</v>
      </c>
      <c r="B525" s="11">
        <v>0.039</v>
      </c>
      <c r="C525" s="11">
        <v>0.072</v>
      </c>
      <c r="D525" s="11">
        <v>60.0</v>
      </c>
      <c r="E525" s="11">
        <v>57.0</v>
      </c>
      <c r="F525" s="11">
        <v>0.414</v>
      </c>
      <c r="G525" s="11">
        <v>0.556</v>
      </c>
      <c r="H525" s="11">
        <v>0.03</v>
      </c>
      <c r="I525" s="11">
        <v>570491.0</v>
      </c>
      <c r="J525" s="11">
        <v>0.279</v>
      </c>
      <c r="K525" s="12" t="s">
        <v>119</v>
      </c>
      <c r="L525" s="5" t="s">
        <v>77</v>
      </c>
      <c r="M525" s="9" t="s">
        <v>64</v>
      </c>
    </row>
    <row r="526">
      <c r="A526" s="11">
        <v>525.0</v>
      </c>
      <c r="B526" s="11">
        <v>0.039</v>
      </c>
      <c r="C526" s="11">
        <v>0.071</v>
      </c>
      <c r="D526" s="11">
        <v>60.0</v>
      </c>
      <c r="E526" s="11">
        <v>57.0</v>
      </c>
      <c r="F526" s="11">
        <v>0.414</v>
      </c>
      <c r="G526" s="11">
        <v>0.556</v>
      </c>
      <c r="H526" s="11">
        <v>0.03</v>
      </c>
      <c r="I526" s="11">
        <v>585389.0</v>
      </c>
      <c r="J526" s="11">
        <v>0.279</v>
      </c>
      <c r="K526" s="12" t="s">
        <v>119</v>
      </c>
      <c r="L526" s="5" t="s">
        <v>77</v>
      </c>
      <c r="M526" s="9" t="s">
        <v>65</v>
      </c>
    </row>
    <row r="527">
      <c r="A527" s="11">
        <v>526.0</v>
      </c>
      <c r="B527" s="11">
        <v>0.039</v>
      </c>
      <c r="C527" s="11">
        <v>0.07</v>
      </c>
      <c r="D527" s="11">
        <v>60.0</v>
      </c>
      <c r="E527" s="11">
        <v>58.0</v>
      </c>
      <c r="F527" s="11">
        <v>0.415</v>
      </c>
      <c r="G527" s="11">
        <v>0.555</v>
      </c>
      <c r="H527" s="11">
        <v>0.03</v>
      </c>
      <c r="I527" s="11">
        <v>600733.0</v>
      </c>
      <c r="J527" s="11">
        <v>0.279</v>
      </c>
      <c r="K527" s="12" t="s">
        <v>119</v>
      </c>
      <c r="L527" s="5" t="s">
        <v>77</v>
      </c>
      <c r="M527" s="9" t="s">
        <v>66</v>
      </c>
    </row>
    <row r="528">
      <c r="A528" s="11">
        <v>527.0</v>
      </c>
      <c r="B528" s="11">
        <v>0.039</v>
      </c>
      <c r="C528" s="11">
        <v>0.069</v>
      </c>
      <c r="D528" s="11">
        <v>61.0</v>
      </c>
      <c r="E528" s="11">
        <v>58.0</v>
      </c>
      <c r="F528" s="11">
        <v>0.417</v>
      </c>
      <c r="G528" s="11">
        <v>0.553</v>
      </c>
      <c r="H528" s="11">
        <v>0.03</v>
      </c>
      <c r="I528" s="11">
        <v>616526.0</v>
      </c>
      <c r="J528" s="11">
        <v>0.279</v>
      </c>
      <c r="K528" s="12" t="s">
        <v>119</v>
      </c>
      <c r="L528" s="5" t="s">
        <v>77</v>
      </c>
      <c r="M528" s="9" t="s">
        <v>67</v>
      </c>
    </row>
    <row r="529">
      <c r="A529" s="11">
        <v>528.0</v>
      </c>
      <c r="B529" s="11">
        <v>0.039</v>
      </c>
      <c r="C529" s="11">
        <v>0.068</v>
      </c>
      <c r="D529" s="11">
        <v>61.0</v>
      </c>
      <c r="E529" s="11">
        <v>58.0</v>
      </c>
      <c r="F529" s="11">
        <v>0.418</v>
      </c>
      <c r="G529" s="11">
        <v>0.552</v>
      </c>
      <c r="H529" s="11">
        <v>0.03</v>
      </c>
      <c r="I529" s="11">
        <v>632736.0</v>
      </c>
      <c r="J529" s="11">
        <v>0.279</v>
      </c>
      <c r="K529" s="12" t="s">
        <v>119</v>
      </c>
      <c r="L529" s="5" t="s">
        <v>77</v>
      </c>
      <c r="M529" s="9" t="s">
        <v>68</v>
      </c>
    </row>
    <row r="530">
      <c r="A530" s="11">
        <v>529.0</v>
      </c>
      <c r="B530" s="11">
        <v>0.038</v>
      </c>
      <c r="C530" s="11">
        <v>0.066</v>
      </c>
      <c r="D530" s="11">
        <v>61.0</v>
      </c>
      <c r="E530" s="11">
        <v>58.0</v>
      </c>
      <c r="F530" s="11">
        <v>0.42</v>
      </c>
      <c r="G530" s="11">
        <v>0.55</v>
      </c>
      <c r="H530" s="11">
        <v>0.03</v>
      </c>
      <c r="I530" s="11">
        <v>649291.0</v>
      </c>
      <c r="J530" s="11">
        <v>0.279</v>
      </c>
      <c r="K530" s="12" t="s">
        <v>119</v>
      </c>
      <c r="L530" s="5" t="s">
        <v>77</v>
      </c>
      <c r="M530" s="9" t="s">
        <v>69</v>
      </c>
    </row>
    <row r="531">
      <c r="A531" s="11">
        <v>530.0</v>
      </c>
      <c r="B531" s="11">
        <v>0.038</v>
      </c>
      <c r="C531" s="11">
        <v>0.065</v>
      </c>
      <c r="D531" s="11">
        <v>61.0</v>
      </c>
      <c r="E531" s="11">
        <v>59.0</v>
      </c>
      <c r="F531" s="11">
        <v>0.421</v>
      </c>
      <c r="G531" s="11">
        <v>0.549</v>
      </c>
      <c r="H531" s="11">
        <v>0.029</v>
      </c>
      <c r="I531" s="11">
        <v>666097.0</v>
      </c>
      <c r="J531" s="11">
        <v>0.279</v>
      </c>
      <c r="K531" s="12" t="s">
        <v>119</v>
      </c>
      <c r="L531" s="5" t="s">
        <v>77</v>
      </c>
      <c r="M531" s="9" t="s">
        <v>70</v>
      </c>
    </row>
    <row r="532">
      <c r="A532" s="11">
        <v>531.0</v>
      </c>
      <c r="B532" s="11">
        <v>0.037</v>
      </c>
      <c r="C532" s="11">
        <v>0.063</v>
      </c>
      <c r="D532" s="11">
        <v>62.0</v>
      </c>
      <c r="E532" s="11">
        <v>59.0</v>
      </c>
      <c r="F532" s="11">
        <v>0.422</v>
      </c>
      <c r="G532" s="11">
        <v>0.549</v>
      </c>
      <c r="H532" s="11">
        <v>0.029</v>
      </c>
      <c r="I532" s="11">
        <v>683081.0</v>
      </c>
      <c r="J532" s="11">
        <v>0.279</v>
      </c>
      <c r="K532" s="12" t="s">
        <v>119</v>
      </c>
      <c r="L532" s="5" t="s">
        <v>77</v>
      </c>
      <c r="M532" s="9" t="s">
        <v>71</v>
      </c>
    </row>
    <row r="533">
      <c r="A533" s="11">
        <v>532.0</v>
      </c>
      <c r="B533" s="11">
        <v>0.036</v>
      </c>
      <c r="C533" s="11">
        <v>0.061</v>
      </c>
      <c r="D533" s="11">
        <v>62.0</v>
      </c>
      <c r="E533" s="11">
        <v>59.0</v>
      </c>
      <c r="F533" s="11">
        <v>0.422</v>
      </c>
      <c r="G533" s="11">
        <v>0.549</v>
      </c>
      <c r="H533" s="11">
        <v>0.029</v>
      </c>
      <c r="I533" s="11">
        <v>700216.0</v>
      </c>
      <c r="J533" s="11">
        <v>0.28</v>
      </c>
      <c r="K533" s="12" t="s">
        <v>119</v>
      </c>
      <c r="L533" s="5" t="s">
        <v>77</v>
      </c>
      <c r="M533" s="9" t="s">
        <v>72</v>
      </c>
    </row>
    <row r="534">
      <c r="A534" s="11">
        <v>533.0</v>
      </c>
      <c r="B534" s="11">
        <v>0.036</v>
      </c>
      <c r="C534" s="11">
        <v>0.059</v>
      </c>
      <c r="D534" s="11">
        <v>62.0</v>
      </c>
      <c r="E534" s="11">
        <v>59.0</v>
      </c>
      <c r="F534" s="11">
        <v>0.422</v>
      </c>
      <c r="G534" s="11">
        <v>0.55</v>
      </c>
      <c r="H534" s="11">
        <v>0.029</v>
      </c>
      <c r="I534" s="11">
        <v>717503.0</v>
      </c>
      <c r="J534" s="11">
        <v>0.28</v>
      </c>
      <c r="K534" s="12" t="s">
        <v>119</v>
      </c>
      <c r="L534" s="5" t="s">
        <v>77</v>
      </c>
      <c r="M534" s="9" t="s">
        <v>73</v>
      </c>
    </row>
    <row r="535">
      <c r="A535" s="11">
        <v>534.0</v>
      </c>
      <c r="B535" s="11">
        <v>0.039</v>
      </c>
      <c r="C535" s="11">
        <v>0.077</v>
      </c>
      <c r="D535" s="11">
        <v>53.0</v>
      </c>
      <c r="E535" s="11">
        <v>51.0</v>
      </c>
      <c r="F535" s="11">
        <v>0.419</v>
      </c>
      <c r="G535" s="11">
        <v>0.545</v>
      </c>
      <c r="H535" s="11">
        <v>0.036</v>
      </c>
      <c r="I535" s="11">
        <v>3126204.0</v>
      </c>
      <c r="J535" s="11">
        <v>0.587</v>
      </c>
      <c r="K535" s="12" t="s">
        <v>120</v>
      </c>
      <c r="L535" s="5" t="s">
        <v>77</v>
      </c>
      <c r="M535" s="9" t="s">
        <v>60</v>
      </c>
    </row>
    <row r="536">
      <c r="A536" s="11">
        <v>535.0</v>
      </c>
      <c r="B536" s="11">
        <v>0.039</v>
      </c>
      <c r="C536" s="11">
        <v>0.075</v>
      </c>
      <c r="D536" s="11">
        <v>54.0</v>
      </c>
      <c r="E536" s="11">
        <v>51.0</v>
      </c>
      <c r="F536" s="11">
        <v>0.419</v>
      </c>
      <c r="G536" s="11">
        <v>0.545</v>
      </c>
      <c r="H536" s="11">
        <v>0.036</v>
      </c>
      <c r="I536" s="11">
        <v>3205636.0</v>
      </c>
      <c r="J536" s="11">
        <v>0.592</v>
      </c>
      <c r="K536" s="12" t="s">
        <v>120</v>
      </c>
      <c r="L536" s="5" t="s">
        <v>77</v>
      </c>
      <c r="M536" s="9" t="s">
        <v>62</v>
      </c>
    </row>
    <row r="537">
      <c r="A537" s="11">
        <v>536.0</v>
      </c>
      <c r="B537" s="11">
        <v>0.039</v>
      </c>
      <c r="C537" s="11">
        <v>0.073</v>
      </c>
      <c r="D537" s="11">
        <v>54.0</v>
      </c>
      <c r="E537" s="11">
        <v>52.0</v>
      </c>
      <c r="F537" s="11">
        <v>0.42</v>
      </c>
      <c r="G537" s="11">
        <v>0.545</v>
      </c>
      <c r="H537" s="11">
        <v>0.036</v>
      </c>
      <c r="I537" s="11">
        <v>3283719.0</v>
      </c>
      <c r="J537" s="11">
        <v>0.596</v>
      </c>
      <c r="K537" s="12" t="s">
        <v>120</v>
      </c>
      <c r="L537" s="5" t="s">
        <v>77</v>
      </c>
      <c r="M537" s="9" t="s">
        <v>63</v>
      </c>
    </row>
    <row r="538">
      <c r="A538" s="11">
        <v>537.0</v>
      </c>
      <c r="B538" s="11">
        <v>0.039</v>
      </c>
      <c r="C538" s="11">
        <v>0.07</v>
      </c>
      <c r="D538" s="11">
        <v>54.0</v>
      </c>
      <c r="E538" s="11">
        <v>52.0</v>
      </c>
      <c r="F538" s="11">
        <v>0.421</v>
      </c>
      <c r="G538" s="11">
        <v>0.544</v>
      </c>
      <c r="H538" s="11">
        <v>0.036</v>
      </c>
      <c r="I538" s="11">
        <v>3363418.0</v>
      </c>
      <c r="J538" s="11">
        <v>0.601</v>
      </c>
      <c r="K538" s="12" t="s">
        <v>120</v>
      </c>
      <c r="L538" s="5" t="s">
        <v>77</v>
      </c>
      <c r="M538" s="9" t="s">
        <v>64</v>
      </c>
    </row>
    <row r="539">
      <c r="A539" s="11">
        <v>538.0</v>
      </c>
      <c r="B539" s="11">
        <v>0.039</v>
      </c>
      <c r="C539" s="11">
        <v>0.066</v>
      </c>
      <c r="D539" s="11">
        <v>55.0</v>
      </c>
      <c r="E539" s="11">
        <v>52.0</v>
      </c>
      <c r="F539" s="11">
        <v>0.422</v>
      </c>
      <c r="G539" s="11">
        <v>0.543</v>
      </c>
      <c r="H539" s="11">
        <v>0.035</v>
      </c>
      <c r="I539" s="11">
        <v>3448868.0</v>
      </c>
      <c r="J539" s="11">
        <v>0.605</v>
      </c>
      <c r="K539" s="12" t="s">
        <v>120</v>
      </c>
      <c r="L539" s="5" t="s">
        <v>77</v>
      </c>
      <c r="M539" s="9" t="s">
        <v>65</v>
      </c>
    </row>
    <row r="540">
      <c r="A540" s="11">
        <v>539.0</v>
      </c>
      <c r="B540" s="11">
        <v>0.039</v>
      </c>
      <c r="C540" s="11">
        <v>0.062</v>
      </c>
      <c r="D540" s="11">
        <v>55.0</v>
      </c>
      <c r="E540" s="11">
        <v>53.0</v>
      </c>
      <c r="F540" s="11">
        <v>0.422</v>
      </c>
      <c r="G540" s="11">
        <v>0.543</v>
      </c>
      <c r="H540" s="11">
        <v>0.035</v>
      </c>
      <c r="I540" s="11">
        <v>3542867.0</v>
      </c>
      <c r="J540" s="11">
        <v>0.61</v>
      </c>
      <c r="K540" s="12" t="s">
        <v>120</v>
      </c>
      <c r="L540" s="5" t="s">
        <v>77</v>
      </c>
      <c r="M540" s="9" t="s">
        <v>66</v>
      </c>
    </row>
    <row r="541">
      <c r="A541" s="11">
        <v>540.0</v>
      </c>
      <c r="B541" s="11">
        <v>0.039</v>
      </c>
      <c r="C541" s="11">
        <v>0.057</v>
      </c>
      <c r="D541" s="11">
        <v>56.0</v>
      </c>
      <c r="E541" s="11">
        <v>53.0</v>
      </c>
      <c r="F541" s="11">
        <v>0.422</v>
      </c>
      <c r="G541" s="11">
        <v>0.543</v>
      </c>
      <c r="H541" s="11">
        <v>0.035</v>
      </c>
      <c r="I541" s="11">
        <v>3646653.0</v>
      </c>
      <c r="J541" s="11">
        <v>0.614</v>
      </c>
      <c r="K541" s="12" t="s">
        <v>120</v>
      </c>
      <c r="L541" s="5" t="s">
        <v>77</v>
      </c>
      <c r="M541" s="9" t="s">
        <v>67</v>
      </c>
    </row>
    <row r="542">
      <c r="A542" s="11">
        <v>541.0</v>
      </c>
      <c r="B542" s="11">
        <v>0.039</v>
      </c>
      <c r="C542" s="11">
        <v>0.053</v>
      </c>
      <c r="D542" s="11">
        <v>57.0</v>
      </c>
      <c r="E542" s="11">
        <v>54.0</v>
      </c>
      <c r="F542" s="11">
        <v>0.422</v>
      </c>
      <c r="G542" s="11">
        <v>0.543</v>
      </c>
      <c r="H542" s="11">
        <v>0.035</v>
      </c>
      <c r="I542" s="11">
        <v>3758858.0</v>
      </c>
      <c r="J542" s="11">
        <v>0.619</v>
      </c>
      <c r="K542" s="12" t="s">
        <v>120</v>
      </c>
      <c r="L542" s="5" t="s">
        <v>77</v>
      </c>
      <c r="M542" s="9" t="s">
        <v>68</v>
      </c>
    </row>
    <row r="543">
      <c r="A543" s="11">
        <v>542.0</v>
      </c>
      <c r="B543" s="11">
        <v>0.039</v>
      </c>
      <c r="C543" s="11">
        <v>0.049</v>
      </c>
      <c r="D543" s="11">
        <v>57.0</v>
      </c>
      <c r="E543" s="11">
        <v>55.0</v>
      </c>
      <c r="F543" s="11">
        <v>0.422</v>
      </c>
      <c r="G543" s="11">
        <v>0.544</v>
      </c>
      <c r="H543" s="11">
        <v>0.034</v>
      </c>
      <c r="I543" s="11">
        <v>3876475.0</v>
      </c>
      <c r="J543" s="11">
        <v>0.623</v>
      </c>
      <c r="K543" s="12" t="s">
        <v>120</v>
      </c>
      <c r="L543" s="5" t="s">
        <v>77</v>
      </c>
      <c r="M543" s="9" t="s">
        <v>69</v>
      </c>
    </row>
    <row r="544">
      <c r="A544" s="11">
        <v>543.0</v>
      </c>
      <c r="B544" s="11">
        <v>0.039</v>
      </c>
      <c r="C544" s="11">
        <v>0.045</v>
      </c>
      <c r="D544" s="11">
        <v>58.0</v>
      </c>
      <c r="E544" s="11">
        <v>55.0</v>
      </c>
      <c r="F544" s="11">
        <v>0.422</v>
      </c>
      <c r="G544" s="11">
        <v>0.544</v>
      </c>
      <c r="H544" s="11">
        <v>0.034</v>
      </c>
      <c r="I544" s="11">
        <v>3995146.0</v>
      </c>
      <c r="J544" s="11">
        <v>0.628</v>
      </c>
      <c r="K544" s="12" t="s">
        <v>120</v>
      </c>
      <c r="L544" s="5" t="s">
        <v>77</v>
      </c>
      <c r="M544" s="9" t="s">
        <v>70</v>
      </c>
    </row>
    <row r="545">
      <c r="A545" s="11">
        <v>544.0</v>
      </c>
      <c r="B545" s="11">
        <v>0.039</v>
      </c>
      <c r="C545" s="11">
        <v>0.042</v>
      </c>
      <c r="D545" s="11">
        <v>59.0</v>
      </c>
      <c r="E545" s="11">
        <v>56.0</v>
      </c>
      <c r="F545" s="11">
        <v>0.422</v>
      </c>
      <c r="G545" s="11">
        <v>0.544</v>
      </c>
      <c r="H545" s="11">
        <v>0.034</v>
      </c>
      <c r="I545" s="11">
        <v>4111715.0</v>
      </c>
      <c r="J545" s="11">
        <v>0.632</v>
      </c>
      <c r="K545" s="12" t="s">
        <v>120</v>
      </c>
      <c r="L545" s="5" t="s">
        <v>77</v>
      </c>
      <c r="M545" s="9" t="s">
        <v>71</v>
      </c>
    </row>
    <row r="546">
      <c r="A546" s="11">
        <v>545.0</v>
      </c>
      <c r="B546" s="11">
        <v>0.038</v>
      </c>
      <c r="C546" s="11">
        <v>0.039</v>
      </c>
      <c r="D546" s="11">
        <v>59.0</v>
      </c>
      <c r="E546" s="11">
        <v>56.0</v>
      </c>
      <c r="F546" s="11">
        <v>0.423</v>
      </c>
      <c r="G546" s="11">
        <v>0.543</v>
      </c>
      <c r="H546" s="11">
        <v>0.034</v>
      </c>
      <c r="I546" s="11">
        <v>4225359.0</v>
      </c>
      <c r="J546" s="11">
        <v>0.637</v>
      </c>
      <c r="K546" s="12" t="s">
        <v>120</v>
      </c>
      <c r="L546" s="5" t="s">
        <v>77</v>
      </c>
      <c r="M546" s="9" t="s">
        <v>72</v>
      </c>
    </row>
    <row r="547">
      <c r="A547" s="11">
        <v>546.0</v>
      </c>
      <c r="B547" s="11">
        <v>0.038</v>
      </c>
      <c r="C547" s="11">
        <v>0.037</v>
      </c>
      <c r="D547" s="11">
        <v>60.0</v>
      </c>
      <c r="E547" s="11">
        <v>57.0</v>
      </c>
      <c r="F547" s="11">
        <v>0.424</v>
      </c>
      <c r="G547" s="11">
        <v>0.542</v>
      </c>
      <c r="H547" s="11">
        <v>0.034</v>
      </c>
      <c r="I547" s="11">
        <v>4337051.0</v>
      </c>
      <c r="J547" s="11">
        <v>0.641</v>
      </c>
      <c r="K547" s="12" t="s">
        <v>120</v>
      </c>
      <c r="L547" s="5" t="s">
        <v>77</v>
      </c>
      <c r="M547" s="9" t="s">
        <v>73</v>
      </c>
    </row>
    <row r="548">
      <c r="A548" s="11">
        <v>547.0</v>
      </c>
      <c r="B548" s="11">
        <v>0.048</v>
      </c>
      <c r="C548" s="11">
        <v>0.115</v>
      </c>
      <c r="D548" s="11">
        <v>48.0</v>
      </c>
      <c r="E548" s="11">
        <v>45.0</v>
      </c>
      <c r="F548" s="11">
        <v>0.464</v>
      </c>
      <c r="G548" s="11">
        <v>0.507</v>
      </c>
      <c r="H548" s="11">
        <v>0.028</v>
      </c>
      <c r="I548" s="11">
        <v>4.6949244E7</v>
      </c>
      <c r="J548" s="11">
        <v>0.351</v>
      </c>
      <c r="K548" s="12" t="s">
        <v>121</v>
      </c>
      <c r="L548" s="5" t="s">
        <v>77</v>
      </c>
      <c r="M548" s="9" t="s">
        <v>60</v>
      </c>
    </row>
    <row r="549">
      <c r="A549" s="11">
        <v>548.0</v>
      </c>
      <c r="B549" s="11">
        <v>0.047</v>
      </c>
      <c r="C549" s="11">
        <v>0.114</v>
      </c>
      <c r="D549" s="11">
        <v>48.0</v>
      </c>
      <c r="E549" s="11">
        <v>45.0</v>
      </c>
      <c r="F549" s="11">
        <v>0.464</v>
      </c>
      <c r="G549" s="11">
        <v>0.507</v>
      </c>
      <c r="H549" s="11">
        <v>0.028</v>
      </c>
      <c r="I549" s="11">
        <v>4.8167045E7</v>
      </c>
      <c r="J549" s="11">
        <v>0.356</v>
      </c>
      <c r="K549" s="12" t="s">
        <v>121</v>
      </c>
      <c r="L549" s="5" t="s">
        <v>77</v>
      </c>
      <c r="M549" s="9" t="s">
        <v>62</v>
      </c>
    </row>
    <row r="550">
      <c r="A550" s="11">
        <v>549.0</v>
      </c>
      <c r="B550" s="11">
        <v>0.047</v>
      </c>
      <c r="C550" s="11">
        <v>0.113</v>
      </c>
      <c r="D550" s="11">
        <v>48.0</v>
      </c>
      <c r="E550" s="11">
        <v>46.0</v>
      </c>
      <c r="F550" s="11">
        <v>0.464</v>
      </c>
      <c r="G550" s="11">
        <v>0.508</v>
      </c>
      <c r="H550" s="11">
        <v>0.028</v>
      </c>
      <c r="I550" s="11">
        <v>4.951696E7</v>
      </c>
      <c r="J550" s="11">
        <v>0.361</v>
      </c>
      <c r="K550" s="12" t="s">
        <v>121</v>
      </c>
      <c r="L550" s="5" t="s">
        <v>77</v>
      </c>
      <c r="M550" s="9" t="s">
        <v>63</v>
      </c>
    </row>
    <row r="551">
      <c r="A551" s="11">
        <v>550.0</v>
      </c>
      <c r="B551" s="11">
        <v>0.047</v>
      </c>
      <c r="C551" s="11">
        <v>0.111</v>
      </c>
      <c r="D551" s="11">
        <v>49.0</v>
      </c>
      <c r="E551" s="11">
        <v>46.0</v>
      </c>
      <c r="F551" s="11">
        <v>0.464</v>
      </c>
      <c r="G551" s="11">
        <v>0.508</v>
      </c>
      <c r="H551" s="11">
        <v>0.028</v>
      </c>
      <c r="I551" s="11">
        <v>5.0972323E7</v>
      </c>
      <c r="J551" s="11">
        <v>0.365</v>
      </c>
      <c r="K551" s="12" t="s">
        <v>121</v>
      </c>
      <c r="L551" s="5" t="s">
        <v>77</v>
      </c>
      <c r="M551" s="9" t="s">
        <v>64</v>
      </c>
    </row>
    <row r="552">
      <c r="A552" s="11">
        <v>551.0</v>
      </c>
      <c r="B552" s="11">
        <v>0.046</v>
      </c>
      <c r="C552" s="11">
        <v>0.108</v>
      </c>
      <c r="D552" s="11">
        <v>49.0</v>
      </c>
      <c r="E552" s="11">
        <v>46.0</v>
      </c>
      <c r="F552" s="11">
        <v>0.463</v>
      </c>
      <c r="G552" s="11">
        <v>0.509</v>
      </c>
      <c r="H552" s="11">
        <v>0.028</v>
      </c>
      <c r="I552" s="11">
        <v>5.2487293E7</v>
      </c>
      <c r="J552" s="11">
        <v>0.37</v>
      </c>
      <c r="K552" s="12" t="s">
        <v>121</v>
      </c>
      <c r="L552" s="5" t="s">
        <v>77</v>
      </c>
      <c r="M552" s="9" t="s">
        <v>65</v>
      </c>
    </row>
    <row r="553">
      <c r="A553" s="11">
        <v>552.0</v>
      </c>
      <c r="B553" s="11">
        <v>0.046</v>
      </c>
      <c r="C553" s="11">
        <v>0.105</v>
      </c>
      <c r="D553" s="11">
        <v>49.0</v>
      </c>
      <c r="E553" s="11">
        <v>46.0</v>
      </c>
      <c r="F553" s="11">
        <v>0.462</v>
      </c>
      <c r="G553" s="11">
        <v>0.51</v>
      </c>
      <c r="H553" s="11">
        <v>0.028</v>
      </c>
      <c r="I553" s="11">
        <v>5.4028003E7</v>
      </c>
      <c r="J553" s="11">
        <v>0.375</v>
      </c>
      <c r="K553" s="12" t="s">
        <v>121</v>
      </c>
      <c r="L553" s="5" t="s">
        <v>77</v>
      </c>
      <c r="M553" s="9" t="s">
        <v>66</v>
      </c>
    </row>
    <row r="554">
      <c r="A554" s="11">
        <v>553.0</v>
      </c>
      <c r="B554" s="11">
        <v>0.046</v>
      </c>
      <c r="C554" s="11">
        <v>0.102</v>
      </c>
      <c r="D554" s="11">
        <v>50.0</v>
      </c>
      <c r="E554" s="11">
        <v>46.0</v>
      </c>
      <c r="F554" s="11">
        <v>0.461</v>
      </c>
      <c r="G554" s="11">
        <v>0.511</v>
      </c>
      <c r="H554" s="11">
        <v>0.028</v>
      </c>
      <c r="I554" s="11">
        <v>5.5590838E7</v>
      </c>
      <c r="J554" s="11">
        <v>0.38</v>
      </c>
      <c r="K554" s="12" t="s">
        <v>121</v>
      </c>
      <c r="L554" s="5" t="s">
        <v>77</v>
      </c>
      <c r="M554" s="9" t="s">
        <v>67</v>
      </c>
    </row>
    <row r="555">
      <c r="A555" s="11">
        <v>554.0</v>
      </c>
      <c r="B555" s="11">
        <v>0.045</v>
      </c>
      <c r="C555" s="11">
        <v>0.1</v>
      </c>
      <c r="D555" s="11">
        <v>50.0</v>
      </c>
      <c r="E555" s="11">
        <v>47.0</v>
      </c>
      <c r="F555" s="11">
        <v>0.46</v>
      </c>
      <c r="G555" s="11">
        <v>0.512</v>
      </c>
      <c r="H555" s="11">
        <v>0.028</v>
      </c>
      <c r="I555" s="11">
        <v>5.7187942E7</v>
      </c>
      <c r="J555" s="11">
        <v>0.384</v>
      </c>
      <c r="K555" s="12" t="s">
        <v>121</v>
      </c>
      <c r="L555" s="5" t="s">
        <v>77</v>
      </c>
      <c r="M555" s="9" t="s">
        <v>68</v>
      </c>
    </row>
    <row r="556">
      <c r="A556" s="11">
        <v>555.0</v>
      </c>
      <c r="B556" s="11">
        <v>0.045</v>
      </c>
      <c r="C556" s="11">
        <v>0.097</v>
      </c>
      <c r="D556" s="11">
        <v>50.0</v>
      </c>
      <c r="E556" s="11">
        <v>47.0</v>
      </c>
      <c r="F556" s="11">
        <v>0.458</v>
      </c>
      <c r="G556" s="11">
        <v>0.514</v>
      </c>
      <c r="H556" s="11">
        <v>0.028</v>
      </c>
      <c r="I556" s="11">
        <v>5.8819038E7</v>
      </c>
      <c r="J556" s="11">
        <v>0.389</v>
      </c>
      <c r="K556" s="12" t="s">
        <v>121</v>
      </c>
      <c r="L556" s="5" t="s">
        <v>77</v>
      </c>
      <c r="M556" s="9" t="s">
        <v>69</v>
      </c>
    </row>
    <row r="557">
      <c r="A557" s="11">
        <v>556.0</v>
      </c>
      <c r="B557" s="11">
        <v>0.044</v>
      </c>
      <c r="C557" s="11">
        <v>0.095</v>
      </c>
      <c r="D557" s="11">
        <v>50.0</v>
      </c>
      <c r="E557" s="11">
        <v>47.0</v>
      </c>
      <c r="F557" s="11">
        <v>0.456</v>
      </c>
      <c r="G557" s="11">
        <v>0.515</v>
      </c>
      <c r="H557" s="11">
        <v>0.028</v>
      </c>
      <c r="I557" s="11">
        <v>6.0486276E7</v>
      </c>
      <c r="J557" s="11">
        <v>0.394</v>
      </c>
      <c r="K557" s="12" t="s">
        <v>121</v>
      </c>
      <c r="L557" s="5" t="s">
        <v>77</v>
      </c>
      <c r="M557" s="9" t="s">
        <v>70</v>
      </c>
    </row>
    <row r="558">
      <c r="A558" s="11">
        <v>557.0</v>
      </c>
      <c r="B558" s="11">
        <v>0.044</v>
      </c>
      <c r="C558" s="11">
        <v>0.092</v>
      </c>
      <c r="D558" s="11">
        <v>51.0</v>
      </c>
      <c r="E558" s="11">
        <v>47.0</v>
      </c>
      <c r="F558" s="11">
        <v>0.455</v>
      </c>
      <c r="G558" s="11">
        <v>0.517</v>
      </c>
      <c r="H558" s="11">
        <v>0.028</v>
      </c>
      <c r="I558" s="11">
        <v>6.2191161E7</v>
      </c>
      <c r="J558" s="11">
        <v>0.399</v>
      </c>
      <c r="K558" s="12" t="s">
        <v>121</v>
      </c>
      <c r="L558" s="5" t="s">
        <v>77</v>
      </c>
      <c r="M558" s="9" t="s">
        <v>71</v>
      </c>
    </row>
    <row r="559">
      <c r="A559" s="11">
        <v>558.0</v>
      </c>
      <c r="B559" s="11">
        <v>0.044</v>
      </c>
      <c r="C559" s="11">
        <v>0.09</v>
      </c>
      <c r="D559" s="11">
        <v>51.0</v>
      </c>
      <c r="E559" s="11">
        <v>48.0</v>
      </c>
      <c r="F559" s="11">
        <v>0.453</v>
      </c>
      <c r="G559" s="11">
        <v>0.519</v>
      </c>
      <c r="H559" s="11">
        <v>0.028</v>
      </c>
      <c r="I559" s="11">
        <v>6.3931512E7</v>
      </c>
      <c r="J559" s="11">
        <v>0.404</v>
      </c>
      <c r="K559" s="12" t="s">
        <v>121</v>
      </c>
      <c r="L559" s="5" t="s">
        <v>77</v>
      </c>
      <c r="M559" s="9" t="s">
        <v>72</v>
      </c>
    </row>
    <row r="560">
      <c r="A560" s="11">
        <v>559.0</v>
      </c>
      <c r="B560" s="11">
        <v>0.043</v>
      </c>
      <c r="C560" s="11">
        <v>0.088</v>
      </c>
      <c r="D560" s="11">
        <v>51.0</v>
      </c>
      <c r="E560" s="11">
        <v>48.0</v>
      </c>
      <c r="F560" s="11">
        <v>0.451</v>
      </c>
      <c r="G560" s="11">
        <v>0.52</v>
      </c>
      <c r="H560" s="11">
        <v>0.028</v>
      </c>
      <c r="I560" s="11">
        <v>6.5705093E7</v>
      </c>
      <c r="J560" s="11">
        <v>0.41</v>
      </c>
      <c r="K560" s="12" t="s">
        <v>121</v>
      </c>
      <c r="L560" s="5" t="s">
        <v>77</v>
      </c>
      <c r="M560" s="9" t="s">
        <v>73</v>
      </c>
    </row>
    <row r="561">
      <c r="A561" s="11">
        <v>560.0</v>
      </c>
      <c r="B561" s="11">
        <v>0.02</v>
      </c>
      <c r="C561" s="11">
        <v>0.011</v>
      </c>
      <c r="D561" s="11">
        <v>80.0</v>
      </c>
      <c r="E561" s="11">
        <v>75.0</v>
      </c>
      <c r="F561" s="11">
        <v>0.315</v>
      </c>
      <c r="G561" s="11">
        <v>0.631</v>
      </c>
      <c r="H561" s="11">
        <v>0.055</v>
      </c>
      <c r="I561" s="11">
        <v>3929588.0</v>
      </c>
      <c r="J561" s="11">
        <v>0.59</v>
      </c>
      <c r="K561" s="12" t="s">
        <v>122</v>
      </c>
      <c r="L561" s="5" t="s">
        <v>84</v>
      </c>
      <c r="M561" s="9" t="s">
        <v>60</v>
      </c>
    </row>
    <row r="562">
      <c r="A562" s="11">
        <v>561.0</v>
      </c>
      <c r="B562" s="11">
        <v>0.02</v>
      </c>
      <c r="C562" s="11">
        <v>0.011</v>
      </c>
      <c r="D562" s="11">
        <v>80.0</v>
      </c>
      <c r="E562" s="11">
        <v>76.0</v>
      </c>
      <c r="F562" s="11">
        <v>0.308</v>
      </c>
      <c r="G562" s="11">
        <v>0.637</v>
      </c>
      <c r="H562" s="11">
        <v>0.055</v>
      </c>
      <c r="I562" s="11">
        <v>4013488.0</v>
      </c>
      <c r="J562" s="11">
        <v>0.604</v>
      </c>
      <c r="K562" s="12" t="s">
        <v>122</v>
      </c>
      <c r="L562" s="5" t="s">
        <v>84</v>
      </c>
      <c r="M562" s="9" t="s">
        <v>62</v>
      </c>
    </row>
    <row r="563">
      <c r="A563" s="11">
        <v>562.0</v>
      </c>
      <c r="B563" s="11">
        <v>0.019</v>
      </c>
      <c r="C563" s="11">
        <v>0.01</v>
      </c>
      <c r="D563" s="11">
        <v>80.0</v>
      </c>
      <c r="E563" s="11">
        <v>76.0</v>
      </c>
      <c r="F563" s="11">
        <v>0.3</v>
      </c>
      <c r="G563" s="11">
        <v>0.644</v>
      </c>
      <c r="H563" s="11">
        <v>0.056</v>
      </c>
      <c r="I563" s="11">
        <v>4093840.0</v>
      </c>
      <c r="J563" s="11">
        <v>0.618</v>
      </c>
      <c r="K563" s="12" t="s">
        <v>122</v>
      </c>
      <c r="L563" s="5" t="s">
        <v>84</v>
      </c>
      <c r="M563" s="9" t="s">
        <v>63</v>
      </c>
    </row>
    <row r="564">
      <c r="A564" s="11">
        <v>563.0</v>
      </c>
      <c r="B564" s="11">
        <v>0.018</v>
      </c>
      <c r="C564" s="11">
        <v>0.009</v>
      </c>
      <c r="D564" s="11">
        <v>81.0</v>
      </c>
      <c r="E564" s="11">
        <v>76.0</v>
      </c>
      <c r="F564" s="11">
        <v>0.293</v>
      </c>
      <c r="G564" s="11">
        <v>0.65</v>
      </c>
      <c r="H564" s="11">
        <v>0.057</v>
      </c>
      <c r="I564" s="11">
        <v>4171145.0</v>
      </c>
      <c r="J564" s="11">
        <v>0.631</v>
      </c>
      <c r="K564" s="12" t="s">
        <v>122</v>
      </c>
      <c r="L564" s="5" t="s">
        <v>84</v>
      </c>
      <c r="M564" s="9" t="s">
        <v>64</v>
      </c>
    </row>
    <row r="565">
      <c r="A565" s="11">
        <v>564.0</v>
      </c>
      <c r="B565" s="11">
        <v>0.018</v>
      </c>
      <c r="C565" s="11">
        <v>0.009</v>
      </c>
      <c r="D565" s="11">
        <v>81.0</v>
      </c>
      <c r="E565" s="11">
        <v>76.0</v>
      </c>
      <c r="F565" s="11">
        <v>0.286</v>
      </c>
      <c r="G565" s="11">
        <v>0.656</v>
      </c>
      <c r="H565" s="11">
        <v>0.058</v>
      </c>
      <c r="I565" s="11">
        <v>4246336.0</v>
      </c>
      <c r="J565" s="11">
        <v>0.644</v>
      </c>
      <c r="K565" s="12" t="s">
        <v>122</v>
      </c>
      <c r="L565" s="5" t="s">
        <v>84</v>
      </c>
      <c r="M565" s="9" t="s">
        <v>65</v>
      </c>
    </row>
    <row r="566">
      <c r="A566" s="11">
        <v>565.0</v>
      </c>
      <c r="B566" s="11">
        <v>0.017</v>
      </c>
      <c r="C566" s="11">
        <v>0.009</v>
      </c>
      <c r="D566" s="11">
        <v>81.0</v>
      </c>
      <c r="E566" s="11">
        <v>76.0</v>
      </c>
      <c r="F566" s="11">
        <v>0.279</v>
      </c>
      <c r="G566" s="11">
        <v>0.662</v>
      </c>
      <c r="H566" s="11">
        <v>0.059</v>
      </c>
      <c r="I566" s="11">
        <v>4320130.0</v>
      </c>
      <c r="J566" s="11">
        <v>0.657</v>
      </c>
      <c r="K566" s="12" t="s">
        <v>122</v>
      </c>
      <c r="L566" s="5" t="s">
        <v>84</v>
      </c>
      <c r="M566" s="9" t="s">
        <v>66</v>
      </c>
    </row>
    <row r="567">
      <c r="A567" s="11">
        <v>566.0</v>
      </c>
      <c r="B567" s="11">
        <v>0.017</v>
      </c>
      <c r="C567" s="11">
        <v>0.009</v>
      </c>
      <c r="D567" s="11">
        <v>81.0</v>
      </c>
      <c r="E567" s="11">
        <v>76.0</v>
      </c>
      <c r="F567" s="11">
        <v>0.272</v>
      </c>
      <c r="G567" s="11">
        <v>0.668</v>
      </c>
      <c r="H567" s="11">
        <v>0.06</v>
      </c>
      <c r="I567" s="11">
        <v>4392493.0</v>
      </c>
      <c r="J567" s="11">
        <v>0.669</v>
      </c>
      <c r="K567" s="12" t="s">
        <v>122</v>
      </c>
      <c r="L567" s="5" t="s">
        <v>84</v>
      </c>
      <c r="M567" s="9" t="s">
        <v>67</v>
      </c>
    </row>
    <row r="568">
      <c r="A568" s="11">
        <v>567.0</v>
      </c>
      <c r="B568" s="11">
        <v>0.017</v>
      </c>
      <c r="C568" s="11">
        <v>0.009</v>
      </c>
      <c r="D568" s="11">
        <v>81.0</v>
      </c>
      <c r="E568" s="11">
        <v>76.0</v>
      </c>
      <c r="F568" s="11">
        <v>0.266</v>
      </c>
      <c r="G568" s="11">
        <v>0.673</v>
      </c>
      <c r="H568" s="11">
        <v>0.061</v>
      </c>
      <c r="I568" s="11">
        <v>4463226.0</v>
      </c>
      <c r="J568" s="11">
        <v>0.682</v>
      </c>
      <c r="K568" s="12" t="s">
        <v>122</v>
      </c>
      <c r="L568" s="5" t="s">
        <v>84</v>
      </c>
      <c r="M568" s="9" t="s">
        <v>68</v>
      </c>
    </row>
    <row r="569">
      <c r="A569" s="11">
        <v>568.0</v>
      </c>
      <c r="B569" s="11">
        <v>0.016</v>
      </c>
      <c r="C569" s="11">
        <v>0.009</v>
      </c>
      <c r="D569" s="11">
        <v>81.0</v>
      </c>
      <c r="E569" s="11">
        <v>77.0</v>
      </c>
      <c r="F569" s="11">
        <v>0.26</v>
      </c>
      <c r="G569" s="11">
        <v>0.678</v>
      </c>
      <c r="H569" s="11">
        <v>0.062</v>
      </c>
      <c r="I569" s="11">
        <v>4532711.0</v>
      </c>
      <c r="J569" s="11">
        <v>0.694</v>
      </c>
      <c r="K569" s="12" t="s">
        <v>122</v>
      </c>
      <c r="L569" s="5" t="s">
        <v>84</v>
      </c>
      <c r="M569" s="9" t="s">
        <v>69</v>
      </c>
    </row>
    <row r="570">
      <c r="A570" s="11">
        <v>569.0</v>
      </c>
      <c r="B570" s="11">
        <v>0.016</v>
      </c>
      <c r="C570" s="11">
        <v>0.009</v>
      </c>
      <c r="D570" s="11">
        <v>81.0</v>
      </c>
      <c r="E570" s="11">
        <v>77.0</v>
      </c>
      <c r="F570" s="11">
        <v>0.255</v>
      </c>
      <c r="G570" s="11">
        <v>0.682</v>
      </c>
      <c r="H570" s="11">
        <v>0.064</v>
      </c>
      <c r="I570" s="11">
        <v>4601424.0</v>
      </c>
      <c r="J570" s="11">
        <v>0.706</v>
      </c>
      <c r="K570" s="12" t="s">
        <v>122</v>
      </c>
      <c r="L570" s="5" t="s">
        <v>84</v>
      </c>
      <c r="M570" s="9" t="s">
        <v>70</v>
      </c>
    </row>
    <row r="571">
      <c r="A571" s="11">
        <v>570.0</v>
      </c>
      <c r="B571" s="11">
        <v>0.016</v>
      </c>
      <c r="C571" s="11">
        <v>0.009</v>
      </c>
      <c r="D571" s="11">
        <v>82.0</v>
      </c>
      <c r="E571" s="11">
        <v>77.0</v>
      </c>
      <c r="F571" s="11">
        <v>0.249</v>
      </c>
      <c r="G571" s="11">
        <v>0.686</v>
      </c>
      <c r="H571" s="11">
        <v>0.065</v>
      </c>
      <c r="I571" s="11">
        <v>4669685.0</v>
      </c>
      <c r="J571" s="11">
        <v>0.717</v>
      </c>
      <c r="K571" s="12" t="s">
        <v>122</v>
      </c>
      <c r="L571" s="5" t="s">
        <v>84</v>
      </c>
      <c r="M571" s="9" t="s">
        <v>71</v>
      </c>
    </row>
    <row r="572">
      <c r="A572" s="11">
        <v>571.0</v>
      </c>
      <c r="B572" s="11">
        <v>0.016</v>
      </c>
      <c r="C572" s="11">
        <v>0.009</v>
      </c>
      <c r="D572" s="11">
        <v>82.0</v>
      </c>
      <c r="E572" s="11">
        <v>77.0</v>
      </c>
      <c r="F572" s="11">
        <v>0.244</v>
      </c>
      <c r="G572" s="11">
        <v>0.689</v>
      </c>
      <c r="H572" s="11">
        <v>0.067</v>
      </c>
      <c r="I572" s="11">
        <v>4737680.0</v>
      </c>
      <c r="J572" s="11">
        <v>0.729</v>
      </c>
      <c r="K572" s="12" t="s">
        <v>122</v>
      </c>
      <c r="L572" s="5" t="s">
        <v>84</v>
      </c>
      <c r="M572" s="9" t="s">
        <v>72</v>
      </c>
    </row>
    <row r="573">
      <c r="A573" s="11">
        <v>572.0</v>
      </c>
      <c r="B573" s="11">
        <v>0.015</v>
      </c>
      <c r="C573" s="11">
        <v>0.009</v>
      </c>
      <c r="D573" s="11">
        <v>82.0</v>
      </c>
      <c r="E573" s="11">
        <v>78.0</v>
      </c>
      <c r="F573" s="11">
        <v>0.239</v>
      </c>
      <c r="G573" s="11">
        <v>0.692</v>
      </c>
      <c r="H573" s="11">
        <v>0.068</v>
      </c>
      <c r="I573" s="11">
        <v>4805295.0</v>
      </c>
      <c r="J573" s="11">
        <v>0.739</v>
      </c>
      <c r="K573" s="12" t="s">
        <v>122</v>
      </c>
      <c r="L573" s="5" t="s">
        <v>84</v>
      </c>
      <c r="M573" s="9" t="s">
        <v>73</v>
      </c>
    </row>
    <row r="574">
      <c r="A574" s="11">
        <v>573.0</v>
      </c>
      <c r="B574" s="11">
        <v>0.038</v>
      </c>
      <c r="C574" s="11">
        <v>0.1</v>
      </c>
      <c r="D574" s="11">
        <v>47.0</v>
      </c>
      <c r="E574" s="11">
        <v>46.0</v>
      </c>
      <c r="F574" s="11">
        <v>0.421</v>
      </c>
      <c r="G574" s="11">
        <v>0.55</v>
      </c>
      <c r="H574" s="11">
        <v>0.029</v>
      </c>
      <c r="I574" s="11">
        <v>1.6131332E7</v>
      </c>
      <c r="J574" s="11">
        <v>0.435</v>
      </c>
      <c r="K574" s="12" t="s">
        <v>123</v>
      </c>
      <c r="L574" s="5" t="s">
        <v>77</v>
      </c>
      <c r="M574" s="9" t="s">
        <v>60</v>
      </c>
    </row>
    <row r="575">
      <c r="A575" s="11">
        <v>574.0</v>
      </c>
      <c r="B575" s="11">
        <v>0.038</v>
      </c>
      <c r="C575" s="11">
        <v>0.098</v>
      </c>
      <c r="D575" s="11">
        <v>47.0</v>
      </c>
      <c r="E575" s="11">
        <v>46.0</v>
      </c>
      <c r="F575" s="11">
        <v>0.421</v>
      </c>
      <c r="G575" s="11">
        <v>0.55</v>
      </c>
      <c r="H575" s="11">
        <v>0.029</v>
      </c>
      <c r="I575" s="11">
        <v>1.6420173E7</v>
      </c>
      <c r="J575" s="11">
        <v>0.442</v>
      </c>
      <c r="K575" s="12" t="s">
        <v>123</v>
      </c>
      <c r="L575" s="5" t="s">
        <v>77</v>
      </c>
      <c r="M575" s="9" t="s">
        <v>62</v>
      </c>
    </row>
    <row r="576">
      <c r="A576" s="11">
        <v>575.0</v>
      </c>
      <c r="B576" s="11">
        <v>0.038</v>
      </c>
      <c r="C576" s="11">
        <v>0.096</v>
      </c>
      <c r="D576" s="11">
        <v>47.0</v>
      </c>
      <c r="E576" s="11">
        <v>46.0</v>
      </c>
      <c r="F576" s="11">
        <v>0.422</v>
      </c>
      <c r="G576" s="11">
        <v>0.549</v>
      </c>
      <c r="H576" s="11">
        <v>0.029</v>
      </c>
      <c r="I576" s="11">
        <v>1.6674987E7</v>
      </c>
      <c r="J576" s="11">
        <v>0.449</v>
      </c>
      <c r="K576" s="12" t="s">
        <v>123</v>
      </c>
      <c r="L576" s="5" t="s">
        <v>77</v>
      </c>
      <c r="M576" s="9" t="s">
        <v>63</v>
      </c>
    </row>
    <row r="577">
      <c r="A577" s="11">
        <v>576.0</v>
      </c>
      <c r="B577" s="11">
        <v>0.037</v>
      </c>
      <c r="C577" s="11">
        <v>0.094</v>
      </c>
      <c r="D577" s="11">
        <v>47.0</v>
      </c>
      <c r="E577" s="11">
        <v>46.0</v>
      </c>
      <c r="F577" s="11">
        <v>0.422</v>
      </c>
      <c r="G577" s="11">
        <v>0.548</v>
      </c>
      <c r="H577" s="11">
        <v>0.029</v>
      </c>
      <c r="I577" s="11">
        <v>1.6909801E7</v>
      </c>
      <c r="J577" s="11">
        <v>0.455</v>
      </c>
      <c r="K577" s="12" t="s">
        <v>123</v>
      </c>
      <c r="L577" s="5" t="s">
        <v>77</v>
      </c>
      <c r="M577" s="9" t="s">
        <v>64</v>
      </c>
    </row>
    <row r="578">
      <c r="A578" s="11">
        <v>577.0</v>
      </c>
      <c r="B578" s="11">
        <v>0.037</v>
      </c>
      <c r="C578" s="11">
        <v>0.091</v>
      </c>
      <c r="D578" s="11">
        <v>48.0</v>
      </c>
      <c r="E578" s="11">
        <v>46.0</v>
      </c>
      <c r="F578" s="11">
        <v>0.423</v>
      </c>
      <c r="G578" s="11">
        <v>0.548</v>
      </c>
      <c r="H578" s="11">
        <v>0.029</v>
      </c>
      <c r="I578" s="11">
        <v>1.7144325E7</v>
      </c>
      <c r="J578" s="11">
        <v>0.462</v>
      </c>
      <c r="K578" s="12" t="s">
        <v>123</v>
      </c>
      <c r="L578" s="5" t="s">
        <v>77</v>
      </c>
      <c r="M578" s="9" t="s">
        <v>65</v>
      </c>
    </row>
    <row r="579">
      <c r="A579" s="11">
        <v>578.0</v>
      </c>
      <c r="B579" s="11">
        <v>0.037</v>
      </c>
      <c r="C579" s="11">
        <v>0.089</v>
      </c>
      <c r="D579" s="11">
        <v>48.0</v>
      </c>
      <c r="E579" s="11">
        <v>46.0</v>
      </c>
      <c r="F579" s="11">
        <v>0.423</v>
      </c>
      <c r="G579" s="11">
        <v>0.547</v>
      </c>
      <c r="H579" s="11">
        <v>0.03</v>
      </c>
      <c r="I579" s="11">
        <v>1.7393994E7</v>
      </c>
      <c r="J579" s="11">
        <v>0.468</v>
      </c>
      <c r="K579" s="12" t="s">
        <v>123</v>
      </c>
      <c r="L579" s="5" t="s">
        <v>77</v>
      </c>
      <c r="M579" s="9" t="s">
        <v>66</v>
      </c>
    </row>
    <row r="580">
      <c r="A580" s="11">
        <v>579.0</v>
      </c>
      <c r="B580" s="11">
        <v>0.036</v>
      </c>
      <c r="C580" s="11">
        <v>0.087</v>
      </c>
      <c r="D580" s="11">
        <v>49.0</v>
      </c>
      <c r="E580" s="11">
        <v>47.0</v>
      </c>
      <c r="F580" s="11">
        <v>0.423</v>
      </c>
      <c r="G580" s="11">
        <v>0.547</v>
      </c>
      <c r="H580" s="11">
        <v>0.03</v>
      </c>
      <c r="I580" s="11">
        <v>1.7662417E7</v>
      </c>
      <c r="J580" s="11">
        <v>0.475</v>
      </c>
      <c r="K580" s="12" t="s">
        <v>123</v>
      </c>
      <c r="L580" s="5" t="s">
        <v>77</v>
      </c>
      <c r="M580" s="9" t="s">
        <v>67</v>
      </c>
    </row>
    <row r="581">
      <c r="A581" s="11">
        <v>580.0</v>
      </c>
      <c r="B581" s="11">
        <v>0.036</v>
      </c>
      <c r="C581" s="11">
        <v>0.084</v>
      </c>
      <c r="D581" s="11">
        <v>49.0</v>
      </c>
      <c r="E581" s="11">
        <v>47.0</v>
      </c>
      <c r="F581" s="11">
        <v>0.422</v>
      </c>
      <c r="G581" s="11">
        <v>0.548</v>
      </c>
      <c r="H581" s="11">
        <v>0.03</v>
      </c>
      <c r="I581" s="11">
        <v>1.7949061E7</v>
      </c>
      <c r="J581" s="11">
        <v>0.483</v>
      </c>
      <c r="K581" s="12" t="s">
        <v>123</v>
      </c>
      <c r="L581" s="5" t="s">
        <v>77</v>
      </c>
      <c r="M581" s="9" t="s">
        <v>68</v>
      </c>
    </row>
    <row r="582">
      <c r="A582" s="11">
        <v>581.0</v>
      </c>
      <c r="B582" s="11">
        <v>0.036</v>
      </c>
      <c r="C582" s="11">
        <v>0.082</v>
      </c>
      <c r="D582" s="11">
        <v>50.0</v>
      </c>
      <c r="E582" s="11">
        <v>48.0</v>
      </c>
      <c r="F582" s="11">
        <v>0.421</v>
      </c>
      <c r="G582" s="11">
        <v>0.549</v>
      </c>
      <c r="H582" s="11">
        <v>0.03</v>
      </c>
      <c r="I582" s="11">
        <v>1.8260044E7</v>
      </c>
      <c r="J582" s="11">
        <v>0.49</v>
      </c>
      <c r="K582" s="12" t="s">
        <v>123</v>
      </c>
      <c r="L582" s="5" t="s">
        <v>77</v>
      </c>
      <c r="M582" s="9" t="s">
        <v>69</v>
      </c>
    </row>
    <row r="583">
      <c r="A583" s="11">
        <v>582.0</v>
      </c>
      <c r="B583" s="11">
        <v>0.036</v>
      </c>
      <c r="C583" s="11">
        <v>0.079</v>
      </c>
      <c r="D583" s="11">
        <v>50.0</v>
      </c>
      <c r="E583" s="11">
        <v>48.0</v>
      </c>
      <c r="F583" s="11">
        <v>0.42</v>
      </c>
      <c r="G583" s="11">
        <v>0.55</v>
      </c>
      <c r="H583" s="11">
        <v>0.031</v>
      </c>
      <c r="I583" s="11">
        <v>1.8601342E7</v>
      </c>
      <c r="J583" s="11">
        <v>0.498</v>
      </c>
      <c r="K583" s="12" t="s">
        <v>123</v>
      </c>
      <c r="L583" s="5" t="s">
        <v>77</v>
      </c>
      <c r="M583" s="9" t="s">
        <v>70</v>
      </c>
    </row>
    <row r="584">
      <c r="A584" s="11">
        <v>583.0</v>
      </c>
      <c r="B584" s="11">
        <v>0.037</v>
      </c>
      <c r="C584" s="11">
        <v>0.077</v>
      </c>
      <c r="D584" s="11">
        <v>50.0</v>
      </c>
      <c r="E584" s="11">
        <v>49.0</v>
      </c>
      <c r="F584" s="11">
        <v>0.418</v>
      </c>
      <c r="G584" s="11">
        <v>0.551</v>
      </c>
      <c r="H584" s="11">
        <v>0.031</v>
      </c>
      <c r="I584" s="11">
        <v>1.8976588E7</v>
      </c>
      <c r="J584" s="11">
        <v>0.506</v>
      </c>
      <c r="K584" s="12" t="s">
        <v>123</v>
      </c>
      <c r="L584" s="5" t="s">
        <v>77</v>
      </c>
      <c r="M584" s="9" t="s">
        <v>71</v>
      </c>
    </row>
    <row r="585">
      <c r="A585" s="11">
        <v>584.0</v>
      </c>
      <c r="B585" s="11">
        <v>0.037</v>
      </c>
      <c r="C585" s="11">
        <v>0.075</v>
      </c>
      <c r="D585" s="11">
        <v>51.0</v>
      </c>
      <c r="E585" s="11">
        <v>49.0</v>
      </c>
      <c r="F585" s="11">
        <v>0.417</v>
      </c>
      <c r="G585" s="11">
        <v>0.552</v>
      </c>
      <c r="H585" s="11">
        <v>0.031</v>
      </c>
      <c r="I585" s="11">
        <v>1.9389954E7</v>
      </c>
      <c r="J585" s="11">
        <v>0.513</v>
      </c>
      <c r="K585" s="12" t="s">
        <v>123</v>
      </c>
      <c r="L585" s="5" t="s">
        <v>77</v>
      </c>
      <c r="M585" s="9" t="s">
        <v>72</v>
      </c>
    </row>
    <row r="586">
      <c r="A586" s="11">
        <v>585.0</v>
      </c>
      <c r="B586" s="11">
        <v>0.037</v>
      </c>
      <c r="C586" s="11">
        <v>0.073</v>
      </c>
      <c r="D586" s="11">
        <v>51.0</v>
      </c>
      <c r="E586" s="11">
        <v>50.0</v>
      </c>
      <c r="F586" s="11">
        <v>0.415</v>
      </c>
      <c r="G586" s="11">
        <v>0.554</v>
      </c>
      <c r="H586" s="11">
        <v>0.031</v>
      </c>
      <c r="I586" s="11">
        <v>1.983975E7</v>
      </c>
      <c r="J586" s="11">
        <v>0.52</v>
      </c>
      <c r="K586" s="12" t="s">
        <v>123</v>
      </c>
      <c r="L586" s="5" t="s">
        <v>77</v>
      </c>
      <c r="M586" s="9" t="s">
        <v>73</v>
      </c>
    </row>
    <row r="587">
      <c r="A587" s="11">
        <v>586.0</v>
      </c>
      <c r="B587" s="11">
        <v>0.01</v>
      </c>
      <c r="C587" s="11">
        <v>0.007</v>
      </c>
      <c r="D587" s="11">
        <v>77.0</v>
      </c>
      <c r="E587" s="11">
        <v>69.0</v>
      </c>
      <c r="F587" s="11">
        <v>0.172</v>
      </c>
      <c r="G587" s="11">
        <v>0.673</v>
      </c>
      <c r="H587" s="11">
        <v>0.156</v>
      </c>
      <c r="I587" s="11">
        <v>4426000.0</v>
      </c>
      <c r="J587" s="11">
        <v>0.556</v>
      </c>
      <c r="K587" s="12" t="s">
        <v>124</v>
      </c>
      <c r="L587" s="5" t="s">
        <v>75</v>
      </c>
      <c r="M587" s="9" t="s">
        <v>60</v>
      </c>
    </row>
    <row r="588">
      <c r="A588" s="11">
        <v>587.0</v>
      </c>
      <c r="B588" s="11">
        <v>0.009</v>
      </c>
      <c r="C588" s="11">
        <v>0.007</v>
      </c>
      <c r="D588" s="11">
        <v>78.0</v>
      </c>
      <c r="E588" s="11">
        <v>71.0</v>
      </c>
      <c r="F588" s="11">
        <v>0.169</v>
      </c>
      <c r="G588" s="11">
        <v>0.672</v>
      </c>
      <c r="H588" s="11">
        <v>0.159</v>
      </c>
      <c r="I588" s="11">
        <v>4440000.0</v>
      </c>
      <c r="J588" s="11">
        <v>0.557</v>
      </c>
      <c r="K588" s="12" t="s">
        <v>124</v>
      </c>
      <c r="L588" s="5" t="s">
        <v>75</v>
      </c>
      <c r="M588" s="9" t="s">
        <v>62</v>
      </c>
    </row>
    <row r="589">
      <c r="A589" s="11">
        <v>588.0</v>
      </c>
      <c r="B589" s="11">
        <v>0.009</v>
      </c>
      <c r="C589" s="11">
        <v>0.007</v>
      </c>
      <c r="D589" s="11">
        <v>78.0</v>
      </c>
      <c r="E589" s="11">
        <v>71.0</v>
      </c>
      <c r="F589" s="11">
        <v>0.167</v>
      </c>
      <c r="G589" s="11">
        <v>0.671</v>
      </c>
      <c r="H589" s="11">
        <v>0.163</v>
      </c>
      <c r="I589" s="11">
        <v>4440000.0</v>
      </c>
      <c r="J589" s="11">
        <v>0.559</v>
      </c>
      <c r="K589" s="12" t="s">
        <v>124</v>
      </c>
      <c r="L589" s="5" t="s">
        <v>75</v>
      </c>
      <c r="M589" s="9" t="s">
        <v>63</v>
      </c>
    </row>
    <row r="590">
      <c r="A590" s="11">
        <v>589.0</v>
      </c>
      <c r="B590" s="11">
        <v>0.009</v>
      </c>
      <c r="C590" s="11">
        <v>0.006</v>
      </c>
      <c r="D590" s="11">
        <v>78.0</v>
      </c>
      <c r="E590" s="11">
        <v>71.0</v>
      </c>
      <c r="F590" s="11">
        <v>0.164</v>
      </c>
      <c r="G590" s="11">
        <v>0.67</v>
      </c>
      <c r="H590" s="11">
        <v>0.166</v>
      </c>
      <c r="I590" s="11">
        <v>4440000.0</v>
      </c>
      <c r="J590" s="11">
        <v>0.56</v>
      </c>
      <c r="K590" s="12" t="s">
        <v>124</v>
      </c>
      <c r="L590" s="5" t="s">
        <v>75</v>
      </c>
      <c r="M590" s="9" t="s">
        <v>64</v>
      </c>
    </row>
    <row r="591">
      <c r="A591" s="11">
        <v>590.0</v>
      </c>
      <c r="B591" s="11">
        <v>0.009</v>
      </c>
      <c r="C591" s="11">
        <v>0.006</v>
      </c>
      <c r="D591" s="11">
        <v>79.0</v>
      </c>
      <c r="E591" s="11">
        <v>72.0</v>
      </c>
      <c r="F591" s="11">
        <v>0.162</v>
      </c>
      <c r="G591" s="11">
        <v>0.67</v>
      </c>
      <c r="H591" s="11">
        <v>0.169</v>
      </c>
      <c r="I591" s="11">
        <v>4439000.0</v>
      </c>
      <c r="J591" s="11">
        <v>0.562</v>
      </c>
      <c r="K591" s="12" t="s">
        <v>124</v>
      </c>
      <c r="L591" s="5" t="s">
        <v>75</v>
      </c>
      <c r="M591" s="9" t="s">
        <v>65</v>
      </c>
    </row>
    <row r="592">
      <c r="A592" s="11">
        <v>591.0</v>
      </c>
      <c r="B592" s="11">
        <v>0.01</v>
      </c>
      <c r="C592" s="11">
        <v>0.006</v>
      </c>
      <c r="D592" s="11">
        <v>79.0</v>
      </c>
      <c r="E592" s="11">
        <v>72.0</v>
      </c>
      <c r="F592" s="11">
        <v>0.16</v>
      </c>
      <c r="G592" s="11">
        <v>0.67</v>
      </c>
      <c r="H592" s="11">
        <v>0.171</v>
      </c>
      <c r="I592" s="11">
        <v>4442000.0</v>
      </c>
      <c r="J592" s="11">
        <v>0.564</v>
      </c>
      <c r="K592" s="12" t="s">
        <v>124</v>
      </c>
      <c r="L592" s="5" t="s">
        <v>75</v>
      </c>
      <c r="M592" s="9" t="s">
        <v>66</v>
      </c>
    </row>
    <row r="593">
      <c r="A593" s="11">
        <v>592.0</v>
      </c>
      <c r="B593" s="11">
        <v>0.009</v>
      </c>
      <c r="C593" s="11">
        <v>0.006</v>
      </c>
      <c r="D593" s="11">
        <v>79.0</v>
      </c>
      <c r="E593" s="11">
        <v>73.0</v>
      </c>
      <c r="F593" s="11">
        <v>0.158</v>
      </c>
      <c r="G593" s="11">
        <v>0.67</v>
      </c>
      <c r="H593" s="11">
        <v>0.172</v>
      </c>
      <c r="I593" s="11">
        <v>4440000.0</v>
      </c>
      <c r="J593" s="11">
        <v>0.566</v>
      </c>
      <c r="K593" s="12" t="s">
        <v>124</v>
      </c>
      <c r="L593" s="5" t="s">
        <v>75</v>
      </c>
      <c r="M593" s="9" t="s">
        <v>67</v>
      </c>
    </row>
    <row r="594">
      <c r="A594" s="11">
        <v>593.0</v>
      </c>
      <c r="B594" s="11">
        <v>0.009</v>
      </c>
      <c r="C594" s="11">
        <v>0.005</v>
      </c>
      <c r="D594" s="11">
        <v>79.0</v>
      </c>
      <c r="E594" s="11">
        <v>72.0</v>
      </c>
      <c r="F594" s="11">
        <v>0.157</v>
      </c>
      <c r="G594" s="11">
        <v>0.67</v>
      </c>
      <c r="H594" s="11">
        <v>0.173</v>
      </c>
      <c r="I594" s="11">
        <v>4436000.0</v>
      </c>
      <c r="J594" s="11">
        <v>0.568</v>
      </c>
      <c r="K594" s="12" t="s">
        <v>124</v>
      </c>
      <c r="L594" s="5" t="s">
        <v>75</v>
      </c>
      <c r="M594" s="9" t="s">
        <v>68</v>
      </c>
    </row>
    <row r="595">
      <c r="A595" s="11">
        <v>594.0</v>
      </c>
      <c r="B595" s="11">
        <v>0.01</v>
      </c>
      <c r="C595" s="11">
        <v>0.005</v>
      </c>
      <c r="D595" s="11">
        <v>80.0</v>
      </c>
      <c r="E595" s="11">
        <v>72.0</v>
      </c>
      <c r="F595" s="11">
        <v>0.156</v>
      </c>
      <c r="G595" s="11">
        <v>0.671</v>
      </c>
      <c r="H595" s="11">
        <v>0.173</v>
      </c>
      <c r="I595" s="11">
        <v>4434508.0</v>
      </c>
      <c r="J595" s="11">
        <v>0.57</v>
      </c>
      <c r="K595" s="12" t="s">
        <v>124</v>
      </c>
      <c r="L595" s="5" t="s">
        <v>75</v>
      </c>
      <c r="M595" s="9" t="s">
        <v>69</v>
      </c>
    </row>
    <row r="596">
      <c r="A596" s="11">
        <v>595.0</v>
      </c>
      <c r="B596" s="11">
        <v>0.01</v>
      </c>
      <c r="C596" s="11">
        <v>0.005</v>
      </c>
      <c r="D596" s="11">
        <v>80.0</v>
      </c>
      <c r="E596" s="11">
        <v>73.0</v>
      </c>
      <c r="F596" s="11">
        <v>0.154</v>
      </c>
      <c r="G596" s="11">
        <v>0.672</v>
      </c>
      <c r="H596" s="11">
        <v>0.174</v>
      </c>
      <c r="I596" s="11">
        <v>4429078.0</v>
      </c>
      <c r="J596" s="11">
        <v>0.573</v>
      </c>
      <c r="K596" s="12" t="s">
        <v>124</v>
      </c>
      <c r="L596" s="5" t="s">
        <v>75</v>
      </c>
      <c r="M596" s="9" t="s">
        <v>70</v>
      </c>
    </row>
    <row r="597">
      <c r="A597" s="11">
        <v>596.0</v>
      </c>
      <c r="B597" s="11">
        <v>0.01</v>
      </c>
      <c r="C597" s="11">
        <v>0.005</v>
      </c>
      <c r="D597" s="11">
        <v>80.0</v>
      </c>
      <c r="E597" s="11">
        <v>74.0</v>
      </c>
      <c r="F597" s="11">
        <v>0.153</v>
      </c>
      <c r="G597" s="11">
        <v>0.672</v>
      </c>
      <c r="H597" s="11">
        <v>0.175</v>
      </c>
      <c r="I597" s="11">
        <v>4417781.0</v>
      </c>
      <c r="J597" s="11">
        <v>0.575</v>
      </c>
      <c r="K597" s="12" t="s">
        <v>124</v>
      </c>
      <c r="L597" s="5" t="s">
        <v>75</v>
      </c>
      <c r="M597" s="9" t="s">
        <v>71</v>
      </c>
    </row>
    <row r="598">
      <c r="A598" s="11">
        <v>597.0</v>
      </c>
      <c r="B598" s="11">
        <v>0.01</v>
      </c>
      <c r="C598" s="11">
        <v>0.004</v>
      </c>
      <c r="D598" s="11">
        <v>80.0</v>
      </c>
      <c r="E598" s="11">
        <v>74.0</v>
      </c>
      <c r="F598" s="11">
        <v>0.151</v>
      </c>
      <c r="G598" s="11">
        <v>0.671</v>
      </c>
      <c r="H598" s="11">
        <v>0.177</v>
      </c>
      <c r="I598" s="11">
        <v>4280622.0</v>
      </c>
      <c r="J598" s="11">
        <v>0.578</v>
      </c>
      <c r="K598" s="12" t="s">
        <v>124</v>
      </c>
      <c r="L598" s="5" t="s">
        <v>75</v>
      </c>
      <c r="M598" s="9" t="s">
        <v>72</v>
      </c>
    </row>
    <row r="599">
      <c r="A599" s="11">
        <v>598.0</v>
      </c>
      <c r="B599" s="11">
        <v>0.01</v>
      </c>
      <c r="C599" s="11">
        <v>0.004</v>
      </c>
      <c r="D599" s="11">
        <v>80.0</v>
      </c>
      <c r="E599" s="11">
        <v>74.0</v>
      </c>
      <c r="F599" s="11">
        <v>0.15</v>
      </c>
      <c r="G599" s="11">
        <v>0.67</v>
      </c>
      <c r="H599" s="11">
        <v>0.18</v>
      </c>
      <c r="I599" s="11">
        <v>4267558.0</v>
      </c>
      <c r="J599" s="11">
        <v>0.581</v>
      </c>
      <c r="K599" s="12" t="s">
        <v>124</v>
      </c>
      <c r="L599" s="5" t="s">
        <v>75</v>
      </c>
      <c r="M599" s="9" t="s">
        <v>73</v>
      </c>
    </row>
    <row r="600">
      <c r="A600" s="11">
        <v>599.0</v>
      </c>
      <c r="B600" s="11">
        <v>0.013</v>
      </c>
      <c r="C600" s="11">
        <v>0.007</v>
      </c>
      <c r="D600" s="11">
        <v>79.0</v>
      </c>
      <c r="E600" s="11">
        <v>75.0</v>
      </c>
      <c r="F600" s="11">
        <v>0.216</v>
      </c>
      <c r="G600" s="11">
        <v>0.685</v>
      </c>
      <c r="H600" s="11">
        <v>0.099</v>
      </c>
      <c r="I600" s="11">
        <v>1.1138416E7</v>
      </c>
      <c r="J600" s="11">
        <v>0.753</v>
      </c>
      <c r="K600" s="12" t="s">
        <v>125</v>
      </c>
      <c r="L600" s="5" t="s">
        <v>84</v>
      </c>
      <c r="M600" s="9" t="s">
        <v>60</v>
      </c>
    </row>
    <row r="601">
      <c r="A601" s="11">
        <v>600.0</v>
      </c>
      <c r="B601" s="11">
        <v>0.013</v>
      </c>
      <c r="C601" s="11">
        <v>0.006</v>
      </c>
      <c r="D601" s="11">
        <v>79.0</v>
      </c>
      <c r="E601" s="11">
        <v>75.0</v>
      </c>
      <c r="F601" s="11">
        <v>0.213</v>
      </c>
      <c r="G601" s="11">
        <v>0.687</v>
      </c>
      <c r="H601" s="11">
        <v>0.101</v>
      </c>
      <c r="I601" s="11">
        <v>1.1175465E7</v>
      </c>
      <c r="J601" s="11">
        <v>0.756</v>
      </c>
      <c r="K601" s="12" t="s">
        <v>125</v>
      </c>
      <c r="L601" s="5" t="s">
        <v>84</v>
      </c>
      <c r="M601" s="9" t="s">
        <v>62</v>
      </c>
    </row>
    <row r="602">
      <c r="A602" s="11">
        <v>601.0</v>
      </c>
      <c r="B602" s="11">
        <v>0.012</v>
      </c>
      <c r="C602" s="11">
        <v>0.006</v>
      </c>
      <c r="D602" s="11">
        <v>79.0</v>
      </c>
      <c r="E602" s="11">
        <v>75.0</v>
      </c>
      <c r="F602" s="11">
        <v>0.209</v>
      </c>
      <c r="G602" s="11">
        <v>0.689</v>
      </c>
      <c r="H602" s="11">
        <v>0.103</v>
      </c>
      <c r="I602" s="11">
        <v>1.1212125E7</v>
      </c>
      <c r="J602" s="11">
        <v>0.758</v>
      </c>
      <c r="K602" s="12" t="s">
        <v>125</v>
      </c>
      <c r="L602" s="5" t="s">
        <v>84</v>
      </c>
      <c r="M602" s="9" t="s">
        <v>63</v>
      </c>
    </row>
    <row r="603">
      <c r="A603" s="11">
        <v>602.0</v>
      </c>
      <c r="B603" s="11">
        <v>0.012</v>
      </c>
      <c r="C603" s="11">
        <v>0.006</v>
      </c>
      <c r="D603" s="11">
        <v>79.0</v>
      </c>
      <c r="E603" s="11">
        <v>75.0</v>
      </c>
      <c r="F603" s="11">
        <v>0.204</v>
      </c>
      <c r="G603" s="11">
        <v>0.691</v>
      </c>
      <c r="H603" s="11">
        <v>0.105</v>
      </c>
      <c r="I603" s="11">
        <v>1.1245926E7</v>
      </c>
      <c r="J603" s="11">
        <v>0.759</v>
      </c>
      <c r="K603" s="12" t="s">
        <v>125</v>
      </c>
      <c r="L603" s="5" t="s">
        <v>84</v>
      </c>
      <c r="M603" s="9" t="s">
        <v>64</v>
      </c>
    </row>
    <row r="604">
      <c r="A604" s="11">
        <v>603.0</v>
      </c>
      <c r="B604" s="11">
        <v>0.012</v>
      </c>
      <c r="C604" s="11">
        <v>0.006</v>
      </c>
      <c r="D604" s="11">
        <v>80.0</v>
      </c>
      <c r="E604" s="11">
        <v>76.0</v>
      </c>
      <c r="F604" s="11">
        <v>0.199</v>
      </c>
      <c r="G604" s="11">
        <v>0.694</v>
      </c>
      <c r="H604" s="11">
        <v>0.107</v>
      </c>
      <c r="I604" s="11">
        <v>1.1273363E7</v>
      </c>
      <c r="J604" s="11">
        <v>0.76</v>
      </c>
      <c r="K604" s="12" t="s">
        <v>125</v>
      </c>
      <c r="L604" s="5" t="s">
        <v>84</v>
      </c>
      <c r="M604" s="9" t="s">
        <v>65</v>
      </c>
    </row>
    <row r="605">
      <c r="A605" s="11">
        <v>604.0</v>
      </c>
      <c r="B605" s="11">
        <v>0.011</v>
      </c>
      <c r="C605" s="11">
        <v>0.005</v>
      </c>
      <c r="D605" s="11">
        <v>80.0</v>
      </c>
      <c r="E605" s="11">
        <v>76.0</v>
      </c>
      <c r="F605" s="11">
        <v>0.195</v>
      </c>
      <c r="G605" s="11">
        <v>0.696</v>
      </c>
      <c r="H605" s="11">
        <v>0.11</v>
      </c>
      <c r="I605" s="11">
        <v>1.1292078E7</v>
      </c>
      <c r="J605" s="11">
        <v>0.761</v>
      </c>
      <c r="K605" s="12" t="s">
        <v>125</v>
      </c>
      <c r="L605" s="5" t="s">
        <v>84</v>
      </c>
      <c r="M605" s="9" t="s">
        <v>66</v>
      </c>
    </row>
    <row r="606">
      <c r="A606" s="11">
        <v>605.0</v>
      </c>
      <c r="B606" s="11">
        <v>0.011</v>
      </c>
      <c r="C606" s="11">
        <v>0.005</v>
      </c>
      <c r="D606" s="11">
        <v>80.0</v>
      </c>
      <c r="E606" s="11">
        <v>76.0</v>
      </c>
      <c r="F606" s="11">
        <v>0.19</v>
      </c>
      <c r="G606" s="11">
        <v>0.698</v>
      </c>
      <c r="H606" s="11">
        <v>0.112</v>
      </c>
      <c r="I606" s="11">
        <v>1.13011E7</v>
      </c>
      <c r="J606" s="11">
        <v>0.762</v>
      </c>
      <c r="K606" s="12" t="s">
        <v>125</v>
      </c>
      <c r="L606" s="5" t="s">
        <v>84</v>
      </c>
      <c r="M606" s="9" t="s">
        <v>67</v>
      </c>
    </row>
    <row r="607">
      <c r="A607" s="11">
        <v>606.0</v>
      </c>
      <c r="B607" s="11">
        <v>0.011</v>
      </c>
      <c r="C607" s="11">
        <v>0.005</v>
      </c>
      <c r="D607" s="11">
        <v>80.0</v>
      </c>
      <c r="E607" s="11">
        <v>76.0</v>
      </c>
      <c r="F607" s="11">
        <v>0.186</v>
      </c>
      <c r="G607" s="11">
        <v>0.699</v>
      </c>
      <c r="H607" s="11">
        <v>0.115</v>
      </c>
      <c r="I607" s="11">
        <v>1.1301674E7</v>
      </c>
      <c r="J607" s="11">
        <v>0.763</v>
      </c>
      <c r="K607" s="12" t="s">
        <v>125</v>
      </c>
      <c r="L607" s="5" t="s">
        <v>84</v>
      </c>
      <c r="M607" s="9" t="s">
        <v>68</v>
      </c>
    </row>
    <row r="608">
      <c r="A608" s="11">
        <v>607.0</v>
      </c>
      <c r="B608" s="11">
        <v>0.01</v>
      </c>
      <c r="C608" s="11">
        <v>0.005</v>
      </c>
      <c r="D608" s="11">
        <v>80.0</v>
      </c>
      <c r="E608" s="11">
        <v>76.0</v>
      </c>
      <c r="F608" s="11">
        <v>0.181</v>
      </c>
      <c r="G608" s="11">
        <v>0.7</v>
      </c>
      <c r="H608" s="11">
        <v>0.118</v>
      </c>
      <c r="I608" s="11">
        <v>1.1296355E7</v>
      </c>
      <c r="J608" s="11">
        <v>0.764</v>
      </c>
      <c r="K608" s="12" t="s">
        <v>125</v>
      </c>
      <c r="L608" s="5" t="s">
        <v>84</v>
      </c>
      <c r="M608" s="9" t="s">
        <v>69</v>
      </c>
    </row>
    <row r="609">
      <c r="A609" s="11">
        <v>608.0</v>
      </c>
      <c r="B609" s="11">
        <v>0.01</v>
      </c>
      <c r="C609" s="11">
        <v>0.005</v>
      </c>
      <c r="D609" s="11">
        <v>81.0</v>
      </c>
      <c r="E609" s="11">
        <v>77.0</v>
      </c>
      <c r="F609" s="11">
        <v>0.177</v>
      </c>
      <c r="G609" s="11">
        <v>0.701</v>
      </c>
      <c r="H609" s="11">
        <v>0.121</v>
      </c>
      <c r="I609" s="11">
        <v>1.1288826E7</v>
      </c>
      <c r="J609" s="11">
        <v>0.765</v>
      </c>
      <c r="K609" s="12" t="s">
        <v>125</v>
      </c>
      <c r="L609" s="5" t="s">
        <v>84</v>
      </c>
      <c r="M609" s="9" t="s">
        <v>70</v>
      </c>
    </row>
    <row r="610">
      <c r="A610" s="11">
        <v>609.0</v>
      </c>
      <c r="B610" s="11">
        <v>0.01</v>
      </c>
      <c r="C610" s="11">
        <v>0.005</v>
      </c>
      <c r="D610" s="11">
        <v>81.0</v>
      </c>
      <c r="E610" s="11">
        <v>77.0</v>
      </c>
      <c r="F610" s="11">
        <v>0.173</v>
      </c>
      <c r="G610" s="11">
        <v>0.702</v>
      </c>
      <c r="H610" s="11">
        <v>0.124</v>
      </c>
      <c r="I610" s="11">
        <v>1.1281768E7</v>
      </c>
      <c r="J610" s="11">
        <v>0.766</v>
      </c>
      <c r="K610" s="12" t="s">
        <v>125</v>
      </c>
      <c r="L610" s="5" t="s">
        <v>84</v>
      </c>
      <c r="M610" s="9" t="s">
        <v>71</v>
      </c>
    </row>
    <row r="611">
      <c r="A611" s="11">
        <v>610.0</v>
      </c>
      <c r="B611" s="11">
        <v>0.01</v>
      </c>
      <c r="C611" s="11">
        <v>0.006</v>
      </c>
      <c r="D611" s="11">
        <v>81.0</v>
      </c>
      <c r="E611" s="11">
        <v>77.0</v>
      </c>
      <c r="F611" s="11">
        <v>0.169</v>
      </c>
      <c r="G611" s="11">
        <v>0.703</v>
      </c>
      <c r="H611" s="11">
        <v>0.127</v>
      </c>
      <c r="I611" s="11">
        <v>1.1276053E7</v>
      </c>
      <c r="J611" s="11">
        <v>0.767</v>
      </c>
      <c r="K611" s="12" t="s">
        <v>125</v>
      </c>
      <c r="L611" s="5" t="s">
        <v>84</v>
      </c>
      <c r="M611" s="9" t="s">
        <v>72</v>
      </c>
    </row>
    <row r="612">
      <c r="A612" s="11">
        <v>611.0</v>
      </c>
      <c r="B612" s="11">
        <v>0.01</v>
      </c>
      <c r="C612" s="11">
        <v>0.005</v>
      </c>
      <c r="D612" s="11">
        <v>81.0</v>
      </c>
      <c r="E612" s="11">
        <v>77.0</v>
      </c>
      <c r="F612" s="11">
        <v>0.166</v>
      </c>
      <c r="G612" s="11">
        <v>0.704</v>
      </c>
      <c r="H612" s="11">
        <v>0.13</v>
      </c>
      <c r="I612" s="11">
        <v>1.1270957E7</v>
      </c>
      <c r="J612" s="11">
        <v>0.768</v>
      </c>
      <c r="K612" s="12" t="s">
        <v>125</v>
      </c>
      <c r="L612" s="5" t="s">
        <v>84</v>
      </c>
      <c r="M612" s="9" t="s">
        <v>73</v>
      </c>
    </row>
    <row r="613">
      <c r="A613" s="8">
        <v>612.0</v>
      </c>
      <c r="B613" s="8"/>
      <c r="C613" s="8"/>
      <c r="D613" s="8"/>
      <c r="E613" s="8"/>
      <c r="F613" s="11">
        <v>0.249</v>
      </c>
      <c r="G613" s="11">
        <v>0.648</v>
      </c>
      <c r="H613" s="11">
        <v>0.103</v>
      </c>
      <c r="I613" s="11">
        <v>133860.0</v>
      </c>
      <c r="J613" s="11">
        <v>0.908</v>
      </c>
      <c r="K613" s="12" t="s">
        <v>126</v>
      </c>
      <c r="L613" s="5" t="s">
        <v>84</v>
      </c>
      <c r="M613" s="9" t="s">
        <v>60</v>
      </c>
    </row>
    <row r="614">
      <c r="A614" s="8">
        <v>613.0</v>
      </c>
      <c r="B614" s="8"/>
      <c r="C614" s="8"/>
      <c r="D614" s="8"/>
      <c r="E614" s="8"/>
      <c r="F614" s="11">
        <v>0.242</v>
      </c>
      <c r="G614" s="11">
        <v>0.651</v>
      </c>
      <c r="H614" s="11">
        <v>0.107</v>
      </c>
      <c r="I614" s="11">
        <v>128905.0</v>
      </c>
      <c r="J614" s="11">
        <v>0.91</v>
      </c>
      <c r="K614" s="12" t="s">
        <v>126</v>
      </c>
      <c r="L614" s="5" t="s">
        <v>84</v>
      </c>
      <c r="M614" s="9" t="s">
        <v>62</v>
      </c>
    </row>
    <row r="615">
      <c r="A615" s="8">
        <v>614.0</v>
      </c>
      <c r="B615" s="8"/>
      <c r="C615" s="8"/>
      <c r="D615" s="8"/>
      <c r="E615" s="8"/>
      <c r="F615" s="11">
        <v>0.234</v>
      </c>
      <c r="G615" s="11">
        <v>0.656</v>
      </c>
      <c r="H615" s="11">
        <v>0.11</v>
      </c>
      <c r="I615" s="11">
        <v>128804.0</v>
      </c>
      <c r="J615" s="11">
        <v>0.909</v>
      </c>
      <c r="K615" s="12" t="s">
        <v>126</v>
      </c>
      <c r="L615" s="5" t="s">
        <v>84</v>
      </c>
      <c r="M615" s="9" t="s">
        <v>63</v>
      </c>
    </row>
    <row r="616">
      <c r="A616" s="8">
        <v>615.0</v>
      </c>
      <c r="B616" s="8"/>
      <c r="C616" s="8"/>
      <c r="D616" s="8"/>
      <c r="E616" s="8"/>
      <c r="F616" s="11">
        <v>0.225</v>
      </c>
      <c r="G616" s="11">
        <v>0.66</v>
      </c>
      <c r="H616" s="11">
        <v>0.114</v>
      </c>
      <c r="I616" s="11">
        <v>131253.0</v>
      </c>
      <c r="J616" s="11">
        <v>0.908</v>
      </c>
      <c r="K616" s="12" t="s">
        <v>126</v>
      </c>
      <c r="L616" s="5" t="s">
        <v>84</v>
      </c>
      <c r="M616" s="9" t="s">
        <v>64</v>
      </c>
    </row>
    <row r="617">
      <c r="A617" s="8">
        <v>616.0</v>
      </c>
      <c r="B617" s="8"/>
      <c r="C617" s="8"/>
      <c r="D617" s="8"/>
      <c r="E617" s="8"/>
      <c r="F617" s="11">
        <v>0.218</v>
      </c>
      <c r="G617" s="11">
        <v>0.665</v>
      </c>
      <c r="H617" s="11">
        <v>0.118</v>
      </c>
      <c r="I617" s="11">
        <v>133363.0</v>
      </c>
      <c r="J617" s="11">
        <v>0.907</v>
      </c>
      <c r="K617" s="12" t="s">
        <v>126</v>
      </c>
      <c r="L617" s="5" t="s">
        <v>84</v>
      </c>
      <c r="M617" s="9" t="s">
        <v>65</v>
      </c>
    </row>
    <row r="618">
      <c r="A618" s="8">
        <v>617.0</v>
      </c>
      <c r="B618" s="8"/>
      <c r="C618" s="8"/>
      <c r="D618" s="8"/>
      <c r="E618" s="8"/>
      <c r="F618" s="11">
        <v>0.211</v>
      </c>
      <c r="G618" s="11">
        <v>0.668</v>
      </c>
      <c r="H618" s="11">
        <v>0.121</v>
      </c>
      <c r="I618" s="11">
        <v>136708.0</v>
      </c>
      <c r="J618" s="11">
        <v>0.905</v>
      </c>
      <c r="K618" s="12" t="s">
        <v>126</v>
      </c>
      <c r="L618" s="5" t="s">
        <v>84</v>
      </c>
      <c r="M618" s="9" t="s">
        <v>66</v>
      </c>
    </row>
    <row r="619">
      <c r="A619" s="11">
        <v>618.0</v>
      </c>
      <c r="B619" s="11">
        <v>0.014</v>
      </c>
      <c r="C619" s="8"/>
      <c r="D619" s="11">
        <v>79.0</v>
      </c>
      <c r="E619" s="11">
        <v>71.0</v>
      </c>
      <c r="F619" s="11">
        <v>0.206</v>
      </c>
      <c r="G619" s="11">
        <v>0.67</v>
      </c>
      <c r="H619" s="11">
        <v>0.124</v>
      </c>
      <c r="I619" s="11">
        <v>140217.0</v>
      </c>
      <c r="J619" s="11">
        <v>0.904</v>
      </c>
      <c r="K619" s="12" t="s">
        <v>126</v>
      </c>
      <c r="L619" s="5" t="s">
        <v>84</v>
      </c>
      <c r="M619" s="9" t="s">
        <v>67</v>
      </c>
    </row>
    <row r="620">
      <c r="A620" s="11">
        <v>619.0</v>
      </c>
      <c r="B620" s="11">
        <v>0.013</v>
      </c>
      <c r="C620" s="8"/>
      <c r="D620" s="11">
        <v>79.0</v>
      </c>
      <c r="E620" s="11">
        <v>72.0</v>
      </c>
      <c r="F620" s="11">
        <v>0.203</v>
      </c>
      <c r="G620" s="11">
        <v>0.671</v>
      </c>
      <c r="H620" s="11">
        <v>0.126</v>
      </c>
      <c r="I620" s="11">
        <v>143026.0</v>
      </c>
      <c r="J620" s="11">
        <v>0.903</v>
      </c>
      <c r="K620" s="12" t="s">
        <v>126</v>
      </c>
      <c r="L620" s="5" t="s">
        <v>84</v>
      </c>
      <c r="M620" s="9" t="s">
        <v>68</v>
      </c>
    </row>
    <row r="621">
      <c r="A621" s="11">
        <v>620.0</v>
      </c>
      <c r="B621" s="11">
        <v>0.014</v>
      </c>
      <c r="C621" s="8"/>
      <c r="D621" s="11">
        <v>79.0</v>
      </c>
      <c r="E621" s="11">
        <v>72.0</v>
      </c>
      <c r="F621" s="11">
        <v>0.201</v>
      </c>
      <c r="G621" s="11">
        <v>0.671</v>
      </c>
      <c r="H621" s="11">
        <v>0.128</v>
      </c>
      <c r="I621" s="11">
        <v>144971.0</v>
      </c>
      <c r="J621" s="11">
        <v>0.902</v>
      </c>
      <c r="K621" s="12" t="s">
        <v>126</v>
      </c>
      <c r="L621" s="5" t="s">
        <v>84</v>
      </c>
      <c r="M621" s="9" t="s">
        <v>69</v>
      </c>
    </row>
    <row r="622">
      <c r="A622" s="11">
        <v>621.0</v>
      </c>
      <c r="B622" s="11">
        <v>0.013</v>
      </c>
      <c r="C622" s="8"/>
      <c r="D622" s="11">
        <v>80.0</v>
      </c>
      <c r="E622" s="11">
        <v>72.0</v>
      </c>
      <c r="F622" s="11">
        <v>0.2</v>
      </c>
      <c r="G622" s="11">
        <v>0.67</v>
      </c>
      <c r="H622" s="11">
        <v>0.13</v>
      </c>
      <c r="I622" s="11">
        <v>145890.0</v>
      </c>
      <c r="J622" s="11">
        <v>0.9</v>
      </c>
      <c r="K622" s="12" t="s">
        <v>126</v>
      </c>
      <c r="L622" s="5" t="s">
        <v>84</v>
      </c>
      <c r="M622" s="9" t="s">
        <v>70</v>
      </c>
    </row>
    <row r="623">
      <c r="A623" s="11">
        <v>622.0</v>
      </c>
      <c r="B623" s="11">
        <v>0.014</v>
      </c>
      <c r="C623" s="8"/>
      <c r="D623" s="8"/>
      <c r="E623" s="8"/>
      <c r="F623" s="11">
        <v>0.198</v>
      </c>
      <c r="G623" s="11">
        <v>0.67</v>
      </c>
      <c r="H623" s="11">
        <v>0.132</v>
      </c>
      <c r="I623" s="11">
        <v>149311.0</v>
      </c>
      <c r="J623" s="11">
        <v>0.899</v>
      </c>
      <c r="K623" s="12" t="s">
        <v>126</v>
      </c>
      <c r="L623" s="5" t="s">
        <v>84</v>
      </c>
      <c r="M623" s="9" t="s">
        <v>71</v>
      </c>
    </row>
    <row r="624">
      <c r="A624" s="11">
        <v>623.0</v>
      </c>
      <c r="B624" s="11">
        <v>0.013</v>
      </c>
      <c r="C624" s="8"/>
      <c r="D624" s="11">
        <v>81.0</v>
      </c>
      <c r="E624" s="11">
        <v>74.0</v>
      </c>
      <c r="F624" s="11">
        <v>0.197</v>
      </c>
      <c r="G624" s="11">
        <v>0.669</v>
      </c>
      <c r="H624" s="11">
        <v>0.134</v>
      </c>
      <c r="I624" s="11">
        <v>150612.0</v>
      </c>
      <c r="J624" s="11">
        <v>0.898</v>
      </c>
      <c r="K624" s="12" t="s">
        <v>126</v>
      </c>
      <c r="L624" s="5" t="s">
        <v>84</v>
      </c>
      <c r="M624" s="9" t="s">
        <v>72</v>
      </c>
    </row>
    <row r="625">
      <c r="A625" s="11">
        <v>624.0</v>
      </c>
      <c r="B625" s="11">
        <v>0.013</v>
      </c>
      <c r="C625" s="8"/>
      <c r="D625" s="8"/>
      <c r="E625" s="8"/>
      <c r="F625" s="11">
        <v>0.195</v>
      </c>
      <c r="G625" s="11">
        <v>0.668</v>
      </c>
      <c r="H625" s="11">
        <v>0.137</v>
      </c>
      <c r="I625" s="11">
        <v>152056.0</v>
      </c>
      <c r="J625" s="11">
        <v>0.897</v>
      </c>
      <c r="K625" s="12" t="s">
        <v>126</v>
      </c>
      <c r="L625" s="5" t="s">
        <v>84</v>
      </c>
      <c r="M625" s="9" t="s">
        <v>73</v>
      </c>
    </row>
    <row r="626">
      <c r="A626" s="11">
        <v>625.0</v>
      </c>
      <c r="B626" s="11">
        <v>0.013</v>
      </c>
      <c r="C626" s="11">
        <v>0.006</v>
      </c>
      <c r="D626" s="11">
        <v>80.0</v>
      </c>
      <c r="E626" s="11">
        <v>76.0</v>
      </c>
      <c r="F626" s="11">
        <v>0.224</v>
      </c>
      <c r="G626" s="11">
        <v>0.674</v>
      </c>
      <c r="H626" s="11">
        <v>0.102</v>
      </c>
      <c r="I626" s="11">
        <v>943287.0</v>
      </c>
      <c r="J626" s="11">
        <v>0.686</v>
      </c>
      <c r="K626" s="12" t="s">
        <v>127</v>
      </c>
      <c r="L626" s="5" t="s">
        <v>75</v>
      </c>
      <c r="M626" s="9" t="s">
        <v>60</v>
      </c>
    </row>
    <row r="627">
      <c r="A627" s="11">
        <v>626.0</v>
      </c>
      <c r="B627" s="11">
        <v>0.013</v>
      </c>
      <c r="C627" s="11">
        <v>0.005</v>
      </c>
      <c r="D627" s="11">
        <v>80.0</v>
      </c>
      <c r="E627" s="11">
        <v>76.0</v>
      </c>
      <c r="F627" s="11">
        <v>0.219</v>
      </c>
      <c r="G627" s="11">
        <v>0.678</v>
      </c>
      <c r="H627" s="11">
        <v>0.103</v>
      </c>
      <c r="I627" s="11">
        <v>961481.0</v>
      </c>
      <c r="J627" s="11">
        <v>0.688</v>
      </c>
      <c r="K627" s="12" t="s">
        <v>127</v>
      </c>
      <c r="L627" s="5" t="s">
        <v>75</v>
      </c>
      <c r="M627" s="9" t="s">
        <v>62</v>
      </c>
    </row>
    <row r="628">
      <c r="A628" s="11">
        <v>627.0</v>
      </c>
      <c r="B628" s="11">
        <v>0.013</v>
      </c>
      <c r="C628" s="11">
        <v>0.005</v>
      </c>
      <c r="D628" s="11">
        <v>80.0</v>
      </c>
      <c r="E628" s="11">
        <v>76.0</v>
      </c>
      <c r="F628" s="11">
        <v>0.214</v>
      </c>
      <c r="G628" s="11">
        <v>0.682</v>
      </c>
      <c r="H628" s="11">
        <v>0.104</v>
      </c>
      <c r="I628" s="11">
        <v>979877.0</v>
      </c>
      <c r="J628" s="11">
        <v>0.687</v>
      </c>
      <c r="K628" s="12" t="s">
        <v>127</v>
      </c>
      <c r="L628" s="5" t="s">
        <v>75</v>
      </c>
      <c r="M628" s="9" t="s">
        <v>63</v>
      </c>
    </row>
    <row r="629">
      <c r="A629" s="11">
        <v>628.0</v>
      </c>
      <c r="B629" s="11">
        <v>0.012</v>
      </c>
      <c r="C629" s="11">
        <v>0.005</v>
      </c>
      <c r="D629" s="11">
        <v>81.0</v>
      </c>
      <c r="E629" s="11">
        <v>76.0</v>
      </c>
      <c r="F629" s="11">
        <v>0.209</v>
      </c>
      <c r="G629" s="11">
        <v>0.686</v>
      </c>
      <c r="H629" s="11">
        <v>0.105</v>
      </c>
      <c r="I629" s="11">
        <v>998142.0</v>
      </c>
      <c r="J629" s="11">
        <v>0.686</v>
      </c>
      <c r="K629" s="12" t="s">
        <v>127</v>
      </c>
      <c r="L629" s="5" t="s">
        <v>75</v>
      </c>
      <c r="M629" s="9" t="s">
        <v>64</v>
      </c>
    </row>
    <row r="630">
      <c r="A630" s="11">
        <v>629.0</v>
      </c>
      <c r="B630" s="11">
        <v>0.012</v>
      </c>
      <c r="C630" s="11">
        <v>0.004</v>
      </c>
      <c r="D630" s="11">
        <v>81.0</v>
      </c>
      <c r="E630" s="11">
        <v>76.0</v>
      </c>
      <c r="F630" s="11">
        <v>0.205</v>
      </c>
      <c r="G630" s="11">
        <v>0.69</v>
      </c>
      <c r="H630" s="11">
        <v>0.106</v>
      </c>
      <c r="I630" s="11">
        <v>1015820.0</v>
      </c>
      <c r="J630" s="11">
        <v>0.684</v>
      </c>
      <c r="K630" s="12" t="s">
        <v>127</v>
      </c>
      <c r="L630" s="5" t="s">
        <v>75</v>
      </c>
      <c r="M630" s="9" t="s">
        <v>65</v>
      </c>
    </row>
    <row r="631">
      <c r="A631" s="11">
        <v>630.0</v>
      </c>
      <c r="B631" s="11">
        <v>0.012</v>
      </c>
      <c r="C631" s="11">
        <v>0.004</v>
      </c>
      <c r="D631" s="11">
        <v>81.0</v>
      </c>
      <c r="E631" s="11">
        <v>77.0</v>
      </c>
      <c r="F631" s="11">
        <v>0.2</v>
      </c>
      <c r="G631" s="11">
        <v>0.693</v>
      </c>
      <c r="H631" s="11">
        <v>0.107</v>
      </c>
      <c r="I631" s="11">
        <v>1032586.0</v>
      </c>
      <c r="J631" s="11">
        <v>0.683</v>
      </c>
      <c r="K631" s="12" t="s">
        <v>127</v>
      </c>
      <c r="L631" s="5" t="s">
        <v>75</v>
      </c>
      <c r="M631" s="9" t="s">
        <v>66</v>
      </c>
    </row>
    <row r="632">
      <c r="A632" s="11">
        <v>631.0</v>
      </c>
      <c r="B632" s="11">
        <v>0.012</v>
      </c>
      <c r="C632" s="11">
        <v>0.004</v>
      </c>
      <c r="D632" s="11">
        <v>81.0</v>
      </c>
      <c r="E632" s="11">
        <v>77.0</v>
      </c>
      <c r="F632" s="11">
        <v>0.195</v>
      </c>
      <c r="G632" s="11">
        <v>0.697</v>
      </c>
      <c r="H632" s="11">
        <v>0.109</v>
      </c>
      <c r="I632" s="11">
        <v>1048314.0</v>
      </c>
      <c r="J632" s="11">
        <v>0.681</v>
      </c>
      <c r="K632" s="12" t="s">
        <v>127</v>
      </c>
      <c r="L632" s="5" t="s">
        <v>75</v>
      </c>
      <c r="M632" s="9" t="s">
        <v>67</v>
      </c>
    </row>
    <row r="633">
      <c r="A633" s="11">
        <v>632.0</v>
      </c>
      <c r="B633" s="11">
        <v>0.012</v>
      </c>
      <c r="C633" s="11">
        <v>0.004</v>
      </c>
      <c r="D633" s="11">
        <v>81.0</v>
      </c>
      <c r="E633" s="11">
        <v>77.0</v>
      </c>
      <c r="F633" s="11">
        <v>0.19</v>
      </c>
      <c r="G633" s="11">
        <v>0.7</v>
      </c>
      <c r="H633" s="11">
        <v>0.11</v>
      </c>
      <c r="I633" s="11">
        <v>1063095.0</v>
      </c>
      <c r="J633" s="11">
        <v>0.68</v>
      </c>
      <c r="K633" s="12" t="s">
        <v>127</v>
      </c>
      <c r="L633" s="5" t="s">
        <v>75</v>
      </c>
      <c r="M633" s="9" t="s">
        <v>68</v>
      </c>
    </row>
    <row r="634">
      <c r="A634" s="11">
        <v>633.0</v>
      </c>
      <c r="B634" s="11">
        <v>0.012</v>
      </c>
      <c r="C634" s="11">
        <v>0.003</v>
      </c>
      <c r="D634" s="11">
        <v>81.0</v>
      </c>
      <c r="E634" s="11">
        <v>77.0</v>
      </c>
      <c r="F634" s="11">
        <v>0.186</v>
      </c>
      <c r="G634" s="11">
        <v>0.703</v>
      </c>
      <c r="H634" s="11">
        <v>0.112</v>
      </c>
      <c r="I634" s="11">
        <v>1077089.0</v>
      </c>
      <c r="J634" s="11">
        <v>0.678</v>
      </c>
      <c r="K634" s="12" t="s">
        <v>127</v>
      </c>
      <c r="L634" s="5" t="s">
        <v>75</v>
      </c>
      <c r="M634" s="9" t="s">
        <v>69</v>
      </c>
    </row>
    <row r="635">
      <c r="A635" s="11">
        <v>634.0</v>
      </c>
      <c r="B635" s="11">
        <v>0.012</v>
      </c>
      <c r="C635" s="11">
        <v>0.003</v>
      </c>
      <c r="D635" s="11">
        <v>81.0</v>
      </c>
      <c r="E635" s="11">
        <v>77.0</v>
      </c>
      <c r="F635" s="11">
        <v>0.181</v>
      </c>
      <c r="G635" s="11">
        <v>0.705</v>
      </c>
      <c r="H635" s="11">
        <v>0.114</v>
      </c>
      <c r="I635" s="11">
        <v>1090553.0</v>
      </c>
      <c r="J635" s="11">
        <v>0.677</v>
      </c>
      <c r="K635" s="12" t="s">
        <v>127</v>
      </c>
      <c r="L635" s="5" t="s">
        <v>75</v>
      </c>
      <c r="M635" s="9" t="s">
        <v>70</v>
      </c>
    </row>
    <row r="636">
      <c r="A636" s="11">
        <v>635.0</v>
      </c>
      <c r="B636" s="11">
        <v>0.012</v>
      </c>
      <c r="C636" s="11">
        <v>0.003</v>
      </c>
      <c r="D636" s="11">
        <v>81.0</v>
      </c>
      <c r="E636" s="11">
        <v>77.0</v>
      </c>
      <c r="F636" s="11">
        <v>0.178</v>
      </c>
      <c r="G636" s="11">
        <v>0.707</v>
      </c>
      <c r="H636" s="11">
        <v>0.116</v>
      </c>
      <c r="I636" s="11">
        <v>1103685.0</v>
      </c>
      <c r="J636" s="11">
        <v>0.676</v>
      </c>
      <c r="K636" s="12" t="s">
        <v>127</v>
      </c>
      <c r="L636" s="5" t="s">
        <v>75</v>
      </c>
      <c r="M636" s="9" t="s">
        <v>71</v>
      </c>
    </row>
    <row r="637">
      <c r="A637" s="11">
        <v>636.0</v>
      </c>
      <c r="B637" s="11">
        <v>0.012</v>
      </c>
      <c r="C637" s="11">
        <v>0.003</v>
      </c>
      <c r="D637" s="11">
        <v>82.0</v>
      </c>
      <c r="E637" s="11">
        <v>77.0</v>
      </c>
      <c r="F637" s="11">
        <v>0.174</v>
      </c>
      <c r="G637" s="11">
        <v>0.708</v>
      </c>
      <c r="H637" s="11">
        <v>0.118</v>
      </c>
      <c r="I637" s="11">
        <v>1116513.0</v>
      </c>
      <c r="J637" s="11">
        <v>0.674</v>
      </c>
      <c r="K637" s="12" t="s">
        <v>127</v>
      </c>
      <c r="L637" s="5" t="s">
        <v>75</v>
      </c>
      <c r="M637" s="9" t="s">
        <v>72</v>
      </c>
    </row>
    <row r="638">
      <c r="A638" s="11">
        <v>637.0</v>
      </c>
      <c r="B638" s="11">
        <v>0.012</v>
      </c>
      <c r="C638" s="11">
        <v>0.003</v>
      </c>
      <c r="D638" s="11">
        <v>82.0</v>
      </c>
      <c r="E638" s="11">
        <v>78.0</v>
      </c>
      <c r="F638" s="11">
        <v>0.172</v>
      </c>
      <c r="G638" s="11">
        <v>0.708</v>
      </c>
      <c r="H638" s="11">
        <v>0.12</v>
      </c>
      <c r="I638" s="11">
        <v>1128994.0</v>
      </c>
      <c r="J638" s="11">
        <v>0.673</v>
      </c>
      <c r="K638" s="12" t="s">
        <v>127</v>
      </c>
      <c r="L638" s="5" t="s">
        <v>75</v>
      </c>
      <c r="M638" s="9" t="s">
        <v>73</v>
      </c>
    </row>
    <row r="639">
      <c r="A639" s="11">
        <v>638.0</v>
      </c>
      <c r="B639" s="11">
        <v>0.009</v>
      </c>
      <c r="C639" s="11">
        <v>0.006</v>
      </c>
      <c r="D639" s="11">
        <v>78.0</v>
      </c>
      <c r="E639" s="11">
        <v>72.0</v>
      </c>
      <c r="F639" s="11">
        <v>0.165</v>
      </c>
      <c r="G639" s="11">
        <v>0.697</v>
      </c>
      <c r="H639" s="11">
        <v>0.138</v>
      </c>
      <c r="I639" s="11">
        <v>1.0255063E7</v>
      </c>
      <c r="J639" s="11">
        <v>0.74</v>
      </c>
      <c r="K639" s="12" t="s">
        <v>128</v>
      </c>
      <c r="L639" s="5" t="s">
        <v>75</v>
      </c>
      <c r="M639" s="9" t="s">
        <v>60</v>
      </c>
    </row>
    <row r="640">
      <c r="A640" s="11">
        <v>639.0</v>
      </c>
      <c r="B640" s="11">
        <v>0.009</v>
      </c>
      <c r="C640" s="11">
        <v>0.005</v>
      </c>
      <c r="D640" s="11">
        <v>78.0</v>
      </c>
      <c r="E640" s="11">
        <v>72.0</v>
      </c>
      <c r="F640" s="11">
        <v>0.161</v>
      </c>
      <c r="G640" s="11">
        <v>0.7</v>
      </c>
      <c r="H640" s="11">
        <v>0.139</v>
      </c>
      <c r="I640" s="11">
        <v>1.0216605E7</v>
      </c>
      <c r="J640" s="11">
        <v>0.739</v>
      </c>
      <c r="K640" s="12" t="s">
        <v>128</v>
      </c>
      <c r="L640" s="5" t="s">
        <v>75</v>
      </c>
      <c r="M640" s="9" t="s">
        <v>62</v>
      </c>
    </row>
    <row r="641">
      <c r="A641" s="11">
        <v>640.0</v>
      </c>
      <c r="B641" s="11">
        <v>0.009</v>
      </c>
      <c r="C641" s="11">
        <v>0.005</v>
      </c>
      <c r="D641" s="11">
        <v>79.0</v>
      </c>
      <c r="E641" s="11">
        <v>72.0</v>
      </c>
      <c r="F641" s="11">
        <v>0.157</v>
      </c>
      <c r="G641" s="11">
        <v>0.704</v>
      </c>
      <c r="H641" s="11">
        <v>0.139</v>
      </c>
      <c r="I641" s="11">
        <v>1.0196916E7</v>
      </c>
      <c r="J641" s="11">
        <v>0.738</v>
      </c>
      <c r="K641" s="12" t="s">
        <v>128</v>
      </c>
      <c r="L641" s="5" t="s">
        <v>75</v>
      </c>
      <c r="M641" s="9" t="s">
        <v>63</v>
      </c>
    </row>
    <row r="642">
      <c r="A642" s="11">
        <v>641.0</v>
      </c>
      <c r="B642" s="11">
        <v>0.009</v>
      </c>
      <c r="C642" s="11">
        <v>0.005</v>
      </c>
      <c r="D642" s="11">
        <v>79.0</v>
      </c>
      <c r="E642" s="11">
        <v>72.0</v>
      </c>
      <c r="F642" s="11">
        <v>0.154</v>
      </c>
      <c r="G642" s="11">
        <v>0.707</v>
      </c>
      <c r="H642" s="11">
        <v>0.139</v>
      </c>
      <c r="I642" s="11">
        <v>1.0193998E7</v>
      </c>
      <c r="J642" s="11">
        <v>0.737</v>
      </c>
      <c r="K642" s="12" t="s">
        <v>128</v>
      </c>
      <c r="L642" s="5" t="s">
        <v>75</v>
      </c>
      <c r="M642" s="9" t="s">
        <v>64</v>
      </c>
    </row>
    <row r="643">
      <c r="A643" s="11">
        <v>642.0</v>
      </c>
      <c r="B643" s="11">
        <v>0.01</v>
      </c>
      <c r="C643" s="11">
        <v>0.005</v>
      </c>
      <c r="D643" s="11">
        <v>79.0</v>
      </c>
      <c r="E643" s="11">
        <v>73.0</v>
      </c>
      <c r="F643" s="11">
        <v>0.151</v>
      </c>
      <c r="G643" s="11">
        <v>0.709</v>
      </c>
      <c r="H643" s="11">
        <v>0.14</v>
      </c>
      <c r="I643" s="11">
        <v>1.0197101E7</v>
      </c>
      <c r="J643" s="11">
        <v>0.737</v>
      </c>
      <c r="K643" s="12" t="s">
        <v>128</v>
      </c>
      <c r="L643" s="5" t="s">
        <v>75</v>
      </c>
      <c r="M643" s="9" t="s">
        <v>65</v>
      </c>
    </row>
    <row r="644">
      <c r="A644" s="11">
        <v>643.0</v>
      </c>
      <c r="B644" s="11">
        <v>0.01</v>
      </c>
      <c r="C644" s="11">
        <v>0.004</v>
      </c>
      <c r="D644" s="11">
        <v>79.0</v>
      </c>
      <c r="E644" s="11">
        <v>73.0</v>
      </c>
      <c r="F644" s="11">
        <v>0.148</v>
      </c>
      <c r="G644" s="11">
        <v>0.711</v>
      </c>
      <c r="H644" s="11">
        <v>0.141</v>
      </c>
      <c r="I644" s="11">
        <v>1.0211216E7</v>
      </c>
      <c r="J644" s="11">
        <v>0.736</v>
      </c>
      <c r="K644" s="12" t="s">
        <v>128</v>
      </c>
      <c r="L644" s="5" t="s">
        <v>75</v>
      </c>
      <c r="M644" s="9" t="s">
        <v>66</v>
      </c>
    </row>
    <row r="645">
      <c r="A645" s="11">
        <v>644.0</v>
      </c>
      <c r="B645" s="11">
        <v>0.01</v>
      </c>
      <c r="C645" s="11">
        <v>0.004</v>
      </c>
      <c r="D645" s="11">
        <v>80.0</v>
      </c>
      <c r="E645" s="11">
        <v>74.0</v>
      </c>
      <c r="F645" s="11">
        <v>0.145</v>
      </c>
      <c r="G645" s="11">
        <v>0.712</v>
      </c>
      <c r="H645" s="11">
        <v>0.143</v>
      </c>
      <c r="I645" s="11">
        <v>1.0238905E7</v>
      </c>
      <c r="J645" s="11">
        <v>0.735</v>
      </c>
      <c r="K645" s="12" t="s">
        <v>128</v>
      </c>
      <c r="L645" s="5" t="s">
        <v>75</v>
      </c>
      <c r="M645" s="9" t="s">
        <v>67</v>
      </c>
    </row>
    <row r="646">
      <c r="A646" s="11">
        <v>645.0</v>
      </c>
      <c r="B646" s="11">
        <v>0.011</v>
      </c>
      <c r="C646" s="11">
        <v>0.004</v>
      </c>
      <c r="D646" s="11">
        <v>80.0</v>
      </c>
      <c r="E646" s="11">
        <v>74.0</v>
      </c>
      <c r="F646" s="11">
        <v>0.143</v>
      </c>
      <c r="G646" s="11">
        <v>0.712</v>
      </c>
      <c r="H646" s="11">
        <v>0.145</v>
      </c>
      <c r="I646" s="11">
        <v>1.0298828E7</v>
      </c>
      <c r="J646" s="11">
        <v>0.735</v>
      </c>
      <c r="K646" s="12" t="s">
        <v>128</v>
      </c>
      <c r="L646" s="5" t="s">
        <v>75</v>
      </c>
      <c r="M646" s="9" t="s">
        <v>68</v>
      </c>
    </row>
    <row r="647">
      <c r="A647" s="11">
        <v>646.0</v>
      </c>
      <c r="B647" s="11">
        <v>0.012</v>
      </c>
      <c r="C647" s="11">
        <v>0.004</v>
      </c>
      <c r="D647" s="11">
        <v>80.0</v>
      </c>
      <c r="E647" s="11">
        <v>74.0</v>
      </c>
      <c r="F647" s="11">
        <v>0.142</v>
      </c>
      <c r="G647" s="11">
        <v>0.711</v>
      </c>
      <c r="H647" s="11">
        <v>0.147</v>
      </c>
      <c r="I647" s="11">
        <v>1.0384603E7</v>
      </c>
      <c r="J647" s="11">
        <v>0.734</v>
      </c>
      <c r="K647" s="12" t="s">
        <v>128</v>
      </c>
      <c r="L647" s="5" t="s">
        <v>75</v>
      </c>
      <c r="M647" s="9" t="s">
        <v>69</v>
      </c>
    </row>
    <row r="648">
      <c r="A648" s="11">
        <v>647.0</v>
      </c>
      <c r="B648" s="11">
        <v>0.011</v>
      </c>
      <c r="C648" s="11">
        <v>0.004</v>
      </c>
      <c r="D648" s="11">
        <v>80.0</v>
      </c>
      <c r="E648" s="11">
        <v>74.0</v>
      </c>
      <c r="F648" s="11">
        <v>0.142</v>
      </c>
      <c r="G648" s="11">
        <v>0.708</v>
      </c>
      <c r="H648" s="11">
        <v>0.15</v>
      </c>
      <c r="I648" s="11">
        <v>1.0443936E7</v>
      </c>
      <c r="J648" s="11">
        <v>0.733</v>
      </c>
      <c r="K648" s="12" t="s">
        <v>128</v>
      </c>
      <c r="L648" s="5" t="s">
        <v>75</v>
      </c>
      <c r="M648" s="9" t="s">
        <v>70</v>
      </c>
    </row>
    <row r="649">
      <c r="A649" s="11">
        <v>648.0</v>
      </c>
      <c r="B649" s="11">
        <v>0.011</v>
      </c>
      <c r="C649" s="11">
        <v>0.003</v>
      </c>
      <c r="D649" s="11">
        <v>81.0</v>
      </c>
      <c r="E649" s="11">
        <v>74.0</v>
      </c>
      <c r="F649" s="11">
        <v>0.142</v>
      </c>
      <c r="G649" s="11">
        <v>0.704</v>
      </c>
      <c r="H649" s="11">
        <v>0.154</v>
      </c>
      <c r="I649" s="11">
        <v>1.047441E7</v>
      </c>
      <c r="J649" s="11">
        <v>0.733</v>
      </c>
      <c r="K649" s="12" t="s">
        <v>128</v>
      </c>
      <c r="L649" s="5" t="s">
        <v>75</v>
      </c>
      <c r="M649" s="9" t="s">
        <v>71</v>
      </c>
    </row>
    <row r="650">
      <c r="A650" s="11">
        <v>649.0</v>
      </c>
      <c r="B650" s="11">
        <v>0.01</v>
      </c>
      <c r="C650" s="11">
        <v>0.003</v>
      </c>
      <c r="D650" s="11">
        <v>81.0</v>
      </c>
      <c r="E650" s="11">
        <v>75.0</v>
      </c>
      <c r="F650" s="11">
        <v>0.143</v>
      </c>
      <c r="G650" s="11">
        <v>0.699</v>
      </c>
      <c r="H650" s="11">
        <v>0.158</v>
      </c>
      <c r="I650" s="11">
        <v>1.0496088E7</v>
      </c>
      <c r="J650" s="11">
        <v>0.732</v>
      </c>
      <c r="K650" s="12" t="s">
        <v>128</v>
      </c>
      <c r="L650" s="5" t="s">
        <v>75</v>
      </c>
      <c r="M650" s="9" t="s">
        <v>72</v>
      </c>
    </row>
    <row r="651">
      <c r="A651" s="11">
        <v>650.0</v>
      </c>
      <c r="B651" s="11">
        <v>0.01</v>
      </c>
      <c r="C651" s="11">
        <v>0.003</v>
      </c>
      <c r="D651" s="11">
        <v>81.0</v>
      </c>
      <c r="E651" s="11">
        <v>75.0</v>
      </c>
      <c r="F651" s="11">
        <v>0.146</v>
      </c>
      <c r="G651" s="11">
        <v>0.692</v>
      </c>
      <c r="H651" s="11">
        <v>0.162</v>
      </c>
      <c r="I651" s="11">
        <v>1.0510785E7</v>
      </c>
      <c r="J651" s="11">
        <v>0.731</v>
      </c>
      <c r="K651" s="12" t="s">
        <v>128</v>
      </c>
      <c r="L651" s="5" t="s">
        <v>75</v>
      </c>
      <c r="M651" s="9" t="s">
        <v>73</v>
      </c>
    </row>
    <row r="652">
      <c r="A652" s="11">
        <v>651.0</v>
      </c>
      <c r="B652" s="11">
        <v>0.013</v>
      </c>
      <c r="C652" s="11">
        <v>0.005</v>
      </c>
      <c r="D652" s="11">
        <v>79.0</v>
      </c>
      <c r="E652" s="11">
        <v>74.0</v>
      </c>
      <c r="F652" s="11">
        <v>0.185</v>
      </c>
      <c r="G652" s="11">
        <v>0.667</v>
      </c>
      <c r="H652" s="11">
        <v>0.149</v>
      </c>
      <c r="I652" s="11">
        <v>5339616.0</v>
      </c>
      <c r="J652" s="11">
        <v>0.851</v>
      </c>
      <c r="K652" s="12" t="s">
        <v>129</v>
      </c>
      <c r="L652" s="5" t="s">
        <v>75</v>
      </c>
      <c r="M652" s="9" t="s">
        <v>60</v>
      </c>
    </row>
    <row r="653">
      <c r="A653" s="11">
        <v>652.0</v>
      </c>
      <c r="B653" s="11">
        <v>0.012</v>
      </c>
      <c r="C653" s="11">
        <v>0.005</v>
      </c>
      <c r="D653" s="11">
        <v>79.0</v>
      </c>
      <c r="E653" s="11">
        <v>75.0</v>
      </c>
      <c r="F653" s="11">
        <v>0.186</v>
      </c>
      <c r="G653" s="11">
        <v>0.665</v>
      </c>
      <c r="H653" s="11">
        <v>0.148</v>
      </c>
      <c r="I653" s="11">
        <v>5358783.0</v>
      </c>
      <c r="J653" s="11">
        <v>0.852</v>
      </c>
      <c r="K653" s="12" t="s">
        <v>129</v>
      </c>
      <c r="L653" s="5" t="s">
        <v>75</v>
      </c>
      <c r="M653" s="9" t="s">
        <v>62</v>
      </c>
    </row>
    <row r="654">
      <c r="A654" s="11">
        <v>653.0</v>
      </c>
      <c r="B654" s="11">
        <v>0.012</v>
      </c>
      <c r="C654" s="11">
        <v>0.004</v>
      </c>
      <c r="D654" s="11">
        <v>79.0</v>
      </c>
      <c r="E654" s="11">
        <v>75.0</v>
      </c>
      <c r="F654" s="11">
        <v>0.187</v>
      </c>
      <c r="G654" s="11">
        <v>0.664</v>
      </c>
      <c r="H654" s="11">
        <v>0.149</v>
      </c>
      <c r="I654" s="11">
        <v>5375931.0</v>
      </c>
      <c r="J654" s="11">
        <v>0.853</v>
      </c>
      <c r="K654" s="12" t="s">
        <v>129</v>
      </c>
      <c r="L654" s="5" t="s">
        <v>75</v>
      </c>
      <c r="M654" s="9" t="s">
        <v>63</v>
      </c>
    </row>
    <row r="655">
      <c r="A655" s="11">
        <v>654.0</v>
      </c>
      <c r="B655" s="11">
        <v>0.012</v>
      </c>
      <c r="C655" s="11">
        <v>0.004</v>
      </c>
      <c r="D655" s="11">
        <v>80.0</v>
      </c>
      <c r="E655" s="11">
        <v>75.0</v>
      </c>
      <c r="F655" s="11">
        <v>0.188</v>
      </c>
      <c r="G655" s="11">
        <v>0.663</v>
      </c>
      <c r="H655" s="11">
        <v>0.149</v>
      </c>
      <c r="I655" s="11">
        <v>5390574.0</v>
      </c>
      <c r="J655" s="11">
        <v>0.854</v>
      </c>
      <c r="K655" s="12" t="s">
        <v>129</v>
      </c>
      <c r="L655" s="5" t="s">
        <v>75</v>
      </c>
      <c r="M655" s="9" t="s">
        <v>64</v>
      </c>
    </row>
    <row r="656">
      <c r="A656" s="11">
        <v>655.0</v>
      </c>
      <c r="B656" s="11">
        <v>0.012</v>
      </c>
      <c r="C656" s="11">
        <v>0.004</v>
      </c>
      <c r="D656" s="11">
        <v>80.0</v>
      </c>
      <c r="E656" s="11">
        <v>75.0</v>
      </c>
      <c r="F656" s="11">
        <v>0.188</v>
      </c>
      <c r="G656" s="11">
        <v>0.662</v>
      </c>
      <c r="H656" s="11">
        <v>0.15</v>
      </c>
      <c r="I656" s="11">
        <v>5404523.0</v>
      </c>
      <c r="J656" s="11">
        <v>0.856</v>
      </c>
      <c r="K656" s="12" t="s">
        <v>129</v>
      </c>
      <c r="L656" s="5" t="s">
        <v>75</v>
      </c>
      <c r="M656" s="9" t="s">
        <v>65</v>
      </c>
    </row>
    <row r="657">
      <c r="A657" s="11">
        <v>656.0</v>
      </c>
      <c r="B657" s="11">
        <v>0.012</v>
      </c>
      <c r="C657" s="11">
        <v>0.004</v>
      </c>
      <c r="D657" s="11">
        <v>80.0</v>
      </c>
      <c r="E657" s="11">
        <v>76.0</v>
      </c>
      <c r="F657" s="11">
        <v>0.187</v>
      </c>
      <c r="G657" s="11">
        <v>0.661</v>
      </c>
      <c r="H657" s="11">
        <v>0.151</v>
      </c>
      <c r="I657" s="11">
        <v>5419432.0</v>
      </c>
      <c r="J657" s="11">
        <v>0.859</v>
      </c>
      <c r="K657" s="12" t="s">
        <v>129</v>
      </c>
      <c r="L657" s="5" t="s">
        <v>75</v>
      </c>
      <c r="M657" s="9" t="s">
        <v>66</v>
      </c>
    </row>
    <row r="658">
      <c r="A658" s="11">
        <v>657.0</v>
      </c>
      <c r="B658" s="11">
        <v>0.012</v>
      </c>
      <c r="C658" s="11">
        <v>0.004</v>
      </c>
      <c r="D658" s="11">
        <v>80.0</v>
      </c>
      <c r="E658" s="11">
        <v>76.0</v>
      </c>
      <c r="F658" s="11">
        <v>0.186</v>
      </c>
      <c r="G658" s="11">
        <v>0.66</v>
      </c>
      <c r="H658" s="11">
        <v>0.154</v>
      </c>
      <c r="I658" s="11">
        <v>5437272.0</v>
      </c>
      <c r="J658" s="11">
        <v>0.861</v>
      </c>
      <c r="K658" s="12" t="s">
        <v>129</v>
      </c>
      <c r="L658" s="5" t="s">
        <v>75</v>
      </c>
      <c r="M658" s="9" t="s">
        <v>67</v>
      </c>
    </row>
    <row r="659">
      <c r="A659" s="11">
        <v>658.0</v>
      </c>
      <c r="B659" s="11">
        <v>0.012</v>
      </c>
      <c r="C659" s="11">
        <v>0.004</v>
      </c>
      <c r="D659" s="11">
        <v>81.0</v>
      </c>
      <c r="E659" s="11">
        <v>76.0</v>
      </c>
      <c r="F659" s="11">
        <v>0.185</v>
      </c>
      <c r="G659" s="11">
        <v>0.659</v>
      </c>
      <c r="H659" s="11">
        <v>0.156</v>
      </c>
      <c r="I659" s="11">
        <v>5461438.0</v>
      </c>
      <c r="J659" s="11">
        <v>0.863</v>
      </c>
      <c r="K659" s="12" t="s">
        <v>129</v>
      </c>
      <c r="L659" s="5" t="s">
        <v>75</v>
      </c>
      <c r="M659" s="9" t="s">
        <v>68</v>
      </c>
    </row>
    <row r="660">
      <c r="A660" s="11">
        <v>659.0</v>
      </c>
      <c r="B660" s="11">
        <v>0.012</v>
      </c>
      <c r="C660" s="11">
        <v>0.004</v>
      </c>
      <c r="D660" s="11">
        <v>81.0</v>
      </c>
      <c r="E660" s="11">
        <v>76.0</v>
      </c>
      <c r="F660" s="11">
        <v>0.183</v>
      </c>
      <c r="G660" s="11">
        <v>0.657</v>
      </c>
      <c r="H660" s="11">
        <v>0.159</v>
      </c>
      <c r="I660" s="11">
        <v>5493621.0</v>
      </c>
      <c r="J660" s="11">
        <v>0.865</v>
      </c>
      <c r="K660" s="12" t="s">
        <v>129</v>
      </c>
      <c r="L660" s="5" t="s">
        <v>75</v>
      </c>
      <c r="M660" s="9" t="s">
        <v>69</v>
      </c>
    </row>
    <row r="661">
      <c r="A661" s="11">
        <v>660.0</v>
      </c>
      <c r="B661" s="11">
        <v>0.011</v>
      </c>
      <c r="C661" s="11">
        <v>0.004</v>
      </c>
      <c r="D661" s="11">
        <v>81.0</v>
      </c>
      <c r="E661" s="11">
        <v>77.0</v>
      </c>
      <c r="F661" s="11">
        <v>0.181</v>
      </c>
      <c r="G661" s="11">
        <v>0.656</v>
      </c>
      <c r="H661" s="11">
        <v>0.163</v>
      </c>
      <c r="I661" s="11">
        <v>5523095.0</v>
      </c>
      <c r="J661" s="11">
        <v>0.867</v>
      </c>
      <c r="K661" s="12" t="s">
        <v>129</v>
      </c>
      <c r="L661" s="5" t="s">
        <v>75</v>
      </c>
      <c r="M661" s="9" t="s">
        <v>70</v>
      </c>
    </row>
    <row r="662">
      <c r="A662" s="11">
        <v>661.0</v>
      </c>
      <c r="B662" s="11">
        <v>0.011</v>
      </c>
      <c r="C662" s="11">
        <v>0.003</v>
      </c>
      <c r="D662" s="11">
        <v>81.0</v>
      </c>
      <c r="E662" s="11">
        <v>77.0</v>
      </c>
      <c r="F662" s="11">
        <v>0.18</v>
      </c>
      <c r="G662" s="11">
        <v>0.654</v>
      </c>
      <c r="H662" s="11">
        <v>0.167</v>
      </c>
      <c r="I662" s="11">
        <v>5547683.0</v>
      </c>
      <c r="J662" s="11">
        <v>0.868</v>
      </c>
      <c r="K662" s="12" t="s">
        <v>129</v>
      </c>
      <c r="L662" s="5" t="s">
        <v>75</v>
      </c>
      <c r="M662" s="9" t="s">
        <v>71</v>
      </c>
    </row>
    <row r="663">
      <c r="A663" s="11">
        <v>662.0</v>
      </c>
      <c r="B663" s="11">
        <v>0.011</v>
      </c>
      <c r="C663" s="11">
        <v>0.003</v>
      </c>
      <c r="D663" s="11">
        <v>82.0</v>
      </c>
      <c r="E663" s="11">
        <v>78.0</v>
      </c>
      <c r="F663" s="11">
        <v>0.178</v>
      </c>
      <c r="G663" s="11">
        <v>0.651</v>
      </c>
      <c r="H663" s="11">
        <v>0.171</v>
      </c>
      <c r="I663" s="11">
        <v>5570572.0</v>
      </c>
      <c r="J663" s="11">
        <v>0.87</v>
      </c>
      <c r="K663" s="12" t="s">
        <v>129</v>
      </c>
      <c r="L663" s="5" t="s">
        <v>75</v>
      </c>
      <c r="M663" s="9" t="s">
        <v>72</v>
      </c>
    </row>
    <row r="664">
      <c r="A664" s="11">
        <v>663.0</v>
      </c>
      <c r="B664" s="11">
        <v>0.01</v>
      </c>
      <c r="C664" s="11">
        <v>0.003</v>
      </c>
      <c r="D664" s="11">
        <v>82.0</v>
      </c>
      <c r="E664" s="11">
        <v>78.0</v>
      </c>
      <c r="F664" s="11">
        <v>0.177</v>
      </c>
      <c r="G664" s="11">
        <v>0.649</v>
      </c>
      <c r="H664" s="11">
        <v>0.175</v>
      </c>
      <c r="I664" s="11">
        <v>5591572.0</v>
      </c>
      <c r="J664" s="11">
        <v>0.871</v>
      </c>
      <c r="K664" s="12" t="s">
        <v>129</v>
      </c>
      <c r="L664" s="5" t="s">
        <v>75</v>
      </c>
      <c r="M664" s="9" t="s">
        <v>73</v>
      </c>
    </row>
    <row r="665">
      <c r="A665" s="11">
        <v>664.0</v>
      </c>
      <c r="B665" s="11">
        <v>0.03</v>
      </c>
      <c r="C665" s="11">
        <v>0.08</v>
      </c>
      <c r="D665" s="11">
        <v>59.0</v>
      </c>
      <c r="E665" s="11">
        <v>55.0</v>
      </c>
      <c r="F665" s="11">
        <v>0.414</v>
      </c>
      <c r="G665" s="11">
        <v>0.556</v>
      </c>
      <c r="H665" s="11">
        <v>0.03</v>
      </c>
      <c r="I665" s="11">
        <v>722887.0</v>
      </c>
      <c r="J665" s="11">
        <v>0.765</v>
      </c>
      <c r="K665" s="12" t="s">
        <v>130</v>
      </c>
      <c r="L665" s="5" t="s">
        <v>77</v>
      </c>
      <c r="M665" s="9" t="s">
        <v>60</v>
      </c>
    </row>
    <row r="666">
      <c r="A666" s="11">
        <v>665.0</v>
      </c>
      <c r="B666" s="11">
        <v>0.03</v>
      </c>
      <c r="C666" s="11">
        <v>0.078</v>
      </c>
      <c r="D666" s="11">
        <v>59.0</v>
      </c>
      <c r="E666" s="11">
        <v>56.0</v>
      </c>
      <c r="F666" s="11">
        <v>0.407</v>
      </c>
      <c r="G666" s="11">
        <v>0.562</v>
      </c>
      <c r="H666" s="11">
        <v>0.031</v>
      </c>
      <c r="I666" s="11">
        <v>733732.0</v>
      </c>
      <c r="J666" s="11">
        <v>0.766</v>
      </c>
      <c r="K666" s="12" t="s">
        <v>130</v>
      </c>
      <c r="L666" s="5" t="s">
        <v>77</v>
      </c>
      <c r="M666" s="9" t="s">
        <v>62</v>
      </c>
    </row>
    <row r="667">
      <c r="A667" s="11">
        <v>666.0</v>
      </c>
      <c r="B667" s="11">
        <v>0.029</v>
      </c>
      <c r="C667" s="11">
        <v>0.076</v>
      </c>
      <c r="D667" s="11">
        <v>59.0</v>
      </c>
      <c r="E667" s="11">
        <v>56.0</v>
      </c>
      <c r="F667" s="11">
        <v>0.398</v>
      </c>
      <c r="G667" s="11">
        <v>0.57</v>
      </c>
      <c r="H667" s="11">
        <v>0.032</v>
      </c>
      <c r="I667" s="11">
        <v>744434.0</v>
      </c>
      <c r="J667" s="11">
        <v>0.766</v>
      </c>
      <c r="K667" s="12" t="s">
        <v>130</v>
      </c>
      <c r="L667" s="5" t="s">
        <v>77</v>
      </c>
      <c r="M667" s="9" t="s">
        <v>63</v>
      </c>
    </row>
    <row r="668">
      <c r="A668" s="11">
        <v>667.0</v>
      </c>
      <c r="B668" s="11">
        <v>0.029</v>
      </c>
      <c r="C668" s="11">
        <v>0.075</v>
      </c>
      <c r="D668" s="11">
        <v>59.0</v>
      </c>
      <c r="E668" s="11">
        <v>56.0</v>
      </c>
      <c r="F668" s="11">
        <v>0.39</v>
      </c>
      <c r="G668" s="11">
        <v>0.578</v>
      </c>
      <c r="H668" s="11">
        <v>0.032</v>
      </c>
      <c r="I668" s="11">
        <v>755085.0</v>
      </c>
      <c r="J668" s="11">
        <v>0.767</v>
      </c>
      <c r="K668" s="12" t="s">
        <v>130</v>
      </c>
      <c r="L668" s="5" t="s">
        <v>77</v>
      </c>
      <c r="M668" s="9" t="s">
        <v>64</v>
      </c>
    </row>
    <row r="669">
      <c r="A669" s="11">
        <v>668.0</v>
      </c>
      <c r="B669" s="11">
        <v>0.029</v>
      </c>
      <c r="C669" s="11">
        <v>0.073</v>
      </c>
      <c r="D669" s="11">
        <v>59.0</v>
      </c>
      <c r="E669" s="11">
        <v>56.0</v>
      </c>
      <c r="F669" s="11">
        <v>0.381</v>
      </c>
      <c r="G669" s="11">
        <v>0.586</v>
      </c>
      <c r="H669" s="11">
        <v>0.033</v>
      </c>
      <c r="I669" s="11">
        <v>765776.0</v>
      </c>
      <c r="J669" s="11">
        <v>0.767</v>
      </c>
      <c r="K669" s="12" t="s">
        <v>130</v>
      </c>
      <c r="L669" s="5" t="s">
        <v>77</v>
      </c>
      <c r="M669" s="9" t="s">
        <v>65</v>
      </c>
    </row>
    <row r="670">
      <c r="A670" s="11">
        <v>669.0</v>
      </c>
      <c r="B670" s="11">
        <v>0.029</v>
      </c>
      <c r="C670" s="11">
        <v>0.071</v>
      </c>
      <c r="D670" s="11">
        <v>59.0</v>
      </c>
      <c r="E670" s="11">
        <v>57.0</v>
      </c>
      <c r="F670" s="11">
        <v>0.373</v>
      </c>
      <c r="G670" s="11">
        <v>0.594</v>
      </c>
      <c r="H670" s="11">
        <v>0.034</v>
      </c>
      <c r="I670" s="11">
        <v>776585.0</v>
      </c>
      <c r="J670" s="11">
        <v>0.768</v>
      </c>
      <c r="K670" s="12" t="s">
        <v>130</v>
      </c>
      <c r="L670" s="5" t="s">
        <v>77</v>
      </c>
      <c r="M670" s="9" t="s">
        <v>66</v>
      </c>
    </row>
    <row r="671">
      <c r="A671" s="11">
        <v>670.0</v>
      </c>
      <c r="B671" s="11">
        <v>0.029</v>
      </c>
      <c r="C671" s="11">
        <v>0.069</v>
      </c>
      <c r="D671" s="11">
        <v>60.0</v>
      </c>
      <c r="E671" s="11">
        <v>57.0</v>
      </c>
      <c r="F671" s="11">
        <v>0.365</v>
      </c>
      <c r="G671" s="11">
        <v>0.601</v>
      </c>
      <c r="H671" s="11">
        <v>0.034</v>
      </c>
      <c r="I671" s="11">
        <v>787544.0</v>
      </c>
      <c r="J671" s="11">
        <v>0.768</v>
      </c>
      <c r="K671" s="12" t="s">
        <v>130</v>
      </c>
      <c r="L671" s="5" t="s">
        <v>77</v>
      </c>
      <c r="M671" s="9" t="s">
        <v>67</v>
      </c>
    </row>
    <row r="672">
      <c r="A672" s="11">
        <v>671.0</v>
      </c>
      <c r="B672" s="11">
        <v>0.029</v>
      </c>
      <c r="C672" s="11">
        <v>0.067</v>
      </c>
      <c r="D672" s="11">
        <v>60.0</v>
      </c>
      <c r="E672" s="11">
        <v>57.0</v>
      </c>
      <c r="F672" s="11">
        <v>0.357</v>
      </c>
      <c r="G672" s="11">
        <v>0.608</v>
      </c>
      <c r="H672" s="11">
        <v>0.035</v>
      </c>
      <c r="I672" s="11">
        <v>798690.0</v>
      </c>
      <c r="J672" s="11">
        <v>0.769</v>
      </c>
      <c r="K672" s="12" t="s">
        <v>130</v>
      </c>
      <c r="L672" s="5" t="s">
        <v>77</v>
      </c>
      <c r="M672" s="9" t="s">
        <v>68</v>
      </c>
    </row>
    <row r="673">
      <c r="A673" s="11">
        <v>672.0</v>
      </c>
      <c r="B673" s="11">
        <v>0.029</v>
      </c>
      <c r="C673" s="11">
        <v>0.066</v>
      </c>
      <c r="D673" s="11">
        <v>61.0</v>
      </c>
      <c r="E673" s="11">
        <v>58.0</v>
      </c>
      <c r="F673" s="11">
        <v>0.351</v>
      </c>
      <c r="G673" s="11">
        <v>0.614</v>
      </c>
      <c r="H673" s="11">
        <v>0.035</v>
      </c>
      <c r="I673" s="11">
        <v>810100.0</v>
      </c>
      <c r="J673" s="11">
        <v>0.769</v>
      </c>
      <c r="K673" s="12" t="s">
        <v>130</v>
      </c>
      <c r="L673" s="5" t="s">
        <v>77</v>
      </c>
      <c r="M673" s="9" t="s">
        <v>69</v>
      </c>
    </row>
    <row r="674">
      <c r="A674" s="11">
        <v>673.0</v>
      </c>
      <c r="B674" s="11">
        <v>0.029</v>
      </c>
      <c r="C674" s="11">
        <v>0.064</v>
      </c>
      <c r="D674" s="11">
        <v>61.0</v>
      </c>
      <c r="E674" s="11">
        <v>58.0</v>
      </c>
      <c r="F674" s="11">
        <v>0.345</v>
      </c>
      <c r="G674" s="11">
        <v>0.618</v>
      </c>
      <c r="H674" s="11">
        <v>0.036</v>
      </c>
      <c r="I674" s="11">
        <v>821865.0</v>
      </c>
      <c r="J674" s="11">
        <v>0.769</v>
      </c>
      <c r="K674" s="12" t="s">
        <v>130</v>
      </c>
      <c r="L674" s="5" t="s">
        <v>77</v>
      </c>
      <c r="M674" s="9" t="s">
        <v>70</v>
      </c>
    </row>
    <row r="675">
      <c r="A675" s="11">
        <v>674.0</v>
      </c>
      <c r="B675" s="11">
        <v>0.028</v>
      </c>
      <c r="C675" s="11">
        <v>0.062</v>
      </c>
      <c r="D675" s="11">
        <v>62.0</v>
      </c>
      <c r="E675" s="11">
        <v>59.0</v>
      </c>
      <c r="F675" s="11">
        <v>0.341</v>
      </c>
      <c r="G675" s="11">
        <v>0.622</v>
      </c>
      <c r="H675" s="11">
        <v>0.037</v>
      </c>
      <c r="I675" s="11">
        <v>834036.0</v>
      </c>
      <c r="J675" s="11">
        <v>0.77</v>
      </c>
      <c r="K675" s="12" t="s">
        <v>130</v>
      </c>
      <c r="L675" s="5" t="s">
        <v>77</v>
      </c>
      <c r="M675" s="9" t="s">
        <v>71</v>
      </c>
    </row>
    <row r="676">
      <c r="A676" s="11">
        <v>675.0</v>
      </c>
      <c r="B676" s="11">
        <v>0.028</v>
      </c>
      <c r="C676" s="11">
        <v>0.061</v>
      </c>
      <c r="D676" s="11">
        <v>62.0</v>
      </c>
      <c r="E676" s="11">
        <v>59.0</v>
      </c>
      <c r="F676" s="11">
        <v>0.339</v>
      </c>
      <c r="G676" s="11">
        <v>0.623</v>
      </c>
      <c r="H676" s="11">
        <v>0.038</v>
      </c>
      <c r="I676" s="11">
        <v>846646.0</v>
      </c>
      <c r="J676" s="11">
        <v>0.771</v>
      </c>
      <c r="K676" s="12" t="s">
        <v>130</v>
      </c>
      <c r="L676" s="5" t="s">
        <v>77</v>
      </c>
      <c r="M676" s="9" t="s">
        <v>72</v>
      </c>
    </row>
    <row r="677">
      <c r="A677" s="11">
        <v>676.0</v>
      </c>
      <c r="B677" s="11">
        <v>0.028</v>
      </c>
      <c r="C677" s="11">
        <v>0.059</v>
      </c>
      <c r="D677" s="11">
        <v>63.0</v>
      </c>
      <c r="E677" s="11">
        <v>60.0</v>
      </c>
      <c r="F677" s="11">
        <v>0.337</v>
      </c>
      <c r="G677" s="11">
        <v>0.624</v>
      </c>
      <c r="H677" s="11">
        <v>0.039</v>
      </c>
      <c r="I677" s="11">
        <v>859652.0</v>
      </c>
      <c r="J677" s="11">
        <v>0.771</v>
      </c>
      <c r="K677" s="12" t="s">
        <v>130</v>
      </c>
      <c r="L677" s="5" t="s">
        <v>77</v>
      </c>
      <c r="M677" s="9" t="s">
        <v>73</v>
      </c>
    </row>
    <row r="678">
      <c r="A678" s="8">
        <v>677.0</v>
      </c>
      <c r="B678" s="8"/>
      <c r="C678" s="11">
        <v>0.014</v>
      </c>
      <c r="D678" s="8"/>
      <c r="E678" s="8"/>
      <c r="F678" s="8"/>
      <c r="G678" s="8"/>
      <c r="H678" s="8"/>
      <c r="I678" s="11">
        <v>69679.0</v>
      </c>
      <c r="J678" s="11">
        <v>0.653</v>
      </c>
      <c r="K678" s="12" t="s">
        <v>131</v>
      </c>
      <c r="L678" s="5" t="s">
        <v>84</v>
      </c>
      <c r="M678" s="9" t="s">
        <v>60</v>
      </c>
    </row>
    <row r="679">
      <c r="A679" s="8">
        <v>678.0</v>
      </c>
      <c r="B679" s="8"/>
      <c r="C679" s="11">
        <v>0.013</v>
      </c>
      <c r="D679" s="8"/>
      <c r="E679" s="8"/>
      <c r="F679" s="8"/>
      <c r="G679" s="8"/>
      <c r="H679" s="8"/>
      <c r="I679" s="11">
        <v>69660.0</v>
      </c>
      <c r="J679" s="11">
        <v>0.654</v>
      </c>
      <c r="K679" s="12" t="s">
        <v>131</v>
      </c>
      <c r="L679" s="5" t="s">
        <v>84</v>
      </c>
      <c r="M679" s="9" t="s">
        <v>62</v>
      </c>
    </row>
    <row r="680">
      <c r="A680" s="11">
        <v>679.0</v>
      </c>
      <c r="B680" s="11">
        <v>0.015</v>
      </c>
      <c r="C680" s="11">
        <v>0.013</v>
      </c>
      <c r="D680" s="11">
        <v>79.0</v>
      </c>
      <c r="E680" s="11">
        <v>75.0</v>
      </c>
      <c r="F680" s="8"/>
      <c r="G680" s="8"/>
      <c r="H680" s="8"/>
      <c r="I680" s="11">
        <v>69806.0</v>
      </c>
      <c r="J680" s="11">
        <v>0.657</v>
      </c>
      <c r="K680" s="12" t="s">
        <v>131</v>
      </c>
      <c r="L680" s="5" t="s">
        <v>84</v>
      </c>
      <c r="M680" s="9" t="s">
        <v>63</v>
      </c>
    </row>
    <row r="681">
      <c r="A681" s="8">
        <v>680.0</v>
      </c>
      <c r="B681" s="8"/>
      <c r="C681" s="11">
        <v>0.013</v>
      </c>
      <c r="D681" s="8"/>
      <c r="E681" s="8"/>
      <c r="F681" s="8"/>
      <c r="G681" s="8"/>
      <c r="H681" s="8"/>
      <c r="I681" s="11">
        <v>70058.0</v>
      </c>
      <c r="J681" s="11">
        <v>0.66</v>
      </c>
      <c r="K681" s="12" t="s">
        <v>131</v>
      </c>
      <c r="L681" s="5" t="s">
        <v>84</v>
      </c>
      <c r="M681" s="9" t="s">
        <v>64</v>
      </c>
    </row>
    <row r="682">
      <c r="A682" s="8">
        <v>681.0</v>
      </c>
      <c r="B682" s="8"/>
      <c r="C682" s="11">
        <v>0.013</v>
      </c>
      <c r="D682" s="8"/>
      <c r="E682" s="8"/>
      <c r="F682" s="8"/>
      <c r="G682" s="8"/>
      <c r="H682" s="8"/>
      <c r="I682" s="11">
        <v>70325.0</v>
      </c>
      <c r="J682" s="11">
        <v>0.663</v>
      </c>
      <c r="K682" s="12" t="s">
        <v>131</v>
      </c>
      <c r="L682" s="5" t="s">
        <v>84</v>
      </c>
      <c r="M682" s="9" t="s">
        <v>65</v>
      </c>
    </row>
    <row r="683">
      <c r="A683" s="8">
        <v>682.0</v>
      </c>
      <c r="B683" s="8"/>
      <c r="C683" s="11">
        <v>0.012</v>
      </c>
      <c r="D683" s="8"/>
      <c r="E683" s="8"/>
      <c r="F683" s="8"/>
      <c r="G683" s="8"/>
      <c r="H683" s="8"/>
      <c r="I683" s="11">
        <v>70542.0</v>
      </c>
      <c r="J683" s="11">
        <v>0.666</v>
      </c>
      <c r="K683" s="12" t="s">
        <v>131</v>
      </c>
      <c r="L683" s="5" t="s">
        <v>84</v>
      </c>
      <c r="M683" s="9" t="s">
        <v>66</v>
      </c>
    </row>
    <row r="684">
      <c r="A684" s="11">
        <v>683.0</v>
      </c>
      <c r="B684" s="11">
        <v>0.015</v>
      </c>
      <c r="C684" s="11">
        <v>0.012</v>
      </c>
      <c r="D684" s="8"/>
      <c r="E684" s="8"/>
      <c r="F684" s="8"/>
      <c r="G684" s="8"/>
      <c r="H684" s="8"/>
      <c r="I684" s="11">
        <v>70690.0</v>
      </c>
      <c r="J684" s="11">
        <v>0.669</v>
      </c>
      <c r="K684" s="12" t="s">
        <v>131</v>
      </c>
      <c r="L684" s="5" t="s">
        <v>84</v>
      </c>
      <c r="M684" s="9" t="s">
        <v>67</v>
      </c>
    </row>
    <row r="685">
      <c r="A685" s="8">
        <v>684.0</v>
      </c>
      <c r="B685" s="8"/>
      <c r="C685" s="11">
        <v>0.012</v>
      </c>
      <c r="D685" s="8"/>
      <c r="E685" s="8"/>
      <c r="F685" s="8"/>
      <c r="G685" s="8"/>
      <c r="H685" s="8"/>
      <c r="I685" s="11">
        <v>70795.0</v>
      </c>
      <c r="J685" s="11">
        <v>0.672</v>
      </c>
      <c r="K685" s="12" t="s">
        <v>131</v>
      </c>
      <c r="L685" s="5" t="s">
        <v>84</v>
      </c>
      <c r="M685" s="9" t="s">
        <v>68</v>
      </c>
    </row>
    <row r="686">
      <c r="A686" s="8">
        <v>685.0</v>
      </c>
      <c r="B686" s="8"/>
      <c r="C686" s="11">
        <v>0.012</v>
      </c>
      <c r="D686" s="8"/>
      <c r="E686" s="8"/>
      <c r="F686" s="8"/>
      <c r="G686" s="8"/>
      <c r="H686" s="8"/>
      <c r="I686" s="11">
        <v>70883.0</v>
      </c>
      <c r="J686" s="11">
        <v>0.675</v>
      </c>
      <c r="K686" s="12" t="s">
        <v>131</v>
      </c>
      <c r="L686" s="5" t="s">
        <v>84</v>
      </c>
      <c r="M686" s="9" t="s">
        <v>69</v>
      </c>
    </row>
    <row r="687">
      <c r="A687" s="8">
        <v>686.0</v>
      </c>
      <c r="B687" s="8"/>
      <c r="C687" s="11">
        <v>0.011</v>
      </c>
      <c r="D687" s="8"/>
      <c r="E687" s="8"/>
      <c r="F687" s="8"/>
      <c r="G687" s="8"/>
      <c r="H687" s="8"/>
      <c r="I687" s="11">
        <v>70996.0</v>
      </c>
      <c r="J687" s="11">
        <v>0.678</v>
      </c>
      <c r="K687" s="12" t="s">
        <v>131</v>
      </c>
      <c r="L687" s="5" t="s">
        <v>84</v>
      </c>
      <c r="M687" s="9" t="s">
        <v>70</v>
      </c>
    </row>
    <row r="688">
      <c r="A688" s="11">
        <v>687.0</v>
      </c>
      <c r="B688" s="11">
        <v>0.013</v>
      </c>
      <c r="C688" s="11">
        <v>0.011</v>
      </c>
      <c r="D688" s="8"/>
      <c r="E688" s="8"/>
      <c r="F688" s="8"/>
      <c r="G688" s="8"/>
      <c r="H688" s="8"/>
      <c r="I688" s="11">
        <v>71167.0</v>
      </c>
      <c r="J688" s="11">
        <v>0.681</v>
      </c>
      <c r="K688" s="12" t="s">
        <v>131</v>
      </c>
      <c r="L688" s="5" t="s">
        <v>84</v>
      </c>
      <c r="M688" s="9" t="s">
        <v>71</v>
      </c>
    </row>
    <row r="689">
      <c r="A689" s="8">
        <v>688.0</v>
      </c>
      <c r="B689" s="8"/>
      <c r="C689" s="11">
        <v>0.011</v>
      </c>
      <c r="D689" s="8"/>
      <c r="E689" s="8"/>
      <c r="F689" s="8"/>
      <c r="G689" s="8"/>
      <c r="H689" s="8"/>
      <c r="I689" s="11">
        <v>71401.0</v>
      </c>
      <c r="J689" s="11">
        <v>0.684</v>
      </c>
      <c r="K689" s="12" t="s">
        <v>131</v>
      </c>
      <c r="L689" s="5" t="s">
        <v>84</v>
      </c>
      <c r="M689" s="9" t="s">
        <v>72</v>
      </c>
    </row>
    <row r="690">
      <c r="A690" s="8">
        <v>689.0</v>
      </c>
      <c r="B690" s="8"/>
      <c r="C690" s="11">
        <v>0.011</v>
      </c>
      <c r="D690" s="8"/>
      <c r="E690" s="8"/>
      <c r="F690" s="8"/>
      <c r="G690" s="8"/>
      <c r="H690" s="8"/>
      <c r="I690" s="11">
        <v>71684.0</v>
      </c>
      <c r="J690" s="11">
        <v>0.687</v>
      </c>
      <c r="K690" s="12" t="s">
        <v>131</v>
      </c>
      <c r="L690" s="5" t="s">
        <v>84</v>
      </c>
      <c r="M690" s="9" t="s">
        <v>73</v>
      </c>
    </row>
    <row r="691">
      <c r="A691" s="11">
        <v>690.0</v>
      </c>
      <c r="B691" s="11">
        <v>0.025</v>
      </c>
      <c r="C691" s="11">
        <v>0.033</v>
      </c>
      <c r="D691" s="11">
        <v>74.0</v>
      </c>
      <c r="E691" s="11">
        <v>68.0</v>
      </c>
      <c r="F691" s="11">
        <v>0.349</v>
      </c>
      <c r="G691" s="11">
        <v>0.599</v>
      </c>
      <c r="H691" s="11">
        <v>0.051</v>
      </c>
      <c r="I691" s="11">
        <v>8663421.0</v>
      </c>
      <c r="J691" s="11">
        <v>0.617</v>
      </c>
      <c r="K691" s="12" t="s">
        <v>132</v>
      </c>
      <c r="L691" s="5" t="s">
        <v>84</v>
      </c>
      <c r="M691" s="9" t="s">
        <v>60</v>
      </c>
    </row>
    <row r="692">
      <c r="A692" s="11">
        <v>691.0</v>
      </c>
      <c r="B692" s="11">
        <v>0.025</v>
      </c>
      <c r="C692" s="11">
        <v>0.032</v>
      </c>
      <c r="D692" s="11">
        <v>74.0</v>
      </c>
      <c r="E692" s="11">
        <v>68.0</v>
      </c>
      <c r="F692" s="11">
        <v>0.345</v>
      </c>
      <c r="G692" s="11">
        <v>0.602</v>
      </c>
      <c r="H692" s="11">
        <v>0.053</v>
      </c>
      <c r="I692" s="11">
        <v>8799298.0</v>
      </c>
      <c r="J692" s="11">
        <v>0.626</v>
      </c>
      <c r="K692" s="12" t="s">
        <v>132</v>
      </c>
      <c r="L692" s="5" t="s">
        <v>84</v>
      </c>
      <c r="M692" s="9" t="s">
        <v>62</v>
      </c>
    </row>
    <row r="693">
      <c r="A693" s="11">
        <v>692.0</v>
      </c>
      <c r="B693" s="11">
        <v>0.024</v>
      </c>
      <c r="C693" s="11">
        <v>0.032</v>
      </c>
      <c r="D693" s="11">
        <v>74.0</v>
      </c>
      <c r="E693" s="11">
        <v>68.0</v>
      </c>
      <c r="F693" s="11">
        <v>0.342</v>
      </c>
      <c r="G693" s="11">
        <v>0.604</v>
      </c>
      <c r="H693" s="11">
        <v>0.054</v>
      </c>
      <c r="I693" s="11">
        <v>8935261.0</v>
      </c>
      <c r="J693" s="11">
        <v>0.634</v>
      </c>
      <c r="K693" s="12" t="s">
        <v>132</v>
      </c>
      <c r="L693" s="5" t="s">
        <v>84</v>
      </c>
      <c r="M693" s="9" t="s">
        <v>63</v>
      </c>
    </row>
    <row r="694">
      <c r="A694" s="11">
        <v>693.0</v>
      </c>
      <c r="B694" s="11">
        <v>0.024</v>
      </c>
      <c r="C694" s="11">
        <v>0.031</v>
      </c>
      <c r="D694" s="11">
        <v>74.0</v>
      </c>
      <c r="E694" s="11">
        <v>68.0</v>
      </c>
      <c r="F694" s="11">
        <v>0.338</v>
      </c>
      <c r="G694" s="11">
        <v>0.607</v>
      </c>
      <c r="H694" s="11">
        <v>0.055</v>
      </c>
      <c r="I694" s="11">
        <v>9071318.0</v>
      </c>
      <c r="J694" s="11">
        <v>0.646</v>
      </c>
      <c r="K694" s="12" t="s">
        <v>132</v>
      </c>
      <c r="L694" s="5" t="s">
        <v>84</v>
      </c>
      <c r="M694" s="9" t="s">
        <v>64</v>
      </c>
    </row>
    <row r="695">
      <c r="A695" s="11">
        <v>694.0</v>
      </c>
      <c r="B695" s="11">
        <v>0.024</v>
      </c>
      <c r="C695" s="11">
        <v>0.03</v>
      </c>
      <c r="D695" s="11">
        <v>75.0</v>
      </c>
      <c r="E695" s="11">
        <v>68.0</v>
      </c>
      <c r="F695" s="11">
        <v>0.334</v>
      </c>
      <c r="G695" s="11">
        <v>0.61</v>
      </c>
      <c r="H695" s="11">
        <v>0.056</v>
      </c>
      <c r="I695" s="11">
        <v>9207389.0</v>
      </c>
      <c r="J695" s="11">
        <v>0.66</v>
      </c>
      <c r="K695" s="12" t="s">
        <v>132</v>
      </c>
      <c r="L695" s="5" t="s">
        <v>84</v>
      </c>
      <c r="M695" s="9" t="s">
        <v>65</v>
      </c>
    </row>
    <row r="696">
      <c r="A696" s="11">
        <v>695.0</v>
      </c>
      <c r="B696" s="11">
        <v>0.024</v>
      </c>
      <c r="C696" s="11">
        <v>0.029</v>
      </c>
      <c r="D696" s="11">
        <v>75.0</v>
      </c>
      <c r="E696" s="11">
        <v>69.0</v>
      </c>
      <c r="F696" s="11">
        <v>0.331</v>
      </c>
      <c r="G696" s="11">
        <v>0.613</v>
      </c>
      <c r="H696" s="11">
        <v>0.057</v>
      </c>
      <c r="I696" s="11">
        <v>9343362.0</v>
      </c>
      <c r="J696" s="11">
        <v>0.674</v>
      </c>
      <c r="K696" s="12" t="s">
        <v>132</v>
      </c>
      <c r="L696" s="5" t="s">
        <v>84</v>
      </c>
      <c r="M696" s="9" t="s">
        <v>66</v>
      </c>
    </row>
    <row r="697">
      <c r="A697" s="11">
        <v>696.0</v>
      </c>
      <c r="B697" s="11">
        <v>0.023</v>
      </c>
      <c r="C697" s="11">
        <v>0.028</v>
      </c>
      <c r="D697" s="11">
        <v>75.0</v>
      </c>
      <c r="E697" s="11">
        <v>69.0</v>
      </c>
      <c r="F697" s="11">
        <v>0.327</v>
      </c>
      <c r="G697" s="11">
        <v>0.616</v>
      </c>
      <c r="H697" s="11">
        <v>0.057</v>
      </c>
      <c r="I697" s="11">
        <v>9479269.0</v>
      </c>
      <c r="J697" s="11">
        <v>0.687</v>
      </c>
      <c r="K697" s="12" t="s">
        <v>132</v>
      </c>
      <c r="L697" s="5" t="s">
        <v>84</v>
      </c>
      <c r="M697" s="9" t="s">
        <v>67</v>
      </c>
    </row>
    <row r="698">
      <c r="A698" s="11">
        <v>697.0</v>
      </c>
      <c r="B698" s="11">
        <v>0.023</v>
      </c>
      <c r="C698" s="11">
        <v>0.028</v>
      </c>
      <c r="D698" s="11">
        <v>75.0</v>
      </c>
      <c r="E698" s="11">
        <v>69.0</v>
      </c>
      <c r="F698" s="11">
        <v>0.323</v>
      </c>
      <c r="G698" s="11">
        <v>0.619</v>
      </c>
      <c r="H698" s="11">
        <v>0.058</v>
      </c>
      <c r="I698" s="11">
        <v>9615015.0</v>
      </c>
      <c r="J698" s="11">
        <v>0.7</v>
      </c>
      <c r="K698" s="12" t="s">
        <v>132</v>
      </c>
      <c r="L698" s="5" t="s">
        <v>84</v>
      </c>
      <c r="M698" s="9" t="s">
        <v>68</v>
      </c>
    </row>
    <row r="699">
      <c r="A699" s="11">
        <v>698.0</v>
      </c>
      <c r="B699" s="11">
        <v>0.023</v>
      </c>
      <c r="C699" s="11">
        <v>0.027</v>
      </c>
      <c r="D699" s="11">
        <v>76.0</v>
      </c>
      <c r="E699" s="11">
        <v>69.0</v>
      </c>
      <c r="F699" s="11">
        <v>0.319</v>
      </c>
      <c r="G699" s="11">
        <v>0.622</v>
      </c>
      <c r="H699" s="11">
        <v>0.059</v>
      </c>
      <c r="I699" s="11">
        <v>9750195.0</v>
      </c>
      <c r="J699" s="11">
        <v>0.713</v>
      </c>
      <c r="K699" s="12" t="s">
        <v>132</v>
      </c>
      <c r="L699" s="5" t="s">
        <v>84</v>
      </c>
      <c r="M699" s="9" t="s">
        <v>69</v>
      </c>
    </row>
    <row r="700">
      <c r="A700" s="11">
        <v>699.0</v>
      </c>
      <c r="B700" s="11">
        <v>0.022</v>
      </c>
      <c r="C700" s="11">
        <v>0.026</v>
      </c>
      <c r="D700" s="11">
        <v>76.0</v>
      </c>
      <c r="E700" s="11">
        <v>70.0</v>
      </c>
      <c r="F700" s="11">
        <v>0.315</v>
      </c>
      <c r="G700" s="11">
        <v>0.625</v>
      </c>
      <c r="H700" s="11">
        <v>0.059</v>
      </c>
      <c r="I700" s="11">
        <v>9884265.0</v>
      </c>
      <c r="J700" s="11">
        <v>0.725</v>
      </c>
      <c r="K700" s="12" t="s">
        <v>132</v>
      </c>
      <c r="L700" s="5" t="s">
        <v>84</v>
      </c>
      <c r="M700" s="9" t="s">
        <v>70</v>
      </c>
    </row>
    <row r="701">
      <c r="A701" s="11">
        <v>700.0</v>
      </c>
      <c r="B701" s="11">
        <v>0.022</v>
      </c>
      <c r="C701" s="11">
        <v>0.026</v>
      </c>
      <c r="D701" s="11">
        <v>76.0</v>
      </c>
      <c r="E701" s="11">
        <v>70.0</v>
      </c>
      <c r="F701" s="11">
        <v>0.312</v>
      </c>
      <c r="G701" s="11">
        <v>0.628</v>
      </c>
      <c r="H701" s="11">
        <v>0.06</v>
      </c>
      <c r="I701" s="11">
        <v>1.0016797E7</v>
      </c>
      <c r="J701" s="11">
        <v>0.738</v>
      </c>
      <c r="K701" s="12" t="s">
        <v>132</v>
      </c>
      <c r="L701" s="5" t="s">
        <v>84</v>
      </c>
      <c r="M701" s="9" t="s">
        <v>71</v>
      </c>
    </row>
    <row r="702">
      <c r="A702" s="11">
        <v>701.0</v>
      </c>
      <c r="B702" s="11">
        <v>0.022</v>
      </c>
      <c r="C702" s="11">
        <v>0.025</v>
      </c>
      <c r="D702" s="11">
        <v>76.0</v>
      </c>
      <c r="E702" s="11">
        <v>70.0</v>
      </c>
      <c r="F702" s="11">
        <v>0.308</v>
      </c>
      <c r="G702" s="11">
        <v>0.631</v>
      </c>
      <c r="H702" s="11">
        <v>0.061</v>
      </c>
      <c r="I702" s="11">
        <v>1.0147598E7</v>
      </c>
      <c r="J702" s="11">
        <v>0.749</v>
      </c>
      <c r="K702" s="12" t="s">
        <v>132</v>
      </c>
      <c r="L702" s="5" t="s">
        <v>84</v>
      </c>
      <c r="M702" s="9" t="s">
        <v>72</v>
      </c>
    </row>
    <row r="703">
      <c r="A703" s="11">
        <v>702.0</v>
      </c>
      <c r="B703" s="11">
        <v>0.021</v>
      </c>
      <c r="C703" s="11">
        <v>0.024</v>
      </c>
      <c r="D703" s="11">
        <v>76.0</v>
      </c>
      <c r="E703" s="11">
        <v>70.0</v>
      </c>
      <c r="F703" s="11">
        <v>0.305</v>
      </c>
      <c r="G703" s="11">
        <v>0.633</v>
      </c>
      <c r="H703" s="11">
        <v>0.062</v>
      </c>
      <c r="I703" s="11">
        <v>1.0276621E7</v>
      </c>
      <c r="J703" s="11">
        <v>0.76</v>
      </c>
      <c r="K703" s="12" t="s">
        <v>132</v>
      </c>
      <c r="L703" s="5" t="s">
        <v>84</v>
      </c>
      <c r="M703" s="9" t="s">
        <v>73</v>
      </c>
    </row>
    <row r="704">
      <c r="A704" s="11">
        <v>703.0</v>
      </c>
      <c r="B704" s="11">
        <v>0.025</v>
      </c>
      <c r="C704" s="11">
        <v>0.028</v>
      </c>
      <c r="D704" s="11">
        <v>76.0</v>
      </c>
      <c r="E704" s="11">
        <v>71.0</v>
      </c>
      <c r="F704" s="11">
        <v>0.345</v>
      </c>
      <c r="G704" s="11">
        <v>0.604</v>
      </c>
      <c r="H704" s="11">
        <v>0.051</v>
      </c>
      <c r="I704" s="11">
        <v>1.2533087E7</v>
      </c>
      <c r="J704" s="11">
        <v>0.603</v>
      </c>
      <c r="K704" s="12" t="s">
        <v>133</v>
      </c>
      <c r="L704" s="5" t="s">
        <v>84</v>
      </c>
      <c r="M704" s="9" t="s">
        <v>60</v>
      </c>
    </row>
    <row r="705">
      <c r="A705" s="11">
        <v>704.0</v>
      </c>
      <c r="B705" s="11">
        <v>0.025</v>
      </c>
      <c r="C705" s="11">
        <v>0.027</v>
      </c>
      <c r="D705" s="11">
        <v>77.0</v>
      </c>
      <c r="E705" s="11">
        <v>71.0</v>
      </c>
      <c r="F705" s="11">
        <v>0.342</v>
      </c>
      <c r="G705" s="11">
        <v>0.606</v>
      </c>
      <c r="H705" s="11">
        <v>0.052</v>
      </c>
      <c r="I705" s="11">
        <v>1.2780869E7</v>
      </c>
      <c r="J705" s="11">
        <v>0.608</v>
      </c>
      <c r="K705" s="12" t="s">
        <v>133</v>
      </c>
      <c r="L705" s="5" t="s">
        <v>84</v>
      </c>
      <c r="M705" s="9" t="s">
        <v>62</v>
      </c>
    </row>
    <row r="706">
      <c r="A706" s="11">
        <v>705.0</v>
      </c>
      <c r="B706" s="11">
        <v>0.025</v>
      </c>
      <c r="C706" s="11">
        <v>0.026</v>
      </c>
      <c r="D706" s="11">
        <v>77.0</v>
      </c>
      <c r="E706" s="11">
        <v>71.0</v>
      </c>
      <c r="F706" s="11">
        <v>0.338</v>
      </c>
      <c r="G706" s="11">
        <v>0.609</v>
      </c>
      <c r="H706" s="11">
        <v>0.053</v>
      </c>
      <c r="I706" s="11">
        <v>1.3030041E7</v>
      </c>
      <c r="J706" s="11">
        <v>0.611</v>
      </c>
      <c r="K706" s="12" t="s">
        <v>133</v>
      </c>
      <c r="L706" s="5" t="s">
        <v>84</v>
      </c>
      <c r="M706" s="9" t="s">
        <v>63</v>
      </c>
    </row>
    <row r="707">
      <c r="A707" s="11">
        <v>706.0</v>
      </c>
      <c r="B707" s="11">
        <v>0.024</v>
      </c>
      <c r="C707" s="11">
        <v>0.026</v>
      </c>
      <c r="D707" s="11">
        <v>77.0</v>
      </c>
      <c r="E707" s="11">
        <v>71.0</v>
      </c>
      <c r="F707" s="11">
        <v>0.334</v>
      </c>
      <c r="G707" s="11">
        <v>0.612</v>
      </c>
      <c r="H707" s="11">
        <v>0.054</v>
      </c>
      <c r="I707" s="11">
        <v>1.3279806E7</v>
      </c>
      <c r="J707" s="11">
        <v>0.613</v>
      </c>
      <c r="K707" s="12" t="s">
        <v>133</v>
      </c>
      <c r="L707" s="5" t="s">
        <v>84</v>
      </c>
      <c r="M707" s="9" t="s">
        <v>64</v>
      </c>
    </row>
    <row r="708">
      <c r="A708" s="11">
        <v>707.0</v>
      </c>
      <c r="B708" s="11">
        <v>0.024</v>
      </c>
      <c r="C708" s="11">
        <v>0.025</v>
      </c>
      <c r="D708" s="11">
        <v>77.0</v>
      </c>
      <c r="E708" s="11">
        <v>72.0</v>
      </c>
      <c r="F708" s="11">
        <v>0.33</v>
      </c>
      <c r="G708" s="11">
        <v>0.615</v>
      </c>
      <c r="H708" s="11">
        <v>0.055</v>
      </c>
      <c r="I708" s="11">
        <v>1.3529091E7</v>
      </c>
      <c r="J708" s="11">
        <v>0.615</v>
      </c>
      <c r="K708" s="12" t="s">
        <v>133</v>
      </c>
      <c r="L708" s="5" t="s">
        <v>84</v>
      </c>
      <c r="M708" s="9" t="s">
        <v>65</v>
      </c>
    </row>
    <row r="709">
      <c r="A709" s="11">
        <v>708.0</v>
      </c>
      <c r="B709" s="11">
        <v>0.024</v>
      </c>
      <c r="C709" s="11">
        <v>0.024</v>
      </c>
      <c r="D709" s="11">
        <v>78.0</v>
      </c>
      <c r="E709" s="11">
        <v>72.0</v>
      </c>
      <c r="F709" s="11">
        <v>0.327</v>
      </c>
      <c r="G709" s="11">
        <v>0.617</v>
      </c>
      <c r="H709" s="11">
        <v>0.056</v>
      </c>
      <c r="I709" s="11">
        <v>1.3777131E7</v>
      </c>
      <c r="J709" s="11">
        <v>0.617</v>
      </c>
      <c r="K709" s="12" t="s">
        <v>133</v>
      </c>
      <c r="L709" s="5" t="s">
        <v>84</v>
      </c>
      <c r="M709" s="9" t="s">
        <v>66</v>
      </c>
    </row>
    <row r="710">
      <c r="A710" s="11">
        <v>709.0</v>
      </c>
      <c r="B710" s="11">
        <v>0.023</v>
      </c>
      <c r="C710" s="11">
        <v>0.023</v>
      </c>
      <c r="D710" s="11">
        <v>78.0</v>
      </c>
      <c r="E710" s="11">
        <v>72.0</v>
      </c>
      <c r="F710" s="11">
        <v>0.323</v>
      </c>
      <c r="G710" s="11">
        <v>0.62</v>
      </c>
      <c r="H710" s="11">
        <v>0.057</v>
      </c>
      <c r="I710" s="11">
        <v>1.4023503E7</v>
      </c>
      <c r="J710" s="11">
        <v>0.619</v>
      </c>
      <c r="K710" s="12" t="s">
        <v>133</v>
      </c>
      <c r="L710" s="5" t="s">
        <v>84</v>
      </c>
      <c r="M710" s="9" t="s">
        <v>67</v>
      </c>
    </row>
    <row r="711">
      <c r="A711" s="11">
        <v>710.0</v>
      </c>
      <c r="B711" s="11">
        <v>0.023</v>
      </c>
      <c r="C711" s="11">
        <v>0.023</v>
      </c>
      <c r="D711" s="11">
        <v>78.0</v>
      </c>
      <c r="E711" s="11">
        <v>72.0</v>
      </c>
      <c r="F711" s="11">
        <v>0.32</v>
      </c>
      <c r="G711" s="11">
        <v>0.622</v>
      </c>
      <c r="H711" s="11">
        <v>0.058</v>
      </c>
      <c r="I711" s="11">
        <v>1.4268397E7</v>
      </c>
      <c r="J711" s="11">
        <v>0.621</v>
      </c>
      <c r="K711" s="12" t="s">
        <v>133</v>
      </c>
      <c r="L711" s="5" t="s">
        <v>84</v>
      </c>
      <c r="M711" s="9" t="s">
        <v>68</v>
      </c>
    </row>
    <row r="712">
      <c r="A712" s="11">
        <v>711.0</v>
      </c>
      <c r="B712" s="11">
        <v>0.022</v>
      </c>
      <c r="C712" s="11">
        <v>0.022</v>
      </c>
      <c r="D712" s="11">
        <v>78.0</v>
      </c>
      <c r="E712" s="11">
        <v>72.0</v>
      </c>
      <c r="F712" s="11">
        <v>0.316</v>
      </c>
      <c r="G712" s="11">
        <v>0.624</v>
      </c>
      <c r="H712" s="11">
        <v>0.059</v>
      </c>
      <c r="I712" s="11">
        <v>1.4512402E7</v>
      </c>
      <c r="J712" s="11">
        <v>0.623</v>
      </c>
      <c r="K712" s="12" t="s">
        <v>133</v>
      </c>
      <c r="L712" s="5" t="s">
        <v>84</v>
      </c>
      <c r="M712" s="9" t="s">
        <v>69</v>
      </c>
    </row>
    <row r="713">
      <c r="A713" s="11">
        <v>712.0</v>
      </c>
      <c r="B713" s="11">
        <v>0.022</v>
      </c>
      <c r="C713" s="11">
        <v>0.022</v>
      </c>
      <c r="D713" s="11">
        <v>78.0</v>
      </c>
      <c r="E713" s="11">
        <v>73.0</v>
      </c>
      <c r="F713" s="11">
        <v>0.313</v>
      </c>
      <c r="G713" s="11">
        <v>0.627</v>
      </c>
      <c r="H713" s="11">
        <v>0.061</v>
      </c>
      <c r="I713" s="11">
        <v>1.4756424E7</v>
      </c>
      <c r="J713" s="11">
        <v>0.625</v>
      </c>
      <c r="K713" s="12" t="s">
        <v>133</v>
      </c>
      <c r="L713" s="5" t="s">
        <v>84</v>
      </c>
      <c r="M713" s="9" t="s">
        <v>70</v>
      </c>
    </row>
    <row r="714">
      <c r="A714" s="11">
        <v>713.0</v>
      </c>
      <c r="B714" s="11">
        <v>0.022</v>
      </c>
      <c r="C714" s="11">
        <v>0.021</v>
      </c>
      <c r="D714" s="11">
        <v>79.0</v>
      </c>
      <c r="E714" s="11">
        <v>73.0</v>
      </c>
      <c r="F714" s="11">
        <v>0.31</v>
      </c>
      <c r="G714" s="11">
        <v>0.629</v>
      </c>
      <c r="H714" s="11">
        <v>0.062</v>
      </c>
      <c r="I714" s="11">
        <v>1.5001072E7</v>
      </c>
      <c r="J714" s="11">
        <v>0.627</v>
      </c>
      <c r="K714" s="12" t="s">
        <v>133</v>
      </c>
      <c r="L714" s="5" t="s">
        <v>84</v>
      </c>
      <c r="M714" s="9" t="s">
        <v>71</v>
      </c>
    </row>
    <row r="715">
      <c r="A715" s="11">
        <v>714.0</v>
      </c>
      <c r="B715" s="11">
        <v>0.021</v>
      </c>
      <c r="C715" s="11">
        <v>0.02</v>
      </c>
      <c r="D715" s="11">
        <v>79.0</v>
      </c>
      <c r="E715" s="11">
        <v>73.0</v>
      </c>
      <c r="F715" s="11">
        <v>0.306</v>
      </c>
      <c r="G715" s="11">
        <v>0.631</v>
      </c>
      <c r="H715" s="11">
        <v>0.063</v>
      </c>
      <c r="I715" s="11">
        <v>1.5246481E7</v>
      </c>
      <c r="J715" s="11">
        <v>0.629</v>
      </c>
      <c r="K715" s="12" t="s">
        <v>133</v>
      </c>
      <c r="L715" s="5" t="s">
        <v>84</v>
      </c>
      <c r="M715" s="9" t="s">
        <v>72</v>
      </c>
    </row>
    <row r="716">
      <c r="A716" s="11">
        <v>715.0</v>
      </c>
      <c r="B716" s="11">
        <v>0.021</v>
      </c>
      <c r="C716" s="11">
        <v>0.02</v>
      </c>
      <c r="D716" s="11">
        <v>79.0</v>
      </c>
      <c r="E716" s="11">
        <v>73.0</v>
      </c>
      <c r="F716" s="11">
        <v>0.303</v>
      </c>
      <c r="G716" s="11">
        <v>0.633</v>
      </c>
      <c r="H716" s="11">
        <v>0.064</v>
      </c>
      <c r="I716" s="11">
        <v>1.5492264E7</v>
      </c>
      <c r="J716" s="11">
        <v>0.631</v>
      </c>
      <c r="K716" s="12" t="s">
        <v>133</v>
      </c>
      <c r="L716" s="5" t="s">
        <v>84</v>
      </c>
      <c r="M716" s="9" t="s">
        <v>73</v>
      </c>
    </row>
    <row r="717">
      <c r="A717" s="11">
        <v>716.0</v>
      </c>
      <c r="B717" s="11">
        <v>0.025</v>
      </c>
      <c r="C717" s="11">
        <v>0.036</v>
      </c>
      <c r="D717" s="11">
        <v>71.0</v>
      </c>
      <c r="E717" s="11">
        <v>66.0</v>
      </c>
      <c r="F717" s="11">
        <v>0.354</v>
      </c>
      <c r="G717" s="11">
        <v>0.592</v>
      </c>
      <c r="H717" s="11">
        <v>0.053</v>
      </c>
      <c r="I717" s="11">
        <v>6.613659E7</v>
      </c>
      <c r="J717" s="11">
        <v>0.428</v>
      </c>
      <c r="K717" s="12" t="s">
        <v>134</v>
      </c>
      <c r="L717" s="5" t="s">
        <v>77</v>
      </c>
      <c r="M717" s="9" t="s">
        <v>60</v>
      </c>
    </row>
    <row r="718">
      <c r="A718" s="11">
        <v>717.0</v>
      </c>
      <c r="B718" s="11">
        <v>0.025</v>
      </c>
      <c r="C718" s="11">
        <v>0.034</v>
      </c>
      <c r="D718" s="11">
        <v>71.0</v>
      </c>
      <c r="E718" s="11">
        <v>66.0</v>
      </c>
      <c r="F718" s="11">
        <v>0.348</v>
      </c>
      <c r="G718" s="11">
        <v>0.598</v>
      </c>
      <c r="H718" s="11">
        <v>0.054</v>
      </c>
      <c r="I718" s="11">
        <v>6.7204189E7</v>
      </c>
      <c r="J718" s="11">
        <v>0.428</v>
      </c>
      <c r="K718" s="12" t="s">
        <v>134</v>
      </c>
      <c r="L718" s="5" t="s">
        <v>77</v>
      </c>
      <c r="M718" s="9" t="s">
        <v>62</v>
      </c>
    </row>
    <row r="719">
      <c r="A719" s="11">
        <v>718.0</v>
      </c>
      <c r="B719" s="11">
        <v>0.024</v>
      </c>
      <c r="C719" s="11">
        <v>0.031</v>
      </c>
      <c r="D719" s="11">
        <v>71.0</v>
      </c>
      <c r="E719" s="11">
        <v>67.0</v>
      </c>
      <c r="F719" s="11">
        <v>0.342</v>
      </c>
      <c r="G719" s="11">
        <v>0.604</v>
      </c>
      <c r="H719" s="11">
        <v>0.054</v>
      </c>
      <c r="I719" s="11">
        <v>6.8302914E7</v>
      </c>
      <c r="J719" s="11">
        <v>0.429</v>
      </c>
      <c r="K719" s="12" t="s">
        <v>134</v>
      </c>
      <c r="L719" s="5" t="s">
        <v>77</v>
      </c>
      <c r="M719" s="9" t="s">
        <v>63</v>
      </c>
    </row>
    <row r="720">
      <c r="A720" s="11">
        <v>719.0</v>
      </c>
      <c r="B720" s="11">
        <v>0.024</v>
      </c>
      <c r="C720" s="11">
        <v>0.029</v>
      </c>
      <c r="D720" s="11">
        <v>72.0</v>
      </c>
      <c r="E720" s="11">
        <v>67.0</v>
      </c>
      <c r="F720" s="11">
        <v>0.335</v>
      </c>
      <c r="G720" s="11">
        <v>0.61</v>
      </c>
      <c r="H720" s="11">
        <v>0.054</v>
      </c>
      <c r="I720" s="11">
        <v>6.9432477E7</v>
      </c>
      <c r="J720" s="11">
        <v>0.429</v>
      </c>
      <c r="K720" s="12" t="s">
        <v>134</v>
      </c>
      <c r="L720" s="5" t="s">
        <v>77</v>
      </c>
      <c r="M720" s="9" t="s">
        <v>64</v>
      </c>
    </row>
    <row r="721">
      <c r="A721" s="11">
        <v>720.0</v>
      </c>
      <c r="B721" s="11">
        <v>0.024</v>
      </c>
      <c r="C721" s="11">
        <v>0.027</v>
      </c>
      <c r="D721" s="11">
        <v>72.0</v>
      </c>
      <c r="E721" s="11">
        <v>67.0</v>
      </c>
      <c r="F721" s="11">
        <v>0.33</v>
      </c>
      <c r="G721" s="11">
        <v>0.616</v>
      </c>
      <c r="H721" s="11">
        <v>0.054</v>
      </c>
      <c r="I721" s="11">
        <v>7.0591288E7</v>
      </c>
      <c r="J721" s="11">
        <v>0.43</v>
      </c>
      <c r="K721" s="12" t="s">
        <v>134</v>
      </c>
      <c r="L721" s="5" t="s">
        <v>77</v>
      </c>
      <c r="M721" s="9" t="s">
        <v>65</v>
      </c>
    </row>
    <row r="722">
      <c r="A722" s="11">
        <v>721.0</v>
      </c>
      <c r="B722" s="11">
        <v>0.024</v>
      </c>
      <c r="C722" s="11">
        <v>0.026</v>
      </c>
      <c r="D722" s="11">
        <v>72.0</v>
      </c>
      <c r="E722" s="11">
        <v>67.0</v>
      </c>
      <c r="F722" s="11">
        <v>0.325</v>
      </c>
      <c r="G722" s="11">
        <v>0.62</v>
      </c>
      <c r="H722" s="11">
        <v>0.055</v>
      </c>
      <c r="I722" s="11">
        <v>7.1777678E7</v>
      </c>
      <c r="J722" s="11">
        <v>0.43</v>
      </c>
      <c r="K722" s="12" t="s">
        <v>134</v>
      </c>
      <c r="L722" s="5" t="s">
        <v>77</v>
      </c>
      <c r="M722" s="9" t="s">
        <v>66</v>
      </c>
    </row>
    <row r="723">
      <c r="A723" s="11">
        <v>722.0</v>
      </c>
      <c r="B723" s="11">
        <v>0.024</v>
      </c>
      <c r="C723" s="11">
        <v>0.024</v>
      </c>
      <c r="D723" s="11">
        <v>72.0</v>
      </c>
      <c r="E723" s="11">
        <v>67.0</v>
      </c>
      <c r="F723" s="11">
        <v>0.322</v>
      </c>
      <c r="G723" s="11">
        <v>0.624</v>
      </c>
      <c r="H723" s="11">
        <v>0.055</v>
      </c>
      <c r="I723" s="11">
        <v>7.2990754E7</v>
      </c>
      <c r="J723" s="11">
        <v>0.431</v>
      </c>
      <c r="K723" s="12" t="s">
        <v>134</v>
      </c>
      <c r="L723" s="5" t="s">
        <v>77</v>
      </c>
      <c r="M723" s="9" t="s">
        <v>67</v>
      </c>
    </row>
    <row r="724">
      <c r="A724" s="11">
        <v>723.0</v>
      </c>
      <c r="B724" s="11">
        <v>0.024</v>
      </c>
      <c r="C724" s="11">
        <v>0.023</v>
      </c>
      <c r="D724" s="11">
        <v>72.0</v>
      </c>
      <c r="E724" s="11">
        <v>68.0</v>
      </c>
      <c r="F724" s="11">
        <v>0.319</v>
      </c>
      <c r="G724" s="11">
        <v>0.626</v>
      </c>
      <c r="H724" s="11">
        <v>0.054</v>
      </c>
      <c r="I724" s="11">
        <v>7.4229577E7</v>
      </c>
      <c r="J724" s="11">
        <v>0.431</v>
      </c>
      <c r="K724" s="12" t="s">
        <v>134</v>
      </c>
      <c r="L724" s="5" t="s">
        <v>77</v>
      </c>
      <c r="M724" s="9" t="s">
        <v>68</v>
      </c>
    </row>
    <row r="725">
      <c r="A725" s="11">
        <v>724.0</v>
      </c>
      <c r="B725" s="11">
        <v>0.024</v>
      </c>
      <c r="C725" s="11">
        <v>0.021</v>
      </c>
      <c r="D725" s="11">
        <v>72.0</v>
      </c>
      <c r="E725" s="11">
        <v>68.0</v>
      </c>
      <c r="F725" s="11">
        <v>0.318</v>
      </c>
      <c r="G725" s="11">
        <v>0.628</v>
      </c>
      <c r="H725" s="11">
        <v>0.054</v>
      </c>
      <c r="I725" s="11">
        <v>7.5491922E7</v>
      </c>
      <c r="J725" s="11">
        <v>0.431</v>
      </c>
      <c r="K725" s="12" t="s">
        <v>134</v>
      </c>
      <c r="L725" s="5" t="s">
        <v>77</v>
      </c>
      <c r="M725" s="9" t="s">
        <v>69</v>
      </c>
    </row>
    <row r="726">
      <c r="A726" s="11">
        <v>725.0</v>
      </c>
      <c r="B726" s="11">
        <v>0.024</v>
      </c>
      <c r="C726" s="11">
        <v>0.021</v>
      </c>
      <c r="D726" s="11">
        <v>73.0</v>
      </c>
      <c r="E726" s="11">
        <v>68.0</v>
      </c>
      <c r="F726" s="11">
        <v>0.316</v>
      </c>
      <c r="G726" s="11">
        <v>0.629</v>
      </c>
      <c r="H726" s="11">
        <v>0.055</v>
      </c>
      <c r="I726" s="11">
        <v>7.6775023E7</v>
      </c>
      <c r="J726" s="11">
        <v>0.43</v>
      </c>
      <c r="K726" s="12" t="s">
        <v>134</v>
      </c>
      <c r="L726" s="5" t="s">
        <v>77</v>
      </c>
      <c r="M726" s="9" t="s">
        <v>70</v>
      </c>
    </row>
    <row r="727">
      <c r="A727" s="11">
        <v>726.0</v>
      </c>
      <c r="B727" s="11">
        <v>0.024</v>
      </c>
      <c r="C727" s="11">
        <v>0.02</v>
      </c>
      <c r="D727" s="11">
        <v>73.0</v>
      </c>
      <c r="E727" s="11">
        <v>68.0</v>
      </c>
      <c r="F727" s="11">
        <v>0.315</v>
      </c>
      <c r="G727" s="11">
        <v>0.63</v>
      </c>
      <c r="H727" s="11">
        <v>0.055</v>
      </c>
      <c r="I727" s="11">
        <v>7.8075705E7</v>
      </c>
      <c r="J727" s="11">
        <v>0.43</v>
      </c>
      <c r="K727" s="12" t="s">
        <v>134</v>
      </c>
      <c r="L727" s="5" t="s">
        <v>77</v>
      </c>
      <c r="M727" s="9" t="s">
        <v>71</v>
      </c>
    </row>
    <row r="728">
      <c r="A728" s="11">
        <v>727.0</v>
      </c>
      <c r="B728" s="11">
        <v>0.024</v>
      </c>
      <c r="C728" s="11">
        <v>0.019</v>
      </c>
      <c r="D728" s="11">
        <v>73.0</v>
      </c>
      <c r="E728" s="11">
        <v>68.0</v>
      </c>
      <c r="F728" s="11">
        <v>0.314</v>
      </c>
      <c r="G728" s="11">
        <v>0.631</v>
      </c>
      <c r="H728" s="11">
        <v>0.056</v>
      </c>
      <c r="I728" s="11">
        <v>7.9392466E7</v>
      </c>
      <c r="J728" s="11">
        <v>0.43</v>
      </c>
      <c r="K728" s="12" t="s">
        <v>134</v>
      </c>
      <c r="L728" s="5" t="s">
        <v>77</v>
      </c>
      <c r="M728" s="9" t="s">
        <v>72</v>
      </c>
    </row>
    <row r="729">
      <c r="A729" s="11">
        <v>728.0</v>
      </c>
      <c r="B729" s="11">
        <v>0.024</v>
      </c>
      <c r="C729" s="11">
        <v>0.019</v>
      </c>
      <c r="D729" s="11">
        <v>73.0</v>
      </c>
      <c r="E729" s="11">
        <v>69.0</v>
      </c>
      <c r="F729" s="11">
        <v>0.312</v>
      </c>
      <c r="G729" s="11">
        <v>0.631</v>
      </c>
      <c r="H729" s="11">
        <v>0.056</v>
      </c>
      <c r="I729" s="11">
        <v>8.0721874E7</v>
      </c>
      <c r="J729" s="11">
        <v>0.43</v>
      </c>
      <c r="K729" s="12" t="s">
        <v>134</v>
      </c>
      <c r="L729" s="5" t="s">
        <v>77</v>
      </c>
      <c r="M729" s="9" t="s">
        <v>73</v>
      </c>
    </row>
    <row r="730">
      <c r="A730" s="11">
        <v>729.0</v>
      </c>
      <c r="B730" s="11">
        <v>0.025</v>
      </c>
      <c r="C730" s="11">
        <v>0.027</v>
      </c>
      <c r="D730" s="11">
        <v>74.0</v>
      </c>
      <c r="E730" s="11">
        <v>65.0</v>
      </c>
      <c r="F730" s="11">
        <v>0.383</v>
      </c>
      <c r="G730" s="11">
        <v>0.562</v>
      </c>
      <c r="H730" s="11">
        <v>0.055</v>
      </c>
      <c r="I730" s="11">
        <v>5958794.0</v>
      </c>
      <c r="J730" s="11">
        <v>0.589</v>
      </c>
      <c r="K730" s="12" t="s">
        <v>135</v>
      </c>
      <c r="L730" s="5" t="s">
        <v>84</v>
      </c>
      <c r="M730" s="9" t="s">
        <v>60</v>
      </c>
    </row>
    <row r="731">
      <c r="A731" s="11">
        <v>730.0</v>
      </c>
      <c r="B731" s="11">
        <v>0.024</v>
      </c>
      <c r="C731" s="11">
        <v>0.025</v>
      </c>
      <c r="D731" s="11">
        <v>75.0</v>
      </c>
      <c r="E731" s="11">
        <v>65.0</v>
      </c>
      <c r="F731" s="11">
        <v>0.379</v>
      </c>
      <c r="G731" s="11">
        <v>0.564</v>
      </c>
      <c r="H731" s="11">
        <v>0.057</v>
      </c>
      <c r="I731" s="11">
        <v>5985299.0</v>
      </c>
      <c r="J731" s="11">
        <v>0.595</v>
      </c>
      <c r="K731" s="12" t="s">
        <v>135</v>
      </c>
      <c r="L731" s="5" t="s">
        <v>84</v>
      </c>
      <c r="M731" s="9" t="s">
        <v>62</v>
      </c>
    </row>
    <row r="732">
      <c r="A732" s="11">
        <v>731.0</v>
      </c>
      <c r="B732" s="11">
        <v>0.023</v>
      </c>
      <c r="C732" s="11">
        <v>0.024</v>
      </c>
      <c r="D732" s="11">
        <v>75.0</v>
      </c>
      <c r="E732" s="11">
        <v>65.0</v>
      </c>
      <c r="F732" s="11">
        <v>0.374</v>
      </c>
      <c r="G732" s="11">
        <v>0.568</v>
      </c>
      <c r="H732" s="11">
        <v>0.058</v>
      </c>
      <c r="I732" s="11">
        <v>6008308.0</v>
      </c>
      <c r="J732" s="11">
        <v>0.6</v>
      </c>
      <c r="K732" s="12" t="s">
        <v>135</v>
      </c>
      <c r="L732" s="5" t="s">
        <v>84</v>
      </c>
      <c r="M732" s="9" t="s">
        <v>63</v>
      </c>
    </row>
    <row r="733">
      <c r="A733" s="11">
        <v>732.0</v>
      </c>
      <c r="B733" s="11">
        <v>0.022</v>
      </c>
      <c r="C733" s="11">
        <v>0.023</v>
      </c>
      <c r="D733" s="11">
        <v>75.0</v>
      </c>
      <c r="E733" s="11">
        <v>66.0</v>
      </c>
      <c r="F733" s="11">
        <v>0.369</v>
      </c>
      <c r="G733" s="11">
        <v>0.572</v>
      </c>
      <c r="H733" s="11">
        <v>0.059</v>
      </c>
      <c r="I733" s="11">
        <v>6029366.0</v>
      </c>
      <c r="J733" s="11">
        <v>0.606</v>
      </c>
      <c r="K733" s="12" t="s">
        <v>135</v>
      </c>
      <c r="L733" s="5" t="s">
        <v>84</v>
      </c>
      <c r="M733" s="9" t="s">
        <v>64</v>
      </c>
    </row>
    <row r="734">
      <c r="A734" s="11">
        <v>733.0</v>
      </c>
      <c r="B734" s="11">
        <v>0.021</v>
      </c>
      <c r="C734" s="11">
        <v>0.021</v>
      </c>
      <c r="D734" s="11">
        <v>75.0</v>
      </c>
      <c r="E734" s="11">
        <v>66.0</v>
      </c>
      <c r="F734" s="11">
        <v>0.363</v>
      </c>
      <c r="G734" s="11">
        <v>0.576</v>
      </c>
      <c r="H734" s="11">
        <v>0.061</v>
      </c>
      <c r="I734" s="11">
        <v>6050297.0</v>
      </c>
      <c r="J734" s="11">
        <v>0.611</v>
      </c>
      <c r="K734" s="12" t="s">
        <v>135</v>
      </c>
      <c r="L734" s="5" t="s">
        <v>84</v>
      </c>
      <c r="M734" s="9" t="s">
        <v>65</v>
      </c>
    </row>
    <row r="735">
      <c r="A735" s="11">
        <v>734.0</v>
      </c>
      <c r="B735" s="11">
        <v>0.021</v>
      </c>
      <c r="C735" s="11">
        <v>0.02</v>
      </c>
      <c r="D735" s="11">
        <v>75.0</v>
      </c>
      <c r="E735" s="11">
        <v>66.0</v>
      </c>
      <c r="F735" s="11">
        <v>0.357</v>
      </c>
      <c r="G735" s="11">
        <v>0.581</v>
      </c>
      <c r="H735" s="11">
        <v>0.062</v>
      </c>
      <c r="I735" s="11">
        <v>6072538.0</v>
      </c>
      <c r="J735" s="11">
        <v>0.616</v>
      </c>
      <c r="K735" s="12" t="s">
        <v>135</v>
      </c>
      <c r="L735" s="5" t="s">
        <v>84</v>
      </c>
      <c r="M735" s="9" t="s">
        <v>66</v>
      </c>
    </row>
    <row r="736">
      <c r="A736" s="11">
        <v>735.0</v>
      </c>
      <c r="B736" s="11">
        <v>0.021</v>
      </c>
      <c r="C736" s="11">
        <v>0.019</v>
      </c>
      <c r="D736" s="11">
        <v>76.0</v>
      </c>
      <c r="E736" s="11">
        <v>66.0</v>
      </c>
      <c r="F736" s="11">
        <v>0.35</v>
      </c>
      <c r="G736" s="11">
        <v>0.586</v>
      </c>
      <c r="H736" s="11">
        <v>0.064</v>
      </c>
      <c r="I736" s="11">
        <v>6096692.0</v>
      </c>
      <c r="J736" s="11">
        <v>0.622</v>
      </c>
      <c r="K736" s="12" t="s">
        <v>135</v>
      </c>
      <c r="L736" s="5" t="s">
        <v>84</v>
      </c>
      <c r="M736" s="9" t="s">
        <v>67</v>
      </c>
    </row>
    <row r="737">
      <c r="A737" s="11">
        <v>736.0</v>
      </c>
      <c r="B737" s="11">
        <v>0.021</v>
      </c>
      <c r="C737" s="11">
        <v>0.018</v>
      </c>
      <c r="D737" s="11">
        <v>76.0</v>
      </c>
      <c r="E737" s="11">
        <v>66.0</v>
      </c>
      <c r="F737" s="11">
        <v>0.343</v>
      </c>
      <c r="G737" s="11">
        <v>0.592</v>
      </c>
      <c r="H737" s="11">
        <v>0.065</v>
      </c>
      <c r="I737" s="11">
        <v>6122952.0</v>
      </c>
      <c r="J737" s="11">
        <v>0.627</v>
      </c>
      <c r="K737" s="12" t="s">
        <v>135</v>
      </c>
      <c r="L737" s="5" t="s">
        <v>84</v>
      </c>
      <c r="M737" s="9" t="s">
        <v>68</v>
      </c>
    </row>
    <row r="738">
      <c r="A738" s="11">
        <v>737.0</v>
      </c>
      <c r="B738" s="11">
        <v>0.021</v>
      </c>
      <c r="C738" s="11">
        <v>0.017</v>
      </c>
      <c r="D738" s="11">
        <v>76.0</v>
      </c>
      <c r="E738" s="11">
        <v>67.0</v>
      </c>
      <c r="F738" s="11">
        <v>0.336</v>
      </c>
      <c r="G738" s="11">
        <v>0.598</v>
      </c>
      <c r="H738" s="11">
        <v>0.066</v>
      </c>
      <c r="I738" s="11">
        <v>6151776.0</v>
      </c>
      <c r="J738" s="11">
        <v>0.633</v>
      </c>
      <c r="K738" s="12" t="s">
        <v>135</v>
      </c>
      <c r="L738" s="5" t="s">
        <v>84</v>
      </c>
      <c r="M738" s="9" t="s">
        <v>69</v>
      </c>
    </row>
    <row r="739">
      <c r="A739" s="11">
        <v>738.0</v>
      </c>
      <c r="B739" s="11">
        <v>0.021</v>
      </c>
      <c r="C739" s="11">
        <v>0.016</v>
      </c>
      <c r="D739" s="11">
        <v>76.0</v>
      </c>
      <c r="E739" s="11">
        <v>67.0</v>
      </c>
      <c r="F739" s="11">
        <v>0.328</v>
      </c>
      <c r="G739" s="11">
        <v>0.604</v>
      </c>
      <c r="H739" s="11">
        <v>0.068</v>
      </c>
      <c r="I739" s="11">
        <v>6183484.0</v>
      </c>
      <c r="J739" s="11">
        <v>0.638</v>
      </c>
      <c r="K739" s="12" t="s">
        <v>135</v>
      </c>
      <c r="L739" s="5" t="s">
        <v>84</v>
      </c>
      <c r="M739" s="9" t="s">
        <v>70</v>
      </c>
    </row>
    <row r="740">
      <c r="A740" s="11">
        <v>739.0</v>
      </c>
      <c r="B740" s="11">
        <v>0.02</v>
      </c>
      <c r="C740" s="11">
        <v>0.015</v>
      </c>
      <c r="D740" s="11">
        <v>76.0</v>
      </c>
      <c r="E740" s="11">
        <v>67.0</v>
      </c>
      <c r="F740" s="11">
        <v>0.321</v>
      </c>
      <c r="G740" s="11">
        <v>0.61</v>
      </c>
      <c r="H740" s="11">
        <v>0.069</v>
      </c>
      <c r="I740" s="11">
        <v>6218195.0</v>
      </c>
      <c r="J740" s="11">
        <v>0.643</v>
      </c>
      <c r="K740" s="12" t="s">
        <v>135</v>
      </c>
      <c r="L740" s="5" t="s">
        <v>84</v>
      </c>
      <c r="M740" s="9" t="s">
        <v>71</v>
      </c>
    </row>
    <row r="741">
      <c r="A741" s="11">
        <v>740.0</v>
      </c>
      <c r="B741" s="11">
        <v>0.02</v>
      </c>
      <c r="C741" s="11">
        <v>0.015</v>
      </c>
      <c r="D741" s="11">
        <v>77.0</v>
      </c>
      <c r="E741" s="11">
        <v>67.0</v>
      </c>
      <c r="F741" s="11">
        <v>0.313</v>
      </c>
      <c r="G741" s="11">
        <v>0.617</v>
      </c>
      <c r="H741" s="11">
        <v>0.07</v>
      </c>
      <c r="I741" s="11">
        <v>6256242.0</v>
      </c>
      <c r="J741" s="11">
        <v>0.648</v>
      </c>
      <c r="K741" s="12" t="s">
        <v>135</v>
      </c>
      <c r="L741" s="5" t="s">
        <v>84</v>
      </c>
      <c r="M741" s="9" t="s">
        <v>72</v>
      </c>
    </row>
    <row r="742">
      <c r="A742" s="11">
        <v>741.0</v>
      </c>
      <c r="B742" s="11">
        <v>0.02</v>
      </c>
      <c r="C742" s="11">
        <v>0.014</v>
      </c>
      <c r="D742" s="11">
        <v>77.0</v>
      </c>
      <c r="E742" s="11">
        <v>68.0</v>
      </c>
      <c r="F742" s="11">
        <v>0.306</v>
      </c>
      <c r="G742" s="11">
        <v>0.623</v>
      </c>
      <c r="H742" s="11">
        <v>0.071</v>
      </c>
      <c r="I742" s="11">
        <v>6297394.0</v>
      </c>
      <c r="J742" s="11">
        <v>0.653</v>
      </c>
      <c r="K742" s="12" t="s">
        <v>135</v>
      </c>
      <c r="L742" s="5" t="s">
        <v>84</v>
      </c>
      <c r="M742" s="9" t="s">
        <v>73</v>
      </c>
    </row>
    <row r="743">
      <c r="A743" s="11">
        <v>742.0</v>
      </c>
      <c r="B743" s="11">
        <v>0.04</v>
      </c>
      <c r="C743" s="11">
        <v>0.099</v>
      </c>
      <c r="D743" s="11">
        <v>49.0</v>
      </c>
      <c r="E743" s="11">
        <v>46.0</v>
      </c>
      <c r="F743" s="11">
        <v>0.426</v>
      </c>
      <c r="G743" s="11">
        <v>0.537</v>
      </c>
      <c r="H743" s="11">
        <v>0.037</v>
      </c>
      <c r="I743" s="11">
        <v>518179.0</v>
      </c>
      <c r="J743" s="11">
        <v>0.388</v>
      </c>
      <c r="K743" s="12" t="s">
        <v>136</v>
      </c>
      <c r="L743" s="5" t="s">
        <v>77</v>
      </c>
      <c r="M743" s="9" t="s">
        <v>60</v>
      </c>
    </row>
    <row r="744">
      <c r="A744" s="11">
        <v>743.0</v>
      </c>
      <c r="B744" s="11">
        <v>0.039</v>
      </c>
      <c r="C744" s="11">
        <v>0.096</v>
      </c>
      <c r="D744" s="11">
        <v>49.0</v>
      </c>
      <c r="E744" s="11">
        <v>47.0</v>
      </c>
      <c r="F744" s="11">
        <v>0.423</v>
      </c>
      <c r="G744" s="11">
        <v>0.541</v>
      </c>
      <c r="H744" s="11">
        <v>0.036</v>
      </c>
      <c r="I744" s="11">
        <v>534592.0</v>
      </c>
      <c r="J744" s="11">
        <v>0.388</v>
      </c>
      <c r="K744" s="12" t="s">
        <v>136</v>
      </c>
      <c r="L744" s="5" t="s">
        <v>77</v>
      </c>
      <c r="M744" s="9" t="s">
        <v>62</v>
      </c>
    </row>
    <row r="745">
      <c r="A745" s="11">
        <v>744.0</v>
      </c>
      <c r="B745" s="11">
        <v>0.039</v>
      </c>
      <c r="C745" s="11">
        <v>0.094</v>
      </c>
      <c r="D745" s="11">
        <v>49.0</v>
      </c>
      <c r="E745" s="11">
        <v>47.0</v>
      </c>
      <c r="F745" s="11">
        <v>0.419</v>
      </c>
      <c r="G745" s="11">
        <v>0.546</v>
      </c>
      <c r="H745" s="11">
        <v>0.035</v>
      </c>
      <c r="I745" s="11">
        <v>551399.0</v>
      </c>
      <c r="J745" s="11">
        <v>0.388</v>
      </c>
      <c r="K745" s="12" t="s">
        <v>136</v>
      </c>
      <c r="L745" s="5" t="s">
        <v>77</v>
      </c>
      <c r="M745" s="9" t="s">
        <v>63</v>
      </c>
    </row>
    <row r="746">
      <c r="A746" s="11">
        <v>745.0</v>
      </c>
      <c r="B746" s="11">
        <v>0.038</v>
      </c>
      <c r="C746" s="11">
        <v>0.092</v>
      </c>
      <c r="D746" s="11">
        <v>49.0</v>
      </c>
      <c r="E746" s="11">
        <v>47.0</v>
      </c>
      <c r="F746" s="11">
        <v>0.415</v>
      </c>
      <c r="G746" s="11">
        <v>0.551</v>
      </c>
      <c r="H746" s="11">
        <v>0.034</v>
      </c>
      <c r="I746" s="11">
        <v>568552.0</v>
      </c>
      <c r="J746" s="11">
        <v>0.388</v>
      </c>
      <c r="K746" s="12" t="s">
        <v>136</v>
      </c>
      <c r="L746" s="5" t="s">
        <v>77</v>
      </c>
      <c r="M746" s="9" t="s">
        <v>64</v>
      </c>
    </row>
    <row r="747">
      <c r="A747" s="11">
        <v>746.0</v>
      </c>
      <c r="B747" s="11">
        <v>0.038</v>
      </c>
      <c r="C747" s="11">
        <v>0.089</v>
      </c>
      <c r="D747" s="11">
        <v>50.0</v>
      </c>
      <c r="E747" s="11">
        <v>47.0</v>
      </c>
      <c r="F747" s="11">
        <v>0.41</v>
      </c>
      <c r="G747" s="11">
        <v>0.557</v>
      </c>
      <c r="H747" s="11">
        <v>0.033</v>
      </c>
      <c r="I747" s="11">
        <v>585983.0</v>
      </c>
      <c r="J747" s="11">
        <v>0.388</v>
      </c>
      <c r="K747" s="12" t="s">
        <v>136</v>
      </c>
      <c r="L747" s="5" t="s">
        <v>77</v>
      </c>
      <c r="M747" s="9" t="s">
        <v>65</v>
      </c>
    </row>
    <row r="748">
      <c r="A748" s="11">
        <v>747.0</v>
      </c>
      <c r="B748" s="11">
        <v>0.038</v>
      </c>
      <c r="C748" s="11">
        <v>0.087</v>
      </c>
      <c r="D748" s="11">
        <v>50.0</v>
      </c>
      <c r="E748" s="11">
        <v>48.0</v>
      </c>
      <c r="F748" s="11">
        <v>0.406</v>
      </c>
      <c r="G748" s="11">
        <v>0.561</v>
      </c>
      <c r="H748" s="11">
        <v>0.032</v>
      </c>
      <c r="I748" s="11">
        <v>603648.0</v>
      </c>
      <c r="J748" s="11">
        <v>0.389</v>
      </c>
      <c r="K748" s="12" t="s">
        <v>136</v>
      </c>
      <c r="L748" s="5" t="s">
        <v>77</v>
      </c>
      <c r="M748" s="9" t="s">
        <v>66</v>
      </c>
    </row>
    <row r="749">
      <c r="A749" s="11">
        <v>748.0</v>
      </c>
      <c r="B749" s="11">
        <v>0.038</v>
      </c>
      <c r="C749" s="11">
        <v>0.085</v>
      </c>
      <c r="D749" s="11">
        <v>51.0</v>
      </c>
      <c r="E749" s="11">
        <v>48.0</v>
      </c>
      <c r="F749" s="11">
        <v>0.403</v>
      </c>
      <c r="G749" s="11">
        <v>0.566</v>
      </c>
      <c r="H749" s="11">
        <v>0.032</v>
      </c>
      <c r="I749" s="11">
        <v>621517.0</v>
      </c>
      <c r="J749" s="11">
        <v>0.389</v>
      </c>
      <c r="K749" s="12" t="s">
        <v>136</v>
      </c>
      <c r="L749" s="5" t="s">
        <v>77</v>
      </c>
      <c r="M749" s="9" t="s">
        <v>67</v>
      </c>
    </row>
    <row r="750">
      <c r="A750" s="11">
        <v>749.0</v>
      </c>
      <c r="B750" s="11">
        <v>0.038</v>
      </c>
      <c r="C750" s="11">
        <v>0.082</v>
      </c>
      <c r="D750" s="11">
        <v>51.0</v>
      </c>
      <c r="E750" s="11">
        <v>49.0</v>
      </c>
      <c r="F750" s="11">
        <v>0.4</v>
      </c>
      <c r="G750" s="11">
        <v>0.569</v>
      </c>
      <c r="H750" s="11">
        <v>0.031</v>
      </c>
      <c r="I750" s="11">
        <v>639618.0</v>
      </c>
      <c r="J750" s="11">
        <v>0.39</v>
      </c>
      <c r="K750" s="12" t="s">
        <v>136</v>
      </c>
      <c r="L750" s="5" t="s">
        <v>77</v>
      </c>
      <c r="M750" s="9" t="s">
        <v>68</v>
      </c>
    </row>
    <row r="751">
      <c r="A751" s="11">
        <v>750.0</v>
      </c>
      <c r="B751" s="11">
        <v>0.037</v>
      </c>
      <c r="C751" s="11">
        <v>0.08</v>
      </c>
      <c r="D751" s="11">
        <v>52.0</v>
      </c>
      <c r="E751" s="11">
        <v>49.0</v>
      </c>
      <c r="F751" s="11">
        <v>0.397</v>
      </c>
      <c r="G751" s="11">
        <v>0.572</v>
      </c>
      <c r="H751" s="11">
        <v>0.03</v>
      </c>
      <c r="I751" s="11">
        <v>658025.0</v>
      </c>
      <c r="J751" s="11">
        <v>0.39</v>
      </c>
      <c r="K751" s="12" t="s">
        <v>136</v>
      </c>
      <c r="L751" s="5" t="s">
        <v>77</v>
      </c>
      <c r="M751" s="9" t="s">
        <v>69</v>
      </c>
    </row>
    <row r="752">
      <c r="A752" s="11">
        <v>751.0</v>
      </c>
      <c r="B752" s="11">
        <v>0.037</v>
      </c>
      <c r="C752" s="11">
        <v>0.078</v>
      </c>
      <c r="D752" s="11">
        <v>52.0</v>
      </c>
      <c r="E752" s="11">
        <v>50.0</v>
      </c>
      <c r="F752" s="11">
        <v>0.395</v>
      </c>
      <c r="G752" s="11">
        <v>0.575</v>
      </c>
      <c r="H752" s="11">
        <v>0.03</v>
      </c>
      <c r="I752" s="11">
        <v>676851.0</v>
      </c>
      <c r="J752" s="11">
        <v>0.391</v>
      </c>
      <c r="K752" s="12" t="s">
        <v>136</v>
      </c>
      <c r="L752" s="5" t="s">
        <v>77</v>
      </c>
      <c r="M752" s="9" t="s">
        <v>70</v>
      </c>
    </row>
    <row r="753">
      <c r="A753" s="11">
        <v>752.0</v>
      </c>
      <c r="B753" s="11">
        <v>0.037</v>
      </c>
      <c r="C753" s="11">
        <v>0.076</v>
      </c>
      <c r="D753" s="11">
        <v>53.0</v>
      </c>
      <c r="E753" s="11">
        <v>50.0</v>
      </c>
      <c r="F753" s="11">
        <v>0.393</v>
      </c>
      <c r="G753" s="11">
        <v>0.578</v>
      </c>
      <c r="H753" s="11">
        <v>0.029</v>
      </c>
      <c r="I753" s="11">
        <v>696167.0</v>
      </c>
      <c r="J753" s="11">
        <v>0.392</v>
      </c>
      <c r="K753" s="12" t="s">
        <v>136</v>
      </c>
      <c r="L753" s="5" t="s">
        <v>77</v>
      </c>
      <c r="M753" s="9" t="s">
        <v>71</v>
      </c>
    </row>
    <row r="754">
      <c r="A754" s="11">
        <v>753.0</v>
      </c>
      <c r="B754" s="11">
        <v>0.036</v>
      </c>
      <c r="C754" s="11">
        <v>0.073</v>
      </c>
      <c r="D754" s="11">
        <v>54.0</v>
      </c>
      <c r="E754" s="11">
        <v>51.0</v>
      </c>
      <c r="F754" s="11">
        <v>0.391</v>
      </c>
      <c r="G754" s="11">
        <v>0.58</v>
      </c>
      <c r="H754" s="11">
        <v>0.029</v>
      </c>
      <c r="I754" s="11">
        <v>715996.0</v>
      </c>
      <c r="J754" s="11">
        <v>0.393</v>
      </c>
      <c r="K754" s="12" t="s">
        <v>136</v>
      </c>
      <c r="L754" s="5" t="s">
        <v>77</v>
      </c>
      <c r="M754" s="9" t="s">
        <v>72</v>
      </c>
    </row>
    <row r="755">
      <c r="A755" s="11">
        <v>754.0</v>
      </c>
      <c r="B755" s="11">
        <v>0.036</v>
      </c>
      <c r="C755" s="11">
        <v>0.071</v>
      </c>
      <c r="D755" s="11">
        <v>54.0</v>
      </c>
      <c r="E755" s="11">
        <v>51.0</v>
      </c>
      <c r="F755" s="11">
        <v>0.39</v>
      </c>
      <c r="G755" s="11">
        <v>0.582</v>
      </c>
      <c r="H755" s="11">
        <v>0.028</v>
      </c>
      <c r="I755" s="11">
        <v>736296.0</v>
      </c>
      <c r="J755" s="11">
        <v>0.395</v>
      </c>
      <c r="K755" s="12" t="s">
        <v>136</v>
      </c>
      <c r="L755" s="5" t="s">
        <v>77</v>
      </c>
      <c r="M755" s="9" t="s">
        <v>73</v>
      </c>
    </row>
    <row r="756">
      <c r="A756" s="11">
        <v>755.0</v>
      </c>
      <c r="B756" s="11">
        <v>0.04</v>
      </c>
      <c r="C756" s="11">
        <v>0.058</v>
      </c>
      <c r="D756" s="11">
        <v>58.0</v>
      </c>
      <c r="E756" s="11">
        <v>54.0</v>
      </c>
      <c r="F756" s="11">
        <v>0.47</v>
      </c>
      <c r="G756" s="11">
        <v>0.512</v>
      </c>
      <c r="H756" s="11">
        <v>0.018</v>
      </c>
      <c r="I756" s="11">
        <v>3939348.0</v>
      </c>
      <c r="J756" s="11">
        <v>0.176</v>
      </c>
      <c r="K756" s="12" t="s">
        <v>137</v>
      </c>
      <c r="L756" s="5" t="s">
        <v>77</v>
      </c>
      <c r="M756" s="9" t="s">
        <v>60</v>
      </c>
    </row>
    <row r="757">
      <c r="A757" s="11">
        <v>756.0</v>
      </c>
      <c r="B757" s="11">
        <v>0.04</v>
      </c>
      <c r="C757" s="11">
        <v>0.056</v>
      </c>
      <c r="D757" s="11">
        <v>59.0</v>
      </c>
      <c r="E757" s="11">
        <v>54.0</v>
      </c>
      <c r="F757" s="11">
        <v>0.462</v>
      </c>
      <c r="G757" s="11">
        <v>0.519</v>
      </c>
      <c r="H757" s="11">
        <v>0.019</v>
      </c>
      <c r="I757" s="11">
        <v>4101609.0</v>
      </c>
      <c r="J757" s="11">
        <v>0.178</v>
      </c>
      <c r="K757" s="12" t="s">
        <v>137</v>
      </c>
      <c r="L757" s="5" t="s">
        <v>77</v>
      </c>
      <c r="M757" s="9" t="s">
        <v>62</v>
      </c>
    </row>
    <row r="758">
      <c r="A758" s="11">
        <v>757.0</v>
      </c>
      <c r="B758" s="11">
        <v>0.04</v>
      </c>
      <c r="C758" s="11">
        <v>0.054</v>
      </c>
      <c r="D758" s="11">
        <v>59.0</v>
      </c>
      <c r="E758" s="11">
        <v>55.0</v>
      </c>
      <c r="F758" s="11">
        <v>0.454</v>
      </c>
      <c r="G758" s="11">
        <v>0.527</v>
      </c>
      <c r="H758" s="11">
        <v>0.019</v>
      </c>
      <c r="I758" s="11">
        <v>4281576.0</v>
      </c>
      <c r="J758" s="11">
        <v>0.18</v>
      </c>
      <c r="K758" s="12" t="s">
        <v>137</v>
      </c>
      <c r="L758" s="5" t="s">
        <v>77</v>
      </c>
      <c r="M758" s="9" t="s">
        <v>63</v>
      </c>
    </row>
    <row r="759">
      <c r="A759" s="11">
        <v>758.0</v>
      </c>
      <c r="B759" s="11">
        <v>0.04</v>
      </c>
      <c r="C759" s="11">
        <v>0.051</v>
      </c>
      <c r="D759" s="11">
        <v>60.0</v>
      </c>
      <c r="E759" s="11">
        <v>55.0</v>
      </c>
      <c r="F759" s="11">
        <v>0.446</v>
      </c>
      <c r="G759" s="11">
        <v>0.535</v>
      </c>
      <c r="H759" s="11">
        <v>0.019</v>
      </c>
      <c r="I759" s="11">
        <v>4472533.0</v>
      </c>
      <c r="J759" s="11">
        <v>0.183</v>
      </c>
      <c r="K759" s="12" t="s">
        <v>137</v>
      </c>
      <c r="L759" s="5" t="s">
        <v>77</v>
      </c>
      <c r="M759" s="9" t="s">
        <v>64</v>
      </c>
    </row>
    <row r="760">
      <c r="A760" s="11">
        <v>759.0</v>
      </c>
      <c r="B760" s="11">
        <v>0.04</v>
      </c>
      <c r="C760" s="11">
        <v>0.049</v>
      </c>
      <c r="D760" s="11">
        <v>60.0</v>
      </c>
      <c r="E760" s="11">
        <v>56.0</v>
      </c>
      <c r="F760" s="11">
        <v>0.44</v>
      </c>
      <c r="G760" s="11">
        <v>0.541</v>
      </c>
      <c r="H760" s="11">
        <v>0.019</v>
      </c>
      <c r="I760" s="11">
        <v>4665522.0</v>
      </c>
      <c r="J760" s="11">
        <v>0.186</v>
      </c>
      <c r="K760" s="12" t="s">
        <v>137</v>
      </c>
      <c r="L760" s="5" t="s">
        <v>77</v>
      </c>
      <c r="M760" s="9" t="s">
        <v>65</v>
      </c>
    </row>
    <row r="761">
      <c r="A761" s="11">
        <v>760.0</v>
      </c>
      <c r="B761" s="11">
        <v>0.04</v>
      </c>
      <c r="C761" s="11">
        <v>0.047</v>
      </c>
      <c r="D761" s="11">
        <v>61.0</v>
      </c>
      <c r="E761" s="11">
        <v>56.0</v>
      </c>
      <c r="F761" s="11">
        <v>0.435</v>
      </c>
      <c r="G761" s="11">
        <v>0.545</v>
      </c>
      <c r="H761" s="11">
        <v>0.02</v>
      </c>
      <c r="I761" s="11">
        <v>4854066.0</v>
      </c>
      <c r="J761" s="11">
        <v>0.189</v>
      </c>
      <c r="K761" s="12" t="s">
        <v>137</v>
      </c>
      <c r="L761" s="5" t="s">
        <v>77</v>
      </c>
      <c r="M761" s="9" t="s">
        <v>66</v>
      </c>
    </row>
    <row r="762">
      <c r="A762" s="11">
        <v>761.0</v>
      </c>
      <c r="B762" s="11">
        <v>0.04</v>
      </c>
      <c r="C762" s="11">
        <v>0.046</v>
      </c>
      <c r="D762" s="11">
        <v>61.0</v>
      </c>
      <c r="E762" s="11">
        <v>57.0</v>
      </c>
      <c r="F762" s="11">
        <v>0.432</v>
      </c>
      <c r="G762" s="11">
        <v>0.548</v>
      </c>
      <c r="H762" s="11">
        <v>0.02</v>
      </c>
      <c r="I762" s="11">
        <v>5035036.0</v>
      </c>
      <c r="J762" s="11">
        <v>0.192</v>
      </c>
      <c r="K762" s="12" t="s">
        <v>137</v>
      </c>
      <c r="L762" s="5" t="s">
        <v>77</v>
      </c>
      <c r="M762" s="9" t="s">
        <v>67</v>
      </c>
    </row>
    <row r="763">
      <c r="A763" s="11">
        <v>762.0</v>
      </c>
      <c r="B763" s="11">
        <v>0.04</v>
      </c>
      <c r="C763" s="11">
        <v>0.044</v>
      </c>
      <c r="D763" s="11">
        <v>62.0</v>
      </c>
      <c r="E763" s="11">
        <v>57.0</v>
      </c>
      <c r="F763" s="11">
        <v>0.431</v>
      </c>
      <c r="G763" s="11">
        <v>0.549</v>
      </c>
      <c r="H763" s="11">
        <v>0.02</v>
      </c>
      <c r="I763" s="11">
        <v>5209846.0</v>
      </c>
      <c r="J763" s="11">
        <v>0.195</v>
      </c>
      <c r="K763" s="12" t="s">
        <v>137</v>
      </c>
      <c r="L763" s="5" t="s">
        <v>77</v>
      </c>
      <c r="M763" s="9" t="s">
        <v>68</v>
      </c>
    </row>
    <row r="764">
      <c r="A764" s="11">
        <v>763.0</v>
      </c>
      <c r="B764" s="11">
        <v>0.039</v>
      </c>
      <c r="C764" s="11">
        <v>0.042</v>
      </c>
      <c r="D764" s="11">
        <v>63.0</v>
      </c>
      <c r="E764" s="11">
        <v>58.0</v>
      </c>
      <c r="F764" s="11">
        <v>0.43</v>
      </c>
      <c r="G764" s="11">
        <v>0.549</v>
      </c>
      <c r="H764" s="11">
        <v>0.02</v>
      </c>
      <c r="I764" s="11">
        <v>5382163.0</v>
      </c>
      <c r="J764" s="11">
        <v>0.199</v>
      </c>
      <c r="K764" s="12" t="s">
        <v>137</v>
      </c>
      <c r="L764" s="5" t="s">
        <v>77</v>
      </c>
      <c r="M764" s="9" t="s">
        <v>69</v>
      </c>
    </row>
    <row r="765">
      <c r="A765" s="11">
        <v>764.0</v>
      </c>
      <c r="B765" s="11">
        <v>0.039</v>
      </c>
      <c r="C765" s="11">
        <v>0.041</v>
      </c>
      <c r="D765" s="11">
        <v>63.0</v>
      </c>
      <c r="E765" s="11">
        <v>58.0</v>
      </c>
      <c r="F765" s="11">
        <v>0.43</v>
      </c>
      <c r="G765" s="11">
        <v>0.549</v>
      </c>
      <c r="H765" s="11">
        <v>0.021</v>
      </c>
      <c r="I765" s="11">
        <v>5557889.0</v>
      </c>
      <c r="J765" s="11">
        <v>0.202</v>
      </c>
      <c r="K765" s="12" t="s">
        <v>137</v>
      </c>
      <c r="L765" s="5" t="s">
        <v>77</v>
      </c>
      <c r="M765" s="9" t="s">
        <v>70</v>
      </c>
    </row>
    <row r="766">
      <c r="A766" s="11">
        <v>765.0</v>
      </c>
      <c r="B766" s="11">
        <v>0.038</v>
      </c>
      <c r="C766" s="11">
        <v>0.039</v>
      </c>
      <c r="D766" s="11">
        <v>64.0</v>
      </c>
      <c r="E766" s="11">
        <v>59.0</v>
      </c>
      <c r="F766" s="11">
        <v>0.43</v>
      </c>
      <c r="G766" s="11">
        <v>0.549</v>
      </c>
      <c r="H766" s="11">
        <v>0.021</v>
      </c>
      <c r="I766" s="11">
        <v>5741159.0</v>
      </c>
      <c r="J766" s="11">
        <v>0.206</v>
      </c>
      <c r="K766" s="12" t="s">
        <v>137</v>
      </c>
      <c r="L766" s="5" t="s">
        <v>77</v>
      </c>
      <c r="M766" s="9" t="s">
        <v>71</v>
      </c>
    </row>
    <row r="767">
      <c r="A767" s="11">
        <v>766.0</v>
      </c>
      <c r="B767" s="11">
        <v>0.038</v>
      </c>
      <c r="C767" s="11">
        <v>0.038</v>
      </c>
      <c r="D767" s="11">
        <v>64.0</v>
      </c>
      <c r="E767" s="11">
        <v>59.0</v>
      </c>
      <c r="F767" s="11">
        <v>0.431</v>
      </c>
      <c r="G767" s="11">
        <v>0.548</v>
      </c>
      <c r="H767" s="11">
        <v>0.022</v>
      </c>
      <c r="I767" s="11">
        <v>5932852.0</v>
      </c>
      <c r="J767" s="11">
        <v>0.21</v>
      </c>
      <c r="K767" s="12" t="s">
        <v>137</v>
      </c>
      <c r="L767" s="5" t="s">
        <v>77</v>
      </c>
      <c r="M767" s="9" t="s">
        <v>72</v>
      </c>
    </row>
    <row r="768">
      <c r="A768" s="11">
        <v>767.0</v>
      </c>
      <c r="B768" s="11">
        <v>0.037</v>
      </c>
      <c r="C768" s="11">
        <v>0.037</v>
      </c>
      <c r="D768" s="11">
        <v>65.0</v>
      </c>
      <c r="E768" s="11">
        <v>60.0</v>
      </c>
      <c r="F768" s="11">
        <v>0.431</v>
      </c>
      <c r="G768" s="11">
        <v>0.547</v>
      </c>
      <c r="H768" s="11">
        <v>0.022</v>
      </c>
      <c r="I768" s="11">
        <v>6130922.0</v>
      </c>
      <c r="J768" s="11">
        <v>0.214</v>
      </c>
      <c r="K768" s="12" t="s">
        <v>137</v>
      </c>
      <c r="L768" s="5" t="s">
        <v>77</v>
      </c>
      <c r="M768" s="9" t="s">
        <v>73</v>
      </c>
    </row>
    <row r="769">
      <c r="A769" s="11">
        <v>768.0</v>
      </c>
      <c r="B769" s="11">
        <v>0.01</v>
      </c>
      <c r="C769" s="11">
        <v>0.009</v>
      </c>
      <c r="D769" s="11">
        <v>76.0</v>
      </c>
      <c r="E769" s="11">
        <v>65.0</v>
      </c>
      <c r="F769" s="11">
        <v>0.18</v>
      </c>
      <c r="G769" s="11">
        <v>0.669</v>
      </c>
      <c r="H769" s="11">
        <v>0.152</v>
      </c>
      <c r="I769" s="11">
        <v>1396985.0</v>
      </c>
      <c r="J769" s="11">
        <v>0.694</v>
      </c>
      <c r="K769" s="12" t="s">
        <v>138</v>
      </c>
      <c r="L769" s="5" t="s">
        <v>75</v>
      </c>
      <c r="M769" s="9" t="s">
        <v>60</v>
      </c>
    </row>
    <row r="770">
      <c r="A770" s="11">
        <v>769.0</v>
      </c>
      <c r="B770" s="11">
        <v>0.009</v>
      </c>
      <c r="C770" s="11">
        <v>0.008</v>
      </c>
      <c r="D770" s="11">
        <v>76.0</v>
      </c>
      <c r="E770" s="11">
        <v>65.0</v>
      </c>
      <c r="F770" s="11">
        <v>0.174</v>
      </c>
      <c r="G770" s="11">
        <v>0.671</v>
      </c>
      <c r="H770" s="11">
        <v>0.155</v>
      </c>
      <c r="I770" s="11">
        <v>1388115.0</v>
      </c>
      <c r="J770" s="11">
        <v>0.692</v>
      </c>
      <c r="K770" s="12" t="s">
        <v>138</v>
      </c>
      <c r="L770" s="5" t="s">
        <v>75</v>
      </c>
      <c r="M770" s="9" t="s">
        <v>62</v>
      </c>
    </row>
    <row r="771">
      <c r="A771" s="11">
        <v>770.0</v>
      </c>
      <c r="B771" s="11">
        <v>0.01</v>
      </c>
      <c r="C771" s="11">
        <v>0.008</v>
      </c>
      <c r="D771" s="11">
        <v>77.0</v>
      </c>
      <c r="E771" s="11">
        <v>65.0</v>
      </c>
      <c r="F771" s="11">
        <v>0.167</v>
      </c>
      <c r="G771" s="11">
        <v>0.674</v>
      </c>
      <c r="H771" s="11">
        <v>0.159</v>
      </c>
      <c r="I771" s="11">
        <v>1379350.0</v>
      </c>
      <c r="J771" s="11">
        <v>0.691</v>
      </c>
      <c r="K771" s="12" t="s">
        <v>138</v>
      </c>
      <c r="L771" s="5" t="s">
        <v>75</v>
      </c>
      <c r="M771" s="9" t="s">
        <v>63</v>
      </c>
    </row>
    <row r="772">
      <c r="A772" s="11">
        <v>771.0</v>
      </c>
      <c r="B772" s="11">
        <v>0.01</v>
      </c>
      <c r="C772" s="11">
        <v>0.007</v>
      </c>
      <c r="D772" s="11">
        <v>77.0</v>
      </c>
      <c r="E772" s="11">
        <v>66.0</v>
      </c>
      <c r="F772" s="11">
        <v>0.161</v>
      </c>
      <c r="G772" s="11">
        <v>0.676</v>
      </c>
      <c r="H772" s="11">
        <v>0.163</v>
      </c>
      <c r="I772" s="11">
        <v>1370720.0</v>
      </c>
      <c r="J772" s="11">
        <v>0.69</v>
      </c>
      <c r="K772" s="12" t="s">
        <v>138</v>
      </c>
      <c r="L772" s="5" t="s">
        <v>75</v>
      </c>
      <c r="M772" s="9" t="s">
        <v>64</v>
      </c>
    </row>
    <row r="773">
      <c r="A773" s="11">
        <v>772.0</v>
      </c>
      <c r="B773" s="11">
        <v>0.01</v>
      </c>
      <c r="C773" s="11">
        <v>0.006</v>
      </c>
      <c r="D773" s="11">
        <v>78.0</v>
      </c>
      <c r="E773" s="11">
        <v>66.0</v>
      </c>
      <c r="F773" s="11">
        <v>0.156</v>
      </c>
      <c r="G773" s="11">
        <v>0.678</v>
      </c>
      <c r="H773" s="11">
        <v>0.166</v>
      </c>
      <c r="I773" s="11">
        <v>1362550.0</v>
      </c>
      <c r="J773" s="11">
        <v>0.689</v>
      </c>
      <c r="K773" s="12" t="s">
        <v>138</v>
      </c>
      <c r="L773" s="5" t="s">
        <v>75</v>
      </c>
      <c r="M773" s="9" t="s">
        <v>65</v>
      </c>
    </row>
    <row r="774">
      <c r="A774" s="11">
        <v>773.0</v>
      </c>
      <c r="B774" s="11">
        <v>0.011</v>
      </c>
      <c r="C774" s="11">
        <v>0.006</v>
      </c>
      <c r="D774" s="11">
        <v>78.0</v>
      </c>
      <c r="E774" s="11">
        <v>67.0</v>
      </c>
      <c r="F774" s="11">
        <v>0.153</v>
      </c>
      <c r="G774" s="11">
        <v>0.679</v>
      </c>
      <c r="H774" s="11">
        <v>0.168</v>
      </c>
      <c r="I774" s="11">
        <v>1354775.0</v>
      </c>
      <c r="J774" s="11">
        <v>0.687</v>
      </c>
      <c r="K774" s="12" t="s">
        <v>138</v>
      </c>
      <c r="L774" s="5" t="s">
        <v>75</v>
      </c>
      <c r="M774" s="9" t="s">
        <v>66</v>
      </c>
    </row>
    <row r="775">
      <c r="A775" s="11">
        <v>774.0</v>
      </c>
      <c r="B775" s="11">
        <v>0.011</v>
      </c>
      <c r="C775" s="11">
        <v>0.005</v>
      </c>
      <c r="D775" s="11">
        <v>78.0</v>
      </c>
      <c r="E775" s="11">
        <v>67.0</v>
      </c>
      <c r="F775" s="11">
        <v>0.151</v>
      </c>
      <c r="G775" s="11">
        <v>0.679</v>
      </c>
      <c r="H775" s="11">
        <v>0.17</v>
      </c>
      <c r="I775" s="11">
        <v>1346810.0</v>
      </c>
      <c r="J775" s="11">
        <v>0.686</v>
      </c>
      <c r="K775" s="12" t="s">
        <v>138</v>
      </c>
      <c r="L775" s="5" t="s">
        <v>75</v>
      </c>
      <c r="M775" s="9" t="s">
        <v>67</v>
      </c>
    </row>
    <row r="776">
      <c r="A776" s="11">
        <v>775.0</v>
      </c>
      <c r="B776" s="11">
        <v>0.012</v>
      </c>
      <c r="C776" s="11">
        <v>0.005</v>
      </c>
      <c r="D776" s="11">
        <v>79.0</v>
      </c>
      <c r="E776" s="11">
        <v>67.0</v>
      </c>
      <c r="F776" s="11">
        <v>0.151</v>
      </c>
      <c r="G776" s="11">
        <v>0.678</v>
      </c>
      <c r="H776" s="11">
        <v>0.172</v>
      </c>
      <c r="I776" s="11">
        <v>1340680.0</v>
      </c>
      <c r="J776" s="11">
        <v>0.685</v>
      </c>
      <c r="K776" s="12" t="s">
        <v>138</v>
      </c>
      <c r="L776" s="5" t="s">
        <v>75</v>
      </c>
      <c r="M776" s="9" t="s">
        <v>68</v>
      </c>
    </row>
    <row r="777">
      <c r="A777" s="11">
        <v>776.0</v>
      </c>
      <c r="B777" s="11">
        <v>0.012</v>
      </c>
      <c r="C777" s="11">
        <v>0.004</v>
      </c>
      <c r="D777" s="11">
        <v>79.0</v>
      </c>
      <c r="E777" s="11">
        <v>69.0</v>
      </c>
      <c r="F777" s="11">
        <v>0.151</v>
      </c>
      <c r="G777" s="11">
        <v>0.676</v>
      </c>
      <c r="H777" s="11">
        <v>0.173</v>
      </c>
      <c r="I777" s="11">
        <v>1337090.0</v>
      </c>
      <c r="J777" s="11">
        <v>0.684</v>
      </c>
      <c r="K777" s="12" t="s">
        <v>138</v>
      </c>
      <c r="L777" s="5" t="s">
        <v>75</v>
      </c>
      <c r="M777" s="9" t="s">
        <v>69</v>
      </c>
    </row>
    <row r="778">
      <c r="A778" s="11">
        <v>777.0</v>
      </c>
      <c r="B778" s="11">
        <v>0.012</v>
      </c>
      <c r="C778" s="11">
        <v>0.004</v>
      </c>
      <c r="D778" s="11">
        <v>80.0</v>
      </c>
      <c r="E778" s="11">
        <v>70.0</v>
      </c>
      <c r="F778" s="11">
        <v>0.153</v>
      </c>
      <c r="G778" s="11">
        <v>0.674</v>
      </c>
      <c r="H778" s="11">
        <v>0.174</v>
      </c>
      <c r="I778" s="11">
        <v>1334515.0</v>
      </c>
      <c r="J778" s="11">
        <v>0.682</v>
      </c>
      <c r="K778" s="12" t="s">
        <v>138</v>
      </c>
      <c r="L778" s="5" t="s">
        <v>75</v>
      </c>
      <c r="M778" s="9" t="s">
        <v>70</v>
      </c>
    </row>
    <row r="779">
      <c r="A779" s="11">
        <v>778.0</v>
      </c>
      <c r="B779" s="11">
        <v>0.012</v>
      </c>
      <c r="C779" s="11">
        <v>0.004</v>
      </c>
      <c r="D779" s="11">
        <v>81.0</v>
      </c>
      <c r="E779" s="11">
        <v>71.0</v>
      </c>
      <c r="F779" s="11">
        <v>0.154</v>
      </c>
      <c r="G779" s="11">
        <v>0.671</v>
      </c>
      <c r="H779" s="11">
        <v>0.175</v>
      </c>
      <c r="I779" s="11">
        <v>1331475.0</v>
      </c>
      <c r="J779" s="11">
        <v>0.681</v>
      </c>
      <c r="K779" s="12" t="s">
        <v>138</v>
      </c>
      <c r="L779" s="5" t="s">
        <v>75</v>
      </c>
      <c r="M779" s="9" t="s">
        <v>71</v>
      </c>
    </row>
    <row r="780">
      <c r="A780" s="11">
        <v>779.0</v>
      </c>
      <c r="B780" s="11">
        <v>0.011</v>
      </c>
      <c r="C780" s="11">
        <v>0.003</v>
      </c>
      <c r="D780" s="11">
        <v>81.0</v>
      </c>
      <c r="E780" s="11">
        <v>71.0</v>
      </c>
      <c r="F780" s="11">
        <v>0.155</v>
      </c>
      <c r="G780" s="11">
        <v>0.668</v>
      </c>
      <c r="H780" s="11">
        <v>0.176</v>
      </c>
      <c r="I780" s="11">
        <v>1327439.0</v>
      </c>
      <c r="J780" s="11">
        <v>0.68</v>
      </c>
      <c r="K780" s="12" t="s">
        <v>138</v>
      </c>
      <c r="L780" s="5" t="s">
        <v>75</v>
      </c>
      <c r="M780" s="9" t="s">
        <v>72</v>
      </c>
    </row>
    <row r="781">
      <c r="A781" s="11">
        <v>780.0</v>
      </c>
      <c r="B781" s="11">
        <v>0.011</v>
      </c>
      <c r="C781" s="11">
        <v>0.003</v>
      </c>
      <c r="D781" s="11">
        <v>82.0</v>
      </c>
      <c r="E781" s="11">
        <v>72.0</v>
      </c>
      <c r="F781" s="11">
        <v>0.157</v>
      </c>
      <c r="G781" s="11">
        <v>0.665</v>
      </c>
      <c r="H781" s="11">
        <v>0.178</v>
      </c>
      <c r="I781" s="11">
        <v>1325016.0</v>
      </c>
      <c r="J781" s="11">
        <v>0.678</v>
      </c>
      <c r="K781" s="12" t="s">
        <v>138</v>
      </c>
      <c r="L781" s="5" t="s">
        <v>75</v>
      </c>
      <c r="M781" s="9" t="s">
        <v>73</v>
      </c>
    </row>
    <row r="782">
      <c r="A782" s="11">
        <v>781.0</v>
      </c>
      <c r="B782" s="11">
        <v>0.044</v>
      </c>
      <c r="C782" s="11">
        <v>0.09</v>
      </c>
      <c r="D782" s="11">
        <v>53.0</v>
      </c>
      <c r="E782" s="11">
        <v>51.0</v>
      </c>
      <c r="F782" s="11">
        <v>0.466</v>
      </c>
      <c r="G782" s="11">
        <v>0.503</v>
      </c>
      <c r="H782" s="11">
        <v>0.031</v>
      </c>
      <c r="I782" s="11">
        <v>6.6024199E7</v>
      </c>
      <c r="J782" s="11">
        <v>0.147</v>
      </c>
      <c r="K782" s="12" t="s">
        <v>139</v>
      </c>
      <c r="L782" s="5" t="s">
        <v>77</v>
      </c>
      <c r="M782" s="9" t="s">
        <v>60</v>
      </c>
    </row>
    <row r="783">
      <c r="A783" s="11">
        <v>782.0</v>
      </c>
      <c r="B783" s="11">
        <v>0.043</v>
      </c>
      <c r="C783" s="11">
        <v>0.087</v>
      </c>
      <c r="D783" s="11">
        <v>54.0</v>
      </c>
      <c r="E783" s="11">
        <v>52.0</v>
      </c>
      <c r="F783" s="11">
        <v>0.466</v>
      </c>
      <c r="G783" s="11">
        <v>0.504</v>
      </c>
      <c r="H783" s="11">
        <v>0.031</v>
      </c>
      <c r="I783" s="11">
        <v>6.7956866E7</v>
      </c>
      <c r="J783" s="11">
        <v>0.149</v>
      </c>
      <c r="K783" s="12" t="s">
        <v>139</v>
      </c>
      <c r="L783" s="5" t="s">
        <v>77</v>
      </c>
      <c r="M783" s="9" t="s">
        <v>62</v>
      </c>
    </row>
    <row r="784">
      <c r="A784" s="11">
        <v>783.0</v>
      </c>
      <c r="B784" s="11">
        <v>0.042</v>
      </c>
      <c r="C784" s="11">
        <v>0.083</v>
      </c>
      <c r="D784" s="11">
        <v>55.0</v>
      </c>
      <c r="E784" s="11">
        <v>53.0</v>
      </c>
      <c r="F784" s="11">
        <v>0.465</v>
      </c>
      <c r="G784" s="11">
        <v>0.504</v>
      </c>
      <c r="H784" s="11">
        <v>0.031</v>
      </c>
      <c r="I784" s="11">
        <v>6.9948344E7</v>
      </c>
      <c r="J784" s="11">
        <v>0.151</v>
      </c>
      <c r="K784" s="12" t="s">
        <v>139</v>
      </c>
      <c r="L784" s="5" t="s">
        <v>77</v>
      </c>
      <c r="M784" s="9" t="s">
        <v>63</v>
      </c>
    </row>
    <row r="785">
      <c r="A785" s="11">
        <v>784.0</v>
      </c>
      <c r="B785" s="11">
        <v>0.041</v>
      </c>
      <c r="C785" s="11">
        <v>0.079</v>
      </c>
      <c r="D785" s="11">
        <v>55.0</v>
      </c>
      <c r="E785" s="11">
        <v>54.0</v>
      </c>
      <c r="F785" s="11">
        <v>0.465</v>
      </c>
      <c r="G785" s="11">
        <v>0.504</v>
      </c>
      <c r="H785" s="11">
        <v>0.031</v>
      </c>
      <c r="I785" s="11">
        <v>7.1989666E7</v>
      </c>
      <c r="J785" s="11">
        <v>0.153</v>
      </c>
      <c r="K785" s="12" t="s">
        <v>139</v>
      </c>
      <c r="L785" s="5" t="s">
        <v>77</v>
      </c>
      <c r="M785" s="9" t="s">
        <v>64</v>
      </c>
    </row>
    <row r="786">
      <c r="A786" s="11">
        <v>785.0</v>
      </c>
      <c r="B786" s="11">
        <v>0.04</v>
      </c>
      <c r="C786" s="11">
        <v>0.074</v>
      </c>
      <c r="D786" s="11">
        <v>56.0</v>
      </c>
      <c r="E786" s="11">
        <v>55.0</v>
      </c>
      <c r="F786" s="11">
        <v>0.464</v>
      </c>
      <c r="G786" s="11">
        <v>0.505</v>
      </c>
      <c r="H786" s="11">
        <v>0.031</v>
      </c>
      <c r="I786" s="11">
        <v>7.4066147E7</v>
      </c>
      <c r="J786" s="11">
        <v>0.155</v>
      </c>
      <c r="K786" s="12" t="s">
        <v>139</v>
      </c>
      <c r="L786" s="5" t="s">
        <v>77</v>
      </c>
      <c r="M786" s="9" t="s">
        <v>65</v>
      </c>
    </row>
    <row r="787">
      <c r="A787" s="11">
        <v>786.0</v>
      </c>
      <c r="B787" s="11">
        <v>0.039</v>
      </c>
      <c r="C787" s="11">
        <v>0.07</v>
      </c>
      <c r="D787" s="11">
        <v>58.0</v>
      </c>
      <c r="E787" s="11">
        <v>56.0</v>
      </c>
      <c r="F787" s="11">
        <v>0.462</v>
      </c>
      <c r="G787" s="11">
        <v>0.507</v>
      </c>
      <c r="H787" s="11">
        <v>0.031</v>
      </c>
      <c r="I787" s="11">
        <v>7.616724E7</v>
      </c>
      <c r="J787" s="11">
        <v>0.157</v>
      </c>
      <c r="K787" s="12" t="s">
        <v>139</v>
      </c>
      <c r="L787" s="5" t="s">
        <v>77</v>
      </c>
      <c r="M787" s="9" t="s">
        <v>66</v>
      </c>
    </row>
    <row r="788">
      <c r="A788" s="11">
        <v>787.0</v>
      </c>
      <c r="B788" s="11">
        <v>0.038</v>
      </c>
      <c r="C788" s="11">
        <v>0.065</v>
      </c>
      <c r="D788" s="11">
        <v>59.0</v>
      </c>
      <c r="E788" s="11">
        <v>57.0</v>
      </c>
      <c r="F788" s="11">
        <v>0.46</v>
      </c>
      <c r="G788" s="11">
        <v>0.509</v>
      </c>
      <c r="H788" s="11">
        <v>0.031</v>
      </c>
      <c r="I788" s="11">
        <v>7.8290649E7</v>
      </c>
      <c r="J788" s="11">
        <v>0.159</v>
      </c>
      <c r="K788" s="12" t="s">
        <v>139</v>
      </c>
      <c r="L788" s="5" t="s">
        <v>77</v>
      </c>
      <c r="M788" s="9" t="s">
        <v>67</v>
      </c>
    </row>
    <row r="789">
      <c r="A789" s="11">
        <v>788.0</v>
      </c>
      <c r="B789" s="11">
        <v>0.037</v>
      </c>
      <c r="C789" s="11">
        <v>0.061</v>
      </c>
      <c r="D789" s="11">
        <v>60.0</v>
      </c>
      <c r="E789" s="11">
        <v>58.0</v>
      </c>
      <c r="F789" s="11">
        <v>0.457</v>
      </c>
      <c r="G789" s="11">
        <v>0.511</v>
      </c>
      <c r="H789" s="11">
        <v>0.032</v>
      </c>
      <c r="I789" s="11">
        <v>8.0440708E7</v>
      </c>
      <c r="J789" s="11">
        <v>0.161</v>
      </c>
      <c r="K789" s="12" t="s">
        <v>139</v>
      </c>
      <c r="L789" s="5" t="s">
        <v>77</v>
      </c>
      <c r="M789" s="9" t="s">
        <v>68</v>
      </c>
    </row>
    <row r="790">
      <c r="A790" s="11">
        <v>789.0</v>
      </c>
      <c r="B790" s="11">
        <v>0.036</v>
      </c>
      <c r="C790" s="11">
        <v>0.057</v>
      </c>
      <c r="D790" s="11">
        <v>61.0</v>
      </c>
      <c r="E790" s="11">
        <v>59.0</v>
      </c>
      <c r="F790" s="11">
        <v>0.453</v>
      </c>
      <c r="G790" s="11">
        <v>0.515</v>
      </c>
      <c r="H790" s="11">
        <v>0.032</v>
      </c>
      <c r="I790" s="11">
        <v>8.262119E7</v>
      </c>
      <c r="J790" s="11">
        <v>0.165</v>
      </c>
      <c r="K790" s="12" t="s">
        <v>139</v>
      </c>
      <c r="L790" s="5" t="s">
        <v>77</v>
      </c>
      <c r="M790" s="9" t="s">
        <v>69</v>
      </c>
    </row>
    <row r="791">
      <c r="A791" s="11">
        <v>790.0</v>
      </c>
      <c r="B791" s="11">
        <v>0.035</v>
      </c>
      <c r="C791" s="11">
        <v>0.054</v>
      </c>
      <c r="D791" s="11">
        <v>62.0</v>
      </c>
      <c r="E791" s="11">
        <v>59.0</v>
      </c>
      <c r="F791" s="11">
        <v>0.449</v>
      </c>
      <c r="G791" s="11">
        <v>0.518</v>
      </c>
      <c r="H791" s="11">
        <v>0.033</v>
      </c>
      <c r="I791" s="11">
        <v>8.4838032E7</v>
      </c>
      <c r="J791" s="11">
        <v>0.169</v>
      </c>
      <c r="K791" s="12" t="s">
        <v>139</v>
      </c>
      <c r="L791" s="5" t="s">
        <v>77</v>
      </c>
      <c r="M791" s="9" t="s">
        <v>70</v>
      </c>
    </row>
    <row r="792">
      <c r="A792" s="11">
        <v>791.0</v>
      </c>
      <c r="B792" s="11">
        <v>0.035</v>
      </c>
      <c r="C792" s="11">
        <v>0.051</v>
      </c>
      <c r="D792" s="11">
        <v>63.0</v>
      </c>
      <c r="E792" s="11">
        <v>60.0</v>
      </c>
      <c r="F792" s="11">
        <v>0.444</v>
      </c>
      <c r="G792" s="11">
        <v>0.523</v>
      </c>
      <c r="H792" s="11">
        <v>0.033</v>
      </c>
      <c r="I792" s="11">
        <v>8.7095281E7</v>
      </c>
      <c r="J792" s="11">
        <v>0.173</v>
      </c>
      <c r="K792" s="12" t="s">
        <v>139</v>
      </c>
      <c r="L792" s="5" t="s">
        <v>77</v>
      </c>
      <c r="M792" s="9" t="s">
        <v>71</v>
      </c>
    </row>
    <row r="793">
      <c r="A793" s="11">
        <v>792.0</v>
      </c>
      <c r="B793" s="11">
        <v>0.034</v>
      </c>
      <c r="C793" s="11">
        <v>0.048</v>
      </c>
      <c r="D793" s="11">
        <v>64.0</v>
      </c>
      <c r="E793" s="11">
        <v>61.0</v>
      </c>
      <c r="F793" s="11">
        <v>0.439</v>
      </c>
      <c r="G793" s="11">
        <v>0.528</v>
      </c>
      <c r="H793" s="11">
        <v>0.033</v>
      </c>
      <c r="I793" s="11">
        <v>8.9393063E7</v>
      </c>
      <c r="J793" s="11">
        <v>0.177</v>
      </c>
      <c r="K793" s="12" t="s">
        <v>139</v>
      </c>
      <c r="L793" s="5" t="s">
        <v>77</v>
      </c>
      <c r="M793" s="9" t="s">
        <v>72</v>
      </c>
    </row>
    <row r="794">
      <c r="A794" s="11">
        <v>793.0</v>
      </c>
      <c r="B794" s="11">
        <v>0.034</v>
      </c>
      <c r="C794" s="11">
        <v>0.046</v>
      </c>
      <c r="D794" s="11">
        <v>65.0</v>
      </c>
      <c r="E794" s="11">
        <v>61.0</v>
      </c>
      <c r="F794" s="11">
        <v>0.433</v>
      </c>
      <c r="G794" s="11">
        <v>0.533</v>
      </c>
      <c r="H794" s="11">
        <v>0.034</v>
      </c>
      <c r="I794" s="11">
        <v>9.1728849E7</v>
      </c>
      <c r="J794" s="11">
        <v>0.182</v>
      </c>
      <c r="K794" s="12" t="s">
        <v>139</v>
      </c>
      <c r="L794" s="5" t="s">
        <v>77</v>
      </c>
      <c r="M794" s="9" t="s">
        <v>73</v>
      </c>
    </row>
    <row r="795">
      <c r="A795" s="8">
        <v>794.0</v>
      </c>
      <c r="B795" s="8"/>
      <c r="C795" s="8"/>
      <c r="D795" s="11">
        <v>82.0</v>
      </c>
      <c r="E795" s="11">
        <v>76.0</v>
      </c>
      <c r="F795" s="8"/>
      <c r="G795" s="8"/>
      <c r="H795" s="8"/>
      <c r="I795" s="11">
        <v>46491.0</v>
      </c>
      <c r="J795" s="11">
        <v>0.363</v>
      </c>
      <c r="K795" s="12" t="s">
        <v>140</v>
      </c>
      <c r="L795" s="5" t="s">
        <v>75</v>
      </c>
      <c r="M795" s="9" t="s">
        <v>60</v>
      </c>
    </row>
    <row r="796">
      <c r="A796" s="8">
        <v>795.0</v>
      </c>
      <c r="B796" s="8"/>
      <c r="C796" s="8"/>
      <c r="D796" s="11">
        <v>82.0</v>
      </c>
      <c r="E796" s="11">
        <v>77.0</v>
      </c>
      <c r="F796" s="8"/>
      <c r="G796" s="8"/>
      <c r="H796" s="8"/>
      <c r="I796" s="11">
        <v>47135.0</v>
      </c>
      <c r="J796" s="11">
        <v>0.372</v>
      </c>
      <c r="K796" s="12" t="s">
        <v>140</v>
      </c>
      <c r="L796" s="5" t="s">
        <v>75</v>
      </c>
      <c r="M796" s="9" t="s">
        <v>62</v>
      </c>
    </row>
    <row r="797">
      <c r="A797" s="8">
        <v>796.0</v>
      </c>
      <c r="B797" s="8"/>
      <c r="C797" s="8"/>
      <c r="D797" s="11">
        <v>82.0</v>
      </c>
      <c r="E797" s="11">
        <v>77.0</v>
      </c>
      <c r="F797" s="8"/>
      <c r="G797" s="8"/>
      <c r="H797" s="8"/>
      <c r="I797" s="11">
        <v>47751.0</v>
      </c>
      <c r="J797" s="11">
        <v>0.38</v>
      </c>
      <c r="K797" s="12" t="s">
        <v>140</v>
      </c>
      <c r="L797" s="5" t="s">
        <v>75</v>
      </c>
      <c r="M797" s="9" t="s">
        <v>63</v>
      </c>
    </row>
    <row r="798">
      <c r="A798" s="8">
        <v>797.0</v>
      </c>
      <c r="B798" s="8"/>
      <c r="C798" s="8"/>
      <c r="D798" s="11">
        <v>82.0</v>
      </c>
      <c r="E798" s="11">
        <v>77.0</v>
      </c>
      <c r="F798" s="8"/>
      <c r="G798" s="8"/>
      <c r="H798" s="8"/>
      <c r="I798" s="11">
        <v>48308.0</v>
      </c>
      <c r="J798" s="11">
        <v>0.387</v>
      </c>
      <c r="K798" s="12" t="s">
        <v>140</v>
      </c>
      <c r="L798" s="5" t="s">
        <v>75</v>
      </c>
      <c r="M798" s="9" t="s">
        <v>64</v>
      </c>
    </row>
    <row r="799">
      <c r="A799" s="8">
        <v>798.0</v>
      </c>
      <c r="B799" s="8"/>
      <c r="C799" s="8"/>
      <c r="D799" s="11">
        <v>82.0</v>
      </c>
      <c r="E799" s="11">
        <v>77.0</v>
      </c>
      <c r="F799" s="8"/>
      <c r="G799" s="8"/>
      <c r="H799" s="8"/>
      <c r="I799" s="11">
        <v>48782.0</v>
      </c>
      <c r="J799" s="11">
        <v>0.392</v>
      </c>
      <c r="K799" s="12" t="s">
        <v>140</v>
      </c>
      <c r="L799" s="5" t="s">
        <v>75</v>
      </c>
      <c r="M799" s="9" t="s">
        <v>65</v>
      </c>
    </row>
    <row r="800">
      <c r="A800" s="8">
        <v>799.0</v>
      </c>
      <c r="B800" s="8"/>
      <c r="C800" s="8"/>
      <c r="D800" s="11">
        <v>82.0</v>
      </c>
      <c r="E800" s="11">
        <v>77.0</v>
      </c>
      <c r="F800" s="8"/>
      <c r="G800" s="8"/>
      <c r="H800" s="8"/>
      <c r="I800" s="11">
        <v>49157.0</v>
      </c>
      <c r="J800" s="11">
        <v>0.398</v>
      </c>
      <c r="K800" s="12" t="s">
        <v>140</v>
      </c>
      <c r="L800" s="5" t="s">
        <v>75</v>
      </c>
      <c r="M800" s="9" t="s">
        <v>66</v>
      </c>
    </row>
    <row r="801">
      <c r="A801" s="8">
        <v>800.0</v>
      </c>
      <c r="B801" s="8"/>
      <c r="C801" s="8"/>
      <c r="D801" s="11">
        <v>82.0</v>
      </c>
      <c r="E801" s="11">
        <v>77.0</v>
      </c>
      <c r="F801" s="8"/>
      <c r="G801" s="8"/>
      <c r="H801" s="8"/>
      <c r="I801" s="11">
        <v>49414.0</v>
      </c>
      <c r="J801" s="11">
        <v>0.401</v>
      </c>
      <c r="K801" s="12" t="s">
        <v>140</v>
      </c>
      <c r="L801" s="5" t="s">
        <v>75</v>
      </c>
      <c r="M801" s="9" t="s">
        <v>67</v>
      </c>
    </row>
    <row r="802">
      <c r="A802" s="11">
        <v>801.0</v>
      </c>
      <c r="B802" s="11">
        <v>0.014</v>
      </c>
      <c r="C802" s="8"/>
      <c r="D802" s="11">
        <v>83.0</v>
      </c>
      <c r="E802" s="11">
        <v>78.0</v>
      </c>
      <c r="F802" s="8"/>
      <c r="G802" s="8"/>
      <c r="H802" s="8"/>
      <c r="I802" s="11">
        <v>49554.0</v>
      </c>
      <c r="J802" s="11">
        <v>0.403</v>
      </c>
      <c r="K802" s="12" t="s">
        <v>140</v>
      </c>
      <c r="L802" s="5" t="s">
        <v>75</v>
      </c>
      <c r="M802" s="9" t="s">
        <v>68</v>
      </c>
    </row>
    <row r="803">
      <c r="A803" s="8">
        <v>802.0</v>
      </c>
      <c r="B803" s="8"/>
      <c r="C803" s="8"/>
      <c r="D803" s="11">
        <v>83.0</v>
      </c>
      <c r="E803" s="11">
        <v>78.0</v>
      </c>
      <c r="F803" s="8"/>
      <c r="G803" s="8"/>
      <c r="H803" s="8"/>
      <c r="I803" s="11">
        <v>49601.0</v>
      </c>
      <c r="J803" s="11">
        <v>0.405</v>
      </c>
      <c r="K803" s="12" t="s">
        <v>140</v>
      </c>
      <c r="L803" s="5" t="s">
        <v>75</v>
      </c>
      <c r="M803" s="9" t="s">
        <v>69</v>
      </c>
    </row>
    <row r="804">
      <c r="A804" s="8">
        <v>803.0</v>
      </c>
      <c r="B804" s="8"/>
      <c r="C804" s="8"/>
      <c r="D804" s="11">
        <v>84.0</v>
      </c>
      <c r="E804" s="11">
        <v>78.0</v>
      </c>
      <c r="F804" s="8"/>
      <c r="G804" s="8"/>
      <c r="H804" s="8"/>
      <c r="I804" s="11">
        <v>49600.0</v>
      </c>
      <c r="J804" s="11">
        <v>0.407</v>
      </c>
      <c r="K804" s="12" t="s">
        <v>140</v>
      </c>
      <c r="L804" s="5" t="s">
        <v>75</v>
      </c>
      <c r="M804" s="9" t="s">
        <v>70</v>
      </c>
    </row>
    <row r="805">
      <c r="A805" s="8">
        <v>804.0</v>
      </c>
      <c r="B805" s="8"/>
      <c r="C805" s="8"/>
      <c r="D805" s="11">
        <v>84.0</v>
      </c>
      <c r="E805" s="11">
        <v>79.0</v>
      </c>
      <c r="F805" s="8"/>
      <c r="G805" s="8"/>
      <c r="H805" s="8"/>
      <c r="I805" s="11">
        <v>49581.0</v>
      </c>
      <c r="J805" s="11">
        <v>0.409</v>
      </c>
      <c r="K805" s="12" t="s">
        <v>140</v>
      </c>
      <c r="L805" s="5" t="s">
        <v>75</v>
      </c>
      <c r="M805" s="9" t="s">
        <v>71</v>
      </c>
    </row>
    <row r="806">
      <c r="A806" s="11">
        <v>805.0</v>
      </c>
      <c r="B806" s="11">
        <v>0.012</v>
      </c>
      <c r="C806" s="8"/>
      <c r="D806" s="11">
        <v>84.0</v>
      </c>
      <c r="E806" s="11">
        <v>79.0</v>
      </c>
      <c r="F806" s="8"/>
      <c r="G806" s="8"/>
      <c r="H806" s="8"/>
      <c r="I806" s="11">
        <v>49551.0</v>
      </c>
      <c r="J806" s="11">
        <v>0.411</v>
      </c>
      <c r="K806" s="12" t="s">
        <v>140</v>
      </c>
      <c r="L806" s="5" t="s">
        <v>75</v>
      </c>
      <c r="M806" s="9" t="s">
        <v>72</v>
      </c>
    </row>
    <row r="807">
      <c r="A807" s="11">
        <v>806.0</v>
      </c>
      <c r="B807" s="11">
        <v>0.013</v>
      </c>
      <c r="C807" s="8"/>
      <c r="D807" s="11">
        <v>85.0</v>
      </c>
      <c r="E807" s="11">
        <v>80.0</v>
      </c>
      <c r="F807" s="8"/>
      <c r="G807" s="8"/>
      <c r="H807" s="8"/>
      <c r="I807" s="11">
        <v>49506.0</v>
      </c>
      <c r="J807" s="11">
        <v>0.413</v>
      </c>
      <c r="K807" s="12" t="s">
        <v>140</v>
      </c>
      <c r="L807" s="5" t="s">
        <v>75</v>
      </c>
      <c r="M807" s="9" t="s">
        <v>73</v>
      </c>
    </row>
    <row r="808">
      <c r="A808" s="11">
        <v>807.0</v>
      </c>
      <c r="B808" s="11">
        <v>0.025</v>
      </c>
      <c r="C808" s="11">
        <v>0.021</v>
      </c>
      <c r="D808" s="11">
        <v>70.0</v>
      </c>
      <c r="E808" s="11">
        <v>65.0</v>
      </c>
      <c r="F808" s="11">
        <v>0.351</v>
      </c>
      <c r="G808" s="11">
        <v>0.615</v>
      </c>
      <c r="H808" s="11">
        <v>0.034</v>
      </c>
      <c r="I808" s="11">
        <v>811647.0</v>
      </c>
      <c r="J808" s="11">
        <v>0.479</v>
      </c>
      <c r="K808" s="12" t="s">
        <v>141</v>
      </c>
      <c r="L808" s="5" t="s">
        <v>80</v>
      </c>
      <c r="M808" s="9" t="s">
        <v>60</v>
      </c>
    </row>
    <row r="809">
      <c r="A809" s="11">
        <v>808.0</v>
      </c>
      <c r="B809" s="11">
        <v>0.024</v>
      </c>
      <c r="C809" s="11">
        <v>0.02</v>
      </c>
      <c r="D809" s="11">
        <v>70.0</v>
      </c>
      <c r="E809" s="11">
        <v>65.0</v>
      </c>
      <c r="F809" s="11">
        <v>0.343</v>
      </c>
      <c r="G809" s="11">
        <v>0.621</v>
      </c>
      <c r="H809" s="11">
        <v>0.036</v>
      </c>
      <c r="I809" s="11">
        <v>814700.0</v>
      </c>
      <c r="J809" s="11">
        <v>0.483</v>
      </c>
      <c r="K809" s="12" t="s">
        <v>141</v>
      </c>
      <c r="L809" s="5" t="s">
        <v>80</v>
      </c>
      <c r="M809" s="9" t="s">
        <v>62</v>
      </c>
    </row>
    <row r="810">
      <c r="A810" s="11">
        <v>809.0</v>
      </c>
      <c r="B810" s="11">
        <v>0.024</v>
      </c>
      <c r="C810" s="11">
        <v>0.02</v>
      </c>
      <c r="D810" s="11">
        <v>71.0</v>
      </c>
      <c r="E810" s="11">
        <v>65.0</v>
      </c>
      <c r="F810" s="11">
        <v>0.334</v>
      </c>
      <c r="G810" s="11">
        <v>0.629</v>
      </c>
      <c r="H810" s="11">
        <v>0.037</v>
      </c>
      <c r="I810" s="11">
        <v>816237.0</v>
      </c>
      <c r="J810" s="11">
        <v>0.487</v>
      </c>
      <c r="K810" s="12" t="s">
        <v>141</v>
      </c>
      <c r="L810" s="5" t="s">
        <v>80</v>
      </c>
      <c r="M810" s="9" t="s">
        <v>63</v>
      </c>
    </row>
    <row r="811">
      <c r="A811" s="11">
        <v>810.0</v>
      </c>
      <c r="B811" s="11">
        <v>0.024</v>
      </c>
      <c r="C811" s="11">
        <v>0.02</v>
      </c>
      <c r="D811" s="11">
        <v>71.0</v>
      </c>
      <c r="E811" s="11">
        <v>66.0</v>
      </c>
      <c r="F811" s="11">
        <v>0.324</v>
      </c>
      <c r="G811" s="11">
        <v>0.638</v>
      </c>
      <c r="H811" s="11">
        <v>0.038</v>
      </c>
      <c r="I811" s="11">
        <v>817224.0</v>
      </c>
      <c r="J811" s="11">
        <v>0.491</v>
      </c>
      <c r="K811" s="12" t="s">
        <v>141</v>
      </c>
      <c r="L811" s="5" t="s">
        <v>80</v>
      </c>
      <c r="M811" s="9" t="s">
        <v>64</v>
      </c>
    </row>
    <row r="812">
      <c r="A812" s="11">
        <v>811.0</v>
      </c>
      <c r="B812" s="11">
        <v>0.024</v>
      </c>
      <c r="C812" s="11">
        <v>0.02</v>
      </c>
      <c r="D812" s="11">
        <v>71.0</v>
      </c>
      <c r="E812" s="11">
        <v>66.0</v>
      </c>
      <c r="F812" s="11">
        <v>0.314</v>
      </c>
      <c r="G812" s="11">
        <v>0.646</v>
      </c>
      <c r="H812" s="11">
        <v>0.04</v>
      </c>
      <c r="I812" s="11">
        <v>818995.0</v>
      </c>
      <c r="J812" s="11">
        <v>0.495</v>
      </c>
      <c r="K812" s="12" t="s">
        <v>141</v>
      </c>
      <c r="L812" s="5" t="s">
        <v>80</v>
      </c>
      <c r="M812" s="9" t="s">
        <v>65</v>
      </c>
    </row>
    <row r="813">
      <c r="A813" s="11">
        <v>812.0</v>
      </c>
      <c r="B813" s="11">
        <v>0.023</v>
      </c>
      <c r="C813" s="11">
        <v>0.02</v>
      </c>
      <c r="D813" s="11">
        <v>71.0</v>
      </c>
      <c r="E813" s="11">
        <v>66.0</v>
      </c>
      <c r="F813" s="11">
        <v>0.306</v>
      </c>
      <c r="G813" s="11">
        <v>0.653</v>
      </c>
      <c r="H813" s="11">
        <v>0.041</v>
      </c>
      <c r="I813" s="11">
        <v>822484.0</v>
      </c>
      <c r="J813" s="11">
        <v>0.499</v>
      </c>
      <c r="K813" s="12" t="s">
        <v>141</v>
      </c>
      <c r="L813" s="5" t="s">
        <v>80</v>
      </c>
      <c r="M813" s="9" t="s">
        <v>66</v>
      </c>
    </row>
    <row r="814">
      <c r="A814" s="11">
        <v>813.0</v>
      </c>
      <c r="B814" s="11">
        <v>0.023</v>
      </c>
      <c r="C814" s="11">
        <v>0.02</v>
      </c>
      <c r="D814" s="11">
        <v>72.0</v>
      </c>
      <c r="E814" s="11">
        <v>66.0</v>
      </c>
      <c r="F814" s="11">
        <v>0.3</v>
      </c>
      <c r="G814" s="11">
        <v>0.657</v>
      </c>
      <c r="H814" s="11">
        <v>0.042</v>
      </c>
      <c r="I814" s="11">
        <v>828060.0</v>
      </c>
      <c r="J814" s="11">
        <v>0.503</v>
      </c>
      <c r="K814" s="12" t="s">
        <v>141</v>
      </c>
      <c r="L814" s="5" t="s">
        <v>80</v>
      </c>
      <c r="M814" s="9" t="s">
        <v>67</v>
      </c>
    </row>
    <row r="815">
      <c r="A815" s="11">
        <v>814.0</v>
      </c>
      <c r="B815" s="11">
        <v>0.023</v>
      </c>
      <c r="C815" s="11">
        <v>0.02</v>
      </c>
      <c r="D815" s="11">
        <v>72.0</v>
      </c>
      <c r="E815" s="11">
        <v>66.0</v>
      </c>
      <c r="F815" s="11">
        <v>0.296</v>
      </c>
      <c r="G815" s="11">
        <v>0.66</v>
      </c>
      <c r="H815" s="11">
        <v>0.044</v>
      </c>
      <c r="I815" s="11">
        <v>835392.0</v>
      </c>
      <c r="J815" s="11">
        <v>0.507</v>
      </c>
      <c r="K815" s="12" t="s">
        <v>141</v>
      </c>
      <c r="L815" s="5" t="s">
        <v>80</v>
      </c>
      <c r="M815" s="9" t="s">
        <v>68</v>
      </c>
    </row>
    <row r="816">
      <c r="A816" s="11">
        <v>815.0</v>
      </c>
      <c r="B816" s="11">
        <v>0.022</v>
      </c>
      <c r="C816" s="11">
        <v>0.02</v>
      </c>
      <c r="D816" s="11">
        <v>72.0</v>
      </c>
      <c r="E816" s="11">
        <v>66.0</v>
      </c>
      <c r="F816" s="11">
        <v>0.294</v>
      </c>
      <c r="G816" s="11">
        <v>0.661</v>
      </c>
      <c r="H816" s="11">
        <v>0.045</v>
      </c>
      <c r="I816" s="11">
        <v>843851.0</v>
      </c>
      <c r="J816" s="11">
        <v>0.511</v>
      </c>
      <c r="K816" s="12" t="s">
        <v>141</v>
      </c>
      <c r="L816" s="5" t="s">
        <v>80</v>
      </c>
      <c r="M816" s="9" t="s">
        <v>69</v>
      </c>
    </row>
    <row r="817">
      <c r="A817" s="11">
        <v>816.0</v>
      </c>
      <c r="B817" s="11">
        <v>0.022</v>
      </c>
      <c r="C817" s="11">
        <v>0.02</v>
      </c>
      <c r="D817" s="11">
        <v>72.0</v>
      </c>
      <c r="E817" s="11">
        <v>66.0</v>
      </c>
      <c r="F817" s="11">
        <v>0.292</v>
      </c>
      <c r="G817" s="11">
        <v>0.662</v>
      </c>
      <c r="H817" s="11">
        <v>0.047</v>
      </c>
      <c r="I817" s="11">
        <v>852479.0</v>
      </c>
      <c r="J817" s="11">
        <v>0.514</v>
      </c>
      <c r="K817" s="12" t="s">
        <v>141</v>
      </c>
      <c r="L817" s="5" t="s">
        <v>80</v>
      </c>
      <c r="M817" s="9" t="s">
        <v>70</v>
      </c>
    </row>
    <row r="818">
      <c r="A818" s="11">
        <v>817.0</v>
      </c>
      <c r="B818" s="11">
        <v>0.022</v>
      </c>
      <c r="C818" s="11">
        <v>0.02</v>
      </c>
      <c r="D818" s="11">
        <v>72.0</v>
      </c>
      <c r="E818" s="11">
        <v>66.0</v>
      </c>
      <c r="F818" s="11">
        <v>0.29</v>
      </c>
      <c r="G818" s="11">
        <v>0.661</v>
      </c>
      <c r="H818" s="11">
        <v>0.048</v>
      </c>
      <c r="I818" s="11">
        <v>860559.0</v>
      </c>
      <c r="J818" s="11">
        <v>0.518</v>
      </c>
      <c r="K818" s="12" t="s">
        <v>141</v>
      </c>
      <c r="L818" s="5" t="s">
        <v>80</v>
      </c>
      <c r="M818" s="9" t="s">
        <v>71</v>
      </c>
    </row>
    <row r="819">
      <c r="A819" s="11">
        <v>818.0</v>
      </c>
      <c r="B819" s="11">
        <v>0.021</v>
      </c>
      <c r="C819" s="11">
        <v>0.02</v>
      </c>
      <c r="D819" s="11">
        <v>73.0</v>
      </c>
      <c r="E819" s="11">
        <v>67.0</v>
      </c>
      <c r="F819" s="11">
        <v>0.289</v>
      </c>
      <c r="G819" s="11">
        <v>0.661</v>
      </c>
      <c r="H819" s="11">
        <v>0.05</v>
      </c>
      <c r="I819" s="11">
        <v>867921.0</v>
      </c>
      <c r="J819" s="11">
        <v>0.522</v>
      </c>
      <c r="K819" s="12" t="s">
        <v>141</v>
      </c>
      <c r="L819" s="5" t="s">
        <v>80</v>
      </c>
      <c r="M819" s="9" t="s">
        <v>72</v>
      </c>
    </row>
    <row r="820">
      <c r="A820" s="11">
        <v>819.0</v>
      </c>
      <c r="B820" s="11">
        <v>0.021</v>
      </c>
      <c r="C820" s="11">
        <v>0.02</v>
      </c>
      <c r="D820" s="11">
        <v>73.0</v>
      </c>
      <c r="E820" s="11">
        <v>67.0</v>
      </c>
      <c r="F820" s="11">
        <v>0.289</v>
      </c>
      <c r="G820" s="11">
        <v>0.659</v>
      </c>
      <c r="H820" s="11">
        <v>0.052</v>
      </c>
      <c r="I820" s="11">
        <v>874742.0</v>
      </c>
      <c r="J820" s="11">
        <v>0.526</v>
      </c>
      <c r="K820" s="12" t="s">
        <v>141</v>
      </c>
      <c r="L820" s="5" t="s">
        <v>80</v>
      </c>
      <c r="M820" s="9" t="s">
        <v>73</v>
      </c>
    </row>
    <row r="821">
      <c r="A821" s="11">
        <v>820.0</v>
      </c>
      <c r="B821" s="11">
        <v>0.011</v>
      </c>
      <c r="C821" s="11">
        <v>0.004</v>
      </c>
      <c r="D821" s="11">
        <v>81.0</v>
      </c>
      <c r="E821" s="11">
        <v>74.0</v>
      </c>
      <c r="F821" s="11">
        <v>0.182</v>
      </c>
      <c r="G821" s="11">
        <v>0.669</v>
      </c>
      <c r="H821" s="11">
        <v>0.149</v>
      </c>
      <c r="I821" s="11">
        <v>5176209.0</v>
      </c>
      <c r="J821" s="11">
        <v>0.822</v>
      </c>
      <c r="K821" s="12" t="s">
        <v>142</v>
      </c>
      <c r="L821" s="5" t="s">
        <v>75</v>
      </c>
      <c r="M821" s="9" t="s">
        <v>60</v>
      </c>
    </row>
    <row r="822">
      <c r="A822" s="11">
        <v>821.0</v>
      </c>
      <c r="B822" s="11">
        <v>0.011</v>
      </c>
      <c r="C822" s="11">
        <v>0.003</v>
      </c>
      <c r="D822" s="11">
        <v>82.0</v>
      </c>
      <c r="E822" s="11">
        <v>75.0</v>
      </c>
      <c r="F822" s="11">
        <v>0.18</v>
      </c>
      <c r="G822" s="11">
        <v>0.669</v>
      </c>
      <c r="H822" s="11">
        <v>0.151</v>
      </c>
      <c r="I822" s="11">
        <v>5188008.0</v>
      </c>
      <c r="J822" s="11">
        <v>0.824</v>
      </c>
      <c r="K822" s="12" t="s">
        <v>142</v>
      </c>
      <c r="L822" s="5" t="s">
        <v>75</v>
      </c>
      <c r="M822" s="9" t="s">
        <v>62</v>
      </c>
    </row>
    <row r="823">
      <c r="A823" s="11">
        <v>822.0</v>
      </c>
      <c r="B823" s="11">
        <v>0.011</v>
      </c>
      <c r="C823" s="11">
        <v>0.003</v>
      </c>
      <c r="D823" s="11">
        <v>82.0</v>
      </c>
      <c r="E823" s="11">
        <v>75.0</v>
      </c>
      <c r="F823" s="11">
        <v>0.178</v>
      </c>
      <c r="G823" s="11">
        <v>0.669</v>
      </c>
      <c r="H823" s="11">
        <v>0.153</v>
      </c>
      <c r="I823" s="11">
        <v>5200598.0</v>
      </c>
      <c r="J823" s="11">
        <v>0.825</v>
      </c>
      <c r="K823" s="12" t="s">
        <v>142</v>
      </c>
      <c r="L823" s="5" t="s">
        <v>75</v>
      </c>
      <c r="M823" s="9" t="s">
        <v>63</v>
      </c>
    </row>
    <row r="824">
      <c r="A824" s="11">
        <v>823.0</v>
      </c>
      <c r="B824" s="11">
        <v>0.011</v>
      </c>
      <c r="C824" s="11">
        <v>0.003</v>
      </c>
      <c r="D824" s="11">
        <v>82.0</v>
      </c>
      <c r="E824" s="11">
        <v>75.0</v>
      </c>
      <c r="F824" s="11">
        <v>0.177</v>
      </c>
      <c r="G824" s="11">
        <v>0.668</v>
      </c>
      <c r="H824" s="11">
        <v>0.155</v>
      </c>
      <c r="I824" s="11">
        <v>5213014.0</v>
      </c>
      <c r="J824" s="11">
        <v>0.826</v>
      </c>
      <c r="K824" s="12" t="s">
        <v>142</v>
      </c>
      <c r="L824" s="5" t="s">
        <v>75</v>
      </c>
      <c r="M824" s="9" t="s">
        <v>64</v>
      </c>
    </row>
    <row r="825">
      <c r="A825" s="11">
        <v>824.0</v>
      </c>
      <c r="B825" s="11">
        <v>0.011</v>
      </c>
      <c r="C825" s="11">
        <v>0.003</v>
      </c>
      <c r="D825" s="11">
        <v>82.0</v>
      </c>
      <c r="E825" s="11">
        <v>75.0</v>
      </c>
      <c r="F825" s="11">
        <v>0.175</v>
      </c>
      <c r="G825" s="11">
        <v>0.667</v>
      </c>
      <c r="H825" s="11">
        <v>0.157</v>
      </c>
      <c r="I825" s="11">
        <v>5228172.0</v>
      </c>
      <c r="J825" s="11">
        <v>0.828</v>
      </c>
      <c r="K825" s="12" t="s">
        <v>142</v>
      </c>
      <c r="L825" s="5" t="s">
        <v>75</v>
      </c>
      <c r="M825" s="9" t="s">
        <v>65</v>
      </c>
    </row>
    <row r="826">
      <c r="A826" s="11">
        <v>825.0</v>
      </c>
      <c r="B826" s="11">
        <v>0.011</v>
      </c>
      <c r="C826" s="11">
        <v>0.003</v>
      </c>
      <c r="D826" s="11">
        <v>82.0</v>
      </c>
      <c r="E826" s="11">
        <v>76.0</v>
      </c>
      <c r="F826" s="11">
        <v>0.174</v>
      </c>
      <c r="G826" s="11">
        <v>0.667</v>
      </c>
      <c r="H826" s="11">
        <v>0.159</v>
      </c>
      <c r="I826" s="11">
        <v>5246096.0</v>
      </c>
      <c r="J826" s="11">
        <v>0.829</v>
      </c>
      <c r="K826" s="12" t="s">
        <v>142</v>
      </c>
      <c r="L826" s="5" t="s">
        <v>75</v>
      </c>
      <c r="M826" s="9" t="s">
        <v>66</v>
      </c>
    </row>
    <row r="827">
      <c r="A827" s="11">
        <v>826.0</v>
      </c>
      <c r="B827" s="11">
        <v>0.011</v>
      </c>
      <c r="C827" s="11">
        <v>0.003</v>
      </c>
      <c r="D827" s="11">
        <v>83.0</v>
      </c>
      <c r="E827" s="11">
        <v>76.0</v>
      </c>
      <c r="F827" s="11">
        <v>0.172</v>
      </c>
      <c r="G827" s="11">
        <v>0.667</v>
      </c>
      <c r="H827" s="11">
        <v>0.161</v>
      </c>
      <c r="I827" s="11">
        <v>5266268.0</v>
      </c>
      <c r="J827" s="11">
        <v>0.83</v>
      </c>
      <c r="K827" s="12" t="s">
        <v>142</v>
      </c>
      <c r="L827" s="5" t="s">
        <v>75</v>
      </c>
      <c r="M827" s="9" t="s">
        <v>67</v>
      </c>
    </row>
    <row r="828">
      <c r="A828" s="11">
        <v>827.0</v>
      </c>
      <c r="B828" s="11">
        <v>0.011</v>
      </c>
      <c r="C828" s="11">
        <v>0.003</v>
      </c>
      <c r="D828" s="11">
        <v>83.0</v>
      </c>
      <c r="E828" s="11">
        <v>76.0</v>
      </c>
      <c r="F828" s="11">
        <v>0.17</v>
      </c>
      <c r="G828" s="11">
        <v>0.668</v>
      </c>
      <c r="H828" s="11">
        <v>0.163</v>
      </c>
      <c r="I828" s="11">
        <v>5288720.0</v>
      </c>
      <c r="J828" s="11">
        <v>0.832</v>
      </c>
      <c r="K828" s="12" t="s">
        <v>142</v>
      </c>
      <c r="L828" s="5" t="s">
        <v>75</v>
      </c>
      <c r="M828" s="9" t="s">
        <v>68</v>
      </c>
    </row>
    <row r="829">
      <c r="A829" s="11">
        <v>828.0</v>
      </c>
      <c r="B829" s="11">
        <v>0.011</v>
      </c>
      <c r="C829" s="11">
        <v>0.003</v>
      </c>
      <c r="D829" s="11">
        <v>83.0</v>
      </c>
      <c r="E829" s="11">
        <v>76.0</v>
      </c>
      <c r="F829" s="11">
        <v>0.168</v>
      </c>
      <c r="G829" s="11">
        <v>0.668</v>
      </c>
      <c r="H829" s="11">
        <v>0.165</v>
      </c>
      <c r="I829" s="11">
        <v>5313399.0</v>
      </c>
      <c r="J829" s="11">
        <v>0.833</v>
      </c>
      <c r="K829" s="12" t="s">
        <v>142</v>
      </c>
      <c r="L829" s="5" t="s">
        <v>75</v>
      </c>
      <c r="M829" s="9" t="s">
        <v>69</v>
      </c>
    </row>
    <row r="830">
      <c r="A830" s="11">
        <v>829.0</v>
      </c>
      <c r="B830" s="11">
        <v>0.011</v>
      </c>
      <c r="C830" s="11">
        <v>0.003</v>
      </c>
      <c r="D830" s="11">
        <v>83.0</v>
      </c>
      <c r="E830" s="11">
        <v>77.0</v>
      </c>
      <c r="F830" s="11">
        <v>0.166</v>
      </c>
      <c r="G830" s="11">
        <v>0.666</v>
      </c>
      <c r="H830" s="11">
        <v>0.167</v>
      </c>
      <c r="I830" s="11">
        <v>5338871.0</v>
      </c>
      <c r="J830" s="11">
        <v>0.834</v>
      </c>
      <c r="K830" s="12" t="s">
        <v>142</v>
      </c>
      <c r="L830" s="5" t="s">
        <v>75</v>
      </c>
      <c r="M830" s="9" t="s">
        <v>70</v>
      </c>
    </row>
    <row r="831">
      <c r="A831" s="11">
        <v>830.0</v>
      </c>
      <c r="B831" s="11">
        <v>0.011</v>
      </c>
      <c r="C831" s="11">
        <v>0.003</v>
      </c>
      <c r="D831" s="11">
        <v>83.0</v>
      </c>
      <c r="E831" s="11">
        <v>77.0</v>
      </c>
      <c r="F831" s="11">
        <v>0.165</v>
      </c>
      <c r="G831" s="11">
        <v>0.664</v>
      </c>
      <c r="H831" s="11">
        <v>0.171</v>
      </c>
      <c r="I831" s="11">
        <v>5363352.0</v>
      </c>
      <c r="J831" s="11">
        <v>0.836</v>
      </c>
      <c r="K831" s="12" t="s">
        <v>142</v>
      </c>
      <c r="L831" s="5" t="s">
        <v>75</v>
      </c>
      <c r="M831" s="9" t="s">
        <v>71</v>
      </c>
    </row>
    <row r="832">
      <c r="A832" s="11">
        <v>831.0</v>
      </c>
      <c r="B832" s="11">
        <v>0.011</v>
      </c>
      <c r="C832" s="11">
        <v>0.002</v>
      </c>
      <c r="D832" s="11">
        <v>84.0</v>
      </c>
      <c r="E832" s="11">
        <v>77.0</v>
      </c>
      <c r="F832" s="11">
        <v>0.164</v>
      </c>
      <c r="G832" s="11">
        <v>0.659</v>
      </c>
      <c r="H832" s="11">
        <v>0.177</v>
      </c>
      <c r="I832" s="11">
        <v>5388272.0</v>
      </c>
      <c r="J832" s="11">
        <v>0.837</v>
      </c>
      <c r="K832" s="12" t="s">
        <v>142</v>
      </c>
      <c r="L832" s="5" t="s">
        <v>75</v>
      </c>
      <c r="M832" s="9" t="s">
        <v>72</v>
      </c>
    </row>
    <row r="833">
      <c r="A833" s="11">
        <v>832.0</v>
      </c>
      <c r="B833" s="11">
        <v>0.011</v>
      </c>
      <c r="C833" s="11">
        <v>0.002</v>
      </c>
      <c r="D833" s="11">
        <v>84.0</v>
      </c>
      <c r="E833" s="11">
        <v>78.0</v>
      </c>
      <c r="F833" s="11">
        <v>0.164</v>
      </c>
      <c r="G833" s="11">
        <v>0.653</v>
      </c>
      <c r="H833" s="11">
        <v>0.183</v>
      </c>
      <c r="I833" s="11">
        <v>5413971.0</v>
      </c>
      <c r="J833" s="11">
        <v>0.838</v>
      </c>
      <c r="K833" s="12" t="s">
        <v>142</v>
      </c>
      <c r="L833" s="5" t="s">
        <v>75</v>
      </c>
      <c r="M833" s="9" t="s">
        <v>73</v>
      </c>
    </row>
    <row r="834">
      <c r="A834" s="11">
        <v>833.0</v>
      </c>
      <c r="B834" s="11">
        <v>0.013</v>
      </c>
      <c r="C834" s="11">
        <v>0.004</v>
      </c>
      <c r="D834" s="11">
        <v>83.0</v>
      </c>
      <c r="E834" s="11">
        <v>75.0</v>
      </c>
      <c r="F834" s="11">
        <v>0.189</v>
      </c>
      <c r="G834" s="11">
        <v>0.65</v>
      </c>
      <c r="H834" s="11">
        <v>0.16</v>
      </c>
      <c r="I834" s="11">
        <v>6.0911057E7</v>
      </c>
      <c r="J834" s="11">
        <v>0.759</v>
      </c>
      <c r="K834" s="12" t="s">
        <v>143</v>
      </c>
      <c r="L834" s="5" t="s">
        <v>75</v>
      </c>
      <c r="M834" s="9" t="s">
        <v>60</v>
      </c>
    </row>
    <row r="835">
      <c r="A835" s="11">
        <v>834.0</v>
      </c>
      <c r="B835" s="11">
        <v>0.013</v>
      </c>
      <c r="C835" s="11">
        <v>0.004</v>
      </c>
      <c r="D835" s="11">
        <v>83.0</v>
      </c>
      <c r="E835" s="11">
        <v>76.0</v>
      </c>
      <c r="F835" s="11">
        <v>0.188</v>
      </c>
      <c r="G835" s="11">
        <v>0.651</v>
      </c>
      <c r="H835" s="11">
        <v>0.161</v>
      </c>
      <c r="I835" s="11">
        <v>6.1355725E7</v>
      </c>
      <c r="J835" s="11">
        <v>0.761</v>
      </c>
      <c r="K835" s="12" t="s">
        <v>143</v>
      </c>
      <c r="L835" s="5" t="s">
        <v>75</v>
      </c>
      <c r="M835" s="9" t="s">
        <v>62</v>
      </c>
    </row>
    <row r="836">
      <c r="A836" s="11">
        <v>835.0</v>
      </c>
      <c r="B836" s="11">
        <v>0.013</v>
      </c>
      <c r="C836" s="11">
        <v>0.004</v>
      </c>
      <c r="D836" s="11">
        <v>83.0</v>
      </c>
      <c r="E836" s="11">
        <v>76.0</v>
      </c>
      <c r="F836" s="11">
        <v>0.187</v>
      </c>
      <c r="G836" s="11">
        <v>0.651</v>
      </c>
      <c r="H836" s="11">
        <v>0.162</v>
      </c>
      <c r="I836" s="11">
        <v>6.1803229E7</v>
      </c>
      <c r="J836" s="11">
        <v>0.764</v>
      </c>
      <c r="K836" s="12" t="s">
        <v>143</v>
      </c>
      <c r="L836" s="5" t="s">
        <v>75</v>
      </c>
      <c r="M836" s="9" t="s">
        <v>63</v>
      </c>
    </row>
    <row r="837">
      <c r="A837" s="11">
        <v>836.0</v>
      </c>
      <c r="B837" s="11">
        <v>0.013</v>
      </c>
      <c r="C837" s="11">
        <v>0.004</v>
      </c>
      <c r="D837" s="11">
        <v>83.0</v>
      </c>
      <c r="E837" s="11">
        <v>76.0</v>
      </c>
      <c r="F837" s="11">
        <v>0.186</v>
      </c>
      <c r="G837" s="11">
        <v>0.651</v>
      </c>
      <c r="H837" s="11">
        <v>0.163</v>
      </c>
      <c r="I837" s="11">
        <v>6.2242474E7</v>
      </c>
      <c r="J837" s="11">
        <v>0.766</v>
      </c>
      <c r="K837" s="12" t="s">
        <v>143</v>
      </c>
      <c r="L837" s="5" t="s">
        <v>75</v>
      </c>
      <c r="M837" s="9" t="s">
        <v>64</v>
      </c>
    </row>
    <row r="838">
      <c r="A838" s="11">
        <v>837.0</v>
      </c>
      <c r="B838" s="11">
        <v>0.013</v>
      </c>
      <c r="C838" s="11">
        <v>0.004</v>
      </c>
      <c r="D838" s="11">
        <v>84.0</v>
      </c>
      <c r="E838" s="11">
        <v>77.0</v>
      </c>
      <c r="F838" s="11">
        <v>0.186</v>
      </c>
      <c r="G838" s="11">
        <v>0.651</v>
      </c>
      <c r="H838" s="11">
        <v>0.164</v>
      </c>
      <c r="I838" s="11">
        <v>6.2702121E7</v>
      </c>
      <c r="J838" s="11">
        <v>0.769</v>
      </c>
      <c r="K838" s="12" t="s">
        <v>143</v>
      </c>
      <c r="L838" s="5" t="s">
        <v>75</v>
      </c>
      <c r="M838" s="9" t="s">
        <v>65</v>
      </c>
    </row>
    <row r="839">
      <c r="A839" s="11">
        <v>838.0</v>
      </c>
      <c r="B839" s="11">
        <v>0.013</v>
      </c>
      <c r="C839" s="11">
        <v>0.004</v>
      </c>
      <c r="D839" s="11">
        <v>84.0</v>
      </c>
      <c r="E839" s="11">
        <v>77.0</v>
      </c>
      <c r="F839" s="11">
        <v>0.185</v>
      </c>
      <c r="G839" s="11">
        <v>0.651</v>
      </c>
      <c r="H839" s="11">
        <v>0.164</v>
      </c>
      <c r="I839" s="11">
        <v>6.3176246E7</v>
      </c>
      <c r="J839" s="11">
        <v>0.771</v>
      </c>
      <c r="K839" s="12" t="s">
        <v>143</v>
      </c>
      <c r="L839" s="5" t="s">
        <v>75</v>
      </c>
      <c r="M839" s="9" t="s">
        <v>66</v>
      </c>
    </row>
    <row r="840">
      <c r="A840" s="11">
        <v>839.0</v>
      </c>
      <c r="B840" s="11">
        <v>0.013</v>
      </c>
      <c r="C840" s="11">
        <v>0.004</v>
      </c>
      <c r="D840" s="11">
        <v>85.0</v>
      </c>
      <c r="E840" s="11">
        <v>77.0</v>
      </c>
      <c r="F840" s="11">
        <v>0.185</v>
      </c>
      <c r="G840" s="11">
        <v>0.651</v>
      </c>
      <c r="H840" s="11">
        <v>0.165</v>
      </c>
      <c r="I840" s="11">
        <v>6.3617975E7</v>
      </c>
      <c r="J840" s="11">
        <v>0.774</v>
      </c>
      <c r="K840" s="12" t="s">
        <v>143</v>
      </c>
      <c r="L840" s="5" t="s">
        <v>75</v>
      </c>
      <c r="M840" s="9" t="s">
        <v>67</v>
      </c>
    </row>
    <row r="841">
      <c r="A841" s="11">
        <v>840.0</v>
      </c>
      <c r="B841" s="11">
        <v>0.013</v>
      </c>
      <c r="C841" s="11">
        <v>0.004</v>
      </c>
      <c r="D841" s="11">
        <v>85.0</v>
      </c>
      <c r="E841" s="11">
        <v>78.0</v>
      </c>
      <c r="F841" s="11">
        <v>0.184</v>
      </c>
      <c r="G841" s="11">
        <v>0.651</v>
      </c>
      <c r="H841" s="11">
        <v>0.165</v>
      </c>
      <c r="I841" s="11">
        <v>6.4012572E7</v>
      </c>
      <c r="J841" s="11">
        <v>0.776</v>
      </c>
      <c r="K841" s="12" t="s">
        <v>143</v>
      </c>
      <c r="L841" s="5" t="s">
        <v>75</v>
      </c>
      <c r="M841" s="9" t="s">
        <v>68</v>
      </c>
    </row>
    <row r="842">
      <c r="A842" s="11">
        <v>841.0</v>
      </c>
      <c r="B842" s="11">
        <v>0.013</v>
      </c>
      <c r="C842" s="11">
        <v>0.004</v>
      </c>
      <c r="D842" s="11">
        <v>85.0</v>
      </c>
      <c r="E842" s="11">
        <v>78.0</v>
      </c>
      <c r="F842" s="11">
        <v>0.184</v>
      </c>
      <c r="G842" s="11">
        <v>0.651</v>
      </c>
      <c r="H842" s="11">
        <v>0.165</v>
      </c>
      <c r="I842" s="11">
        <v>6.4371099E7</v>
      </c>
      <c r="J842" s="11">
        <v>0.779</v>
      </c>
      <c r="K842" s="12" t="s">
        <v>143</v>
      </c>
      <c r="L842" s="5" t="s">
        <v>75</v>
      </c>
      <c r="M842" s="9" t="s">
        <v>69</v>
      </c>
    </row>
    <row r="843">
      <c r="A843" s="11">
        <v>842.0</v>
      </c>
      <c r="B843" s="11">
        <v>0.013</v>
      </c>
      <c r="C843" s="11">
        <v>0.004</v>
      </c>
      <c r="D843" s="11">
        <v>85.0</v>
      </c>
      <c r="E843" s="11">
        <v>78.0</v>
      </c>
      <c r="F843" s="11">
        <v>0.184</v>
      </c>
      <c r="G843" s="11">
        <v>0.65</v>
      </c>
      <c r="H843" s="11">
        <v>0.166</v>
      </c>
      <c r="I843" s="11">
        <v>6.4702921E7</v>
      </c>
      <c r="J843" s="11">
        <v>0.781</v>
      </c>
      <c r="K843" s="12" t="s">
        <v>143</v>
      </c>
      <c r="L843" s="5" t="s">
        <v>75</v>
      </c>
      <c r="M843" s="9" t="s">
        <v>70</v>
      </c>
    </row>
    <row r="844">
      <c r="A844" s="11">
        <v>843.0</v>
      </c>
      <c r="B844" s="11">
        <v>0.013</v>
      </c>
      <c r="C844" s="11">
        <v>0.004</v>
      </c>
      <c r="D844" s="11">
        <v>85.0</v>
      </c>
      <c r="E844" s="11">
        <v>78.0</v>
      </c>
      <c r="F844" s="11">
        <v>0.184</v>
      </c>
      <c r="G844" s="11">
        <v>0.648</v>
      </c>
      <c r="H844" s="11">
        <v>0.168</v>
      </c>
      <c r="I844" s="11">
        <v>6.5023142E7</v>
      </c>
      <c r="J844" s="11">
        <v>0.783</v>
      </c>
      <c r="K844" s="12" t="s">
        <v>143</v>
      </c>
      <c r="L844" s="5" t="s">
        <v>75</v>
      </c>
      <c r="M844" s="9" t="s">
        <v>71</v>
      </c>
    </row>
    <row r="845">
      <c r="A845" s="11">
        <v>844.0</v>
      </c>
      <c r="B845" s="11">
        <v>0.013</v>
      </c>
      <c r="C845" s="11">
        <v>0.004</v>
      </c>
      <c r="D845" s="11">
        <v>86.0</v>
      </c>
      <c r="E845" s="11">
        <v>79.0</v>
      </c>
      <c r="F845" s="11">
        <v>0.183</v>
      </c>
      <c r="G845" s="11">
        <v>0.646</v>
      </c>
      <c r="H845" s="11">
        <v>0.171</v>
      </c>
      <c r="I845" s="11">
        <v>6.5343588E7</v>
      </c>
      <c r="J845" s="11">
        <v>0.786</v>
      </c>
      <c r="K845" s="12" t="s">
        <v>143</v>
      </c>
      <c r="L845" s="5" t="s">
        <v>75</v>
      </c>
      <c r="M845" s="9" t="s">
        <v>72</v>
      </c>
    </row>
    <row r="846">
      <c r="A846" s="11">
        <v>845.0</v>
      </c>
      <c r="B846" s="11">
        <v>0.013</v>
      </c>
      <c r="C846" s="11">
        <v>0.004</v>
      </c>
      <c r="D846" s="11">
        <v>86.0</v>
      </c>
      <c r="E846" s="11">
        <v>79.0</v>
      </c>
      <c r="F846" s="11">
        <v>0.183</v>
      </c>
      <c r="G846" s="11">
        <v>0.643</v>
      </c>
      <c r="H846" s="11">
        <v>0.175</v>
      </c>
      <c r="I846" s="11">
        <v>6.5676758E7</v>
      </c>
      <c r="J846" s="11">
        <v>0.788</v>
      </c>
      <c r="K846" s="12" t="s">
        <v>143</v>
      </c>
      <c r="L846" s="5" t="s">
        <v>75</v>
      </c>
      <c r="M846" s="9" t="s">
        <v>73</v>
      </c>
    </row>
    <row r="847">
      <c r="A847" s="11">
        <v>846.0</v>
      </c>
      <c r="B847" s="11">
        <v>0.02</v>
      </c>
      <c r="C847" s="8"/>
      <c r="D847" s="11">
        <v>75.0</v>
      </c>
      <c r="E847" s="11">
        <v>70.0</v>
      </c>
      <c r="F847" s="11">
        <v>0.318</v>
      </c>
      <c r="G847" s="11">
        <v>0.64</v>
      </c>
      <c r="H847" s="11">
        <v>0.043</v>
      </c>
      <c r="I847" s="11">
        <v>237267.0</v>
      </c>
      <c r="J847" s="11">
        <v>0.561</v>
      </c>
      <c r="K847" s="12" t="s">
        <v>144</v>
      </c>
      <c r="L847" s="5" t="s">
        <v>80</v>
      </c>
      <c r="M847" s="9" t="s">
        <v>60</v>
      </c>
    </row>
    <row r="848">
      <c r="A848" s="11">
        <v>847.0</v>
      </c>
      <c r="B848" s="11">
        <v>0.02</v>
      </c>
      <c r="C848" s="8"/>
      <c r="D848" s="11">
        <v>76.0</v>
      </c>
      <c r="E848" s="11">
        <v>70.0</v>
      </c>
      <c r="F848" s="11">
        <v>0.31</v>
      </c>
      <c r="G848" s="11">
        <v>0.645</v>
      </c>
      <c r="H848" s="11">
        <v>0.044</v>
      </c>
      <c r="I848" s="11">
        <v>241276.0</v>
      </c>
      <c r="J848" s="11">
        <v>0.56</v>
      </c>
      <c r="K848" s="12" t="s">
        <v>144</v>
      </c>
      <c r="L848" s="5" t="s">
        <v>80</v>
      </c>
      <c r="M848" s="9" t="s">
        <v>62</v>
      </c>
    </row>
    <row r="849">
      <c r="A849" s="11">
        <v>848.0</v>
      </c>
      <c r="B849" s="11">
        <v>0.019</v>
      </c>
      <c r="C849" s="8"/>
      <c r="D849" s="11">
        <v>76.0</v>
      </c>
      <c r="E849" s="11">
        <v>70.0</v>
      </c>
      <c r="F849" s="11">
        <v>0.303</v>
      </c>
      <c r="G849" s="11">
        <v>0.652</v>
      </c>
      <c r="H849" s="11">
        <v>0.045</v>
      </c>
      <c r="I849" s="11">
        <v>245032.0</v>
      </c>
      <c r="J849" s="11">
        <v>0.559</v>
      </c>
      <c r="K849" s="12" t="s">
        <v>144</v>
      </c>
      <c r="L849" s="5" t="s">
        <v>80</v>
      </c>
      <c r="M849" s="9" t="s">
        <v>63</v>
      </c>
    </row>
    <row r="850">
      <c r="A850" s="11">
        <v>849.0</v>
      </c>
      <c r="B850" s="11">
        <v>0.019</v>
      </c>
      <c r="C850" s="8"/>
      <c r="D850" s="11">
        <v>76.0</v>
      </c>
      <c r="E850" s="11">
        <v>71.0</v>
      </c>
      <c r="F850" s="11">
        <v>0.294</v>
      </c>
      <c r="G850" s="11">
        <v>0.659</v>
      </c>
      <c r="H850" s="11">
        <v>0.046</v>
      </c>
      <c r="I850" s="11">
        <v>248536.0</v>
      </c>
      <c r="J850" s="11">
        <v>0.56</v>
      </c>
      <c r="K850" s="12" t="s">
        <v>144</v>
      </c>
      <c r="L850" s="5" t="s">
        <v>80</v>
      </c>
      <c r="M850" s="9" t="s">
        <v>64</v>
      </c>
    </row>
    <row r="851">
      <c r="A851" s="11">
        <v>850.0</v>
      </c>
      <c r="B851" s="11">
        <v>0.019</v>
      </c>
      <c r="C851" s="8"/>
      <c r="D851" s="11">
        <v>77.0</v>
      </c>
      <c r="E851" s="11">
        <v>71.0</v>
      </c>
      <c r="F851" s="11">
        <v>0.286</v>
      </c>
      <c r="G851" s="11">
        <v>0.666</v>
      </c>
      <c r="H851" s="11">
        <v>0.048</v>
      </c>
      <c r="I851" s="11">
        <v>251811.0</v>
      </c>
      <c r="J851" s="11">
        <v>0.562</v>
      </c>
      <c r="K851" s="12" t="s">
        <v>144</v>
      </c>
      <c r="L851" s="5" t="s">
        <v>80</v>
      </c>
      <c r="M851" s="9" t="s">
        <v>65</v>
      </c>
    </row>
    <row r="852">
      <c r="A852" s="11">
        <v>851.0</v>
      </c>
      <c r="B852" s="11">
        <v>0.018</v>
      </c>
      <c r="C852" s="8"/>
      <c r="D852" s="11">
        <v>77.0</v>
      </c>
      <c r="E852" s="11">
        <v>72.0</v>
      </c>
      <c r="F852" s="11">
        <v>0.277</v>
      </c>
      <c r="G852" s="11">
        <v>0.672</v>
      </c>
      <c r="H852" s="11">
        <v>0.05</v>
      </c>
      <c r="I852" s="11">
        <v>254884.0</v>
      </c>
      <c r="J852" s="11">
        <v>0.564</v>
      </c>
      <c r="K852" s="12" t="s">
        <v>144</v>
      </c>
      <c r="L852" s="5" t="s">
        <v>80</v>
      </c>
      <c r="M852" s="9" t="s">
        <v>66</v>
      </c>
    </row>
    <row r="853">
      <c r="A853" s="11">
        <v>852.0</v>
      </c>
      <c r="B853" s="11">
        <v>0.018</v>
      </c>
      <c r="C853" s="8"/>
      <c r="D853" s="11">
        <v>77.0</v>
      </c>
      <c r="E853" s="11">
        <v>72.0</v>
      </c>
      <c r="F853" s="11">
        <v>0.269</v>
      </c>
      <c r="G853" s="11">
        <v>0.678</v>
      </c>
      <c r="H853" s="11">
        <v>0.053</v>
      </c>
      <c r="I853" s="11">
        <v>257731.0</v>
      </c>
      <c r="J853" s="11">
        <v>0.566</v>
      </c>
      <c r="K853" s="12" t="s">
        <v>144</v>
      </c>
      <c r="L853" s="5" t="s">
        <v>80</v>
      </c>
      <c r="M853" s="9" t="s">
        <v>67</v>
      </c>
    </row>
    <row r="854">
      <c r="A854" s="11">
        <v>853.0</v>
      </c>
      <c r="B854" s="11">
        <v>0.018</v>
      </c>
      <c r="C854" s="8"/>
      <c r="D854" s="11">
        <v>77.0</v>
      </c>
      <c r="E854" s="11">
        <v>73.0</v>
      </c>
      <c r="F854" s="11">
        <v>0.26</v>
      </c>
      <c r="G854" s="11">
        <v>0.683</v>
      </c>
      <c r="H854" s="11">
        <v>0.057</v>
      </c>
      <c r="I854" s="11">
        <v>260361.0</v>
      </c>
      <c r="J854" s="11">
        <v>0.568</v>
      </c>
      <c r="K854" s="12" t="s">
        <v>144</v>
      </c>
      <c r="L854" s="5" t="s">
        <v>80</v>
      </c>
      <c r="M854" s="9" t="s">
        <v>68</v>
      </c>
    </row>
    <row r="855">
      <c r="A855" s="11">
        <v>854.0</v>
      </c>
      <c r="B855" s="11">
        <v>0.017</v>
      </c>
      <c r="C855" s="8"/>
      <c r="D855" s="11">
        <v>78.0</v>
      </c>
      <c r="E855" s="11">
        <v>73.0</v>
      </c>
      <c r="F855" s="11">
        <v>0.251</v>
      </c>
      <c r="G855" s="11">
        <v>0.688</v>
      </c>
      <c r="H855" s="11">
        <v>0.061</v>
      </c>
      <c r="I855" s="11">
        <v>262877.0</v>
      </c>
      <c r="J855" s="11">
        <v>0.567</v>
      </c>
      <c r="K855" s="12" t="s">
        <v>144</v>
      </c>
      <c r="L855" s="5" t="s">
        <v>80</v>
      </c>
      <c r="M855" s="9" t="s">
        <v>69</v>
      </c>
    </row>
    <row r="856">
      <c r="A856" s="11">
        <v>855.0</v>
      </c>
      <c r="B856" s="11">
        <v>0.017</v>
      </c>
      <c r="C856" s="8"/>
      <c r="D856" s="11">
        <v>78.0</v>
      </c>
      <c r="E856" s="11">
        <v>73.0</v>
      </c>
      <c r="F856" s="11">
        <v>0.244</v>
      </c>
      <c r="G856" s="11">
        <v>0.692</v>
      </c>
      <c r="H856" s="11">
        <v>0.065</v>
      </c>
      <c r="I856" s="11">
        <v>265412.0</v>
      </c>
      <c r="J856" s="11">
        <v>0.566</v>
      </c>
      <c r="K856" s="12" t="s">
        <v>144</v>
      </c>
      <c r="L856" s="5" t="s">
        <v>80</v>
      </c>
      <c r="M856" s="9" t="s">
        <v>70</v>
      </c>
    </row>
    <row r="857">
      <c r="A857" s="11">
        <v>856.0</v>
      </c>
      <c r="B857" s="11">
        <v>0.017</v>
      </c>
      <c r="C857" s="8"/>
      <c r="D857" s="11">
        <v>78.0</v>
      </c>
      <c r="E857" s="11">
        <v>73.0</v>
      </c>
      <c r="F857" s="11">
        <v>0.238</v>
      </c>
      <c r="G857" s="11">
        <v>0.695</v>
      </c>
      <c r="H857" s="11">
        <v>0.068</v>
      </c>
      <c r="I857" s="11">
        <v>268065.0</v>
      </c>
      <c r="J857" s="11">
        <v>0.565</v>
      </c>
      <c r="K857" s="12" t="s">
        <v>144</v>
      </c>
      <c r="L857" s="5" t="s">
        <v>80</v>
      </c>
      <c r="M857" s="9" t="s">
        <v>71</v>
      </c>
    </row>
    <row r="858">
      <c r="A858" s="11">
        <v>857.0</v>
      </c>
      <c r="B858" s="11">
        <v>0.017</v>
      </c>
      <c r="C858" s="8"/>
      <c r="D858" s="11">
        <v>78.0</v>
      </c>
      <c r="E858" s="11">
        <v>74.0</v>
      </c>
      <c r="F858" s="11">
        <v>0.233</v>
      </c>
      <c r="G858" s="11">
        <v>0.698</v>
      </c>
      <c r="H858" s="11">
        <v>0.07</v>
      </c>
      <c r="I858" s="11">
        <v>270874.0</v>
      </c>
      <c r="J858" s="11">
        <v>0.563</v>
      </c>
      <c r="K858" s="12" t="s">
        <v>144</v>
      </c>
      <c r="L858" s="5" t="s">
        <v>80</v>
      </c>
      <c r="M858" s="9" t="s">
        <v>72</v>
      </c>
    </row>
    <row r="859">
      <c r="A859" s="11">
        <v>858.0</v>
      </c>
      <c r="B859" s="11">
        <v>0.017</v>
      </c>
      <c r="C859" s="8"/>
      <c r="D859" s="11">
        <v>78.0</v>
      </c>
      <c r="E859" s="11">
        <v>74.0</v>
      </c>
      <c r="F859" s="11">
        <v>0.229</v>
      </c>
      <c r="G859" s="11">
        <v>0.7</v>
      </c>
      <c r="H859" s="11">
        <v>0.071</v>
      </c>
      <c r="I859" s="11">
        <v>273814.0</v>
      </c>
      <c r="J859" s="11">
        <v>0.562</v>
      </c>
      <c r="K859" s="12" t="s">
        <v>144</v>
      </c>
      <c r="L859" s="5" t="s">
        <v>80</v>
      </c>
      <c r="M859" s="9" t="s">
        <v>73</v>
      </c>
    </row>
    <row r="860">
      <c r="A860" s="11">
        <v>859.0</v>
      </c>
      <c r="B860" s="11">
        <v>0.034</v>
      </c>
      <c r="C860" s="11">
        <v>0.056</v>
      </c>
      <c r="D860" s="11">
        <v>61.0</v>
      </c>
      <c r="E860" s="11">
        <v>59.0</v>
      </c>
      <c r="F860" s="11">
        <v>0.406</v>
      </c>
      <c r="G860" s="11">
        <v>0.535</v>
      </c>
      <c r="H860" s="11">
        <v>0.059</v>
      </c>
      <c r="I860" s="11">
        <v>1225527.0</v>
      </c>
      <c r="J860" s="11">
        <v>0.801</v>
      </c>
      <c r="K860" s="12" t="s">
        <v>145</v>
      </c>
      <c r="L860" s="5" t="s">
        <v>77</v>
      </c>
      <c r="M860" s="9" t="s">
        <v>60</v>
      </c>
    </row>
    <row r="861">
      <c r="A861" s="11">
        <v>860.0</v>
      </c>
      <c r="B861" s="11">
        <v>0.034</v>
      </c>
      <c r="C861" s="11">
        <v>0.055</v>
      </c>
      <c r="D861" s="11">
        <v>61.0</v>
      </c>
      <c r="E861" s="11">
        <v>58.0</v>
      </c>
      <c r="F861" s="11">
        <v>0.404</v>
      </c>
      <c r="G861" s="11">
        <v>0.538</v>
      </c>
      <c r="H861" s="11">
        <v>0.058</v>
      </c>
      <c r="I861" s="11">
        <v>1255299.0</v>
      </c>
      <c r="J861" s="11">
        <v>0.809</v>
      </c>
      <c r="K861" s="12" t="s">
        <v>145</v>
      </c>
      <c r="L861" s="5" t="s">
        <v>77</v>
      </c>
      <c r="M861" s="9" t="s">
        <v>62</v>
      </c>
    </row>
    <row r="862">
      <c r="A862" s="11">
        <v>861.0</v>
      </c>
      <c r="B862" s="11">
        <v>0.033</v>
      </c>
      <c r="C862" s="11">
        <v>0.054</v>
      </c>
      <c r="D862" s="11">
        <v>61.0</v>
      </c>
      <c r="E862" s="11">
        <v>58.0</v>
      </c>
      <c r="F862" s="11">
        <v>0.402</v>
      </c>
      <c r="G862" s="11">
        <v>0.54</v>
      </c>
      <c r="H862" s="11">
        <v>0.058</v>
      </c>
      <c r="I862" s="11">
        <v>1285318.0</v>
      </c>
      <c r="J862" s="11">
        <v>0.816</v>
      </c>
      <c r="K862" s="12" t="s">
        <v>145</v>
      </c>
      <c r="L862" s="5" t="s">
        <v>77</v>
      </c>
      <c r="M862" s="9" t="s">
        <v>63</v>
      </c>
    </row>
    <row r="863">
      <c r="A863" s="11">
        <v>862.0</v>
      </c>
      <c r="B863" s="11">
        <v>0.033</v>
      </c>
      <c r="C863" s="11">
        <v>0.053</v>
      </c>
      <c r="D863" s="11">
        <v>61.0</v>
      </c>
      <c r="E863" s="11">
        <v>58.0</v>
      </c>
      <c r="F863" s="11">
        <v>0.399</v>
      </c>
      <c r="G863" s="11">
        <v>0.543</v>
      </c>
      <c r="H863" s="11">
        <v>0.057</v>
      </c>
      <c r="I863" s="11">
        <v>1315820.0</v>
      </c>
      <c r="J863" s="11">
        <v>0.822</v>
      </c>
      <c r="K863" s="12" t="s">
        <v>145</v>
      </c>
      <c r="L863" s="5" t="s">
        <v>77</v>
      </c>
      <c r="M863" s="9" t="s">
        <v>64</v>
      </c>
    </row>
    <row r="864">
      <c r="A864" s="11">
        <v>863.0</v>
      </c>
      <c r="B864" s="11">
        <v>0.033</v>
      </c>
      <c r="C864" s="11">
        <v>0.052</v>
      </c>
      <c r="D864" s="11">
        <v>61.0</v>
      </c>
      <c r="E864" s="11">
        <v>59.0</v>
      </c>
      <c r="F864" s="11">
        <v>0.397</v>
      </c>
      <c r="G864" s="11">
        <v>0.546</v>
      </c>
      <c r="H864" s="11">
        <v>0.057</v>
      </c>
      <c r="I864" s="11">
        <v>1347125.0</v>
      </c>
      <c r="J864" s="11">
        <v>0.828</v>
      </c>
      <c r="K864" s="12" t="s">
        <v>145</v>
      </c>
      <c r="L864" s="5" t="s">
        <v>77</v>
      </c>
      <c r="M864" s="9" t="s">
        <v>65</v>
      </c>
    </row>
    <row r="865">
      <c r="A865" s="11">
        <v>864.0</v>
      </c>
      <c r="B865" s="11">
        <v>0.033</v>
      </c>
      <c r="C865" s="11">
        <v>0.05</v>
      </c>
      <c r="D865" s="11">
        <v>61.0</v>
      </c>
      <c r="E865" s="11">
        <v>59.0</v>
      </c>
      <c r="F865" s="11">
        <v>0.395</v>
      </c>
      <c r="G865" s="11">
        <v>0.549</v>
      </c>
      <c r="H865" s="11">
        <v>0.056</v>
      </c>
      <c r="I865" s="11">
        <v>1379465.0</v>
      </c>
      <c r="J865" s="11">
        <v>0.834</v>
      </c>
      <c r="K865" s="12" t="s">
        <v>145</v>
      </c>
      <c r="L865" s="5" t="s">
        <v>77</v>
      </c>
      <c r="M865" s="9" t="s">
        <v>66</v>
      </c>
    </row>
    <row r="866">
      <c r="A866" s="11">
        <v>865.0</v>
      </c>
      <c r="B866" s="11">
        <v>0.033</v>
      </c>
      <c r="C866" s="11">
        <v>0.049</v>
      </c>
      <c r="D866" s="11">
        <v>61.0</v>
      </c>
      <c r="E866" s="11">
        <v>59.0</v>
      </c>
      <c r="F866" s="11">
        <v>0.393</v>
      </c>
      <c r="G866" s="11">
        <v>0.551</v>
      </c>
      <c r="H866" s="11">
        <v>0.056</v>
      </c>
      <c r="I866" s="11">
        <v>1412907.0</v>
      </c>
      <c r="J866" s="11">
        <v>0.84</v>
      </c>
      <c r="K866" s="12" t="s">
        <v>145</v>
      </c>
      <c r="L866" s="5" t="s">
        <v>77</v>
      </c>
      <c r="M866" s="9" t="s">
        <v>67</v>
      </c>
    </row>
    <row r="867">
      <c r="A867" s="11">
        <v>866.0</v>
      </c>
      <c r="B867" s="11">
        <v>0.033</v>
      </c>
      <c r="C867" s="11">
        <v>0.048</v>
      </c>
      <c r="D867" s="11">
        <v>62.0</v>
      </c>
      <c r="E867" s="11">
        <v>60.0</v>
      </c>
      <c r="F867" s="11">
        <v>0.391</v>
      </c>
      <c r="G867" s="11">
        <v>0.554</v>
      </c>
      <c r="H867" s="11">
        <v>0.055</v>
      </c>
      <c r="I867" s="11">
        <v>1447388.0</v>
      </c>
      <c r="J867" s="11">
        <v>0.844</v>
      </c>
      <c r="K867" s="12" t="s">
        <v>145</v>
      </c>
      <c r="L867" s="5" t="s">
        <v>77</v>
      </c>
      <c r="M867" s="9" t="s">
        <v>68</v>
      </c>
    </row>
    <row r="868">
      <c r="A868" s="11">
        <v>867.0</v>
      </c>
      <c r="B868" s="11">
        <v>0.033</v>
      </c>
      <c r="C868" s="11">
        <v>0.046</v>
      </c>
      <c r="D868" s="11">
        <v>62.0</v>
      </c>
      <c r="E868" s="11">
        <v>60.0</v>
      </c>
      <c r="F868" s="11">
        <v>0.389</v>
      </c>
      <c r="G868" s="11">
        <v>0.556</v>
      </c>
      <c r="H868" s="11">
        <v>0.055</v>
      </c>
      <c r="I868" s="11">
        <v>1482843.0</v>
      </c>
      <c r="J868" s="11">
        <v>0.849</v>
      </c>
      <c r="K868" s="12" t="s">
        <v>145</v>
      </c>
      <c r="L868" s="5" t="s">
        <v>77</v>
      </c>
      <c r="M868" s="9" t="s">
        <v>69</v>
      </c>
    </row>
    <row r="869">
      <c r="A869" s="11">
        <v>868.0</v>
      </c>
      <c r="B869" s="11">
        <v>0.033</v>
      </c>
      <c r="C869" s="11">
        <v>0.045</v>
      </c>
      <c r="D869" s="11">
        <v>63.0</v>
      </c>
      <c r="E869" s="11">
        <v>61.0</v>
      </c>
      <c r="F869" s="11">
        <v>0.388</v>
      </c>
      <c r="G869" s="11">
        <v>0.559</v>
      </c>
      <c r="H869" s="11">
        <v>0.054</v>
      </c>
      <c r="I869" s="11">
        <v>1519155.0</v>
      </c>
      <c r="J869" s="11">
        <v>0.853</v>
      </c>
      <c r="K869" s="12" t="s">
        <v>145</v>
      </c>
      <c r="L869" s="5" t="s">
        <v>77</v>
      </c>
      <c r="M869" s="9" t="s">
        <v>70</v>
      </c>
    </row>
    <row r="870">
      <c r="A870" s="11">
        <v>869.0</v>
      </c>
      <c r="B870" s="11">
        <v>0.033</v>
      </c>
      <c r="C870" s="11">
        <v>0.043</v>
      </c>
      <c r="D870" s="11">
        <v>63.0</v>
      </c>
      <c r="E870" s="11">
        <v>61.0</v>
      </c>
      <c r="F870" s="11">
        <v>0.386</v>
      </c>
      <c r="G870" s="11">
        <v>0.56</v>
      </c>
      <c r="H870" s="11">
        <v>0.053</v>
      </c>
      <c r="I870" s="11">
        <v>1556222.0</v>
      </c>
      <c r="J870" s="11">
        <v>0.857</v>
      </c>
      <c r="K870" s="12" t="s">
        <v>145</v>
      </c>
      <c r="L870" s="5" t="s">
        <v>77</v>
      </c>
      <c r="M870" s="9" t="s">
        <v>71</v>
      </c>
    </row>
    <row r="871">
      <c r="A871" s="11">
        <v>870.0</v>
      </c>
      <c r="B871" s="11">
        <v>0.032</v>
      </c>
      <c r="C871" s="11">
        <v>0.042</v>
      </c>
      <c r="D871" s="11">
        <v>64.0</v>
      </c>
      <c r="E871" s="11">
        <v>62.0</v>
      </c>
      <c r="F871" s="11">
        <v>0.385</v>
      </c>
      <c r="G871" s="11">
        <v>0.562</v>
      </c>
      <c r="H871" s="11">
        <v>0.053</v>
      </c>
      <c r="I871" s="11">
        <v>1594034.0</v>
      </c>
      <c r="J871" s="11">
        <v>0.86</v>
      </c>
      <c r="K871" s="12" t="s">
        <v>145</v>
      </c>
      <c r="L871" s="5" t="s">
        <v>77</v>
      </c>
      <c r="M871" s="9" t="s">
        <v>72</v>
      </c>
    </row>
    <row r="872">
      <c r="A872" s="11">
        <v>871.0</v>
      </c>
      <c r="B872" s="11">
        <v>0.032</v>
      </c>
      <c r="C872" s="11">
        <v>0.04</v>
      </c>
      <c r="D872" s="11">
        <v>64.0</v>
      </c>
      <c r="E872" s="11">
        <v>62.0</v>
      </c>
      <c r="F872" s="11">
        <v>0.385</v>
      </c>
      <c r="G872" s="11">
        <v>0.563</v>
      </c>
      <c r="H872" s="11">
        <v>0.052</v>
      </c>
      <c r="I872" s="11">
        <v>1632572.0</v>
      </c>
      <c r="J872" s="11">
        <v>0.864</v>
      </c>
      <c r="K872" s="12" t="s">
        <v>145</v>
      </c>
      <c r="L872" s="5" t="s">
        <v>77</v>
      </c>
      <c r="M872" s="9" t="s">
        <v>73</v>
      </c>
    </row>
    <row r="873">
      <c r="A873" s="11">
        <v>872.0</v>
      </c>
      <c r="B873" s="11">
        <v>0.045</v>
      </c>
      <c r="C873" s="11">
        <v>0.063</v>
      </c>
      <c r="D873" s="11">
        <v>56.0</v>
      </c>
      <c r="E873" s="11">
        <v>54.0</v>
      </c>
      <c r="F873" s="11">
        <v>0.459</v>
      </c>
      <c r="G873" s="11">
        <v>0.514</v>
      </c>
      <c r="H873" s="11">
        <v>0.027</v>
      </c>
      <c r="I873" s="11">
        <v>1228863.0</v>
      </c>
      <c r="J873" s="11">
        <v>0.479</v>
      </c>
      <c r="K873" s="12" t="s">
        <v>146</v>
      </c>
      <c r="L873" s="5" t="s">
        <v>77</v>
      </c>
      <c r="M873" s="9" t="s">
        <v>60</v>
      </c>
    </row>
    <row r="874">
      <c r="A874" s="11">
        <v>873.0</v>
      </c>
      <c r="B874" s="11">
        <v>0.045</v>
      </c>
      <c r="C874" s="11">
        <v>0.062</v>
      </c>
      <c r="D874" s="11">
        <v>57.0</v>
      </c>
      <c r="E874" s="11">
        <v>54.0</v>
      </c>
      <c r="F874" s="11">
        <v>0.459</v>
      </c>
      <c r="G874" s="11">
        <v>0.515</v>
      </c>
      <c r="H874" s="11">
        <v>0.027</v>
      </c>
      <c r="I874" s="11">
        <v>1266691.0</v>
      </c>
      <c r="J874" s="11">
        <v>0.488</v>
      </c>
      <c r="K874" s="12" t="s">
        <v>146</v>
      </c>
      <c r="L874" s="5" t="s">
        <v>77</v>
      </c>
      <c r="M874" s="9" t="s">
        <v>62</v>
      </c>
    </row>
    <row r="875">
      <c r="A875" s="11">
        <v>874.0</v>
      </c>
      <c r="B875" s="11">
        <v>0.045</v>
      </c>
      <c r="C875" s="11">
        <v>0.061</v>
      </c>
      <c r="D875" s="11">
        <v>57.0</v>
      </c>
      <c r="E875" s="11">
        <v>55.0</v>
      </c>
      <c r="F875" s="11">
        <v>0.459</v>
      </c>
      <c r="G875" s="11">
        <v>0.515</v>
      </c>
      <c r="H875" s="11">
        <v>0.026</v>
      </c>
      <c r="I875" s="11">
        <v>1306667.0</v>
      </c>
      <c r="J875" s="11">
        <v>0.497</v>
      </c>
      <c r="K875" s="12" t="s">
        <v>146</v>
      </c>
      <c r="L875" s="5" t="s">
        <v>77</v>
      </c>
      <c r="M875" s="9" t="s">
        <v>63</v>
      </c>
    </row>
    <row r="876">
      <c r="A876" s="11">
        <v>875.0</v>
      </c>
      <c r="B876" s="11">
        <v>0.045</v>
      </c>
      <c r="C876" s="11">
        <v>0.059</v>
      </c>
      <c r="D876" s="11">
        <v>57.0</v>
      </c>
      <c r="E876" s="11">
        <v>55.0</v>
      </c>
      <c r="F876" s="11">
        <v>0.459</v>
      </c>
      <c r="G876" s="11">
        <v>0.515</v>
      </c>
      <c r="H876" s="11">
        <v>0.026</v>
      </c>
      <c r="I876" s="11">
        <v>1348548.0</v>
      </c>
      <c r="J876" s="11">
        <v>0.506</v>
      </c>
      <c r="K876" s="12" t="s">
        <v>146</v>
      </c>
      <c r="L876" s="5" t="s">
        <v>77</v>
      </c>
      <c r="M876" s="9" t="s">
        <v>64</v>
      </c>
    </row>
    <row r="877">
      <c r="A877" s="11">
        <v>876.0</v>
      </c>
      <c r="B877" s="11">
        <v>0.044</v>
      </c>
      <c r="C877" s="11">
        <v>0.058</v>
      </c>
      <c r="D877" s="11">
        <v>58.0</v>
      </c>
      <c r="E877" s="11">
        <v>55.0</v>
      </c>
      <c r="F877" s="11">
        <v>0.46</v>
      </c>
      <c r="G877" s="11">
        <v>0.515</v>
      </c>
      <c r="H877" s="11">
        <v>0.026</v>
      </c>
      <c r="I877" s="11">
        <v>1391934.0</v>
      </c>
      <c r="J877" s="11">
        <v>0.515</v>
      </c>
      <c r="K877" s="12" t="s">
        <v>146</v>
      </c>
      <c r="L877" s="5" t="s">
        <v>77</v>
      </c>
      <c r="M877" s="9" t="s">
        <v>65</v>
      </c>
    </row>
    <row r="878">
      <c r="A878" s="11">
        <v>877.0</v>
      </c>
      <c r="B878" s="11">
        <v>0.044</v>
      </c>
      <c r="C878" s="11">
        <v>0.057</v>
      </c>
      <c r="D878" s="11">
        <v>58.0</v>
      </c>
      <c r="E878" s="11">
        <v>56.0</v>
      </c>
      <c r="F878" s="11">
        <v>0.46</v>
      </c>
      <c r="G878" s="11">
        <v>0.515</v>
      </c>
      <c r="H878" s="11">
        <v>0.025</v>
      </c>
      <c r="I878" s="11">
        <v>1436549.0</v>
      </c>
      <c r="J878" s="11">
        <v>0.523</v>
      </c>
      <c r="K878" s="12" t="s">
        <v>146</v>
      </c>
      <c r="L878" s="5" t="s">
        <v>77</v>
      </c>
      <c r="M878" s="9" t="s">
        <v>66</v>
      </c>
    </row>
    <row r="879">
      <c r="A879" s="11">
        <v>878.0</v>
      </c>
      <c r="B879" s="11">
        <v>0.044</v>
      </c>
      <c r="C879" s="11">
        <v>0.056</v>
      </c>
      <c r="D879" s="11">
        <v>58.0</v>
      </c>
      <c r="E879" s="11">
        <v>56.0</v>
      </c>
      <c r="F879" s="11">
        <v>0.46</v>
      </c>
      <c r="G879" s="11">
        <v>0.515</v>
      </c>
      <c r="H879" s="11">
        <v>0.025</v>
      </c>
      <c r="I879" s="11">
        <v>1482324.0</v>
      </c>
      <c r="J879" s="11">
        <v>0.532</v>
      </c>
      <c r="K879" s="12" t="s">
        <v>146</v>
      </c>
      <c r="L879" s="5" t="s">
        <v>77</v>
      </c>
      <c r="M879" s="9" t="s">
        <v>67</v>
      </c>
    </row>
    <row r="880">
      <c r="A880" s="11">
        <v>879.0</v>
      </c>
      <c r="B880" s="11">
        <v>0.044</v>
      </c>
      <c r="C880" s="11">
        <v>0.055</v>
      </c>
      <c r="D880" s="11">
        <v>59.0</v>
      </c>
      <c r="E880" s="11">
        <v>56.0</v>
      </c>
      <c r="F880" s="11">
        <v>0.46</v>
      </c>
      <c r="G880" s="11">
        <v>0.514</v>
      </c>
      <c r="H880" s="11">
        <v>0.025</v>
      </c>
      <c r="I880" s="11">
        <v>1529406.0</v>
      </c>
      <c r="J880" s="11">
        <v>0.54</v>
      </c>
      <c r="K880" s="12" t="s">
        <v>146</v>
      </c>
      <c r="L880" s="5" t="s">
        <v>77</v>
      </c>
      <c r="M880" s="9" t="s">
        <v>68</v>
      </c>
    </row>
    <row r="881">
      <c r="A881" s="11">
        <v>880.0</v>
      </c>
      <c r="B881" s="11">
        <v>0.044</v>
      </c>
      <c r="C881" s="11">
        <v>0.054</v>
      </c>
      <c r="D881" s="11">
        <v>59.0</v>
      </c>
      <c r="E881" s="11">
        <v>56.0</v>
      </c>
      <c r="F881" s="11">
        <v>0.46</v>
      </c>
      <c r="G881" s="11">
        <v>0.514</v>
      </c>
      <c r="H881" s="11">
        <v>0.025</v>
      </c>
      <c r="I881" s="11">
        <v>1577984.0</v>
      </c>
      <c r="J881" s="11">
        <v>0.548</v>
      </c>
      <c r="K881" s="12" t="s">
        <v>146</v>
      </c>
      <c r="L881" s="5" t="s">
        <v>77</v>
      </c>
      <c r="M881" s="9" t="s">
        <v>69</v>
      </c>
    </row>
    <row r="882">
      <c r="A882" s="11">
        <v>881.0</v>
      </c>
      <c r="B882" s="11">
        <v>0.043</v>
      </c>
      <c r="C882" s="11">
        <v>0.053</v>
      </c>
      <c r="D882" s="11">
        <v>59.0</v>
      </c>
      <c r="E882" s="11">
        <v>57.0</v>
      </c>
      <c r="F882" s="11">
        <v>0.46</v>
      </c>
      <c r="G882" s="11">
        <v>0.515</v>
      </c>
      <c r="H882" s="11">
        <v>0.025</v>
      </c>
      <c r="I882" s="11">
        <v>1628332.0</v>
      </c>
      <c r="J882" s="11">
        <v>0.556</v>
      </c>
      <c r="K882" s="12" t="s">
        <v>146</v>
      </c>
      <c r="L882" s="5" t="s">
        <v>77</v>
      </c>
      <c r="M882" s="9" t="s">
        <v>70</v>
      </c>
    </row>
    <row r="883">
      <c r="A883" s="11">
        <v>882.0</v>
      </c>
      <c r="B883" s="11">
        <v>0.043</v>
      </c>
      <c r="C883" s="11">
        <v>0.052</v>
      </c>
      <c r="D883" s="11">
        <v>59.0</v>
      </c>
      <c r="E883" s="11">
        <v>57.0</v>
      </c>
      <c r="F883" s="11">
        <v>0.46</v>
      </c>
      <c r="G883" s="11">
        <v>0.515</v>
      </c>
      <c r="H883" s="11">
        <v>0.025</v>
      </c>
      <c r="I883" s="11">
        <v>1680640.0</v>
      </c>
      <c r="J883" s="11">
        <v>0.563</v>
      </c>
      <c r="K883" s="12" t="s">
        <v>146</v>
      </c>
      <c r="L883" s="5" t="s">
        <v>77</v>
      </c>
      <c r="M883" s="9" t="s">
        <v>71</v>
      </c>
    </row>
    <row r="884">
      <c r="A884" s="11">
        <v>883.0</v>
      </c>
      <c r="B884" s="11">
        <v>0.043</v>
      </c>
      <c r="C884" s="11">
        <v>0.051</v>
      </c>
      <c r="D884" s="11">
        <v>60.0</v>
      </c>
      <c r="E884" s="11">
        <v>57.0</v>
      </c>
      <c r="F884" s="11">
        <v>0.459</v>
      </c>
      <c r="G884" s="11">
        <v>0.516</v>
      </c>
      <c r="H884" s="11">
        <v>0.025</v>
      </c>
      <c r="I884" s="11">
        <v>1734966.0</v>
      </c>
      <c r="J884" s="11">
        <v>0.57</v>
      </c>
      <c r="K884" s="12" t="s">
        <v>146</v>
      </c>
      <c r="L884" s="5" t="s">
        <v>77</v>
      </c>
      <c r="M884" s="9" t="s">
        <v>72</v>
      </c>
    </row>
    <row r="885">
      <c r="A885" s="11">
        <v>884.0</v>
      </c>
      <c r="B885" s="11">
        <v>0.043</v>
      </c>
      <c r="C885" s="11">
        <v>0.05</v>
      </c>
      <c r="D885" s="11">
        <v>60.0</v>
      </c>
      <c r="E885" s="11">
        <v>57.0</v>
      </c>
      <c r="F885" s="11">
        <v>0.459</v>
      </c>
      <c r="G885" s="11">
        <v>0.517</v>
      </c>
      <c r="H885" s="11">
        <v>0.024</v>
      </c>
      <c r="I885" s="11">
        <v>1791225.0</v>
      </c>
      <c r="J885" s="11">
        <v>0.577</v>
      </c>
      <c r="K885" s="12" t="s">
        <v>146</v>
      </c>
      <c r="L885" s="5" t="s">
        <v>77</v>
      </c>
      <c r="M885" s="9" t="s">
        <v>73</v>
      </c>
    </row>
    <row r="886">
      <c r="A886" s="11">
        <v>885.0</v>
      </c>
      <c r="B886" s="11">
        <v>0.012</v>
      </c>
      <c r="C886" s="11">
        <v>0.031</v>
      </c>
      <c r="D886" s="11">
        <v>75.0</v>
      </c>
      <c r="E886" s="11">
        <v>68.0</v>
      </c>
      <c r="F886" s="11">
        <v>0.219</v>
      </c>
      <c r="G886" s="11">
        <v>0.656</v>
      </c>
      <c r="H886" s="11">
        <v>0.125</v>
      </c>
      <c r="I886" s="11">
        <v>4418300.0</v>
      </c>
      <c r="J886" s="11">
        <v>0.526</v>
      </c>
      <c r="K886" s="12" t="s">
        <v>147</v>
      </c>
      <c r="L886" s="5" t="s">
        <v>61</v>
      </c>
      <c r="M886" s="9" t="s">
        <v>60</v>
      </c>
    </row>
    <row r="887">
      <c r="A887" s="11">
        <v>886.0</v>
      </c>
      <c r="B887" s="11">
        <v>0.012</v>
      </c>
      <c r="C887" s="11">
        <v>0.029</v>
      </c>
      <c r="D887" s="11">
        <v>76.0</v>
      </c>
      <c r="E887" s="11">
        <v>68.0</v>
      </c>
      <c r="F887" s="11">
        <v>0.212</v>
      </c>
      <c r="G887" s="11">
        <v>0.659</v>
      </c>
      <c r="H887" s="11">
        <v>0.129</v>
      </c>
      <c r="I887" s="11">
        <v>4386400.0</v>
      </c>
      <c r="J887" s="11">
        <v>0.524</v>
      </c>
      <c r="K887" s="12" t="s">
        <v>147</v>
      </c>
      <c r="L887" s="5" t="s">
        <v>61</v>
      </c>
      <c r="M887" s="9" t="s">
        <v>62</v>
      </c>
    </row>
    <row r="888">
      <c r="A888" s="11">
        <v>887.0</v>
      </c>
      <c r="B888" s="11">
        <v>0.012</v>
      </c>
      <c r="C888" s="11">
        <v>0.028</v>
      </c>
      <c r="D888" s="11">
        <v>76.0</v>
      </c>
      <c r="E888" s="11">
        <v>69.0</v>
      </c>
      <c r="F888" s="11">
        <v>0.205</v>
      </c>
      <c r="G888" s="11">
        <v>0.661</v>
      </c>
      <c r="H888" s="11">
        <v>0.134</v>
      </c>
      <c r="I888" s="11">
        <v>4357000.0</v>
      </c>
      <c r="J888" s="11">
        <v>0.523</v>
      </c>
      <c r="K888" s="12" t="s">
        <v>147</v>
      </c>
      <c r="L888" s="5" t="s">
        <v>61</v>
      </c>
      <c r="M888" s="9" t="s">
        <v>63</v>
      </c>
    </row>
    <row r="889">
      <c r="A889" s="11">
        <v>888.0</v>
      </c>
      <c r="B889" s="11">
        <v>0.012</v>
      </c>
      <c r="C889" s="11">
        <v>0.026</v>
      </c>
      <c r="D889" s="11">
        <v>76.0</v>
      </c>
      <c r="E889" s="11">
        <v>69.0</v>
      </c>
      <c r="F889" s="11">
        <v>0.197</v>
      </c>
      <c r="G889" s="11">
        <v>0.664</v>
      </c>
      <c r="H889" s="11">
        <v>0.139</v>
      </c>
      <c r="I889" s="11">
        <v>4328900.0</v>
      </c>
      <c r="J889" s="11">
        <v>0.524</v>
      </c>
      <c r="K889" s="12" t="s">
        <v>147</v>
      </c>
      <c r="L889" s="5" t="s">
        <v>61</v>
      </c>
      <c r="M889" s="9" t="s">
        <v>64</v>
      </c>
    </row>
    <row r="890">
      <c r="A890" s="11">
        <v>889.0</v>
      </c>
      <c r="B890" s="11">
        <v>0.012</v>
      </c>
      <c r="C890" s="11">
        <v>0.024</v>
      </c>
      <c r="D890" s="11">
        <v>76.0</v>
      </c>
      <c r="E890" s="11">
        <v>69.0</v>
      </c>
      <c r="F890" s="11">
        <v>0.19</v>
      </c>
      <c r="G890" s="11">
        <v>0.667</v>
      </c>
      <c r="H890" s="11">
        <v>0.143</v>
      </c>
      <c r="I890" s="11">
        <v>4318300.0</v>
      </c>
      <c r="J890" s="11">
        <v>0.524</v>
      </c>
      <c r="K890" s="12" t="s">
        <v>147</v>
      </c>
      <c r="L890" s="5" t="s">
        <v>61</v>
      </c>
      <c r="M890" s="9" t="s">
        <v>65</v>
      </c>
    </row>
    <row r="891">
      <c r="A891" s="11">
        <v>890.0</v>
      </c>
      <c r="B891" s="11">
        <v>0.013</v>
      </c>
      <c r="C891" s="11">
        <v>0.022</v>
      </c>
      <c r="D891" s="11">
        <v>77.0</v>
      </c>
      <c r="E891" s="11">
        <v>69.0</v>
      </c>
      <c r="F891" s="11">
        <v>0.184</v>
      </c>
      <c r="G891" s="11">
        <v>0.67</v>
      </c>
      <c r="H891" s="11">
        <v>0.146</v>
      </c>
      <c r="I891" s="11">
        <v>4361400.0</v>
      </c>
      <c r="J891" s="11">
        <v>0.525</v>
      </c>
      <c r="K891" s="12" t="s">
        <v>147</v>
      </c>
      <c r="L891" s="5" t="s">
        <v>61</v>
      </c>
      <c r="M891" s="9" t="s">
        <v>66</v>
      </c>
    </row>
    <row r="892">
      <c r="A892" s="11">
        <v>891.0</v>
      </c>
      <c r="B892" s="11">
        <v>0.013</v>
      </c>
      <c r="C892" s="11">
        <v>0.02</v>
      </c>
      <c r="D892" s="11">
        <v>77.0</v>
      </c>
      <c r="E892" s="11">
        <v>70.0</v>
      </c>
      <c r="F892" s="11">
        <v>0.179</v>
      </c>
      <c r="G892" s="11">
        <v>0.674</v>
      </c>
      <c r="H892" s="11">
        <v>0.147</v>
      </c>
      <c r="I892" s="11">
        <v>4398000.0</v>
      </c>
      <c r="J892" s="11">
        <v>0.525</v>
      </c>
      <c r="K892" s="12" t="s">
        <v>147</v>
      </c>
      <c r="L892" s="5" t="s">
        <v>61</v>
      </c>
      <c r="M892" s="9" t="s">
        <v>67</v>
      </c>
    </row>
    <row r="893">
      <c r="A893" s="11">
        <v>892.0</v>
      </c>
      <c r="B893" s="11">
        <v>0.013</v>
      </c>
      <c r="C893" s="11">
        <v>0.019</v>
      </c>
      <c r="D893" s="11">
        <v>77.0</v>
      </c>
      <c r="E893" s="11">
        <v>70.0</v>
      </c>
      <c r="F893" s="11">
        <v>0.176</v>
      </c>
      <c r="G893" s="11">
        <v>0.678</v>
      </c>
      <c r="H893" s="11">
        <v>0.146</v>
      </c>
      <c r="I893" s="11">
        <v>4388400.0</v>
      </c>
      <c r="J893" s="11">
        <v>0.526</v>
      </c>
      <c r="K893" s="12" t="s">
        <v>147</v>
      </c>
      <c r="L893" s="5" t="s">
        <v>61</v>
      </c>
      <c r="M893" s="9" t="s">
        <v>68</v>
      </c>
    </row>
    <row r="894">
      <c r="A894" s="11">
        <v>893.0</v>
      </c>
      <c r="B894" s="11">
        <v>0.014</v>
      </c>
      <c r="C894" s="11">
        <v>0.017</v>
      </c>
      <c r="D894" s="11">
        <v>77.0</v>
      </c>
      <c r="E894" s="11">
        <v>70.0</v>
      </c>
      <c r="F894" s="11">
        <v>0.174</v>
      </c>
      <c r="G894" s="11">
        <v>0.682</v>
      </c>
      <c r="H894" s="11">
        <v>0.145</v>
      </c>
      <c r="I894" s="11">
        <v>4383800.0</v>
      </c>
      <c r="J894" s="11">
        <v>0.526</v>
      </c>
      <c r="K894" s="12" t="s">
        <v>147</v>
      </c>
      <c r="L894" s="5" t="s">
        <v>61</v>
      </c>
      <c r="M894" s="9" t="s">
        <v>69</v>
      </c>
    </row>
    <row r="895">
      <c r="A895" s="11">
        <v>894.0</v>
      </c>
      <c r="B895" s="11">
        <v>0.014</v>
      </c>
      <c r="C895" s="11">
        <v>0.016</v>
      </c>
      <c r="D895" s="11">
        <v>77.0</v>
      </c>
      <c r="E895" s="11">
        <v>70.0</v>
      </c>
      <c r="F895" s="11">
        <v>0.173</v>
      </c>
      <c r="G895" s="11">
        <v>0.684</v>
      </c>
      <c r="H895" s="11">
        <v>0.143</v>
      </c>
      <c r="I895" s="11">
        <v>4410900.0</v>
      </c>
      <c r="J895" s="11">
        <v>0.527</v>
      </c>
      <c r="K895" s="12" t="s">
        <v>147</v>
      </c>
      <c r="L895" s="5" t="s">
        <v>61</v>
      </c>
      <c r="M895" s="9" t="s">
        <v>70</v>
      </c>
    </row>
    <row r="896">
      <c r="A896" s="11">
        <v>895.0</v>
      </c>
      <c r="B896" s="11">
        <v>0.014</v>
      </c>
      <c r="C896" s="11">
        <v>0.015</v>
      </c>
      <c r="D896" s="11">
        <v>77.0</v>
      </c>
      <c r="E896" s="11">
        <v>70.0</v>
      </c>
      <c r="F896" s="11">
        <v>0.173</v>
      </c>
      <c r="G896" s="11">
        <v>0.685</v>
      </c>
      <c r="H896" s="11">
        <v>0.142</v>
      </c>
      <c r="I896" s="11">
        <v>4452800.0</v>
      </c>
      <c r="J896" s="11">
        <v>0.529</v>
      </c>
      <c r="K896" s="12" t="s">
        <v>147</v>
      </c>
      <c r="L896" s="5" t="s">
        <v>61</v>
      </c>
      <c r="M896" s="9" t="s">
        <v>71</v>
      </c>
    </row>
    <row r="897">
      <c r="A897" s="11">
        <v>896.0</v>
      </c>
      <c r="B897" s="11">
        <v>0.014</v>
      </c>
      <c r="C897" s="11">
        <v>0.014</v>
      </c>
      <c r="D897" s="11">
        <v>78.0</v>
      </c>
      <c r="E897" s="11">
        <v>70.0</v>
      </c>
      <c r="F897" s="11">
        <v>0.174</v>
      </c>
      <c r="G897" s="11">
        <v>0.684</v>
      </c>
      <c r="H897" s="11">
        <v>0.142</v>
      </c>
      <c r="I897" s="11">
        <v>4483350.0</v>
      </c>
      <c r="J897" s="11">
        <v>0.53</v>
      </c>
      <c r="K897" s="12" t="s">
        <v>147</v>
      </c>
      <c r="L897" s="5" t="s">
        <v>61</v>
      </c>
      <c r="M897" s="9" t="s">
        <v>72</v>
      </c>
    </row>
    <row r="898">
      <c r="A898" s="11">
        <v>897.0</v>
      </c>
      <c r="B898" s="11">
        <v>0.014</v>
      </c>
      <c r="C898" s="11">
        <v>0.013</v>
      </c>
      <c r="D898" s="11">
        <v>78.0</v>
      </c>
      <c r="E898" s="11">
        <v>70.0</v>
      </c>
      <c r="F898" s="11">
        <v>0.176</v>
      </c>
      <c r="G898" s="11">
        <v>0.681</v>
      </c>
      <c r="H898" s="11">
        <v>0.143</v>
      </c>
      <c r="I898" s="11">
        <v>4490700.0</v>
      </c>
      <c r="J898" s="11">
        <v>0.532</v>
      </c>
      <c r="K898" s="12" t="s">
        <v>147</v>
      </c>
      <c r="L898" s="5" t="s">
        <v>61</v>
      </c>
      <c r="M898" s="9" t="s">
        <v>73</v>
      </c>
    </row>
    <row r="899">
      <c r="A899" s="11">
        <v>898.0</v>
      </c>
      <c r="B899" s="11">
        <v>0.009</v>
      </c>
      <c r="C899" s="11">
        <v>0.004</v>
      </c>
      <c r="D899" s="11">
        <v>81.0</v>
      </c>
      <c r="E899" s="11">
        <v>75.0</v>
      </c>
      <c r="F899" s="11">
        <v>0.156</v>
      </c>
      <c r="G899" s="11">
        <v>0.681</v>
      </c>
      <c r="H899" s="11">
        <v>0.163</v>
      </c>
      <c r="I899" s="11">
        <v>8.2211508E7</v>
      </c>
      <c r="J899" s="11">
        <v>0.731</v>
      </c>
      <c r="K899" s="12" t="s">
        <v>148</v>
      </c>
      <c r="L899" s="5" t="s">
        <v>75</v>
      </c>
      <c r="M899" s="9" t="s">
        <v>60</v>
      </c>
    </row>
    <row r="900">
      <c r="A900" s="11">
        <v>899.0</v>
      </c>
      <c r="B900" s="11">
        <v>0.009</v>
      </c>
      <c r="C900" s="11">
        <v>0.004</v>
      </c>
      <c r="D900" s="11">
        <v>81.0</v>
      </c>
      <c r="E900" s="11">
        <v>76.0</v>
      </c>
      <c r="F900" s="11">
        <v>0.154</v>
      </c>
      <c r="G900" s="11">
        <v>0.679</v>
      </c>
      <c r="H900" s="11">
        <v>0.168</v>
      </c>
      <c r="I900" s="11">
        <v>8.2349925E7</v>
      </c>
      <c r="J900" s="11">
        <v>0.731</v>
      </c>
      <c r="K900" s="12" t="s">
        <v>148</v>
      </c>
      <c r="L900" s="5" t="s">
        <v>75</v>
      </c>
      <c r="M900" s="9" t="s">
        <v>62</v>
      </c>
    </row>
    <row r="901">
      <c r="A901" s="11">
        <v>900.0</v>
      </c>
      <c r="B901" s="11">
        <v>0.009</v>
      </c>
      <c r="C901" s="11">
        <v>0.004</v>
      </c>
      <c r="D901" s="11">
        <v>81.0</v>
      </c>
      <c r="E901" s="11">
        <v>75.0</v>
      </c>
      <c r="F901" s="11">
        <v>0.151</v>
      </c>
      <c r="G901" s="11">
        <v>0.676</v>
      </c>
      <c r="H901" s="11">
        <v>0.173</v>
      </c>
      <c r="I901" s="11">
        <v>8.2488495E7</v>
      </c>
      <c r="J901" s="11">
        <v>0.732</v>
      </c>
      <c r="K901" s="12" t="s">
        <v>148</v>
      </c>
      <c r="L901" s="5" t="s">
        <v>75</v>
      </c>
      <c r="M901" s="9" t="s">
        <v>63</v>
      </c>
    </row>
    <row r="902">
      <c r="A902" s="11">
        <v>901.0</v>
      </c>
      <c r="B902" s="11">
        <v>0.009</v>
      </c>
      <c r="C902" s="11">
        <v>0.004</v>
      </c>
      <c r="D902" s="11">
        <v>81.0</v>
      </c>
      <c r="E902" s="11">
        <v>76.0</v>
      </c>
      <c r="F902" s="11">
        <v>0.148</v>
      </c>
      <c r="G902" s="11">
        <v>0.673</v>
      </c>
      <c r="H902" s="11">
        <v>0.179</v>
      </c>
      <c r="I902" s="11">
        <v>8.2534176E7</v>
      </c>
      <c r="J902" s="11">
        <v>0.732</v>
      </c>
      <c r="K902" s="12" t="s">
        <v>148</v>
      </c>
      <c r="L902" s="5" t="s">
        <v>75</v>
      </c>
      <c r="M902" s="9" t="s">
        <v>64</v>
      </c>
    </row>
    <row r="903">
      <c r="A903" s="11">
        <v>902.0</v>
      </c>
      <c r="B903" s="11">
        <v>0.009</v>
      </c>
      <c r="C903" s="11">
        <v>0.004</v>
      </c>
      <c r="D903" s="11">
        <v>82.0</v>
      </c>
      <c r="E903" s="11">
        <v>76.0</v>
      </c>
      <c r="F903" s="11">
        <v>0.146</v>
      </c>
      <c r="G903" s="11">
        <v>0.67</v>
      </c>
      <c r="H903" s="11">
        <v>0.184</v>
      </c>
      <c r="I903" s="11">
        <v>8.251626E7</v>
      </c>
      <c r="J903" s="11">
        <v>0.733</v>
      </c>
      <c r="K903" s="12" t="s">
        <v>148</v>
      </c>
      <c r="L903" s="5" t="s">
        <v>75</v>
      </c>
      <c r="M903" s="9" t="s">
        <v>65</v>
      </c>
    </row>
    <row r="904">
      <c r="A904" s="11">
        <v>903.0</v>
      </c>
      <c r="B904" s="11">
        <v>0.008</v>
      </c>
      <c r="C904" s="11">
        <v>0.004</v>
      </c>
      <c r="D904" s="11">
        <v>82.0</v>
      </c>
      <c r="E904" s="11">
        <v>76.0</v>
      </c>
      <c r="F904" s="11">
        <v>0.143</v>
      </c>
      <c r="G904" s="11">
        <v>0.667</v>
      </c>
      <c r="H904" s="11">
        <v>0.189</v>
      </c>
      <c r="I904" s="11">
        <v>8.2469422E7</v>
      </c>
      <c r="J904" s="11">
        <v>0.734</v>
      </c>
      <c r="K904" s="12" t="s">
        <v>148</v>
      </c>
      <c r="L904" s="5" t="s">
        <v>75</v>
      </c>
      <c r="M904" s="9" t="s">
        <v>66</v>
      </c>
    </row>
    <row r="905">
      <c r="A905" s="11">
        <v>904.0</v>
      </c>
      <c r="B905" s="11">
        <v>0.008</v>
      </c>
      <c r="C905" s="11">
        <v>0.004</v>
      </c>
      <c r="D905" s="11">
        <v>82.0</v>
      </c>
      <c r="E905" s="11">
        <v>76.0</v>
      </c>
      <c r="F905" s="11">
        <v>0.141</v>
      </c>
      <c r="G905" s="11">
        <v>0.665</v>
      </c>
      <c r="H905" s="11">
        <v>0.194</v>
      </c>
      <c r="I905" s="11">
        <v>8.2376451E7</v>
      </c>
      <c r="J905" s="11">
        <v>0.735</v>
      </c>
      <c r="K905" s="12" t="s">
        <v>148</v>
      </c>
      <c r="L905" s="5" t="s">
        <v>75</v>
      </c>
      <c r="M905" s="9" t="s">
        <v>67</v>
      </c>
    </row>
    <row r="906">
      <c r="A906" s="11">
        <v>905.0</v>
      </c>
      <c r="B906" s="11">
        <v>0.008</v>
      </c>
      <c r="C906" s="11">
        <v>0.004</v>
      </c>
      <c r="D906" s="11">
        <v>82.0</v>
      </c>
      <c r="E906" s="11">
        <v>77.0</v>
      </c>
      <c r="F906" s="11">
        <v>0.139</v>
      </c>
      <c r="G906" s="11">
        <v>0.662</v>
      </c>
      <c r="H906" s="11">
        <v>0.198</v>
      </c>
      <c r="I906" s="11">
        <v>8.2266372E7</v>
      </c>
      <c r="J906" s="11">
        <v>0.737</v>
      </c>
      <c r="K906" s="12" t="s">
        <v>148</v>
      </c>
      <c r="L906" s="5" t="s">
        <v>75</v>
      </c>
      <c r="M906" s="9" t="s">
        <v>68</v>
      </c>
    </row>
    <row r="907">
      <c r="A907" s="11">
        <v>906.0</v>
      </c>
      <c r="B907" s="11">
        <v>0.008</v>
      </c>
      <c r="C907" s="11">
        <v>0.004</v>
      </c>
      <c r="D907" s="11">
        <v>82.0</v>
      </c>
      <c r="E907" s="11">
        <v>77.0</v>
      </c>
      <c r="F907" s="11">
        <v>0.137</v>
      </c>
      <c r="G907" s="11">
        <v>0.66</v>
      </c>
      <c r="H907" s="11">
        <v>0.202</v>
      </c>
      <c r="I907" s="11">
        <v>8.2110097E7</v>
      </c>
      <c r="J907" s="11">
        <v>0.739</v>
      </c>
      <c r="K907" s="12" t="s">
        <v>148</v>
      </c>
      <c r="L907" s="5" t="s">
        <v>75</v>
      </c>
      <c r="M907" s="9" t="s">
        <v>69</v>
      </c>
    </row>
    <row r="908">
      <c r="A908" s="11">
        <v>907.0</v>
      </c>
      <c r="B908" s="11">
        <v>0.008</v>
      </c>
      <c r="C908" s="11">
        <v>0.004</v>
      </c>
      <c r="D908" s="11">
        <v>83.0</v>
      </c>
      <c r="E908" s="11">
        <v>77.0</v>
      </c>
      <c r="F908" s="11">
        <v>0.136</v>
      </c>
      <c r="G908" s="11">
        <v>0.659</v>
      </c>
      <c r="H908" s="11">
        <v>0.206</v>
      </c>
      <c r="I908" s="11">
        <v>8.1902307E7</v>
      </c>
      <c r="J908" s="11">
        <v>0.741</v>
      </c>
      <c r="K908" s="12" t="s">
        <v>148</v>
      </c>
      <c r="L908" s="5" t="s">
        <v>75</v>
      </c>
      <c r="M908" s="9" t="s">
        <v>70</v>
      </c>
    </row>
    <row r="909">
      <c r="A909" s="11">
        <v>908.0</v>
      </c>
      <c r="B909" s="11">
        <v>0.008</v>
      </c>
      <c r="C909" s="11">
        <v>0.004</v>
      </c>
      <c r="D909" s="11">
        <v>83.0</v>
      </c>
      <c r="E909" s="11">
        <v>78.0</v>
      </c>
      <c r="F909" s="11">
        <v>0.134</v>
      </c>
      <c r="G909" s="11">
        <v>0.658</v>
      </c>
      <c r="H909" s="11">
        <v>0.208</v>
      </c>
      <c r="I909" s="11">
        <v>8.177693E7</v>
      </c>
      <c r="J909" s="11">
        <v>0.743</v>
      </c>
      <c r="K909" s="12" t="s">
        <v>148</v>
      </c>
      <c r="L909" s="5" t="s">
        <v>75</v>
      </c>
      <c r="M909" s="9" t="s">
        <v>71</v>
      </c>
    </row>
    <row r="910">
      <c r="A910" s="11">
        <v>909.0</v>
      </c>
      <c r="B910" s="11">
        <v>0.008</v>
      </c>
      <c r="C910" s="11">
        <v>0.003</v>
      </c>
      <c r="D910" s="11">
        <v>83.0</v>
      </c>
      <c r="E910" s="11">
        <v>78.0</v>
      </c>
      <c r="F910" s="11">
        <v>0.133</v>
      </c>
      <c r="G910" s="11">
        <v>0.657</v>
      </c>
      <c r="H910" s="11">
        <v>0.21</v>
      </c>
      <c r="I910" s="11">
        <v>8.1797673E7</v>
      </c>
      <c r="J910" s="11">
        <v>0.745</v>
      </c>
      <c r="K910" s="12" t="s">
        <v>148</v>
      </c>
      <c r="L910" s="5" t="s">
        <v>75</v>
      </c>
      <c r="M910" s="9" t="s">
        <v>72</v>
      </c>
    </row>
    <row r="911">
      <c r="A911" s="11">
        <v>910.0</v>
      </c>
      <c r="B911" s="11">
        <v>0.008</v>
      </c>
      <c r="C911" s="11">
        <v>0.003</v>
      </c>
      <c r="D911" s="11">
        <v>83.0</v>
      </c>
      <c r="E911" s="11">
        <v>79.0</v>
      </c>
      <c r="F911" s="11">
        <v>0.132</v>
      </c>
      <c r="G911" s="11">
        <v>0.657</v>
      </c>
      <c r="H911" s="11">
        <v>0.211</v>
      </c>
      <c r="I911" s="11">
        <v>8.0425823E7</v>
      </c>
      <c r="J911" s="11">
        <v>0.747</v>
      </c>
      <c r="K911" s="12" t="s">
        <v>148</v>
      </c>
      <c r="L911" s="5" t="s">
        <v>75</v>
      </c>
      <c r="M911" s="9" t="s">
        <v>73</v>
      </c>
    </row>
    <row r="912">
      <c r="A912" s="11">
        <v>911.0</v>
      </c>
      <c r="B912" s="11">
        <v>0.035</v>
      </c>
      <c r="C912" s="11">
        <v>0.065</v>
      </c>
      <c r="D912" s="11">
        <v>58.0</v>
      </c>
      <c r="E912" s="11">
        <v>56.0</v>
      </c>
      <c r="F912" s="11">
        <v>0.414</v>
      </c>
      <c r="G912" s="11">
        <v>0.556</v>
      </c>
      <c r="H912" s="11">
        <v>0.03</v>
      </c>
      <c r="I912" s="11">
        <v>1.8825034E7</v>
      </c>
      <c r="J912" s="11">
        <v>0.439</v>
      </c>
      <c r="K912" s="12" t="s">
        <v>149</v>
      </c>
      <c r="L912" s="5" t="s">
        <v>77</v>
      </c>
      <c r="M912" s="9" t="s">
        <v>60</v>
      </c>
    </row>
    <row r="913">
      <c r="A913" s="11">
        <v>912.0</v>
      </c>
      <c r="B913" s="11">
        <v>0.034</v>
      </c>
      <c r="C913" s="11">
        <v>0.063</v>
      </c>
      <c r="D913" s="11">
        <v>58.0</v>
      </c>
      <c r="E913" s="11">
        <v>56.0</v>
      </c>
      <c r="F913" s="11">
        <v>0.412</v>
      </c>
      <c r="G913" s="11">
        <v>0.557</v>
      </c>
      <c r="H913" s="11">
        <v>0.031</v>
      </c>
      <c r="I913" s="11">
        <v>1.9293392E7</v>
      </c>
      <c r="J913" s="11">
        <v>0.446</v>
      </c>
      <c r="K913" s="12" t="s">
        <v>149</v>
      </c>
      <c r="L913" s="5" t="s">
        <v>77</v>
      </c>
      <c r="M913" s="9" t="s">
        <v>62</v>
      </c>
    </row>
    <row r="914">
      <c r="A914" s="11">
        <v>913.0</v>
      </c>
      <c r="B914" s="11">
        <v>0.034</v>
      </c>
      <c r="C914" s="11">
        <v>0.062</v>
      </c>
      <c r="D914" s="11">
        <v>58.0</v>
      </c>
      <c r="E914" s="11">
        <v>57.0</v>
      </c>
      <c r="F914" s="11">
        <v>0.409</v>
      </c>
      <c r="G914" s="11">
        <v>0.559</v>
      </c>
      <c r="H914" s="11">
        <v>0.032</v>
      </c>
      <c r="I914" s="11">
        <v>1.9786307E7</v>
      </c>
      <c r="J914" s="11">
        <v>0.453</v>
      </c>
      <c r="K914" s="12" t="s">
        <v>149</v>
      </c>
      <c r="L914" s="5" t="s">
        <v>77</v>
      </c>
      <c r="M914" s="9" t="s">
        <v>63</v>
      </c>
    </row>
    <row r="915">
      <c r="A915" s="11">
        <v>914.0</v>
      </c>
      <c r="B915" s="11">
        <v>0.034</v>
      </c>
      <c r="C915" s="11">
        <v>0.06</v>
      </c>
      <c r="D915" s="11">
        <v>59.0</v>
      </c>
      <c r="E915" s="11">
        <v>57.0</v>
      </c>
      <c r="F915" s="11">
        <v>0.407</v>
      </c>
      <c r="G915" s="11">
        <v>0.561</v>
      </c>
      <c r="H915" s="11">
        <v>0.032</v>
      </c>
      <c r="I915" s="11">
        <v>2.0301686E7</v>
      </c>
      <c r="J915" s="11">
        <v>0.46</v>
      </c>
      <c r="K915" s="12" t="s">
        <v>149</v>
      </c>
      <c r="L915" s="5" t="s">
        <v>77</v>
      </c>
      <c r="M915" s="9" t="s">
        <v>64</v>
      </c>
    </row>
    <row r="916">
      <c r="A916" s="11">
        <v>915.0</v>
      </c>
      <c r="B916" s="11">
        <v>0.034</v>
      </c>
      <c r="C916" s="11">
        <v>0.059</v>
      </c>
      <c r="D916" s="11">
        <v>59.0</v>
      </c>
      <c r="E916" s="11">
        <v>57.0</v>
      </c>
      <c r="F916" s="11">
        <v>0.404</v>
      </c>
      <c r="G916" s="11">
        <v>0.562</v>
      </c>
      <c r="H916" s="11">
        <v>0.033</v>
      </c>
      <c r="I916" s="11">
        <v>2.0835514E7</v>
      </c>
      <c r="J916" s="11">
        <v>0.466</v>
      </c>
      <c r="K916" s="12" t="s">
        <v>149</v>
      </c>
      <c r="L916" s="5" t="s">
        <v>77</v>
      </c>
      <c r="M916" s="9" t="s">
        <v>65</v>
      </c>
    </row>
    <row r="917">
      <c r="A917" s="11">
        <v>916.0</v>
      </c>
      <c r="B917" s="11">
        <v>0.034</v>
      </c>
      <c r="C917" s="11">
        <v>0.058</v>
      </c>
      <c r="D917" s="11">
        <v>60.0</v>
      </c>
      <c r="E917" s="11">
        <v>58.0</v>
      </c>
      <c r="F917" s="11">
        <v>0.402</v>
      </c>
      <c r="G917" s="11">
        <v>0.564</v>
      </c>
      <c r="H917" s="11">
        <v>0.034</v>
      </c>
      <c r="I917" s="11">
        <v>2.1384034E7</v>
      </c>
      <c r="J917" s="11">
        <v>0.473</v>
      </c>
      <c r="K917" s="12" t="s">
        <v>149</v>
      </c>
      <c r="L917" s="5" t="s">
        <v>77</v>
      </c>
      <c r="M917" s="9" t="s">
        <v>66</v>
      </c>
    </row>
    <row r="918">
      <c r="A918" s="11">
        <v>917.0</v>
      </c>
      <c r="B918" s="11">
        <v>0.034</v>
      </c>
      <c r="C918" s="11">
        <v>0.057</v>
      </c>
      <c r="D918" s="11">
        <v>60.0</v>
      </c>
      <c r="E918" s="11">
        <v>58.0</v>
      </c>
      <c r="F918" s="11">
        <v>0.399</v>
      </c>
      <c r="G918" s="11">
        <v>0.566</v>
      </c>
      <c r="H918" s="11">
        <v>0.034</v>
      </c>
      <c r="I918" s="11">
        <v>2.1947779E7</v>
      </c>
      <c r="J918" s="11">
        <v>0.48</v>
      </c>
      <c r="K918" s="12" t="s">
        <v>149</v>
      </c>
      <c r="L918" s="5" t="s">
        <v>77</v>
      </c>
      <c r="M918" s="9" t="s">
        <v>67</v>
      </c>
    </row>
    <row r="919">
      <c r="A919" s="11">
        <v>918.0</v>
      </c>
      <c r="B919" s="11">
        <v>0.033</v>
      </c>
      <c r="C919" s="11">
        <v>0.057</v>
      </c>
      <c r="D919" s="11">
        <v>61.0</v>
      </c>
      <c r="E919" s="11">
        <v>59.0</v>
      </c>
      <c r="F919" s="11">
        <v>0.397</v>
      </c>
      <c r="G919" s="11">
        <v>0.568</v>
      </c>
      <c r="H919" s="11">
        <v>0.035</v>
      </c>
      <c r="I919" s="11">
        <v>2.2525659E7</v>
      </c>
      <c r="J919" s="11">
        <v>0.487</v>
      </c>
      <c r="K919" s="12" t="s">
        <v>149</v>
      </c>
      <c r="L919" s="5" t="s">
        <v>77</v>
      </c>
      <c r="M919" s="9" t="s">
        <v>68</v>
      </c>
    </row>
    <row r="920">
      <c r="A920" s="11">
        <v>919.0</v>
      </c>
      <c r="B920" s="11">
        <v>0.033</v>
      </c>
      <c r="C920" s="11">
        <v>0.056</v>
      </c>
      <c r="D920" s="11">
        <v>61.0</v>
      </c>
      <c r="E920" s="11">
        <v>59.0</v>
      </c>
      <c r="F920" s="11">
        <v>0.394</v>
      </c>
      <c r="G920" s="11">
        <v>0.571</v>
      </c>
      <c r="H920" s="11">
        <v>0.035</v>
      </c>
      <c r="I920" s="11">
        <v>2.3110139E7</v>
      </c>
      <c r="J920" s="11">
        <v>0.494</v>
      </c>
      <c r="K920" s="12" t="s">
        <v>149</v>
      </c>
      <c r="L920" s="5" t="s">
        <v>77</v>
      </c>
      <c r="M920" s="9" t="s">
        <v>69</v>
      </c>
    </row>
    <row r="921">
      <c r="A921" s="11">
        <v>920.0</v>
      </c>
      <c r="B921" s="11">
        <v>0.033</v>
      </c>
      <c r="C921" s="11">
        <v>0.056</v>
      </c>
      <c r="D921" s="11">
        <v>61.0</v>
      </c>
      <c r="E921" s="11">
        <v>59.0</v>
      </c>
      <c r="F921" s="11">
        <v>0.392</v>
      </c>
      <c r="G921" s="11">
        <v>0.573</v>
      </c>
      <c r="H921" s="11">
        <v>0.035</v>
      </c>
      <c r="I921" s="11">
        <v>2.3691533E7</v>
      </c>
      <c r="J921" s="11">
        <v>0.5</v>
      </c>
      <c r="K921" s="12" t="s">
        <v>149</v>
      </c>
      <c r="L921" s="5" t="s">
        <v>77</v>
      </c>
      <c r="M921" s="9" t="s">
        <v>70</v>
      </c>
    </row>
    <row r="922">
      <c r="A922" s="11">
        <v>921.0</v>
      </c>
      <c r="B922" s="11">
        <v>0.032</v>
      </c>
      <c r="C922" s="11">
        <v>0.055</v>
      </c>
      <c r="D922" s="11">
        <v>62.0</v>
      </c>
      <c r="E922" s="11">
        <v>60.0</v>
      </c>
      <c r="F922" s="11">
        <v>0.39</v>
      </c>
      <c r="G922" s="11">
        <v>0.575</v>
      </c>
      <c r="H922" s="11">
        <v>0.035</v>
      </c>
      <c r="I922" s="11">
        <v>2.4262901E7</v>
      </c>
      <c r="J922" s="11">
        <v>0.507</v>
      </c>
      <c r="K922" s="12" t="s">
        <v>149</v>
      </c>
      <c r="L922" s="5" t="s">
        <v>77</v>
      </c>
      <c r="M922" s="9" t="s">
        <v>71</v>
      </c>
    </row>
    <row r="923">
      <c r="A923" s="11">
        <v>922.0</v>
      </c>
      <c r="B923" s="11">
        <v>0.032</v>
      </c>
      <c r="C923" s="11">
        <v>0.054</v>
      </c>
      <c r="D923" s="11">
        <v>62.0</v>
      </c>
      <c r="E923" s="11">
        <v>60.0</v>
      </c>
      <c r="F923" s="11">
        <v>0.388</v>
      </c>
      <c r="G923" s="11">
        <v>0.577</v>
      </c>
      <c r="H923" s="11">
        <v>0.035</v>
      </c>
      <c r="I923" s="11">
        <v>2.4820706E7</v>
      </c>
      <c r="J923" s="11">
        <v>0.514</v>
      </c>
      <c r="K923" s="12" t="s">
        <v>149</v>
      </c>
      <c r="L923" s="5" t="s">
        <v>77</v>
      </c>
      <c r="M923" s="9" t="s">
        <v>72</v>
      </c>
    </row>
    <row r="924">
      <c r="A924" s="11">
        <v>923.0</v>
      </c>
      <c r="B924" s="11">
        <v>0.031</v>
      </c>
      <c r="C924" s="11">
        <v>0.053</v>
      </c>
      <c r="D924" s="11">
        <v>62.0</v>
      </c>
      <c r="E924" s="11">
        <v>60.0</v>
      </c>
      <c r="F924" s="11">
        <v>0.386</v>
      </c>
      <c r="G924" s="11">
        <v>0.579</v>
      </c>
      <c r="H924" s="11">
        <v>0.035</v>
      </c>
      <c r="I924" s="11">
        <v>2.5366462E7</v>
      </c>
      <c r="J924" s="11">
        <v>0.521</v>
      </c>
      <c r="K924" s="12" t="s">
        <v>149</v>
      </c>
      <c r="L924" s="5" t="s">
        <v>77</v>
      </c>
      <c r="M924" s="9" t="s">
        <v>73</v>
      </c>
    </row>
    <row r="925">
      <c r="A925" s="11">
        <v>924.0</v>
      </c>
      <c r="B925" s="11">
        <v>0.01</v>
      </c>
      <c r="C925" s="11">
        <v>0.007</v>
      </c>
      <c r="D925" s="11">
        <v>81.0</v>
      </c>
      <c r="E925" s="11">
        <v>75.0</v>
      </c>
      <c r="F925" s="11">
        <v>0.152</v>
      </c>
      <c r="G925" s="11">
        <v>0.68</v>
      </c>
      <c r="H925" s="11">
        <v>0.168</v>
      </c>
      <c r="I925" s="11">
        <v>1.0917482E7</v>
      </c>
      <c r="J925" s="11">
        <v>0.727</v>
      </c>
      <c r="K925" s="12" t="s">
        <v>150</v>
      </c>
      <c r="L925" s="5" t="s">
        <v>75</v>
      </c>
      <c r="M925" s="9" t="s">
        <v>60</v>
      </c>
    </row>
    <row r="926">
      <c r="A926" s="11">
        <v>925.0</v>
      </c>
      <c r="B926" s="11">
        <v>0.009</v>
      </c>
      <c r="C926" s="11">
        <v>0.006</v>
      </c>
      <c r="D926" s="11">
        <v>81.0</v>
      </c>
      <c r="E926" s="11">
        <v>76.0</v>
      </c>
      <c r="F926" s="11">
        <v>0.15</v>
      </c>
      <c r="G926" s="11">
        <v>0.678</v>
      </c>
      <c r="H926" s="11">
        <v>0.172</v>
      </c>
      <c r="I926" s="11">
        <v>1.0951764E7</v>
      </c>
      <c r="J926" s="11">
        <v>0.729</v>
      </c>
      <c r="K926" s="12" t="s">
        <v>150</v>
      </c>
      <c r="L926" s="5" t="s">
        <v>75</v>
      </c>
      <c r="M926" s="9" t="s">
        <v>62</v>
      </c>
    </row>
    <row r="927">
      <c r="A927" s="11">
        <v>926.0</v>
      </c>
      <c r="B927" s="11">
        <v>0.009</v>
      </c>
      <c r="C927" s="11">
        <v>0.006</v>
      </c>
      <c r="D927" s="11">
        <v>81.0</v>
      </c>
      <c r="E927" s="11">
        <v>76.0</v>
      </c>
      <c r="F927" s="11">
        <v>0.148</v>
      </c>
      <c r="G927" s="11">
        <v>0.676</v>
      </c>
      <c r="H927" s="11">
        <v>0.176</v>
      </c>
      <c r="I927" s="11">
        <v>1.0983723E7</v>
      </c>
      <c r="J927" s="11">
        <v>0.733</v>
      </c>
      <c r="K927" s="12" t="s">
        <v>150</v>
      </c>
      <c r="L927" s="5" t="s">
        <v>75</v>
      </c>
      <c r="M927" s="9" t="s">
        <v>63</v>
      </c>
    </row>
    <row r="928">
      <c r="A928" s="11">
        <v>927.0</v>
      </c>
      <c r="B928" s="11">
        <v>0.01</v>
      </c>
      <c r="C928" s="11">
        <v>0.006</v>
      </c>
      <c r="D928" s="11">
        <v>81.0</v>
      </c>
      <c r="E928" s="11">
        <v>77.0</v>
      </c>
      <c r="F928" s="11">
        <v>0.146</v>
      </c>
      <c r="G928" s="11">
        <v>0.674</v>
      </c>
      <c r="H928" s="11">
        <v>0.18</v>
      </c>
      <c r="I928" s="11">
        <v>1.1018324E7</v>
      </c>
      <c r="J928" s="11">
        <v>0.737</v>
      </c>
      <c r="K928" s="12" t="s">
        <v>150</v>
      </c>
      <c r="L928" s="5" t="s">
        <v>75</v>
      </c>
      <c r="M928" s="9" t="s">
        <v>64</v>
      </c>
    </row>
    <row r="929">
      <c r="A929" s="11">
        <v>928.0</v>
      </c>
      <c r="B929" s="11">
        <v>0.01</v>
      </c>
      <c r="C929" s="11">
        <v>0.005</v>
      </c>
      <c r="D929" s="11">
        <v>82.0</v>
      </c>
      <c r="E929" s="11">
        <v>77.0</v>
      </c>
      <c r="F929" s="11">
        <v>0.145</v>
      </c>
      <c r="G929" s="11">
        <v>0.672</v>
      </c>
      <c r="H929" s="11">
        <v>0.183</v>
      </c>
      <c r="I929" s="11">
        <v>1.1055729E7</v>
      </c>
      <c r="J929" s="11">
        <v>0.741</v>
      </c>
      <c r="K929" s="12" t="s">
        <v>150</v>
      </c>
      <c r="L929" s="5" t="s">
        <v>75</v>
      </c>
      <c r="M929" s="9" t="s">
        <v>65</v>
      </c>
    </row>
    <row r="930">
      <c r="A930" s="11">
        <v>929.0</v>
      </c>
      <c r="B930" s="11">
        <v>0.01</v>
      </c>
      <c r="C930" s="11">
        <v>0.005</v>
      </c>
      <c r="D930" s="11">
        <v>82.0</v>
      </c>
      <c r="E930" s="11">
        <v>77.0</v>
      </c>
      <c r="F930" s="11">
        <v>0.144</v>
      </c>
      <c r="G930" s="11">
        <v>0.671</v>
      </c>
      <c r="H930" s="11">
        <v>0.186</v>
      </c>
      <c r="I930" s="11">
        <v>1.1092913E7</v>
      </c>
      <c r="J930" s="11">
        <v>0.745</v>
      </c>
      <c r="K930" s="12" t="s">
        <v>150</v>
      </c>
      <c r="L930" s="5" t="s">
        <v>75</v>
      </c>
      <c r="M930" s="9" t="s">
        <v>66</v>
      </c>
    </row>
    <row r="931">
      <c r="A931" s="11">
        <v>930.0</v>
      </c>
      <c r="B931" s="11">
        <v>0.01</v>
      </c>
      <c r="C931" s="11">
        <v>0.005</v>
      </c>
      <c r="D931" s="11">
        <v>82.0</v>
      </c>
      <c r="E931" s="11">
        <v>77.0</v>
      </c>
      <c r="F931" s="11">
        <v>0.144</v>
      </c>
      <c r="G931" s="11">
        <v>0.669</v>
      </c>
      <c r="H931" s="11">
        <v>0.187</v>
      </c>
      <c r="I931" s="11">
        <v>1.1127947E7</v>
      </c>
      <c r="J931" s="11">
        <v>0.748</v>
      </c>
      <c r="K931" s="12" t="s">
        <v>150</v>
      </c>
      <c r="L931" s="5" t="s">
        <v>75</v>
      </c>
      <c r="M931" s="9" t="s">
        <v>67</v>
      </c>
    </row>
    <row r="932">
      <c r="A932" s="11">
        <v>931.0</v>
      </c>
      <c r="B932" s="11">
        <v>0.01</v>
      </c>
      <c r="C932" s="11">
        <v>0.004</v>
      </c>
      <c r="D932" s="11">
        <v>82.0</v>
      </c>
      <c r="E932" s="11">
        <v>77.0</v>
      </c>
      <c r="F932" s="11">
        <v>0.144</v>
      </c>
      <c r="G932" s="11">
        <v>0.668</v>
      </c>
      <c r="H932" s="11">
        <v>0.188</v>
      </c>
      <c r="I932" s="11">
        <v>1.1163002E7</v>
      </c>
      <c r="J932" s="11">
        <v>0.752</v>
      </c>
      <c r="K932" s="12" t="s">
        <v>150</v>
      </c>
      <c r="L932" s="5" t="s">
        <v>75</v>
      </c>
      <c r="M932" s="9" t="s">
        <v>68</v>
      </c>
    </row>
    <row r="933">
      <c r="A933" s="11">
        <v>932.0</v>
      </c>
      <c r="B933" s="11">
        <v>0.011</v>
      </c>
      <c r="C933" s="11">
        <v>0.004</v>
      </c>
      <c r="D933" s="11">
        <v>83.0</v>
      </c>
      <c r="E933" s="11">
        <v>78.0</v>
      </c>
      <c r="F933" s="11">
        <v>0.144</v>
      </c>
      <c r="G933" s="11">
        <v>0.668</v>
      </c>
      <c r="H933" s="11">
        <v>0.188</v>
      </c>
      <c r="I933" s="11">
        <v>1.1186439E7</v>
      </c>
      <c r="J933" s="11">
        <v>0.756</v>
      </c>
      <c r="K933" s="12" t="s">
        <v>150</v>
      </c>
      <c r="L933" s="5" t="s">
        <v>75</v>
      </c>
      <c r="M933" s="9" t="s">
        <v>69</v>
      </c>
    </row>
    <row r="934">
      <c r="A934" s="11">
        <v>933.0</v>
      </c>
      <c r="B934" s="11">
        <v>0.011</v>
      </c>
      <c r="C934" s="11">
        <v>0.004</v>
      </c>
      <c r="D934" s="11">
        <v>83.0</v>
      </c>
      <c r="E934" s="11">
        <v>78.0</v>
      </c>
      <c r="F934" s="11">
        <v>0.145</v>
      </c>
      <c r="G934" s="11">
        <v>0.667</v>
      </c>
      <c r="H934" s="11">
        <v>0.189</v>
      </c>
      <c r="I934" s="11">
        <v>1.1187085E7</v>
      </c>
      <c r="J934" s="11">
        <v>0.759</v>
      </c>
      <c r="K934" s="12" t="s">
        <v>150</v>
      </c>
      <c r="L934" s="5" t="s">
        <v>75</v>
      </c>
      <c r="M934" s="9" t="s">
        <v>70</v>
      </c>
    </row>
    <row r="935">
      <c r="A935" s="11">
        <v>934.0</v>
      </c>
      <c r="B935" s="11">
        <v>0.01</v>
      </c>
      <c r="C935" s="11">
        <v>0.004</v>
      </c>
      <c r="D935" s="11">
        <v>83.0</v>
      </c>
      <c r="E935" s="11">
        <v>78.0</v>
      </c>
      <c r="F935" s="11">
        <v>0.145</v>
      </c>
      <c r="G935" s="11">
        <v>0.665</v>
      </c>
      <c r="H935" s="11">
        <v>0.19</v>
      </c>
      <c r="I935" s="11">
        <v>1.1153454E7</v>
      </c>
      <c r="J935" s="11">
        <v>0.763</v>
      </c>
      <c r="K935" s="12" t="s">
        <v>150</v>
      </c>
      <c r="L935" s="5" t="s">
        <v>75</v>
      </c>
      <c r="M935" s="9" t="s">
        <v>71</v>
      </c>
    </row>
    <row r="936">
      <c r="A936" s="11">
        <v>935.0</v>
      </c>
      <c r="B936" s="11">
        <v>0.01</v>
      </c>
      <c r="C936" s="11">
        <v>0.004</v>
      </c>
      <c r="D936" s="11">
        <v>84.0</v>
      </c>
      <c r="E936" s="11">
        <v>78.0</v>
      </c>
      <c r="F936" s="11">
        <v>0.146</v>
      </c>
      <c r="G936" s="11">
        <v>0.663</v>
      </c>
      <c r="H936" s="11">
        <v>0.192</v>
      </c>
      <c r="I936" s="11">
        <v>1.1123213E7</v>
      </c>
      <c r="J936" s="11">
        <v>0.766</v>
      </c>
      <c r="K936" s="12" t="s">
        <v>150</v>
      </c>
      <c r="L936" s="5" t="s">
        <v>75</v>
      </c>
      <c r="M936" s="9" t="s">
        <v>72</v>
      </c>
    </row>
    <row r="937">
      <c r="A937" s="11">
        <v>936.0</v>
      </c>
      <c r="B937" s="11">
        <v>0.009</v>
      </c>
      <c r="C937" s="11">
        <v>0.004</v>
      </c>
      <c r="D937" s="11">
        <v>83.0</v>
      </c>
      <c r="E937" s="11">
        <v>78.0</v>
      </c>
      <c r="F937" s="11">
        <v>0.146</v>
      </c>
      <c r="G937" s="11">
        <v>0.66</v>
      </c>
      <c r="H937" s="11">
        <v>0.194</v>
      </c>
      <c r="I937" s="11">
        <v>1.1092771E7</v>
      </c>
      <c r="J937" s="11">
        <v>0.77</v>
      </c>
      <c r="K937" s="12" t="s">
        <v>150</v>
      </c>
      <c r="L937" s="5" t="s">
        <v>75</v>
      </c>
      <c r="M937" s="9" t="s">
        <v>73</v>
      </c>
    </row>
    <row r="938">
      <c r="A938" s="11">
        <v>937.0</v>
      </c>
      <c r="B938" s="11">
        <v>0.016</v>
      </c>
      <c r="C938" s="8"/>
      <c r="D938" s="11">
        <v>70.0</v>
      </c>
      <c r="E938" s="11">
        <v>64.0</v>
      </c>
      <c r="F938" s="8"/>
      <c r="G938" s="8"/>
      <c r="H938" s="8"/>
      <c r="I938" s="11">
        <v>56200.0</v>
      </c>
      <c r="J938" s="11">
        <v>0.816</v>
      </c>
      <c r="K938" s="12" t="s">
        <v>151</v>
      </c>
      <c r="L938" s="5" t="s">
        <v>84</v>
      </c>
      <c r="M938" s="9" t="s">
        <v>60</v>
      </c>
    </row>
    <row r="939">
      <c r="A939" s="11">
        <v>938.0</v>
      </c>
      <c r="B939" s="11">
        <v>0.017</v>
      </c>
      <c r="C939" s="8"/>
      <c r="D939" s="11">
        <v>70.0</v>
      </c>
      <c r="E939" s="11">
        <v>65.0</v>
      </c>
      <c r="F939" s="8"/>
      <c r="G939" s="8"/>
      <c r="H939" s="8"/>
      <c r="I939" s="11">
        <v>56350.0</v>
      </c>
      <c r="J939" s="11">
        <v>0.818</v>
      </c>
      <c r="K939" s="12" t="s">
        <v>151</v>
      </c>
      <c r="L939" s="5" t="s">
        <v>84</v>
      </c>
      <c r="M939" s="9" t="s">
        <v>62</v>
      </c>
    </row>
    <row r="940">
      <c r="A940" s="11">
        <v>939.0</v>
      </c>
      <c r="B940" s="11">
        <v>0.017</v>
      </c>
      <c r="C940" s="8"/>
      <c r="D940" s="11">
        <v>71.0</v>
      </c>
      <c r="E940" s="11">
        <v>65.0</v>
      </c>
      <c r="F940" s="8"/>
      <c r="G940" s="8"/>
      <c r="H940" s="8"/>
      <c r="I940" s="11">
        <v>56609.0</v>
      </c>
      <c r="J940" s="11">
        <v>0.821</v>
      </c>
      <c r="K940" s="12" t="s">
        <v>151</v>
      </c>
      <c r="L940" s="5" t="s">
        <v>84</v>
      </c>
      <c r="M940" s="9" t="s">
        <v>63</v>
      </c>
    </row>
    <row r="941">
      <c r="A941" s="11">
        <v>940.0</v>
      </c>
      <c r="B941" s="11">
        <v>0.016</v>
      </c>
      <c r="C941" s="8"/>
      <c r="D941" s="11">
        <v>71.0</v>
      </c>
      <c r="E941" s="11">
        <v>66.0</v>
      </c>
      <c r="F941" s="8"/>
      <c r="G941" s="8"/>
      <c r="H941" s="8"/>
      <c r="I941" s="11">
        <v>56765.0</v>
      </c>
      <c r="J941" s="11">
        <v>0.823</v>
      </c>
      <c r="K941" s="12" t="s">
        <v>151</v>
      </c>
      <c r="L941" s="5" t="s">
        <v>84</v>
      </c>
      <c r="M941" s="9" t="s">
        <v>64</v>
      </c>
    </row>
    <row r="942">
      <c r="A942" s="11">
        <v>941.0</v>
      </c>
      <c r="B942" s="11">
        <v>0.016</v>
      </c>
      <c r="C942" s="8"/>
      <c r="D942" s="11">
        <v>72.0</v>
      </c>
      <c r="E942" s="11">
        <v>66.0</v>
      </c>
      <c r="F942" s="8"/>
      <c r="G942" s="8"/>
      <c r="H942" s="8"/>
      <c r="I942" s="11">
        <v>56911.0</v>
      </c>
      <c r="J942" s="11">
        <v>0.826</v>
      </c>
      <c r="K942" s="12" t="s">
        <v>151</v>
      </c>
      <c r="L942" s="5" t="s">
        <v>84</v>
      </c>
      <c r="M942" s="9" t="s">
        <v>65</v>
      </c>
    </row>
    <row r="943">
      <c r="A943" s="11">
        <v>942.0</v>
      </c>
      <c r="B943" s="11">
        <v>0.016</v>
      </c>
      <c r="C943" s="8"/>
      <c r="D943" s="11">
        <v>72.0</v>
      </c>
      <c r="E943" s="11">
        <v>67.0</v>
      </c>
      <c r="F943" s="8"/>
      <c r="G943" s="8"/>
      <c r="H943" s="8"/>
      <c r="I943" s="11">
        <v>56935.0</v>
      </c>
      <c r="J943" s="11">
        <v>0.829</v>
      </c>
      <c r="K943" s="12" t="s">
        <v>151</v>
      </c>
      <c r="L943" s="5" t="s">
        <v>84</v>
      </c>
      <c r="M943" s="9" t="s">
        <v>66</v>
      </c>
    </row>
    <row r="944">
      <c r="A944" s="11">
        <v>943.0</v>
      </c>
      <c r="B944" s="11">
        <v>0.015</v>
      </c>
      <c r="C944" s="8"/>
      <c r="D944" s="11">
        <v>72.0</v>
      </c>
      <c r="E944" s="11">
        <v>67.0</v>
      </c>
      <c r="F944" s="8"/>
      <c r="G944" s="8"/>
      <c r="H944" s="8"/>
      <c r="I944" s="11">
        <v>56774.0</v>
      </c>
      <c r="J944" s="11">
        <v>0.832</v>
      </c>
      <c r="K944" s="12" t="s">
        <v>151</v>
      </c>
      <c r="L944" s="5" t="s">
        <v>84</v>
      </c>
      <c r="M944" s="9" t="s">
        <v>67</v>
      </c>
    </row>
    <row r="945">
      <c r="A945" s="11">
        <v>944.0</v>
      </c>
      <c r="B945" s="11">
        <v>0.015</v>
      </c>
      <c r="C945" s="8"/>
      <c r="D945" s="11">
        <v>72.0</v>
      </c>
      <c r="E945" s="11">
        <v>68.0</v>
      </c>
      <c r="F945" s="8"/>
      <c r="G945" s="8"/>
      <c r="H945" s="8"/>
      <c r="I945" s="11">
        <v>56555.0</v>
      </c>
      <c r="J945" s="11">
        <v>0.835</v>
      </c>
      <c r="K945" s="12" t="s">
        <v>151</v>
      </c>
      <c r="L945" s="5" t="s">
        <v>84</v>
      </c>
      <c r="M945" s="9" t="s">
        <v>68</v>
      </c>
    </row>
    <row r="946">
      <c r="A946" s="11">
        <v>945.0</v>
      </c>
      <c r="B946" s="11">
        <v>0.015</v>
      </c>
      <c r="C946" s="8"/>
      <c r="D946" s="11">
        <v>73.0</v>
      </c>
      <c r="E946" s="11">
        <v>68.0</v>
      </c>
      <c r="F946" s="8"/>
      <c r="G946" s="8"/>
      <c r="H946" s="8"/>
      <c r="I946" s="11">
        <v>56328.0</v>
      </c>
      <c r="J946" s="11">
        <v>0.838</v>
      </c>
      <c r="K946" s="12" t="s">
        <v>151</v>
      </c>
      <c r="L946" s="5" t="s">
        <v>84</v>
      </c>
      <c r="M946" s="9" t="s">
        <v>69</v>
      </c>
    </row>
    <row r="947">
      <c r="A947" s="11">
        <v>946.0</v>
      </c>
      <c r="B947" s="11">
        <v>0.016</v>
      </c>
      <c r="C947" s="8"/>
      <c r="D947" s="11">
        <v>73.0</v>
      </c>
      <c r="E947" s="11">
        <v>68.0</v>
      </c>
      <c r="F947" s="8"/>
      <c r="G947" s="8"/>
      <c r="H947" s="8"/>
      <c r="I947" s="11">
        <v>56323.0</v>
      </c>
      <c r="J947" s="11">
        <v>0.841</v>
      </c>
      <c r="K947" s="12" t="s">
        <v>151</v>
      </c>
      <c r="L947" s="5" t="s">
        <v>84</v>
      </c>
      <c r="M947" s="9" t="s">
        <v>70</v>
      </c>
    </row>
    <row r="948">
      <c r="A948" s="11">
        <v>947.0</v>
      </c>
      <c r="B948" s="11">
        <v>0.015</v>
      </c>
      <c r="C948" s="8"/>
      <c r="D948" s="11">
        <v>73.0</v>
      </c>
      <c r="E948" s="11">
        <v>69.0</v>
      </c>
      <c r="F948" s="8"/>
      <c r="G948" s="8"/>
      <c r="H948" s="8"/>
      <c r="I948" s="11">
        <v>56905.0</v>
      </c>
      <c r="J948" s="11">
        <v>0.844</v>
      </c>
      <c r="K948" s="12" t="s">
        <v>151</v>
      </c>
      <c r="L948" s="5" t="s">
        <v>84</v>
      </c>
      <c r="M948" s="9" t="s">
        <v>71</v>
      </c>
    </row>
    <row r="949">
      <c r="A949" s="11">
        <v>948.0</v>
      </c>
      <c r="B949" s="11">
        <v>0.014</v>
      </c>
      <c r="C949" s="8"/>
      <c r="D949" s="8"/>
      <c r="E949" s="8"/>
      <c r="F949" s="8"/>
      <c r="G949" s="8"/>
      <c r="H949" s="8"/>
      <c r="I949" s="11">
        <v>56890.0</v>
      </c>
      <c r="J949" s="11">
        <v>0.848</v>
      </c>
      <c r="K949" s="12" t="s">
        <v>151</v>
      </c>
      <c r="L949" s="5" t="s">
        <v>84</v>
      </c>
      <c r="M949" s="9" t="s">
        <v>72</v>
      </c>
    </row>
    <row r="950">
      <c r="A950" s="11">
        <v>949.0</v>
      </c>
      <c r="B950" s="11">
        <v>0.014</v>
      </c>
      <c r="C950" s="8"/>
      <c r="D950" s="8"/>
      <c r="E950" s="8"/>
      <c r="F950" s="8"/>
      <c r="G950" s="8"/>
      <c r="H950" s="8"/>
      <c r="I950" s="11">
        <v>56810.0</v>
      </c>
      <c r="J950" s="11">
        <v>0.852</v>
      </c>
      <c r="K950" s="12" t="s">
        <v>151</v>
      </c>
      <c r="L950" s="5" t="s">
        <v>84</v>
      </c>
      <c r="M950" s="9" t="s">
        <v>73</v>
      </c>
    </row>
    <row r="951">
      <c r="A951" s="11">
        <v>950.0</v>
      </c>
      <c r="B951" s="11">
        <v>0.019</v>
      </c>
      <c r="C951" s="11">
        <v>0.014</v>
      </c>
      <c r="D951" s="11">
        <v>73.0</v>
      </c>
      <c r="E951" s="11">
        <v>68.0</v>
      </c>
      <c r="F951" s="11">
        <v>0.35</v>
      </c>
      <c r="G951" s="11">
        <v>0.572</v>
      </c>
      <c r="H951" s="11">
        <v>0.078</v>
      </c>
      <c r="I951" s="11">
        <v>101620.0</v>
      </c>
      <c r="J951" s="11">
        <v>0.359</v>
      </c>
      <c r="K951" s="12" t="s">
        <v>152</v>
      </c>
      <c r="L951" s="5" t="s">
        <v>84</v>
      </c>
      <c r="M951" s="9" t="s">
        <v>60</v>
      </c>
    </row>
    <row r="952">
      <c r="A952" s="11">
        <v>951.0</v>
      </c>
      <c r="B952" s="11">
        <v>0.019</v>
      </c>
      <c r="C952" s="11">
        <v>0.013</v>
      </c>
      <c r="D952" s="11">
        <v>73.0</v>
      </c>
      <c r="E952" s="11">
        <v>68.0</v>
      </c>
      <c r="F952" s="11">
        <v>0.341</v>
      </c>
      <c r="G952" s="11">
        <v>0.582</v>
      </c>
      <c r="H952" s="11">
        <v>0.077</v>
      </c>
      <c r="I952" s="11">
        <v>101849.0</v>
      </c>
      <c r="J952" s="11">
        <v>0.361</v>
      </c>
      <c r="K952" s="12" t="s">
        <v>152</v>
      </c>
      <c r="L952" s="5" t="s">
        <v>84</v>
      </c>
      <c r="M952" s="9" t="s">
        <v>62</v>
      </c>
    </row>
    <row r="953">
      <c r="A953" s="11">
        <v>952.0</v>
      </c>
      <c r="B953" s="11">
        <v>0.019</v>
      </c>
      <c r="C953" s="11">
        <v>0.013</v>
      </c>
      <c r="D953" s="11">
        <v>73.0</v>
      </c>
      <c r="E953" s="11">
        <v>68.0</v>
      </c>
      <c r="F953" s="11">
        <v>0.33</v>
      </c>
      <c r="G953" s="11">
        <v>0.592</v>
      </c>
      <c r="H953" s="11">
        <v>0.077</v>
      </c>
      <c r="I953" s="11">
        <v>102099.0</v>
      </c>
      <c r="J953" s="11">
        <v>0.361</v>
      </c>
      <c r="K953" s="12" t="s">
        <v>152</v>
      </c>
      <c r="L953" s="5" t="s">
        <v>84</v>
      </c>
      <c r="M953" s="9" t="s">
        <v>63</v>
      </c>
    </row>
    <row r="954">
      <c r="A954" s="11">
        <v>953.0</v>
      </c>
      <c r="B954" s="11">
        <v>0.019</v>
      </c>
      <c r="C954" s="11">
        <v>0.013</v>
      </c>
      <c r="D954" s="11">
        <v>73.0</v>
      </c>
      <c r="E954" s="11">
        <v>69.0</v>
      </c>
      <c r="F954" s="11">
        <v>0.319</v>
      </c>
      <c r="G954" s="11">
        <v>0.603</v>
      </c>
      <c r="H954" s="11">
        <v>0.077</v>
      </c>
      <c r="I954" s="11">
        <v>102369.0</v>
      </c>
      <c r="J954" s="11">
        <v>0.36</v>
      </c>
      <c r="K954" s="12" t="s">
        <v>152</v>
      </c>
      <c r="L954" s="5" t="s">
        <v>84</v>
      </c>
      <c r="M954" s="9" t="s">
        <v>64</v>
      </c>
    </row>
    <row r="955">
      <c r="A955" s="11">
        <v>954.0</v>
      </c>
      <c r="B955" s="11">
        <v>0.019</v>
      </c>
      <c r="C955" s="11">
        <v>0.013</v>
      </c>
      <c r="D955" s="11">
        <v>74.0</v>
      </c>
      <c r="E955" s="11">
        <v>69.0</v>
      </c>
      <c r="F955" s="11">
        <v>0.309</v>
      </c>
      <c r="G955" s="11">
        <v>0.614</v>
      </c>
      <c r="H955" s="11">
        <v>0.077</v>
      </c>
      <c r="I955" s="11">
        <v>102655.0</v>
      </c>
      <c r="J955" s="11">
        <v>0.36</v>
      </c>
      <c r="K955" s="12" t="s">
        <v>152</v>
      </c>
      <c r="L955" s="5" t="s">
        <v>84</v>
      </c>
      <c r="M955" s="9" t="s">
        <v>65</v>
      </c>
    </row>
    <row r="956">
      <c r="A956" s="11">
        <v>955.0</v>
      </c>
      <c r="B956" s="11">
        <v>0.019</v>
      </c>
      <c r="C956" s="11">
        <v>0.013</v>
      </c>
      <c r="D956" s="11">
        <v>74.0</v>
      </c>
      <c r="E956" s="11">
        <v>69.0</v>
      </c>
      <c r="F956" s="11">
        <v>0.3</v>
      </c>
      <c r="G956" s="11">
        <v>0.623</v>
      </c>
      <c r="H956" s="11">
        <v>0.077</v>
      </c>
      <c r="I956" s="11">
        <v>102951.0</v>
      </c>
      <c r="J956" s="11">
        <v>0.359</v>
      </c>
      <c r="K956" s="12" t="s">
        <v>152</v>
      </c>
      <c r="L956" s="5" t="s">
        <v>84</v>
      </c>
      <c r="M956" s="9" t="s">
        <v>66</v>
      </c>
    </row>
    <row r="957">
      <c r="A957" s="11">
        <v>956.0</v>
      </c>
      <c r="B957" s="11">
        <v>0.019</v>
      </c>
      <c r="C957" s="11">
        <v>0.013</v>
      </c>
      <c r="D957" s="11">
        <v>74.0</v>
      </c>
      <c r="E957" s="11">
        <v>69.0</v>
      </c>
      <c r="F957" s="11">
        <v>0.293</v>
      </c>
      <c r="G957" s="11">
        <v>0.631</v>
      </c>
      <c r="H957" s="11">
        <v>0.076</v>
      </c>
      <c r="I957" s="11">
        <v>103260.0</v>
      </c>
      <c r="J957" s="11">
        <v>0.359</v>
      </c>
      <c r="K957" s="12" t="s">
        <v>152</v>
      </c>
      <c r="L957" s="5" t="s">
        <v>84</v>
      </c>
      <c r="M957" s="9" t="s">
        <v>67</v>
      </c>
    </row>
    <row r="958">
      <c r="A958" s="11">
        <v>957.0</v>
      </c>
      <c r="B958" s="11">
        <v>0.019</v>
      </c>
      <c r="C958" s="11">
        <v>0.012</v>
      </c>
      <c r="D958" s="11">
        <v>74.0</v>
      </c>
      <c r="E958" s="11">
        <v>69.0</v>
      </c>
      <c r="F958" s="11">
        <v>0.287</v>
      </c>
      <c r="G958" s="11">
        <v>0.638</v>
      </c>
      <c r="H958" s="11">
        <v>0.075</v>
      </c>
      <c r="I958" s="11">
        <v>103586.0</v>
      </c>
      <c r="J958" s="11">
        <v>0.358</v>
      </c>
      <c r="K958" s="12" t="s">
        <v>152</v>
      </c>
      <c r="L958" s="5" t="s">
        <v>84</v>
      </c>
      <c r="M958" s="9" t="s">
        <v>68</v>
      </c>
    </row>
    <row r="959">
      <c r="A959" s="11">
        <v>958.0</v>
      </c>
      <c r="B959" s="11">
        <v>0.019</v>
      </c>
      <c r="C959" s="11">
        <v>0.012</v>
      </c>
      <c r="D959" s="11">
        <v>74.0</v>
      </c>
      <c r="E959" s="11">
        <v>70.0</v>
      </c>
      <c r="F959" s="11">
        <v>0.282</v>
      </c>
      <c r="G959" s="11">
        <v>0.643</v>
      </c>
      <c r="H959" s="11">
        <v>0.074</v>
      </c>
      <c r="I959" s="11">
        <v>103932.0</v>
      </c>
      <c r="J959" s="11">
        <v>0.358</v>
      </c>
      <c r="K959" s="12" t="s">
        <v>152</v>
      </c>
      <c r="L959" s="5" t="s">
        <v>84</v>
      </c>
      <c r="M959" s="9" t="s">
        <v>69</v>
      </c>
    </row>
    <row r="960">
      <c r="A960" s="11">
        <v>959.0</v>
      </c>
      <c r="B960" s="11">
        <v>0.019</v>
      </c>
      <c r="C960" s="11">
        <v>0.012</v>
      </c>
      <c r="D960" s="11">
        <v>75.0</v>
      </c>
      <c r="E960" s="11">
        <v>70.0</v>
      </c>
      <c r="F960" s="11">
        <v>0.279</v>
      </c>
      <c r="G960" s="11">
        <v>0.648</v>
      </c>
      <c r="H960" s="11">
        <v>0.073</v>
      </c>
      <c r="I960" s="11">
        <v>104296.0</v>
      </c>
      <c r="J960" s="11">
        <v>0.357</v>
      </c>
      <c r="K960" s="12" t="s">
        <v>152</v>
      </c>
      <c r="L960" s="5" t="s">
        <v>84</v>
      </c>
      <c r="M960" s="9" t="s">
        <v>70</v>
      </c>
    </row>
    <row r="961">
      <c r="A961" s="11">
        <v>960.0</v>
      </c>
      <c r="B961" s="11">
        <v>0.019</v>
      </c>
      <c r="C961" s="11">
        <v>0.012</v>
      </c>
      <c r="D961" s="11">
        <v>75.0</v>
      </c>
      <c r="E961" s="11">
        <v>70.0</v>
      </c>
      <c r="F961" s="11">
        <v>0.275</v>
      </c>
      <c r="G961" s="11">
        <v>0.652</v>
      </c>
      <c r="H961" s="11">
        <v>0.072</v>
      </c>
      <c r="I961" s="11">
        <v>104677.0</v>
      </c>
      <c r="J961" s="11">
        <v>0.357</v>
      </c>
      <c r="K961" s="12" t="s">
        <v>152</v>
      </c>
      <c r="L961" s="5" t="s">
        <v>84</v>
      </c>
      <c r="M961" s="9" t="s">
        <v>71</v>
      </c>
    </row>
    <row r="962">
      <c r="A962" s="11">
        <v>961.0</v>
      </c>
      <c r="B962" s="11">
        <v>0.019</v>
      </c>
      <c r="C962" s="11">
        <v>0.011</v>
      </c>
      <c r="D962" s="11">
        <v>75.0</v>
      </c>
      <c r="E962" s="11">
        <v>70.0</v>
      </c>
      <c r="F962" s="11">
        <v>0.272</v>
      </c>
      <c r="G962" s="11">
        <v>0.656</v>
      </c>
      <c r="H962" s="11">
        <v>0.072</v>
      </c>
      <c r="I962" s="11">
        <v>105074.0</v>
      </c>
      <c r="J962" s="11">
        <v>0.356</v>
      </c>
      <c r="K962" s="12" t="s">
        <v>152</v>
      </c>
      <c r="L962" s="5" t="s">
        <v>84</v>
      </c>
      <c r="M962" s="9" t="s">
        <v>72</v>
      </c>
    </row>
    <row r="963">
      <c r="A963" s="11">
        <v>962.0</v>
      </c>
      <c r="B963" s="11">
        <v>0.019</v>
      </c>
      <c r="C963" s="11">
        <v>0.011</v>
      </c>
      <c r="D963" s="11">
        <v>75.0</v>
      </c>
      <c r="E963" s="11">
        <v>70.0</v>
      </c>
      <c r="F963" s="11">
        <v>0.27</v>
      </c>
      <c r="G963" s="11">
        <v>0.659</v>
      </c>
      <c r="H963" s="11">
        <v>0.071</v>
      </c>
      <c r="I963" s="11">
        <v>105483.0</v>
      </c>
      <c r="J963" s="11">
        <v>0.356</v>
      </c>
      <c r="K963" s="12" t="s">
        <v>152</v>
      </c>
      <c r="L963" s="5" t="s">
        <v>84</v>
      </c>
      <c r="M963" s="9" t="s">
        <v>73</v>
      </c>
    </row>
    <row r="964">
      <c r="A964" s="11">
        <v>963.0</v>
      </c>
      <c r="B964" s="11">
        <v>0.022</v>
      </c>
      <c r="C964" s="8"/>
      <c r="D964" s="11">
        <v>78.0</v>
      </c>
      <c r="E964" s="11">
        <v>73.0</v>
      </c>
      <c r="F964" s="11">
        <v>0.305</v>
      </c>
      <c r="G964" s="11">
        <v>0.642</v>
      </c>
      <c r="H964" s="11">
        <v>0.054</v>
      </c>
      <c r="I964" s="11">
        <v>155328.0</v>
      </c>
      <c r="J964" s="11">
        <v>0.931</v>
      </c>
      <c r="K964" s="12" t="s">
        <v>153</v>
      </c>
      <c r="L964" s="5" t="s">
        <v>80</v>
      </c>
      <c r="M964" s="9" t="s">
        <v>60</v>
      </c>
    </row>
    <row r="965">
      <c r="A965" s="11">
        <v>964.0</v>
      </c>
      <c r="B965" s="11">
        <v>0.021</v>
      </c>
      <c r="C965" s="8"/>
      <c r="D965" s="11">
        <v>78.0</v>
      </c>
      <c r="E965" s="11">
        <v>73.0</v>
      </c>
      <c r="F965" s="11">
        <v>0.303</v>
      </c>
      <c r="G965" s="11">
        <v>0.641</v>
      </c>
      <c r="H965" s="11">
        <v>0.055</v>
      </c>
      <c r="I965" s="11">
        <v>156417.0</v>
      </c>
      <c r="J965" s="11">
        <v>0.932</v>
      </c>
      <c r="K965" s="12" t="s">
        <v>153</v>
      </c>
      <c r="L965" s="5" t="s">
        <v>80</v>
      </c>
      <c r="M965" s="9" t="s">
        <v>62</v>
      </c>
    </row>
    <row r="966">
      <c r="A966" s="11">
        <v>965.0</v>
      </c>
      <c r="B966" s="11">
        <v>0.021</v>
      </c>
      <c r="C966" s="8"/>
      <c r="D966" s="11">
        <v>78.0</v>
      </c>
      <c r="E966" s="11">
        <v>73.0</v>
      </c>
      <c r="F966" s="11">
        <v>0.302</v>
      </c>
      <c r="G966" s="11">
        <v>0.641</v>
      </c>
      <c r="H966" s="11">
        <v>0.058</v>
      </c>
      <c r="I966" s="11">
        <v>157241.0</v>
      </c>
      <c r="J966" s="11">
        <v>0.933</v>
      </c>
      <c r="K966" s="12" t="s">
        <v>153</v>
      </c>
      <c r="L966" s="5" t="s">
        <v>80</v>
      </c>
      <c r="M966" s="9" t="s">
        <v>63</v>
      </c>
    </row>
    <row r="967">
      <c r="A967" s="11">
        <v>966.0</v>
      </c>
      <c r="B967" s="11">
        <v>0.02</v>
      </c>
      <c r="C967" s="8"/>
      <c r="D967" s="11">
        <v>79.0</v>
      </c>
      <c r="E967" s="11">
        <v>74.0</v>
      </c>
      <c r="F967" s="11">
        <v>0.3</v>
      </c>
      <c r="G967" s="11">
        <v>0.64</v>
      </c>
      <c r="H967" s="11">
        <v>0.06</v>
      </c>
      <c r="I967" s="11">
        <v>157823.0</v>
      </c>
      <c r="J967" s="11">
        <v>0.934</v>
      </c>
      <c r="K967" s="12" t="s">
        <v>153</v>
      </c>
      <c r="L967" s="5" t="s">
        <v>80</v>
      </c>
      <c r="M967" s="9" t="s">
        <v>64</v>
      </c>
    </row>
    <row r="968">
      <c r="A968" s="11">
        <v>967.0</v>
      </c>
      <c r="B968" s="11">
        <v>0.02</v>
      </c>
      <c r="C968" s="8"/>
      <c r="D968" s="11">
        <v>79.0</v>
      </c>
      <c r="E968" s="11">
        <v>74.0</v>
      </c>
      <c r="F968" s="11">
        <v>0.298</v>
      </c>
      <c r="G968" s="11">
        <v>0.64</v>
      </c>
      <c r="H968" s="11">
        <v>0.062</v>
      </c>
      <c r="I968" s="11">
        <v>158194.0</v>
      </c>
      <c r="J968" s="11">
        <v>0.935</v>
      </c>
      <c r="K968" s="12" t="s">
        <v>153</v>
      </c>
      <c r="L968" s="5" t="s">
        <v>80</v>
      </c>
      <c r="M968" s="9" t="s">
        <v>65</v>
      </c>
    </row>
    <row r="969">
      <c r="A969" s="11">
        <v>968.0</v>
      </c>
      <c r="B969" s="11">
        <v>0.019</v>
      </c>
      <c r="C969" s="8"/>
      <c r="D969" s="11">
        <v>79.0</v>
      </c>
      <c r="E969" s="11">
        <v>74.0</v>
      </c>
      <c r="F969" s="11">
        <v>0.295</v>
      </c>
      <c r="G969" s="11">
        <v>0.641</v>
      </c>
      <c r="H969" s="11">
        <v>0.064</v>
      </c>
      <c r="I969" s="11">
        <v>158401.0</v>
      </c>
      <c r="J969" s="11">
        <v>0.936</v>
      </c>
      <c r="K969" s="12" t="s">
        <v>153</v>
      </c>
      <c r="L969" s="5" t="s">
        <v>80</v>
      </c>
      <c r="M969" s="9" t="s">
        <v>66</v>
      </c>
    </row>
    <row r="970">
      <c r="A970" s="11">
        <v>969.0</v>
      </c>
      <c r="B970" s="11">
        <v>0.019</v>
      </c>
      <c r="C970" s="8"/>
      <c r="D970" s="11">
        <v>80.0</v>
      </c>
      <c r="E970" s="11">
        <v>74.0</v>
      </c>
      <c r="F970" s="11">
        <v>0.292</v>
      </c>
      <c r="G970" s="11">
        <v>0.642</v>
      </c>
      <c r="H970" s="11">
        <v>0.066</v>
      </c>
      <c r="I970" s="11">
        <v>158429.0</v>
      </c>
      <c r="J970" s="11">
        <v>0.937</v>
      </c>
      <c r="K970" s="12" t="s">
        <v>153</v>
      </c>
      <c r="L970" s="5" t="s">
        <v>80</v>
      </c>
      <c r="M970" s="9" t="s">
        <v>67</v>
      </c>
    </row>
    <row r="971">
      <c r="A971" s="11">
        <v>970.0</v>
      </c>
      <c r="B971" s="11">
        <v>0.019</v>
      </c>
      <c r="C971" s="8"/>
      <c r="D971" s="11">
        <v>80.0</v>
      </c>
      <c r="E971" s="11">
        <v>75.0</v>
      </c>
      <c r="F971" s="11">
        <v>0.288</v>
      </c>
      <c r="G971" s="11">
        <v>0.645</v>
      </c>
      <c r="H971" s="11">
        <v>0.067</v>
      </c>
      <c r="I971" s="11">
        <v>158331.0</v>
      </c>
      <c r="J971" s="11">
        <v>0.938</v>
      </c>
      <c r="K971" s="12" t="s">
        <v>153</v>
      </c>
      <c r="L971" s="5" t="s">
        <v>80</v>
      </c>
      <c r="M971" s="9" t="s">
        <v>68</v>
      </c>
    </row>
    <row r="972">
      <c r="A972" s="11">
        <v>971.0</v>
      </c>
      <c r="B972" s="11">
        <v>0.018</v>
      </c>
      <c r="C972" s="8"/>
      <c r="D972" s="11">
        <v>80.0</v>
      </c>
      <c r="E972" s="11">
        <v>75.0</v>
      </c>
      <c r="F972" s="11">
        <v>0.284</v>
      </c>
      <c r="G972" s="11">
        <v>0.647</v>
      </c>
      <c r="H972" s="11">
        <v>0.069</v>
      </c>
      <c r="I972" s="11">
        <v>158310.0</v>
      </c>
      <c r="J972" s="11">
        <v>0.939</v>
      </c>
      <c r="K972" s="12" t="s">
        <v>153</v>
      </c>
      <c r="L972" s="5" t="s">
        <v>80</v>
      </c>
      <c r="M972" s="9" t="s">
        <v>69</v>
      </c>
    </row>
    <row r="973">
      <c r="A973" s="11">
        <v>972.0</v>
      </c>
      <c r="B973" s="11">
        <v>0.018</v>
      </c>
      <c r="C973" s="8"/>
      <c r="D973" s="11">
        <v>81.0</v>
      </c>
      <c r="E973" s="11">
        <v>75.0</v>
      </c>
      <c r="F973" s="11">
        <v>0.279</v>
      </c>
      <c r="G973" s="11">
        <v>0.65</v>
      </c>
      <c r="H973" s="11">
        <v>0.071</v>
      </c>
      <c r="I973" s="11">
        <v>158621.0</v>
      </c>
      <c r="J973" s="11">
        <v>0.94</v>
      </c>
      <c r="K973" s="12" t="s">
        <v>153</v>
      </c>
      <c r="L973" s="5" t="s">
        <v>80</v>
      </c>
      <c r="M973" s="9" t="s">
        <v>70</v>
      </c>
    </row>
    <row r="974">
      <c r="A974" s="11">
        <v>973.0</v>
      </c>
      <c r="B974" s="11">
        <v>0.018</v>
      </c>
      <c r="C974" s="8"/>
      <c r="D974" s="11">
        <v>81.0</v>
      </c>
      <c r="E974" s="11">
        <v>75.0</v>
      </c>
      <c r="F974" s="11">
        <v>0.275</v>
      </c>
      <c r="G974" s="11">
        <v>0.652</v>
      </c>
      <c r="H974" s="11">
        <v>0.073</v>
      </c>
      <c r="I974" s="11">
        <v>159440.0</v>
      </c>
      <c r="J974" s="11">
        <v>0.941</v>
      </c>
      <c r="K974" s="12" t="s">
        <v>153</v>
      </c>
      <c r="L974" s="5" t="s">
        <v>80</v>
      </c>
      <c r="M974" s="9" t="s">
        <v>71</v>
      </c>
    </row>
    <row r="975">
      <c r="A975" s="11">
        <v>974.0</v>
      </c>
      <c r="B975" s="11">
        <v>0.018</v>
      </c>
      <c r="C975" s="8"/>
      <c r="D975" s="11">
        <v>81.0</v>
      </c>
      <c r="E975" s="11">
        <v>76.0</v>
      </c>
      <c r="F975" s="11">
        <v>0.271</v>
      </c>
      <c r="G975" s="11">
        <v>0.654</v>
      </c>
      <c r="H975" s="11">
        <v>0.075</v>
      </c>
      <c r="I975" s="11">
        <v>160858.0</v>
      </c>
      <c r="J975" s="11">
        <v>0.942</v>
      </c>
      <c r="K975" s="12" t="s">
        <v>153</v>
      </c>
      <c r="L975" s="5" t="s">
        <v>80</v>
      </c>
      <c r="M975" s="9" t="s">
        <v>72</v>
      </c>
    </row>
    <row r="976">
      <c r="A976" s="11">
        <v>975.0</v>
      </c>
      <c r="B976" s="11">
        <v>0.017</v>
      </c>
      <c r="C976" s="8"/>
      <c r="D976" s="11">
        <v>81.0</v>
      </c>
      <c r="E976" s="11">
        <v>76.0</v>
      </c>
      <c r="F976" s="11">
        <v>0.266</v>
      </c>
      <c r="G976" s="11">
        <v>0.656</v>
      </c>
      <c r="H976" s="11">
        <v>0.078</v>
      </c>
      <c r="I976" s="11">
        <v>162810.0</v>
      </c>
      <c r="J976" s="11">
        <v>0.943</v>
      </c>
      <c r="K976" s="12" t="s">
        <v>153</v>
      </c>
      <c r="L976" s="5" t="s">
        <v>80</v>
      </c>
      <c r="M976" s="9" t="s">
        <v>73</v>
      </c>
    </row>
    <row r="977">
      <c r="A977" s="11">
        <v>976.0</v>
      </c>
      <c r="B977" s="11">
        <v>0.037</v>
      </c>
      <c r="C977" s="11">
        <v>0.04</v>
      </c>
      <c r="D977" s="11">
        <v>71.0</v>
      </c>
      <c r="E977" s="11">
        <v>64.0</v>
      </c>
      <c r="F977" s="11">
        <v>0.441</v>
      </c>
      <c r="G977" s="11">
        <v>0.519</v>
      </c>
      <c r="H977" s="11">
        <v>0.04</v>
      </c>
      <c r="I977" s="11">
        <v>1.1204183E7</v>
      </c>
      <c r="J977" s="11">
        <v>0.451</v>
      </c>
      <c r="K977" s="12" t="s">
        <v>154</v>
      </c>
      <c r="L977" s="5" t="s">
        <v>84</v>
      </c>
      <c r="M977" s="9" t="s">
        <v>60</v>
      </c>
    </row>
    <row r="978">
      <c r="A978" s="11">
        <v>977.0</v>
      </c>
      <c r="B978" s="11">
        <v>0.036</v>
      </c>
      <c r="C978" s="11">
        <v>0.039</v>
      </c>
      <c r="D978" s="11">
        <v>72.0</v>
      </c>
      <c r="E978" s="11">
        <v>65.0</v>
      </c>
      <c r="F978" s="11">
        <v>0.439</v>
      </c>
      <c r="G978" s="11">
        <v>0.52</v>
      </c>
      <c r="H978" s="11">
        <v>0.041</v>
      </c>
      <c r="I978" s="11">
        <v>1.1478984E7</v>
      </c>
      <c r="J978" s="11">
        <v>0.455</v>
      </c>
      <c r="K978" s="12" t="s">
        <v>154</v>
      </c>
      <c r="L978" s="5" t="s">
        <v>84</v>
      </c>
      <c r="M978" s="9" t="s">
        <v>62</v>
      </c>
    </row>
    <row r="979">
      <c r="A979" s="11">
        <v>978.0</v>
      </c>
      <c r="B979" s="11">
        <v>0.036</v>
      </c>
      <c r="C979" s="11">
        <v>0.037</v>
      </c>
      <c r="D979" s="11">
        <v>72.0</v>
      </c>
      <c r="E979" s="11">
        <v>65.0</v>
      </c>
      <c r="F979" s="11">
        <v>0.438</v>
      </c>
      <c r="G979" s="11">
        <v>0.521</v>
      </c>
      <c r="H979" s="11">
        <v>0.042</v>
      </c>
      <c r="I979" s="11">
        <v>1.1765738E7</v>
      </c>
      <c r="J979" s="11">
        <v>0.459</v>
      </c>
      <c r="K979" s="12" t="s">
        <v>154</v>
      </c>
      <c r="L979" s="5" t="s">
        <v>84</v>
      </c>
      <c r="M979" s="9" t="s">
        <v>63</v>
      </c>
    </row>
    <row r="980">
      <c r="A980" s="11">
        <v>979.0</v>
      </c>
      <c r="B980" s="11">
        <v>0.035</v>
      </c>
      <c r="C980" s="11">
        <v>0.036</v>
      </c>
      <c r="D980" s="11">
        <v>73.0</v>
      </c>
      <c r="E980" s="11">
        <v>66.0</v>
      </c>
      <c r="F980" s="11">
        <v>0.436</v>
      </c>
      <c r="G980" s="11">
        <v>0.522</v>
      </c>
      <c r="H980" s="11">
        <v>0.042</v>
      </c>
      <c r="I980" s="11">
        <v>1.2062835E7</v>
      </c>
      <c r="J980" s="11">
        <v>0.463</v>
      </c>
      <c r="K980" s="12" t="s">
        <v>154</v>
      </c>
      <c r="L980" s="5" t="s">
        <v>84</v>
      </c>
      <c r="M980" s="9" t="s">
        <v>64</v>
      </c>
    </row>
    <row r="981">
      <c r="A981" s="11">
        <v>980.0</v>
      </c>
      <c r="B981" s="11">
        <v>0.035</v>
      </c>
      <c r="C981" s="11">
        <v>0.035</v>
      </c>
      <c r="D981" s="11">
        <v>73.0</v>
      </c>
      <c r="E981" s="11">
        <v>66.0</v>
      </c>
      <c r="F981" s="11">
        <v>0.434</v>
      </c>
      <c r="G981" s="11">
        <v>0.524</v>
      </c>
      <c r="H981" s="11">
        <v>0.043</v>
      </c>
      <c r="I981" s="11">
        <v>1.23678E7</v>
      </c>
      <c r="J981" s="11">
        <v>0.468</v>
      </c>
      <c r="K981" s="12" t="s">
        <v>154</v>
      </c>
      <c r="L981" s="5" t="s">
        <v>84</v>
      </c>
      <c r="M981" s="9" t="s">
        <v>65</v>
      </c>
    </row>
    <row r="982">
      <c r="A982" s="11">
        <v>981.0</v>
      </c>
      <c r="B982" s="11">
        <v>0.035</v>
      </c>
      <c r="C982" s="11">
        <v>0.033</v>
      </c>
      <c r="D982" s="11">
        <v>73.0</v>
      </c>
      <c r="E982" s="11">
        <v>66.0</v>
      </c>
      <c r="F982" s="11">
        <v>0.432</v>
      </c>
      <c r="G982" s="11">
        <v>0.526</v>
      </c>
      <c r="H982" s="11">
        <v>0.043</v>
      </c>
      <c r="I982" s="11">
        <v>1.2678919E7</v>
      </c>
      <c r="J982" s="11">
        <v>0.472</v>
      </c>
      <c r="K982" s="12" t="s">
        <v>154</v>
      </c>
      <c r="L982" s="5" t="s">
        <v>84</v>
      </c>
      <c r="M982" s="9" t="s">
        <v>66</v>
      </c>
    </row>
    <row r="983">
      <c r="A983" s="11">
        <v>982.0</v>
      </c>
      <c r="B983" s="11">
        <v>0.034</v>
      </c>
      <c r="C983" s="11">
        <v>0.032</v>
      </c>
      <c r="D983" s="11">
        <v>73.0</v>
      </c>
      <c r="E983" s="11">
        <v>66.0</v>
      </c>
      <c r="F983" s="11">
        <v>0.429</v>
      </c>
      <c r="G983" s="11">
        <v>0.528</v>
      </c>
      <c r="H983" s="11">
        <v>0.043</v>
      </c>
      <c r="I983" s="11">
        <v>1.2995374E7</v>
      </c>
      <c r="J983" s="11">
        <v>0.476</v>
      </c>
      <c r="K983" s="12" t="s">
        <v>154</v>
      </c>
      <c r="L983" s="5" t="s">
        <v>84</v>
      </c>
      <c r="M983" s="9" t="s">
        <v>67</v>
      </c>
    </row>
    <row r="984">
      <c r="A984" s="11">
        <v>983.0</v>
      </c>
      <c r="B984" s="11">
        <v>0.034</v>
      </c>
      <c r="C984" s="11">
        <v>0.031</v>
      </c>
      <c r="D984" s="11">
        <v>74.0</v>
      </c>
      <c r="E984" s="11">
        <v>67.0</v>
      </c>
      <c r="F984" s="11">
        <v>0.426</v>
      </c>
      <c r="G984" s="11">
        <v>0.531</v>
      </c>
      <c r="H984" s="11">
        <v>0.043</v>
      </c>
      <c r="I984" s="11">
        <v>1.3317931E7</v>
      </c>
      <c r="J984" s="11">
        <v>0.48</v>
      </c>
      <c r="K984" s="12" t="s">
        <v>154</v>
      </c>
      <c r="L984" s="5" t="s">
        <v>84</v>
      </c>
      <c r="M984" s="9" t="s">
        <v>68</v>
      </c>
    </row>
    <row r="985">
      <c r="A985" s="11">
        <v>984.0</v>
      </c>
      <c r="B985" s="11">
        <v>0.033</v>
      </c>
      <c r="C985" s="11">
        <v>0.03</v>
      </c>
      <c r="D985" s="11">
        <v>74.0</v>
      </c>
      <c r="E985" s="11">
        <v>67.0</v>
      </c>
      <c r="F985" s="11">
        <v>0.422</v>
      </c>
      <c r="G985" s="11">
        <v>0.534</v>
      </c>
      <c r="H985" s="11">
        <v>0.044</v>
      </c>
      <c r="I985" s="11">
        <v>1.3648307E7</v>
      </c>
      <c r="J985" s="11">
        <v>0.484</v>
      </c>
      <c r="K985" s="12" t="s">
        <v>154</v>
      </c>
      <c r="L985" s="5" t="s">
        <v>84</v>
      </c>
      <c r="M985" s="9" t="s">
        <v>69</v>
      </c>
    </row>
    <row r="986">
      <c r="A986" s="11">
        <v>985.0</v>
      </c>
      <c r="B986" s="11">
        <v>0.033</v>
      </c>
      <c r="C986" s="11">
        <v>0.029</v>
      </c>
      <c r="D986" s="11">
        <v>74.0</v>
      </c>
      <c r="E986" s="11">
        <v>67.0</v>
      </c>
      <c r="F986" s="11">
        <v>0.419</v>
      </c>
      <c r="G986" s="11">
        <v>0.537</v>
      </c>
      <c r="H986" s="11">
        <v>0.044</v>
      </c>
      <c r="I986" s="11">
        <v>1.3988988E7</v>
      </c>
      <c r="J986" s="11">
        <v>0.489</v>
      </c>
      <c r="K986" s="12" t="s">
        <v>154</v>
      </c>
      <c r="L986" s="5" t="s">
        <v>84</v>
      </c>
      <c r="M986" s="9" t="s">
        <v>70</v>
      </c>
    </row>
    <row r="987">
      <c r="A987" s="11">
        <v>986.0</v>
      </c>
      <c r="B987" s="11">
        <v>0.032</v>
      </c>
      <c r="C987" s="11">
        <v>0.028</v>
      </c>
      <c r="D987" s="11">
        <v>75.0</v>
      </c>
      <c r="E987" s="11">
        <v>68.0</v>
      </c>
      <c r="F987" s="11">
        <v>0.415</v>
      </c>
      <c r="G987" s="11">
        <v>0.541</v>
      </c>
      <c r="H987" s="11">
        <v>0.044</v>
      </c>
      <c r="I987" s="11">
        <v>1.4341576E7</v>
      </c>
      <c r="J987" s="11">
        <v>0.493</v>
      </c>
      <c r="K987" s="12" t="s">
        <v>154</v>
      </c>
      <c r="L987" s="5" t="s">
        <v>84</v>
      </c>
      <c r="M987" s="9" t="s">
        <v>71</v>
      </c>
    </row>
    <row r="988">
      <c r="A988" s="11">
        <v>987.0</v>
      </c>
      <c r="B988" s="11">
        <v>0.032</v>
      </c>
      <c r="C988" s="11">
        <v>0.028</v>
      </c>
      <c r="D988" s="11">
        <v>75.0</v>
      </c>
      <c r="E988" s="11">
        <v>68.0</v>
      </c>
      <c r="F988" s="11">
        <v>0.412</v>
      </c>
      <c r="G988" s="11">
        <v>0.544</v>
      </c>
      <c r="H988" s="11">
        <v>0.045</v>
      </c>
      <c r="I988" s="11">
        <v>1.4706578E7</v>
      </c>
      <c r="J988" s="11">
        <v>0.498</v>
      </c>
      <c r="K988" s="12" t="s">
        <v>154</v>
      </c>
      <c r="L988" s="5" t="s">
        <v>84</v>
      </c>
      <c r="M988" s="9" t="s">
        <v>72</v>
      </c>
    </row>
    <row r="989">
      <c r="A989" s="11">
        <v>988.0</v>
      </c>
      <c r="B989" s="11">
        <v>0.031</v>
      </c>
      <c r="C989" s="11">
        <v>0.027</v>
      </c>
      <c r="D989" s="11">
        <v>75.0</v>
      </c>
      <c r="E989" s="11">
        <v>68.0</v>
      </c>
      <c r="F989" s="11">
        <v>0.408</v>
      </c>
      <c r="G989" s="11">
        <v>0.547</v>
      </c>
      <c r="H989" s="11">
        <v>0.045</v>
      </c>
      <c r="I989" s="11">
        <v>1.5082831E7</v>
      </c>
      <c r="J989" s="11">
        <v>0.502</v>
      </c>
      <c r="K989" s="12" t="s">
        <v>154</v>
      </c>
      <c r="L989" s="5" t="s">
        <v>84</v>
      </c>
      <c r="M989" s="9" t="s">
        <v>73</v>
      </c>
    </row>
    <row r="990">
      <c r="A990" s="11">
        <v>989.0</v>
      </c>
      <c r="B990" s="11">
        <v>0.042</v>
      </c>
      <c r="C990" s="11">
        <v>0.103</v>
      </c>
      <c r="D990" s="11">
        <v>51.0</v>
      </c>
      <c r="E990" s="11">
        <v>51.0</v>
      </c>
      <c r="F990" s="11">
        <v>0.44</v>
      </c>
      <c r="G990" s="11">
        <v>0.525</v>
      </c>
      <c r="H990" s="11">
        <v>0.034</v>
      </c>
      <c r="I990" s="11">
        <v>8746128.0</v>
      </c>
      <c r="J990" s="11">
        <v>0.31</v>
      </c>
      <c r="K990" s="12" t="s">
        <v>155</v>
      </c>
      <c r="L990" s="5" t="s">
        <v>77</v>
      </c>
      <c r="M990" s="9" t="s">
        <v>60</v>
      </c>
    </row>
    <row r="991">
      <c r="A991" s="11">
        <v>990.0</v>
      </c>
      <c r="B991" s="11">
        <v>0.042</v>
      </c>
      <c r="C991" s="11">
        <v>0.099</v>
      </c>
      <c r="D991" s="11">
        <v>51.0</v>
      </c>
      <c r="E991" s="11">
        <v>51.0</v>
      </c>
      <c r="F991" s="11">
        <v>0.44</v>
      </c>
      <c r="G991" s="11">
        <v>0.526</v>
      </c>
      <c r="H991" s="11">
        <v>0.034</v>
      </c>
      <c r="I991" s="11">
        <v>8895353.0</v>
      </c>
      <c r="J991" s="11">
        <v>0.314</v>
      </c>
      <c r="K991" s="12" t="s">
        <v>155</v>
      </c>
      <c r="L991" s="5" t="s">
        <v>77</v>
      </c>
      <c r="M991" s="9" t="s">
        <v>62</v>
      </c>
    </row>
    <row r="992">
      <c r="A992" s="11">
        <v>991.0</v>
      </c>
      <c r="B992" s="11">
        <v>0.041</v>
      </c>
      <c r="C992" s="11">
        <v>0.095</v>
      </c>
      <c r="D992" s="11">
        <v>51.0</v>
      </c>
      <c r="E992" s="11">
        <v>51.0</v>
      </c>
      <c r="F992" s="11">
        <v>0.439</v>
      </c>
      <c r="G992" s="11">
        <v>0.527</v>
      </c>
      <c r="H992" s="11">
        <v>0.034</v>
      </c>
      <c r="I992" s="11">
        <v>9045748.0</v>
      </c>
      <c r="J992" s="11">
        <v>0.317</v>
      </c>
      <c r="K992" s="12" t="s">
        <v>155</v>
      </c>
      <c r="L992" s="5" t="s">
        <v>77</v>
      </c>
      <c r="M992" s="9" t="s">
        <v>63</v>
      </c>
    </row>
    <row r="993">
      <c r="A993" s="11">
        <v>992.0</v>
      </c>
      <c r="B993" s="11">
        <v>0.041</v>
      </c>
      <c r="C993" s="11">
        <v>0.092</v>
      </c>
      <c r="D993" s="11">
        <v>52.0</v>
      </c>
      <c r="E993" s="11">
        <v>52.0</v>
      </c>
      <c r="F993" s="11">
        <v>0.438</v>
      </c>
      <c r="G993" s="11">
        <v>0.529</v>
      </c>
      <c r="H993" s="11">
        <v>0.033</v>
      </c>
      <c r="I993" s="11">
        <v>9204581.0</v>
      </c>
      <c r="J993" s="11">
        <v>0.321</v>
      </c>
      <c r="K993" s="12" t="s">
        <v>155</v>
      </c>
      <c r="L993" s="5" t="s">
        <v>77</v>
      </c>
      <c r="M993" s="9" t="s">
        <v>64</v>
      </c>
    </row>
    <row r="994">
      <c r="A994" s="11">
        <v>993.0</v>
      </c>
      <c r="B994" s="11">
        <v>0.04</v>
      </c>
      <c r="C994" s="11">
        <v>0.088</v>
      </c>
      <c r="D994" s="11">
        <v>52.0</v>
      </c>
      <c r="E994" s="11">
        <v>52.0</v>
      </c>
      <c r="F994" s="11">
        <v>0.437</v>
      </c>
      <c r="G994" s="11">
        <v>0.53</v>
      </c>
      <c r="H994" s="11">
        <v>0.033</v>
      </c>
      <c r="I994" s="11">
        <v>9379621.0</v>
      </c>
      <c r="J994" s="11">
        <v>0.324</v>
      </c>
      <c r="K994" s="12" t="s">
        <v>155</v>
      </c>
      <c r="L994" s="5" t="s">
        <v>77</v>
      </c>
      <c r="M994" s="9" t="s">
        <v>65</v>
      </c>
    </row>
    <row r="995">
      <c r="A995" s="11">
        <v>994.0</v>
      </c>
      <c r="B995" s="11">
        <v>0.04</v>
      </c>
      <c r="C995" s="11">
        <v>0.085</v>
      </c>
      <c r="D995" s="11">
        <v>53.0</v>
      </c>
      <c r="E995" s="11">
        <v>52.0</v>
      </c>
      <c r="F995" s="11">
        <v>0.436</v>
      </c>
      <c r="G995" s="11">
        <v>0.531</v>
      </c>
      <c r="H995" s="11">
        <v>0.032</v>
      </c>
      <c r="I995" s="11">
        <v>9576331.0</v>
      </c>
      <c r="J995" s="11">
        <v>0.328</v>
      </c>
      <c r="K995" s="12" t="s">
        <v>155</v>
      </c>
      <c r="L995" s="5" t="s">
        <v>77</v>
      </c>
      <c r="M995" s="9" t="s">
        <v>66</v>
      </c>
    </row>
    <row r="996">
      <c r="A996" s="11">
        <v>995.0</v>
      </c>
      <c r="B996" s="11">
        <v>0.04</v>
      </c>
      <c r="C996" s="11">
        <v>0.082</v>
      </c>
      <c r="D996" s="11">
        <v>54.0</v>
      </c>
      <c r="E996" s="11">
        <v>53.0</v>
      </c>
      <c r="F996" s="11">
        <v>0.435</v>
      </c>
      <c r="G996" s="11">
        <v>0.533</v>
      </c>
      <c r="H996" s="11">
        <v>0.032</v>
      </c>
      <c r="I996" s="11">
        <v>9798963.0</v>
      </c>
      <c r="J996" s="11">
        <v>0.332</v>
      </c>
      <c r="K996" s="12" t="s">
        <v>155</v>
      </c>
      <c r="L996" s="5" t="s">
        <v>77</v>
      </c>
      <c r="M996" s="9" t="s">
        <v>67</v>
      </c>
    </row>
    <row r="997">
      <c r="A997" s="11">
        <v>996.0</v>
      </c>
      <c r="B997" s="11">
        <v>0.039</v>
      </c>
      <c r="C997" s="11">
        <v>0.079</v>
      </c>
      <c r="D997" s="11">
        <v>55.0</v>
      </c>
      <c r="E997" s="11">
        <v>53.0</v>
      </c>
      <c r="F997" s="11">
        <v>0.433</v>
      </c>
      <c r="G997" s="11">
        <v>0.534</v>
      </c>
      <c r="H997" s="11">
        <v>0.032</v>
      </c>
      <c r="I997" s="11">
        <v>1.0046967E7</v>
      </c>
      <c r="J997" s="11">
        <v>0.336</v>
      </c>
      <c r="K997" s="12" t="s">
        <v>155</v>
      </c>
      <c r="L997" s="5" t="s">
        <v>77</v>
      </c>
      <c r="M997" s="9" t="s">
        <v>68</v>
      </c>
    </row>
    <row r="998">
      <c r="A998" s="11">
        <v>997.0</v>
      </c>
      <c r="B998" s="11">
        <v>0.039</v>
      </c>
      <c r="C998" s="11">
        <v>0.077</v>
      </c>
      <c r="D998" s="11">
        <v>55.0</v>
      </c>
      <c r="E998" s="11">
        <v>54.0</v>
      </c>
      <c r="F998" s="11">
        <v>0.432</v>
      </c>
      <c r="G998" s="11">
        <v>0.536</v>
      </c>
      <c r="H998" s="11">
        <v>0.032</v>
      </c>
      <c r="I998" s="11">
        <v>1.0314678E7</v>
      </c>
      <c r="J998" s="11">
        <v>0.34</v>
      </c>
      <c r="K998" s="12" t="s">
        <v>155</v>
      </c>
      <c r="L998" s="5" t="s">
        <v>77</v>
      </c>
      <c r="M998" s="9" t="s">
        <v>69</v>
      </c>
    </row>
    <row r="999">
      <c r="A999" s="11">
        <v>998.0</v>
      </c>
      <c r="B999" s="11">
        <v>0.039</v>
      </c>
      <c r="C999" s="11">
        <v>0.074</v>
      </c>
      <c r="D999" s="11">
        <v>56.0</v>
      </c>
      <c r="E999" s="11">
        <v>54.0</v>
      </c>
      <c r="F999" s="11">
        <v>0.43</v>
      </c>
      <c r="G999" s="11">
        <v>0.538</v>
      </c>
      <c r="H999" s="11">
        <v>0.032</v>
      </c>
      <c r="I999" s="11">
        <v>1.0593248E7</v>
      </c>
      <c r="J999" s="11">
        <v>0.344</v>
      </c>
      <c r="K999" s="12" t="s">
        <v>155</v>
      </c>
      <c r="L999" s="5" t="s">
        <v>77</v>
      </c>
      <c r="M999" s="9" t="s">
        <v>70</v>
      </c>
    </row>
    <row r="1000">
      <c r="A1000" s="11">
        <v>999.0</v>
      </c>
      <c r="B1000" s="11">
        <v>0.038</v>
      </c>
      <c r="C1000" s="11">
        <v>0.071</v>
      </c>
      <c r="D1000" s="11">
        <v>56.0</v>
      </c>
      <c r="E1000" s="11">
        <v>55.0</v>
      </c>
      <c r="F1000" s="11">
        <v>0.428</v>
      </c>
      <c r="G1000" s="11">
        <v>0.54</v>
      </c>
      <c r="H1000" s="11">
        <v>0.032</v>
      </c>
      <c r="I1000" s="11">
        <v>1.0876033E7</v>
      </c>
      <c r="J1000" s="11">
        <v>0.349</v>
      </c>
      <c r="K1000" s="12" t="s">
        <v>155</v>
      </c>
      <c r="L1000" s="5" t="s">
        <v>77</v>
      </c>
      <c r="M1000" s="9" t="s">
        <v>71</v>
      </c>
    </row>
    <row r="1001">
      <c r="A1001" s="11">
        <v>1000.0</v>
      </c>
      <c r="B1001" s="11">
        <v>0.038</v>
      </c>
      <c r="C1001" s="11">
        <v>0.069</v>
      </c>
      <c r="D1001" s="11">
        <v>56.0</v>
      </c>
      <c r="E1001" s="11">
        <v>55.0</v>
      </c>
      <c r="F1001" s="11">
        <v>0.427</v>
      </c>
      <c r="G1001" s="11">
        <v>0.542</v>
      </c>
      <c r="H1001" s="11">
        <v>0.031</v>
      </c>
      <c r="I1001" s="11">
        <v>1.116153E7</v>
      </c>
      <c r="J1001" s="11">
        <v>0.353</v>
      </c>
      <c r="K1001" s="12" t="s">
        <v>155</v>
      </c>
      <c r="L1001" s="5" t="s">
        <v>77</v>
      </c>
      <c r="M1001" s="9" t="s">
        <v>72</v>
      </c>
    </row>
    <row r="1002">
      <c r="A1002" s="11">
        <v>1001.0</v>
      </c>
      <c r="B1002" s="11">
        <v>0.037</v>
      </c>
      <c r="C1002" s="11">
        <v>0.067</v>
      </c>
      <c r="D1002" s="11">
        <v>57.0</v>
      </c>
      <c r="E1002" s="11">
        <v>55.0</v>
      </c>
      <c r="F1002" s="11">
        <v>0.425</v>
      </c>
      <c r="G1002" s="11">
        <v>0.544</v>
      </c>
      <c r="H1002" s="11">
        <v>0.031</v>
      </c>
      <c r="I1002" s="11">
        <v>1.1451273E7</v>
      </c>
      <c r="J1002" s="11">
        <v>0.357</v>
      </c>
      <c r="K1002" s="12" t="s">
        <v>155</v>
      </c>
      <c r="L1002" s="5" t="s">
        <v>77</v>
      </c>
      <c r="M1002" s="9" t="s">
        <v>73</v>
      </c>
    </row>
    <row r="1003">
      <c r="A1003" s="11">
        <v>1002.0</v>
      </c>
      <c r="B1003" s="11">
        <v>0.042</v>
      </c>
      <c r="C1003" s="11">
        <v>0.109</v>
      </c>
      <c r="D1003" s="11">
        <v>53.0</v>
      </c>
      <c r="E1003" s="11">
        <v>50.0</v>
      </c>
      <c r="F1003" s="11">
        <v>0.435</v>
      </c>
      <c r="G1003" s="11">
        <v>0.534</v>
      </c>
      <c r="H1003" s="11">
        <v>0.031</v>
      </c>
      <c r="I1003" s="11">
        <v>1273312.0</v>
      </c>
      <c r="J1003" s="11">
        <v>0.367</v>
      </c>
      <c r="K1003" s="12" t="s">
        <v>156</v>
      </c>
      <c r="L1003" s="5" t="s">
        <v>77</v>
      </c>
      <c r="M1003" s="9" t="s">
        <v>60</v>
      </c>
    </row>
    <row r="1004">
      <c r="A1004" s="11">
        <v>1003.0</v>
      </c>
      <c r="B1004" s="11">
        <v>0.041</v>
      </c>
      <c r="C1004" s="11">
        <v>0.106</v>
      </c>
      <c r="D1004" s="11">
        <v>53.0</v>
      </c>
      <c r="E1004" s="11">
        <v>51.0</v>
      </c>
      <c r="F1004" s="11">
        <v>0.434</v>
      </c>
      <c r="G1004" s="11">
        <v>0.535</v>
      </c>
      <c r="H1004" s="11">
        <v>0.031</v>
      </c>
      <c r="I1004" s="11">
        <v>1301748.0</v>
      </c>
      <c r="J1004" s="11">
        <v>0.375</v>
      </c>
      <c r="K1004" s="12" t="s">
        <v>156</v>
      </c>
      <c r="L1004" s="5" t="s">
        <v>77</v>
      </c>
      <c r="M1004" s="9" t="s">
        <v>62</v>
      </c>
    </row>
    <row r="1005">
      <c r="A1005" s="11">
        <v>1004.0</v>
      </c>
      <c r="B1005" s="11">
        <v>0.041</v>
      </c>
      <c r="C1005" s="11">
        <v>0.104</v>
      </c>
      <c r="D1005" s="11">
        <v>53.0</v>
      </c>
      <c r="E1005" s="11">
        <v>51.0</v>
      </c>
      <c r="F1005" s="11">
        <v>0.433</v>
      </c>
      <c r="G1005" s="11">
        <v>0.537</v>
      </c>
      <c r="H1005" s="11">
        <v>0.03</v>
      </c>
      <c r="I1005" s="11">
        <v>1330849.0</v>
      </c>
      <c r="J1005" s="11">
        <v>0.383</v>
      </c>
      <c r="K1005" s="12" t="s">
        <v>156</v>
      </c>
      <c r="L1005" s="5" t="s">
        <v>77</v>
      </c>
      <c r="M1005" s="9" t="s">
        <v>63</v>
      </c>
    </row>
    <row r="1006">
      <c r="A1006" s="11">
        <v>1005.0</v>
      </c>
      <c r="B1006" s="11">
        <v>0.041</v>
      </c>
      <c r="C1006" s="11">
        <v>0.101</v>
      </c>
      <c r="D1006" s="11">
        <v>53.0</v>
      </c>
      <c r="E1006" s="11">
        <v>51.0</v>
      </c>
      <c r="F1006" s="11">
        <v>0.431</v>
      </c>
      <c r="G1006" s="11">
        <v>0.539</v>
      </c>
      <c r="H1006" s="11">
        <v>0.03</v>
      </c>
      <c r="I1006" s="11">
        <v>1360559.0</v>
      </c>
      <c r="J1006" s="11">
        <v>0.392</v>
      </c>
      <c r="K1006" s="12" t="s">
        <v>156</v>
      </c>
      <c r="L1006" s="5" t="s">
        <v>77</v>
      </c>
      <c r="M1006" s="9" t="s">
        <v>64</v>
      </c>
    </row>
    <row r="1007">
      <c r="A1007" s="11">
        <v>1006.0</v>
      </c>
      <c r="B1007" s="11">
        <v>0.04</v>
      </c>
      <c r="C1007" s="11">
        <v>0.099</v>
      </c>
      <c r="D1007" s="11">
        <v>53.0</v>
      </c>
      <c r="E1007" s="11">
        <v>51.0</v>
      </c>
      <c r="F1007" s="11">
        <v>0.43</v>
      </c>
      <c r="G1007" s="11">
        <v>0.54</v>
      </c>
      <c r="H1007" s="11">
        <v>0.029</v>
      </c>
      <c r="I1007" s="11">
        <v>1390791.0</v>
      </c>
      <c r="J1007" s="11">
        <v>0.4</v>
      </c>
      <c r="K1007" s="12" t="s">
        <v>156</v>
      </c>
      <c r="L1007" s="5" t="s">
        <v>77</v>
      </c>
      <c r="M1007" s="9" t="s">
        <v>65</v>
      </c>
    </row>
    <row r="1008">
      <c r="A1008" s="11">
        <v>1007.0</v>
      </c>
      <c r="B1008" s="11">
        <v>0.04</v>
      </c>
      <c r="C1008" s="11">
        <v>0.096</v>
      </c>
      <c r="D1008" s="11">
        <v>53.0</v>
      </c>
      <c r="E1008" s="11">
        <v>51.0</v>
      </c>
      <c r="F1008" s="11">
        <v>0.429</v>
      </c>
      <c r="G1008" s="11">
        <v>0.542</v>
      </c>
      <c r="H1008" s="11">
        <v>0.029</v>
      </c>
      <c r="I1008" s="11">
        <v>1421515.0</v>
      </c>
      <c r="J1008" s="11">
        <v>0.409</v>
      </c>
      <c r="K1008" s="12" t="s">
        <v>156</v>
      </c>
      <c r="L1008" s="5" t="s">
        <v>77</v>
      </c>
      <c r="M1008" s="9" t="s">
        <v>66</v>
      </c>
    </row>
    <row r="1009">
      <c r="A1009" s="11">
        <v>1008.0</v>
      </c>
      <c r="B1009" s="11">
        <v>0.04</v>
      </c>
      <c r="C1009" s="11">
        <v>0.094</v>
      </c>
      <c r="D1009" s="11">
        <v>54.0</v>
      </c>
      <c r="E1009" s="11">
        <v>52.0</v>
      </c>
      <c r="F1009" s="11">
        <v>0.427</v>
      </c>
      <c r="G1009" s="11">
        <v>0.544</v>
      </c>
      <c r="H1009" s="11">
        <v>0.029</v>
      </c>
      <c r="I1009" s="11">
        <v>1452659.0</v>
      </c>
      <c r="J1009" s="11">
        <v>0.417</v>
      </c>
      <c r="K1009" s="12" t="s">
        <v>156</v>
      </c>
      <c r="L1009" s="5" t="s">
        <v>77</v>
      </c>
      <c r="M1009" s="9" t="s">
        <v>67</v>
      </c>
    </row>
    <row r="1010">
      <c r="A1010" s="11">
        <v>1009.0</v>
      </c>
      <c r="B1010" s="11">
        <v>0.04</v>
      </c>
      <c r="C1010" s="11">
        <v>0.091</v>
      </c>
      <c r="D1010" s="11">
        <v>54.0</v>
      </c>
      <c r="E1010" s="11">
        <v>52.0</v>
      </c>
      <c r="F1010" s="11">
        <v>0.425</v>
      </c>
      <c r="G1010" s="11">
        <v>0.546</v>
      </c>
      <c r="H1010" s="11">
        <v>0.029</v>
      </c>
      <c r="I1010" s="11">
        <v>1484337.0</v>
      </c>
      <c r="J1010" s="11">
        <v>0.426</v>
      </c>
      <c r="K1010" s="12" t="s">
        <v>156</v>
      </c>
      <c r="L1010" s="5" t="s">
        <v>77</v>
      </c>
      <c r="M1010" s="9" t="s">
        <v>68</v>
      </c>
    </row>
    <row r="1011">
      <c r="A1011" s="11">
        <v>1010.0</v>
      </c>
      <c r="B1011" s="11">
        <v>0.039</v>
      </c>
      <c r="C1011" s="11">
        <v>0.089</v>
      </c>
      <c r="D1011" s="11">
        <v>55.0</v>
      </c>
      <c r="E1011" s="11">
        <v>52.0</v>
      </c>
      <c r="F1011" s="11">
        <v>0.423</v>
      </c>
      <c r="G1011" s="11">
        <v>0.548</v>
      </c>
      <c r="H1011" s="11">
        <v>0.029</v>
      </c>
      <c r="I1011" s="11">
        <v>1516920.0</v>
      </c>
      <c r="J1011" s="11">
        <v>0.435</v>
      </c>
      <c r="K1011" s="12" t="s">
        <v>156</v>
      </c>
      <c r="L1011" s="5" t="s">
        <v>77</v>
      </c>
      <c r="M1011" s="9" t="s">
        <v>69</v>
      </c>
    </row>
    <row r="1012">
      <c r="A1012" s="11">
        <v>1011.0</v>
      </c>
      <c r="B1012" s="11">
        <v>0.039</v>
      </c>
      <c r="C1012" s="11">
        <v>0.087</v>
      </c>
      <c r="D1012" s="11">
        <v>55.0</v>
      </c>
      <c r="E1012" s="11">
        <v>52.0</v>
      </c>
      <c r="F1012" s="11">
        <v>0.421</v>
      </c>
      <c r="G1012" s="11">
        <v>0.55</v>
      </c>
      <c r="H1012" s="11">
        <v>0.03</v>
      </c>
      <c r="I1012" s="11">
        <v>1550905.0</v>
      </c>
      <c r="J1012" s="11">
        <v>0.443</v>
      </c>
      <c r="K1012" s="12" t="s">
        <v>156</v>
      </c>
      <c r="L1012" s="5" t="s">
        <v>77</v>
      </c>
      <c r="M1012" s="9" t="s">
        <v>70</v>
      </c>
    </row>
    <row r="1013">
      <c r="A1013" s="11">
        <v>1012.0</v>
      </c>
      <c r="B1013" s="11">
        <v>0.039</v>
      </c>
      <c r="C1013" s="11">
        <v>0.085</v>
      </c>
      <c r="D1013" s="11">
        <v>55.0</v>
      </c>
      <c r="E1013" s="11">
        <v>52.0</v>
      </c>
      <c r="F1013" s="11">
        <v>0.419</v>
      </c>
      <c r="G1013" s="11">
        <v>0.551</v>
      </c>
      <c r="H1013" s="11">
        <v>0.03</v>
      </c>
      <c r="I1013" s="11">
        <v>1586624.0</v>
      </c>
      <c r="J1013" s="11">
        <v>0.452</v>
      </c>
      <c r="K1013" s="12" t="s">
        <v>156</v>
      </c>
      <c r="L1013" s="5" t="s">
        <v>77</v>
      </c>
      <c r="M1013" s="9" t="s">
        <v>71</v>
      </c>
    </row>
    <row r="1014">
      <c r="A1014" s="11">
        <v>1013.0</v>
      </c>
      <c r="B1014" s="11">
        <v>0.038</v>
      </c>
      <c r="C1014" s="11">
        <v>0.082</v>
      </c>
      <c r="D1014" s="11">
        <v>55.0</v>
      </c>
      <c r="E1014" s="11">
        <v>52.0</v>
      </c>
      <c r="F1014" s="11">
        <v>0.417</v>
      </c>
      <c r="G1014" s="11">
        <v>0.553</v>
      </c>
      <c r="H1014" s="11">
        <v>0.029</v>
      </c>
      <c r="I1014" s="11">
        <v>1624228.0</v>
      </c>
      <c r="J1014" s="11">
        <v>0.461</v>
      </c>
      <c r="K1014" s="12" t="s">
        <v>156</v>
      </c>
      <c r="L1014" s="5" t="s">
        <v>77</v>
      </c>
      <c r="M1014" s="9" t="s">
        <v>72</v>
      </c>
    </row>
    <row r="1015">
      <c r="A1015" s="11">
        <v>1014.0</v>
      </c>
      <c r="B1015" s="11">
        <v>0.038</v>
      </c>
      <c r="C1015" s="11">
        <v>0.08</v>
      </c>
      <c r="D1015" s="11">
        <v>56.0</v>
      </c>
      <c r="E1015" s="11">
        <v>53.0</v>
      </c>
      <c r="F1015" s="11">
        <v>0.416</v>
      </c>
      <c r="G1015" s="11">
        <v>0.555</v>
      </c>
      <c r="H1015" s="11">
        <v>0.029</v>
      </c>
      <c r="I1015" s="11">
        <v>1663558.0</v>
      </c>
      <c r="J1015" s="11">
        <v>0.469</v>
      </c>
      <c r="K1015" s="12" t="s">
        <v>156</v>
      </c>
      <c r="L1015" s="5" t="s">
        <v>77</v>
      </c>
      <c r="M1015" s="9" t="s">
        <v>73</v>
      </c>
    </row>
    <row r="1016">
      <c r="A1016" s="11">
        <v>1015.0</v>
      </c>
      <c r="B1016" s="11">
        <v>0.022</v>
      </c>
      <c r="C1016" s="11">
        <v>0.039</v>
      </c>
      <c r="D1016" s="11">
        <v>67.0</v>
      </c>
      <c r="E1016" s="11">
        <v>60.0</v>
      </c>
      <c r="F1016" s="11">
        <v>0.354</v>
      </c>
      <c r="G1016" s="11">
        <v>0.602</v>
      </c>
      <c r="H1016" s="11">
        <v>0.045</v>
      </c>
      <c r="I1016" s="11">
        <v>744471.0</v>
      </c>
      <c r="J1016" s="11">
        <v>0.287</v>
      </c>
      <c r="K1016" s="12" t="s">
        <v>157</v>
      </c>
      <c r="L1016" s="5" t="s">
        <v>84</v>
      </c>
      <c r="M1016" s="9" t="s">
        <v>60</v>
      </c>
    </row>
    <row r="1017">
      <c r="A1017" s="11">
        <v>1016.0</v>
      </c>
      <c r="B1017" s="11">
        <v>0.022</v>
      </c>
      <c r="C1017" s="11">
        <v>0.038</v>
      </c>
      <c r="D1017" s="11">
        <v>67.0</v>
      </c>
      <c r="E1017" s="11">
        <v>60.0</v>
      </c>
      <c r="F1017" s="11">
        <v>0.356</v>
      </c>
      <c r="G1017" s="11">
        <v>0.601</v>
      </c>
      <c r="H1017" s="11">
        <v>0.044</v>
      </c>
      <c r="I1017" s="11">
        <v>747657.0</v>
      </c>
      <c r="J1017" s="11">
        <v>0.286</v>
      </c>
      <c r="K1017" s="12" t="s">
        <v>157</v>
      </c>
      <c r="L1017" s="5" t="s">
        <v>84</v>
      </c>
      <c r="M1017" s="9" t="s">
        <v>62</v>
      </c>
    </row>
    <row r="1018">
      <c r="A1018" s="11">
        <v>1017.0</v>
      </c>
      <c r="B1018" s="11">
        <v>0.022</v>
      </c>
      <c r="C1018" s="11">
        <v>0.037</v>
      </c>
      <c r="D1018" s="11">
        <v>67.0</v>
      </c>
      <c r="E1018" s="11">
        <v>60.0</v>
      </c>
      <c r="F1018" s="11">
        <v>0.358</v>
      </c>
      <c r="G1018" s="11">
        <v>0.6</v>
      </c>
      <c r="H1018" s="11">
        <v>0.042</v>
      </c>
      <c r="I1018" s="11">
        <v>750629.0</v>
      </c>
      <c r="J1018" s="11">
        <v>0.285</v>
      </c>
      <c r="K1018" s="12" t="s">
        <v>157</v>
      </c>
      <c r="L1018" s="5" t="s">
        <v>84</v>
      </c>
      <c r="M1018" s="9" t="s">
        <v>63</v>
      </c>
    </row>
    <row r="1019">
      <c r="A1019" s="11">
        <v>1018.0</v>
      </c>
      <c r="B1019" s="11">
        <v>0.022</v>
      </c>
      <c r="C1019" s="11">
        <v>0.037</v>
      </c>
      <c r="D1019" s="11">
        <v>68.0</v>
      </c>
      <c r="E1019" s="11">
        <v>61.0</v>
      </c>
      <c r="F1019" s="11">
        <v>0.36</v>
      </c>
      <c r="G1019" s="11">
        <v>0.599</v>
      </c>
      <c r="H1019" s="11">
        <v>0.041</v>
      </c>
      <c r="I1019" s="11">
        <v>753612.0</v>
      </c>
      <c r="J1019" s="11">
        <v>0.284</v>
      </c>
      <c r="K1019" s="12" t="s">
        <v>157</v>
      </c>
      <c r="L1019" s="5" t="s">
        <v>84</v>
      </c>
      <c r="M1019" s="9" t="s">
        <v>64</v>
      </c>
    </row>
    <row r="1020">
      <c r="A1020" s="11">
        <v>1019.0</v>
      </c>
      <c r="B1020" s="11">
        <v>0.022</v>
      </c>
      <c r="C1020" s="11">
        <v>0.036</v>
      </c>
      <c r="D1020" s="11">
        <v>68.0</v>
      </c>
      <c r="E1020" s="11">
        <v>61.0</v>
      </c>
      <c r="F1020" s="11">
        <v>0.363</v>
      </c>
      <c r="G1020" s="11">
        <v>0.598</v>
      </c>
      <c r="H1020" s="11">
        <v>0.039</v>
      </c>
      <c r="I1020" s="11">
        <v>756939.0</v>
      </c>
      <c r="J1020" s="11">
        <v>0.284</v>
      </c>
      <c r="K1020" s="12" t="s">
        <v>157</v>
      </c>
      <c r="L1020" s="5" t="s">
        <v>84</v>
      </c>
      <c r="M1020" s="9" t="s">
        <v>65</v>
      </c>
    </row>
    <row r="1021">
      <c r="A1021" s="11">
        <v>1020.0</v>
      </c>
      <c r="B1021" s="11">
        <v>0.022</v>
      </c>
      <c r="C1021" s="11">
        <v>0.036</v>
      </c>
      <c r="D1021" s="11">
        <v>68.0</v>
      </c>
      <c r="E1021" s="11">
        <v>62.0</v>
      </c>
      <c r="F1021" s="11">
        <v>0.366</v>
      </c>
      <c r="G1021" s="11">
        <v>0.596</v>
      </c>
      <c r="H1021" s="11">
        <v>0.038</v>
      </c>
      <c r="I1021" s="11">
        <v>760834.0</v>
      </c>
      <c r="J1021" s="11">
        <v>0.283</v>
      </c>
      <c r="K1021" s="12" t="s">
        <v>157</v>
      </c>
      <c r="L1021" s="5" t="s">
        <v>84</v>
      </c>
      <c r="M1021" s="9" t="s">
        <v>66</v>
      </c>
    </row>
    <row r="1022">
      <c r="A1022" s="11">
        <v>1021.0</v>
      </c>
      <c r="B1022" s="11">
        <v>0.022</v>
      </c>
      <c r="C1022" s="11">
        <v>0.035</v>
      </c>
      <c r="D1022" s="11">
        <v>68.0</v>
      </c>
      <c r="E1022" s="11">
        <v>62.0</v>
      </c>
      <c r="F1022" s="11">
        <v>0.369</v>
      </c>
      <c r="G1022" s="11">
        <v>0.594</v>
      </c>
      <c r="H1022" s="11">
        <v>0.037</v>
      </c>
      <c r="I1022" s="11">
        <v>765367.0</v>
      </c>
      <c r="J1022" s="11">
        <v>0.283</v>
      </c>
      <c r="K1022" s="12" t="s">
        <v>157</v>
      </c>
      <c r="L1022" s="5" t="s">
        <v>84</v>
      </c>
      <c r="M1022" s="9" t="s">
        <v>67</v>
      </c>
    </row>
    <row r="1023">
      <c r="A1023" s="11">
        <v>1022.0</v>
      </c>
      <c r="B1023" s="11">
        <v>0.022</v>
      </c>
      <c r="C1023" s="11">
        <v>0.034</v>
      </c>
      <c r="D1023" s="11">
        <v>68.0</v>
      </c>
      <c r="E1023" s="11">
        <v>62.0</v>
      </c>
      <c r="F1023" s="11">
        <v>0.372</v>
      </c>
      <c r="G1023" s="11">
        <v>0.592</v>
      </c>
      <c r="H1023" s="11">
        <v>0.035</v>
      </c>
      <c r="I1023" s="11">
        <v>770407.0</v>
      </c>
      <c r="J1023" s="11">
        <v>0.282</v>
      </c>
      <c r="K1023" s="12" t="s">
        <v>157</v>
      </c>
      <c r="L1023" s="5" t="s">
        <v>84</v>
      </c>
      <c r="M1023" s="9" t="s">
        <v>68</v>
      </c>
    </row>
    <row r="1024">
      <c r="A1024" s="11">
        <v>1023.0</v>
      </c>
      <c r="B1024" s="11">
        <v>0.022</v>
      </c>
      <c r="C1024" s="11">
        <v>0.034</v>
      </c>
      <c r="D1024" s="11">
        <v>68.0</v>
      </c>
      <c r="E1024" s="11">
        <v>63.0</v>
      </c>
      <c r="F1024" s="11">
        <v>0.375</v>
      </c>
      <c r="G1024" s="11">
        <v>0.591</v>
      </c>
      <c r="H1024" s="11">
        <v>0.034</v>
      </c>
      <c r="I1024" s="11">
        <v>775739.0</v>
      </c>
      <c r="J1024" s="11">
        <v>0.282</v>
      </c>
      <c r="K1024" s="12" t="s">
        <v>157</v>
      </c>
      <c r="L1024" s="5" t="s">
        <v>84</v>
      </c>
      <c r="M1024" s="9" t="s">
        <v>69</v>
      </c>
    </row>
    <row r="1025">
      <c r="A1025" s="11">
        <v>1024.0</v>
      </c>
      <c r="B1025" s="11">
        <v>0.022</v>
      </c>
      <c r="C1025" s="11">
        <v>0.033</v>
      </c>
      <c r="D1025" s="11">
        <v>68.0</v>
      </c>
      <c r="E1025" s="11">
        <v>63.0</v>
      </c>
      <c r="F1025" s="11">
        <v>0.376</v>
      </c>
      <c r="G1025" s="11">
        <v>0.591</v>
      </c>
      <c r="H1025" s="11">
        <v>0.033</v>
      </c>
      <c r="I1025" s="11">
        <v>781055.0</v>
      </c>
      <c r="J1025" s="11">
        <v>0.282</v>
      </c>
      <c r="K1025" s="12" t="s">
        <v>157</v>
      </c>
      <c r="L1025" s="5" t="s">
        <v>84</v>
      </c>
      <c r="M1025" s="9" t="s">
        <v>70</v>
      </c>
    </row>
    <row r="1026">
      <c r="A1026" s="11">
        <v>1025.0</v>
      </c>
      <c r="B1026" s="11">
        <v>0.022</v>
      </c>
      <c r="C1026" s="11">
        <v>0.032</v>
      </c>
      <c r="D1026" s="11">
        <v>68.0</v>
      </c>
      <c r="E1026" s="11">
        <v>63.0</v>
      </c>
      <c r="F1026" s="11">
        <v>0.376</v>
      </c>
      <c r="G1026" s="11">
        <v>0.592</v>
      </c>
      <c r="H1026" s="11">
        <v>0.033</v>
      </c>
      <c r="I1026" s="11">
        <v>786126.0</v>
      </c>
      <c r="J1026" s="11">
        <v>0.282</v>
      </c>
      <c r="K1026" s="12" t="s">
        <v>157</v>
      </c>
      <c r="L1026" s="5" t="s">
        <v>84</v>
      </c>
      <c r="M1026" s="9" t="s">
        <v>71</v>
      </c>
    </row>
    <row r="1027">
      <c r="A1027" s="11">
        <v>1026.0</v>
      </c>
      <c r="B1027" s="11">
        <v>0.021</v>
      </c>
      <c r="C1027" s="11">
        <v>0.032</v>
      </c>
      <c r="D1027" s="11">
        <v>69.0</v>
      </c>
      <c r="E1027" s="11">
        <v>63.0</v>
      </c>
      <c r="F1027" s="11">
        <v>0.373</v>
      </c>
      <c r="G1027" s="11">
        <v>0.595</v>
      </c>
      <c r="H1027" s="11">
        <v>0.033</v>
      </c>
      <c r="I1027" s="11">
        <v>790882.0</v>
      </c>
      <c r="J1027" s="11">
        <v>0.283</v>
      </c>
      <c r="K1027" s="12" t="s">
        <v>157</v>
      </c>
      <c r="L1027" s="5" t="s">
        <v>84</v>
      </c>
      <c r="M1027" s="9" t="s">
        <v>72</v>
      </c>
    </row>
    <row r="1028">
      <c r="A1028" s="11">
        <v>1027.0</v>
      </c>
      <c r="B1028" s="11">
        <v>0.021</v>
      </c>
      <c r="C1028" s="11">
        <v>0.031</v>
      </c>
      <c r="D1028" s="11">
        <v>69.0</v>
      </c>
      <c r="E1028" s="11">
        <v>63.0</v>
      </c>
      <c r="F1028" s="11">
        <v>0.368</v>
      </c>
      <c r="G1028" s="11">
        <v>0.599</v>
      </c>
      <c r="H1028" s="11">
        <v>0.033</v>
      </c>
      <c r="I1028" s="11">
        <v>795369.0</v>
      </c>
      <c r="J1028" s="11">
        <v>0.283</v>
      </c>
      <c r="K1028" s="12" t="s">
        <v>157</v>
      </c>
      <c r="L1028" s="5" t="s">
        <v>84</v>
      </c>
      <c r="M1028" s="9" t="s">
        <v>73</v>
      </c>
    </row>
    <row r="1029">
      <c r="A1029" s="11">
        <v>1028.0</v>
      </c>
      <c r="B1029" s="11">
        <v>0.031</v>
      </c>
      <c r="C1029" s="11">
        <v>0.075</v>
      </c>
      <c r="D1029" s="11">
        <v>59.0</v>
      </c>
      <c r="E1029" s="11">
        <v>56.0</v>
      </c>
      <c r="F1029" s="11">
        <v>0.403</v>
      </c>
      <c r="G1029" s="11">
        <v>0.557</v>
      </c>
      <c r="H1029" s="11">
        <v>0.04</v>
      </c>
      <c r="I1029" s="11">
        <v>8578234.0</v>
      </c>
      <c r="J1029" s="11">
        <v>0.356</v>
      </c>
      <c r="K1029" s="12" t="s">
        <v>158</v>
      </c>
      <c r="L1029" s="5" t="s">
        <v>84</v>
      </c>
      <c r="M1029" s="9" t="s">
        <v>60</v>
      </c>
    </row>
    <row r="1030">
      <c r="A1030" s="11">
        <v>1029.0</v>
      </c>
      <c r="B1030" s="11">
        <v>0.031</v>
      </c>
      <c r="C1030" s="11">
        <v>0.073</v>
      </c>
      <c r="D1030" s="11">
        <v>59.0</v>
      </c>
      <c r="E1030" s="11">
        <v>56.0</v>
      </c>
      <c r="F1030" s="11">
        <v>0.398</v>
      </c>
      <c r="G1030" s="11">
        <v>0.561</v>
      </c>
      <c r="H1030" s="11">
        <v>0.04</v>
      </c>
      <c r="I1030" s="11">
        <v>8720247.0</v>
      </c>
      <c r="J1030" s="11">
        <v>0.373</v>
      </c>
      <c r="K1030" s="12" t="s">
        <v>158</v>
      </c>
      <c r="L1030" s="5" t="s">
        <v>84</v>
      </c>
      <c r="M1030" s="9" t="s">
        <v>62</v>
      </c>
    </row>
    <row r="1031">
      <c r="A1031" s="11">
        <v>1030.0</v>
      </c>
      <c r="B1031" s="11">
        <v>0.03</v>
      </c>
      <c r="C1031" s="11">
        <v>0.071</v>
      </c>
      <c r="D1031" s="11">
        <v>60.0</v>
      </c>
      <c r="E1031" s="11">
        <v>56.0</v>
      </c>
      <c r="F1031" s="11">
        <v>0.394</v>
      </c>
      <c r="G1031" s="11">
        <v>0.566</v>
      </c>
      <c r="H1031" s="11">
        <v>0.04</v>
      </c>
      <c r="I1031" s="11">
        <v>8859635.0</v>
      </c>
      <c r="J1031" s="11">
        <v>0.389</v>
      </c>
      <c r="K1031" s="12" t="s">
        <v>158</v>
      </c>
      <c r="L1031" s="5" t="s">
        <v>84</v>
      </c>
      <c r="M1031" s="9" t="s">
        <v>63</v>
      </c>
    </row>
    <row r="1032">
      <c r="A1032" s="11">
        <v>1031.0</v>
      </c>
      <c r="B1032" s="11">
        <v>0.03</v>
      </c>
      <c r="C1032" s="11">
        <v>0.069</v>
      </c>
      <c r="D1032" s="11">
        <v>60.0</v>
      </c>
      <c r="E1032" s="11">
        <v>57.0</v>
      </c>
      <c r="F1032" s="11">
        <v>0.389</v>
      </c>
      <c r="G1032" s="11">
        <v>0.57</v>
      </c>
      <c r="H1032" s="11">
        <v>0.041</v>
      </c>
      <c r="I1032" s="11">
        <v>8996229.0</v>
      </c>
      <c r="J1032" s="11">
        <v>0.406</v>
      </c>
      <c r="K1032" s="12" t="s">
        <v>158</v>
      </c>
      <c r="L1032" s="5" t="s">
        <v>84</v>
      </c>
      <c r="M1032" s="9" t="s">
        <v>64</v>
      </c>
    </row>
    <row r="1033">
      <c r="A1033" s="11">
        <v>1032.0</v>
      </c>
      <c r="B1033" s="11">
        <v>0.029</v>
      </c>
      <c r="C1033" s="11">
        <v>0.067</v>
      </c>
      <c r="D1033" s="11">
        <v>61.0</v>
      </c>
      <c r="E1033" s="11">
        <v>57.0</v>
      </c>
      <c r="F1033" s="11">
        <v>0.385</v>
      </c>
      <c r="G1033" s="11">
        <v>0.574</v>
      </c>
      <c r="H1033" s="11">
        <v>0.041</v>
      </c>
      <c r="I1033" s="11">
        <v>9129933.0</v>
      </c>
      <c r="J1033" s="11">
        <v>0.424</v>
      </c>
      <c r="K1033" s="12" t="s">
        <v>158</v>
      </c>
      <c r="L1033" s="5" t="s">
        <v>84</v>
      </c>
      <c r="M1033" s="9" t="s">
        <v>65</v>
      </c>
    </row>
    <row r="1034">
      <c r="A1034" s="11">
        <v>1033.0</v>
      </c>
      <c r="B1034" s="11">
        <v>0.029</v>
      </c>
      <c r="C1034" s="11">
        <v>0.066</v>
      </c>
      <c r="D1034" s="11">
        <v>61.0</v>
      </c>
      <c r="E1034" s="11">
        <v>58.0</v>
      </c>
      <c r="F1034" s="11">
        <v>0.381</v>
      </c>
      <c r="G1034" s="11">
        <v>0.578</v>
      </c>
      <c r="H1034" s="11">
        <v>0.042</v>
      </c>
      <c r="I1034" s="11">
        <v>9260879.0</v>
      </c>
      <c r="J1034" s="11">
        <v>0.441</v>
      </c>
      <c r="K1034" s="12" t="s">
        <v>158</v>
      </c>
      <c r="L1034" s="5" t="s">
        <v>84</v>
      </c>
      <c r="M1034" s="9" t="s">
        <v>66</v>
      </c>
    </row>
    <row r="1035">
      <c r="A1035" s="11">
        <v>1034.0</v>
      </c>
      <c r="B1035" s="11">
        <v>0.028</v>
      </c>
      <c r="C1035" s="11">
        <v>0.064</v>
      </c>
      <c r="D1035" s="11">
        <v>62.0</v>
      </c>
      <c r="E1035" s="11">
        <v>58.0</v>
      </c>
      <c r="F1035" s="11">
        <v>0.377</v>
      </c>
      <c r="G1035" s="11">
        <v>0.581</v>
      </c>
      <c r="H1035" s="11">
        <v>0.042</v>
      </c>
      <c r="I1035" s="11">
        <v>9388642.0</v>
      </c>
      <c r="J1035" s="11">
        <v>0.458</v>
      </c>
      <c r="K1035" s="12" t="s">
        <v>158</v>
      </c>
      <c r="L1035" s="5" t="s">
        <v>84</v>
      </c>
      <c r="M1035" s="9" t="s">
        <v>67</v>
      </c>
    </row>
    <row r="1036">
      <c r="A1036" s="11">
        <v>1035.0</v>
      </c>
      <c r="B1036" s="11">
        <v>0.028</v>
      </c>
      <c r="C1036" s="11">
        <v>0.063</v>
      </c>
      <c r="D1036" s="11">
        <v>62.0</v>
      </c>
      <c r="E1036" s="11">
        <v>59.0</v>
      </c>
      <c r="F1036" s="11">
        <v>0.373</v>
      </c>
      <c r="G1036" s="11">
        <v>0.584</v>
      </c>
      <c r="H1036" s="11">
        <v>0.043</v>
      </c>
      <c r="I1036" s="11">
        <v>9513714.0</v>
      </c>
      <c r="J1036" s="11">
        <v>0.474</v>
      </c>
      <c r="K1036" s="12" t="s">
        <v>158</v>
      </c>
      <c r="L1036" s="5" t="s">
        <v>84</v>
      </c>
      <c r="M1036" s="9" t="s">
        <v>68</v>
      </c>
    </row>
    <row r="1037">
      <c r="A1037" s="11">
        <v>1036.0</v>
      </c>
      <c r="B1037" s="11">
        <v>0.027</v>
      </c>
      <c r="C1037" s="11">
        <v>0.061</v>
      </c>
      <c r="D1037" s="11">
        <v>63.0</v>
      </c>
      <c r="E1037" s="11">
        <v>59.0</v>
      </c>
      <c r="F1037" s="11">
        <v>0.369</v>
      </c>
      <c r="G1037" s="11">
        <v>0.587</v>
      </c>
      <c r="H1037" s="11">
        <v>0.044</v>
      </c>
      <c r="I1037" s="11">
        <v>9638255.0</v>
      </c>
      <c r="J1037" s="11">
        <v>0.49</v>
      </c>
      <c r="K1037" s="12" t="s">
        <v>158</v>
      </c>
      <c r="L1037" s="5" t="s">
        <v>84</v>
      </c>
      <c r="M1037" s="9" t="s">
        <v>69</v>
      </c>
    </row>
    <row r="1038">
      <c r="A1038" s="11">
        <v>1037.0</v>
      </c>
      <c r="B1038" s="11">
        <v>0.027</v>
      </c>
      <c r="C1038" s="11">
        <v>0.06</v>
      </c>
      <c r="D1038" s="11">
        <v>63.0</v>
      </c>
      <c r="E1038" s="11">
        <v>60.0</v>
      </c>
      <c r="F1038" s="11">
        <v>0.365</v>
      </c>
      <c r="G1038" s="11">
        <v>0.59</v>
      </c>
      <c r="H1038" s="11">
        <v>0.044</v>
      </c>
      <c r="I1038" s="11">
        <v>9765153.0</v>
      </c>
      <c r="J1038" s="11">
        <v>0.505</v>
      </c>
      <c r="K1038" s="12" t="s">
        <v>158</v>
      </c>
      <c r="L1038" s="5" t="s">
        <v>84</v>
      </c>
      <c r="M1038" s="9" t="s">
        <v>70</v>
      </c>
    </row>
    <row r="1039">
      <c r="A1039" s="11">
        <v>1038.0</v>
      </c>
      <c r="B1039" s="11">
        <v>0.027</v>
      </c>
      <c r="C1039" s="11">
        <v>0.073</v>
      </c>
      <c r="D1039" s="11">
        <v>64.0</v>
      </c>
      <c r="E1039" s="11">
        <v>60.0</v>
      </c>
      <c r="F1039" s="11">
        <v>0.362</v>
      </c>
      <c r="G1039" s="11">
        <v>0.594</v>
      </c>
      <c r="H1039" s="11">
        <v>0.045</v>
      </c>
      <c r="I1039" s="11">
        <v>9896400.0</v>
      </c>
      <c r="J1039" s="11">
        <v>0.52</v>
      </c>
      <c r="K1039" s="12" t="s">
        <v>158</v>
      </c>
      <c r="L1039" s="5" t="s">
        <v>84</v>
      </c>
      <c r="M1039" s="9" t="s">
        <v>71</v>
      </c>
    </row>
    <row r="1040">
      <c r="A1040" s="11">
        <v>1039.0</v>
      </c>
      <c r="B1040" s="11">
        <v>0.026</v>
      </c>
      <c r="C1040" s="11">
        <v>0.057</v>
      </c>
      <c r="D1040" s="11">
        <v>64.0</v>
      </c>
      <c r="E1040" s="11">
        <v>61.0</v>
      </c>
      <c r="F1040" s="11">
        <v>0.358</v>
      </c>
      <c r="G1040" s="11">
        <v>0.598</v>
      </c>
      <c r="H1040" s="11">
        <v>0.045</v>
      </c>
      <c r="I1040" s="11">
        <v>1.0032864E7</v>
      </c>
      <c r="J1040" s="11">
        <v>0.535</v>
      </c>
      <c r="K1040" s="12" t="s">
        <v>158</v>
      </c>
      <c r="L1040" s="5" t="s">
        <v>84</v>
      </c>
      <c r="M1040" s="9" t="s">
        <v>72</v>
      </c>
    </row>
    <row r="1041">
      <c r="A1041" s="11">
        <v>1040.0</v>
      </c>
      <c r="B1041" s="11">
        <v>0.026</v>
      </c>
      <c r="C1041" s="11">
        <v>0.056</v>
      </c>
      <c r="D1041" s="11">
        <v>65.0</v>
      </c>
      <c r="E1041" s="11">
        <v>61.0</v>
      </c>
      <c r="F1041" s="11">
        <v>0.354</v>
      </c>
      <c r="G1041" s="11">
        <v>0.601</v>
      </c>
      <c r="H1041" s="11">
        <v>0.045</v>
      </c>
      <c r="I1041" s="11">
        <v>1.0173775E7</v>
      </c>
      <c r="J1041" s="11">
        <v>0.548</v>
      </c>
      <c r="K1041" s="12" t="s">
        <v>158</v>
      </c>
      <c r="L1041" s="5" t="s">
        <v>84</v>
      </c>
      <c r="M1041" s="9" t="s">
        <v>73</v>
      </c>
    </row>
    <row r="1042">
      <c r="A1042" s="11">
        <v>1041.0</v>
      </c>
      <c r="B1042" s="11">
        <v>0.032</v>
      </c>
      <c r="C1042" s="11">
        <v>0.031</v>
      </c>
      <c r="D1042" s="11">
        <v>73.0</v>
      </c>
      <c r="E1042" s="11">
        <v>68.0</v>
      </c>
      <c r="F1042" s="11">
        <v>0.424</v>
      </c>
      <c r="G1042" s="11">
        <v>0.537</v>
      </c>
      <c r="H1042" s="11">
        <v>0.039</v>
      </c>
      <c r="I1042" s="11">
        <v>6235561.0</v>
      </c>
      <c r="J1042" s="11">
        <v>0.455</v>
      </c>
      <c r="K1042" s="12" t="s">
        <v>159</v>
      </c>
      <c r="L1042" s="5" t="s">
        <v>84</v>
      </c>
      <c r="M1042" s="9" t="s">
        <v>60</v>
      </c>
    </row>
    <row r="1043">
      <c r="A1043" s="11">
        <v>1042.0</v>
      </c>
      <c r="B1043" s="11">
        <v>0.031</v>
      </c>
      <c r="C1043" s="11">
        <v>0.03</v>
      </c>
      <c r="D1043" s="11">
        <v>73.0</v>
      </c>
      <c r="E1043" s="11">
        <v>68.0</v>
      </c>
      <c r="F1043" s="11">
        <v>0.419</v>
      </c>
      <c r="G1043" s="11">
        <v>0.541</v>
      </c>
      <c r="H1043" s="11">
        <v>0.04</v>
      </c>
      <c r="I1043" s="11">
        <v>6365040.0</v>
      </c>
      <c r="J1043" s="11">
        <v>0.46</v>
      </c>
      <c r="K1043" s="12" t="s">
        <v>159</v>
      </c>
      <c r="L1043" s="5" t="s">
        <v>84</v>
      </c>
      <c r="M1043" s="9" t="s">
        <v>62</v>
      </c>
    </row>
    <row r="1044">
      <c r="A1044" s="11">
        <v>1043.0</v>
      </c>
      <c r="B1044" s="11">
        <v>0.03</v>
      </c>
      <c r="C1044" s="11">
        <v>0.029</v>
      </c>
      <c r="D1044" s="11">
        <v>73.0</v>
      </c>
      <c r="E1044" s="11">
        <v>69.0</v>
      </c>
      <c r="F1044" s="11">
        <v>0.414</v>
      </c>
      <c r="G1044" s="11">
        <v>0.545</v>
      </c>
      <c r="H1044" s="11">
        <v>0.04</v>
      </c>
      <c r="I1044" s="11">
        <v>6495801.0</v>
      </c>
      <c r="J1044" s="11">
        <v>0.466</v>
      </c>
      <c r="K1044" s="12" t="s">
        <v>159</v>
      </c>
      <c r="L1044" s="5" t="s">
        <v>84</v>
      </c>
      <c r="M1044" s="9" t="s">
        <v>63</v>
      </c>
    </row>
    <row r="1045">
      <c r="A1045" s="11">
        <v>1044.0</v>
      </c>
      <c r="B1045" s="11">
        <v>0.03</v>
      </c>
      <c r="C1045" s="11">
        <v>0.028</v>
      </c>
      <c r="D1045" s="11">
        <v>74.0</v>
      </c>
      <c r="E1045" s="11">
        <v>69.0</v>
      </c>
      <c r="F1045" s="11">
        <v>0.409</v>
      </c>
      <c r="G1045" s="11">
        <v>0.55</v>
      </c>
      <c r="H1045" s="11">
        <v>0.041</v>
      </c>
      <c r="I1045" s="11">
        <v>6628171.0</v>
      </c>
      <c r="J1045" s="11">
        <v>0.472</v>
      </c>
      <c r="K1045" s="12" t="s">
        <v>159</v>
      </c>
      <c r="L1045" s="5" t="s">
        <v>84</v>
      </c>
      <c r="M1045" s="9" t="s">
        <v>64</v>
      </c>
    </row>
    <row r="1046">
      <c r="A1046" s="11">
        <v>1045.0</v>
      </c>
      <c r="B1046" s="11">
        <v>0.029</v>
      </c>
      <c r="C1046" s="11">
        <v>0.027</v>
      </c>
      <c r="D1046" s="11">
        <v>74.0</v>
      </c>
      <c r="E1046" s="11">
        <v>69.0</v>
      </c>
      <c r="F1046" s="11">
        <v>0.404</v>
      </c>
      <c r="G1046" s="11">
        <v>0.555</v>
      </c>
      <c r="H1046" s="11">
        <v>0.041</v>
      </c>
      <c r="I1046" s="11">
        <v>6762426.0</v>
      </c>
      <c r="J1046" s="11">
        <v>0.479</v>
      </c>
      <c r="K1046" s="12" t="s">
        <v>159</v>
      </c>
      <c r="L1046" s="5" t="s">
        <v>84</v>
      </c>
      <c r="M1046" s="9" t="s">
        <v>65</v>
      </c>
    </row>
    <row r="1047">
      <c r="A1047" s="11">
        <v>1046.0</v>
      </c>
      <c r="B1047" s="11">
        <v>0.029</v>
      </c>
      <c r="C1047" s="11">
        <v>0.026</v>
      </c>
      <c r="D1047" s="11">
        <v>74.0</v>
      </c>
      <c r="E1047" s="11">
        <v>69.0</v>
      </c>
      <c r="F1047" s="11">
        <v>0.398</v>
      </c>
      <c r="G1047" s="11">
        <v>0.56</v>
      </c>
      <c r="H1047" s="11">
        <v>0.041</v>
      </c>
      <c r="I1047" s="11">
        <v>6898825.0</v>
      </c>
      <c r="J1047" s="11">
        <v>0.485</v>
      </c>
      <c r="K1047" s="12" t="s">
        <v>159</v>
      </c>
      <c r="L1047" s="5" t="s">
        <v>84</v>
      </c>
      <c r="M1047" s="9" t="s">
        <v>66</v>
      </c>
    </row>
    <row r="1048">
      <c r="A1048" s="11">
        <v>1047.0</v>
      </c>
      <c r="B1048" s="11">
        <v>0.028</v>
      </c>
      <c r="C1048" s="11">
        <v>0.025</v>
      </c>
      <c r="D1048" s="11">
        <v>74.0</v>
      </c>
      <c r="E1048" s="11">
        <v>69.0</v>
      </c>
      <c r="F1048" s="11">
        <v>0.392</v>
      </c>
      <c r="G1048" s="11">
        <v>0.566</v>
      </c>
      <c r="H1048" s="11">
        <v>0.042</v>
      </c>
      <c r="I1048" s="11">
        <v>7037428.0</v>
      </c>
      <c r="J1048" s="11">
        <v>0.492</v>
      </c>
      <c r="K1048" s="12" t="s">
        <v>159</v>
      </c>
      <c r="L1048" s="5" t="s">
        <v>84</v>
      </c>
      <c r="M1048" s="9" t="s">
        <v>67</v>
      </c>
    </row>
    <row r="1049">
      <c r="A1049" s="11">
        <v>1048.0</v>
      </c>
      <c r="B1049" s="11">
        <v>0.028</v>
      </c>
      <c r="C1049" s="11">
        <v>0.024</v>
      </c>
      <c r="D1049" s="11">
        <v>74.0</v>
      </c>
      <c r="E1049" s="11">
        <v>70.0</v>
      </c>
      <c r="F1049" s="11">
        <v>0.386</v>
      </c>
      <c r="G1049" s="11">
        <v>0.572</v>
      </c>
      <c r="H1049" s="11">
        <v>0.042</v>
      </c>
      <c r="I1049" s="11">
        <v>7178436.0</v>
      </c>
      <c r="J1049" s="11">
        <v>0.498</v>
      </c>
      <c r="K1049" s="12" t="s">
        <v>159</v>
      </c>
      <c r="L1049" s="5" t="s">
        <v>84</v>
      </c>
      <c r="M1049" s="9" t="s">
        <v>68</v>
      </c>
    </row>
    <row r="1050">
      <c r="A1050" s="11">
        <v>1049.0</v>
      </c>
      <c r="B1050" s="11">
        <v>0.028</v>
      </c>
      <c r="C1050" s="11">
        <v>0.023</v>
      </c>
      <c r="D1050" s="11">
        <v>75.0</v>
      </c>
      <c r="E1050" s="11">
        <v>70.0</v>
      </c>
      <c r="F1050" s="11">
        <v>0.38</v>
      </c>
      <c r="G1050" s="11">
        <v>0.578</v>
      </c>
      <c r="H1050" s="11">
        <v>0.042</v>
      </c>
      <c r="I1050" s="11">
        <v>7322368.0</v>
      </c>
      <c r="J1050" s="11">
        <v>0.504</v>
      </c>
      <c r="K1050" s="12" t="s">
        <v>159</v>
      </c>
      <c r="L1050" s="5" t="s">
        <v>84</v>
      </c>
      <c r="M1050" s="9" t="s">
        <v>69</v>
      </c>
    </row>
    <row r="1051">
      <c r="A1051" s="11">
        <v>1050.0</v>
      </c>
      <c r="B1051" s="11">
        <v>0.027</v>
      </c>
      <c r="C1051" s="11">
        <v>0.022</v>
      </c>
      <c r="D1051" s="11">
        <v>75.0</v>
      </c>
      <c r="E1051" s="11">
        <v>70.0</v>
      </c>
      <c r="F1051" s="11">
        <v>0.374</v>
      </c>
      <c r="G1051" s="11">
        <v>0.584</v>
      </c>
      <c r="H1051" s="11">
        <v>0.043</v>
      </c>
      <c r="I1051" s="11">
        <v>7469844.0</v>
      </c>
      <c r="J1051" s="11">
        <v>0.511</v>
      </c>
      <c r="K1051" s="12" t="s">
        <v>159</v>
      </c>
      <c r="L1051" s="5" t="s">
        <v>84</v>
      </c>
      <c r="M1051" s="9" t="s">
        <v>70</v>
      </c>
    </row>
    <row r="1052">
      <c r="A1052" s="11">
        <v>1051.0</v>
      </c>
      <c r="B1052" s="11">
        <v>0.027</v>
      </c>
      <c r="C1052" s="11">
        <v>0.021</v>
      </c>
      <c r="D1052" s="11">
        <v>75.0</v>
      </c>
      <c r="E1052" s="11">
        <v>70.0</v>
      </c>
      <c r="F1052" s="11">
        <v>0.368</v>
      </c>
      <c r="G1052" s="11">
        <v>0.589</v>
      </c>
      <c r="H1052" s="11">
        <v>0.043</v>
      </c>
      <c r="I1052" s="11">
        <v>7621204.0</v>
      </c>
      <c r="J1052" s="11">
        <v>0.517</v>
      </c>
      <c r="K1052" s="12" t="s">
        <v>159</v>
      </c>
      <c r="L1052" s="5" t="s">
        <v>84</v>
      </c>
      <c r="M1052" s="9" t="s">
        <v>71</v>
      </c>
    </row>
    <row r="1053">
      <c r="A1053" s="11">
        <v>1052.0</v>
      </c>
      <c r="B1053" s="11">
        <v>0.026</v>
      </c>
      <c r="C1053" s="11">
        <v>0.02</v>
      </c>
      <c r="D1053" s="11">
        <v>76.0</v>
      </c>
      <c r="E1053" s="11">
        <v>71.0</v>
      </c>
      <c r="F1053" s="11">
        <v>0.362</v>
      </c>
      <c r="G1053" s="11">
        <v>0.594</v>
      </c>
      <c r="H1053" s="11">
        <v>0.043</v>
      </c>
      <c r="I1053" s="11">
        <v>7776669.0</v>
      </c>
      <c r="J1053" s="11">
        <v>0.523</v>
      </c>
      <c r="K1053" s="12" t="s">
        <v>159</v>
      </c>
      <c r="L1053" s="5" t="s">
        <v>84</v>
      </c>
      <c r="M1053" s="9" t="s">
        <v>72</v>
      </c>
    </row>
    <row r="1054">
      <c r="A1054" s="11">
        <v>1053.0</v>
      </c>
      <c r="B1054" s="11">
        <v>0.026</v>
      </c>
      <c r="C1054" s="11">
        <v>0.02</v>
      </c>
      <c r="D1054" s="11">
        <v>76.0</v>
      </c>
      <c r="E1054" s="11">
        <v>71.0</v>
      </c>
      <c r="F1054" s="11">
        <v>0.357</v>
      </c>
      <c r="G1054" s="11">
        <v>0.599</v>
      </c>
      <c r="H1054" s="11">
        <v>0.044</v>
      </c>
      <c r="I1054" s="11">
        <v>7935846.0</v>
      </c>
      <c r="J1054" s="11">
        <v>0.529</v>
      </c>
      <c r="K1054" s="12" t="s">
        <v>159</v>
      </c>
      <c r="L1054" s="5" t="s">
        <v>84</v>
      </c>
      <c r="M1054" s="9" t="s">
        <v>73</v>
      </c>
    </row>
    <row r="1055">
      <c r="A1055" s="11">
        <v>1054.0</v>
      </c>
      <c r="B1055" s="11">
        <v>0.008</v>
      </c>
      <c r="C1055" s="8"/>
      <c r="D1055" s="11">
        <v>84.0</v>
      </c>
      <c r="E1055" s="11">
        <v>78.0</v>
      </c>
      <c r="F1055" s="11">
        <v>0.173</v>
      </c>
      <c r="G1055" s="11">
        <v>0.717</v>
      </c>
      <c r="H1055" s="11">
        <v>0.11</v>
      </c>
      <c r="I1055" s="11">
        <v>6665000.0</v>
      </c>
      <c r="J1055" s="11">
        <v>1.0</v>
      </c>
      <c r="K1055" s="12" t="s">
        <v>160</v>
      </c>
      <c r="L1055" s="5" t="s">
        <v>61</v>
      </c>
      <c r="M1055" s="9" t="s">
        <v>60</v>
      </c>
    </row>
    <row r="1056">
      <c r="A1056" s="11">
        <v>1055.0</v>
      </c>
      <c r="B1056" s="11">
        <v>0.007</v>
      </c>
      <c r="C1056" s="8"/>
      <c r="D1056" s="11">
        <v>85.0</v>
      </c>
      <c r="E1056" s="11">
        <v>78.0</v>
      </c>
      <c r="F1056" s="11">
        <v>0.167</v>
      </c>
      <c r="G1056" s="11">
        <v>0.72</v>
      </c>
      <c r="H1056" s="11">
        <v>0.112</v>
      </c>
      <c r="I1056" s="11">
        <v>6714300.0</v>
      </c>
      <c r="J1056" s="11">
        <v>1.0</v>
      </c>
      <c r="K1056" s="12" t="s">
        <v>160</v>
      </c>
      <c r="L1056" s="5" t="s">
        <v>61</v>
      </c>
      <c r="M1056" s="9" t="s">
        <v>62</v>
      </c>
    </row>
    <row r="1057">
      <c r="A1057" s="11">
        <v>1056.0</v>
      </c>
      <c r="B1057" s="11">
        <v>0.007</v>
      </c>
      <c r="C1057" s="8"/>
      <c r="D1057" s="11">
        <v>85.0</v>
      </c>
      <c r="E1057" s="11">
        <v>79.0</v>
      </c>
      <c r="F1057" s="11">
        <v>0.161</v>
      </c>
      <c r="G1057" s="11">
        <v>0.724</v>
      </c>
      <c r="H1057" s="11">
        <v>0.115</v>
      </c>
      <c r="I1057" s="11">
        <v>6744100.0</v>
      </c>
      <c r="J1057" s="11">
        <v>1.0</v>
      </c>
      <c r="K1057" s="12" t="s">
        <v>160</v>
      </c>
      <c r="L1057" s="5" t="s">
        <v>61</v>
      </c>
      <c r="M1057" s="9" t="s">
        <v>63</v>
      </c>
    </row>
    <row r="1058">
      <c r="A1058" s="11">
        <v>1057.0</v>
      </c>
      <c r="B1058" s="11">
        <v>0.007</v>
      </c>
      <c r="C1058" s="8"/>
      <c r="D1058" s="11">
        <v>84.0</v>
      </c>
      <c r="E1058" s="11">
        <v>79.0</v>
      </c>
      <c r="F1058" s="11">
        <v>0.155</v>
      </c>
      <c r="G1058" s="11">
        <v>0.728</v>
      </c>
      <c r="H1058" s="11">
        <v>0.117</v>
      </c>
      <c r="I1058" s="11">
        <v>6730800.0</v>
      </c>
      <c r="J1058" s="11">
        <v>1.0</v>
      </c>
      <c r="K1058" s="12" t="s">
        <v>160</v>
      </c>
      <c r="L1058" s="5" t="s">
        <v>61</v>
      </c>
      <c r="M1058" s="9" t="s">
        <v>64</v>
      </c>
    </row>
    <row r="1059">
      <c r="A1059" s="11">
        <v>1058.0</v>
      </c>
      <c r="B1059" s="11">
        <v>0.007</v>
      </c>
      <c r="C1059" s="8"/>
      <c r="D1059" s="11">
        <v>85.0</v>
      </c>
      <c r="E1059" s="11">
        <v>79.0</v>
      </c>
      <c r="F1059" s="11">
        <v>0.148</v>
      </c>
      <c r="G1059" s="11">
        <v>0.732</v>
      </c>
      <c r="H1059" s="11">
        <v>0.119</v>
      </c>
      <c r="I1059" s="11">
        <v>6783500.0</v>
      </c>
      <c r="J1059" s="11">
        <v>1.0</v>
      </c>
      <c r="K1059" s="12" t="s">
        <v>160</v>
      </c>
      <c r="L1059" s="5" t="s">
        <v>61</v>
      </c>
      <c r="M1059" s="9" t="s">
        <v>65</v>
      </c>
    </row>
    <row r="1060">
      <c r="A1060" s="11">
        <v>1059.0</v>
      </c>
      <c r="B1060" s="11">
        <v>0.008</v>
      </c>
      <c r="C1060" s="8"/>
      <c r="D1060" s="11">
        <v>85.0</v>
      </c>
      <c r="E1060" s="11">
        <v>79.0</v>
      </c>
      <c r="F1060" s="11">
        <v>0.142</v>
      </c>
      <c r="G1060" s="11">
        <v>0.736</v>
      </c>
      <c r="H1060" s="11">
        <v>0.121</v>
      </c>
      <c r="I1060" s="11">
        <v>6813200.0</v>
      </c>
      <c r="J1060" s="11">
        <v>1.0</v>
      </c>
      <c r="K1060" s="12" t="s">
        <v>160</v>
      </c>
      <c r="L1060" s="5" t="s">
        <v>61</v>
      </c>
      <c r="M1060" s="9" t="s">
        <v>66</v>
      </c>
    </row>
    <row r="1061">
      <c r="A1061" s="11">
        <v>1060.0</v>
      </c>
      <c r="B1061" s="11">
        <v>0.01</v>
      </c>
      <c r="C1061" s="8"/>
      <c r="D1061" s="11">
        <v>86.0</v>
      </c>
      <c r="E1061" s="11">
        <v>79.0</v>
      </c>
      <c r="F1061" s="11">
        <v>0.137</v>
      </c>
      <c r="G1061" s="11">
        <v>0.74</v>
      </c>
      <c r="H1061" s="11">
        <v>0.123</v>
      </c>
      <c r="I1061" s="11">
        <v>6857100.0</v>
      </c>
      <c r="J1061" s="11">
        <v>1.0</v>
      </c>
      <c r="K1061" s="12" t="s">
        <v>160</v>
      </c>
      <c r="L1061" s="5" t="s">
        <v>61</v>
      </c>
      <c r="M1061" s="9" t="s">
        <v>67</v>
      </c>
    </row>
    <row r="1062">
      <c r="A1062" s="11">
        <v>1061.0</v>
      </c>
      <c r="B1062" s="11">
        <v>0.01</v>
      </c>
      <c r="C1062" s="8"/>
      <c r="D1062" s="11">
        <v>85.0</v>
      </c>
      <c r="E1062" s="11">
        <v>79.0</v>
      </c>
      <c r="F1062" s="11">
        <v>0.132</v>
      </c>
      <c r="G1062" s="11">
        <v>0.744</v>
      </c>
      <c r="H1062" s="11">
        <v>0.124</v>
      </c>
      <c r="I1062" s="11">
        <v>6916300.0</v>
      </c>
      <c r="J1062" s="11">
        <v>1.0</v>
      </c>
      <c r="K1062" s="12" t="s">
        <v>160</v>
      </c>
      <c r="L1062" s="5" t="s">
        <v>61</v>
      </c>
      <c r="M1062" s="9" t="s">
        <v>68</v>
      </c>
    </row>
    <row r="1063">
      <c r="A1063" s="11">
        <v>1062.0</v>
      </c>
      <c r="B1063" s="11">
        <v>0.011</v>
      </c>
      <c r="C1063" s="8"/>
      <c r="D1063" s="11">
        <v>86.0</v>
      </c>
      <c r="E1063" s="11">
        <v>79.0</v>
      </c>
      <c r="F1063" s="11">
        <v>0.128</v>
      </c>
      <c r="G1063" s="11">
        <v>0.747</v>
      </c>
      <c r="H1063" s="11">
        <v>0.125</v>
      </c>
      <c r="I1063" s="11">
        <v>6957800.0</v>
      </c>
      <c r="J1063" s="11">
        <v>1.0</v>
      </c>
      <c r="K1063" s="12" t="s">
        <v>160</v>
      </c>
      <c r="L1063" s="5" t="s">
        <v>61</v>
      </c>
      <c r="M1063" s="9" t="s">
        <v>69</v>
      </c>
    </row>
    <row r="1064">
      <c r="A1064" s="11">
        <v>1063.0</v>
      </c>
      <c r="B1064" s="11">
        <v>0.012</v>
      </c>
      <c r="C1064" s="8"/>
      <c r="D1064" s="11">
        <v>86.0</v>
      </c>
      <c r="E1064" s="11">
        <v>80.0</v>
      </c>
      <c r="F1064" s="11">
        <v>0.124</v>
      </c>
      <c r="G1064" s="11">
        <v>0.749</v>
      </c>
      <c r="H1064" s="11">
        <v>0.127</v>
      </c>
      <c r="I1064" s="11">
        <v>6972800.0</v>
      </c>
      <c r="J1064" s="11">
        <v>1.0</v>
      </c>
      <c r="K1064" s="12" t="s">
        <v>160</v>
      </c>
      <c r="L1064" s="5" t="s">
        <v>61</v>
      </c>
      <c r="M1064" s="9" t="s">
        <v>70</v>
      </c>
    </row>
    <row r="1065">
      <c r="A1065" s="11">
        <v>1064.0</v>
      </c>
      <c r="B1065" s="11">
        <v>0.013</v>
      </c>
      <c r="C1065" s="8"/>
      <c r="D1065" s="11">
        <v>86.0</v>
      </c>
      <c r="E1065" s="11">
        <v>80.0</v>
      </c>
      <c r="F1065" s="11">
        <v>0.121</v>
      </c>
      <c r="G1065" s="11">
        <v>0.75</v>
      </c>
      <c r="H1065" s="11">
        <v>0.129</v>
      </c>
      <c r="I1065" s="11">
        <v>7024200.0</v>
      </c>
      <c r="J1065" s="11">
        <v>1.0</v>
      </c>
      <c r="K1065" s="12" t="s">
        <v>160</v>
      </c>
      <c r="L1065" s="5" t="s">
        <v>61</v>
      </c>
      <c r="M1065" s="9" t="s">
        <v>71</v>
      </c>
    </row>
    <row r="1066">
      <c r="A1066" s="11">
        <v>1065.0</v>
      </c>
      <c r="B1066" s="11">
        <v>0.014</v>
      </c>
      <c r="C1066" s="8"/>
      <c r="D1066" s="11">
        <v>87.0</v>
      </c>
      <c r="E1066" s="11">
        <v>80.0</v>
      </c>
      <c r="F1066" s="11">
        <v>0.119</v>
      </c>
      <c r="G1066" s="11">
        <v>0.749</v>
      </c>
      <c r="H1066" s="11">
        <v>0.132</v>
      </c>
      <c r="I1066" s="11">
        <v>7071600.0</v>
      </c>
      <c r="J1066" s="11">
        <v>1.0</v>
      </c>
      <c r="K1066" s="12" t="s">
        <v>160</v>
      </c>
      <c r="L1066" s="5" t="s">
        <v>61</v>
      </c>
      <c r="M1066" s="9" t="s">
        <v>72</v>
      </c>
    </row>
    <row r="1067">
      <c r="A1067" s="11">
        <v>1066.0</v>
      </c>
      <c r="B1067" s="11">
        <v>0.013</v>
      </c>
      <c r="C1067" s="8"/>
      <c r="D1067" s="11">
        <v>86.0</v>
      </c>
      <c r="E1067" s="11">
        <v>81.0</v>
      </c>
      <c r="F1067" s="11">
        <v>0.118</v>
      </c>
      <c r="G1067" s="11">
        <v>0.747</v>
      </c>
      <c r="H1067" s="11">
        <v>0.136</v>
      </c>
      <c r="I1067" s="11">
        <v>7154600.0</v>
      </c>
      <c r="J1067" s="11">
        <v>1.0</v>
      </c>
      <c r="K1067" s="12" t="s">
        <v>160</v>
      </c>
      <c r="L1067" s="5" t="s">
        <v>61</v>
      </c>
      <c r="M1067" s="9" t="s">
        <v>73</v>
      </c>
    </row>
    <row r="1068">
      <c r="A1068" s="11">
        <v>1067.0</v>
      </c>
      <c r="B1068" s="11">
        <v>0.01</v>
      </c>
      <c r="C1068" s="11">
        <v>0.01</v>
      </c>
      <c r="D1068" s="11">
        <v>76.0</v>
      </c>
      <c r="E1068" s="11">
        <v>67.0</v>
      </c>
      <c r="F1068" s="11">
        <v>0.168</v>
      </c>
      <c r="G1068" s="11">
        <v>0.68</v>
      </c>
      <c r="H1068" s="11">
        <v>0.151</v>
      </c>
      <c r="I1068" s="11">
        <v>1.0210971E7</v>
      </c>
      <c r="J1068" s="11">
        <v>0.646</v>
      </c>
      <c r="K1068" s="12" t="s">
        <v>161</v>
      </c>
      <c r="L1068" s="5" t="s">
        <v>75</v>
      </c>
      <c r="M1068" s="9" t="s">
        <v>60</v>
      </c>
    </row>
    <row r="1069">
      <c r="A1069" s="11">
        <v>1068.0</v>
      </c>
      <c r="B1069" s="11">
        <v>0.01</v>
      </c>
      <c r="C1069" s="11">
        <v>0.009</v>
      </c>
      <c r="D1069" s="11">
        <v>77.0</v>
      </c>
      <c r="E1069" s="11">
        <v>68.0</v>
      </c>
      <c r="F1069" s="11">
        <v>0.166</v>
      </c>
      <c r="G1069" s="11">
        <v>0.682</v>
      </c>
      <c r="H1069" s="11">
        <v>0.153</v>
      </c>
      <c r="I1069" s="11">
        <v>1.0187576E7</v>
      </c>
      <c r="J1069" s="11">
        <v>0.647</v>
      </c>
      <c r="K1069" s="12" t="s">
        <v>161</v>
      </c>
      <c r="L1069" s="5" t="s">
        <v>75</v>
      </c>
      <c r="M1069" s="9" t="s">
        <v>62</v>
      </c>
    </row>
    <row r="1070">
      <c r="A1070" s="11">
        <v>1069.0</v>
      </c>
      <c r="B1070" s="11">
        <v>0.01</v>
      </c>
      <c r="C1070" s="11">
        <v>0.009</v>
      </c>
      <c r="D1070" s="11">
        <v>77.0</v>
      </c>
      <c r="E1070" s="11">
        <v>68.0</v>
      </c>
      <c r="F1070" s="11">
        <v>0.163</v>
      </c>
      <c r="G1070" s="11">
        <v>0.683</v>
      </c>
      <c r="H1070" s="11">
        <v>0.154</v>
      </c>
      <c r="I1070" s="11">
        <v>1.0158608E7</v>
      </c>
      <c r="J1070" s="11">
        <v>0.651</v>
      </c>
      <c r="K1070" s="12" t="s">
        <v>161</v>
      </c>
      <c r="L1070" s="5" t="s">
        <v>75</v>
      </c>
      <c r="M1070" s="9" t="s">
        <v>63</v>
      </c>
    </row>
    <row r="1071">
      <c r="A1071" s="11">
        <v>1070.0</v>
      </c>
      <c r="B1071" s="11">
        <v>0.009</v>
      </c>
      <c r="C1071" s="11">
        <v>0.008</v>
      </c>
      <c r="D1071" s="11">
        <v>77.0</v>
      </c>
      <c r="E1071" s="11">
        <v>68.0</v>
      </c>
      <c r="F1071" s="11">
        <v>0.16</v>
      </c>
      <c r="G1071" s="11">
        <v>0.685</v>
      </c>
      <c r="H1071" s="11">
        <v>0.155</v>
      </c>
      <c r="I1071" s="11">
        <v>1.0129552E7</v>
      </c>
      <c r="J1071" s="11">
        <v>0.655</v>
      </c>
      <c r="K1071" s="12" t="s">
        <v>161</v>
      </c>
      <c r="L1071" s="5" t="s">
        <v>75</v>
      </c>
      <c r="M1071" s="9" t="s">
        <v>64</v>
      </c>
    </row>
    <row r="1072">
      <c r="A1072" s="11">
        <v>1071.0</v>
      </c>
      <c r="B1072" s="11">
        <v>0.009</v>
      </c>
      <c r="C1072" s="11">
        <v>0.008</v>
      </c>
      <c r="D1072" s="11">
        <v>77.0</v>
      </c>
      <c r="E1072" s="11">
        <v>69.0</v>
      </c>
      <c r="F1072" s="11">
        <v>0.158</v>
      </c>
      <c r="G1072" s="11">
        <v>0.687</v>
      </c>
      <c r="H1072" s="11">
        <v>0.156</v>
      </c>
      <c r="I1072" s="11">
        <v>1.0107146E7</v>
      </c>
      <c r="J1072" s="11">
        <v>0.659</v>
      </c>
      <c r="K1072" s="12" t="s">
        <v>161</v>
      </c>
      <c r="L1072" s="5" t="s">
        <v>75</v>
      </c>
      <c r="M1072" s="9" t="s">
        <v>65</v>
      </c>
    </row>
    <row r="1073">
      <c r="A1073" s="11">
        <v>1072.0</v>
      </c>
      <c r="B1073" s="11">
        <v>0.01</v>
      </c>
      <c r="C1073" s="11">
        <v>0.007</v>
      </c>
      <c r="D1073" s="11">
        <v>77.0</v>
      </c>
      <c r="E1073" s="11">
        <v>69.0</v>
      </c>
      <c r="F1073" s="11">
        <v>0.155</v>
      </c>
      <c r="G1073" s="11">
        <v>0.688</v>
      </c>
      <c r="H1073" s="11">
        <v>0.157</v>
      </c>
      <c r="I1073" s="11">
        <v>1.0087065E7</v>
      </c>
      <c r="J1073" s="11">
        <v>0.664</v>
      </c>
      <c r="K1073" s="12" t="s">
        <v>161</v>
      </c>
      <c r="L1073" s="5" t="s">
        <v>75</v>
      </c>
      <c r="M1073" s="9" t="s">
        <v>66</v>
      </c>
    </row>
    <row r="1074">
      <c r="A1074" s="11">
        <v>1073.0</v>
      </c>
      <c r="B1074" s="11">
        <v>0.01</v>
      </c>
      <c r="C1074" s="11">
        <v>0.007</v>
      </c>
      <c r="D1074" s="11">
        <v>77.0</v>
      </c>
      <c r="E1074" s="11">
        <v>69.0</v>
      </c>
      <c r="F1074" s="11">
        <v>0.153</v>
      </c>
      <c r="G1074" s="11">
        <v>0.688</v>
      </c>
      <c r="H1074" s="11">
        <v>0.159</v>
      </c>
      <c r="I1074" s="11">
        <v>1.007137E7</v>
      </c>
      <c r="J1074" s="11">
        <v>0.669</v>
      </c>
      <c r="K1074" s="12" t="s">
        <v>161</v>
      </c>
      <c r="L1074" s="5" t="s">
        <v>75</v>
      </c>
      <c r="M1074" s="9" t="s">
        <v>67</v>
      </c>
    </row>
    <row r="1075">
      <c r="A1075" s="11">
        <v>1074.0</v>
      </c>
      <c r="B1075" s="11">
        <v>0.01</v>
      </c>
      <c r="C1075" s="11">
        <v>0.007</v>
      </c>
      <c r="D1075" s="11">
        <v>77.0</v>
      </c>
      <c r="E1075" s="11">
        <v>69.0</v>
      </c>
      <c r="F1075" s="11">
        <v>0.151</v>
      </c>
      <c r="G1075" s="11">
        <v>0.689</v>
      </c>
      <c r="H1075" s="11">
        <v>0.161</v>
      </c>
      <c r="I1075" s="11">
        <v>1.005578E7</v>
      </c>
      <c r="J1075" s="11">
        <v>0.674</v>
      </c>
      <c r="K1075" s="12" t="s">
        <v>161</v>
      </c>
      <c r="L1075" s="5" t="s">
        <v>75</v>
      </c>
      <c r="M1075" s="9" t="s">
        <v>68</v>
      </c>
    </row>
    <row r="1076">
      <c r="A1076" s="11">
        <v>1075.0</v>
      </c>
      <c r="B1076" s="11">
        <v>0.01</v>
      </c>
      <c r="C1076" s="11">
        <v>0.006</v>
      </c>
      <c r="D1076" s="11">
        <v>78.0</v>
      </c>
      <c r="E1076" s="11">
        <v>70.0</v>
      </c>
      <c r="F1076" s="11">
        <v>0.149</v>
      </c>
      <c r="G1076" s="11">
        <v>0.688</v>
      </c>
      <c r="H1076" s="11">
        <v>0.163</v>
      </c>
      <c r="I1076" s="11">
        <v>1.0038188E7</v>
      </c>
      <c r="J1076" s="11">
        <v>0.679</v>
      </c>
      <c r="K1076" s="12" t="s">
        <v>161</v>
      </c>
      <c r="L1076" s="5" t="s">
        <v>75</v>
      </c>
      <c r="M1076" s="9" t="s">
        <v>69</v>
      </c>
    </row>
    <row r="1077">
      <c r="A1077" s="11">
        <v>1076.0</v>
      </c>
      <c r="B1077" s="11">
        <v>0.01</v>
      </c>
      <c r="C1077" s="11">
        <v>0.006</v>
      </c>
      <c r="D1077" s="11">
        <v>78.0</v>
      </c>
      <c r="E1077" s="11">
        <v>70.0</v>
      </c>
      <c r="F1077" s="11">
        <v>0.147</v>
      </c>
      <c r="G1077" s="11">
        <v>0.687</v>
      </c>
      <c r="H1077" s="11">
        <v>0.165</v>
      </c>
      <c r="I1077" s="11">
        <v>1.002265E7</v>
      </c>
      <c r="J1077" s="11">
        <v>0.684</v>
      </c>
      <c r="K1077" s="12" t="s">
        <v>161</v>
      </c>
      <c r="L1077" s="5" t="s">
        <v>75</v>
      </c>
      <c r="M1077" s="9" t="s">
        <v>70</v>
      </c>
    </row>
    <row r="1078">
      <c r="A1078" s="11">
        <v>1077.0</v>
      </c>
      <c r="B1078" s="11">
        <v>0.009</v>
      </c>
      <c r="C1078" s="11">
        <v>0.006</v>
      </c>
      <c r="D1078" s="11">
        <v>78.0</v>
      </c>
      <c r="E1078" s="11">
        <v>71.0</v>
      </c>
      <c r="F1078" s="11">
        <v>0.146</v>
      </c>
      <c r="G1078" s="11">
        <v>0.686</v>
      </c>
      <c r="H1078" s="11">
        <v>0.167</v>
      </c>
      <c r="I1078" s="11">
        <v>1.0000023E7</v>
      </c>
      <c r="J1078" s="11">
        <v>0.689</v>
      </c>
      <c r="K1078" s="12" t="s">
        <v>161</v>
      </c>
      <c r="L1078" s="5" t="s">
        <v>75</v>
      </c>
      <c r="M1078" s="9" t="s">
        <v>71</v>
      </c>
    </row>
    <row r="1079">
      <c r="A1079" s="11">
        <v>1078.0</v>
      </c>
      <c r="B1079" s="11">
        <v>0.009</v>
      </c>
      <c r="C1079" s="11">
        <v>0.006</v>
      </c>
      <c r="D1079" s="11">
        <v>79.0</v>
      </c>
      <c r="E1079" s="11">
        <v>71.0</v>
      </c>
      <c r="F1079" s="11">
        <v>0.146</v>
      </c>
      <c r="G1079" s="11">
        <v>0.685</v>
      </c>
      <c r="H1079" s="11">
        <v>0.169</v>
      </c>
      <c r="I1079" s="11">
        <v>9971727.0</v>
      </c>
      <c r="J1079" s="11">
        <v>0.693</v>
      </c>
      <c r="K1079" s="12" t="s">
        <v>161</v>
      </c>
      <c r="L1079" s="5" t="s">
        <v>75</v>
      </c>
      <c r="M1079" s="9" t="s">
        <v>72</v>
      </c>
    </row>
    <row r="1080">
      <c r="A1080" s="11">
        <v>1079.0</v>
      </c>
      <c r="B1080" s="11">
        <v>0.009</v>
      </c>
      <c r="C1080" s="11">
        <v>0.005</v>
      </c>
      <c r="D1080" s="11">
        <v>79.0</v>
      </c>
      <c r="E1080" s="11">
        <v>72.0</v>
      </c>
      <c r="F1080" s="11">
        <v>0.146</v>
      </c>
      <c r="G1080" s="11">
        <v>0.683</v>
      </c>
      <c r="H1080" s="11">
        <v>0.17</v>
      </c>
      <c r="I1080" s="11">
        <v>9920362.0</v>
      </c>
      <c r="J1080" s="11">
        <v>0.698</v>
      </c>
      <c r="K1080" s="12" t="s">
        <v>161</v>
      </c>
      <c r="L1080" s="5" t="s">
        <v>75</v>
      </c>
      <c r="M1080" s="9" t="s">
        <v>73</v>
      </c>
    </row>
    <row r="1081">
      <c r="A1081" s="11">
        <v>1080.0</v>
      </c>
      <c r="B1081" s="11">
        <v>0.014</v>
      </c>
      <c r="C1081" s="11">
        <v>0.003</v>
      </c>
      <c r="D1081" s="11">
        <v>82.0</v>
      </c>
      <c r="E1081" s="11">
        <v>78.0</v>
      </c>
      <c r="F1081" s="11">
        <v>0.233</v>
      </c>
      <c r="G1081" s="11">
        <v>0.651</v>
      </c>
      <c r="H1081" s="11">
        <v>0.116</v>
      </c>
      <c r="I1081" s="11">
        <v>281205.0</v>
      </c>
      <c r="J1081" s="11">
        <v>0.924</v>
      </c>
      <c r="K1081" s="12" t="s">
        <v>162</v>
      </c>
      <c r="L1081" s="5" t="s">
        <v>75</v>
      </c>
      <c r="M1081" s="9" t="s">
        <v>60</v>
      </c>
    </row>
    <row r="1082">
      <c r="A1082" s="11">
        <v>1081.0</v>
      </c>
      <c r="B1082" s="11">
        <v>0.014</v>
      </c>
      <c r="C1082" s="11">
        <v>0.003</v>
      </c>
      <c r="D1082" s="11">
        <v>83.0</v>
      </c>
      <c r="E1082" s="11">
        <v>78.0</v>
      </c>
      <c r="F1082" s="11">
        <v>0.23</v>
      </c>
      <c r="G1082" s="11">
        <v>0.653</v>
      </c>
      <c r="H1082" s="11">
        <v>0.116</v>
      </c>
      <c r="I1082" s="11">
        <v>284968.0</v>
      </c>
      <c r="J1082" s="11">
        <v>0.925</v>
      </c>
      <c r="K1082" s="12" t="s">
        <v>162</v>
      </c>
      <c r="L1082" s="5" t="s">
        <v>75</v>
      </c>
      <c r="M1082" s="9" t="s">
        <v>62</v>
      </c>
    </row>
    <row r="1083">
      <c r="A1083" s="11">
        <v>1082.0</v>
      </c>
      <c r="B1083" s="11">
        <v>0.014</v>
      </c>
      <c r="C1083" s="11">
        <v>0.003</v>
      </c>
      <c r="D1083" s="11">
        <v>83.0</v>
      </c>
      <c r="E1083" s="11">
        <v>79.0</v>
      </c>
      <c r="F1083" s="11">
        <v>0.228</v>
      </c>
      <c r="G1083" s="11">
        <v>0.656</v>
      </c>
      <c r="H1083" s="11">
        <v>0.117</v>
      </c>
      <c r="I1083" s="11">
        <v>287523.0</v>
      </c>
      <c r="J1083" s="11">
        <v>0.927</v>
      </c>
      <c r="K1083" s="12" t="s">
        <v>162</v>
      </c>
      <c r="L1083" s="5" t="s">
        <v>75</v>
      </c>
      <c r="M1083" s="9" t="s">
        <v>63</v>
      </c>
    </row>
    <row r="1084">
      <c r="A1084" s="11">
        <v>1083.0</v>
      </c>
      <c r="B1084" s="11">
        <v>0.014</v>
      </c>
      <c r="C1084" s="11">
        <v>0.003</v>
      </c>
      <c r="D1084" s="11">
        <v>83.0</v>
      </c>
      <c r="E1084" s="11">
        <v>80.0</v>
      </c>
      <c r="F1084" s="11">
        <v>0.225</v>
      </c>
      <c r="G1084" s="11">
        <v>0.658</v>
      </c>
      <c r="H1084" s="11">
        <v>0.117</v>
      </c>
      <c r="I1084" s="11">
        <v>289521.0</v>
      </c>
      <c r="J1084" s="11">
        <v>0.928</v>
      </c>
      <c r="K1084" s="12" t="s">
        <v>162</v>
      </c>
      <c r="L1084" s="5" t="s">
        <v>75</v>
      </c>
      <c r="M1084" s="9" t="s">
        <v>64</v>
      </c>
    </row>
    <row r="1085">
      <c r="A1085" s="11">
        <v>1084.0</v>
      </c>
      <c r="B1085" s="11">
        <v>0.015</v>
      </c>
      <c r="C1085" s="11">
        <v>0.003</v>
      </c>
      <c r="D1085" s="11">
        <v>83.0</v>
      </c>
      <c r="E1085" s="11">
        <v>79.0</v>
      </c>
      <c r="F1085" s="11">
        <v>0.223</v>
      </c>
      <c r="G1085" s="11">
        <v>0.66</v>
      </c>
      <c r="H1085" s="11">
        <v>0.117</v>
      </c>
      <c r="I1085" s="11">
        <v>292074.0</v>
      </c>
      <c r="J1085" s="11">
        <v>0.929</v>
      </c>
      <c r="K1085" s="12" t="s">
        <v>162</v>
      </c>
      <c r="L1085" s="5" t="s">
        <v>75</v>
      </c>
      <c r="M1085" s="9" t="s">
        <v>65</v>
      </c>
    </row>
    <row r="1086">
      <c r="A1086" s="11">
        <v>1085.0</v>
      </c>
      <c r="B1086" s="11">
        <v>0.014</v>
      </c>
      <c r="C1086" s="11">
        <v>0.002</v>
      </c>
      <c r="D1086" s="11">
        <v>84.0</v>
      </c>
      <c r="E1086" s="11">
        <v>80.0</v>
      </c>
      <c r="F1086" s="11">
        <v>0.221</v>
      </c>
      <c r="G1086" s="11">
        <v>0.662</v>
      </c>
      <c r="H1086" s="11">
        <v>0.117</v>
      </c>
      <c r="I1086" s="11">
        <v>296734.0</v>
      </c>
      <c r="J1086" s="11">
        <v>0.93</v>
      </c>
      <c r="K1086" s="12" t="s">
        <v>162</v>
      </c>
      <c r="L1086" s="5" t="s">
        <v>75</v>
      </c>
      <c r="M1086" s="9" t="s">
        <v>66</v>
      </c>
    </row>
    <row r="1087">
      <c r="A1087" s="11">
        <v>1086.0</v>
      </c>
      <c r="B1087" s="11">
        <v>0.015</v>
      </c>
      <c r="C1087" s="11">
        <v>0.002</v>
      </c>
      <c r="D1087" s="11">
        <v>83.0</v>
      </c>
      <c r="E1087" s="11">
        <v>80.0</v>
      </c>
      <c r="F1087" s="11">
        <v>0.218</v>
      </c>
      <c r="G1087" s="11">
        <v>0.664</v>
      </c>
      <c r="H1087" s="11">
        <v>0.118</v>
      </c>
      <c r="I1087" s="11">
        <v>303782.0</v>
      </c>
      <c r="J1087" s="11">
        <v>0.932</v>
      </c>
      <c r="K1087" s="12" t="s">
        <v>162</v>
      </c>
      <c r="L1087" s="5" t="s">
        <v>75</v>
      </c>
      <c r="M1087" s="9" t="s">
        <v>67</v>
      </c>
    </row>
    <row r="1088">
      <c r="A1088" s="11">
        <v>1087.0</v>
      </c>
      <c r="B1088" s="11">
        <v>0.015</v>
      </c>
      <c r="C1088" s="11">
        <v>0.002</v>
      </c>
      <c r="D1088" s="11">
        <v>83.0</v>
      </c>
      <c r="E1088" s="11">
        <v>80.0</v>
      </c>
      <c r="F1088" s="11">
        <v>0.215</v>
      </c>
      <c r="G1088" s="11">
        <v>0.666</v>
      </c>
      <c r="H1088" s="11">
        <v>0.118</v>
      </c>
      <c r="I1088" s="11">
        <v>311566.0</v>
      </c>
      <c r="J1088" s="11">
        <v>0.933</v>
      </c>
      <c r="K1088" s="12" t="s">
        <v>162</v>
      </c>
      <c r="L1088" s="5" t="s">
        <v>75</v>
      </c>
      <c r="M1088" s="9" t="s">
        <v>68</v>
      </c>
    </row>
    <row r="1089">
      <c r="A1089" s="11">
        <v>1088.0</v>
      </c>
      <c r="B1089" s="11">
        <v>0.015</v>
      </c>
      <c r="C1089" s="11">
        <v>0.002</v>
      </c>
      <c r="D1089" s="11">
        <v>83.0</v>
      </c>
      <c r="E1089" s="11">
        <v>80.0</v>
      </c>
      <c r="F1089" s="11">
        <v>0.213</v>
      </c>
      <c r="G1089" s="11">
        <v>0.668</v>
      </c>
      <c r="H1089" s="11">
        <v>0.119</v>
      </c>
      <c r="I1089" s="11">
        <v>317414.0</v>
      </c>
      <c r="J1089" s="11">
        <v>0.934</v>
      </c>
      <c r="K1089" s="12" t="s">
        <v>162</v>
      </c>
      <c r="L1089" s="5" t="s">
        <v>75</v>
      </c>
      <c r="M1089" s="9" t="s">
        <v>69</v>
      </c>
    </row>
    <row r="1090">
      <c r="A1090" s="11">
        <v>1089.0</v>
      </c>
      <c r="B1090" s="11">
        <v>0.016</v>
      </c>
      <c r="C1090" s="11">
        <v>0.002</v>
      </c>
      <c r="D1090" s="11">
        <v>84.0</v>
      </c>
      <c r="E1090" s="11">
        <v>80.0</v>
      </c>
      <c r="F1090" s="11">
        <v>0.211</v>
      </c>
      <c r="G1090" s="11">
        <v>0.669</v>
      </c>
      <c r="H1090" s="11">
        <v>0.12</v>
      </c>
      <c r="I1090" s="11">
        <v>318499.0</v>
      </c>
      <c r="J1090" s="11">
        <v>0.935</v>
      </c>
      <c r="K1090" s="12" t="s">
        <v>162</v>
      </c>
      <c r="L1090" s="5" t="s">
        <v>75</v>
      </c>
      <c r="M1090" s="9" t="s">
        <v>70</v>
      </c>
    </row>
    <row r="1091">
      <c r="A1091" s="11">
        <v>1090.0</v>
      </c>
      <c r="B1091" s="11">
        <v>0.015</v>
      </c>
      <c r="C1091" s="11">
        <v>0.002</v>
      </c>
      <c r="D1091" s="11">
        <v>84.0</v>
      </c>
      <c r="E1091" s="11">
        <v>80.0</v>
      </c>
      <c r="F1091" s="11">
        <v>0.209</v>
      </c>
      <c r="G1091" s="11">
        <v>0.669</v>
      </c>
      <c r="H1091" s="11">
        <v>0.121</v>
      </c>
      <c r="I1091" s="11">
        <v>318041.0</v>
      </c>
      <c r="J1091" s="11">
        <v>0.936</v>
      </c>
      <c r="K1091" s="12" t="s">
        <v>162</v>
      </c>
      <c r="L1091" s="5" t="s">
        <v>75</v>
      </c>
      <c r="M1091" s="9" t="s">
        <v>71</v>
      </c>
    </row>
    <row r="1092">
      <c r="A1092" s="11">
        <v>1091.0</v>
      </c>
      <c r="B1092" s="11">
        <v>0.014</v>
      </c>
      <c r="C1092" s="11">
        <v>0.002</v>
      </c>
      <c r="D1092" s="11">
        <v>84.0</v>
      </c>
      <c r="E1092" s="11">
        <v>81.0</v>
      </c>
      <c r="F1092" s="11">
        <v>0.208</v>
      </c>
      <c r="G1092" s="11">
        <v>0.669</v>
      </c>
      <c r="H1092" s="11">
        <v>0.123</v>
      </c>
      <c r="I1092" s="11">
        <v>319014.0</v>
      </c>
      <c r="J1092" s="11">
        <v>0.937</v>
      </c>
      <c r="K1092" s="12" t="s">
        <v>162</v>
      </c>
      <c r="L1092" s="5" t="s">
        <v>75</v>
      </c>
      <c r="M1092" s="9" t="s">
        <v>72</v>
      </c>
    </row>
    <row r="1093">
      <c r="A1093" s="11">
        <v>1092.0</v>
      </c>
      <c r="B1093" s="11">
        <v>0.014</v>
      </c>
      <c r="C1093" s="11">
        <v>0.002</v>
      </c>
      <c r="D1093" s="11">
        <v>84.0</v>
      </c>
      <c r="E1093" s="11">
        <v>82.0</v>
      </c>
      <c r="F1093" s="11">
        <v>0.207</v>
      </c>
      <c r="G1093" s="11">
        <v>0.667</v>
      </c>
      <c r="H1093" s="11">
        <v>0.126</v>
      </c>
      <c r="I1093" s="11">
        <v>320716.0</v>
      </c>
      <c r="J1093" s="11">
        <v>0.938</v>
      </c>
      <c r="K1093" s="12" t="s">
        <v>162</v>
      </c>
      <c r="L1093" s="5" t="s">
        <v>75</v>
      </c>
      <c r="M1093" s="9" t="s">
        <v>73</v>
      </c>
    </row>
    <row r="1094">
      <c r="A1094" s="11">
        <v>1093.0</v>
      </c>
      <c r="B1094" s="11">
        <v>0.026</v>
      </c>
      <c r="C1094" s="11">
        <v>0.067</v>
      </c>
      <c r="D1094" s="11">
        <v>63.0</v>
      </c>
      <c r="E1094" s="11">
        <v>61.0</v>
      </c>
      <c r="F1094" s="11">
        <v>0.342</v>
      </c>
      <c r="G1094" s="11">
        <v>0.614</v>
      </c>
      <c r="H1094" s="11">
        <v>0.044</v>
      </c>
      <c r="I1094" s="11">
        <v>1.042261758E9</v>
      </c>
      <c r="J1094" s="11">
        <v>0.277</v>
      </c>
      <c r="K1094" s="12" t="s">
        <v>163</v>
      </c>
      <c r="L1094" s="5" t="s">
        <v>61</v>
      </c>
      <c r="M1094" s="9" t="s">
        <v>60</v>
      </c>
    </row>
    <row r="1095">
      <c r="A1095" s="11">
        <v>1094.0</v>
      </c>
      <c r="B1095" s="11">
        <v>0.025</v>
      </c>
      <c r="C1095" s="11">
        <v>0.064</v>
      </c>
      <c r="D1095" s="11">
        <v>64.0</v>
      </c>
      <c r="E1095" s="11">
        <v>61.0</v>
      </c>
      <c r="F1095" s="11">
        <v>0.338</v>
      </c>
      <c r="G1095" s="11">
        <v>0.617</v>
      </c>
      <c r="H1095" s="11">
        <v>0.044</v>
      </c>
      <c r="I1095" s="11">
        <v>1.059500888E9</v>
      </c>
      <c r="J1095" s="11">
        <v>0.279</v>
      </c>
      <c r="K1095" s="12" t="s">
        <v>163</v>
      </c>
      <c r="L1095" s="5" t="s">
        <v>61</v>
      </c>
      <c r="M1095" s="9" t="s">
        <v>62</v>
      </c>
    </row>
    <row r="1096">
      <c r="A1096" s="11">
        <v>1095.0</v>
      </c>
      <c r="B1096" s="11">
        <v>0.025</v>
      </c>
      <c r="C1096" s="11">
        <v>0.062</v>
      </c>
      <c r="D1096" s="11">
        <v>64.0</v>
      </c>
      <c r="E1096" s="11">
        <v>62.0</v>
      </c>
      <c r="F1096" s="11">
        <v>0.334</v>
      </c>
      <c r="G1096" s="11">
        <v>0.621</v>
      </c>
      <c r="H1096" s="11">
        <v>0.045</v>
      </c>
      <c r="I1096" s="11">
        <v>1.076705723E9</v>
      </c>
      <c r="J1096" s="11">
        <v>0.282</v>
      </c>
      <c r="K1096" s="12" t="s">
        <v>163</v>
      </c>
      <c r="L1096" s="5" t="s">
        <v>61</v>
      </c>
      <c r="M1096" s="9" t="s">
        <v>63</v>
      </c>
    </row>
    <row r="1097">
      <c r="A1097" s="11">
        <v>1096.0</v>
      </c>
      <c r="B1097" s="11">
        <v>0.024</v>
      </c>
      <c r="C1097" s="11">
        <v>0.06</v>
      </c>
      <c r="D1097" s="11">
        <v>65.0</v>
      </c>
      <c r="E1097" s="11">
        <v>62.0</v>
      </c>
      <c r="F1097" s="11">
        <v>0.33</v>
      </c>
      <c r="G1097" s="11">
        <v>0.624</v>
      </c>
      <c r="H1097" s="11">
        <v>0.046</v>
      </c>
      <c r="I1097" s="11">
        <v>1.093786762E9</v>
      </c>
      <c r="J1097" s="11">
        <v>0.286</v>
      </c>
      <c r="K1097" s="12" t="s">
        <v>163</v>
      </c>
      <c r="L1097" s="5" t="s">
        <v>61</v>
      </c>
      <c r="M1097" s="9" t="s">
        <v>64</v>
      </c>
    </row>
    <row r="1098">
      <c r="A1098" s="11">
        <v>1097.0</v>
      </c>
      <c r="B1098" s="11">
        <v>0.024</v>
      </c>
      <c r="C1098" s="11">
        <v>0.058</v>
      </c>
      <c r="D1098" s="11">
        <v>65.0</v>
      </c>
      <c r="E1098" s="11">
        <v>62.0</v>
      </c>
      <c r="F1098" s="11">
        <v>0.326</v>
      </c>
      <c r="G1098" s="11">
        <v>0.627</v>
      </c>
      <c r="H1098" s="11">
        <v>0.046</v>
      </c>
      <c r="I1098" s="11">
        <v>1.110626108E9</v>
      </c>
      <c r="J1098" s="11">
        <v>0.289</v>
      </c>
      <c r="K1098" s="12" t="s">
        <v>163</v>
      </c>
      <c r="L1098" s="5" t="s">
        <v>61</v>
      </c>
      <c r="M1098" s="9" t="s">
        <v>65</v>
      </c>
    </row>
    <row r="1099">
      <c r="A1099" s="11">
        <v>1098.0</v>
      </c>
      <c r="B1099" s="11">
        <v>0.023</v>
      </c>
      <c r="C1099" s="11">
        <v>0.056</v>
      </c>
      <c r="D1099" s="11">
        <v>66.0</v>
      </c>
      <c r="E1099" s="11">
        <v>63.0</v>
      </c>
      <c r="F1099" s="11">
        <v>0.322</v>
      </c>
      <c r="G1099" s="11">
        <v>0.631</v>
      </c>
      <c r="H1099" s="11">
        <v>0.047</v>
      </c>
      <c r="I1099" s="11">
        <v>1.127143548E9</v>
      </c>
      <c r="J1099" s="11">
        <v>0.292</v>
      </c>
      <c r="K1099" s="12" t="s">
        <v>163</v>
      </c>
      <c r="L1099" s="5" t="s">
        <v>61</v>
      </c>
      <c r="M1099" s="9" t="s">
        <v>66</v>
      </c>
    </row>
    <row r="1100">
      <c r="A1100" s="11">
        <v>1099.0</v>
      </c>
      <c r="B1100" s="11">
        <v>0.023</v>
      </c>
      <c r="C1100" s="11">
        <v>0.054</v>
      </c>
      <c r="D1100" s="11">
        <v>66.0</v>
      </c>
      <c r="E1100" s="11">
        <v>63.0</v>
      </c>
      <c r="F1100" s="11">
        <v>0.318</v>
      </c>
      <c r="G1100" s="11">
        <v>0.634</v>
      </c>
      <c r="H1100" s="11">
        <v>0.048</v>
      </c>
      <c r="I1100" s="11">
        <v>1.14328935E9</v>
      </c>
      <c r="J1100" s="11">
        <v>0.296</v>
      </c>
      <c r="K1100" s="12" t="s">
        <v>163</v>
      </c>
      <c r="L1100" s="5" t="s">
        <v>61</v>
      </c>
      <c r="M1100" s="9" t="s">
        <v>67</v>
      </c>
    </row>
    <row r="1101">
      <c r="A1101" s="11">
        <v>1100.0</v>
      </c>
      <c r="B1101" s="11">
        <v>0.022</v>
      </c>
      <c r="C1101" s="11">
        <v>0.052</v>
      </c>
      <c r="D1101" s="11">
        <v>66.0</v>
      </c>
      <c r="E1101" s="11">
        <v>63.0</v>
      </c>
      <c r="F1101" s="11">
        <v>0.314</v>
      </c>
      <c r="G1101" s="11">
        <v>0.638</v>
      </c>
      <c r="H1101" s="11">
        <v>0.049</v>
      </c>
      <c r="I1101" s="11">
        <v>1.15909525E9</v>
      </c>
      <c r="J1101" s="11">
        <v>0.299</v>
      </c>
      <c r="K1101" s="12" t="s">
        <v>163</v>
      </c>
      <c r="L1101" s="5" t="s">
        <v>61</v>
      </c>
      <c r="M1101" s="9" t="s">
        <v>68</v>
      </c>
    </row>
    <row r="1102">
      <c r="A1102" s="11">
        <v>1101.0</v>
      </c>
      <c r="B1102" s="11">
        <v>0.022</v>
      </c>
      <c r="C1102" s="11">
        <v>0.05</v>
      </c>
      <c r="D1102" s="11">
        <v>67.0</v>
      </c>
      <c r="E1102" s="11">
        <v>63.0</v>
      </c>
      <c r="F1102" s="11">
        <v>0.31</v>
      </c>
      <c r="G1102" s="11">
        <v>0.641</v>
      </c>
      <c r="H1102" s="11">
        <v>0.049</v>
      </c>
      <c r="I1102" s="11">
        <v>1.174662334E9</v>
      </c>
      <c r="J1102" s="11">
        <v>0.302</v>
      </c>
      <c r="K1102" s="12" t="s">
        <v>163</v>
      </c>
      <c r="L1102" s="5" t="s">
        <v>61</v>
      </c>
      <c r="M1102" s="9" t="s">
        <v>69</v>
      </c>
    </row>
    <row r="1103">
      <c r="A1103" s="11">
        <v>1102.0</v>
      </c>
      <c r="B1103" s="11">
        <v>0.022</v>
      </c>
      <c r="C1103" s="11">
        <v>0.048</v>
      </c>
      <c r="D1103" s="11">
        <v>67.0</v>
      </c>
      <c r="E1103" s="11">
        <v>64.0</v>
      </c>
      <c r="F1103" s="11">
        <v>0.306</v>
      </c>
      <c r="G1103" s="11">
        <v>0.644</v>
      </c>
      <c r="H1103" s="11">
        <v>0.05</v>
      </c>
      <c r="I1103" s="11">
        <v>1.190138069E9</v>
      </c>
      <c r="J1103" s="11">
        <v>0.306</v>
      </c>
      <c r="K1103" s="12" t="s">
        <v>163</v>
      </c>
      <c r="L1103" s="5" t="s">
        <v>61</v>
      </c>
      <c r="M1103" s="9" t="s">
        <v>70</v>
      </c>
    </row>
    <row r="1104">
      <c r="A1104" s="11">
        <v>1103.0</v>
      </c>
      <c r="B1104" s="11">
        <v>0.021</v>
      </c>
      <c r="C1104" s="11">
        <v>0.046</v>
      </c>
      <c r="D1104" s="11">
        <v>67.0</v>
      </c>
      <c r="E1104" s="11">
        <v>64.0</v>
      </c>
      <c r="F1104" s="11">
        <v>0.302</v>
      </c>
      <c r="G1104" s="11">
        <v>0.648</v>
      </c>
      <c r="H1104" s="11">
        <v>0.051</v>
      </c>
      <c r="I1104" s="11">
        <v>1.205624648E9</v>
      </c>
      <c r="J1104" s="11">
        <v>0.309</v>
      </c>
      <c r="K1104" s="12" t="s">
        <v>163</v>
      </c>
      <c r="L1104" s="5" t="s">
        <v>61</v>
      </c>
      <c r="M1104" s="9" t="s">
        <v>71</v>
      </c>
    </row>
    <row r="1105">
      <c r="A1105" s="11">
        <v>1104.0</v>
      </c>
      <c r="B1105" s="11">
        <v>0.021</v>
      </c>
      <c r="C1105" s="11">
        <v>0.045</v>
      </c>
      <c r="D1105" s="11">
        <v>68.0</v>
      </c>
      <c r="E1105" s="11">
        <v>64.0</v>
      </c>
      <c r="F1105" s="11">
        <v>0.298</v>
      </c>
      <c r="G1105" s="11">
        <v>0.651</v>
      </c>
      <c r="H1105" s="11">
        <v>0.051</v>
      </c>
      <c r="I1105" s="11">
        <v>1.221156319E9</v>
      </c>
      <c r="J1105" s="11">
        <v>0.313</v>
      </c>
      <c r="K1105" s="12" t="s">
        <v>163</v>
      </c>
      <c r="L1105" s="5" t="s">
        <v>61</v>
      </c>
      <c r="M1105" s="9" t="s">
        <v>72</v>
      </c>
    </row>
    <row r="1106">
      <c r="A1106" s="11">
        <v>1105.0</v>
      </c>
      <c r="B1106" s="11">
        <v>0.021</v>
      </c>
      <c r="C1106" s="11">
        <v>0.043</v>
      </c>
      <c r="D1106" s="11">
        <v>68.0</v>
      </c>
      <c r="E1106" s="11">
        <v>65.0</v>
      </c>
      <c r="F1106" s="11">
        <v>0.294</v>
      </c>
      <c r="G1106" s="11">
        <v>0.654</v>
      </c>
      <c r="H1106" s="11">
        <v>0.052</v>
      </c>
      <c r="I1106" s="11">
        <v>1.236686732E9</v>
      </c>
      <c r="J1106" s="11">
        <v>0.316</v>
      </c>
      <c r="K1106" s="12" t="s">
        <v>163</v>
      </c>
      <c r="L1106" s="5" t="s">
        <v>61</v>
      </c>
      <c r="M1106" s="9" t="s">
        <v>73</v>
      </c>
    </row>
    <row r="1107">
      <c r="A1107" s="11">
        <v>1106.0</v>
      </c>
      <c r="B1107" s="11">
        <v>0.022</v>
      </c>
      <c r="C1107" s="11">
        <v>0.041</v>
      </c>
      <c r="D1107" s="11">
        <v>69.0</v>
      </c>
      <c r="E1107" s="11">
        <v>65.0</v>
      </c>
      <c r="F1107" s="11">
        <v>0.307</v>
      </c>
      <c r="G1107" s="11">
        <v>0.647</v>
      </c>
      <c r="H1107" s="11">
        <v>0.047</v>
      </c>
      <c r="I1107" s="11">
        <v>2.08938698E8</v>
      </c>
      <c r="J1107" s="11">
        <v>0.42</v>
      </c>
      <c r="K1107" s="12" t="s">
        <v>164</v>
      </c>
      <c r="L1107" s="5" t="s">
        <v>61</v>
      </c>
      <c r="M1107" s="9" t="s">
        <v>60</v>
      </c>
    </row>
    <row r="1108">
      <c r="A1108" s="11">
        <v>1107.0</v>
      </c>
      <c r="B1108" s="11">
        <v>0.021</v>
      </c>
      <c r="C1108" s="11">
        <v>0.039</v>
      </c>
      <c r="D1108" s="11">
        <v>70.0</v>
      </c>
      <c r="E1108" s="11">
        <v>66.0</v>
      </c>
      <c r="F1108" s="11">
        <v>0.304</v>
      </c>
      <c r="G1108" s="11">
        <v>0.649</v>
      </c>
      <c r="H1108" s="11">
        <v>0.047</v>
      </c>
      <c r="I1108" s="11">
        <v>2.11970371E8</v>
      </c>
      <c r="J1108" s="11">
        <v>0.428</v>
      </c>
      <c r="K1108" s="12" t="s">
        <v>164</v>
      </c>
      <c r="L1108" s="5" t="s">
        <v>61</v>
      </c>
      <c r="M1108" s="9" t="s">
        <v>62</v>
      </c>
    </row>
    <row r="1109">
      <c r="A1109" s="11">
        <v>1108.0</v>
      </c>
      <c r="B1109" s="11">
        <v>0.021</v>
      </c>
      <c r="C1109" s="11">
        <v>0.038</v>
      </c>
      <c r="D1109" s="11">
        <v>70.0</v>
      </c>
      <c r="E1109" s="11">
        <v>66.0</v>
      </c>
      <c r="F1109" s="11">
        <v>0.302</v>
      </c>
      <c r="G1109" s="11">
        <v>0.651</v>
      </c>
      <c r="H1109" s="11">
        <v>0.048</v>
      </c>
      <c r="I1109" s="11">
        <v>2.15038285E8</v>
      </c>
      <c r="J1109" s="11">
        <v>0.436</v>
      </c>
      <c r="K1109" s="12" t="s">
        <v>164</v>
      </c>
      <c r="L1109" s="5" t="s">
        <v>61</v>
      </c>
      <c r="M1109" s="9" t="s">
        <v>63</v>
      </c>
    </row>
    <row r="1110">
      <c r="A1110" s="11">
        <v>1109.0</v>
      </c>
      <c r="B1110" s="11">
        <v>0.021</v>
      </c>
      <c r="C1110" s="11">
        <v>0.036</v>
      </c>
      <c r="D1110" s="11">
        <v>70.0</v>
      </c>
      <c r="E1110" s="11">
        <v>66.0</v>
      </c>
      <c r="F1110" s="11">
        <v>0.301</v>
      </c>
      <c r="G1110" s="11">
        <v>0.651</v>
      </c>
      <c r="H1110" s="11">
        <v>0.048</v>
      </c>
      <c r="I1110" s="11">
        <v>2.18145617E8</v>
      </c>
      <c r="J1110" s="11">
        <v>0.444</v>
      </c>
      <c r="K1110" s="12" t="s">
        <v>164</v>
      </c>
      <c r="L1110" s="5" t="s">
        <v>61</v>
      </c>
      <c r="M1110" s="9" t="s">
        <v>64</v>
      </c>
    </row>
    <row r="1111">
      <c r="A1111" s="11">
        <v>1110.0</v>
      </c>
      <c r="B1111" s="11">
        <v>0.021</v>
      </c>
      <c r="C1111" s="11">
        <v>0.035</v>
      </c>
      <c r="D1111" s="11">
        <v>71.0</v>
      </c>
      <c r="E1111" s="11">
        <v>67.0</v>
      </c>
      <c r="F1111" s="11">
        <v>0.3</v>
      </c>
      <c r="G1111" s="11">
        <v>0.651</v>
      </c>
      <c r="H1111" s="11">
        <v>0.048</v>
      </c>
      <c r="I1111" s="11">
        <v>2.21293797E8</v>
      </c>
      <c r="J1111" s="11">
        <v>0.451</v>
      </c>
      <c r="K1111" s="12" t="s">
        <v>164</v>
      </c>
      <c r="L1111" s="5" t="s">
        <v>61</v>
      </c>
      <c r="M1111" s="9" t="s">
        <v>65</v>
      </c>
    </row>
    <row r="1112">
      <c r="A1112" s="11">
        <v>1111.0</v>
      </c>
      <c r="B1112" s="11">
        <v>0.021</v>
      </c>
      <c r="C1112" s="11">
        <v>0.033</v>
      </c>
      <c r="D1112" s="11">
        <v>71.0</v>
      </c>
      <c r="E1112" s="11">
        <v>67.0</v>
      </c>
      <c r="F1112" s="11">
        <v>0.3</v>
      </c>
      <c r="G1112" s="11">
        <v>0.651</v>
      </c>
      <c r="H1112" s="11">
        <v>0.049</v>
      </c>
      <c r="I1112" s="11">
        <v>2.24480901E8</v>
      </c>
      <c r="J1112" s="11">
        <v>0.459</v>
      </c>
      <c r="K1112" s="12" t="s">
        <v>164</v>
      </c>
      <c r="L1112" s="5" t="s">
        <v>61</v>
      </c>
      <c r="M1112" s="9" t="s">
        <v>66</v>
      </c>
    </row>
    <row r="1113">
      <c r="A1113" s="11">
        <v>1112.0</v>
      </c>
      <c r="B1113" s="11">
        <v>0.021</v>
      </c>
      <c r="C1113" s="11">
        <v>0.032</v>
      </c>
      <c r="D1113" s="11">
        <v>71.0</v>
      </c>
      <c r="E1113" s="11">
        <v>67.0</v>
      </c>
      <c r="F1113" s="11">
        <v>0.3</v>
      </c>
      <c r="G1113" s="11">
        <v>0.651</v>
      </c>
      <c r="H1113" s="11">
        <v>0.049</v>
      </c>
      <c r="I1113" s="11">
        <v>2.27709821E8</v>
      </c>
      <c r="J1113" s="11">
        <v>0.467</v>
      </c>
      <c r="K1113" s="12" t="s">
        <v>164</v>
      </c>
      <c r="L1113" s="5" t="s">
        <v>61</v>
      </c>
      <c r="M1113" s="9" t="s">
        <v>67</v>
      </c>
    </row>
    <row r="1114">
      <c r="A1114" s="11">
        <v>1113.0</v>
      </c>
      <c r="B1114" s="11">
        <v>0.021</v>
      </c>
      <c r="C1114" s="11">
        <v>0.031</v>
      </c>
      <c r="D1114" s="11">
        <v>71.0</v>
      </c>
      <c r="E1114" s="11">
        <v>67.0</v>
      </c>
      <c r="F1114" s="11">
        <v>0.3</v>
      </c>
      <c r="G1114" s="11">
        <v>0.651</v>
      </c>
      <c r="H1114" s="11">
        <v>0.049</v>
      </c>
      <c r="I1114" s="11">
        <v>2.30972808E8</v>
      </c>
      <c r="J1114" s="11">
        <v>0.475</v>
      </c>
      <c r="K1114" s="12" t="s">
        <v>164</v>
      </c>
      <c r="L1114" s="5" t="s">
        <v>61</v>
      </c>
      <c r="M1114" s="9" t="s">
        <v>68</v>
      </c>
    </row>
    <row r="1115">
      <c r="A1115" s="11">
        <v>1114.0</v>
      </c>
      <c r="B1115" s="11">
        <v>0.021</v>
      </c>
      <c r="C1115" s="11">
        <v>0.03</v>
      </c>
      <c r="D1115" s="11">
        <v>72.0</v>
      </c>
      <c r="E1115" s="11">
        <v>68.0</v>
      </c>
      <c r="F1115" s="11">
        <v>0.3</v>
      </c>
      <c r="G1115" s="11">
        <v>0.65</v>
      </c>
      <c r="H1115" s="11">
        <v>0.049</v>
      </c>
      <c r="I1115" s="11">
        <v>2.34243489E8</v>
      </c>
      <c r="J1115" s="11">
        <v>0.483</v>
      </c>
      <c r="K1115" s="12" t="s">
        <v>164</v>
      </c>
      <c r="L1115" s="5" t="s">
        <v>61</v>
      </c>
      <c r="M1115" s="9" t="s">
        <v>69</v>
      </c>
    </row>
    <row r="1116">
      <c r="A1116" s="11">
        <v>1115.0</v>
      </c>
      <c r="B1116" s="11">
        <v>0.02</v>
      </c>
      <c r="C1116" s="11">
        <v>0.029</v>
      </c>
      <c r="D1116" s="11">
        <v>72.0</v>
      </c>
      <c r="E1116" s="11">
        <v>68.0</v>
      </c>
      <c r="F1116" s="11">
        <v>0.3</v>
      </c>
      <c r="G1116" s="11">
        <v>0.651</v>
      </c>
      <c r="H1116" s="11">
        <v>0.05</v>
      </c>
      <c r="I1116" s="11">
        <v>2.37486894E8</v>
      </c>
      <c r="J1116" s="11">
        <v>0.491</v>
      </c>
      <c r="K1116" s="12" t="s">
        <v>164</v>
      </c>
      <c r="L1116" s="5" t="s">
        <v>61</v>
      </c>
      <c r="M1116" s="9" t="s">
        <v>70</v>
      </c>
    </row>
    <row r="1117">
      <c r="A1117" s="11">
        <v>1116.0</v>
      </c>
      <c r="B1117" s="11">
        <v>0.02</v>
      </c>
      <c r="C1117" s="11">
        <v>0.027</v>
      </c>
      <c r="D1117" s="11">
        <v>72.0</v>
      </c>
      <c r="E1117" s="11">
        <v>68.0</v>
      </c>
      <c r="F1117" s="11">
        <v>0.298</v>
      </c>
      <c r="G1117" s="11">
        <v>0.652</v>
      </c>
      <c r="H1117" s="11">
        <v>0.05</v>
      </c>
      <c r="I1117" s="11">
        <v>2.40676485E8</v>
      </c>
      <c r="J1117" s="11">
        <v>0.499</v>
      </c>
      <c r="K1117" s="12" t="s">
        <v>164</v>
      </c>
      <c r="L1117" s="5" t="s">
        <v>61</v>
      </c>
      <c r="M1117" s="9" t="s">
        <v>71</v>
      </c>
    </row>
    <row r="1118">
      <c r="A1118" s="11">
        <v>1117.0</v>
      </c>
      <c r="B1118" s="11">
        <v>0.02</v>
      </c>
      <c r="C1118" s="11">
        <v>0.026</v>
      </c>
      <c r="D1118" s="11">
        <v>72.0</v>
      </c>
      <c r="E1118" s="11">
        <v>68.0</v>
      </c>
      <c r="F1118" s="11">
        <v>0.296</v>
      </c>
      <c r="G1118" s="11">
        <v>0.653</v>
      </c>
      <c r="H1118" s="11">
        <v>0.051</v>
      </c>
      <c r="I1118" s="11">
        <v>2.43801639E8</v>
      </c>
      <c r="J1118" s="11">
        <v>0.507</v>
      </c>
      <c r="K1118" s="12" t="s">
        <v>164</v>
      </c>
      <c r="L1118" s="5" t="s">
        <v>61</v>
      </c>
      <c r="M1118" s="9" t="s">
        <v>72</v>
      </c>
    </row>
    <row r="1119">
      <c r="A1119" s="11">
        <v>1118.0</v>
      </c>
      <c r="B1119" s="11">
        <v>0.019</v>
      </c>
      <c r="C1119" s="11">
        <v>0.025</v>
      </c>
      <c r="D1119" s="11">
        <v>73.0</v>
      </c>
      <c r="E1119" s="11">
        <v>69.0</v>
      </c>
      <c r="F1119" s="11">
        <v>0.293</v>
      </c>
      <c r="G1119" s="11">
        <v>0.656</v>
      </c>
      <c r="H1119" s="11">
        <v>0.051</v>
      </c>
      <c r="I1119" s="11">
        <v>2.46864191E8</v>
      </c>
      <c r="J1119" s="11">
        <v>0.515</v>
      </c>
      <c r="K1119" s="12" t="s">
        <v>164</v>
      </c>
      <c r="L1119" s="5" t="s">
        <v>61</v>
      </c>
      <c r="M1119" s="9" t="s">
        <v>73</v>
      </c>
    </row>
    <row r="1120">
      <c r="A1120" s="11">
        <v>1119.0</v>
      </c>
      <c r="B1120" s="11">
        <v>0.019</v>
      </c>
      <c r="C1120" s="11">
        <v>0.029</v>
      </c>
      <c r="D1120" s="11">
        <v>71.0</v>
      </c>
      <c r="E1120" s="11">
        <v>69.0</v>
      </c>
      <c r="F1120" s="11">
        <v>0.347</v>
      </c>
      <c r="G1120" s="11">
        <v>0.611</v>
      </c>
      <c r="H1120" s="11">
        <v>0.042</v>
      </c>
      <c r="I1120" s="11">
        <v>6.5911052E7</v>
      </c>
      <c r="J1120" s="11">
        <v>0.64</v>
      </c>
      <c r="K1120" s="12" t="s">
        <v>165</v>
      </c>
      <c r="L1120" s="5" t="s">
        <v>93</v>
      </c>
      <c r="M1120" s="9" t="s">
        <v>60</v>
      </c>
    </row>
    <row r="1121">
      <c r="A1121" s="11">
        <v>1120.0</v>
      </c>
      <c r="B1121" s="11">
        <v>0.018</v>
      </c>
      <c r="C1121" s="11">
        <v>0.027</v>
      </c>
      <c r="D1121" s="11">
        <v>71.0</v>
      </c>
      <c r="E1121" s="11">
        <v>69.0</v>
      </c>
      <c r="F1121" s="11">
        <v>0.328</v>
      </c>
      <c r="G1121" s="11">
        <v>0.629</v>
      </c>
      <c r="H1121" s="11">
        <v>0.043</v>
      </c>
      <c r="I1121" s="11">
        <v>6.6857624E7</v>
      </c>
      <c r="J1121" s="11">
        <v>0.648</v>
      </c>
      <c r="K1121" s="12" t="s">
        <v>165</v>
      </c>
      <c r="L1121" s="5" t="s">
        <v>93</v>
      </c>
      <c r="M1121" s="9" t="s">
        <v>62</v>
      </c>
    </row>
    <row r="1122">
      <c r="A1122" s="11">
        <v>1121.0</v>
      </c>
      <c r="B1122" s="11">
        <v>0.018</v>
      </c>
      <c r="C1122" s="11">
        <v>0.026</v>
      </c>
      <c r="D1122" s="11">
        <v>72.0</v>
      </c>
      <c r="E1122" s="11">
        <v>69.0</v>
      </c>
      <c r="F1122" s="11">
        <v>0.308</v>
      </c>
      <c r="G1122" s="11">
        <v>0.647</v>
      </c>
      <c r="H1122" s="11">
        <v>0.045</v>
      </c>
      <c r="I1122" s="11">
        <v>6.7727274E7</v>
      </c>
      <c r="J1122" s="11">
        <v>0.655</v>
      </c>
      <c r="K1122" s="12" t="s">
        <v>165</v>
      </c>
      <c r="L1122" s="5" t="s">
        <v>93</v>
      </c>
      <c r="M1122" s="9" t="s">
        <v>63</v>
      </c>
    </row>
    <row r="1123">
      <c r="A1123" s="11">
        <v>1122.0</v>
      </c>
      <c r="B1123" s="11">
        <v>0.018</v>
      </c>
      <c r="C1123" s="11">
        <v>0.024</v>
      </c>
      <c r="D1123" s="11">
        <v>72.0</v>
      </c>
      <c r="E1123" s="11">
        <v>70.0</v>
      </c>
      <c r="F1123" s="11">
        <v>0.289</v>
      </c>
      <c r="G1123" s="11">
        <v>0.664</v>
      </c>
      <c r="H1123" s="11">
        <v>0.047</v>
      </c>
      <c r="I1123" s="11">
        <v>6.8543171E7</v>
      </c>
      <c r="J1123" s="11">
        <v>0.662</v>
      </c>
      <c r="K1123" s="12" t="s">
        <v>165</v>
      </c>
      <c r="L1123" s="5" t="s">
        <v>93</v>
      </c>
      <c r="M1123" s="9" t="s">
        <v>64</v>
      </c>
    </row>
    <row r="1124">
      <c r="A1124" s="11">
        <v>1123.0</v>
      </c>
      <c r="B1124" s="11">
        <v>0.018</v>
      </c>
      <c r="C1124" s="11">
        <v>0.023</v>
      </c>
      <c r="D1124" s="11">
        <v>73.0</v>
      </c>
      <c r="E1124" s="11">
        <v>70.0</v>
      </c>
      <c r="F1124" s="11">
        <v>0.272</v>
      </c>
      <c r="G1124" s="11">
        <v>0.68</v>
      </c>
      <c r="H1124" s="11">
        <v>0.048</v>
      </c>
      <c r="I1124" s="11">
        <v>6.9342126E7</v>
      </c>
      <c r="J1124" s="11">
        <v>0.669</v>
      </c>
      <c r="K1124" s="12" t="s">
        <v>165</v>
      </c>
      <c r="L1124" s="5" t="s">
        <v>93</v>
      </c>
      <c r="M1124" s="9" t="s">
        <v>65</v>
      </c>
    </row>
    <row r="1125">
      <c r="A1125" s="11">
        <v>1124.0</v>
      </c>
      <c r="B1125" s="11">
        <v>0.018</v>
      </c>
      <c r="C1125" s="11">
        <v>0.022</v>
      </c>
      <c r="D1125" s="11">
        <v>73.0</v>
      </c>
      <c r="E1125" s="11">
        <v>70.0</v>
      </c>
      <c r="F1125" s="11">
        <v>0.258</v>
      </c>
      <c r="G1125" s="11">
        <v>0.693</v>
      </c>
      <c r="H1125" s="11">
        <v>0.049</v>
      </c>
      <c r="I1125" s="11">
        <v>7.0152384E7</v>
      </c>
      <c r="J1125" s="11">
        <v>0.676</v>
      </c>
      <c r="K1125" s="12" t="s">
        <v>165</v>
      </c>
      <c r="L1125" s="5" t="s">
        <v>93</v>
      </c>
      <c r="M1125" s="9" t="s">
        <v>66</v>
      </c>
    </row>
    <row r="1126">
      <c r="A1126" s="11">
        <v>1125.0</v>
      </c>
      <c r="B1126" s="11">
        <v>0.018</v>
      </c>
      <c r="C1126" s="11">
        <v>0.021</v>
      </c>
      <c r="D1126" s="11">
        <v>74.0</v>
      </c>
      <c r="E1126" s="11">
        <v>70.0</v>
      </c>
      <c r="F1126" s="11">
        <v>0.249</v>
      </c>
      <c r="G1126" s="11">
        <v>0.701</v>
      </c>
      <c r="H1126" s="11">
        <v>0.05</v>
      </c>
      <c r="I1126" s="11">
        <v>7.0976584E7</v>
      </c>
      <c r="J1126" s="11">
        <v>0.682</v>
      </c>
      <c r="K1126" s="12" t="s">
        <v>165</v>
      </c>
      <c r="L1126" s="5" t="s">
        <v>93</v>
      </c>
      <c r="M1126" s="9" t="s">
        <v>67</v>
      </c>
    </row>
    <row r="1127">
      <c r="A1127" s="11">
        <v>1126.0</v>
      </c>
      <c r="B1127" s="11">
        <v>0.019</v>
      </c>
      <c r="C1127" s="11">
        <v>0.019</v>
      </c>
      <c r="D1127" s="11">
        <v>74.0</v>
      </c>
      <c r="E1127" s="11">
        <v>70.0</v>
      </c>
      <c r="F1127" s="11">
        <v>0.242</v>
      </c>
      <c r="G1127" s="11">
        <v>0.707</v>
      </c>
      <c r="H1127" s="11">
        <v>0.051</v>
      </c>
      <c r="I1127" s="11">
        <v>7.1809219E7</v>
      </c>
      <c r="J1127" s="11">
        <v>0.689</v>
      </c>
      <c r="K1127" s="12" t="s">
        <v>165</v>
      </c>
      <c r="L1127" s="5" t="s">
        <v>93</v>
      </c>
      <c r="M1127" s="9" t="s">
        <v>68</v>
      </c>
    </row>
    <row r="1128">
      <c r="A1128" s="11">
        <v>1127.0</v>
      </c>
      <c r="B1128" s="11">
        <v>0.019</v>
      </c>
      <c r="C1128" s="11">
        <v>0.018</v>
      </c>
      <c r="D1128" s="11">
        <v>74.0</v>
      </c>
      <c r="E1128" s="11">
        <v>71.0</v>
      </c>
      <c r="F1128" s="11">
        <v>0.239</v>
      </c>
      <c r="G1128" s="11">
        <v>0.71</v>
      </c>
      <c r="H1128" s="11">
        <v>0.051</v>
      </c>
      <c r="I1128" s="11">
        <v>7.2660887E7</v>
      </c>
      <c r="J1128" s="11">
        <v>0.695</v>
      </c>
      <c r="K1128" s="12" t="s">
        <v>165</v>
      </c>
      <c r="L1128" s="5" t="s">
        <v>93</v>
      </c>
      <c r="M1128" s="9" t="s">
        <v>69</v>
      </c>
    </row>
    <row r="1129">
      <c r="A1129" s="11">
        <v>1128.0</v>
      </c>
      <c r="B1129" s="11">
        <v>0.019</v>
      </c>
      <c r="C1129" s="11">
        <v>0.017</v>
      </c>
      <c r="D1129" s="11">
        <v>75.0</v>
      </c>
      <c r="E1129" s="11">
        <v>71.0</v>
      </c>
      <c r="F1129" s="11">
        <v>0.237</v>
      </c>
      <c r="G1129" s="11">
        <v>0.712</v>
      </c>
      <c r="H1129" s="11">
        <v>0.051</v>
      </c>
      <c r="I1129" s="11">
        <v>7.3542954E7</v>
      </c>
      <c r="J1129" s="11">
        <v>0.7</v>
      </c>
      <c r="K1129" s="12" t="s">
        <v>165</v>
      </c>
      <c r="L1129" s="5" t="s">
        <v>93</v>
      </c>
      <c r="M1129" s="9" t="s">
        <v>70</v>
      </c>
    </row>
    <row r="1130">
      <c r="A1130" s="11">
        <v>1129.0</v>
      </c>
      <c r="B1130" s="11">
        <v>0.019</v>
      </c>
      <c r="C1130" s="11">
        <v>0.016</v>
      </c>
      <c r="D1130" s="11">
        <v>75.0</v>
      </c>
      <c r="E1130" s="11">
        <v>71.0</v>
      </c>
      <c r="F1130" s="11">
        <v>0.236</v>
      </c>
      <c r="G1130" s="11">
        <v>0.712</v>
      </c>
      <c r="H1130" s="11">
        <v>0.052</v>
      </c>
      <c r="I1130" s="11">
        <v>7.4462314E7</v>
      </c>
      <c r="J1130" s="11">
        <v>0.706</v>
      </c>
      <c r="K1130" s="12" t="s">
        <v>165</v>
      </c>
      <c r="L1130" s="5" t="s">
        <v>93</v>
      </c>
      <c r="M1130" s="9" t="s">
        <v>71</v>
      </c>
    </row>
    <row r="1131">
      <c r="A1131" s="11">
        <v>1130.0</v>
      </c>
      <c r="B1131" s="11">
        <v>0.019</v>
      </c>
      <c r="C1131" s="11">
        <v>0.016</v>
      </c>
      <c r="D1131" s="11">
        <v>75.0</v>
      </c>
      <c r="E1131" s="11">
        <v>72.0</v>
      </c>
      <c r="F1131" s="11">
        <v>0.236</v>
      </c>
      <c r="G1131" s="11">
        <v>0.712</v>
      </c>
      <c r="H1131" s="11">
        <v>0.052</v>
      </c>
      <c r="I1131" s="11">
        <v>7.5424285E7</v>
      </c>
      <c r="J1131" s="11">
        <v>0.712</v>
      </c>
      <c r="K1131" s="12" t="s">
        <v>165</v>
      </c>
      <c r="L1131" s="5" t="s">
        <v>93</v>
      </c>
      <c r="M1131" s="9" t="s">
        <v>72</v>
      </c>
    </row>
    <row r="1132">
      <c r="A1132" s="11">
        <v>1131.0</v>
      </c>
      <c r="B1132" s="11">
        <v>0.019</v>
      </c>
      <c r="C1132" s="11">
        <v>0.015</v>
      </c>
      <c r="D1132" s="11">
        <v>76.0</v>
      </c>
      <c r="E1132" s="11">
        <v>72.0</v>
      </c>
      <c r="F1132" s="11">
        <v>0.237</v>
      </c>
      <c r="G1132" s="11">
        <v>0.711</v>
      </c>
      <c r="H1132" s="11">
        <v>0.052</v>
      </c>
      <c r="I1132" s="11">
        <v>7.6424443E7</v>
      </c>
      <c r="J1132" s="11">
        <v>0.718</v>
      </c>
      <c r="K1132" s="12" t="s">
        <v>165</v>
      </c>
      <c r="L1132" s="5" t="s">
        <v>93</v>
      </c>
      <c r="M1132" s="9" t="s">
        <v>73</v>
      </c>
    </row>
    <row r="1133">
      <c r="A1133" s="11">
        <v>1132.0</v>
      </c>
      <c r="B1133" s="11">
        <v>0.036</v>
      </c>
      <c r="C1133" s="11">
        <v>0.036</v>
      </c>
      <c r="D1133" s="11">
        <v>73.0</v>
      </c>
      <c r="E1133" s="11">
        <v>69.0</v>
      </c>
      <c r="F1133" s="11">
        <v>0.428</v>
      </c>
      <c r="G1133" s="11">
        <v>0.537</v>
      </c>
      <c r="H1133" s="11">
        <v>0.035</v>
      </c>
      <c r="I1133" s="11">
        <v>2.3801156E7</v>
      </c>
      <c r="J1133" s="11">
        <v>0.685</v>
      </c>
      <c r="K1133" s="12" t="s">
        <v>166</v>
      </c>
      <c r="L1133" s="5" t="s">
        <v>93</v>
      </c>
      <c r="M1133" s="9" t="s">
        <v>60</v>
      </c>
    </row>
    <row r="1134">
      <c r="A1134" s="11">
        <v>1133.0</v>
      </c>
      <c r="B1134" s="11">
        <v>0.036</v>
      </c>
      <c r="C1134" s="11">
        <v>0.035</v>
      </c>
      <c r="D1134" s="11">
        <v>73.0</v>
      </c>
      <c r="E1134" s="11">
        <v>69.0</v>
      </c>
      <c r="F1134" s="11">
        <v>0.426</v>
      </c>
      <c r="G1134" s="11">
        <v>0.539</v>
      </c>
      <c r="H1134" s="11">
        <v>0.035</v>
      </c>
      <c r="I1134" s="11">
        <v>2.4516842E7</v>
      </c>
      <c r="J1134" s="11">
        <v>0.686</v>
      </c>
      <c r="K1134" s="12" t="s">
        <v>166</v>
      </c>
      <c r="L1134" s="5" t="s">
        <v>93</v>
      </c>
      <c r="M1134" s="9" t="s">
        <v>62</v>
      </c>
    </row>
    <row r="1135">
      <c r="A1135" s="11">
        <v>1134.0</v>
      </c>
      <c r="B1135" s="11">
        <v>0.035</v>
      </c>
      <c r="C1135" s="11">
        <v>0.035</v>
      </c>
      <c r="D1135" s="11">
        <v>73.0</v>
      </c>
      <c r="E1135" s="11">
        <v>68.0</v>
      </c>
      <c r="F1135" s="11">
        <v>0.424</v>
      </c>
      <c r="G1135" s="11">
        <v>0.541</v>
      </c>
      <c r="H1135" s="11">
        <v>0.035</v>
      </c>
      <c r="I1135" s="11">
        <v>2.5238267E7</v>
      </c>
      <c r="J1135" s="11">
        <v>0.686</v>
      </c>
      <c r="K1135" s="12" t="s">
        <v>166</v>
      </c>
      <c r="L1135" s="5" t="s">
        <v>93</v>
      </c>
      <c r="M1135" s="9" t="s">
        <v>63</v>
      </c>
    </row>
    <row r="1136">
      <c r="A1136" s="11">
        <v>1135.0</v>
      </c>
      <c r="B1136" s="11">
        <v>0.035</v>
      </c>
      <c r="C1136" s="11">
        <v>0.034</v>
      </c>
      <c r="D1136" s="11">
        <v>73.0</v>
      </c>
      <c r="E1136" s="11">
        <v>68.0</v>
      </c>
      <c r="F1136" s="11">
        <v>0.422</v>
      </c>
      <c r="G1136" s="11">
        <v>0.543</v>
      </c>
      <c r="H1136" s="11">
        <v>0.035</v>
      </c>
      <c r="I1136" s="11">
        <v>2.5959531E7</v>
      </c>
      <c r="J1136" s="11">
        <v>0.687</v>
      </c>
      <c r="K1136" s="12" t="s">
        <v>166</v>
      </c>
      <c r="L1136" s="5" t="s">
        <v>93</v>
      </c>
      <c r="M1136" s="9" t="s">
        <v>64</v>
      </c>
    </row>
    <row r="1137">
      <c r="A1137" s="11">
        <v>1136.0</v>
      </c>
      <c r="B1137" s="11">
        <v>0.035</v>
      </c>
      <c r="C1137" s="11">
        <v>0.034</v>
      </c>
      <c r="D1137" s="11">
        <v>72.0</v>
      </c>
      <c r="E1137" s="11">
        <v>67.0</v>
      </c>
      <c r="F1137" s="11">
        <v>0.421</v>
      </c>
      <c r="G1137" s="11">
        <v>0.545</v>
      </c>
      <c r="H1137" s="11">
        <v>0.035</v>
      </c>
      <c r="I1137" s="11">
        <v>2.6673536E7</v>
      </c>
      <c r="J1137" s="11">
        <v>0.687</v>
      </c>
      <c r="K1137" s="12" t="s">
        <v>166</v>
      </c>
      <c r="L1137" s="5" t="s">
        <v>93</v>
      </c>
      <c r="M1137" s="9" t="s">
        <v>65</v>
      </c>
    </row>
    <row r="1138">
      <c r="A1138" s="11">
        <v>1137.0</v>
      </c>
      <c r="B1138" s="11">
        <v>0.034</v>
      </c>
      <c r="C1138" s="11">
        <v>0.033</v>
      </c>
      <c r="D1138" s="11">
        <v>72.0</v>
      </c>
      <c r="E1138" s="11">
        <v>67.0</v>
      </c>
      <c r="F1138" s="11">
        <v>0.419</v>
      </c>
      <c r="G1138" s="11">
        <v>0.546</v>
      </c>
      <c r="H1138" s="11">
        <v>0.035</v>
      </c>
      <c r="I1138" s="11">
        <v>2.7377045E7</v>
      </c>
      <c r="J1138" s="11">
        <v>0.688</v>
      </c>
      <c r="K1138" s="12" t="s">
        <v>166</v>
      </c>
      <c r="L1138" s="5" t="s">
        <v>93</v>
      </c>
      <c r="M1138" s="9" t="s">
        <v>66</v>
      </c>
    </row>
    <row r="1139">
      <c r="A1139" s="11">
        <v>1138.0</v>
      </c>
      <c r="B1139" s="11">
        <v>0.034</v>
      </c>
      <c r="C1139" s="11">
        <v>0.033</v>
      </c>
      <c r="D1139" s="11">
        <v>72.0</v>
      </c>
      <c r="E1139" s="11">
        <v>66.0</v>
      </c>
      <c r="F1139" s="11">
        <v>0.418</v>
      </c>
      <c r="G1139" s="11">
        <v>0.547</v>
      </c>
      <c r="H1139" s="11">
        <v>0.034</v>
      </c>
      <c r="I1139" s="11">
        <v>2.8064095E7</v>
      </c>
      <c r="J1139" s="11">
        <v>0.688</v>
      </c>
      <c r="K1139" s="12" t="s">
        <v>166</v>
      </c>
      <c r="L1139" s="5" t="s">
        <v>93</v>
      </c>
      <c r="M1139" s="9" t="s">
        <v>67</v>
      </c>
    </row>
    <row r="1140">
      <c r="A1140" s="11">
        <v>1139.0</v>
      </c>
      <c r="B1140" s="11">
        <v>0.034</v>
      </c>
      <c r="C1140" s="11">
        <v>0.032</v>
      </c>
      <c r="D1140" s="11">
        <v>72.0</v>
      </c>
      <c r="E1140" s="11">
        <v>66.0</v>
      </c>
      <c r="F1140" s="11">
        <v>0.417</v>
      </c>
      <c r="G1140" s="11">
        <v>0.548</v>
      </c>
      <c r="H1140" s="11">
        <v>0.034</v>
      </c>
      <c r="I1140" s="11">
        <v>2.874063E7</v>
      </c>
      <c r="J1140" s="11">
        <v>0.689</v>
      </c>
      <c r="K1140" s="12" t="s">
        <v>166</v>
      </c>
      <c r="L1140" s="5" t="s">
        <v>93</v>
      </c>
      <c r="M1140" s="9" t="s">
        <v>68</v>
      </c>
    </row>
    <row r="1141">
      <c r="A1141" s="11">
        <v>1140.0</v>
      </c>
      <c r="B1141" s="11">
        <v>0.033</v>
      </c>
      <c r="C1141" s="11">
        <v>0.031</v>
      </c>
      <c r="D1141" s="11">
        <v>72.0</v>
      </c>
      <c r="E1141" s="11">
        <v>65.0</v>
      </c>
      <c r="F1141" s="11">
        <v>0.416</v>
      </c>
      <c r="G1141" s="11">
        <v>0.549</v>
      </c>
      <c r="H1141" s="11">
        <v>0.034</v>
      </c>
      <c r="I1141" s="11">
        <v>2.9429829E7</v>
      </c>
      <c r="J1141" s="11">
        <v>0.689</v>
      </c>
      <c r="K1141" s="12" t="s">
        <v>166</v>
      </c>
      <c r="L1141" s="5" t="s">
        <v>93</v>
      </c>
      <c r="M1141" s="9" t="s">
        <v>69</v>
      </c>
    </row>
    <row r="1142">
      <c r="A1142" s="11">
        <v>1141.0</v>
      </c>
      <c r="B1142" s="11">
        <v>0.033</v>
      </c>
      <c r="C1142" s="11">
        <v>0.031</v>
      </c>
      <c r="D1142" s="11">
        <v>72.0</v>
      </c>
      <c r="E1142" s="11">
        <v>65.0</v>
      </c>
      <c r="F1142" s="11">
        <v>0.415</v>
      </c>
      <c r="G1142" s="11">
        <v>0.551</v>
      </c>
      <c r="H1142" s="11">
        <v>0.034</v>
      </c>
      <c r="I1142" s="11">
        <v>3.0163199E7</v>
      </c>
      <c r="J1142" s="11">
        <v>0.69</v>
      </c>
      <c r="K1142" s="12" t="s">
        <v>166</v>
      </c>
      <c r="L1142" s="5" t="s">
        <v>93</v>
      </c>
      <c r="M1142" s="9" t="s">
        <v>70</v>
      </c>
    </row>
    <row r="1143">
      <c r="A1143" s="11">
        <v>1142.0</v>
      </c>
      <c r="B1143" s="11">
        <v>0.032</v>
      </c>
      <c r="C1143" s="11">
        <v>0.03</v>
      </c>
      <c r="D1143" s="11">
        <v>73.0</v>
      </c>
      <c r="E1143" s="11">
        <v>65.0</v>
      </c>
      <c r="F1143" s="11">
        <v>0.412</v>
      </c>
      <c r="G1143" s="11">
        <v>0.554</v>
      </c>
      <c r="H1143" s="11">
        <v>0.034</v>
      </c>
      <c r="I1143" s="11">
        <v>3.096238E7</v>
      </c>
      <c r="J1143" s="11">
        <v>0.69</v>
      </c>
      <c r="K1143" s="12" t="s">
        <v>166</v>
      </c>
      <c r="L1143" s="5" t="s">
        <v>93</v>
      </c>
      <c r="M1143" s="9" t="s">
        <v>71</v>
      </c>
    </row>
    <row r="1144">
      <c r="A1144" s="11">
        <v>1143.0</v>
      </c>
      <c r="B1144" s="11">
        <v>0.032</v>
      </c>
      <c r="C1144" s="11">
        <v>0.029</v>
      </c>
      <c r="D1144" s="11">
        <v>73.0</v>
      </c>
      <c r="E1144" s="11">
        <v>65.0</v>
      </c>
      <c r="F1144" s="11">
        <v>0.409</v>
      </c>
      <c r="G1144" s="11">
        <v>0.558</v>
      </c>
      <c r="H1144" s="11">
        <v>0.033</v>
      </c>
      <c r="I1144" s="11">
        <v>3.176002E7</v>
      </c>
      <c r="J1144" s="11">
        <v>0.691</v>
      </c>
      <c r="K1144" s="12" t="s">
        <v>166</v>
      </c>
      <c r="L1144" s="5" t="s">
        <v>93</v>
      </c>
      <c r="M1144" s="9" t="s">
        <v>72</v>
      </c>
    </row>
    <row r="1145">
      <c r="A1145" s="11">
        <v>1144.0</v>
      </c>
      <c r="B1145" s="11">
        <v>0.031</v>
      </c>
      <c r="C1145" s="11">
        <v>0.029</v>
      </c>
      <c r="D1145" s="11">
        <v>73.0</v>
      </c>
      <c r="E1145" s="11">
        <v>66.0</v>
      </c>
      <c r="F1145" s="11">
        <v>0.405</v>
      </c>
      <c r="G1145" s="11">
        <v>0.562</v>
      </c>
      <c r="H1145" s="11">
        <v>0.033</v>
      </c>
      <c r="I1145" s="11">
        <v>3.2578209E7</v>
      </c>
      <c r="J1145" s="11">
        <v>0.692</v>
      </c>
      <c r="K1145" s="12" t="s">
        <v>166</v>
      </c>
      <c r="L1145" s="5" t="s">
        <v>93</v>
      </c>
      <c r="M1145" s="9" t="s">
        <v>73</v>
      </c>
    </row>
    <row r="1146">
      <c r="A1146" s="11">
        <v>1145.0</v>
      </c>
      <c r="B1146" s="11">
        <v>0.014</v>
      </c>
      <c r="C1146" s="11">
        <v>0.006</v>
      </c>
      <c r="D1146" s="11">
        <v>79.0</v>
      </c>
      <c r="E1146" s="11">
        <v>74.0</v>
      </c>
      <c r="F1146" s="11">
        <v>0.218</v>
      </c>
      <c r="G1146" s="11">
        <v>0.67</v>
      </c>
      <c r="H1146" s="11">
        <v>0.112</v>
      </c>
      <c r="I1146" s="11">
        <v>3805174.0</v>
      </c>
      <c r="J1146" s="11">
        <v>0.591</v>
      </c>
      <c r="K1146" s="12" t="s">
        <v>167</v>
      </c>
      <c r="L1146" s="5" t="s">
        <v>75</v>
      </c>
      <c r="M1146" s="9" t="s">
        <v>60</v>
      </c>
    </row>
    <row r="1147">
      <c r="A1147" s="11">
        <v>1146.0</v>
      </c>
      <c r="B1147" s="11">
        <v>0.015</v>
      </c>
      <c r="C1147" s="11">
        <v>0.006</v>
      </c>
      <c r="D1147" s="11">
        <v>80.0</v>
      </c>
      <c r="E1147" s="11">
        <v>75.0</v>
      </c>
      <c r="F1147" s="11">
        <v>0.214</v>
      </c>
      <c r="G1147" s="11">
        <v>0.674</v>
      </c>
      <c r="H1147" s="11">
        <v>0.112</v>
      </c>
      <c r="I1147" s="11">
        <v>3866243.0</v>
      </c>
      <c r="J1147" s="11">
        <v>0.594</v>
      </c>
      <c r="K1147" s="12" t="s">
        <v>167</v>
      </c>
      <c r="L1147" s="5" t="s">
        <v>75</v>
      </c>
      <c r="M1147" s="9" t="s">
        <v>62</v>
      </c>
    </row>
    <row r="1148">
      <c r="A1148" s="11">
        <v>1147.0</v>
      </c>
      <c r="B1148" s="11">
        <v>0.015</v>
      </c>
      <c r="C1148" s="11">
        <v>0.005</v>
      </c>
      <c r="D1148" s="11">
        <v>80.0</v>
      </c>
      <c r="E1148" s="11">
        <v>75.0</v>
      </c>
      <c r="F1148" s="11">
        <v>0.211</v>
      </c>
      <c r="G1148" s="11">
        <v>0.678</v>
      </c>
      <c r="H1148" s="11">
        <v>0.111</v>
      </c>
      <c r="I1148" s="11">
        <v>3931947.0</v>
      </c>
      <c r="J1148" s="11">
        <v>0.596</v>
      </c>
      <c r="K1148" s="12" t="s">
        <v>167</v>
      </c>
      <c r="L1148" s="5" t="s">
        <v>75</v>
      </c>
      <c r="M1148" s="9" t="s">
        <v>63</v>
      </c>
    </row>
    <row r="1149">
      <c r="A1149" s="11">
        <v>1148.0</v>
      </c>
      <c r="B1149" s="11">
        <v>0.015</v>
      </c>
      <c r="C1149" s="11">
        <v>0.005</v>
      </c>
      <c r="D1149" s="11">
        <v>81.0</v>
      </c>
      <c r="E1149" s="11">
        <v>76.0</v>
      </c>
      <c r="F1149" s="11">
        <v>0.208</v>
      </c>
      <c r="G1149" s="11">
        <v>0.681</v>
      </c>
      <c r="H1149" s="11">
        <v>0.111</v>
      </c>
      <c r="I1149" s="11">
        <v>3996521.0</v>
      </c>
      <c r="J1149" s="11">
        <v>0.599</v>
      </c>
      <c r="K1149" s="12" t="s">
        <v>167</v>
      </c>
      <c r="L1149" s="5" t="s">
        <v>75</v>
      </c>
      <c r="M1149" s="9" t="s">
        <v>64</v>
      </c>
    </row>
    <row r="1150">
      <c r="A1150" s="11">
        <v>1149.0</v>
      </c>
      <c r="B1150" s="11">
        <v>0.015</v>
      </c>
      <c r="C1150" s="11">
        <v>0.005</v>
      </c>
      <c r="D1150" s="11">
        <v>81.0</v>
      </c>
      <c r="E1150" s="11">
        <v>76.0</v>
      </c>
      <c r="F1150" s="11">
        <v>0.206</v>
      </c>
      <c r="G1150" s="11">
        <v>0.683</v>
      </c>
      <c r="H1150" s="11">
        <v>0.111</v>
      </c>
      <c r="I1150" s="11">
        <v>4070262.0</v>
      </c>
      <c r="J1150" s="11">
        <v>0.602</v>
      </c>
      <c r="K1150" s="12" t="s">
        <v>167</v>
      </c>
      <c r="L1150" s="5" t="s">
        <v>75</v>
      </c>
      <c r="M1150" s="9" t="s">
        <v>65</v>
      </c>
    </row>
    <row r="1151">
      <c r="A1151" s="11">
        <v>1150.0</v>
      </c>
      <c r="B1151" s="11">
        <v>0.015</v>
      </c>
      <c r="C1151" s="11">
        <v>0.004</v>
      </c>
      <c r="D1151" s="11">
        <v>81.0</v>
      </c>
      <c r="E1151" s="11">
        <v>77.0</v>
      </c>
      <c r="F1151" s="11">
        <v>0.206</v>
      </c>
      <c r="G1151" s="11">
        <v>0.684</v>
      </c>
      <c r="H1151" s="11">
        <v>0.111</v>
      </c>
      <c r="I1151" s="11">
        <v>4159914.0</v>
      </c>
      <c r="J1151" s="11">
        <v>0.605</v>
      </c>
      <c r="K1151" s="12" t="s">
        <v>167</v>
      </c>
      <c r="L1151" s="5" t="s">
        <v>75</v>
      </c>
      <c r="M1151" s="9" t="s">
        <v>66</v>
      </c>
    </row>
    <row r="1152">
      <c r="A1152" s="11">
        <v>1151.0</v>
      </c>
      <c r="B1152" s="11">
        <v>0.015</v>
      </c>
      <c r="C1152" s="11">
        <v>0.004</v>
      </c>
      <c r="D1152" s="11">
        <v>82.0</v>
      </c>
      <c r="E1152" s="11">
        <v>77.0</v>
      </c>
      <c r="F1152" s="11">
        <v>0.206</v>
      </c>
      <c r="G1152" s="11">
        <v>0.683</v>
      </c>
      <c r="H1152" s="11">
        <v>0.111</v>
      </c>
      <c r="I1152" s="11">
        <v>4274137.0</v>
      </c>
      <c r="J1152" s="11">
        <v>0.608</v>
      </c>
      <c r="K1152" s="12" t="s">
        <v>167</v>
      </c>
      <c r="L1152" s="5" t="s">
        <v>75</v>
      </c>
      <c r="M1152" s="9" t="s">
        <v>67</v>
      </c>
    </row>
    <row r="1153">
      <c r="A1153" s="11">
        <v>1152.0</v>
      </c>
      <c r="B1153" s="11">
        <v>0.016</v>
      </c>
      <c r="C1153" s="11">
        <v>0.004</v>
      </c>
      <c r="D1153" s="11">
        <v>82.0</v>
      </c>
      <c r="E1153" s="11">
        <v>77.0</v>
      </c>
      <c r="F1153" s="11">
        <v>0.208</v>
      </c>
      <c r="G1153" s="11">
        <v>0.681</v>
      </c>
      <c r="H1153" s="11">
        <v>0.111</v>
      </c>
      <c r="I1153" s="11">
        <v>4398942.0</v>
      </c>
      <c r="J1153" s="11">
        <v>0.61</v>
      </c>
      <c r="K1153" s="12" t="s">
        <v>167</v>
      </c>
      <c r="L1153" s="5" t="s">
        <v>75</v>
      </c>
      <c r="M1153" s="9" t="s">
        <v>68</v>
      </c>
    </row>
    <row r="1154">
      <c r="A1154" s="11">
        <v>1153.0</v>
      </c>
      <c r="B1154" s="11">
        <v>0.017</v>
      </c>
      <c r="C1154" s="11">
        <v>0.004</v>
      </c>
      <c r="D1154" s="11">
        <v>82.0</v>
      </c>
      <c r="E1154" s="11">
        <v>78.0</v>
      </c>
      <c r="F1154" s="11">
        <v>0.21</v>
      </c>
      <c r="G1154" s="11">
        <v>0.679</v>
      </c>
      <c r="H1154" s="11">
        <v>0.111</v>
      </c>
      <c r="I1154" s="11">
        <v>4489544.0</v>
      </c>
      <c r="J1154" s="11">
        <v>0.613</v>
      </c>
      <c r="K1154" s="12" t="s">
        <v>167</v>
      </c>
      <c r="L1154" s="5" t="s">
        <v>75</v>
      </c>
      <c r="M1154" s="9" t="s">
        <v>69</v>
      </c>
    </row>
    <row r="1155">
      <c r="A1155" s="11">
        <v>1154.0</v>
      </c>
      <c r="B1155" s="11">
        <v>0.017</v>
      </c>
      <c r="C1155" s="11">
        <v>0.004</v>
      </c>
      <c r="D1155" s="11">
        <v>83.0</v>
      </c>
      <c r="E1155" s="11">
        <v>78.0</v>
      </c>
      <c r="F1155" s="11">
        <v>0.212</v>
      </c>
      <c r="G1155" s="11">
        <v>0.676</v>
      </c>
      <c r="H1155" s="11">
        <v>0.112</v>
      </c>
      <c r="I1155" s="11">
        <v>4535375.0</v>
      </c>
      <c r="J1155" s="11">
        <v>0.616</v>
      </c>
      <c r="K1155" s="12" t="s">
        <v>167</v>
      </c>
      <c r="L1155" s="5" t="s">
        <v>75</v>
      </c>
      <c r="M1155" s="9" t="s">
        <v>70</v>
      </c>
    </row>
    <row r="1156">
      <c r="A1156" s="11">
        <v>1155.0</v>
      </c>
      <c r="B1156" s="11">
        <v>0.017</v>
      </c>
      <c r="C1156" s="11">
        <v>0.004</v>
      </c>
      <c r="D1156" s="11">
        <v>83.0</v>
      </c>
      <c r="E1156" s="11">
        <v>79.0</v>
      </c>
      <c r="F1156" s="11">
        <v>0.213</v>
      </c>
      <c r="G1156" s="11">
        <v>0.673</v>
      </c>
      <c r="H1156" s="11">
        <v>0.113</v>
      </c>
      <c r="I1156" s="11">
        <v>4560155.0</v>
      </c>
      <c r="J1156" s="11">
        <v>0.618</v>
      </c>
      <c r="K1156" s="12" t="s">
        <v>167</v>
      </c>
      <c r="L1156" s="5" t="s">
        <v>75</v>
      </c>
      <c r="M1156" s="9" t="s">
        <v>71</v>
      </c>
    </row>
    <row r="1157">
      <c r="A1157" s="11">
        <v>1156.0</v>
      </c>
      <c r="B1157" s="11">
        <v>0.016</v>
      </c>
      <c r="C1157" s="11">
        <v>0.003</v>
      </c>
      <c r="D1157" s="11">
        <v>83.0</v>
      </c>
      <c r="E1157" s="11">
        <v>79.0</v>
      </c>
      <c r="F1157" s="11">
        <v>0.215</v>
      </c>
      <c r="G1157" s="11">
        <v>0.67</v>
      </c>
      <c r="H1157" s="11">
        <v>0.115</v>
      </c>
      <c r="I1157" s="11">
        <v>4576794.0</v>
      </c>
      <c r="J1157" s="11">
        <v>0.621</v>
      </c>
      <c r="K1157" s="12" t="s">
        <v>167</v>
      </c>
      <c r="L1157" s="5" t="s">
        <v>75</v>
      </c>
      <c r="M1157" s="9" t="s">
        <v>72</v>
      </c>
    </row>
    <row r="1158">
      <c r="A1158" s="11">
        <v>1157.0</v>
      </c>
      <c r="B1158" s="11">
        <v>0.016</v>
      </c>
      <c r="C1158" s="11">
        <v>0.003</v>
      </c>
      <c r="D1158" s="11">
        <v>83.0</v>
      </c>
      <c r="E1158" s="11">
        <v>79.0</v>
      </c>
      <c r="F1158" s="11">
        <v>0.215</v>
      </c>
      <c r="G1158" s="11">
        <v>0.667</v>
      </c>
      <c r="H1158" s="11">
        <v>0.118</v>
      </c>
      <c r="I1158" s="11">
        <v>4586897.0</v>
      </c>
      <c r="J1158" s="11">
        <v>0.624</v>
      </c>
      <c r="K1158" s="12" t="s">
        <v>167</v>
      </c>
      <c r="L1158" s="5" t="s">
        <v>75</v>
      </c>
      <c r="M1158" s="9" t="s">
        <v>73</v>
      </c>
    </row>
    <row r="1159">
      <c r="A1159" s="8">
        <v>1158.0</v>
      </c>
      <c r="B1159" s="8"/>
      <c r="C1159" s="8"/>
      <c r="D1159" s="8"/>
      <c r="E1159" s="8"/>
      <c r="F1159" s="8"/>
      <c r="G1159" s="8"/>
      <c r="H1159" s="8"/>
      <c r="I1159" s="11">
        <v>76806.0</v>
      </c>
      <c r="J1159" s="11">
        <v>0.518</v>
      </c>
      <c r="K1159" s="12" t="s">
        <v>168</v>
      </c>
      <c r="L1159" s="5" t="s">
        <v>75</v>
      </c>
      <c r="M1159" s="9" t="s">
        <v>60</v>
      </c>
    </row>
    <row r="1160">
      <c r="A1160" s="8">
        <v>1159.0</v>
      </c>
      <c r="B1160" s="8"/>
      <c r="C1160" s="8"/>
      <c r="D1160" s="8"/>
      <c r="E1160" s="8"/>
      <c r="F1160" s="8"/>
      <c r="G1160" s="8"/>
      <c r="H1160" s="8"/>
      <c r="I1160" s="11">
        <v>77616.0</v>
      </c>
      <c r="J1160" s="11">
        <v>0.518</v>
      </c>
      <c r="K1160" s="12" t="s">
        <v>168</v>
      </c>
      <c r="L1160" s="5" t="s">
        <v>75</v>
      </c>
      <c r="M1160" s="9" t="s">
        <v>62</v>
      </c>
    </row>
    <row r="1161">
      <c r="A1161" s="11">
        <v>1160.0</v>
      </c>
      <c r="B1161" s="11">
        <v>0.011</v>
      </c>
      <c r="C1161" s="8"/>
      <c r="D1161" s="11">
        <v>82.0</v>
      </c>
      <c r="E1161" s="11">
        <v>75.0</v>
      </c>
      <c r="F1161" s="8"/>
      <c r="G1161" s="8"/>
      <c r="H1161" s="8"/>
      <c r="I1161" s="11">
        <v>78338.0</v>
      </c>
      <c r="J1161" s="11">
        <v>0.519</v>
      </c>
      <c r="K1161" s="12" t="s">
        <v>168</v>
      </c>
      <c r="L1161" s="5" t="s">
        <v>75</v>
      </c>
      <c r="M1161" s="9" t="s">
        <v>63</v>
      </c>
    </row>
    <row r="1162">
      <c r="A1162" s="8">
        <v>1161.0</v>
      </c>
      <c r="B1162" s="8"/>
      <c r="C1162" s="8"/>
      <c r="D1162" s="8"/>
      <c r="E1162" s="8"/>
      <c r="F1162" s="8"/>
      <c r="G1162" s="8"/>
      <c r="H1162" s="8"/>
      <c r="I1162" s="11">
        <v>79001.0</v>
      </c>
      <c r="J1162" s="11">
        <v>0.519</v>
      </c>
      <c r="K1162" s="12" t="s">
        <v>168</v>
      </c>
      <c r="L1162" s="5" t="s">
        <v>75</v>
      </c>
      <c r="M1162" s="9" t="s">
        <v>64</v>
      </c>
    </row>
    <row r="1163">
      <c r="A1163" s="8">
        <v>1162.0</v>
      </c>
      <c r="B1163" s="8"/>
      <c r="C1163" s="8"/>
      <c r="D1163" s="8"/>
      <c r="E1163" s="8"/>
      <c r="F1163" s="8"/>
      <c r="G1163" s="8"/>
      <c r="H1163" s="8"/>
      <c r="I1163" s="11">
        <v>79658.0</v>
      </c>
      <c r="J1163" s="11">
        <v>0.519</v>
      </c>
      <c r="K1163" s="12" t="s">
        <v>168</v>
      </c>
      <c r="L1163" s="5" t="s">
        <v>75</v>
      </c>
      <c r="M1163" s="9" t="s">
        <v>65</v>
      </c>
    </row>
    <row r="1164">
      <c r="A1164" s="11">
        <v>1163.0</v>
      </c>
      <c r="B1164" s="11">
        <v>0.011</v>
      </c>
      <c r="C1164" s="8"/>
      <c r="D1164" s="8"/>
      <c r="E1164" s="8"/>
      <c r="F1164" s="8"/>
      <c r="G1164" s="8"/>
      <c r="H1164" s="8"/>
      <c r="I1164" s="11">
        <v>80345.0</v>
      </c>
      <c r="J1164" s="11">
        <v>0.519</v>
      </c>
      <c r="K1164" s="12" t="s">
        <v>168</v>
      </c>
      <c r="L1164" s="5" t="s">
        <v>75</v>
      </c>
      <c r="M1164" s="9" t="s">
        <v>66</v>
      </c>
    </row>
    <row r="1165">
      <c r="A1165" s="8">
        <v>1164.0</v>
      </c>
      <c r="B1165" s="8"/>
      <c r="C1165" s="8"/>
      <c r="D1165" s="8"/>
      <c r="E1165" s="8"/>
      <c r="F1165" s="8"/>
      <c r="G1165" s="8"/>
      <c r="H1165" s="8"/>
      <c r="I1165" s="11">
        <v>81068.0</v>
      </c>
      <c r="J1165" s="11">
        <v>0.519</v>
      </c>
      <c r="K1165" s="12" t="s">
        <v>168</v>
      </c>
      <c r="L1165" s="5" t="s">
        <v>75</v>
      </c>
      <c r="M1165" s="9" t="s">
        <v>67</v>
      </c>
    </row>
    <row r="1166">
      <c r="A1166" s="11">
        <v>1165.0</v>
      </c>
      <c r="B1166" s="11">
        <v>0.011</v>
      </c>
      <c r="C1166" s="8"/>
      <c r="D1166" s="8"/>
      <c r="E1166" s="8"/>
      <c r="F1166" s="8"/>
      <c r="G1166" s="8"/>
      <c r="H1166" s="8"/>
      <c r="I1166" s="11">
        <v>81812.0</v>
      </c>
      <c r="J1166" s="11">
        <v>0.519</v>
      </c>
      <c r="K1166" s="12" t="s">
        <v>168</v>
      </c>
      <c r="L1166" s="5" t="s">
        <v>75</v>
      </c>
      <c r="M1166" s="9" t="s">
        <v>68</v>
      </c>
    </row>
    <row r="1167">
      <c r="A1167" s="8">
        <v>1166.0</v>
      </c>
      <c r="B1167" s="8"/>
      <c r="C1167" s="8"/>
      <c r="D1167" s="8"/>
      <c r="E1167" s="8"/>
      <c r="F1167" s="8"/>
      <c r="G1167" s="8"/>
      <c r="H1167" s="8"/>
      <c r="I1167" s="11">
        <v>82561.0</v>
      </c>
      <c r="J1167" s="11">
        <v>0.52</v>
      </c>
      <c r="K1167" s="12" t="s">
        <v>168</v>
      </c>
      <c r="L1167" s="5" t="s">
        <v>75</v>
      </c>
      <c r="M1167" s="9" t="s">
        <v>69</v>
      </c>
    </row>
    <row r="1168">
      <c r="A1168" s="8">
        <v>1167.0</v>
      </c>
      <c r="B1168" s="8"/>
      <c r="C1168" s="8"/>
      <c r="D1168" s="8"/>
      <c r="E1168" s="8"/>
      <c r="F1168" s="8"/>
      <c r="G1168" s="8"/>
      <c r="H1168" s="8"/>
      <c r="I1168" s="11">
        <v>83293.0</v>
      </c>
      <c r="J1168" s="11">
        <v>0.52</v>
      </c>
      <c r="K1168" s="12" t="s">
        <v>168</v>
      </c>
      <c r="L1168" s="5" t="s">
        <v>75</v>
      </c>
      <c r="M1168" s="9" t="s">
        <v>70</v>
      </c>
    </row>
    <row r="1169">
      <c r="A1169" s="8">
        <v>1168.0</v>
      </c>
      <c r="B1169" s="8"/>
      <c r="C1169" s="8"/>
      <c r="D1169" s="8"/>
      <c r="E1169" s="8"/>
      <c r="F1169" s="8"/>
      <c r="G1169" s="8"/>
      <c r="H1169" s="8"/>
      <c r="I1169" s="11">
        <v>83992.0</v>
      </c>
      <c r="J1169" s="11">
        <v>0.52</v>
      </c>
      <c r="K1169" s="12" t="s">
        <v>168</v>
      </c>
      <c r="L1169" s="5" t="s">
        <v>75</v>
      </c>
      <c r="M1169" s="9" t="s">
        <v>71</v>
      </c>
    </row>
    <row r="1170">
      <c r="A1170" s="8">
        <v>1169.0</v>
      </c>
      <c r="B1170" s="8"/>
      <c r="C1170" s="8"/>
      <c r="D1170" s="8"/>
      <c r="E1170" s="8"/>
      <c r="F1170" s="8"/>
      <c r="G1170" s="8"/>
      <c r="H1170" s="8"/>
      <c r="I1170" s="11">
        <v>84654.0</v>
      </c>
      <c r="J1170" s="11">
        <v>0.52</v>
      </c>
      <c r="K1170" s="12" t="s">
        <v>168</v>
      </c>
      <c r="L1170" s="5" t="s">
        <v>75</v>
      </c>
      <c r="M1170" s="9" t="s">
        <v>72</v>
      </c>
    </row>
    <row r="1171">
      <c r="A1171" s="8">
        <v>1170.0</v>
      </c>
      <c r="B1171" s="8"/>
      <c r="C1171" s="8"/>
      <c r="D1171" s="8"/>
      <c r="E1171" s="8"/>
      <c r="F1171" s="8"/>
      <c r="G1171" s="8"/>
      <c r="H1171" s="8"/>
      <c r="I1171" s="11">
        <v>85284.0</v>
      </c>
      <c r="J1171" s="11">
        <v>0.52</v>
      </c>
      <c r="K1171" s="12" t="s">
        <v>168</v>
      </c>
      <c r="L1171" s="5" t="s">
        <v>75</v>
      </c>
      <c r="M1171" s="9" t="s">
        <v>73</v>
      </c>
    </row>
    <row r="1172">
      <c r="A1172" s="11">
        <v>1171.0</v>
      </c>
      <c r="B1172" s="11">
        <v>0.022</v>
      </c>
      <c r="C1172" s="11">
        <v>0.006</v>
      </c>
      <c r="D1172" s="11">
        <v>81.0</v>
      </c>
      <c r="E1172" s="11">
        <v>77.0</v>
      </c>
      <c r="F1172" s="11">
        <v>0.281</v>
      </c>
      <c r="G1172" s="11">
        <v>0.619</v>
      </c>
      <c r="H1172" s="11">
        <v>0.1</v>
      </c>
      <c r="I1172" s="11">
        <v>6289000.0</v>
      </c>
      <c r="J1172" s="11">
        <v>0.912</v>
      </c>
      <c r="K1172" s="12" t="s">
        <v>169</v>
      </c>
      <c r="L1172" s="5" t="s">
        <v>93</v>
      </c>
      <c r="M1172" s="9" t="s">
        <v>60</v>
      </c>
    </row>
    <row r="1173">
      <c r="A1173" s="11">
        <v>1172.0</v>
      </c>
      <c r="B1173" s="11">
        <v>0.021</v>
      </c>
      <c r="C1173" s="11">
        <v>0.005</v>
      </c>
      <c r="D1173" s="11">
        <v>81.0</v>
      </c>
      <c r="E1173" s="11">
        <v>78.0</v>
      </c>
      <c r="F1173" s="11">
        <v>0.28</v>
      </c>
      <c r="G1173" s="11">
        <v>0.619</v>
      </c>
      <c r="H1173" s="11">
        <v>0.1</v>
      </c>
      <c r="I1173" s="11">
        <v>6439000.0</v>
      </c>
      <c r="J1173" s="11">
        <v>0.913</v>
      </c>
      <c r="K1173" s="12" t="s">
        <v>169</v>
      </c>
      <c r="L1173" s="5" t="s">
        <v>93</v>
      </c>
      <c r="M1173" s="9" t="s">
        <v>62</v>
      </c>
    </row>
    <row r="1174">
      <c r="A1174" s="11">
        <v>1173.0</v>
      </c>
      <c r="B1174" s="11">
        <v>0.021</v>
      </c>
      <c r="C1174" s="11">
        <v>0.005</v>
      </c>
      <c r="D1174" s="11">
        <v>82.0</v>
      </c>
      <c r="E1174" s="11">
        <v>78.0</v>
      </c>
      <c r="F1174" s="11">
        <v>0.28</v>
      </c>
      <c r="G1174" s="11">
        <v>0.62</v>
      </c>
      <c r="H1174" s="11">
        <v>0.1</v>
      </c>
      <c r="I1174" s="11">
        <v>6570000.0</v>
      </c>
      <c r="J1174" s="11">
        <v>0.913</v>
      </c>
      <c r="K1174" s="12" t="s">
        <v>169</v>
      </c>
      <c r="L1174" s="5" t="s">
        <v>93</v>
      </c>
      <c r="M1174" s="9" t="s">
        <v>63</v>
      </c>
    </row>
    <row r="1175">
      <c r="A1175" s="11">
        <v>1174.0</v>
      </c>
      <c r="B1175" s="11">
        <v>0.022</v>
      </c>
      <c r="C1175" s="11">
        <v>0.005</v>
      </c>
      <c r="D1175" s="11">
        <v>82.0</v>
      </c>
      <c r="E1175" s="11">
        <v>78.0</v>
      </c>
      <c r="F1175" s="11">
        <v>0.28</v>
      </c>
      <c r="G1175" s="11">
        <v>0.62</v>
      </c>
      <c r="H1175" s="11">
        <v>0.1</v>
      </c>
      <c r="I1175" s="11">
        <v>6689700.0</v>
      </c>
      <c r="J1175" s="11">
        <v>0.914</v>
      </c>
      <c r="K1175" s="12" t="s">
        <v>169</v>
      </c>
      <c r="L1175" s="5" t="s">
        <v>93</v>
      </c>
      <c r="M1175" s="9" t="s">
        <v>64</v>
      </c>
    </row>
    <row r="1176">
      <c r="A1176" s="11">
        <v>1175.0</v>
      </c>
      <c r="B1176" s="11">
        <v>0.021</v>
      </c>
      <c r="C1176" s="11">
        <v>0.005</v>
      </c>
      <c r="D1176" s="11">
        <v>82.0</v>
      </c>
      <c r="E1176" s="11">
        <v>78.0</v>
      </c>
      <c r="F1176" s="11">
        <v>0.279</v>
      </c>
      <c r="G1176" s="11">
        <v>0.621</v>
      </c>
      <c r="H1176" s="11">
        <v>0.1</v>
      </c>
      <c r="I1176" s="11">
        <v>6809000.0</v>
      </c>
      <c r="J1176" s="11">
        <v>0.915</v>
      </c>
      <c r="K1176" s="12" t="s">
        <v>169</v>
      </c>
      <c r="L1176" s="5" t="s">
        <v>93</v>
      </c>
      <c r="M1176" s="9" t="s">
        <v>65</v>
      </c>
    </row>
    <row r="1177">
      <c r="A1177" s="11">
        <v>1176.0</v>
      </c>
      <c r="B1177" s="11">
        <v>0.021</v>
      </c>
      <c r="C1177" s="11">
        <v>0.005</v>
      </c>
      <c r="D1177" s="11">
        <v>82.0</v>
      </c>
      <c r="E1177" s="11">
        <v>78.0</v>
      </c>
      <c r="F1177" s="11">
        <v>0.279</v>
      </c>
      <c r="G1177" s="11">
        <v>0.621</v>
      </c>
      <c r="H1177" s="11">
        <v>0.1</v>
      </c>
      <c r="I1177" s="11">
        <v>6930100.0</v>
      </c>
      <c r="J1177" s="11">
        <v>0.915</v>
      </c>
      <c r="K1177" s="12" t="s">
        <v>169</v>
      </c>
      <c r="L1177" s="5" t="s">
        <v>93</v>
      </c>
      <c r="M1177" s="9" t="s">
        <v>66</v>
      </c>
    </row>
    <row r="1178">
      <c r="A1178" s="11">
        <v>1177.0</v>
      </c>
      <c r="B1178" s="11">
        <v>0.021</v>
      </c>
      <c r="C1178" s="11">
        <v>0.004</v>
      </c>
      <c r="D1178" s="11">
        <v>83.0</v>
      </c>
      <c r="E1178" s="11">
        <v>88.0</v>
      </c>
      <c r="F1178" s="11">
        <v>0.277</v>
      </c>
      <c r="G1178" s="11">
        <v>0.622</v>
      </c>
      <c r="H1178" s="11">
        <v>0.101</v>
      </c>
      <c r="I1178" s="11">
        <v>7053700.0</v>
      </c>
      <c r="J1178" s="11">
        <v>0.916</v>
      </c>
      <c r="K1178" s="12" t="s">
        <v>169</v>
      </c>
      <c r="L1178" s="5" t="s">
        <v>93</v>
      </c>
      <c r="M1178" s="9" t="s">
        <v>67</v>
      </c>
    </row>
    <row r="1179">
      <c r="A1179" s="11">
        <v>1178.0</v>
      </c>
      <c r="B1179" s="11">
        <v>0.021</v>
      </c>
      <c r="C1179" s="11">
        <v>0.004</v>
      </c>
      <c r="D1179" s="11">
        <v>82.0</v>
      </c>
      <c r="E1179" s="11">
        <v>88.0</v>
      </c>
      <c r="F1179" s="11">
        <v>0.275</v>
      </c>
      <c r="G1179" s="11">
        <v>0.623</v>
      </c>
      <c r="H1179" s="11">
        <v>0.102</v>
      </c>
      <c r="I1179" s="11">
        <v>7180100.0</v>
      </c>
      <c r="J1179" s="11">
        <v>0.916</v>
      </c>
      <c r="K1179" s="12" t="s">
        <v>169</v>
      </c>
      <c r="L1179" s="5" t="s">
        <v>93</v>
      </c>
      <c r="M1179" s="9" t="s">
        <v>68</v>
      </c>
    </row>
    <row r="1180">
      <c r="A1180" s="11">
        <v>1179.0</v>
      </c>
      <c r="B1180" s="11">
        <v>0.022</v>
      </c>
      <c r="C1180" s="11">
        <v>0.004</v>
      </c>
      <c r="D1180" s="11">
        <v>83.0</v>
      </c>
      <c r="E1180" s="11">
        <v>79.0</v>
      </c>
      <c r="F1180" s="11">
        <v>0.274</v>
      </c>
      <c r="G1180" s="11">
        <v>0.624</v>
      </c>
      <c r="H1180" s="11">
        <v>0.103</v>
      </c>
      <c r="I1180" s="11">
        <v>7308800.0</v>
      </c>
      <c r="J1180" s="11">
        <v>0.917</v>
      </c>
      <c r="K1180" s="12" t="s">
        <v>169</v>
      </c>
      <c r="L1180" s="5" t="s">
        <v>93</v>
      </c>
      <c r="M1180" s="9" t="s">
        <v>69</v>
      </c>
    </row>
    <row r="1181">
      <c r="A1181" s="11">
        <v>1180.0</v>
      </c>
      <c r="B1181" s="11">
        <v>0.022</v>
      </c>
      <c r="C1181" s="11">
        <v>0.004</v>
      </c>
      <c r="D1181" s="11">
        <v>83.0</v>
      </c>
      <c r="E1181" s="11">
        <v>80.0</v>
      </c>
      <c r="F1181" s="11">
        <v>0.272</v>
      </c>
      <c r="G1181" s="11">
        <v>0.624</v>
      </c>
      <c r="H1181" s="11">
        <v>0.104</v>
      </c>
      <c r="I1181" s="11">
        <v>7485600.0</v>
      </c>
      <c r="J1181" s="11">
        <v>0.918</v>
      </c>
      <c r="K1181" s="12" t="s">
        <v>169</v>
      </c>
      <c r="L1181" s="5" t="s">
        <v>93</v>
      </c>
      <c r="M1181" s="9" t="s">
        <v>70</v>
      </c>
    </row>
    <row r="1182">
      <c r="A1182" s="11">
        <v>1181.0</v>
      </c>
      <c r="B1182" s="11">
        <v>0.022</v>
      </c>
      <c r="C1182" s="11">
        <v>0.004</v>
      </c>
      <c r="D1182" s="11">
        <v>84.0</v>
      </c>
      <c r="E1182" s="11">
        <v>80.0</v>
      </c>
      <c r="F1182" s="11">
        <v>0.272</v>
      </c>
      <c r="G1182" s="11">
        <v>0.623</v>
      </c>
      <c r="H1182" s="11">
        <v>0.104</v>
      </c>
      <c r="I1182" s="11">
        <v>7623600.0</v>
      </c>
      <c r="J1182" s="11">
        <v>0.918</v>
      </c>
      <c r="K1182" s="12" t="s">
        <v>169</v>
      </c>
      <c r="L1182" s="5" t="s">
        <v>93</v>
      </c>
      <c r="M1182" s="9" t="s">
        <v>71</v>
      </c>
    </row>
    <row r="1183">
      <c r="A1183" s="11">
        <v>1182.0</v>
      </c>
      <c r="B1183" s="11">
        <v>0.021</v>
      </c>
      <c r="C1183" s="11">
        <v>0.003</v>
      </c>
      <c r="D1183" s="11">
        <v>84.0</v>
      </c>
      <c r="E1183" s="11">
        <v>80.0</v>
      </c>
      <c r="F1183" s="11">
        <v>0.273</v>
      </c>
      <c r="G1183" s="11">
        <v>0.622</v>
      </c>
      <c r="H1183" s="11">
        <v>0.105</v>
      </c>
      <c r="I1183" s="11">
        <v>7765800.0</v>
      </c>
      <c r="J1183" s="11">
        <v>0.919</v>
      </c>
      <c r="K1183" s="12" t="s">
        <v>169</v>
      </c>
      <c r="L1183" s="5" t="s">
        <v>93</v>
      </c>
      <c r="M1183" s="9" t="s">
        <v>72</v>
      </c>
    </row>
    <row r="1184">
      <c r="A1184" s="11">
        <v>1183.0</v>
      </c>
      <c r="B1184" s="11">
        <v>0.022</v>
      </c>
      <c r="C1184" s="11">
        <v>0.003</v>
      </c>
      <c r="D1184" s="11">
        <v>84.0</v>
      </c>
      <c r="E1184" s="11">
        <v>80.0</v>
      </c>
      <c r="F1184" s="11">
        <v>0.275</v>
      </c>
      <c r="G1184" s="11">
        <v>0.619</v>
      </c>
      <c r="H1184" s="11">
        <v>0.105</v>
      </c>
      <c r="I1184" s="11">
        <v>7910500.0</v>
      </c>
      <c r="J1184" s="11">
        <v>0.919</v>
      </c>
      <c r="K1184" s="12" t="s">
        <v>169</v>
      </c>
      <c r="L1184" s="5" t="s">
        <v>93</v>
      </c>
      <c r="M1184" s="9" t="s">
        <v>73</v>
      </c>
    </row>
    <row r="1185">
      <c r="A1185" s="11">
        <v>1184.0</v>
      </c>
      <c r="B1185" s="11">
        <v>0.01</v>
      </c>
      <c r="C1185" s="11">
        <v>0.005</v>
      </c>
      <c r="D1185" s="11">
        <v>83.0</v>
      </c>
      <c r="E1185" s="11">
        <v>77.0</v>
      </c>
      <c r="F1185" s="11">
        <v>0.143</v>
      </c>
      <c r="G1185" s="11">
        <v>0.674</v>
      </c>
      <c r="H1185" s="11">
        <v>0.183</v>
      </c>
      <c r="I1185" s="11">
        <v>5.6942108E7</v>
      </c>
      <c r="J1185" s="11">
        <v>0.672</v>
      </c>
      <c r="K1185" s="12" t="s">
        <v>170</v>
      </c>
      <c r="L1185" s="5" t="s">
        <v>75</v>
      </c>
      <c r="M1185" s="9" t="s">
        <v>60</v>
      </c>
    </row>
    <row r="1186">
      <c r="A1186" s="11">
        <v>1185.0</v>
      </c>
      <c r="B1186" s="11">
        <v>0.009</v>
      </c>
      <c r="C1186" s="11">
        <v>0.004</v>
      </c>
      <c r="D1186" s="11">
        <v>83.0</v>
      </c>
      <c r="E1186" s="11">
        <v>77.0</v>
      </c>
      <c r="F1186" s="11">
        <v>0.143</v>
      </c>
      <c r="G1186" s="11">
        <v>0.672</v>
      </c>
      <c r="H1186" s="11">
        <v>0.186</v>
      </c>
      <c r="I1186" s="11">
        <v>5.69741E7</v>
      </c>
      <c r="J1186" s="11">
        <v>0.673</v>
      </c>
      <c r="K1186" s="12" t="s">
        <v>170</v>
      </c>
      <c r="L1186" s="5" t="s">
        <v>75</v>
      </c>
      <c r="M1186" s="9" t="s">
        <v>62</v>
      </c>
    </row>
    <row r="1187">
      <c r="A1187" s="11">
        <v>1186.0</v>
      </c>
      <c r="B1187" s="11">
        <v>0.009</v>
      </c>
      <c r="C1187" s="11">
        <v>0.004</v>
      </c>
      <c r="D1187" s="11">
        <v>83.0</v>
      </c>
      <c r="E1187" s="11">
        <v>77.0</v>
      </c>
      <c r="F1187" s="11">
        <v>0.142</v>
      </c>
      <c r="G1187" s="11">
        <v>0.669</v>
      </c>
      <c r="H1187" s="11">
        <v>0.189</v>
      </c>
      <c r="I1187" s="11">
        <v>5.7059007E7</v>
      </c>
      <c r="J1187" s="11">
        <v>0.674</v>
      </c>
      <c r="K1187" s="12" t="s">
        <v>170</v>
      </c>
      <c r="L1187" s="5" t="s">
        <v>75</v>
      </c>
      <c r="M1187" s="9" t="s">
        <v>63</v>
      </c>
    </row>
    <row r="1188">
      <c r="A1188" s="11">
        <v>1187.0</v>
      </c>
      <c r="B1188" s="11">
        <v>0.009</v>
      </c>
      <c r="C1188" s="11">
        <v>0.004</v>
      </c>
      <c r="D1188" s="11">
        <v>83.0</v>
      </c>
      <c r="E1188" s="11">
        <v>77.0</v>
      </c>
      <c r="F1188" s="11">
        <v>0.142</v>
      </c>
      <c r="G1188" s="11">
        <v>0.667</v>
      </c>
      <c r="H1188" s="11">
        <v>0.192</v>
      </c>
      <c r="I1188" s="11">
        <v>5.7313203E7</v>
      </c>
      <c r="J1188" s="11">
        <v>0.675</v>
      </c>
      <c r="K1188" s="12" t="s">
        <v>170</v>
      </c>
      <c r="L1188" s="5" t="s">
        <v>75</v>
      </c>
      <c r="M1188" s="9" t="s">
        <v>64</v>
      </c>
    </row>
    <row r="1189">
      <c r="A1189" s="11">
        <v>1188.0</v>
      </c>
      <c r="B1189" s="11">
        <v>0.01</v>
      </c>
      <c r="C1189" s="11">
        <v>0.004</v>
      </c>
      <c r="D1189" s="11">
        <v>84.0</v>
      </c>
      <c r="E1189" s="11">
        <v>78.0</v>
      </c>
      <c r="F1189" s="11">
        <v>0.141</v>
      </c>
      <c r="G1189" s="11">
        <v>0.665</v>
      </c>
      <c r="H1189" s="11">
        <v>0.194</v>
      </c>
      <c r="I1189" s="11">
        <v>5.7685327E7</v>
      </c>
      <c r="J1189" s="11">
        <v>0.676</v>
      </c>
      <c r="K1189" s="12" t="s">
        <v>170</v>
      </c>
      <c r="L1189" s="5" t="s">
        <v>75</v>
      </c>
      <c r="M1189" s="9" t="s">
        <v>65</v>
      </c>
    </row>
    <row r="1190">
      <c r="A1190" s="11">
        <v>1189.0</v>
      </c>
      <c r="B1190" s="11">
        <v>0.01</v>
      </c>
      <c r="C1190" s="11">
        <v>0.004</v>
      </c>
      <c r="D1190" s="11">
        <v>84.0</v>
      </c>
      <c r="E1190" s="11">
        <v>78.0</v>
      </c>
      <c r="F1190" s="11">
        <v>0.141</v>
      </c>
      <c r="G1190" s="11">
        <v>0.663</v>
      </c>
      <c r="H1190" s="11">
        <v>0.196</v>
      </c>
      <c r="I1190" s="11">
        <v>5.7969484E7</v>
      </c>
      <c r="J1190" s="11">
        <v>0.677</v>
      </c>
      <c r="K1190" s="12" t="s">
        <v>170</v>
      </c>
      <c r="L1190" s="5" t="s">
        <v>75</v>
      </c>
      <c r="M1190" s="9" t="s">
        <v>66</v>
      </c>
    </row>
    <row r="1191">
      <c r="A1191" s="11">
        <v>1190.0</v>
      </c>
      <c r="B1191" s="11">
        <v>0.01</v>
      </c>
      <c r="C1191" s="11">
        <v>0.004</v>
      </c>
      <c r="D1191" s="11">
        <v>84.0</v>
      </c>
      <c r="E1191" s="11">
        <v>79.0</v>
      </c>
      <c r="F1191" s="11">
        <v>0.141</v>
      </c>
      <c r="G1191" s="11">
        <v>0.661</v>
      </c>
      <c r="H1191" s="11">
        <v>0.198</v>
      </c>
      <c r="I1191" s="11">
        <v>5.8143979E7</v>
      </c>
      <c r="J1191" s="11">
        <v>0.679</v>
      </c>
      <c r="K1191" s="12" t="s">
        <v>170</v>
      </c>
      <c r="L1191" s="5" t="s">
        <v>75</v>
      </c>
      <c r="M1191" s="9" t="s">
        <v>67</v>
      </c>
    </row>
    <row r="1192">
      <c r="A1192" s="11">
        <v>1191.0</v>
      </c>
      <c r="B1192" s="11">
        <v>0.01</v>
      </c>
      <c r="C1192" s="11">
        <v>0.004</v>
      </c>
      <c r="D1192" s="11">
        <v>84.0</v>
      </c>
      <c r="E1192" s="11">
        <v>79.0</v>
      </c>
      <c r="F1192" s="11">
        <v>0.141</v>
      </c>
      <c r="G1192" s="11">
        <v>0.66</v>
      </c>
      <c r="H1192" s="11">
        <v>0.199</v>
      </c>
      <c r="I1192" s="11">
        <v>5.843831E7</v>
      </c>
      <c r="J1192" s="11">
        <v>0.68</v>
      </c>
      <c r="K1192" s="12" t="s">
        <v>170</v>
      </c>
      <c r="L1192" s="5" t="s">
        <v>75</v>
      </c>
      <c r="M1192" s="9" t="s">
        <v>68</v>
      </c>
    </row>
    <row r="1193">
      <c r="A1193" s="11">
        <v>1192.0</v>
      </c>
      <c r="B1193" s="11">
        <v>0.01</v>
      </c>
      <c r="C1193" s="11">
        <v>0.004</v>
      </c>
      <c r="D1193" s="11">
        <v>85.0</v>
      </c>
      <c r="E1193" s="11">
        <v>79.0</v>
      </c>
      <c r="F1193" s="11">
        <v>0.14</v>
      </c>
      <c r="G1193" s="11">
        <v>0.66</v>
      </c>
      <c r="H1193" s="11">
        <v>0.2</v>
      </c>
      <c r="I1193" s="11">
        <v>5.8826731E7</v>
      </c>
      <c r="J1193" s="11">
        <v>0.681</v>
      </c>
      <c r="K1193" s="12" t="s">
        <v>170</v>
      </c>
      <c r="L1193" s="5" t="s">
        <v>75</v>
      </c>
      <c r="M1193" s="9" t="s">
        <v>69</v>
      </c>
    </row>
    <row r="1194">
      <c r="A1194" s="11">
        <v>1193.0</v>
      </c>
      <c r="B1194" s="11">
        <v>0.01</v>
      </c>
      <c r="C1194" s="11">
        <v>0.004</v>
      </c>
      <c r="D1194" s="11">
        <v>85.0</v>
      </c>
      <c r="E1194" s="11">
        <v>79.0</v>
      </c>
      <c r="F1194" s="11">
        <v>0.14</v>
      </c>
      <c r="G1194" s="11">
        <v>0.658</v>
      </c>
      <c r="H1194" s="11">
        <v>0.201</v>
      </c>
      <c r="I1194" s="11">
        <v>5.9095365E7</v>
      </c>
      <c r="J1194" s="11">
        <v>0.682</v>
      </c>
      <c r="K1194" s="12" t="s">
        <v>170</v>
      </c>
      <c r="L1194" s="5" t="s">
        <v>75</v>
      </c>
      <c r="M1194" s="9" t="s">
        <v>70</v>
      </c>
    </row>
    <row r="1195">
      <c r="A1195" s="11">
        <v>1194.0</v>
      </c>
      <c r="B1195" s="11">
        <v>0.009</v>
      </c>
      <c r="C1195" s="11">
        <v>0.003</v>
      </c>
      <c r="D1195" s="11">
        <v>85.0</v>
      </c>
      <c r="E1195" s="11">
        <v>80.0</v>
      </c>
      <c r="F1195" s="11">
        <v>0.14</v>
      </c>
      <c r="G1195" s="11">
        <v>0.657</v>
      </c>
      <c r="H1195" s="11">
        <v>0.203</v>
      </c>
      <c r="I1195" s="11">
        <v>5.9277417E7</v>
      </c>
      <c r="J1195" s="11">
        <v>0.683</v>
      </c>
      <c r="K1195" s="12" t="s">
        <v>170</v>
      </c>
      <c r="L1195" s="5" t="s">
        <v>75</v>
      </c>
      <c r="M1195" s="9" t="s">
        <v>71</v>
      </c>
    </row>
    <row r="1196">
      <c r="A1196" s="11">
        <v>1195.0</v>
      </c>
      <c r="B1196" s="11">
        <v>0.009</v>
      </c>
      <c r="C1196" s="11">
        <v>0.003</v>
      </c>
      <c r="D1196" s="11">
        <v>85.0</v>
      </c>
      <c r="E1196" s="11">
        <v>80.0</v>
      </c>
      <c r="F1196" s="11">
        <v>0.14</v>
      </c>
      <c r="G1196" s="11">
        <v>0.654</v>
      </c>
      <c r="H1196" s="11">
        <v>0.205</v>
      </c>
      <c r="I1196" s="11">
        <v>5.9379449E7</v>
      </c>
      <c r="J1196" s="11">
        <v>0.684</v>
      </c>
      <c r="K1196" s="12" t="s">
        <v>170</v>
      </c>
      <c r="L1196" s="5" t="s">
        <v>75</v>
      </c>
      <c r="M1196" s="9" t="s">
        <v>72</v>
      </c>
    </row>
    <row r="1197">
      <c r="A1197" s="11">
        <v>1196.0</v>
      </c>
      <c r="B1197" s="11">
        <v>0.009</v>
      </c>
      <c r="C1197" s="11">
        <v>0.003</v>
      </c>
      <c r="D1197" s="11">
        <v>86.0</v>
      </c>
      <c r="E1197" s="11">
        <v>80.0</v>
      </c>
      <c r="F1197" s="11">
        <v>0.14</v>
      </c>
      <c r="G1197" s="11">
        <v>0.651</v>
      </c>
      <c r="H1197" s="11">
        <v>0.208</v>
      </c>
      <c r="I1197" s="11">
        <v>5.9539717E7</v>
      </c>
      <c r="J1197" s="11">
        <v>0.686</v>
      </c>
      <c r="K1197" s="12" t="s">
        <v>170</v>
      </c>
      <c r="L1197" s="5" t="s">
        <v>75</v>
      </c>
      <c r="M1197" s="9" t="s">
        <v>73</v>
      </c>
    </row>
    <row r="1198">
      <c r="A1198" s="11">
        <v>1197.0</v>
      </c>
      <c r="B1198" s="11">
        <v>0.021</v>
      </c>
      <c r="C1198" s="11">
        <v>0.02</v>
      </c>
      <c r="D1198" s="11">
        <v>73.0</v>
      </c>
      <c r="E1198" s="11">
        <v>68.0</v>
      </c>
      <c r="F1198" s="11">
        <v>0.327</v>
      </c>
      <c r="G1198" s="11">
        <v>0.599</v>
      </c>
      <c r="H1198" s="11">
        <v>0.075</v>
      </c>
      <c r="I1198" s="11">
        <v>2589389.0</v>
      </c>
      <c r="J1198" s="11">
        <v>0.518</v>
      </c>
      <c r="K1198" s="12" t="s">
        <v>171</v>
      </c>
      <c r="L1198" s="5" t="s">
        <v>84</v>
      </c>
      <c r="M1198" s="9" t="s">
        <v>60</v>
      </c>
    </row>
    <row r="1199">
      <c r="A1199" s="11">
        <v>1198.0</v>
      </c>
      <c r="B1199" s="11">
        <v>0.019</v>
      </c>
      <c r="C1199" s="11">
        <v>0.02</v>
      </c>
      <c r="D1199" s="11">
        <v>74.0</v>
      </c>
      <c r="E1199" s="11">
        <v>68.0</v>
      </c>
      <c r="F1199" s="11">
        <v>0.324</v>
      </c>
      <c r="G1199" s="11">
        <v>0.601</v>
      </c>
      <c r="H1199" s="11">
        <v>0.075</v>
      </c>
      <c r="I1199" s="11">
        <v>2605556.0</v>
      </c>
      <c r="J1199" s="11">
        <v>0.521</v>
      </c>
      <c r="K1199" s="12" t="s">
        <v>171</v>
      </c>
      <c r="L1199" s="5" t="s">
        <v>84</v>
      </c>
      <c r="M1199" s="9" t="s">
        <v>62</v>
      </c>
    </row>
    <row r="1200">
      <c r="A1200" s="11">
        <v>1199.0</v>
      </c>
      <c r="B1200" s="11">
        <v>0.018</v>
      </c>
      <c r="C1200" s="11">
        <v>0.019</v>
      </c>
      <c r="D1200" s="11">
        <v>74.0</v>
      </c>
      <c r="E1200" s="11">
        <v>68.0</v>
      </c>
      <c r="F1200" s="11">
        <v>0.321</v>
      </c>
      <c r="G1200" s="11">
        <v>0.604</v>
      </c>
      <c r="H1200" s="11">
        <v>0.076</v>
      </c>
      <c r="I1200" s="11">
        <v>2615253.0</v>
      </c>
      <c r="J1200" s="11">
        <v>0.523</v>
      </c>
      <c r="K1200" s="12" t="s">
        <v>171</v>
      </c>
      <c r="L1200" s="5" t="s">
        <v>84</v>
      </c>
      <c r="M1200" s="9" t="s">
        <v>63</v>
      </c>
    </row>
    <row r="1201">
      <c r="A1201" s="11">
        <v>1200.0</v>
      </c>
      <c r="B1201" s="11">
        <v>0.017</v>
      </c>
      <c r="C1201" s="11">
        <v>0.019</v>
      </c>
      <c r="D1201" s="11">
        <v>74.0</v>
      </c>
      <c r="E1201" s="11">
        <v>68.0</v>
      </c>
      <c r="F1201" s="11">
        <v>0.318</v>
      </c>
      <c r="G1201" s="11">
        <v>0.606</v>
      </c>
      <c r="H1201" s="11">
        <v>0.076</v>
      </c>
      <c r="I1201" s="11">
        <v>2624695.0</v>
      </c>
      <c r="J1201" s="11">
        <v>0.524</v>
      </c>
      <c r="K1201" s="12" t="s">
        <v>171</v>
      </c>
      <c r="L1201" s="5" t="s">
        <v>84</v>
      </c>
      <c r="M1201" s="9" t="s">
        <v>64</v>
      </c>
    </row>
    <row r="1202">
      <c r="A1202" s="11">
        <v>1201.0</v>
      </c>
      <c r="B1202" s="11">
        <v>0.017</v>
      </c>
      <c r="C1202" s="11">
        <v>0.018</v>
      </c>
      <c r="D1202" s="11">
        <v>74.0</v>
      </c>
      <c r="E1202" s="11">
        <v>68.0</v>
      </c>
      <c r="F1202" s="11">
        <v>0.315</v>
      </c>
      <c r="G1202" s="11">
        <v>0.609</v>
      </c>
      <c r="H1202" s="11">
        <v>0.076</v>
      </c>
      <c r="I1202" s="11">
        <v>2634145.0</v>
      </c>
      <c r="J1202" s="11">
        <v>0.526</v>
      </c>
      <c r="K1202" s="12" t="s">
        <v>171</v>
      </c>
      <c r="L1202" s="5" t="s">
        <v>84</v>
      </c>
      <c r="M1202" s="9" t="s">
        <v>65</v>
      </c>
    </row>
    <row r="1203">
      <c r="A1203" s="11">
        <v>1202.0</v>
      </c>
      <c r="B1203" s="11">
        <v>0.018</v>
      </c>
      <c r="C1203" s="11">
        <v>0.018</v>
      </c>
      <c r="D1203" s="11">
        <v>74.0</v>
      </c>
      <c r="E1203" s="11">
        <v>69.0</v>
      </c>
      <c r="F1203" s="11">
        <v>0.311</v>
      </c>
      <c r="G1203" s="11">
        <v>0.612</v>
      </c>
      <c r="H1203" s="11">
        <v>0.077</v>
      </c>
      <c r="I1203" s="11">
        <v>2643601.0</v>
      </c>
      <c r="J1203" s="11">
        <v>0.528</v>
      </c>
      <c r="K1203" s="12" t="s">
        <v>171</v>
      </c>
      <c r="L1203" s="5" t="s">
        <v>84</v>
      </c>
      <c r="M1203" s="9" t="s">
        <v>66</v>
      </c>
    </row>
    <row r="1204">
      <c r="A1204" s="11">
        <v>1203.0</v>
      </c>
      <c r="B1204" s="11">
        <v>0.016</v>
      </c>
      <c r="C1204" s="11">
        <v>0.018</v>
      </c>
      <c r="D1204" s="11">
        <v>75.0</v>
      </c>
      <c r="E1204" s="11">
        <v>69.0</v>
      </c>
      <c r="F1204" s="11">
        <v>0.308</v>
      </c>
      <c r="G1204" s="11">
        <v>0.615</v>
      </c>
      <c r="H1204" s="11">
        <v>0.077</v>
      </c>
      <c r="I1204" s="11">
        <v>2653042.0</v>
      </c>
      <c r="J1204" s="11">
        <v>0.53</v>
      </c>
      <c r="K1204" s="12" t="s">
        <v>171</v>
      </c>
      <c r="L1204" s="5" t="s">
        <v>84</v>
      </c>
      <c r="M1204" s="9" t="s">
        <v>67</v>
      </c>
    </row>
    <row r="1205">
      <c r="A1205" s="11">
        <v>1204.0</v>
      </c>
      <c r="B1205" s="11">
        <v>0.016</v>
      </c>
      <c r="C1205" s="11">
        <v>0.017</v>
      </c>
      <c r="D1205" s="11">
        <v>75.0</v>
      </c>
      <c r="E1205" s="11">
        <v>69.0</v>
      </c>
      <c r="F1205" s="11">
        <v>0.304</v>
      </c>
      <c r="G1205" s="11">
        <v>0.618</v>
      </c>
      <c r="H1205" s="11">
        <v>0.077</v>
      </c>
      <c r="I1205" s="11">
        <v>2662481.0</v>
      </c>
      <c r="J1205" s="11">
        <v>0.532</v>
      </c>
      <c r="K1205" s="12" t="s">
        <v>171</v>
      </c>
      <c r="L1205" s="5" t="s">
        <v>84</v>
      </c>
      <c r="M1205" s="9" t="s">
        <v>68</v>
      </c>
    </row>
    <row r="1206">
      <c r="A1206" s="11">
        <v>1205.0</v>
      </c>
      <c r="B1206" s="11">
        <v>0.016</v>
      </c>
      <c r="C1206" s="11">
        <v>0.017</v>
      </c>
      <c r="D1206" s="11">
        <v>75.0</v>
      </c>
      <c r="E1206" s="11">
        <v>70.0</v>
      </c>
      <c r="F1206" s="11">
        <v>0.3</v>
      </c>
      <c r="G1206" s="11">
        <v>0.622</v>
      </c>
      <c r="H1206" s="11">
        <v>0.078</v>
      </c>
      <c r="I1206" s="11">
        <v>2671934.0</v>
      </c>
      <c r="J1206" s="11">
        <v>0.534</v>
      </c>
      <c r="K1206" s="12" t="s">
        <v>171</v>
      </c>
      <c r="L1206" s="5" t="s">
        <v>84</v>
      </c>
      <c r="M1206" s="9" t="s">
        <v>69</v>
      </c>
    </row>
    <row r="1207">
      <c r="A1207" s="11">
        <v>1206.0</v>
      </c>
      <c r="B1207" s="11">
        <v>0.016</v>
      </c>
      <c r="C1207" s="11">
        <v>0.016</v>
      </c>
      <c r="D1207" s="11">
        <v>75.0</v>
      </c>
      <c r="E1207" s="11">
        <v>70.0</v>
      </c>
      <c r="F1207" s="11">
        <v>0.296</v>
      </c>
      <c r="G1207" s="11">
        <v>0.626</v>
      </c>
      <c r="H1207" s="11">
        <v>0.078</v>
      </c>
      <c r="I1207" s="11">
        <v>2681386.0</v>
      </c>
      <c r="J1207" s="11">
        <v>0.536</v>
      </c>
      <c r="K1207" s="12" t="s">
        <v>171</v>
      </c>
      <c r="L1207" s="5" t="s">
        <v>84</v>
      </c>
      <c r="M1207" s="9" t="s">
        <v>70</v>
      </c>
    </row>
    <row r="1208">
      <c r="A1208" s="11">
        <v>1207.0</v>
      </c>
      <c r="B1208" s="11">
        <v>0.015</v>
      </c>
      <c r="C1208" s="11">
        <v>0.016</v>
      </c>
      <c r="D1208" s="11">
        <v>76.0</v>
      </c>
      <c r="E1208" s="11">
        <v>70.0</v>
      </c>
      <c r="F1208" s="11">
        <v>0.29</v>
      </c>
      <c r="G1208" s="11">
        <v>0.631</v>
      </c>
      <c r="H1208" s="11">
        <v>0.078</v>
      </c>
      <c r="I1208" s="11">
        <v>2690824.0</v>
      </c>
      <c r="J1208" s="11">
        <v>0.537</v>
      </c>
      <c r="K1208" s="12" t="s">
        <v>171</v>
      </c>
      <c r="L1208" s="5" t="s">
        <v>84</v>
      </c>
      <c r="M1208" s="9" t="s">
        <v>71</v>
      </c>
    </row>
    <row r="1209">
      <c r="A1209" s="11">
        <v>1208.0</v>
      </c>
      <c r="B1209" s="11">
        <v>0.015</v>
      </c>
      <c r="C1209" s="11">
        <v>0.015</v>
      </c>
      <c r="D1209" s="11">
        <v>76.0</v>
      </c>
      <c r="E1209" s="11">
        <v>71.0</v>
      </c>
      <c r="F1209" s="11">
        <v>0.284</v>
      </c>
      <c r="G1209" s="11">
        <v>0.637</v>
      </c>
      <c r="H1209" s="11">
        <v>0.079</v>
      </c>
      <c r="I1209" s="11">
        <v>2699838.0</v>
      </c>
      <c r="J1209" s="11">
        <v>0.539</v>
      </c>
      <c r="K1209" s="12" t="s">
        <v>171</v>
      </c>
      <c r="L1209" s="5" t="s">
        <v>84</v>
      </c>
      <c r="M1209" s="9" t="s">
        <v>72</v>
      </c>
    </row>
    <row r="1210">
      <c r="A1210" s="11">
        <v>1209.0</v>
      </c>
      <c r="B1210" s="11">
        <v>0.015</v>
      </c>
      <c r="C1210" s="11">
        <v>0.015</v>
      </c>
      <c r="D1210" s="11">
        <v>76.0</v>
      </c>
      <c r="E1210" s="11">
        <v>71.0</v>
      </c>
      <c r="F1210" s="11">
        <v>0.278</v>
      </c>
      <c r="G1210" s="11">
        <v>0.643</v>
      </c>
      <c r="H1210" s="11">
        <v>0.079</v>
      </c>
      <c r="I1210" s="11">
        <v>2707805.0</v>
      </c>
      <c r="J1210" s="11">
        <v>0.541</v>
      </c>
      <c r="K1210" s="12" t="s">
        <v>171</v>
      </c>
      <c r="L1210" s="5" t="s">
        <v>84</v>
      </c>
      <c r="M1210" s="9" t="s">
        <v>73</v>
      </c>
    </row>
    <row r="1211">
      <c r="A1211" s="11">
        <v>1210.0</v>
      </c>
      <c r="B1211" s="11">
        <v>0.009</v>
      </c>
      <c r="C1211" s="11">
        <v>0.003</v>
      </c>
      <c r="D1211" s="11">
        <v>85.0</v>
      </c>
      <c r="E1211" s="11">
        <v>78.0</v>
      </c>
      <c r="F1211" s="11">
        <v>0.146</v>
      </c>
      <c r="G1211" s="11">
        <v>0.682</v>
      </c>
      <c r="H1211" s="11">
        <v>0.172</v>
      </c>
      <c r="I1211" s="11">
        <v>1.2687E8</v>
      </c>
      <c r="J1211" s="11">
        <v>0.786</v>
      </c>
      <c r="K1211" s="12" t="s">
        <v>172</v>
      </c>
      <c r="L1211" s="5" t="s">
        <v>61</v>
      </c>
      <c r="M1211" s="9" t="s">
        <v>60</v>
      </c>
    </row>
    <row r="1212">
      <c r="A1212" s="11">
        <v>1211.0</v>
      </c>
      <c r="B1212" s="11">
        <v>0.009</v>
      </c>
      <c r="C1212" s="11">
        <v>0.003</v>
      </c>
      <c r="D1212" s="11">
        <v>85.0</v>
      </c>
      <c r="E1212" s="11">
        <v>78.0</v>
      </c>
      <c r="F1212" s="11">
        <v>0.144</v>
      </c>
      <c r="G1212" s="11">
        <v>0.679</v>
      </c>
      <c r="H1212" s="11">
        <v>0.177</v>
      </c>
      <c r="I1212" s="11">
        <v>1.27149E8</v>
      </c>
      <c r="J1212" s="11">
        <v>0.8</v>
      </c>
      <c r="K1212" s="12" t="s">
        <v>172</v>
      </c>
      <c r="L1212" s="5" t="s">
        <v>61</v>
      </c>
      <c r="M1212" s="9" t="s">
        <v>62</v>
      </c>
    </row>
    <row r="1213">
      <c r="A1213" s="11">
        <v>1212.0</v>
      </c>
      <c r="B1213" s="11">
        <v>0.009</v>
      </c>
      <c r="C1213" s="11">
        <v>0.003</v>
      </c>
      <c r="D1213" s="11">
        <v>85.0</v>
      </c>
      <c r="E1213" s="11">
        <v>78.0</v>
      </c>
      <c r="F1213" s="11">
        <v>0.142</v>
      </c>
      <c r="G1213" s="11">
        <v>0.675</v>
      </c>
      <c r="H1213" s="11">
        <v>0.182</v>
      </c>
      <c r="I1213" s="11">
        <v>1.27445E8</v>
      </c>
      <c r="J1213" s="11">
        <v>0.816</v>
      </c>
      <c r="K1213" s="12" t="s">
        <v>172</v>
      </c>
      <c r="L1213" s="5" t="s">
        <v>61</v>
      </c>
      <c r="M1213" s="9" t="s">
        <v>63</v>
      </c>
    </row>
    <row r="1214">
      <c r="A1214" s="11">
        <v>1213.0</v>
      </c>
      <c r="B1214" s="11">
        <v>0.009</v>
      </c>
      <c r="C1214" s="11">
        <v>0.003</v>
      </c>
      <c r="D1214" s="11">
        <v>85.0</v>
      </c>
      <c r="E1214" s="11">
        <v>78.0</v>
      </c>
      <c r="F1214" s="11">
        <v>0.141</v>
      </c>
      <c r="G1214" s="11">
        <v>0.672</v>
      </c>
      <c r="H1214" s="11">
        <v>0.188</v>
      </c>
      <c r="I1214" s="11">
        <v>1.27718E8</v>
      </c>
      <c r="J1214" s="11">
        <v>0.832</v>
      </c>
      <c r="K1214" s="12" t="s">
        <v>172</v>
      </c>
      <c r="L1214" s="5" t="s">
        <v>61</v>
      </c>
      <c r="M1214" s="9" t="s">
        <v>64</v>
      </c>
    </row>
    <row r="1215">
      <c r="A1215" s="11">
        <v>1214.0</v>
      </c>
      <c r="B1215" s="11">
        <v>0.009</v>
      </c>
      <c r="C1215" s="11">
        <v>0.003</v>
      </c>
      <c r="D1215" s="11">
        <v>86.0</v>
      </c>
      <c r="E1215" s="11">
        <v>79.0</v>
      </c>
      <c r="F1215" s="11">
        <v>0.139</v>
      </c>
      <c r="G1215" s="11">
        <v>0.668</v>
      </c>
      <c r="H1215" s="11">
        <v>0.193</v>
      </c>
      <c r="I1215" s="11">
        <v>1.27761E8</v>
      </c>
      <c r="J1215" s="11">
        <v>0.846</v>
      </c>
      <c r="K1215" s="12" t="s">
        <v>172</v>
      </c>
      <c r="L1215" s="5" t="s">
        <v>61</v>
      </c>
      <c r="M1215" s="9" t="s">
        <v>65</v>
      </c>
    </row>
    <row r="1216">
      <c r="A1216" s="11">
        <v>1215.0</v>
      </c>
      <c r="B1216" s="11">
        <v>0.008</v>
      </c>
      <c r="C1216" s="11">
        <v>0.003</v>
      </c>
      <c r="D1216" s="11">
        <v>85.0</v>
      </c>
      <c r="E1216" s="11">
        <v>79.0</v>
      </c>
      <c r="F1216" s="11">
        <v>0.138</v>
      </c>
      <c r="G1216" s="11">
        <v>0.663</v>
      </c>
      <c r="H1216" s="11">
        <v>0.198</v>
      </c>
      <c r="I1216" s="11">
        <v>1.27773E8</v>
      </c>
      <c r="J1216" s="11">
        <v>0.86</v>
      </c>
      <c r="K1216" s="12" t="s">
        <v>172</v>
      </c>
      <c r="L1216" s="5" t="s">
        <v>61</v>
      </c>
      <c r="M1216" s="9" t="s">
        <v>66</v>
      </c>
    </row>
    <row r="1217">
      <c r="A1217" s="11">
        <v>1216.0</v>
      </c>
      <c r="B1217" s="11">
        <v>0.009</v>
      </c>
      <c r="C1217" s="11">
        <v>0.003</v>
      </c>
      <c r="D1217" s="11">
        <v>86.0</v>
      </c>
      <c r="E1217" s="11">
        <v>79.0</v>
      </c>
      <c r="F1217" s="11">
        <v>0.137</v>
      </c>
      <c r="G1217" s="11">
        <v>0.659</v>
      </c>
      <c r="H1217" s="11">
        <v>0.204</v>
      </c>
      <c r="I1217" s="11">
        <v>1.27756E8</v>
      </c>
      <c r="J1217" s="11">
        <v>0.871</v>
      </c>
      <c r="K1217" s="12" t="s">
        <v>172</v>
      </c>
      <c r="L1217" s="5" t="s">
        <v>61</v>
      </c>
      <c r="M1217" s="9" t="s">
        <v>67</v>
      </c>
    </row>
    <row r="1218">
      <c r="A1218" s="11">
        <v>1217.0</v>
      </c>
      <c r="B1218" s="11">
        <v>0.009</v>
      </c>
      <c r="C1218" s="11">
        <v>0.003</v>
      </c>
      <c r="D1218" s="11">
        <v>86.0</v>
      </c>
      <c r="E1218" s="11">
        <v>79.0</v>
      </c>
      <c r="F1218" s="11">
        <v>0.136</v>
      </c>
      <c r="G1218" s="11">
        <v>0.654</v>
      </c>
      <c r="H1218" s="11">
        <v>0.21</v>
      </c>
      <c r="I1218" s="11">
        <v>1.2777075E8</v>
      </c>
      <c r="J1218" s="11">
        <v>0.88</v>
      </c>
      <c r="K1218" s="12" t="s">
        <v>172</v>
      </c>
      <c r="L1218" s="5" t="s">
        <v>61</v>
      </c>
      <c r="M1218" s="9" t="s">
        <v>68</v>
      </c>
    </row>
    <row r="1219">
      <c r="A1219" s="11">
        <v>1218.0</v>
      </c>
      <c r="B1219" s="11">
        <v>0.009</v>
      </c>
      <c r="C1219" s="11">
        <v>0.003</v>
      </c>
      <c r="D1219" s="11">
        <v>86.0</v>
      </c>
      <c r="E1219" s="11">
        <v>79.0</v>
      </c>
      <c r="F1219" s="11">
        <v>0.135</v>
      </c>
      <c r="G1219" s="11">
        <v>0.649</v>
      </c>
      <c r="H1219" s="11">
        <v>0.216</v>
      </c>
      <c r="I1219" s="11">
        <v>1.2770404E8</v>
      </c>
      <c r="J1219" s="11">
        <v>0.889</v>
      </c>
      <c r="K1219" s="12" t="s">
        <v>172</v>
      </c>
      <c r="L1219" s="5" t="s">
        <v>61</v>
      </c>
      <c r="M1219" s="9" t="s">
        <v>69</v>
      </c>
    </row>
    <row r="1220">
      <c r="A1220" s="11">
        <v>1219.0</v>
      </c>
      <c r="B1220" s="11">
        <v>0.009</v>
      </c>
      <c r="C1220" s="11">
        <v>0.002</v>
      </c>
      <c r="D1220" s="11">
        <v>86.0</v>
      </c>
      <c r="E1220" s="11">
        <v>80.0</v>
      </c>
      <c r="F1220" s="11">
        <v>0.134</v>
      </c>
      <c r="G1220" s="11">
        <v>0.643</v>
      </c>
      <c r="H1220" s="11">
        <v>0.223</v>
      </c>
      <c r="I1220" s="11">
        <v>1.27557958E8</v>
      </c>
      <c r="J1220" s="11">
        <v>0.897</v>
      </c>
      <c r="K1220" s="12" t="s">
        <v>172</v>
      </c>
      <c r="L1220" s="5" t="s">
        <v>61</v>
      </c>
      <c r="M1220" s="9" t="s">
        <v>70</v>
      </c>
    </row>
    <row r="1221">
      <c r="A1221" s="11">
        <v>1220.0</v>
      </c>
      <c r="B1221" s="11">
        <v>0.009</v>
      </c>
      <c r="C1221" s="11">
        <v>0.002</v>
      </c>
      <c r="D1221" s="11">
        <v>86.0</v>
      </c>
      <c r="E1221" s="11">
        <v>80.0</v>
      </c>
      <c r="F1221" s="11">
        <v>0.133</v>
      </c>
      <c r="G1221" s="11">
        <v>0.638</v>
      </c>
      <c r="H1221" s="11">
        <v>0.23</v>
      </c>
      <c r="I1221" s="11">
        <v>1.27450459E8</v>
      </c>
      <c r="J1221" s="11">
        <v>0.905</v>
      </c>
      <c r="K1221" s="12" t="s">
        <v>172</v>
      </c>
      <c r="L1221" s="5" t="s">
        <v>61</v>
      </c>
      <c r="M1221" s="9" t="s">
        <v>71</v>
      </c>
    </row>
    <row r="1222">
      <c r="A1222" s="11">
        <v>1221.0</v>
      </c>
      <c r="B1222" s="11">
        <v>0.008</v>
      </c>
      <c r="C1222" s="11">
        <v>0.002</v>
      </c>
      <c r="D1222" s="11">
        <v>86.0</v>
      </c>
      <c r="E1222" s="11">
        <v>79.0</v>
      </c>
      <c r="F1222" s="11">
        <v>0.132</v>
      </c>
      <c r="G1222" s="11">
        <v>0.631</v>
      </c>
      <c r="H1222" s="11">
        <v>0.237</v>
      </c>
      <c r="I1222" s="11">
        <v>1.27817277E8</v>
      </c>
      <c r="J1222" s="11">
        <v>0.912</v>
      </c>
      <c r="K1222" s="12" t="s">
        <v>172</v>
      </c>
      <c r="L1222" s="5" t="s">
        <v>61</v>
      </c>
      <c r="M1222" s="9" t="s">
        <v>72</v>
      </c>
    </row>
    <row r="1223">
      <c r="A1223" s="11">
        <v>1222.0</v>
      </c>
      <c r="B1223" s="11">
        <v>0.008</v>
      </c>
      <c r="C1223" s="11">
        <v>0.002</v>
      </c>
      <c r="D1223" s="11">
        <v>86.0</v>
      </c>
      <c r="E1223" s="11">
        <v>80.0</v>
      </c>
      <c r="F1223" s="11">
        <v>0.131</v>
      </c>
      <c r="G1223" s="11">
        <v>0.625</v>
      </c>
      <c r="H1223" s="11">
        <v>0.244</v>
      </c>
      <c r="I1223" s="11">
        <v>1.27561489E8</v>
      </c>
      <c r="J1223" s="11">
        <v>0.919</v>
      </c>
      <c r="K1223" s="12" t="s">
        <v>172</v>
      </c>
      <c r="L1223" s="5" t="s">
        <v>61</v>
      </c>
      <c r="M1223" s="9" t="s">
        <v>73</v>
      </c>
    </row>
    <row r="1224">
      <c r="A1224" s="11">
        <v>1223.0</v>
      </c>
      <c r="B1224" s="11">
        <v>0.031</v>
      </c>
      <c r="C1224" s="11">
        <v>0.023</v>
      </c>
      <c r="D1224" s="11">
        <v>73.0</v>
      </c>
      <c r="E1224" s="11">
        <v>70.0</v>
      </c>
      <c r="F1224" s="11">
        <v>0.394</v>
      </c>
      <c r="G1224" s="11">
        <v>0.575</v>
      </c>
      <c r="H1224" s="11">
        <v>0.031</v>
      </c>
      <c r="I1224" s="11">
        <v>4797000.0</v>
      </c>
      <c r="J1224" s="11">
        <v>0.798</v>
      </c>
      <c r="K1224" s="12" t="s">
        <v>173</v>
      </c>
      <c r="L1224" s="5" t="s">
        <v>93</v>
      </c>
      <c r="M1224" s="9" t="s">
        <v>60</v>
      </c>
    </row>
    <row r="1225">
      <c r="A1225" s="11">
        <v>1224.0</v>
      </c>
      <c r="B1225" s="11">
        <v>0.031</v>
      </c>
      <c r="C1225" s="11">
        <v>0.023</v>
      </c>
      <c r="D1225" s="11">
        <v>73.0</v>
      </c>
      <c r="E1225" s="11">
        <v>71.0</v>
      </c>
      <c r="F1225" s="11">
        <v>0.392</v>
      </c>
      <c r="G1225" s="11">
        <v>0.577</v>
      </c>
      <c r="H1225" s="11">
        <v>0.031</v>
      </c>
      <c r="I1225" s="11">
        <v>4917000.0</v>
      </c>
      <c r="J1225" s="11">
        <v>0.801</v>
      </c>
      <c r="K1225" s="12" t="s">
        <v>173</v>
      </c>
      <c r="L1225" s="5" t="s">
        <v>93</v>
      </c>
      <c r="M1225" s="9" t="s">
        <v>62</v>
      </c>
    </row>
    <row r="1226">
      <c r="A1226" s="11">
        <v>1225.0</v>
      </c>
      <c r="B1226" s="11">
        <v>0.031</v>
      </c>
      <c r="C1226" s="11">
        <v>0.022</v>
      </c>
      <c r="D1226" s="11">
        <v>74.0</v>
      </c>
      <c r="E1226" s="11">
        <v>71.0</v>
      </c>
      <c r="F1226" s="11">
        <v>0.39</v>
      </c>
      <c r="G1226" s="11">
        <v>0.579</v>
      </c>
      <c r="H1226" s="11">
        <v>0.031</v>
      </c>
      <c r="I1226" s="11">
        <v>5038000.0</v>
      </c>
      <c r="J1226" s="11">
        <v>0.804</v>
      </c>
      <c r="K1226" s="12" t="s">
        <v>173</v>
      </c>
      <c r="L1226" s="5" t="s">
        <v>93</v>
      </c>
      <c r="M1226" s="9" t="s">
        <v>63</v>
      </c>
    </row>
    <row r="1227">
      <c r="A1227" s="11">
        <v>1226.0</v>
      </c>
      <c r="B1227" s="11">
        <v>0.03</v>
      </c>
      <c r="C1227" s="11">
        <v>0.022</v>
      </c>
      <c r="D1227" s="11">
        <v>74.0</v>
      </c>
      <c r="E1227" s="11">
        <v>71.0</v>
      </c>
      <c r="F1227" s="11">
        <v>0.387</v>
      </c>
      <c r="G1227" s="11">
        <v>0.582</v>
      </c>
      <c r="H1227" s="11">
        <v>0.031</v>
      </c>
      <c r="I1227" s="11">
        <v>5164000.0</v>
      </c>
      <c r="J1227" s="11">
        <v>0.806</v>
      </c>
      <c r="K1227" s="12" t="s">
        <v>173</v>
      </c>
      <c r="L1227" s="5" t="s">
        <v>93</v>
      </c>
      <c r="M1227" s="9" t="s">
        <v>64</v>
      </c>
    </row>
    <row r="1228">
      <c r="A1228" s="11">
        <v>1227.0</v>
      </c>
      <c r="B1228" s="11">
        <v>0.03</v>
      </c>
      <c r="C1228" s="11">
        <v>0.021</v>
      </c>
      <c r="D1228" s="11">
        <v>74.0</v>
      </c>
      <c r="E1228" s="11">
        <v>71.0</v>
      </c>
      <c r="F1228" s="11">
        <v>0.383</v>
      </c>
      <c r="G1228" s="11">
        <v>0.585</v>
      </c>
      <c r="H1228" s="11">
        <v>0.032</v>
      </c>
      <c r="I1228" s="11">
        <v>5290000.0</v>
      </c>
      <c r="J1228" s="11">
        <v>0.809</v>
      </c>
      <c r="K1228" s="12" t="s">
        <v>173</v>
      </c>
      <c r="L1228" s="5" t="s">
        <v>93</v>
      </c>
      <c r="M1228" s="9" t="s">
        <v>65</v>
      </c>
    </row>
    <row r="1229">
      <c r="A1229" s="11">
        <v>1228.0</v>
      </c>
      <c r="B1229" s="11">
        <v>0.03</v>
      </c>
      <c r="C1229" s="11">
        <v>0.02</v>
      </c>
      <c r="D1229" s="11">
        <v>74.0</v>
      </c>
      <c r="E1229" s="11">
        <v>71.0</v>
      </c>
      <c r="F1229" s="11">
        <v>0.379</v>
      </c>
      <c r="G1229" s="11">
        <v>0.589</v>
      </c>
      <c r="H1229" s="11">
        <v>0.032</v>
      </c>
      <c r="I1229" s="11">
        <v>5411000.0</v>
      </c>
      <c r="J1229" s="11">
        <v>0.812</v>
      </c>
      <c r="K1229" s="12" t="s">
        <v>173</v>
      </c>
      <c r="L1229" s="5" t="s">
        <v>93</v>
      </c>
      <c r="M1229" s="9" t="s">
        <v>66</v>
      </c>
    </row>
    <row r="1230">
      <c r="A1230" s="11">
        <v>1229.0</v>
      </c>
      <c r="B1230" s="11">
        <v>0.03</v>
      </c>
      <c r="C1230" s="11">
        <v>0.02</v>
      </c>
      <c r="D1230" s="11">
        <v>74.0</v>
      </c>
      <c r="E1230" s="11">
        <v>71.0</v>
      </c>
      <c r="F1230" s="11">
        <v>0.374</v>
      </c>
      <c r="G1230" s="11">
        <v>0.594</v>
      </c>
      <c r="H1230" s="11">
        <v>0.032</v>
      </c>
      <c r="I1230" s="11">
        <v>5536000.0</v>
      </c>
      <c r="J1230" s="11">
        <v>0.814</v>
      </c>
      <c r="K1230" s="12" t="s">
        <v>173</v>
      </c>
      <c r="L1230" s="5" t="s">
        <v>93</v>
      </c>
      <c r="M1230" s="9" t="s">
        <v>67</v>
      </c>
    </row>
    <row r="1231">
      <c r="A1231" s="11">
        <v>1230.0</v>
      </c>
      <c r="B1231" s="11">
        <v>0.03</v>
      </c>
      <c r="C1231" s="11">
        <v>0.019</v>
      </c>
      <c r="D1231" s="11">
        <v>75.0</v>
      </c>
      <c r="E1231" s="11">
        <v>71.0</v>
      </c>
      <c r="F1231" s="11">
        <v>0.368</v>
      </c>
      <c r="G1231" s="11">
        <v>0.6</v>
      </c>
      <c r="H1231" s="11">
        <v>0.033</v>
      </c>
      <c r="I1231" s="11">
        <v>5661000.0</v>
      </c>
      <c r="J1231" s="11">
        <v>0.817</v>
      </c>
      <c r="K1231" s="12" t="s">
        <v>173</v>
      </c>
      <c r="L1231" s="5" t="s">
        <v>93</v>
      </c>
      <c r="M1231" s="9" t="s">
        <v>68</v>
      </c>
    </row>
    <row r="1232">
      <c r="A1232" s="11">
        <v>1231.0</v>
      </c>
      <c r="B1232" s="11">
        <v>0.03</v>
      </c>
      <c r="C1232" s="11">
        <v>0.019</v>
      </c>
      <c r="D1232" s="11">
        <v>75.0</v>
      </c>
      <c r="E1232" s="11">
        <v>72.0</v>
      </c>
      <c r="F1232" s="11">
        <v>0.362</v>
      </c>
      <c r="G1232" s="11">
        <v>0.605</v>
      </c>
      <c r="H1232" s="11">
        <v>0.033</v>
      </c>
      <c r="I1232" s="11">
        <v>5786000.0</v>
      </c>
      <c r="J1232" s="11">
        <v>0.82</v>
      </c>
      <c r="K1232" s="12" t="s">
        <v>173</v>
      </c>
      <c r="L1232" s="5" t="s">
        <v>93</v>
      </c>
      <c r="M1232" s="9" t="s">
        <v>69</v>
      </c>
    </row>
    <row r="1233">
      <c r="A1233" s="11">
        <v>1232.0</v>
      </c>
      <c r="B1233" s="11">
        <v>0.029</v>
      </c>
      <c r="C1233" s="11">
        <v>0.018</v>
      </c>
      <c r="D1233" s="11">
        <v>75.0</v>
      </c>
      <c r="E1233" s="11">
        <v>72.0</v>
      </c>
      <c r="F1233" s="11">
        <v>0.356</v>
      </c>
      <c r="G1233" s="11">
        <v>0.61</v>
      </c>
      <c r="H1233" s="11">
        <v>0.034</v>
      </c>
      <c r="I1233" s="11">
        <v>5915000.0</v>
      </c>
      <c r="J1233" s="11">
        <v>0.822</v>
      </c>
      <c r="K1233" s="12" t="s">
        <v>173</v>
      </c>
      <c r="L1233" s="5" t="s">
        <v>93</v>
      </c>
      <c r="M1233" s="9" t="s">
        <v>70</v>
      </c>
    </row>
    <row r="1234">
      <c r="A1234" s="11">
        <v>1233.0</v>
      </c>
      <c r="B1234" s="11">
        <v>0.029</v>
      </c>
      <c r="C1234" s="11">
        <v>0.018</v>
      </c>
      <c r="D1234" s="11">
        <v>75.0</v>
      </c>
      <c r="E1234" s="11">
        <v>72.0</v>
      </c>
      <c r="F1234" s="11">
        <v>0.351</v>
      </c>
      <c r="G1234" s="11">
        <v>0.615</v>
      </c>
      <c r="H1234" s="11">
        <v>0.034</v>
      </c>
      <c r="I1234" s="11">
        <v>6046000.0</v>
      </c>
      <c r="J1234" s="11">
        <v>0.825</v>
      </c>
      <c r="K1234" s="12" t="s">
        <v>173</v>
      </c>
      <c r="L1234" s="5" t="s">
        <v>93</v>
      </c>
      <c r="M1234" s="9" t="s">
        <v>71</v>
      </c>
    </row>
    <row r="1235">
      <c r="A1235" s="11">
        <v>1234.0</v>
      </c>
      <c r="B1235" s="11">
        <v>0.028</v>
      </c>
      <c r="C1235" s="11">
        <v>0.017</v>
      </c>
      <c r="D1235" s="11">
        <v>75.0</v>
      </c>
      <c r="E1235" s="11">
        <v>72.0</v>
      </c>
      <c r="F1235" s="11">
        <v>0.346</v>
      </c>
      <c r="G1235" s="11">
        <v>0.62</v>
      </c>
      <c r="H1235" s="11">
        <v>0.034</v>
      </c>
      <c r="I1235" s="11">
        <v>6181000.0</v>
      </c>
      <c r="J1235" s="11">
        <v>0.827</v>
      </c>
      <c r="K1235" s="12" t="s">
        <v>173</v>
      </c>
      <c r="L1235" s="5" t="s">
        <v>93</v>
      </c>
      <c r="M1235" s="9" t="s">
        <v>72</v>
      </c>
    </row>
    <row r="1236">
      <c r="A1236" s="11">
        <v>1235.0</v>
      </c>
      <c r="B1236" s="11">
        <v>0.028</v>
      </c>
      <c r="C1236" s="11">
        <v>0.017</v>
      </c>
      <c r="D1236" s="11">
        <v>75.0</v>
      </c>
      <c r="E1236" s="11">
        <v>72.0</v>
      </c>
      <c r="F1236" s="11">
        <v>0.341</v>
      </c>
      <c r="G1236" s="11">
        <v>0.624</v>
      </c>
      <c r="H1236" s="11">
        <v>0.035</v>
      </c>
      <c r="I1236" s="11">
        <v>6318000.0</v>
      </c>
      <c r="J1236" s="11">
        <v>0.83</v>
      </c>
      <c r="K1236" s="12" t="s">
        <v>173</v>
      </c>
      <c r="L1236" s="5" t="s">
        <v>93</v>
      </c>
      <c r="M1236" s="9" t="s">
        <v>73</v>
      </c>
    </row>
    <row r="1237">
      <c r="A1237" s="11">
        <v>1236.0</v>
      </c>
      <c r="B1237" s="11">
        <v>0.015</v>
      </c>
      <c r="C1237" s="11">
        <v>0.038</v>
      </c>
      <c r="D1237" s="11">
        <v>71.0</v>
      </c>
      <c r="E1237" s="11">
        <v>60.0</v>
      </c>
      <c r="F1237" s="11">
        <v>0.277</v>
      </c>
      <c r="G1237" s="11">
        <v>0.655</v>
      </c>
      <c r="H1237" s="11">
        <v>0.068</v>
      </c>
      <c r="I1237" s="11">
        <v>1.4883626E7</v>
      </c>
      <c r="J1237" s="11">
        <v>0.557</v>
      </c>
      <c r="K1237" s="12" t="s">
        <v>174</v>
      </c>
      <c r="L1237" s="5" t="s">
        <v>61</v>
      </c>
      <c r="M1237" s="9" t="s">
        <v>60</v>
      </c>
    </row>
    <row r="1238">
      <c r="A1238" s="11">
        <v>1237.0</v>
      </c>
      <c r="B1238" s="11">
        <v>0.015</v>
      </c>
      <c r="C1238" s="11">
        <v>0.036</v>
      </c>
      <c r="D1238" s="11">
        <v>71.0</v>
      </c>
      <c r="E1238" s="11">
        <v>61.0</v>
      </c>
      <c r="F1238" s="11">
        <v>0.271</v>
      </c>
      <c r="G1238" s="11">
        <v>0.661</v>
      </c>
      <c r="H1238" s="11">
        <v>0.069</v>
      </c>
      <c r="I1238" s="11">
        <v>1.4858335E7</v>
      </c>
      <c r="J1238" s="11">
        <v>0.555</v>
      </c>
      <c r="K1238" s="12" t="s">
        <v>174</v>
      </c>
      <c r="L1238" s="5" t="s">
        <v>61</v>
      </c>
      <c r="M1238" s="9" t="s">
        <v>62</v>
      </c>
    </row>
    <row r="1239">
      <c r="A1239" s="11">
        <v>1238.0</v>
      </c>
      <c r="B1239" s="11">
        <v>0.015</v>
      </c>
      <c r="C1239" s="11">
        <v>0.034</v>
      </c>
      <c r="D1239" s="11">
        <v>72.0</v>
      </c>
      <c r="E1239" s="11">
        <v>61.0</v>
      </c>
      <c r="F1239" s="11">
        <v>0.263</v>
      </c>
      <c r="G1239" s="11">
        <v>0.665</v>
      </c>
      <c r="H1239" s="11">
        <v>0.071</v>
      </c>
      <c r="I1239" s="11">
        <v>1.4858948E7</v>
      </c>
      <c r="J1239" s="11">
        <v>0.553</v>
      </c>
      <c r="K1239" s="12" t="s">
        <v>174</v>
      </c>
      <c r="L1239" s="5" t="s">
        <v>61</v>
      </c>
      <c r="M1239" s="9" t="s">
        <v>63</v>
      </c>
    </row>
    <row r="1240">
      <c r="A1240" s="11">
        <v>1239.0</v>
      </c>
      <c r="B1240" s="11">
        <v>0.017</v>
      </c>
      <c r="C1240" s="11">
        <v>0.032</v>
      </c>
      <c r="D1240" s="11">
        <v>72.0</v>
      </c>
      <c r="E1240" s="11">
        <v>61.0</v>
      </c>
      <c r="F1240" s="11">
        <v>0.257</v>
      </c>
      <c r="G1240" s="11">
        <v>0.67</v>
      </c>
      <c r="H1240" s="11">
        <v>0.074</v>
      </c>
      <c r="I1240" s="11">
        <v>1.4909018E7</v>
      </c>
      <c r="J1240" s="11">
        <v>0.551</v>
      </c>
      <c r="K1240" s="12" t="s">
        <v>174</v>
      </c>
      <c r="L1240" s="5" t="s">
        <v>61</v>
      </c>
      <c r="M1240" s="9" t="s">
        <v>64</v>
      </c>
    </row>
    <row r="1241">
      <c r="A1241" s="11">
        <v>1240.0</v>
      </c>
      <c r="B1241" s="11">
        <v>0.018</v>
      </c>
      <c r="C1241" s="11">
        <v>0.03</v>
      </c>
      <c r="D1241" s="11">
        <v>72.0</v>
      </c>
      <c r="E1241" s="11">
        <v>60.0</v>
      </c>
      <c r="F1241" s="11">
        <v>0.251</v>
      </c>
      <c r="G1241" s="11">
        <v>0.674</v>
      </c>
      <c r="H1241" s="11">
        <v>0.076</v>
      </c>
      <c r="I1241" s="11">
        <v>1.5012985E7</v>
      </c>
      <c r="J1241" s="11">
        <v>0.549</v>
      </c>
      <c r="K1241" s="12" t="s">
        <v>174</v>
      </c>
      <c r="L1241" s="5" t="s">
        <v>61</v>
      </c>
      <c r="M1241" s="9" t="s">
        <v>65</v>
      </c>
    </row>
    <row r="1242">
      <c r="A1242" s="11">
        <v>1241.0</v>
      </c>
      <c r="B1242" s="11">
        <v>0.018</v>
      </c>
      <c r="C1242" s="11">
        <v>0.029</v>
      </c>
      <c r="D1242" s="11">
        <v>72.0</v>
      </c>
      <c r="E1242" s="11">
        <v>60.0</v>
      </c>
      <c r="F1242" s="11">
        <v>0.247</v>
      </c>
      <c r="G1242" s="11">
        <v>0.677</v>
      </c>
      <c r="H1242" s="11">
        <v>0.076</v>
      </c>
      <c r="I1242" s="11">
        <v>1.5147029E7</v>
      </c>
      <c r="J1242" s="11">
        <v>0.547</v>
      </c>
      <c r="K1242" s="12" t="s">
        <v>174</v>
      </c>
      <c r="L1242" s="5" t="s">
        <v>61</v>
      </c>
      <c r="M1242" s="9" t="s">
        <v>66</v>
      </c>
    </row>
    <row r="1243">
      <c r="A1243" s="11">
        <v>1242.0</v>
      </c>
      <c r="B1243" s="11">
        <v>0.02</v>
      </c>
      <c r="C1243" s="11">
        <v>0.027</v>
      </c>
      <c r="D1243" s="11">
        <v>72.0</v>
      </c>
      <c r="E1243" s="11">
        <v>61.0</v>
      </c>
      <c r="F1243" s="11">
        <v>0.245</v>
      </c>
      <c r="G1243" s="11">
        <v>0.68</v>
      </c>
      <c r="H1243" s="11">
        <v>0.075</v>
      </c>
      <c r="I1243" s="11">
        <v>1.5308084E7</v>
      </c>
      <c r="J1243" s="11">
        <v>0.545</v>
      </c>
      <c r="K1243" s="12" t="s">
        <v>174</v>
      </c>
      <c r="L1243" s="5" t="s">
        <v>61</v>
      </c>
      <c r="M1243" s="9" t="s">
        <v>67</v>
      </c>
    </row>
    <row r="1244">
      <c r="A1244" s="11">
        <v>1243.0</v>
      </c>
      <c r="B1244" s="11">
        <v>0.021</v>
      </c>
      <c r="C1244" s="11">
        <v>0.025</v>
      </c>
      <c r="D1244" s="11">
        <v>73.0</v>
      </c>
      <c r="E1244" s="11">
        <v>61.0</v>
      </c>
      <c r="F1244" s="11">
        <v>0.244</v>
      </c>
      <c r="G1244" s="11">
        <v>0.682</v>
      </c>
      <c r="H1244" s="11">
        <v>0.073</v>
      </c>
      <c r="I1244" s="11">
        <v>1.5484192E7</v>
      </c>
      <c r="J1244" s="11">
        <v>0.543</v>
      </c>
      <c r="K1244" s="12" t="s">
        <v>174</v>
      </c>
      <c r="L1244" s="5" t="s">
        <v>61</v>
      </c>
      <c r="M1244" s="9" t="s">
        <v>68</v>
      </c>
    </row>
    <row r="1245">
      <c r="A1245" s="11">
        <v>1244.0</v>
      </c>
      <c r="B1245" s="11">
        <v>0.023</v>
      </c>
      <c r="C1245" s="11">
        <v>0.023</v>
      </c>
      <c r="D1245" s="11">
        <v>72.0</v>
      </c>
      <c r="E1245" s="11">
        <v>62.0</v>
      </c>
      <c r="F1245" s="11">
        <v>0.245</v>
      </c>
      <c r="G1245" s="11">
        <v>0.684</v>
      </c>
      <c r="H1245" s="11">
        <v>0.071</v>
      </c>
      <c r="I1245" s="11">
        <v>1.5674E7</v>
      </c>
      <c r="J1245" s="11">
        <v>0.541</v>
      </c>
      <c r="K1245" s="12" t="s">
        <v>174</v>
      </c>
      <c r="L1245" s="5" t="s">
        <v>61</v>
      </c>
      <c r="M1245" s="9" t="s">
        <v>69</v>
      </c>
    </row>
    <row r="1246">
      <c r="A1246" s="11">
        <v>1245.0</v>
      </c>
      <c r="B1246" s="11">
        <v>0.022</v>
      </c>
      <c r="C1246" s="11">
        <v>0.021</v>
      </c>
      <c r="D1246" s="11">
        <v>74.0</v>
      </c>
      <c r="E1246" s="11">
        <v>64.0</v>
      </c>
      <c r="F1246" s="11">
        <v>0.247</v>
      </c>
      <c r="G1246" s="11">
        <v>0.685</v>
      </c>
      <c r="H1246" s="11">
        <v>0.068</v>
      </c>
      <c r="I1246" s="11">
        <v>1.6092701E7</v>
      </c>
      <c r="J1246" s="11">
        <v>0.539</v>
      </c>
      <c r="K1246" s="12" t="s">
        <v>174</v>
      </c>
      <c r="L1246" s="5" t="s">
        <v>61</v>
      </c>
      <c r="M1246" s="9" t="s">
        <v>70</v>
      </c>
    </row>
    <row r="1247">
      <c r="A1247" s="11">
        <v>1246.0</v>
      </c>
      <c r="B1247" s="11">
        <v>0.023</v>
      </c>
      <c r="C1247" s="11">
        <v>0.019</v>
      </c>
      <c r="D1247" s="11">
        <v>73.0</v>
      </c>
      <c r="E1247" s="11">
        <v>64.0</v>
      </c>
      <c r="F1247" s="11">
        <v>0.249</v>
      </c>
      <c r="G1247" s="11">
        <v>0.684</v>
      </c>
      <c r="H1247" s="11">
        <v>0.067</v>
      </c>
      <c r="I1247" s="11">
        <v>1.6321581E7</v>
      </c>
      <c r="J1247" s="11">
        <v>0.537</v>
      </c>
      <c r="K1247" s="12" t="s">
        <v>174</v>
      </c>
      <c r="L1247" s="5" t="s">
        <v>61</v>
      </c>
      <c r="M1247" s="9" t="s">
        <v>71</v>
      </c>
    </row>
    <row r="1248">
      <c r="A1248" s="11">
        <v>1247.0</v>
      </c>
      <c r="B1248" s="11">
        <v>0.023</v>
      </c>
      <c r="C1248" s="11">
        <v>0.018</v>
      </c>
      <c r="D1248" s="11">
        <v>74.0</v>
      </c>
      <c r="E1248" s="11">
        <v>64.0</v>
      </c>
      <c r="F1248" s="11">
        <v>0.252</v>
      </c>
      <c r="G1248" s="11">
        <v>0.683</v>
      </c>
      <c r="H1248" s="11">
        <v>0.066</v>
      </c>
      <c r="I1248" s="11">
        <v>1.65566E7</v>
      </c>
      <c r="J1248" s="11">
        <v>0.536</v>
      </c>
      <c r="K1248" s="12" t="s">
        <v>174</v>
      </c>
      <c r="L1248" s="5" t="s">
        <v>61</v>
      </c>
      <c r="M1248" s="9" t="s">
        <v>72</v>
      </c>
    </row>
    <row r="1249">
      <c r="A1249" s="11">
        <v>1248.0</v>
      </c>
      <c r="B1249" s="11">
        <v>0.023</v>
      </c>
      <c r="C1249" s="11">
        <v>0.016</v>
      </c>
      <c r="D1249" s="11">
        <v>74.0</v>
      </c>
      <c r="E1249" s="11">
        <v>65.0</v>
      </c>
      <c r="F1249" s="11">
        <v>0.255</v>
      </c>
      <c r="G1249" s="11">
        <v>0.68</v>
      </c>
      <c r="H1249" s="11">
        <v>0.066</v>
      </c>
      <c r="I1249" s="11">
        <v>1.6791425E7</v>
      </c>
      <c r="J1249" s="11">
        <v>0.535</v>
      </c>
      <c r="K1249" s="12" t="s">
        <v>174</v>
      </c>
      <c r="L1249" s="5" t="s">
        <v>61</v>
      </c>
      <c r="M1249" s="9" t="s">
        <v>73</v>
      </c>
    </row>
    <row r="1250">
      <c r="A1250" s="11">
        <v>1249.0</v>
      </c>
      <c r="B1250" s="11">
        <v>0.039</v>
      </c>
      <c r="C1250" s="11">
        <v>0.069</v>
      </c>
      <c r="D1250" s="11">
        <v>54.0</v>
      </c>
      <c r="E1250" s="11">
        <v>52.0</v>
      </c>
      <c r="F1250" s="11">
        <v>0.442</v>
      </c>
      <c r="G1250" s="11">
        <v>0.531</v>
      </c>
      <c r="H1250" s="11">
        <v>0.028</v>
      </c>
      <c r="I1250" s="11">
        <v>3.128505E7</v>
      </c>
      <c r="J1250" s="11">
        <v>0.199</v>
      </c>
      <c r="K1250" s="12" t="s">
        <v>175</v>
      </c>
      <c r="L1250" s="5" t="s">
        <v>77</v>
      </c>
      <c r="M1250" s="9" t="s">
        <v>60</v>
      </c>
    </row>
    <row r="1251">
      <c r="A1251" s="11">
        <v>1250.0</v>
      </c>
      <c r="B1251" s="11">
        <v>0.039</v>
      </c>
      <c r="C1251" s="11">
        <v>0.068</v>
      </c>
      <c r="D1251" s="11">
        <v>54.0</v>
      </c>
      <c r="E1251" s="11">
        <v>52.0</v>
      </c>
      <c r="F1251" s="11">
        <v>0.438</v>
      </c>
      <c r="G1251" s="11">
        <v>0.534</v>
      </c>
      <c r="H1251" s="11">
        <v>0.028</v>
      </c>
      <c r="I1251" s="11">
        <v>3.2126351E7</v>
      </c>
      <c r="J1251" s="11">
        <v>0.202</v>
      </c>
      <c r="K1251" s="12" t="s">
        <v>175</v>
      </c>
      <c r="L1251" s="5" t="s">
        <v>77</v>
      </c>
      <c r="M1251" s="9" t="s">
        <v>62</v>
      </c>
    </row>
    <row r="1252">
      <c r="A1252" s="11">
        <v>1251.0</v>
      </c>
      <c r="B1252" s="11">
        <v>0.039</v>
      </c>
      <c r="C1252" s="11">
        <v>0.066</v>
      </c>
      <c r="D1252" s="11">
        <v>54.0</v>
      </c>
      <c r="E1252" s="11">
        <v>52.0</v>
      </c>
      <c r="F1252" s="11">
        <v>0.435</v>
      </c>
      <c r="G1252" s="11">
        <v>0.538</v>
      </c>
      <c r="H1252" s="11">
        <v>0.028</v>
      </c>
      <c r="I1252" s="11">
        <v>3.3000524E7</v>
      </c>
      <c r="J1252" s="11">
        <v>0.206</v>
      </c>
      <c r="K1252" s="12" t="s">
        <v>175</v>
      </c>
      <c r="L1252" s="5" t="s">
        <v>77</v>
      </c>
      <c r="M1252" s="9" t="s">
        <v>63</v>
      </c>
    </row>
    <row r="1253">
      <c r="A1253" s="11">
        <v>1252.0</v>
      </c>
      <c r="B1253" s="11">
        <v>0.039</v>
      </c>
      <c r="C1253" s="11">
        <v>0.065</v>
      </c>
      <c r="D1253" s="11">
        <v>54.0</v>
      </c>
      <c r="E1253" s="11">
        <v>52.0</v>
      </c>
      <c r="F1253" s="11">
        <v>0.432</v>
      </c>
      <c r="G1253" s="11">
        <v>0.541</v>
      </c>
      <c r="H1253" s="11">
        <v>0.028</v>
      </c>
      <c r="I1253" s="11">
        <v>3.3905011E7</v>
      </c>
      <c r="J1253" s="11">
        <v>0.209</v>
      </c>
      <c r="K1253" s="12" t="s">
        <v>175</v>
      </c>
      <c r="L1253" s="5" t="s">
        <v>77</v>
      </c>
      <c r="M1253" s="9" t="s">
        <v>64</v>
      </c>
    </row>
    <row r="1254">
      <c r="A1254" s="11">
        <v>1253.0</v>
      </c>
      <c r="B1254" s="11">
        <v>0.039</v>
      </c>
      <c r="C1254" s="11">
        <v>0.063</v>
      </c>
      <c r="D1254" s="11">
        <v>55.0</v>
      </c>
      <c r="E1254" s="11">
        <v>53.0</v>
      </c>
      <c r="F1254" s="11">
        <v>0.429</v>
      </c>
      <c r="G1254" s="11">
        <v>0.543</v>
      </c>
      <c r="H1254" s="11">
        <v>0.027</v>
      </c>
      <c r="I1254" s="11">
        <v>3.4834606E7</v>
      </c>
      <c r="J1254" s="11">
        <v>0.213</v>
      </c>
      <c r="K1254" s="12" t="s">
        <v>175</v>
      </c>
      <c r="L1254" s="5" t="s">
        <v>77</v>
      </c>
      <c r="M1254" s="9" t="s">
        <v>65</v>
      </c>
    </row>
    <row r="1255">
      <c r="A1255" s="11">
        <v>1254.0</v>
      </c>
      <c r="B1255" s="11">
        <v>0.039</v>
      </c>
      <c r="C1255" s="11">
        <v>0.061</v>
      </c>
      <c r="D1255" s="11">
        <v>56.0</v>
      </c>
      <c r="E1255" s="11">
        <v>54.0</v>
      </c>
      <c r="F1255" s="11">
        <v>0.428</v>
      </c>
      <c r="G1255" s="11">
        <v>0.545</v>
      </c>
      <c r="H1255" s="11">
        <v>0.027</v>
      </c>
      <c r="I1255" s="11">
        <v>3.5785718E7</v>
      </c>
      <c r="J1255" s="11">
        <v>0.217</v>
      </c>
      <c r="K1255" s="12" t="s">
        <v>175</v>
      </c>
      <c r="L1255" s="5" t="s">
        <v>77</v>
      </c>
      <c r="M1255" s="9" t="s">
        <v>66</v>
      </c>
    </row>
    <row r="1256">
      <c r="A1256" s="11">
        <v>1255.0</v>
      </c>
      <c r="B1256" s="11">
        <v>0.038</v>
      </c>
      <c r="C1256" s="11">
        <v>0.059</v>
      </c>
      <c r="D1256" s="11">
        <v>57.0</v>
      </c>
      <c r="E1256" s="11">
        <v>55.0</v>
      </c>
      <c r="F1256" s="11">
        <v>0.427</v>
      </c>
      <c r="G1256" s="11">
        <v>0.546</v>
      </c>
      <c r="H1256" s="11">
        <v>0.027</v>
      </c>
      <c r="I1256" s="11">
        <v>3.6757498E7</v>
      </c>
      <c r="J1256" s="11">
        <v>0.22</v>
      </c>
      <c r="K1256" s="12" t="s">
        <v>175</v>
      </c>
      <c r="L1256" s="5" t="s">
        <v>77</v>
      </c>
      <c r="M1256" s="9" t="s">
        <v>67</v>
      </c>
    </row>
    <row r="1257">
      <c r="A1257" s="11">
        <v>1256.0</v>
      </c>
      <c r="B1257" s="11">
        <v>0.038</v>
      </c>
      <c r="C1257" s="11">
        <v>0.058</v>
      </c>
      <c r="D1257" s="11">
        <v>58.0</v>
      </c>
      <c r="E1257" s="11">
        <v>55.0</v>
      </c>
      <c r="F1257" s="11">
        <v>0.426</v>
      </c>
      <c r="G1257" s="11">
        <v>0.547</v>
      </c>
      <c r="H1257" s="11">
        <v>0.027</v>
      </c>
      <c r="I1257" s="11">
        <v>3.7752304E7</v>
      </c>
      <c r="J1257" s="11">
        <v>0.224</v>
      </c>
      <c r="K1257" s="12" t="s">
        <v>175</v>
      </c>
      <c r="L1257" s="5" t="s">
        <v>77</v>
      </c>
      <c r="M1257" s="9" t="s">
        <v>68</v>
      </c>
    </row>
    <row r="1258">
      <c r="A1258" s="11">
        <v>1257.0</v>
      </c>
      <c r="B1258" s="11">
        <v>0.038</v>
      </c>
      <c r="C1258" s="11">
        <v>0.056</v>
      </c>
      <c r="D1258" s="11">
        <v>59.0</v>
      </c>
      <c r="E1258" s="11">
        <v>56.0</v>
      </c>
      <c r="F1258" s="11">
        <v>0.426</v>
      </c>
      <c r="G1258" s="11">
        <v>0.547</v>
      </c>
      <c r="H1258" s="11">
        <v>0.026</v>
      </c>
      <c r="I1258" s="11">
        <v>3.8773277E7</v>
      </c>
      <c r="J1258" s="11">
        <v>0.228</v>
      </c>
      <c r="K1258" s="12" t="s">
        <v>175</v>
      </c>
      <c r="L1258" s="5" t="s">
        <v>77</v>
      </c>
      <c r="M1258" s="9" t="s">
        <v>69</v>
      </c>
    </row>
    <row r="1259">
      <c r="A1259" s="11">
        <v>1258.0</v>
      </c>
      <c r="B1259" s="11">
        <v>0.037</v>
      </c>
      <c r="C1259" s="11">
        <v>0.054</v>
      </c>
      <c r="D1259" s="11">
        <v>60.0</v>
      </c>
      <c r="E1259" s="11">
        <v>57.0</v>
      </c>
      <c r="F1259" s="11">
        <v>0.426</v>
      </c>
      <c r="G1259" s="11">
        <v>0.548</v>
      </c>
      <c r="H1259" s="11">
        <v>0.026</v>
      </c>
      <c r="I1259" s="11">
        <v>3.9824734E7</v>
      </c>
      <c r="J1259" s="11">
        <v>0.232</v>
      </c>
      <c r="K1259" s="12" t="s">
        <v>175</v>
      </c>
      <c r="L1259" s="5" t="s">
        <v>77</v>
      </c>
      <c r="M1259" s="9" t="s">
        <v>70</v>
      </c>
    </row>
    <row r="1260">
      <c r="A1260" s="11">
        <v>1259.0</v>
      </c>
      <c r="B1260" s="11">
        <v>0.037</v>
      </c>
      <c r="C1260" s="11">
        <v>0.052</v>
      </c>
      <c r="D1260" s="11">
        <v>61.0</v>
      </c>
      <c r="E1260" s="11">
        <v>58.0</v>
      </c>
      <c r="F1260" s="11">
        <v>0.426</v>
      </c>
      <c r="G1260" s="11">
        <v>0.548</v>
      </c>
      <c r="H1260" s="11">
        <v>0.026</v>
      </c>
      <c r="I1260" s="11">
        <v>4.0909194E7</v>
      </c>
      <c r="J1260" s="11">
        <v>0.236</v>
      </c>
      <c r="K1260" s="12" t="s">
        <v>175</v>
      </c>
      <c r="L1260" s="5" t="s">
        <v>77</v>
      </c>
      <c r="M1260" s="9" t="s">
        <v>71</v>
      </c>
    </row>
    <row r="1261">
      <c r="A1261" s="11">
        <v>1260.0</v>
      </c>
      <c r="B1261" s="11">
        <v>0.036</v>
      </c>
      <c r="C1261" s="11">
        <v>0.05</v>
      </c>
      <c r="D1261" s="11">
        <v>62.0</v>
      </c>
      <c r="E1261" s="11">
        <v>59.0</v>
      </c>
      <c r="F1261" s="11">
        <v>0.425</v>
      </c>
      <c r="G1261" s="11">
        <v>0.549</v>
      </c>
      <c r="H1261" s="11">
        <v>0.026</v>
      </c>
      <c r="I1261" s="11">
        <v>4.2027891E7</v>
      </c>
      <c r="J1261" s="11">
        <v>0.24</v>
      </c>
      <c r="K1261" s="12" t="s">
        <v>175</v>
      </c>
      <c r="L1261" s="5" t="s">
        <v>77</v>
      </c>
      <c r="M1261" s="9" t="s">
        <v>72</v>
      </c>
    </row>
    <row r="1262">
      <c r="A1262" s="11">
        <v>1261.0</v>
      </c>
      <c r="B1262" s="11">
        <v>0.036</v>
      </c>
      <c r="C1262" s="11">
        <v>0.049</v>
      </c>
      <c r="D1262" s="11">
        <v>63.0</v>
      </c>
      <c r="E1262" s="11">
        <v>59.0</v>
      </c>
      <c r="F1262" s="11">
        <v>0.424</v>
      </c>
      <c r="G1262" s="11">
        <v>0.55</v>
      </c>
      <c r="H1262" s="11">
        <v>0.026</v>
      </c>
      <c r="I1262" s="11">
        <v>4.3178141E7</v>
      </c>
      <c r="J1262" s="11">
        <v>0.244</v>
      </c>
      <c r="K1262" s="12" t="s">
        <v>175</v>
      </c>
      <c r="L1262" s="5" t="s">
        <v>77</v>
      </c>
      <c r="M1262" s="9" t="s">
        <v>73</v>
      </c>
    </row>
    <row r="1263">
      <c r="A1263" s="11">
        <v>1262.0</v>
      </c>
      <c r="B1263" s="11">
        <v>0.029</v>
      </c>
      <c r="C1263" s="11">
        <v>0.054</v>
      </c>
      <c r="D1263" s="11">
        <v>68.0</v>
      </c>
      <c r="E1263" s="11">
        <v>62.0</v>
      </c>
      <c r="F1263" s="11">
        <v>0.399</v>
      </c>
      <c r="G1263" s="11">
        <v>0.567</v>
      </c>
      <c r="H1263" s="11">
        <v>0.034</v>
      </c>
      <c r="I1263" s="11">
        <v>82788.0</v>
      </c>
      <c r="J1263" s="11">
        <v>0.43</v>
      </c>
      <c r="K1263" s="12" t="s">
        <v>176</v>
      </c>
      <c r="L1263" s="5" t="s">
        <v>80</v>
      </c>
      <c r="M1263" s="9" t="s">
        <v>60</v>
      </c>
    </row>
    <row r="1264">
      <c r="A1264" s="11">
        <v>1263.0</v>
      </c>
      <c r="B1264" s="11">
        <v>0.028</v>
      </c>
      <c r="C1264" s="11">
        <v>0.053</v>
      </c>
      <c r="D1264" s="11">
        <v>68.0</v>
      </c>
      <c r="E1264" s="11">
        <v>62.0</v>
      </c>
      <c r="F1264" s="11">
        <v>0.394</v>
      </c>
      <c r="G1264" s="11">
        <v>0.572</v>
      </c>
      <c r="H1264" s="11">
        <v>0.034</v>
      </c>
      <c r="I1264" s="11">
        <v>84261.0</v>
      </c>
      <c r="J1264" s="11">
        <v>0.435</v>
      </c>
      <c r="K1264" s="12" t="s">
        <v>176</v>
      </c>
      <c r="L1264" s="5" t="s">
        <v>80</v>
      </c>
      <c r="M1264" s="9" t="s">
        <v>62</v>
      </c>
    </row>
    <row r="1265">
      <c r="A1265" s="11">
        <v>1264.0</v>
      </c>
      <c r="B1265" s="11">
        <v>0.027</v>
      </c>
      <c r="C1265" s="11">
        <v>0.052</v>
      </c>
      <c r="D1265" s="11">
        <v>68.0</v>
      </c>
      <c r="E1265" s="11">
        <v>63.0</v>
      </c>
      <c r="F1265" s="11">
        <v>0.389</v>
      </c>
      <c r="G1265" s="11">
        <v>0.576</v>
      </c>
      <c r="H1265" s="11">
        <v>0.035</v>
      </c>
      <c r="I1265" s="11">
        <v>85799.0</v>
      </c>
      <c r="J1265" s="11">
        <v>0.435</v>
      </c>
      <c r="K1265" s="12" t="s">
        <v>176</v>
      </c>
      <c r="L1265" s="5" t="s">
        <v>80</v>
      </c>
      <c r="M1265" s="9" t="s">
        <v>63</v>
      </c>
    </row>
    <row r="1266">
      <c r="A1266" s="11">
        <v>1265.0</v>
      </c>
      <c r="B1266" s="11">
        <v>0.026</v>
      </c>
      <c r="C1266" s="11">
        <v>0.051</v>
      </c>
      <c r="D1266" s="11">
        <v>69.0</v>
      </c>
      <c r="E1266" s="11">
        <v>63.0</v>
      </c>
      <c r="F1266" s="11">
        <v>0.383</v>
      </c>
      <c r="G1266" s="11">
        <v>0.582</v>
      </c>
      <c r="H1266" s="11">
        <v>0.035</v>
      </c>
      <c r="I1266" s="11">
        <v>87371.0</v>
      </c>
      <c r="J1266" s="11">
        <v>0.435</v>
      </c>
      <c r="K1266" s="12" t="s">
        <v>176</v>
      </c>
      <c r="L1266" s="5" t="s">
        <v>80</v>
      </c>
      <c r="M1266" s="9" t="s">
        <v>64</v>
      </c>
    </row>
    <row r="1267">
      <c r="A1267" s="11">
        <v>1266.0</v>
      </c>
      <c r="B1267" s="11">
        <v>0.025</v>
      </c>
      <c r="C1267" s="11">
        <v>0.05</v>
      </c>
      <c r="D1267" s="11">
        <v>69.0</v>
      </c>
      <c r="E1267" s="11">
        <v>63.0</v>
      </c>
      <c r="F1267" s="11">
        <v>0.377</v>
      </c>
      <c r="G1267" s="11">
        <v>0.587</v>
      </c>
      <c r="H1267" s="11">
        <v>0.036</v>
      </c>
      <c r="I1267" s="11">
        <v>88936.0</v>
      </c>
      <c r="J1267" s="11">
        <v>0.435</v>
      </c>
      <c r="K1267" s="12" t="s">
        <v>176</v>
      </c>
      <c r="L1267" s="5" t="s">
        <v>80</v>
      </c>
      <c r="M1267" s="9" t="s">
        <v>65</v>
      </c>
    </row>
    <row r="1268">
      <c r="A1268" s="11">
        <v>1267.0</v>
      </c>
      <c r="B1268" s="11">
        <v>0.025</v>
      </c>
      <c r="C1268" s="11">
        <v>0.05</v>
      </c>
      <c r="D1268" s="11">
        <v>69.0</v>
      </c>
      <c r="E1268" s="11">
        <v>64.0</v>
      </c>
      <c r="F1268" s="11">
        <v>0.371</v>
      </c>
      <c r="G1268" s="11">
        <v>0.593</v>
      </c>
      <c r="H1268" s="11">
        <v>0.036</v>
      </c>
      <c r="I1268" s="11">
        <v>90468.0</v>
      </c>
      <c r="J1268" s="11">
        <v>0.436</v>
      </c>
      <c r="K1268" s="12" t="s">
        <v>176</v>
      </c>
      <c r="L1268" s="5" t="s">
        <v>80</v>
      </c>
      <c r="M1268" s="9" t="s">
        <v>66</v>
      </c>
    </row>
    <row r="1269">
      <c r="A1269" s="11">
        <v>1268.0</v>
      </c>
      <c r="B1269" s="11">
        <v>0.024</v>
      </c>
      <c r="C1269" s="11">
        <v>0.05</v>
      </c>
      <c r="D1269" s="11">
        <v>69.0</v>
      </c>
      <c r="E1269" s="11">
        <v>64.0</v>
      </c>
      <c r="F1269" s="11">
        <v>0.364</v>
      </c>
      <c r="G1269" s="11">
        <v>0.6</v>
      </c>
      <c r="H1269" s="11">
        <v>0.037</v>
      </c>
      <c r="I1269" s="11">
        <v>91953.0</v>
      </c>
      <c r="J1269" s="11">
        <v>0.436</v>
      </c>
      <c r="K1269" s="12" t="s">
        <v>176</v>
      </c>
      <c r="L1269" s="5" t="s">
        <v>80</v>
      </c>
      <c r="M1269" s="9" t="s">
        <v>67</v>
      </c>
    </row>
    <row r="1270">
      <c r="A1270" s="11">
        <v>1269.0</v>
      </c>
      <c r="B1270" s="11">
        <v>0.024</v>
      </c>
      <c r="C1270" s="11">
        <v>0.05</v>
      </c>
      <c r="D1270" s="11">
        <v>70.0</v>
      </c>
      <c r="E1270" s="11">
        <v>64.0</v>
      </c>
      <c r="F1270" s="11">
        <v>0.357</v>
      </c>
      <c r="G1270" s="11">
        <v>0.606</v>
      </c>
      <c r="H1270" s="11">
        <v>0.037</v>
      </c>
      <c r="I1270" s="11">
        <v>93401.0</v>
      </c>
      <c r="J1270" s="11">
        <v>0.436</v>
      </c>
      <c r="K1270" s="12" t="s">
        <v>176</v>
      </c>
      <c r="L1270" s="5" t="s">
        <v>80</v>
      </c>
      <c r="M1270" s="9" t="s">
        <v>68</v>
      </c>
    </row>
    <row r="1271">
      <c r="A1271" s="11">
        <v>1270.0</v>
      </c>
      <c r="B1271" s="11">
        <v>0.024</v>
      </c>
      <c r="C1271" s="11">
        <v>0.049</v>
      </c>
      <c r="D1271" s="11">
        <v>70.0</v>
      </c>
      <c r="E1271" s="11">
        <v>64.0</v>
      </c>
      <c r="F1271" s="11">
        <v>0.35</v>
      </c>
      <c r="G1271" s="11">
        <v>0.613</v>
      </c>
      <c r="H1271" s="11">
        <v>0.037</v>
      </c>
      <c r="I1271" s="11">
        <v>94832.0</v>
      </c>
      <c r="J1271" s="11">
        <v>0.436</v>
      </c>
      <c r="K1271" s="12" t="s">
        <v>176</v>
      </c>
      <c r="L1271" s="5" t="s">
        <v>80</v>
      </c>
      <c r="M1271" s="9" t="s">
        <v>69</v>
      </c>
    </row>
    <row r="1272">
      <c r="A1272" s="11">
        <v>1271.0</v>
      </c>
      <c r="B1272" s="11">
        <v>0.024</v>
      </c>
      <c r="C1272" s="11">
        <v>0.049</v>
      </c>
      <c r="D1272" s="11">
        <v>70.0</v>
      </c>
      <c r="E1272" s="11">
        <v>65.0</v>
      </c>
      <c r="F1272" s="11">
        <v>0.343</v>
      </c>
      <c r="G1272" s="11">
        <v>0.619</v>
      </c>
      <c r="H1272" s="11">
        <v>0.038</v>
      </c>
      <c r="I1272" s="11">
        <v>96272.0</v>
      </c>
      <c r="J1272" s="11">
        <v>0.437</v>
      </c>
      <c r="K1272" s="12" t="s">
        <v>176</v>
      </c>
      <c r="L1272" s="5" t="s">
        <v>80</v>
      </c>
      <c r="M1272" s="9" t="s">
        <v>70</v>
      </c>
    </row>
    <row r="1273">
      <c r="A1273" s="11">
        <v>1272.0</v>
      </c>
      <c r="B1273" s="11">
        <v>0.023</v>
      </c>
      <c r="C1273" s="11">
        <v>0.048</v>
      </c>
      <c r="D1273" s="11">
        <v>71.0</v>
      </c>
      <c r="E1273" s="11">
        <v>65.0</v>
      </c>
      <c r="F1273" s="11">
        <v>0.336</v>
      </c>
      <c r="G1273" s="11">
        <v>0.626</v>
      </c>
      <c r="H1273" s="11">
        <v>0.039</v>
      </c>
      <c r="I1273" s="11">
        <v>97743.0</v>
      </c>
      <c r="J1273" s="11">
        <v>0.438</v>
      </c>
      <c r="K1273" s="12" t="s">
        <v>176</v>
      </c>
      <c r="L1273" s="5" t="s">
        <v>80</v>
      </c>
      <c r="M1273" s="9" t="s">
        <v>71</v>
      </c>
    </row>
    <row r="1274">
      <c r="A1274" s="11">
        <v>1273.0</v>
      </c>
      <c r="B1274" s="11">
        <v>0.023</v>
      </c>
      <c r="C1274" s="11">
        <v>0.047</v>
      </c>
      <c r="D1274" s="11">
        <v>71.0</v>
      </c>
      <c r="E1274" s="11">
        <v>65.0</v>
      </c>
      <c r="F1274" s="11">
        <v>0.33</v>
      </c>
      <c r="G1274" s="11">
        <v>0.631</v>
      </c>
      <c r="H1274" s="11">
        <v>0.039</v>
      </c>
      <c r="I1274" s="11">
        <v>99250.0</v>
      </c>
      <c r="J1274" s="11">
        <v>0.439</v>
      </c>
      <c r="K1274" s="12" t="s">
        <v>176</v>
      </c>
      <c r="L1274" s="5" t="s">
        <v>80</v>
      </c>
      <c r="M1274" s="9" t="s">
        <v>72</v>
      </c>
    </row>
    <row r="1275">
      <c r="A1275" s="11">
        <v>1274.0</v>
      </c>
      <c r="B1275" s="11">
        <v>0.023</v>
      </c>
      <c r="C1275" s="11">
        <v>0.046</v>
      </c>
      <c r="D1275" s="11">
        <v>71.0</v>
      </c>
      <c r="E1275" s="11">
        <v>66.0</v>
      </c>
      <c r="F1275" s="11">
        <v>0.324</v>
      </c>
      <c r="G1275" s="11">
        <v>0.636</v>
      </c>
      <c r="H1275" s="11">
        <v>0.04</v>
      </c>
      <c r="I1275" s="11">
        <v>100786.0</v>
      </c>
      <c r="J1275" s="11">
        <v>0.439</v>
      </c>
      <c r="K1275" s="12" t="s">
        <v>176</v>
      </c>
      <c r="L1275" s="5" t="s">
        <v>80</v>
      </c>
      <c r="M1275" s="9" t="s">
        <v>73</v>
      </c>
    </row>
    <row r="1276">
      <c r="A1276" s="11">
        <v>1275.0</v>
      </c>
      <c r="B1276" s="11">
        <v>0.023</v>
      </c>
      <c r="C1276" s="8"/>
      <c r="D1276" s="11">
        <v>70.0</v>
      </c>
      <c r="E1276" s="11">
        <v>66.0</v>
      </c>
      <c r="F1276" s="8"/>
      <c r="G1276" s="8"/>
      <c r="H1276" s="8"/>
      <c r="I1276" s="11">
        <v>1700000.0</v>
      </c>
      <c r="J1276" s="8"/>
      <c r="K1276" s="12" t="s">
        <v>177</v>
      </c>
      <c r="L1276" s="5" t="s">
        <v>75</v>
      </c>
      <c r="M1276" s="9" t="s">
        <v>60</v>
      </c>
    </row>
    <row r="1277">
      <c r="A1277" s="11">
        <v>1276.0</v>
      </c>
      <c r="B1277" s="11">
        <v>0.022</v>
      </c>
      <c r="C1277" s="8"/>
      <c r="D1277" s="11">
        <v>70.0</v>
      </c>
      <c r="E1277" s="11">
        <v>66.0</v>
      </c>
      <c r="F1277" s="8"/>
      <c r="G1277" s="8"/>
      <c r="H1277" s="8"/>
      <c r="I1277" s="11">
        <v>1701154.0</v>
      </c>
      <c r="J1277" s="8"/>
      <c r="K1277" s="12" t="s">
        <v>177</v>
      </c>
      <c r="L1277" s="5" t="s">
        <v>75</v>
      </c>
      <c r="M1277" s="9" t="s">
        <v>62</v>
      </c>
    </row>
    <row r="1278">
      <c r="A1278" s="11">
        <v>1277.0</v>
      </c>
      <c r="B1278" s="11">
        <v>0.021</v>
      </c>
      <c r="C1278" s="8"/>
      <c r="D1278" s="11">
        <v>70.0</v>
      </c>
      <c r="E1278" s="11">
        <v>66.0</v>
      </c>
      <c r="F1278" s="8"/>
      <c r="G1278" s="8"/>
      <c r="H1278" s="8"/>
      <c r="I1278" s="11">
        <v>1702310.0</v>
      </c>
      <c r="J1278" s="8"/>
      <c r="K1278" s="12" t="s">
        <v>177</v>
      </c>
      <c r="L1278" s="5" t="s">
        <v>75</v>
      </c>
      <c r="M1278" s="9" t="s">
        <v>63</v>
      </c>
    </row>
    <row r="1279">
      <c r="A1279" s="11">
        <v>1278.0</v>
      </c>
      <c r="B1279" s="11">
        <v>0.018</v>
      </c>
      <c r="C1279" s="8"/>
      <c r="D1279" s="11">
        <v>71.0</v>
      </c>
      <c r="E1279" s="11">
        <v>66.0</v>
      </c>
      <c r="F1279" s="8"/>
      <c r="G1279" s="8"/>
      <c r="H1279" s="8"/>
      <c r="I1279" s="11">
        <v>1703466.0</v>
      </c>
      <c r="J1279" s="8"/>
      <c r="K1279" s="12" t="s">
        <v>177</v>
      </c>
      <c r="L1279" s="5" t="s">
        <v>75</v>
      </c>
      <c r="M1279" s="9" t="s">
        <v>64</v>
      </c>
    </row>
    <row r="1280">
      <c r="A1280" s="11">
        <v>1279.0</v>
      </c>
      <c r="B1280" s="11">
        <v>0.02</v>
      </c>
      <c r="C1280" s="8"/>
      <c r="D1280" s="11">
        <v>71.0</v>
      </c>
      <c r="E1280" s="11">
        <v>66.0</v>
      </c>
      <c r="F1280" s="8"/>
      <c r="G1280" s="8"/>
      <c r="H1280" s="8"/>
      <c r="I1280" s="11">
        <v>1704622.0</v>
      </c>
      <c r="J1280" s="8"/>
      <c r="K1280" s="12" t="s">
        <v>177</v>
      </c>
      <c r="L1280" s="5" t="s">
        <v>75</v>
      </c>
      <c r="M1280" s="9" t="s">
        <v>65</v>
      </c>
    </row>
    <row r="1281">
      <c r="A1281" s="11">
        <v>1280.0</v>
      </c>
      <c r="B1281" s="11">
        <v>0.021</v>
      </c>
      <c r="C1281" s="8"/>
      <c r="D1281" s="11">
        <v>71.0</v>
      </c>
      <c r="E1281" s="11">
        <v>67.0</v>
      </c>
      <c r="F1281" s="8"/>
      <c r="G1281" s="8"/>
      <c r="H1281" s="8"/>
      <c r="I1281" s="11">
        <v>1705780.0</v>
      </c>
      <c r="J1281" s="8"/>
      <c r="K1281" s="12" t="s">
        <v>177</v>
      </c>
      <c r="L1281" s="5" t="s">
        <v>75</v>
      </c>
      <c r="M1281" s="9" t="s">
        <v>66</v>
      </c>
    </row>
    <row r="1282">
      <c r="A1282" s="11">
        <v>1281.0</v>
      </c>
      <c r="B1282" s="11">
        <v>0.019</v>
      </c>
      <c r="C1282" s="8"/>
      <c r="D1282" s="11">
        <v>71.0</v>
      </c>
      <c r="E1282" s="11">
        <v>67.0</v>
      </c>
      <c r="F1282" s="8"/>
      <c r="G1282" s="8"/>
      <c r="H1282" s="8"/>
      <c r="I1282" s="11">
        <v>1719536.0</v>
      </c>
      <c r="J1282" s="8"/>
      <c r="K1282" s="12" t="s">
        <v>177</v>
      </c>
      <c r="L1282" s="5" t="s">
        <v>75</v>
      </c>
      <c r="M1282" s="9" t="s">
        <v>67</v>
      </c>
    </row>
    <row r="1283">
      <c r="A1283" s="11">
        <v>1282.0</v>
      </c>
      <c r="B1283" s="11">
        <v>0.019</v>
      </c>
      <c r="C1283" s="8"/>
      <c r="D1283" s="11">
        <v>71.0</v>
      </c>
      <c r="E1283" s="11">
        <v>67.0</v>
      </c>
      <c r="F1283" s="8"/>
      <c r="G1283" s="8"/>
      <c r="H1283" s="8"/>
      <c r="I1283" s="11">
        <v>1733404.0</v>
      </c>
      <c r="J1283" s="8"/>
      <c r="K1283" s="12" t="s">
        <v>177</v>
      </c>
      <c r="L1283" s="5" t="s">
        <v>75</v>
      </c>
      <c r="M1283" s="9" t="s">
        <v>68</v>
      </c>
    </row>
    <row r="1284">
      <c r="A1284" s="11">
        <v>1283.0</v>
      </c>
      <c r="B1284" s="11">
        <v>0.019</v>
      </c>
      <c r="C1284" s="8"/>
      <c r="D1284" s="11">
        <v>72.0</v>
      </c>
      <c r="E1284" s="11">
        <v>67.0</v>
      </c>
      <c r="F1284" s="8"/>
      <c r="G1284" s="8"/>
      <c r="H1284" s="8"/>
      <c r="I1284" s="11">
        <v>1747383.0</v>
      </c>
      <c r="J1284" s="8"/>
      <c r="K1284" s="12" t="s">
        <v>177</v>
      </c>
      <c r="L1284" s="5" t="s">
        <v>75</v>
      </c>
      <c r="M1284" s="9" t="s">
        <v>69</v>
      </c>
    </row>
    <row r="1285">
      <c r="A1285" s="11">
        <v>1284.0</v>
      </c>
      <c r="B1285" s="11">
        <v>0.019</v>
      </c>
      <c r="C1285" s="8"/>
      <c r="D1285" s="11">
        <v>72.0</v>
      </c>
      <c r="E1285" s="11">
        <v>68.0</v>
      </c>
      <c r="F1285" s="8"/>
      <c r="G1285" s="8"/>
      <c r="H1285" s="8"/>
      <c r="I1285" s="11">
        <v>1761474.0</v>
      </c>
      <c r="J1285" s="8"/>
      <c r="K1285" s="12" t="s">
        <v>177</v>
      </c>
      <c r="L1285" s="5" t="s">
        <v>75</v>
      </c>
      <c r="M1285" s="9" t="s">
        <v>70</v>
      </c>
    </row>
    <row r="1286">
      <c r="A1286" s="11">
        <v>1285.0</v>
      </c>
      <c r="B1286" s="11">
        <v>0.019</v>
      </c>
      <c r="C1286" s="8"/>
      <c r="D1286" s="11">
        <v>72.0</v>
      </c>
      <c r="E1286" s="11">
        <v>68.0</v>
      </c>
      <c r="F1286" s="11">
        <v>0.275</v>
      </c>
      <c r="G1286" s="11">
        <v>0.659</v>
      </c>
      <c r="H1286" s="11">
        <v>0.067</v>
      </c>
      <c r="I1286" s="11">
        <v>1775680.0</v>
      </c>
      <c r="J1286" s="8"/>
      <c r="K1286" s="12" t="s">
        <v>177</v>
      </c>
      <c r="L1286" s="5" t="s">
        <v>75</v>
      </c>
      <c r="M1286" s="9" t="s">
        <v>71</v>
      </c>
    </row>
    <row r="1287">
      <c r="A1287" s="11">
        <v>1286.0</v>
      </c>
      <c r="B1287" s="11">
        <v>0.018</v>
      </c>
      <c r="C1287" s="8"/>
      <c r="D1287" s="11">
        <v>72.0</v>
      </c>
      <c r="E1287" s="11">
        <v>68.0</v>
      </c>
      <c r="F1287" s="8"/>
      <c r="G1287" s="8"/>
      <c r="H1287" s="8"/>
      <c r="I1287" s="11">
        <v>1790957.0</v>
      </c>
      <c r="J1287" s="8"/>
      <c r="K1287" s="12" t="s">
        <v>177</v>
      </c>
      <c r="L1287" s="5" t="s">
        <v>75</v>
      </c>
      <c r="M1287" s="9" t="s">
        <v>72</v>
      </c>
    </row>
    <row r="1288">
      <c r="A1288" s="11">
        <v>1287.0</v>
      </c>
      <c r="B1288" s="11">
        <v>0.018</v>
      </c>
      <c r="C1288" s="8"/>
      <c r="D1288" s="11">
        <v>73.0</v>
      </c>
      <c r="E1288" s="11">
        <v>68.0</v>
      </c>
      <c r="F1288" s="8"/>
      <c r="G1288" s="8"/>
      <c r="H1288" s="8"/>
      <c r="I1288" s="11">
        <v>1807106.0</v>
      </c>
      <c r="J1288" s="8"/>
      <c r="K1288" s="12" t="s">
        <v>177</v>
      </c>
      <c r="L1288" s="5" t="s">
        <v>75</v>
      </c>
      <c r="M1288" s="9" t="s">
        <v>73</v>
      </c>
    </row>
    <row r="1289">
      <c r="A1289" s="11">
        <v>1288.0</v>
      </c>
      <c r="B1289" s="11">
        <v>0.024</v>
      </c>
      <c r="C1289" s="11">
        <v>0.011</v>
      </c>
      <c r="D1289" s="11">
        <v>74.0</v>
      </c>
      <c r="E1289" s="11">
        <v>72.0</v>
      </c>
      <c r="F1289" s="11">
        <v>0.257</v>
      </c>
      <c r="G1289" s="11">
        <v>0.712</v>
      </c>
      <c r="H1289" s="11">
        <v>0.031</v>
      </c>
      <c r="I1289" s="11">
        <v>1906231.0</v>
      </c>
      <c r="J1289" s="11">
        <v>0.981</v>
      </c>
      <c r="K1289" s="12" t="s">
        <v>178</v>
      </c>
      <c r="L1289" s="5" t="s">
        <v>93</v>
      </c>
      <c r="M1289" s="9" t="s">
        <v>60</v>
      </c>
    </row>
    <row r="1290">
      <c r="A1290" s="11">
        <v>1289.0</v>
      </c>
      <c r="B1290" s="11">
        <v>0.023</v>
      </c>
      <c r="C1290" s="11">
        <v>0.011</v>
      </c>
      <c r="D1290" s="11">
        <v>74.0</v>
      </c>
      <c r="E1290" s="11">
        <v>73.0</v>
      </c>
      <c r="F1290" s="11">
        <v>0.257</v>
      </c>
      <c r="G1290" s="11">
        <v>0.711</v>
      </c>
      <c r="H1290" s="11">
        <v>0.033</v>
      </c>
      <c r="I1290" s="11">
        <v>1980604.0</v>
      </c>
      <c r="J1290" s="11">
        <v>0.981</v>
      </c>
      <c r="K1290" s="12" t="s">
        <v>178</v>
      </c>
      <c r="L1290" s="5" t="s">
        <v>93</v>
      </c>
      <c r="M1290" s="9" t="s">
        <v>62</v>
      </c>
    </row>
    <row r="1291">
      <c r="A1291" s="11">
        <v>1290.0</v>
      </c>
      <c r="B1291" s="11">
        <v>0.022</v>
      </c>
      <c r="C1291" s="11">
        <v>0.011</v>
      </c>
      <c r="D1291" s="11">
        <v>74.0</v>
      </c>
      <c r="E1291" s="11">
        <v>73.0</v>
      </c>
      <c r="F1291" s="11">
        <v>0.256</v>
      </c>
      <c r="G1291" s="11">
        <v>0.71</v>
      </c>
      <c r="H1291" s="11">
        <v>0.034</v>
      </c>
      <c r="I1291" s="11">
        <v>2048232.0</v>
      </c>
      <c r="J1291" s="11">
        <v>0.981</v>
      </c>
      <c r="K1291" s="12" t="s">
        <v>178</v>
      </c>
      <c r="L1291" s="5" t="s">
        <v>93</v>
      </c>
      <c r="M1291" s="9" t="s">
        <v>63</v>
      </c>
    </row>
    <row r="1292">
      <c r="A1292" s="11">
        <v>1291.0</v>
      </c>
      <c r="B1292" s="11">
        <v>0.022</v>
      </c>
      <c r="C1292" s="11">
        <v>0.01</v>
      </c>
      <c r="D1292" s="11">
        <v>75.0</v>
      </c>
      <c r="E1292" s="11">
        <v>73.0</v>
      </c>
      <c r="F1292" s="11">
        <v>0.256</v>
      </c>
      <c r="G1292" s="11">
        <v>0.71</v>
      </c>
      <c r="H1292" s="11">
        <v>0.034</v>
      </c>
      <c r="I1292" s="11">
        <v>2116353.0</v>
      </c>
      <c r="J1292" s="11">
        <v>0.982</v>
      </c>
      <c r="K1292" s="12" t="s">
        <v>178</v>
      </c>
      <c r="L1292" s="5" t="s">
        <v>93</v>
      </c>
      <c r="M1292" s="9" t="s">
        <v>64</v>
      </c>
    </row>
    <row r="1293">
      <c r="A1293" s="11">
        <v>1292.0</v>
      </c>
      <c r="B1293" s="11">
        <v>0.021</v>
      </c>
      <c r="C1293" s="11">
        <v>0.01</v>
      </c>
      <c r="D1293" s="11">
        <v>75.0</v>
      </c>
      <c r="E1293" s="11">
        <v>73.0</v>
      </c>
      <c r="F1293" s="11">
        <v>0.255</v>
      </c>
      <c r="G1293" s="11">
        <v>0.711</v>
      </c>
      <c r="H1293" s="11">
        <v>0.034</v>
      </c>
      <c r="I1293" s="11">
        <v>2196466.0</v>
      </c>
      <c r="J1293" s="11">
        <v>0.982</v>
      </c>
      <c r="K1293" s="12" t="s">
        <v>178</v>
      </c>
      <c r="L1293" s="5" t="s">
        <v>93</v>
      </c>
      <c r="M1293" s="9" t="s">
        <v>65</v>
      </c>
    </row>
    <row r="1294">
      <c r="A1294" s="11">
        <v>1293.0</v>
      </c>
      <c r="B1294" s="11">
        <v>0.021</v>
      </c>
      <c r="C1294" s="11">
        <v>0.01</v>
      </c>
      <c r="D1294" s="11">
        <v>75.0</v>
      </c>
      <c r="E1294" s="11">
        <v>73.0</v>
      </c>
      <c r="F1294" s="11">
        <v>0.255</v>
      </c>
      <c r="G1294" s="11">
        <v>0.712</v>
      </c>
      <c r="H1294" s="11">
        <v>0.033</v>
      </c>
      <c r="I1294" s="11">
        <v>2296314.0</v>
      </c>
      <c r="J1294" s="11">
        <v>0.982</v>
      </c>
      <c r="K1294" s="12" t="s">
        <v>178</v>
      </c>
      <c r="L1294" s="5" t="s">
        <v>93</v>
      </c>
      <c r="M1294" s="9" t="s">
        <v>66</v>
      </c>
    </row>
    <row r="1295">
      <c r="A1295" s="11">
        <v>1294.0</v>
      </c>
      <c r="B1295" s="11">
        <v>0.021</v>
      </c>
      <c r="C1295" s="11">
        <v>0.01</v>
      </c>
      <c r="D1295" s="11">
        <v>75.0</v>
      </c>
      <c r="E1295" s="11">
        <v>73.0</v>
      </c>
      <c r="F1295" s="11">
        <v>0.255</v>
      </c>
      <c r="G1295" s="11">
        <v>0.715</v>
      </c>
      <c r="H1295" s="11">
        <v>0.031</v>
      </c>
      <c r="I1295" s="11">
        <v>2417445.0</v>
      </c>
      <c r="J1295" s="11">
        <v>0.982</v>
      </c>
      <c r="K1295" s="12" t="s">
        <v>178</v>
      </c>
      <c r="L1295" s="5" t="s">
        <v>93</v>
      </c>
      <c r="M1295" s="9" t="s">
        <v>67</v>
      </c>
    </row>
    <row r="1296">
      <c r="A1296" s="11">
        <v>1295.0</v>
      </c>
      <c r="B1296" s="11">
        <v>0.021</v>
      </c>
      <c r="C1296" s="11">
        <v>0.01</v>
      </c>
      <c r="D1296" s="11">
        <v>75.0</v>
      </c>
      <c r="E1296" s="11">
        <v>73.0</v>
      </c>
      <c r="F1296" s="11">
        <v>0.254</v>
      </c>
      <c r="G1296" s="11">
        <v>0.718</v>
      </c>
      <c r="H1296" s="11">
        <v>0.028</v>
      </c>
      <c r="I1296" s="11">
        <v>2554920.0</v>
      </c>
      <c r="J1296" s="11">
        <v>0.982</v>
      </c>
      <c r="K1296" s="12" t="s">
        <v>178</v>
      </c>
      <c r="L1296" s="5" t="s">
        <v>93</v>
      </c>
      <c r="M1296" s="9" t="s">
        <v>68</v>
      </c>
    </row>
    <row r="1297">
      <c r="A1297" s="11">
        <v>1296.0</v>
      </c>
      <c r="B1297" s="11">
        <v>0.021</v>
      </c>
      <c r="C1297" s="11">
        <v>0.01</v>
      </c>
      <c r="D1297" s="11">
        <v>75.0</v>
      </c>
      <c r="E1297" s="11">
        <v>73.0</v>
      </c>
      <c r="F1297" s="11">
        <v>0.254</v>
      </c>
      <c r="G1297" s="11">
        <v>0.721</v>
      </c>
      <c r="H1297" s="11">
        <v>0.025</v>
      </c>
      <c r="I1297" s="11">
        <v>2702221.0</v>
      </c>
      <c r="J1297" s="11">
        <v>0.982</v>
      </c>
      <c r="K1297" s="12" t="s">
        <v>178</v>
      </c>
      <c r="L1297" s="5" t="s">
        <v>93</v>
      </c>
      <c r="M1297" s="9" t="s">
        <v>69</v>
      </c>
    </row>
    <row r="1298">
      <c r="A1298" s="11">
        <v>1297.0</v>
      </c>
      <c r="B1298" s="11">
        <v>0.021</v>
      </c>
      <c r="C1298" s="11">
        <v>0.01</v>
      </c>
      <c r="D1298" s="11">
        <v>75.0</v>
      </c>
      <c r="E1298" s="11">
        <v>73.0</v>
      </c>
      <c r="F1298" s="11">
        <v>0.253</v>
      </c>
      <c r="G1298" s="11">
        <v>0.724</v>
      </c>
      <c r="H1298" s="11">
        <v>0.023</v>
      </c>
      <c r="I1298" s="11">
        <v>2850102.0</v>
      </c>
      <c r="J1298" s="11">
        <v>0.982</v>
      </c>
      <c r="K1298" s="12" t="s">
        <v>178</v>
      </c>
      <c r="L1298" s="5" t="s">
        <v>93</v>
      </c>
      <c r="M1298" s="9" t="s">
        <v>70</v>
      </c>
    </row>
    <row r="1299">
      <c r="A1299" s="11">
        <v>1298.0</v>
      </c>
      <c r="B1299" s="11">
        <v>0.021</v>
      </c>
      <c r="C1299" s="11">
        <v>0.009</v>
      </c>
      <c r="D1299" s="11">
        <v>75.0</v>
      </c>
      <c r="E1299" s="11">
        <v>73.0</v>
      </c>
      <c r="F1299" s="11">
        <v>0.252</v>
      </c>
      <c r="G1299" s="11">
        <v>0.726</v>
      </c>
      <c r="H1299" s="11">
        <v>0.021</v>
      </c>
      <c r="I1299" s="11">
        <v>2991580.0</v>
      </c>
      <c r="J1299" s="11">
        <v>0.983</v>
      </c>
      <c r="K1299" s="12" t="s">
        <v>178</v>
      </c>
      <c r="L1299" s="5" t="s">
        <v>93</v>
      </c>
      <c r="M1299" s="9" t="s">
        <v>71</v>
      </c>
    </row>
    <row r="1300">
      <c r="A1300" s="11">
        <v>1299.0</v>
      </c>
      <c r="B1300" s="11">
        <v>0.021</v>
      </c>
      <c r="C1300" s="11">
        <v>0.009</v>
      </c>
      <c r="D1300" s="11">
        <v>75.0</v>
      </c>
      <c r="E1300" s="11">
        <v>73.0</v>
      </c>
      <c r="F1300" s="11">
        <v>0.251</v>
      </c>
      <c r="G1300" s="11">
        <v>0.728</v>
      </c>
      <c r="H1300" s="11">
        <v>0.021</v>
      </c>
      <c r="I1300" s="11">
        <v>3124705.0</v>
      </c>
      <c r="J1300" s="11">
        <v>0.983</v>
      </c>
      <c r="K1300" s="12" t="s">
        <v>178</v>
      </c>
      <c r="L1300" s="5" t="s">
        <v>93</v>
      </c>
      <c r="M1300" s="9" t="s">
        <v>72</v>
      </c>
    </row>
    <row r="1301">
      <c r="A1301" s="11">
        <v>1300.0</v>
      </c>
      <c r="B1301" s="11">
        <v>0.021</v>
      </c>
      <c r="C1301" s="11">
        <v>0.009</v>
      </c>
      <c r="D1301" s="11">
        <v>75.0</v>
      </c>
      <c r="E1301" s="11">
        <v>73.0</v>
      </c>
      <c r="F1301" s="11">
        <v>0.249</v>
      </c>
      <c r="G1301" s="11">
        <v>0.729</v>
      </c>
      <c r="H1301" s="11">
        <v>0.022</v>
      </c>
      <c r="I1301" s="11">
        <v>3250496.0</v>
      </c>
      <c r="J1301" s="11">
        <v>0.983</v>
      </c>
      <c r="K1301" s="12" t="s">
        <v>178</v>
      </c>
      <c r="L1301" s="5" t="s">
        <v>93</v>
      </c>
      <c r="M1301" s="9" t="s">
        <v>73</v>
      </c>
    </row>
    <row r="1302">
      <c r="A1302" s="11">
        <v>1301.0</v>
      </c>
      <c r="B1302" s="11">
        <v>0.02</v>
      </c>
      <c r="C1302" s="11">
        <v>0.042</v>
      </c>
      <c r="D1302" s="11">
        <v>72.0</v>
      </c>
      <c r="E1302" s="11">
        <v>65.0</v>
      </c>
      <c r="F1302" s="11">
        <v>0.35</v>
      </c>
      <c r="G1302" s="11">
        <v>0.596</v>
      </c>
      <c r="H1302" s="11">
        <v>0.055</v>
      </c>
      <c r="I1302" s="11">
        <v>4898400.0</v>
      </c>
      <c r="J1302" s="11">
        <v>0.353</v>
      </c>
      <c r="K1302" s="12" t="s">
        <v>179</v>
      </c>
      <c r="L1302" s="5" t="s">
        <v>61</v>
      </c>
      <c r="M1302" s="9" t="s">
        <v>60</v>
      </c>
    </row>
    <row r="1303">
      <c r="A1303" s="11">
        <v>1302.0</v>
      </c>
      <c r="B1303" s="11">
        <v>0.02</v>
      </c>
      <c r="C1303" s="11">
        <v>0.04</v>
      </c>
      <c r="D1303" s="11">
        <v>73.0</v>
      </c>
      <c r="E1303" s="11">
        <v>65.0</v>
      </c>
      <c r="F1303" s="11">
        <v>0.342</v>
      </c>
      <c r="G1303" s="11">
        <v>0.602</v>
      </c>
      <c r="H1303" s="11">
        <v>0.055</v>
      </c>
      <c r="I1303" s="11">
        <v>4945100.0</v>
      </c>
      <c r="J1303" s="11">
        <v>0.353</v>
      </c>
      <c r="K1303" s="12" t="s">
        <v>179</v>
      </c>
      <c r="L1303" s="5" t="s">
        <v>61</v>
      </c>
      <c r="M1303" s="9" t="s">
        <v>62</v>
      </c>
    </row>
    <row r="1304">
      <c r="A1304" s="11">
        <v>1303.0</v>
      </c>
      <c r="B1304" s="11">
        <v>0.019</v>
      </c>
      <c r="C1304" s="11">
        <v>0.039</v>
      </c>
      <c r="D1304" s="11">
        <v>72.0</v>
      </c>
      <c r="E1304" s="11">
        <v>64.0</v>
      </c>
      <c r="F1304" s="11">
        <v>0.335</v>
      </c>
      <c r="G1304" s="11">
        <v>0.609</v>
      </c>
      <c r="H1304" s="11">
        <v>0.056</v>
      </c>
      <c r="I1304" s="11">
        <v>4990700.0</v>
      </c>
      <c r="J1304" s="11">
        <v>0.353</v>
      </c>
      <c r="K1304" s="12" t="s">
        <v>179</v>
      </c>
      <c r="L1304" s="5" t="s">
        <v>61</v>
      </c>
      <c r="M1304" s="9" t="s">
        <v>63</v>
      </c>
    </row>
    <row r="1305">
      <c r="A1305" s="11">
        <v>1304.0</v>
      </c>
      <c r="B1305" s="11">
        <v>0.021</v>
      </c>
      <c r="C1305" s="11">
        <v>0.037</v>
      </c>
      <c r="D1305" s="11">
        <v>72.0</v>
      </c>
      <c r="E1305" s="11">
        <v>65.0</v>
      </c>
      <c r="F1305" s="11">
        <v>0.326</v>
      </c>
      <c r="G1305" s="11">
        <v>0.617</v>
      </c>
      <c r="H1305" s="11">
        <v>0.057</v>
      </c>
      <c r="I1305" s="11">
        <v>5043300.0</v>
      </c>
      <c r="J1305" s="11">
        <v>0.353</v>
      </c>
      <c r="K1305" s="12" t="s">
        <v>179</v>
      </c>
      <c r="L1305" s="5" t="s">
        <v>61</v>
      </c>
      <c r="M1305" s="9" t="s">
        <v>64</v>
      </c>
    </row>
    <row r="1306">
      <c r="A1306" s="11">
        <v>1305.0</v>
      </c>
      <c r="B1306" s="11">
        <v>0.022</v>
      </c>
      <c r="C1306" s="11">
        <v>0.036</v>
      </c>
      <c r="D1306" s="11">
        <v>72.0</v>
      </c>
      <c r="E1306" s="11">
        <v>64.0</v>
      </c>
      <c r="F1306" s="11">
        <v>0.319</v>
      </c>
      <c r="G1306" s="11">
        <v>0.624</v>
      </c>
      <c r="H1306" s="11">
        <v>0.057</v>
      </c>
      <c r="I1306" s="11">
        <v>5104700.0</v>
      </c>
      <c r="J1306" s="11">
        <v>0.353</v>
      </c>
      <c r="K1306" s="12" t="s">
        <v>179</v>
      </c>
      <c r="L1306" s="5" t="s">
        <v>61</v>
      </c>
      <c r="M1306" s="9" t="s">
        <v>65</v>
      </c>
    </row>
    <row r="1307">
      <c r="A1307" s="11">
        <v>1306.0</v>
      </c>
      <c r="B1307" s="11">
        <v>0.021</v>
      </c>
      <c r="C1307" s="11">
        <v>0.034</v>
      </c>
      <c r="D1307" s="11">
        <v>72.0</v>
      </c>
      <c r="E1307" s="11">
        <v>64.0</v>
      </c>
      <c r="F1307" s="11">
        <v>0.313</v>
      </c>
      <c r="G1307" s="11">
        <v>0.631</v>
      </c>
      <c r="H1307" s="11">
        <v>0.056</v>
      </c>
      <c r="I1307" s="11">
        <v>5162600.0</v>
      </c>
      <c r="J1307" s="11">
        <v>0.353</v>
      </c>
      <c r="K1307" s="12" t="s">
        <v>179</v>
      </c>
      <c r="L1307" s="5" t="s">
        <v>61</v>
      </c>
      <c r="M1307" s="9" t="s">
        <v>66</v>
      </c>
    </row>
    <row r="1308">
      <c r="A1308" s="11">
        <v>1307.0</v>
      </c>
      <c r="B1308" s="11">
        <v>0.023</v>
      </c>
      <c r="C1308" s="11">
        <v>0.033</v>
      </c>
      <c r="D1308" s="11">
        <v>72.0</v>
      </c>
      <c r="E1308" s="11">
        <v>64.0</v>
      </c>
      <c r="F1308" s="11">
        <v>0.308</v>
      </c>
      <c r="G1308" s="11">
        <v>0.638</v>
      </c>
      <c r="H1308" s="11">
        <v>0.054</v>
      </c>
      <c r="I1308" s="11">
        <v>5218400.0</v>
      </c>
      <c r="J1308" s="11">
        <v>0.353</v>
      </c>
      <c r="K1308" s="12" t="s">
        <v>179</v>
      </c>
      <c r="L1308" s="5" t="s">
        <v>61</v>
      </c>
      <c r="M1308" s="9" t="s">
        <v>67</v>
      </c>
    </row>
    <row r="1309">
      <c r="A1309" s="11">
        <v>1308.0</v>
      </c>
      <c r="B1309" s="11">
        <v>0.023</v>
      </c>
      <c r="C1309" s="11">
        <v>0.032</v>
      </c>
      <c r="D1309" s="11">
        <v>72.0</v>
      </c>
      <c r="E1309" s="11">
        <v>64.0</v>
      </c>
      <c r="F1309" s="11">
        <v>0.304</v>
      </c>
      <c r="G1309" s="11">
        <v>0.644</v>
      </c>
      <c r="H1309" s="11">
        <v>0.052</v>
      </c>
      <c r="I1309" s="11">
        <v>5268400.0</v>
      </c>
      <c r="J1309" s="11">
        <v>0.353</v>
      </c>
      <c r="K1309" s="12" t="s">
        <v>179</v>
      </c>
      <c r="L1309" s="5" t="s">
        <v>61</v>
      </c>
      <c r="M1309" s="9" t="s">
        <v>68</v>
      </c>
    </row>
    <row r="1310">
      <c r="A1310" s="11">
        <v>1309.0</v>
      </c>
      <c r="B1310" s="11">
        <v>0.024</v>
      </c>
      <c r="C1310" s="11">
        <v>0.03</v>
      </c>
      <c r="D1310" s="11">
        <v>73.0</v>
      </c>
      <c r="E1310" s="11">
        <v>65.0</v>
      </c>
      <c r="F1310" s="11">
        <v>0.302</v>
      </c>
      <c r="G1310" s="11">
        <v>0.649</v>
      </c>
      <c r="H1310" s="11">
        <v>0.049</v>
      </c>
      <c r="I1310" s="11">
        <v>5318700.0</v>
      </c>
      <c r="J1310" s="11">
        <v>0.353</v>
      </c>
      <c r="K1310" s="12" t="s">
        <v>179</v>
      </c>
      <c r="L1310" s="5" t="s">
        <v>61</v>
      </c>
      <c r="M1310" s="9" t="s">
        <v>69</v>
      </c>
    </row>
    <row r="1311">
      <c r="A1311" s="11">
        <v>1310.0</v>
      </c>
      <c r="B1311" s="11">
        <v>0.025</v>
      </c>
      <c r="C1311" s="11">
        <v>0.029</v>
      </c>
      <c r="D1311" s="11">
        <v>73.0</v>
      </c>
      <c r="E1311" s="11">
        <v>65.0</v>
      </c>
      <c r="F1311" s="11">
        <v>0.301</v>
      </c>
      <c r="G1311" s="11">
        <v>0.653</v>
      </c>
      <c r="H1311" s="11">
        <v>0.046</v>
      </c>
      <c r="I1311" s="11">
        <v>5383300.0</v>
      </c>
      <c r="J1311" s="11">
        <v>0.353</v>
      </c>
      <c r="K1311" s="12" t="s">
        <v>179</v>
      </c>
      <c r="L1311" s="5" t="s">
        <v>61</v>
      </c>
      <c r="M1311" s="9" t="s">
        <v>70</v>
      </c>
    </row>
    <row r="1312">
      <c r="A1312" s="11">
        <v>1311.0</v>
      </c>
      <c r="B1312" s="11">
        <v>0.027</v>
      </c>
      <c r="C1312" s="11">
        <v>0.027</v>
      </c>
      <c r="D1312" s="11">
        <v>74.0</v>
      </c>
      <c r="E1312" s="11">
        <v>65.0</v>
      </c>
      <c r="F1312" s="11">
        <v>0.3</v>
      </c>
      <c r="G1312" s="11">
        <v>0.655</v>
      </c>
      <c r="H1312" s="11">
        <v>0.044</v>
      </c>
      <c r="I1312" s="11">
        <v>5447900.0</v>
      </c>
      <c r="J1312" s="11">
        <v>0.353</v>
      </c>
      <c r="K1312" s="12" t="s">
        <v>179</v>
      </c>
      <c r="L1312" s="5" t="s">
        <v>61</v>
      </c>
      <c r="M1312" s="9" t="s">
        <v>71</v>
      </c>
    </row>
    <row r="1313">
      <c r="A1313" s="11">
        <v>1312.0</v>
      </c>
      <c r="B1313" s="11">
        <v>0.027</v>
      </c>
      <c r="C1313" s="11">
        <v>0.025</v>
      </c>
      <c r="D1313" s="11">
        <v>74.0</v>
      </c>
      <c r="E1313" s="11">
        <v>66.0</v>
      </c>
      <c r="F1313" s="11">
        <v>0.301</v>
      </c>
      <c r="G1313" s="11">
        <v>0.656</v>
      </c>
      <c r="H1313" s="11">
        <v>0.043</v>
      </c>
      <c r="I1313" s="11">
        <v>5514600.0</v>
      </c>
      <c r="J1313" s="11">
        <v>0.353</v>
      </c>
      <c r="K1313" s="12" t="s">
        <v>179</v>
      </c>
      <c r="L1313" s="5" t="s">
        <v>61</v>
      </c>
      <c r="M1313" s="9" t="s">
        <v>72</v>
      </c>
    </row>
    <row r="1314">
      <c r="A1314" s="11">
        <v>1313.0</v>
      </c>
      <c r="B1314" s="11">
        <v>0.028</v>
      </c>
      <c r="C1314" s="11">
        <v>0.023</v>
      </c>
      <c r="D1314" s="11">
        <v>74.0</v>
      </c>
      <c r="E1314" s="11">
        <v>66.0</v>
      </c>
      <c r="F1314" s="11">
        <v>0.302</v>
      </c>
      <c r="G1314" s="11">
        <v>0.656</v>
      </c>
      <c r="H1314" s="11">
        <v>0.042</v>
      </c>
      <c r="I1314" s="11">
        <v>5607200.0</v>
      </c>
      <c r="J1314" s="11">
        <v>0.354</v>
      </c>
      <c r="K1314" s="12" t="s">
        <v>179</v>
      </c>
      <c r="L1314" s="5" t="s">
        <v>61</v>
      </c>
      <c r="M1314" s="9" t="s">
        <v>73</v>
      </c>
    </row>
    <row r="1315">
      <c r="A1315" s="11">
        <v>1314.0</v>
      </c>
      <c r="B1315" s="11">
        <v>0.031</v>
      </c>
      <c r="C1315" s="11">
        <v>0.083</v>
      </c>
      <c r="D1315" s="11">
        <v>63.0</v>
      </c>
      <c r="E1315" s="11">
        <v>60.0</v>
      </c>
      <c r="F1315" s="11">
        <v>0.435</v>
      </c>
      <c r="G1315" s="11">
        <v>0.529</v>
      </c>
      <c r="H1315" s="11">
        <v>0.036</v>
      </c>
      <c r="I1315" s="11">
        <v>5388281.0</v>
      </c>
      <c r="J1315" s="11">
        <v>0.22</v>
      </c>
      <c r="K1315" s="12" t="s">
        <v>180</v>
      </c>
      <c r="L1315" s="5" t="s">
        <v>61</v>
      </c>
      <c r="M1315" s="9" t="s">
        <v>60</v>
      </c>
    </row>
    <row r="1316">
      <c r="A1316" s="11">
        <v>1315.0</v>
      </c>
      <c r="B1316" s="11">
        <v>0.03</v>
      </c>
      <c r="C1316" s="11">
        <v>0.08</v>
      </c>
      <c r="D1316" s="11">
        <v>64.0</v>
      </c>
      <c r="E1316" s="11">
        <v>61.0</v>
      </c>
      <c r="F1316" s="11">
        <v>0.43</v>
      </c>
      <c r="G1316" s="11">
        <v>0.533</v>
      </c>
      <c r="H1316" s="11">
        <v>0.036</v>
      </c>
      <c r="I1316" s="11">
        <v>5470169.0</v>
      </c>
      <c r="J1316" s="11">
        <v>0.23</v>
      </c>
      <c r="K1316" s="12" t="s">
        <v>180</v>
      </c>
      <c r="L1316" s="5" t="s">
        <v>61</v>
      </c>
      <c r="M1316" s="9" t="s">
        <v>62</v>
      </c>
    </row>
    <row r="1317">
      <c r="A1317" s="11">
        <v>1316.0</v>
      </c>
      <c r="B1317" s="11">
        <v>0.029</v>
      </c>
      <c r="C1317" s="11">
        <v>0.078</v>
      </c>
      <c r="D1317" s="11">
        <v>64.0</v>
      </c>
      <c r="E1317" s="11">
        <v>62.0</v>
      </c>
      <c r="F1317" s="11">
        <v>0.425</v>
      </c>
      <c r="G1317" s="11">
        <v>0.539</v>
      </c>
      <c r="H1317" s="11">
        <v>0.037</v>
      </c>
      <c r="I1317" s="11">
        <v>5545245.0</v>
      </c>
      <c r="J1317" s="11">
        <v>0.24</v>
      </c>
      <c r="K1317" s="12" t="s">
        <v>180</v>
      </c>
      <c r="L1317" s="5" t="s">
        <v>61</v>
      </c>
      <c r="M1317" s="9" t="s">
        <v>63</v>
      </c>
    </row>
    <row r="1318">
      <c r="A1318" s="11">
        <v>1317.0</v>
      </c>
      <c r="B1318" s="11">
        <v>0.029</v>
      </c>
      <c r="C1318" s="11">
        <v>0.075</v>
      </c>
      <c r="D1318" s="11">
        <v>65.0</v>
      </c>
      <c r="E1318" s="11">
        <v>62.0</v>
      </c>
      <c r="F1318" s="11">
        <v>0.418</v>
      </c>
      <c r="G1318" s="11">
        <v>0.545</v>
      </c>
      <c r="H1318" s="11">
        <v>0.037</v>
      </c>
      <c r="I1318" s="11">
        <v>5619069.0</v>
      </c>
      <c r="J1318" s="11">
        <v>0.251</v>
      </c>
      <c r="K1318" s="12" t="s">
        <v>180</v>
      </c>
      <c r="L1318" s="5" t="s">
        <v>61</v>
      </c>
      <c r="M1318" s="9" t="s">
        <v>64</v>
      </c>
    </row>
    <row r="1319">
      <c r="A1319" s="11">
        <v>1318.0</v>
      </c>
      <c r="B1319" s="11">
        <v>0.028</v>
      </c>
      <c r="C1319" s="11">
        <v>0.073</v>
      </c>
      <c r="D1319" s="11">
        <v>65.0</v>
      </c>
      <c r="E1319" s="11">
        <v>63.0</v>
      </c>
      <c r="F1319" s="11">
        <v>0.411</v>
      </c>
      <c r="G1319" s="11">
        <v>0.552</v>
      </c>
      <c r="H1319" s="11">
        <v>0.037</v>
      </c>
      <c r="I1319" s="11">
        <v>5699112.0</v>
      </c>
      <c r="J1319" s="11">
        <v>0.262</v>
      </c>
      <c r="K1319" s="12" t="s">
        <v>180</v>
      </c>
      <c r="L1319" s="5" t="s">
        <v>61</v>
      </c>
      <c r="M1319" s="9" t="s">
        <v>65</v>
      </c>
    </row>
    <row r="1320">
      <c r="A1320" s="11">
        <v>1319.0</v>
      </c>
      <c r="B1320" s="11">
        <v>0.028</v>
      </c>
      <c r="C1320" s="11">
        <v>0.07</v>
      </c>
      <c r="D1320" s="11">
        <v>66.0</v>
      </c>
      <c r="E1320" s="11">
        <v>63.0</v>
      </c>
      <c r="F1320" s="11">
        <v>0.404</v>
      </c>
      <c r="G1320" s="11">
        <v>0.559</v>
      </c>
      <c r="H1320" s="11">
        <v>0.037</v>
      </c>
      <c r="I1320" s="11">
        <v>5790646.0</v>
      </c>
      <c r="J1320" s="11">
        <v>0.274</v>
      </c>
      <c r="K1320" s="12" t="s">
        <v>180</v>
      </c>
      <c r="L1320" s="5" t="s">
        <v>61</v>
      </c>
      <c r="M1320" s="9" t="s">
        <v>66</v>
      </c>
    </row>
    <row r="1321">
      <c r="A1321" s="11">
        <v>1320.0</v>
      </c>
      <c r="B1321" s="11">
        <v>0.029</v>
      </c>
      <c r="C1321" s="11">
        <v>0.068</v>
      </c>
      <c r="D1321" s="11">
        <v>66.0</v>
      </c>
      <c r="E1321" s="11">
        <v>64.0</v>
      </c>
      <c r="F1321" s="11">
        <v>0.396</v>
      </c>
      <c r="G1321" s="11">
        <v>0.566</v>
      </c>
      <c r="H1321" s="11">
        <v>0.038</v>
      </c>
      <c r="I1321" s="11">
        <v>5895930.0</v>
      </c>
      <c r="J1321" s="11">
        <v>0.285</v>
      </c>
      <c r="K1321" s="12" t="s">
        <v>180</v>
      </c>
      <c r="L1321" s="5" t="s">
        <v>61</v>
      </c>
      <c r="M1321" s="9" t="s">
        <v>67</v>
      </c>
    </row>
    <row r="1322">
      <c r="A1322" s="11">
        <v>1321.0</v>
      </c>
      <c r="B1322" s="11">
        <v>0.029</v>
      </c>
      <c r="C1322" s="11">
        <v>0.065</v>
      </c>
      <c r="D1322" s="11">
        <v>67.0</v>
      </c>
      <c r="E1322" s="11">
        <v>64.0</v>
      </c>
      <c r="F1322" s="11">
        <v>0.389</v>
      </c>
      <c r="G1322" s="11">
        <v>0.574</v>
      </c>
      <c r="H1322" s="11">
        <v>0.037</v>
      </c>
      <c r="I1322" s="11">
        <v>6013278.0</v>
      </c>
      <c r="J1322" s="11">
        <v>0.297</v>
      </c>
      <c r="K1322" s="12" t="s">
        <v>180</v>
      </c>
      <c r="L1322" s="5" t="s">
        <v>61</v>
      </c>
      <c r="M1322" s="9" t="s">
        <v>68</v>
      </c>
    </row>
    <row r="1323">
      <c r="A1323" s="11">
        <v>1322.0</v>
      </c>
      <c r="B1323" s="11">
        <v>0.029</v>
      </c>
      <c r="C1323" s="11">
        <v>0.063</v>
      </c>
      <c r="D1323" s="11">
        <v>67.0</v>
      </c>
      <c r="E1323" s="11">
        <v>65.0</v>
      </c>
      <c r="F1323" s="11">
        <v>0.381</v>
      </c>
      <c r="G1323" s="11">
        <v>0.581</v>
      </c>
      <c r="H1323" s="11">
        <v>0.037</v>
      </c>
      <c r="I1323" s="11">
        <v>6139127.0</v>
      </c>
      <c r="J1323" s="11">
        <v>0.308</v>
      </c>
      <c r="K1323" s="12" t="s">
        <v>180</v>
      </c>
      <c r="L1323" s="5" t="s">
        <v>61</v>
      </c>
      <c r="M1323" s="9" t="s">
        <v>69</v>
      </c>
    </row>
    <row r="1324">
      <c r="A1324" s="11">
        <v>1323.0</v>
      </c>
      <c r="B1324" s="11">
        <v>0.029</v>
      </c>
      <c r="C1324" s="11">
        <v>0.061</v>
      </c>
      <c r="D1324" s="11">
        <v>68.0</v>
      </c>
      <c r="E1324" s="11">
        <v>65.0</v>
      </c>
      <c r="F1324" s="11">
        <v>0.374</v>
      </c>
      <c r="G1324" s="11">
        <v>0.588</v>
      </c>
      <c r="H1324" s="11">
        <v>0.037</v>
      </c>
      <c r="I1324" s="11">
        <v>6267968.0</v>
      </c>
      <c r="J1324" s="11">
        <v>0.32</v>
      </c>
      <c r="K1324" s="12" t="s">
        <v>180</v>
      </c>
      <c r="L1324" s="5" t="s">
        <v>61</v>
      </c>
      <c r="M1324" s="9" t="s">
        <v>70</v>
      </c>
    </row>
    <row r="1325">
      <c r="A1325" s="11">
        <v>1324.0</v>
      </c>
      <c r="B1325" s="11">
        <v>0.028</v>
      </c>
      <c r="C1325" s="11">
        <v>0.059</v>
      </c>
      <c r="D1325" s="11">
        <v>68.0</v>
      </c>
      <c r="E1325" s="11">
        <v>66.0</v>
      </c>
      <c r="F1325" s="11">
        <v>0.368</v>
      </c>
      <c r="G1325" s="11">
        <v>0.595</v>
      </c>
      <c r="H1325" s="11">
        <v>0.037</v>
      </c>
      <c r="I1325" s="11">
        <v>6395713.0</v>
      </c>
      <c r="J1325" s="11">
        <v>0.331</v>
      </c>
      <c r="K1325" s="12" t="s">
        <v>180</v>
      </c>
      <c r="L1325" s="5" t="s">
        <v>61</v>
      </c>
      <c r="M1325" s="9" t="s">
        <v>71</v>
      </c>
    </row>
    <row r="1326">
      <c r="A1326" s="11">
        <v>1325.0</v>
      </c>
      <c r="B1326" s="11">
        <v>0.028</v>
      </c>
      <c r="C1326" s="11">
        <v>0.057</v>
      </c>
      <c r="D1326" s="11">
        <v>69.0</v>
      </c>
      <c r="E1326" s="11">
        <v>66.0</v>
      </c>
      <c r="F1326" s="11">
        <v>0.362</v>
      </c>
      <c r="G1326" s="11">
        <v>0.601</v>
      </c>
      <c r="H1326" s="11">
        <v>0.037</v>
      </c>
      <c r="I1326" s="11">
        <v>6521314.0</v>
      </c>
      <c r="J1326" s="11">
        <v>0.343</v>
      </c>
      <c r="K1326" s="12" t="s">
        <v>180</v>
      </c>
      <c r="L1326" s="5" t="s">
        <v>61</v>
      </c>
      <c r="M1326" s="9" t="s">
        <v>72</v>
      </c>
    </row>
    <row r="1327">
      <c r="A1327" s="11">
        <v>1326.0</v>
      </c>
      <c r="B1327" s="11">
        <v>0.027</v>
      </c>
      <c r="C1327" s="11">
        <v>0.055</v>
      </c>
      <c r="D1327" s="11">
        <v>69.0</v>
      </c>
      <c r="E1327" s="11">
        <v>66.0</v>
      </c>
      <c r="F1327" s="11">
        <v>0.356</v>
      </c>
      <c r="G1327" s="11">
        <v>0.606</v>
      </c>
      <c r="H1327" s="11">
        <v>0.038</v>
      </c>
      <c r="I1327" s="11">
        <v>6645827.0</v>
      </c>
      <c r="J1327" s="11">
        <v>0.354</v>
      </c>
      <c r="K1327" s="12" t="s">
        <v>180</v>
      </c>
      <c r="L1327" s="5" t="s">
        <v>61</v>
      </c>
      <c r="M1327" s="9" t="s">
        <v>73</v>
      </c>
    </row>
    <row r="1328">
      <c r="A1328" s="11">
        <v>1327.0</v>
      </c>
      <c r="B1328" s="11">
        <v>0.009</v>
      </c>
      <c r="C1328" s="11">
        <v>0.015</v>
      </c>
      <c r="D1328" s="11">
        <v>76.0</v>
      </c>
      <c r="E1328" s="11">
        <v>65.0</v>
      </c>
      <c r="F1328" s="11">
        <v>0.179</v>
      </c>
      <c r="G1328" s="11">
        <v>0.671</v>
      </c>
      <c r="H1328" s="11">
        <v>0.15</v>
      </c>
      <c r="I1328" s="11">
        <v>2367550.0</v>
      </c>
      <c r="J1328" s="11">
        <v>0.681</v>
      </c>
      <c r="K1328" s="12" t="s">
        <v>181</v>
      </c>
      <c r="L1328" s="5" t="s">
        <v>75</v>
      </c>
      <c r="M1328" s="9" t="s">
        <v>60</v>
      </c>
    </row>
    <row r="1329">
      <c r="A1329" s="11">
        <v>1328.0</v>
      </c>
      <c r="B1329" s="11">
        <v>0.008</v>
      </c>
      <c r="C1329" s="11">
        <v>0.014</v>
      </c>
      <c r="D1329" s="11">
        <v>77.0</v>
      </c>
      <c r="E1329" s="11">
        <v>65.0</v>
      </c>
      <c r="F1329" s="11">
        <v>0.172</v>
      </c>
      <c r="G1329" s="11">
        <v>0.674</v>
      </c>
      <c r="H1329" s="11">
        <v>0.154</v>
      </c>
      <c r="I1329" s="11">
        <v>2337170.0</v>
      </c>
      <c r="J1329" s="11">
        <v>0.68</v>
      </c>
      <c r="K1329" s="12" t="s">
        <v>181</v>
      </c>
      <c r="L1329" s="5" t="s">
        <v>75</v>
      </c>
      <c r="M1329" s="9" t="s">
        <v>62</v>
      </c>
    </row>
    <row r="1330">
      <c r="A1330" s="11">
        <v>1329.0</v>
      </c>
      <c r="B1330" s="11">
        <v>0.009</v>
      </c>
      <c r="C1330" s="11">
        <v>0.013</v>
      </c>
      <c r="D1330" s="11">
        <v>77.0</v>
      </c>
      <c r="E1330" s="11">
        <v>65.0</v>
      </c>
      <c r="F1330" s="11">
        <v>0.165</v>
      </c>
      <c r="G1330" s="11">
        <v>0.677</v>
      </c>
      <c r="H1330" s="11">
        <v>0.158</v>
      </c>
      <c r="I1330" s="11">
        <v>2310173.0</v>
      </c>
      <c r="J1330" s="11">
        <v>0.679</v>
      </c>
      <c r="K1330" s="12" t="s">
        <v>181</v>
      </c>
      <c r="L1330" s="5" t="s">
        <v>75</v>
      </c>
      <c r="M1330" s="9" t="s">
        <v>63</v>
      </c>
    </row>
    <row r="1331">
      <c r="A1331" s="11">
        <v>1330.0</v>
      </c>
      <c r="B1331" s="11">
        <v>0.009</v>
      </c>
      <c r="C1331" s="11">
        <v>0.012</v>
      </c>
      <c r="D1331" s="11">
        <v>77.0</v>
      </c>
      <c r="E1331" s="11">
        <v>66.0</v>
      </c>
      <c r="F1331" s="11">
        <v>0.158</v>
      </c>
      <c r="G1331" s="11">
        <v>0.679</v>
      </c>
      <c r="H1331" s="11">
        <v>0.163</v>
      </c>
      <c r="I1331" s="11">
        <v>2287955.0</v>
      </c>
      <c r="J1331" s="11">
        <v>0.678</v>
      </c>
      <c r="K1331" s="12" t="s">
        <v>181</v>
      </c>
      <c r="L1331" s="5" t="s">
        <v>75</v>
      </c>
      <c r="M1331" s="9" t="s">
        <v>64</v>
      </c>
    </row>
    <row r="1332">
      <c r="A1332" s="11">
        <v>1331.0</v>
      </c>
      <c r="B1332" s="11">
        <v>0.009</v>
      </c>
      <c r="C1332" s="11">
        <v>0.012</v>
      </c>
      <c r="D1332" s="11">
        <v>77.0</v>
      </c>
      <c r="E1332" s="11">
        <v>67.0</v>
      </c>
      <c r="F1332" s="11">
        <v>0.152</v>
      </c>
      <c r="G1332" s="11">
        <v>0.68</v>
      </c>
      <c r="H1332" s="11">
        <v>0.168</v>
      </c>
      <c r="I1332" s="11">
        <v>2263122.0</v>
      </c>
      <c r="J1332" s="11">
        <v>0.679</v>
      </c>
      <c r="K1332" s="12" t="s">
        <v>181</v>
      </c>
      <c r="L1332" s="5" t="s">
        <v>75</v>
      </c>
      <c r="M1332" s="9" t="s">
        <v>65</v>
      </c>
    </row>
    <row r="1333">
      <c r="A1333" s="11">
        <v>1332.0</v>
      </c>
      <c r="B1333" s="11">
        <v>0.01</v>
      </c>
      <c r="C1333" s="11">
        <v>0.011</v>
      </c>
      <c r="D1333" s="11">
        <v>77.0</v>
      </c>
      <c r="E1333" s="11">
        <v>66.0</v>
      </c>
      <c r="F1333" s="11">
        <v>0.148</v>
      </c>
      <c r="G1333" s="11">
        <v>0.681</v>
      </c>
      <c r="H1333" s="11">
        <v>0.172</v>
      </c>
      <c r="I1333" s="11">
        <v>2238799.0</v>
      </c>
      <c r="J1333" s="11">
        <v>0.68</v>
      </c>
      <c r="K1333" s="12" t="s">
        <v>181</v>
      </c>
      <c r="L1333" s="5" t="s">
        <v>75</v>
      </c>
      <c r="M1333" s="9" t="s">
        <v>66</v>
      </c>
    </row>
    <row r="1334">
      <c r="A1334" s="11">
        <v>1333.0</v>
      </c>
      <c r="B1334" s="11">
        <v>0.01</v>
      </c>
      <c r="C1334" s="11">
        <v>0.01</v>
      </c>
      <c r="D1334" s="11">
        <v>77.0</v>
      </c>
      <c r="E1334" s="11">
        <v>66.0</v>
      </c>
      <c r="F1334" s="11">
        <v>0.144</v>
      </c>
      <c r="G1334" s="11">
        <v>0.681</v>
      </c>
      <c r="H1334" s="11">
        <v>0.175</v>
      </c>
      <c r="I1334" s="11">
        <v>2218357.0</v>
      </c>
      <c r="J1334" s="11">
        <v>0.68</v>
      </c>
      <c r="K1334" s="12" t="s">
        <v>181</v>
      </c>
      <c r="L1334" s="5" t="s">
        <v>75</v>
      </c>
      <c r="M1334" s="9" t="s">
        <v>67</v>
      </c>
    </row>
    <row r="1335">
      <c r="A1335" s="11">
        <v>1334.0</v>
      </c>
      <c r="B1335" s="11">
        <v>0.011</v>
      </c>
      <c r="C1335" s="11">
        <v>0.01</v>
      </c>
      <c r="D1335" s="11">
        <v>77.0</v>
      </c>
      <c r="E1335" s="11">
        <v>66.0</v>
      </c>
      <c r="F1335" s="11">
        <v>0.142</v>
      </c>
      <c r="G1335" s="11">
        <v>0.68</v>
      </c>
      <c r="H1335" s="11">
        <v>0.178</v>
      </c>
      <c r="I1335" s="11">
        <v>2200325.0</v>
      </c>
      <c r="J1335" s="11">
        <v>0.679</v>
      </c>
      <c r="K1335" s="12" t="s">
        <v>181</v>
      </c>
      <c r="L1335" s="5" t="s">
        <v>75</v>
      </c>
      <c r="M1335" s="9" t="s">
        <v>68</v>
      </c>
    </row>
    <row r="1336">
      <c r="A1336" s="11">
        <v>1335.0</v>
      </c>
      <c r="B1336" s="11">
        <v>0.011</v>
      </c>
      <c r="C1336" s="11">
        <v>0.009</v>
      </c>
      <c r="D1336" s="11">
        <v>78.0</v>
      </c>
      <c r="E1336" s="11">
        <v>67.0</v>
      </c>
      <c r="F1336" s="11">
        <v>0.141</v>
      </c>
      <c r="G1336" s="11">
        <v>0.679</v>
      </c>
      <c r="H1336" s="11">
        <v>0.18</v>
      </c>
      <c r="I1336" s="11">
        <v>2177322.0</v>
      </c>
      <c r="J1336" s="11">
        <v>0.678</v>
      </c>
      <c r="K1336" s="12" t="s">
        <v>181</v>
      </c>
      <c r="L1336" s="5" t="s">
        <v>75</v>
      </c>
      <c r="M1336" s="9" t="s">
        <v>69</v>
      </c>
    </row>
    <row r="1337">
      <c r="A1337" s="11">
        <v>1336.0</v>
      </c>
      <c r="B1337" s="11">
        <v>0.01</v>
      </c>
      <c r="C1337" s="11">
        <v>0.009</v>
      </c>
      <c r="D1337" s="11">
        <v>78.0</v>
      </c>
      <c r="E1337" s="11">
        <v>68.0</v>
      </c>
      <c r="F1337" s="11">
        <v>0.141</v>
      </c>
      <c r="G1337" s="11">
        <v>0.677</v>
      </c>
      <c r="H1337" s="11">
        <v>0.182</v>
      </c>
      <c r="I1337" s="11">
        <v>2141669.0</v>
      </c>
      <c r="J1337" s="11">
        <v>0.678</v>
      </c>
      <c r="K1337" s="12" t="s">
        <v>181</v>
      </c>
      <c r="L1337" s="5" t="s">
        <v>75</v>
      </c>
      <c r="M1337" s="9" t="s">
        <v>70</v>
      </c>
    </row>
    <row r="1338">
      <c r="A1338" s="11">
        <v>1337.0</v>
      </c>
      <c r="B1338" s="11">
        <v>0.009</v>
      </c>
      <c r="C1338" s="11">
        <v>0.008</v>
      </c>
      <c r="D1338" s="11">
        <v>78.0</v>
      </c>
      <c r="E1338" s="11">
        <v>69.0</v>
      </c>
      <c r="F1338" s="11">
        <v>0.142</v>
      </c>
      <c r="G1338" s="11">
        <v>0.675</v>
      </c>
      <c r="H1338" s="11">
        <v>0.184</v>
      </c>
      <c r="I1338" s="11">
        <v>2097555.0</v>
      </c>
      <c r="J1338" s="11">
        <v>0.677</v>
      </c>
      <c r="K1338" s="12" t="s">
        <v>181</v>
      </c>
      <c r="L1338" s="5" t="s">
        <v>75</v>
      </c>
      <c r="M1338" s="9" t="s">
        <v>71</v>
      </c>
    </row>
    <row r="1339">
      <c r="A1339" s="11">
        <v>1338.0</v>
      </c>
      <c r="B1339" s="11">
        <v>0.009</v>
      </c>
      <c r="C1339" s="11">
        <v>0.008</v>
      </c>
      <c r="D1339" s="11">
        <v>79.0</v>
      </c>
      <c r="E1339" s="11">
        <v>69.0</v>
      </c>
      <c r="F1339" s="11">
        <v>0.143</v>
      </c>
      <c r="G1339" s="11">
        <v>0.672</v>
      </c>
      <c r="H1339" s="11">
        <v>0.185</v>
      </c>
      <c r="I1339" s="11">
        <v>2059709.0</v>
      </c>
      <c r="J1339" s="11">
        <v>0.676</v>
      </c>
      <c r="K1339" s="12" t="s">
        <v>181</v>
      </c>
      <c r="L1339" s="5" t="s">
        <v>75</v>
      </c>
      <c r="M1339" s="9" t="s">
        <v>72</v>
      </c>
    </row>
    <row r="1340">
      <c r="A1340" s="11">
        <v>1339.0</v>
      </c>
      <c r="B1340" s="11">
        <v>0.01</v>
      </c>
      <c r="C1340" s="11">
        <v>0.008</v>
      </c>
      <c r="D1340" s="11">
        <v>79.0</v>
      </c>
      <c r="E1340" s="11">
        <v>69.0</v>
      </c>
      <c r="F1340" s="11">
        <v>0.146</v>
      </c>
      <c r="G1340" s="11">
        <v>0.669</v>
      </c>
      <c r="H1340" s="11">
        <v>0.185</v>
      </c>
      <c r="I1340" s="11">
        <v>2034319.0</v>
      </c>
      <c r="J1340" s="11">
        <v>0.675</v>
      </c>
      <c r="K1340" s="12" t="s">
        <v>181</v>
      </c>
      <c r="L1340" s="5" t="s">
        <v>75</v>
      </c>
      <c r="M1340" s="9" t="s">
        <v>73</v>
      </c>
    </row>
    <row r="1341">
      <c r="A1341" s="11">
        <v>1340.0</v>
      </c>
      <c r="B1341" s="11">
        <v>0.019</v>
      </c>
      <c r="C1341" s="11">
        <v>0.017</v>
      </c>
      <c r="D1341" s="11">
        <v>76.0</v>
      </c>
      <c r="E1341" s="11">
        <v>73.0</v>
      </c>
      <c r="F1341" s="11">
        <v>0.286</v>
      </c>
      <c r="G1341" s="11">
        <v>0.643</v>
      </c>
      <c r="H1341" s="11">
        <v>0.071</v>
      </c>
      <c r="I1341" s="11">
        <v>3235380.0</v>
      </c>
      <c r="J1341" s="11">
        <v>0.86</v>
      </c>
      <c r="K1341" s="12" t="s">
        <v>182</v>
      </c>
      <c r="L1341" s="5" t="s">
        <v>93</v>
      </c>
      <c r="M1341" s="9" t="s">
        <v>60</v>
      </c>
    </row>
    <row r="1342">
      <c r="A1342" s="11">
        <v>1341.0</v>
      </c>
      <c r="B1342" s="11">
        <v>0.018</v>
      </c>
      <c r="C1342" s="11">
        <v>0.016</v>
      </c>
      <c r="D1342" s="11">
        <v>77.0</v>
      </c>
      <c r="E1342" s="11">
        <v>73.0</v>
      </c>
      <c r="F1342" s="11">
        <v>0.285</v>
      </c>
      <c r="G1342" s="11">
        <v>0.644</v>
      </c>
      <c r="H1342" s="11">
        <v>0.072</v>
      </c>
      <c r="I1342" s="11">
        <v>3357600.0</v>
      </c>
      <c r="J1342" s="11">
        <v>0.861</v>
      </c>
      <c r="K1342" s="12" t="s">
        <v>182</v>
      </c>
      <c r="L1342" s="5" t="s">
        <v>93</v>
      </c>
      <c r="M1342" s="9" t="s">
        <v>62</v>
      </c>
    </row>
    <row r="1343">
      <c r="A1343" s="11">
        <v>1342.0</v>
      </c>
      <c r="B1343" s="11">
        <v>0.017</v>
      </c>
      <c r="C1343" s="11">
        <v>0.015</v>
      </c>
      <c r="D1343" s="11">
        <v>77.0</v>
      </c>
      <c r="E1343" s="11">
        <v>74.0</v>
      </c>
      <c r="F1343" s="11">
        <v>0.284</v>
      </c>
      <c r="G1343" s="11">
        <v>0.643</v>
      </c>
      <c r="H1343" s="11">
        <v>0.072</v>
      </c>
      <c r="I1343" s="11">
        <v>3515604.0</v>
      </c>
      <c r="J1343" s="11">
        <v>0.862</v>
      </c>
      <c r="K1343" s="12" t="s">
        <v>182</v>
      </c>
      <c r="L1343" s="5" t="s">
        <v>93</v>
      </c>
      <c r="M1343" s="9" t="s">
        <v>63</v>
      </c>
    </row>
    <row r="1344">
      <c r="A1344" s="11">
        <v>1343.0</v>
      </c>
      <c r="B1344" s="11">
        <v>0.016</v>
      </c>
      <c r="C1344" s="11">
        <v>0.014</v>
      </c>
      <c r="D1344" s="11">
        <v>78.0</v>
      </c>
      <c r="E1344" s="11">
        <v>74.0</v>
      </c>
      <c r="F1344" s="11">
        <v>0.284</v>
      </c>
      <c r="G1344" s="11">
        <v>0.643</v>
      </c>
      <c r="H1344" s="11">
        <v>0.073</v>
      </c>
      <c r="I1344" s="11">
        <v>3690110.0</v>
      </c>
      <c r="J1344" s="11">
        <v>0.863</v>
      </c>
      <c r="K1344" s="12" t="s">
        <v>182</v>
      </c>
      <c r="L1344" s="5" t="s">
        <v>93</v>
      </c>
      <c r="M1344" s="9" t="s">
        <v>64</v>
      </c>
    </row>
    <row r="1345">
      <c r="A1345" s="11">
        <v>1344.0</v>
      </c>
      <c r="B1345" s="11">
        <v>0.015</v>
      </c>
      <c r="C1345" s="11">
        <v>0.013</v>
      </c>
      <c r="D1345" s="11">
        <v>78.0</v>
      </c>
      <c r="E1345" s="11">
        <v>75.0</v>
      </c>
      <c r="F1345" s="11">
        <v>0.283</v>
      </c>
      <c r="G1345" s="11">
        <v>0.644</v>
      </c>
      <c r="H1345" s="11">
        <v>0.074</v>
      </c>
      <c r="I1345" s="11">
        <v>3853582.0</v>
      </c>
      <c r="J1345" s="11">
        <v>0.865</v>
      </c>
      <c r="K1345" s="12" t="s">
        <v>182</v>
      </c>
      <c r="L1345" s="5" t="s">
        <v>93</v>
      </c>
      <c r="M1345" s="9" t="s">
        <v>65</v>
      </c>
    </row>
    <row r="1346">
      <c r="A1346" s="11">
        <v>1345.0</v>
      </c>
      <c r="B1346" s="11">
        <v>0.014</v>
      </c>
      <c r="C1346" s="11">
        <v>0.012</v>
      </c>
      <c r="D1346" s="11">
        <v>79.0</v>
      </c>
      <c r="E1346" s="11">
        <v>75.0</v>
      </c>
      <c r="F1346" s="11">
        <v>0.279</v>
      </c>
      <c r="G1346" s="11">
        <v>0.646</v>
      </c>
      <c r="H1346" s="11">
        <v>0.075</v>
      </c>
      <c r="I1346" s="11">
        <v>3986865.0</v>
      </c>
      <c r="J1346" s="11">
        <v>0.866</v>
      </c>
      <c r="K1346" s="12" t="s">
        <v>182</v>
      </c>
      <c r="L1346" s="5" t="s">
        <v>93</v>
      </c>
      <c r="M1346" s="9" t="s">
        <v>66</v>
      </c>
    </row>
    <row r="1347">
      <c r="A1347" s="11">
        <v>1346.0</v>
      </c>
      <c r="B1347" s="11">
        <v>0.014</v>
      </c>
      <c r="C1347" s="11">
        <v>0.011</v>
      </c>
      <c r="D1347" s="11">
        <v>80.0</v>
      </c>
      <c r="E1347" s="11">
        <v>76.0</v>
      </c>
      <c r="F1347" s="11">
        <v>0.274</v>
      </c>
      <c r="G1347" s="11">
        <v>0.65</v>
      </c>
      <c r="H1347" s="11">
        <v>0.076</v>
      </c>
      <c r="I1347" s="11">
        <v>4079823.0</v>
      </c>
      <c r="J1347" s="11">
        <v>0.867</v>
      </c>
      <c r="K1347" s="12" t="s">
        <v>182</v>
      </c>
      <c r="L1347" s="5" t="s">
        <v>93</v>
      </c>
      <c r="M1347" s="9" t="s">
        <v>67</v>
      </c>
    </row>
    <row r="1348">
      <c r="A1348" s="11">
        <v>1347.0</v>
      </c>
      <c r="B1348" s="11">
        <v>0.013</v>
      </c>
      <c r="C1348" s="11">
        <v>0.011</v>
      </c>
      <c r="D1348" s="11">
        <v>80.0</v>
      </c>
      <c r="E1348" s="11">
        <v>76.0</v>
      </c>
      <c r="F1348" s="11">
        <v>0.266</v>
      </c>
      <c r="G1348" s="11">
        <v>0.655</v>
      </c>
      <c r="H1348" s="11">
        <v>0.078</v>
      </c>
      <c r="I1348" s="11">
        <v>4139813.0</v>
      </c>
      <c r="J1348" s="11">
        <v>0.868</v>
      </c>
      <c r="K1348" s="12" t="s">
        <v>182</v>
      </c>
      <c r="L1348" s="5" t="s">
        <v>93</v>
      </c>
      <c r="M1348" s="9" t="s">
        <v>68</v>
      </c>
    </row>
    <row r="1349">
      <c r="A1349" s="11">
        <v>1348.0</v>
      </c>
      <c r="B1349" s="11">
        <v>0.013</v>
      </c>
      <c r="C1349" s="11">
        <v>0.01</v>
      </c>
      <c r="D1349" s="11">
        <v>81.0</v>
      </c>
      <c r="E1349" s="11">
        <v>76.0</v>
      </c>
      <c r="F1349" s="11">
        <v>0.257</v>
      </c>
      <c r="G1349" s="11">
        <v>0.662</v>
      </c>
      <c r="H1349" s="11">
        <v>0.081</v>
      </c>
      <c r="I1349" s="11">
        <v>4186088.0</v>
      </c>
      <c r="J1349" s="11">
        <v>0.869</v>
      </c>
      <c r="K1349" s="12" t="s">
        <v>182</v>
      </c>
      <c r="L1349" s="5" t="s">
        <v>93</v>
      </c>
      <c r="M1349" s="9" t="s">
        <v>69</v>
      </c>
    </row>
    <row r="1350">
      <c r="A1350" s="11">
        <v>1349.0</v>
      </c>
      <c r="B1350" s="11">
        <v>0.013</v>
      </c>
      <c r="C1350" s="11">
        <v>0.009</v>
      </c>
      <c r="D1350" s="11">
        <v>81.0</v>
      </c>
      <c r="E1350" s="11">
        <v>77.0</v>
      </c>
      <c r="F1350" s="11">
        <v>0.247</v>
      </c>
      <c r="G1350" s="11">
        <v>0.67</v>
      </c>
      <c r="H1350" s="11">
        <v>0.083</v>
      </c>
      <c r="I1350" s="11">
        <v>4246924.0</v>
      </c>
      <c r="J1350" s="11">
        <v>0.871</v>
      </c>
      <c r="K1350" s="12" t="s">
        <v>182</v>
      </c>
      <c r="L1350" s="5" t="s">
        <v>93</v>
      </c>
      <c r="M1350" s="9" t="s">
        <v>70</v>
      </c>
    </row>
    <row r="1351">
      <c r="A1351" s="11">
        <v>1350.0</v>
      </c>
      <c r="B1351" s="11">
        <v>0.013</v>
      </c>
      <c r="C1351" s="11">
        <v>0.009</v>
      </c>
      <c r="D1351" s="11">
        <v>81.0</v>
      </c>
      <c r="E1351" s="11">
        <v>77.0</v>
      </c>
      <c r="F1351" s="11">
        <v>0.237</v>
      </c>
      <c r="G1351" s="11">
        <v>0.678</v>
      </c>
      <c r="H1351" s="11">
        <v>0.084</v>
      </c>
      <c r="I1351" s="11">
        <v>4341092.0</v>
      </c>
      <c r="J1351" s="11">
        <v>0.872</v>
      </c>
      <c r="K1351" s="12" t="s">
        <v>182</v>
      </c>
      <c r="L1351" s="5" t="s">
        <v>93</v>
      </c>
      <c r="M1351" s="9" t="s">
        <v>71</v>
      </c>
    </row>
    <row r="1352">
      <c r="A1352" s="11">
        <v>1351.0</v>
      </c>
      <c r="B1352" s="11">
        <v>0.013</v>
      </c>
      <c r="C1352" s="11">
        <v>0.009</v>
      </c>
      <c r="D1352" s="11">
        <v>82.0</v>
      </c>
      <c r="E1352" s="11">
        <v>77.0</v>
      </c>
      <c r="F1352" s="11">
        <v>0.227</v>
      </c>
      <c r="G1352" s="11">
        <v>0.688</v>
      </c>
      <c r="H1352" s="11">
        <v>0.085</v>
      </c>
      <c r="I1352" s="11">
        <v>4382790.0</v>
      </c>
      <c r="J1352" s="11">
        <v>0.873</v>
      </c>
      <c r="K1352" s="12" t="s">
        <v>182</v>
      </c>
      <c r="L1352" s="5" t="s">
        <v>93</v>
      </c>
      <c r="M1352" s="9" t="s">
        <v>72</v>
      </c>
    </row>
    <row r="1353">
      <c r="A1353" s="11">
        <v>1352.0</v>
      </c>
      <c r="B1353" s="11">
        <v>0.013</v>
      </c>
      <c r="C1353" s="11">
        <v>0.008</v>
      </c>
      <c r="D1353" s="11">
        <v>82.0</v>
      </c>
      <c r="E1353" s="11">
        <v>78.0</v>
      </c>
      <c r="F1353" s="11">
        <v>0.216</v>
      </c>
      <c r="G1353" s="11">
        <v>0.698</v>
      </c>
      <c r="H1353" s="11">
        <v>0.086</v>
      </c>
      <c r="I1353" s="11">
        <v>4424888.0</v>
      </c>
      <c r="J1353" s="11">
        <v>0.874</v>
      </c>
      <c r="K1353" s="12" t="s">
        <v>182</v>
      </c>
      <c r="L1353" s="5" t="s">
        <v>93</v>
      </c>
      <c r="M1353" s="9" t="s">
        <v>73</v>
      </c>
    </row>
    <row r="1354">
      <c r="A1354" s="11">
        <v>1353.0</v>
      </c>
      <c r="B1354" s="11">
        <v>0.031</v>
      </c>
      <c r="C1354" s="11">
        <v>0.081</v>
      </c>
      <c r="D1354" s="11">
        <v>48.0</v>
      </c>
      <c r="E1354" s="11">
        <v>47.0</v>
      </c>
      <c r="F1354" s="11">
        <v>0.412</v>
      </c>
      <c r="G1354" s="11">
        <v>0.543</v>
      </c>
      <c r="H1354" s="11">
        <v>0.045</v>
      </c>
      <c r="I1354" s="11">
        <v>1856225.0</v>
      </c>
      <c r="J1354" s="11">
        <v>0.195</v>
      </c>
      <c r="K1354" s="12" t="s">
        <v>183</v>
      </c>
      <c r="L1354" s="5" t="s">
        <v>77</v>
      </c>
      <c r="M1354" s="9" t="s">
        <v>60</v>
      </c>
    </row>
    <row r="1355">
      <c r="A1355" s="11">
        <v>1354.0</v>
      </c>
      <c r="B1355" s="11">
        <v>0.031</v>
      </c>
      <c r="C1355" s="11">
        <v>0.082</v>
      </c>
      <c r="D1355" s="11">
        <v>46.0</v>
      </c>
      <c r="E1355" s="11">
        <v>45.0</v>
      </c>
      <c r="F1355" s="11">
        <v>0.41</v>
      </c>
      <c r="G1355" s="11">
        <v>0.545</v>
      </c>
      <c r="H1355" s="11">
        <v>0.046</v>
      </c>
      <c r="I1355" s="11">
        <v>1871500.0</v>
      </c>
      <c r="J1355" s="11">
        <v>0.201</v>
      </c>
      <c r="K1355" s="12" t="s">
        <v>183</v>
      </c>
      <c r="L1355" s="5" t="s">
        <v>77</v>
      </c>
      <c r="M1355" s="9" t="s">
        <v>62</v>
      </c>
    </row>
    <row r="1356">
      <c r="A1356" s="11">
        <v>1355.0</v>
      </c>
      <c r="B1356" s="11">
        <v>0.03</v>
      </c>
      <c r="C1356" s="11">
        <v>0.082</v>
      </c>
      <c r="D1356" s="11">
        <v>45.0</v>
      </c>
      <c r="E1356" s="11">
        <v>44.0</v>
      </c>
      <c r="F1356" s="11">
        <v>0.407</v>
      </c>
      <c r="G1356" s="11">
        <v>0.547</v>
      </c>
      <c r="H1356" s="11">
        <v>0.046</v>
      </c>
      <c r="I1356" s="11">
        <v>1885487.0</v>
      </c>
      <c r="J1356" s="11">
        <v>0.206</v>
      </c>
      <c r="K1356" s="12" t="s">
        <v>183</v>
      </c>
      <c r="L1356" s="5" t="s">
        <v>77</v>
      </c>
      <c r="M1356" s="9" t="s">
        <v>63</v>
      </c>
    </row>
    <row r="1357">
      <c r="A1357" s="11">
        <v>1356.0</v>
      </c>
      <c r="B1357" s="11">
        <v>0.03</v>
      </c>
      <c r="C1357" s="11">
        <v>0.083</v>
      </c>
      <c r="D1357" s="11">
        <v>44.0</v>
      </c>
      <c r="E1357" s="11">
        <v>44.0</v>
      </c>
      <c r="F1357" s="11">
        <v>0.404</v>
      </c>
      <c r="G1357" s="11">
        <v>0.55</v>
      </c>
      <c r="H1357" s="11">
        <v>0.046</v>
      </c>
      <c r="I1357" s="11">
        <v>1898757.0</v>
      </c>
      <c r="J1357" s="11">
        <v>0.211</v>
      </c>
      <c r="K1357" s="12" t="s">
        <v>183</v>
      </c>
      <c r="L1357" s="5" t="s">
        <v>77</v>
      </c>
      <c r="M1357" s="9" t="s">
        <v>64</v>
      </c>
    </row>
    <row r="1358">
      <c r="A1358" s="11">
        <v>1357.0</v>
      </c>
      <c r="B1358" s="11">
        <v>0.029</v>
      </c>
      <c r="C1358" s="11">
        <v>0.084</v>
      </c>
      <c r="D1358" s="11">
        <v>44.0</v>
      </c>
      <c r="E1358" s="11">
        <v>43.0</v>
      </c>
      <c r="F1358" s="11">
        <v>0.4</v>
      </c>
      <c r="G1358" s="11">
        <v>0.553</v>
      </c>
      <c r="H1358" s="11">
        <v>0.046</v>
      </c>
      <c r="I1358" s="11">
        <v>1912022.0</v>
      </c>
      <c r="J1358" s="11">
        <v>0.217</v>
      </c>
      <c r="K1358" s="12" t="s">
        <v>183</v>
      </c>
      <c r="L1358" s="5" t="s">
        <v>77</v>
      </c>
      <c r="M1358" s="9" t="s">
        <v>65</v>
      </c>
    </row>
    <row r="1359">
      <c r="A1359" s="11">
        <v>1358.0</v>
      </c>
      <c r="B1359" s="11">
        <v>0.029</v>
      </c>
      <c r="C1359" s="11">
        <v>0.085</v>
      </c>
      <c r="D1359" s="11">
        <v>44.0</v>
      </c>
      <c r="E1359" s="11">
        <v>44.0</v>
      </c>
      <c r="F1359" s="11">
        <v>0.397</v>
      </c>
      <c r="G1359" s="11">
        <v>0.557</v>
      </c>
      <c r="H1359" s="11">
        <v>0.046</v>
      </c>
      <c r="I1359" s="11">
        <v>1925844.0</v>
      </c>
      <c r="J1359" s="11">
        <v>0.222</v>
      </c>
      <c r="K1359" s="12" t="s">
        <v>183</v>
      </c>
      <c r="L1359" s="5" t="s">
        <v>77</v>
      </c>
      <c r="M1359" s="9" t="s">
        <v>66</v>
      </c>
    </row>
    <row r="1360">
      <c r="A1360" s="11">
        <v>1359.0</v>
      </c>
      <c r="B1360" s="11">
        <v>0.029</v>
      </c>
      <c r="C1360" s="11">
        <v>0.084</v>
      </c>
      <c r="D1360" s="11">
        <v>44.0</v>
      </c>
      <c r="E1360" s="11">
        <v>44.0</v>
      </c>
      <c r="F1360" s="11">
        <v>0.393</v>
      </c>
      <c r="G1360" s="11">
        <v>0.561</v>
      </c>
      <c r="H1360" s="11">
        <v>0.046</v>
      </c>
      <c r="I1360" s="11">
        <v>1940413.0</v>
      </c>
      <c r="J1360" s="11">
        <v>0.228</v>
      </c>
      <c r="K1360" s="12" t="s">
        <v>183</v>
      </c>
      <c r="L1360" s="5" t="s">
        <v>77</v>
      </c>
      <c r="M1360" s="9" t="s">
        <v>67</v>
      </c>
    </row>
    <row r="1361">
      <c r="A1361" s="11">
        <v>1360.0</v>
      </c>
      <c r="B1361" s="11">
        <v>0.028</v>
      </c>
      <c r="C1361" s="11">
        <v>0.082</v>
      </c>
      <c r="D1361" s="11">
        <v>45.0</v>
      </c>
      <c r="E1361" s="11">
        <v>45.0</v>
      </c>
      <c r="F1361" s="11">
        <v>0.389</v>
      </c>
      <c r="G1361" s="11">
        <v>0.566</v>
      </c>
      <c r="H1361" s="11">
        <v>0.045</v>
      </c>
      <c r="I1361" s="11">
        <v>1955784.0</v>
      </c>
      <c r="J1361" s="11">
        <v>0.233</v>
      </c>
      <c r="K1361" s="12" t="s">
        <v>183</v>
      </c>
      <c r="L1361" s="5" t="s">
        <v>77</v>
      </c>
      <c r="M1361" s="9" t="s">
        <v>68</v>
      </c>
    </row>
    <row r="1362">
      <c r="A1362" s="11">
        <v>1361.0</v>
      </c>
      <c r="B1362" s="11">
        <v>0.028</v>
      </c>
      <c r="C1362" s="11">
        <v>0.082</v>
      </c>
      <c r="D1362" s="11">
        <v>46.0</v>
      </c>
      <c r="E1362" s="11">
        <v>46.0</v>
      </c>
      <c r="F1362" s="11">
        <v>0.385</v>
      </c>
      <c r="G1362" s="11">
        <v>0.571</v>
      </c>
      <c r="H1362" s="11">
        <v>0.044</v>
      </c>
      <c r="I1362" s="11">
        <v>1972199.0</v>
      </c>
      <c r="J1362" s="11">
        <v>0.238</v>
      </c>
      <c r="K1362" s="12" t="s">
        <v>183</v>
      </c>
      <c r="L1362" s="5" t="s">
        <v>77</v>
      </c>
      <c r="M1362" s="9" t="s">
        <v>69</v>
      </c>
    </row>
    <row r="1363">
      <c r="A1363" s="11">
        <v>1362.0</v>
      </c>
      <c r="B1363" s="11">
        <v>0.028</v>
      </c>
      <c r="C1363" s="11">
        <v>0.08</v>
      </c>
      <c r="D1363" s="11">
        <v>47.0</v>
      </c>
      <c r="E1363" s="11">
        <v>46.0</v>
      </c>
      <c r="F1363" s="11">
        <v>0.381</v>
      </c>
      <c r="G1363" s="11">
        <v>0.576</v>
      </c>
      <c r="H1363" s="11">
        <v>0.043</v>
      </c>
      <c r="I1363" s="11">
        <v>1989873.0</v>
      </c>
      <c r="J1363" s="11">
        <v>0.243</v>
      </c>
      <c r="K1363" s="12" t="s">
        <v>183</v>
      </c>
      <c r="L1363" s="5" t="s">
        <v>77</v>
      </c>
      <c r="M1363" s="9" t="s">
        <v>70</v>
      </c>
    </row>
    <row r="1364">
      <c r="A1364" s="11">
        <v>1363.0</v>
      </c>
      <c r="B1364" s="11">
        <v>0.028</v>
      </c>
      <c r="C1364" s="11">
        <v>0.077</v>
      </c>
      <c r="D1364" s="11">
        <v>48.0</v>
      </c>
      <c r="E1364" s="11">
        <v>47.0</v>
      </c>
      <c r="F1364" s="11">
        <v>0.376</v>
      </c>
      <c r="G1364" s="11">
        <v>0.581</v>
      </c>
      <c r="H1364" s="11">
        <v>0.043</v>
      </c>
      <c r="I1364" s="11">
        <v>2008921.0</v>
      </c>
      <c r="J1364" s="11">
        <v>0.248</v>
      </c>
      <c r="K1364" s="12" t="s">
        <v>183</v>
      </c>
      <c r="L1364" s="5" t="s">
        <v>77</v>
      </c>
      <c r="M1364" s="9" t="s">
        <v>71</v>
      </c>
    </row>
    <row r="1365">
      <c r="A1365" s="11">
        <v>1364.0</v>
      </c>
      <c r="B1365" s="11">
        <v>0.028</v>
      </c>
      <c r="C1365" s="11">
        <v>0.073</v>
      </c>
      <c r="D1365" s="11">
        <v>48.0</v>
      </c>
      <c r="E1365" s="11">
        <v>48.0</v>
      </c>
      <c r="F1365" s="11">
        <v>0.372</v>
      </c>
      <c r="G1365" s="11">
        <v>0.586</v>
      </c>
      <c r="H1365" s="11">
        <v>0.042</v>
      </c>
      <c r="I1365" s="11">
        <v>2029516.0</v>
      </c>
      <c r="J1365" s="11">
        <v>0.253</v>
      </c>
      <c r="K1365" s="12" t="s">
        <v>183</v>
      </c>
      <c r="L1365" s="5" t="s">
        <v>77</v>
      </c>
      <c r="M1365" s="9" t="s">
        <v>72</v>
      </c>
    </row>
    <row r="1366">
      <c r="A1366" s="11">
        <v>1365.0</v>
      </c>
      <c r="B1366" s="11">
        <v>0.028</v>
      </c>
      <c r="C1366" s="11">
        <v>0.074</v>
      </c>
      <c r="D1366" s="11">
        <v>49.0</v>
      </c>
      <c r="E1366" s="11">
        <v>49.0</v>
      </c>
      <c r="F1366" s="11">
        <v>0.368</v>
      </c>
      <c r="G1366" s="11">
        <v>0.591</v>
      </c>
      <c r="H1366" s="11">
        <v>0.042</v>
      </c>
      <c r="I1366" s="11">
        <v>2051545.0</v>
      </c>
      <c r="J1366" s="11">
        <v>0.258</v>
      </c>
      <c r="K1366" s="12" t="s">
        <v>183</v>
      </c>
      <c r="L1366" s="5" t="s">
        <v>77</v>
      </c>
      <c r="M1366" s="9" t="s">
        <v>73</v>
      </c>
    </row>
    <row r="1367">
      <c r="A1367" s="11">
        <v>1366.0</v>
      </c>
      <c r="B1367" s="11">
        <v>0.043</v>
      </c>
      <c r="C1367" s="11">
        <v>0.119</v>
      </c>
      <c r="D1367" s="11">
        <v>53.0</v>
      </c>
      <c r="E1367" s="11">
        <v>52.0</v>
      </c>
      <c r="F1367" s="11">
        <v>0.432</v>
      </c>
      <c r="G1367" s="11">
        <v>0.537</v>
      </c>
      <c r="H1367" s="11">
        <v>0.031</v>
      </c>
      <c r="I1367" s="11">
        <v>2891968.0</v>
      </c>
      <c r="J1367" s="11">
        <v>0.443</v>
      </c>
      <c r="K1367" s="12" t="s">
        <v>184</v>
      </c>
      <c r="L1367" s="5" t="s">
        <v>77</v>
      </c>
      <c r="M1367" s="9" t="s">
        <v>60</v>
      </c>
    </row>
    <row r="1368">
      <c r="A1368" s="11">
        <v>1367.0</v>
      </c>
      <c r="B1368" s="11">
        <v>0.042</v>
      </c>
      <c r="C1368" s="11">
        <v>0.112</v>
      </c>
      <c r="D1368" s="11">
        <v>53.0</v>
      </c>
      <c r="E1368" s="11">
        <v>52.0</v>
      </c>
      <c r="F1368" s="11">
        <v>0.432</v>
      </c>
      <c r="G1368" s="11">
        <v>0.537</v>
      </c>
      <c r="H1368" s="11">
        <v>0.031</v>
      </c>
      <c r="I1368" s="11">
        <v>2998770.0</v>
      </c>
      <c r="J1368" s="11">
        <v>0.447</v>
      </c>
      <c r="K1368" s="12" t="s">
        <v>184</v>
      </c>
      <c r="L1368" s="5" t="s">
        <v>77</v>
      </c>
      <c r="M1368" s="9" t="s">
        <v>62</v>
      </c>
    </row>
    <row r="1369">
      <c r="A1369" s="11">
        <v>1368.0</v>
      </c>
      <c r="B1369" s="11">
        <v>0.042</v>
      </c>
      <c r="C1369" s="11">
        <v>0.104</v>
      </c>
      <c r="D1369" s="11">
        <v>54.0</v>
      </c>
      <c r="E1369" s="11">
        <v>52.0</v>
      </c>
      <c r="F1369" s="11">
        <v>0.432</v>
      </c>
      <c r="G1369" s="11">
        <v>0.537</v>
      </c>
      <c r="H1369" s="11">
        <v>0.031</v>
      </c>
      <c r="I1369" s="11">
        <v>3070673.0</v>
      </c>
      <c r="J1369" s="11">
        <v>0.45</v>
      </c>
      <c r="K1369" s="12" t="s">
        <v>184</v>
      </c>
      <c r="L1369" s="5" t="s">
        <v>77</v>
      </c>
      <c r="M1369" s="9" t="s">
        <v>63</v>
      </c>
    </row>
    <row r="1370">
      <c r="A1370" s="11">
        <v>1369.0</v>
      </c>
      <c r="B1370" s="11">
        <v>0.041</v>
      </c>
      <c r="C1370" s="11">
        <v>0.097</v>
      </c>
      <c r="D1370" s="11">
        <v>54.0</v>
      </c>
      <c r="E1370" s="11">
        <v>53.0</v>
      </c>
      <c r="F1370" s="11">
        <v>0.432</v>
      </c>
      <c r="G1370" s="11">
        <v>0.537</v>
      </c>
      <c r="H1370" s="11">
        <v>0.03</v>
      </c>
      <c r="I1370" s="11">
        <v>3124222.0</v>
      </c>
      <c r="J1370" s="11">
        <v>0.454</v>
      </c>
      <c r="K1370" s="12" t="s">
        <v>184</v>
      </c>
      <c r="L1370" s="5" t="s">
        <v>77</v>
      </c>
      <c r="M1370" s="9" t="s">
        <v>64</v>
      </c>
    </row>
    <row r="1371">
      <c r="A1371" s="11">
        <v>1370.0</v>
      </c>
      <c r="B1371" s="11">
        <v>0.041</v>
      </c>
      <c r="C1371" s="11">
        <v>0.09</v>
      </c>
      <c r="D1371" s="11">
        <v>55.0</v>
      </c>
      <c r="E1371" s="11">
        <v>53.0</v>
      </c>
      <c r="F1371" s="11">
        <v>0.433</v>
      </c>
      <c r="G1371" s="11">
        <v>0.537</v>
      </c>
      <c r="H1371" s="11">
        <v>0.03</v>
      </c>
      <c r="I1371" s="11">
        <v>3184643.0</v>
      </c>
      <c r="J1371" s="11">
        <v>0.457</v>
      </c>
      <c r="K1371" s="12" t="s">
        <v>184</v>
      </c>
      <c r="L1371" s="5" t="s">
        <v>77</v>
      </c>
      <c r="M1371" s="9" t="s">
        <v>65</v>
      </c>
    </row>
    <row r="1372">
      <c r="A1372" s="11">
        <v>1371.0</v>
      </c>
      <c r="B1372" s="11">
        <v>0.04</v>
      </c>
      <c r="C1372" s="11">
        <v>0.083</v>
      </c>
      <c r="D1372" s="11">
        <v>56.0</v>
      </c>
      <c r="E1372" s="11">
        <v>54.0</v>
      </c>
      <c r="F1372" s="11">
        <v>0.433</v>
      </c>
      <c r="G1372" s="11">
        <v>0.537</v>
      </c>
      <c r="H1372" s="11">
        <v>0.03</v>
      </c>
      <c r="I1372" s="11">
        <v>3269786.0</v>
      </c>
      <c r="J1372" s="11">
        <v>0.461</v>
      </c>
      <c r="K1372" s="12" t="s">
        <v>184</v>
      </c>
      <c r="L1372" s="5" t="s">
        <v>77</v>
      </c>
      <c r="M1372" s="9" t="s">
        <v>66</v>
      </c>
    </row>
    <row r="1373">
      <c r="A1373" s="11">
        <v>1372.0</v>
      </c>
      <c r="B1373" s="11">
        <v>0.04</v>
      </c>
      <c r="C1373" s="11">
        <v>0.077</v>
      </c>
      <c r="D1373" s="11">
        <v>57.0</v>
      </c>
      <c r="E1373" s="11">
        <v>55.0</v>
      </c>
      <c r="F1373" s="11">
        <v>0.434</v>
      </c>
      <c r="G1373" s="11">
        <v>0.536</v>
      </c>
      <c r="H1373" s="11">
        <v>0.03</v>
      </c>
      <c r="I1373" s="11">
        <v>3384791.0</v>
      </c>
      <c r="J1373" s="11">
        <v>0.464</v>
      </c>
      <c r="K1373" s="12" t="s">
        <v>184</v>
      </c>
      <c r="L1373" s="5" t="s">
        <v>77</v>
      </c>
      <c r="M1373" s="9" t="s">
        <v>67</v>
      </c>
    </row>
    <row r="1374">
      <c r="A1374" s="11">
        <v>1373.0</v>
      </c>
      <c r="B1374" s="11">
        <v>0.039</v>
      </c>
      <c r="C1374" s="11">
        <v>0.072</v>
      </c>
      <c r="D1374" s="11">
        <v>58.0</v>
      </c>
      <c r="E1374" s="11">
        <v>56.0</v>
      </c>
      <c r="F1374" s="11">
        <v>0.434</v>
      </c>
      <c r="G1374" s="11">
        <v>0.535</v>
      </c>
      <c r="H1374" s="11">
        <v>0.03</v>
      </c>
      <c r="I1374" s="11">
        <v>3522294.0</v>
      </c>
      <c r="J1374" s="11">
        <v>0.467</v>
      </c>
      <c r="K1374" s="12" t="s">
        <v>184</v>
      </c>
      <c r="L1374" s="5" t="s">
        <v>77</v>
      </c>
      <c r="M1374" s="9" t="s">
        <v>68</v>
      </c>
    </row>
    <row r="1375">
      <c r="A1375" s="11">
        <v>1374.0</v>
      </c>
      <c r="B1375" s="11">
        <v>0.038</v>
      </c>
      <c r="C1375" s="11">
        <v>0.067</v>
      </c>
      <c r="D1375" s="11">
        <v>59.0</v>
      </c>
      <c r="E1375" s="11">
        <v>57.0</v>
      </c>
      <c r="F1375" s="11">
        <v>0.434</v>
      </c>
      <c r="G1375" s="11">
        <v>0.535</v>
      </c>
      <c r="H1375" s="11">
        <v>0.031</v>
      </c>
      <c r="I1375" s="11">
        <v>3672714.0</v>
      </c>
      <c r="J1375" s="11">
        <v>0.471</v>
      </c>
      <c r="K1375" s="12" t="s">
        <v>184</v>
      </c>
      <c r="L1375" s="5" t="s">
        <v>77</v>
      </c>
      <c r="M1375" s="9" t="s">
        <v>69</v>
      </c>
    </row>
    <row r="1376">
      <c r="A1376" s="11">
        <v>1375.0</v>
      </c>
      <c r="B1376" s="11">
        <v>0.038</v>
      </c>
      <c r="C1376" s="11">
        <v>0.064</v>
      </c>
      <c r="D1376" s="11">
        <v>60.0</v>
      </c>
      <c r="E1376" s="11">
        <v>58.0</v>
      </c>
      <c r="F1376" s="11">
        <v>0.434</v>
      </c>
      <c r="G1376" s="11">
        <v>0.535</v>
      </c>
      <c r="H1376" s="11">
        <v>0.031</v>
      </c>
      <c r="I1376" s="11">
        <v>3821440.0</v>
      </c>
      <c r="J1376" s="11">
        <v>0.474</v>
      </c>
      <c r="K1376" s="12" t="s">
        <v>184</v>
      </c>
      <c r="L1376" s="5" t="s">
        <v>77</v>
      </c>
      <c r="M1376" s="9" t="s">
        <v>70</v>
      </c>
    </row>
    <row r="1377">
      <c r="A1377" s="11">
        <v>1376.0</v>
      </c>
      <c r="B1377" s="11">
        <v>0.037</v>
      </c>
      <c r="C1377" s="11">
        <v>0.06</v>
      </c>
      <c r="D1377" s="11">
        <v>60.0</v>
      </c>
      <c r="E1377" s="11">
        <v>59.0</v>
      </c>
      <c r="F1377" s="11">
        <v>0.433</v>
      </c>
      <c r="G1377" s="11">
        <v>0.536</v>
      </c>
      <c r="H1377" s="11">
        <v>0.031</v>
      </c>
      <c r="I1377" s="11">
        <v>3957990.0</v>
      </c>
      <c r="J1377" s="11">
        <v>0.478</v>
      </c>
      <c r="K1377" s="12" t="s">
        <v>184</v>
      </c>
      <c r="L1377" s="5" t="s">
        <v>77</v>
      </c>
      <c r="M1377" s="9" t="s">
        <v>71</v>
      </c>
    </row>
    <row r="1378">
      <c r="A1378" s="11">
        <v>1377.0</v>
      </c>
      <c r="B1378" s="11">
        <v>0.037</v>
      </c>
      <c r="C1378" s="11">
        <v>0.058</v>
      </c>
      <c r="D1378" s="11">
        <v>61.0</v>
      </c>
      <c r="E1378" s="11">
        <v>59.0</v>
      </c>
      <c r="F1378" s="11">
        <v>0.432</v>
      </c>
      <c r="G1378" s="11">
        <v>0.537</v>
      </c>
      <c r="H1378" s="11">
        <v>0.031</v>
      </c>
      <c r="I1378" s="11">
        <v>4079697.0</v>
      </c>
      <c r="J1378" s="11">
        <v>0.482</v>
      </c>
      <c r="K1378" s="12" t="s">
        <v>184</v>
      </c>
      <c r="L1378" s="5" t="s">
        <v>77</v>
      </c>
      <c r="M1378" s="9" t="s">
        <v>72</v>
      </c>
    </row>
    <row r="1379">
      <c r="A1379" s="11">
        <v>1378.0</v>
      </c>
      <c r="B1379" s="11">
        <v>0.036</v>
      </c>
      <c r="C1379" s="11">
        <v>0.056</v>
      </c>
      <c r="D1379" s="11">
        <v>61.0</v>
      </c>
      <c r="E1379" s="11">
        <v>59.0</v>
      </c>
      <c r="F1379" s="11">
        <v>0.431</v>
      </c>
      <c r="G1379" s="11">
        <v>0.539</v>
      </c>
      <c r="H1379" s="11">
        <v>0.03</v>
      </c>
      <c r="I1379" s="11">
        <v>4190435.0</v>
      </c>
      <c r="J1379" s="11">
        <v>0.485</v>
      </c>
      <c r="K1379" s="12" t="s">
        <v>184</v>
      </c>
      <c r="L1379" s="5" t="s">
        <v>77</v>
      </c>
      <c r="M1379" s="9" t="s">
        <v>73</v>
      </c>
    </row>
    <row r="1380">
      <c r="A1380" s="11">
        <v>1379.0</v>
      </c>
      <c r="B1380" s="11">
        <v>0.022</v>
      </c>
      <c r="C1380" s="11">
        <v>0.024</v>
      </c>
      <c r="D1380" s="11">
        <v>74.0</v>
      </c>
      <c r="E1380" s="11">
        <v>70.0</v>
      </c>
      <c r="F1380" s="11">
        <v>0.333</v>
      </c>
      <c r="G1380" s="11">
        <v>0.628</v>
      </c>
      <c r="H1380" s="11">
        <v>0.039</v>
      </c>
      <c r="I1380" s="11">
        <v>5176185.0</v>
      </c>
      <c r="J1380" s="11">
        <v>0.763</v>
      </c>
      <c r="K1380" s="12" t="s">
        <v>185</v>
      </c>
      <c r="L1380" s="5" t="s">
        <v>77</v>
      </c>
      <c r="M1380" s="9" t="s">
        <v>60</v>
      </c>
    </row>
    <row r="1381">
      <c r="A1381" s="11">
        <v>1380.0</v>
      </c>
      <c r="B1381" s="11">
        <v>0.022</v>
      </c>
      <c r="C1381" s="11">
        <v>0.024</v>
      </c>
      <c r="D1381" s="11">
        <v>74.0</v>
      </c>
      <c r="E1381" s="11">
        <v>71.0</v>
      </c>
      <c r="F1381" s="11">
        <v>0.326</v>
      </c>
      <c r="G1381" s="11">
        <v>0.634</v>
      </c>
      <c r="H1381" s="11">
        <v>0.04</v>
      </c>
      <c r="I1381" s="11">
        <v>5258677.0</v>
      </c>
      <c r="J1381" s="11">
        <v>0.764</v>
      </c>
      <c r="K1381" s="12" t="s">
        <v>185</v>
      </c>
      <c r="L1381" s="5" t="s">
        <v>77</v>
      </c>
      <c r="M1381" s="9" t="s">
        <v>62</v>
      </c>
    </row>
    <row r="1382">
      <c r="A1382" s="11">
        <v>1381.0</v>
      </c>
      <c r="B1382" s="11">
        <v>0.023</v>
      </c>
      <c r="C1382" s="11">
        <v>0.023</v>
      </c>
      <c r="D1382" s="11">
        <v>74.0</v>
      </c>
      <c r="E1382" s="11">
        <v>71.0</v>
      </c>
      <c r="F1382" s="11">
        <v>0.32</v>
      </c>
      <c r="G1382" s="11">
        <v>0.64</v>
      </c>
      <c r="H1382" s="11">
        <v>0.041</v>
      </c>
      <c r="I1382" s="11">
        <v>5340389.0</v>
      </c>
      <c r="J1382" s="11">
        <v>0.765</v>
      </c>
      <c r="K1382" s="12" t="s">
        <v>185</v>
      </c>
      <c r="L1382" s="5" t="s">
        <v>77</v>
      </c>
      <c r="M1382" s="9" t="s">
        <v>63</v>
      </c>
    </row>
    <row r="1383">
      <c r="A1383" s="11">
        <v>1382.0</v>
      </c>
      <c r="B1383" s="11">
        <v>0.023</v>
      </c>
      <c r="C1383" s="11">
        <v>0.022</v>
      </c>
      <c r="D1383" s="11">
        <v>75.0</v>
      </c>
      <c r="E1383" s="11">
        <v>71.0</v>
      </c>
      <c r="F1383" s="11">
        <v>0.315</v>
      </c>
      <c r="G1383" s="11">
        <v>0.644</v>
      </c>
      <c r="H1383" s="11">
        <v>0.041</v>
      </c>
      <c r="I1383" s="11">
        <v>5422612.0</v>
      </c>
      <c r="J1383" s="11">
        <v>0.767</v>
      </c>
      <c r="K1383" s="12" t="s">
        <v>185</v>
      </c>
      <c r="L1383" s="5" t="s">
        <v>77</v>
      </c>
      <c r="M1383" s="9" t="s">
        <v>64</v>
      </c>
    </row>
    <row r="1384">
      <c r="A1384" s="11">
        <v>1383.0</v>
      </c>
      <c r="B1384" s="11">
        <v>0.023</v>
      </c>
      <c r="C1384" s="11">
        <v>0.021</v>
      </c>
      <c r="D1384" s="11">
        <v>75.0</v>
      </c>
      <c r="E1384" s="11">
        <v>72.0</v>
      </c>
      <c r="F1384" s="11">
        <v>0.31</v>
      </c>
      <c r="G1384" s="11">
        <v>0.648</v>
      </c>
      <c r="H1384" s="11">
        <v>0.042</v>
      </c>
      <c r="I1384" s="11">
        <v>5507000.0</v>
      </c>
      <c r="J1384" s="11">
        <v>0.768</v>
      </c>
      <c r="K1384" s="12" t="s">
        <v>185</v>
      </c>
      <c r="L1384" s="5" t="s">
        <v>77</v>
      </c>
      <c r="M1384" s="9" t="s">
        <v>65</v>
      </c>
    </row>
    <row r="1385">
      <c r="A1385" s="11">
        <v>1384.0</v>
      </c>
      <c r="B1385" s="11">
        <v>0.023</v>
      </c>
      <c r="C1385" s="11">
        <v>0.02</v>
      </c>
      <c r="D1385" s="11">
        <v>75.0</v>
      </c>
      <c r="E1385" s="11">
        <v>72.0</v>
      </c>
      <c r="F1385" s="11">
        <v>0.306</v>
      </c>
      <c r="G1385" s="11">
        <v>0.651</v>
      </c>
      <c r="H1385" s="11">
        <v>0.043</v>
      </c>
      <c r="I1385" s="11">
        <v>5594450.0</v>
      </c>
      <c r="J1385" s="11">
        <v>0.769</v>
      </c>
      <c r="K1385" s="12" t="s">
        <v>185</v>
      </c>
      <c r="L1385" s="5" t="s">
        <v>77</v>
      </c>
      <c r="M1385" s="9" t="s">
        <v>66</v>
      </c>
    </row>
    <row r="1386">
      <c r="A1386" s="11">
        <v>1385.0</v>
      </c>
      <c r="B1386" s="11">
        <v>0.023</v>
      </c>
      <c r="C1386" s="11">
        <v>0.019</v>
      </c>
      <c r="D1386" s="11">
        <v>76.0</v>
      </c>
      <c r="E1386" s="11">
        <v>72.0</v>
      </c>
      <c r="F1386" s="11">
        <v>0.303</v>
      </c>
      <c r="G1386" s="11">
        <v>0.654</v>
      </c>
      <c r="H1386" s="11">
        <v>0.043</v>
      </c>
      <c r="I1386" s="11">
        <v>5686475.0</v>
      </c>
      <c r="J1386" s="11">
        <v>0.77</v>
      </c>
      <c r="K1386" s="12" t="s">
        <v>185</v>
      </c>
      <c r="L1386" s="5" t="s">
        <v>77</v>
      </c>
      <c r="M1386" s="9" t="s">
        <v>67</v>
      </c>
    </row>
    <row r="1387">
      <c r="A1387" s="11">
        <v>1386.0</v>
      </c>
      <c r="B1387" s="11">
        <v>0.023</v>
      </c>
      <c r="C1387" s="11">
        <v>0.017</v>
      </c>
      <c r="D1387" s="11">
        <v>76.0</v>
      </c>
      <c r="E1387" s="11">
        <v>72.0</v>
      </c>
      <c r="F1387" s="11">
        <v>0.3</v>
      </c>
      <c r="G1387" s="11">
        <v>0.656</v>
      </c>
      <c r="H1387" s="11">
        <v>0.044</v>
      </c>
      <c r="I1387" s="11">
        <v>5782108.0</v>
      </c>
      <c r="J1387" s="11">
        <v>0.772</v>
      </c>
      <c r="K1387" s="12" t="s">
        <v>185</v>
      </c>
      <c r="L1387" s="5" t="s">
        <v>77</v>
      </c>
      <c r="M1387" s="9" t="s">
        <v>68</v>
      </c>
    </row>
    <row r="1388">
      <c r="A1388" s="11">
        <v>1387.0</v>
      </c>
      <c r="B1388" s="11">
        <v>0.022</v>
      </c>
      <c r="C1388" s="11">
        <v>0.016</v>
      </c>
      <c r="D1388" s="11">
        <v>76.0</v>
      </c>
      <c r="E1388" s="11">
        <v>73.0</v>
      </c>
      <c r="F1388" s="11">
        <v>0.297</v>
      </c>
      <c r="G1388" s="11">
        <v>0.658</v>
      </c>
      <c r="H1388" s="11">
        <v>0.044</v>
      </c>
      <c r="I1388" s="11">
        <v>5876805.0</v>
      </c>
      <c r="J1388" s="11">
        <v>0.773</v>
      </c>
      <c r="K1388" s="12" t="s">
        <v>185</v>
      </c>
      <c r="L1388" s="5" t="s">
        <v>77</v>
      </c>
      <c r="M1388" s="9" t="s">
        <v>69</v>
      </c>
    </row>
    <row r="1389">
      <c r="A1389" s="11">
        <v>1388.0</v>
      </c>
      <c r="B1389" s="11">
        <v>0.022</v>
      </c>
      <c r="C1389" s="11">
        <v>0.015</v>
      </c>
      <c r="D1389" s="11">
        <v>77.0</v>
      </c>
      <c r="E1389" s="11">
        <v>73.0</v>
      </c>
      <c r="F1389" s="11">
        <v>0.295</v>
      </c>
      <c r="G1389" s="11">
        <v>0.659</v>
      </c>
      <c r="H1389" s="11">
        <v>0.045</v>
      </c>
      <c r="I1389" s="11">
        <v>5964325.0</v>
      </c>
      <c r="J1389" s="11">
        <v>0.775</v>
      </c>
      <c r="K1389" s="12" t="s">
        <v>185</v>
      </c>
      <c r="L1389" s="5" t="s">
        <v>77</v>
      </c>
      <c r="M1389" s="9" t="s">
        <v>70</v>
      </c>
    </row>
    <row r="1390">
      <c r="A1390" s="11">
        <v>1389.0</v>
      </c>
      <c r="B1390" s="11">
        <v>0.022</v>
      </c>
      <c r="C1390" s="11">
        <v>0.014</v>
      </c>
      <c r="D1390" s="11">
        <v>77.0</v>
      </c>
      <c r="E1390" s="11">
        <v>73.0</v>
      </c>
      <c r="F1390" s="11">
        <v>0.294</v>
      </c>
      <c r="G1390" s="11">
        <v>0.66</v>
      </c>
      <c r="H1390" s="11">
        <v>0.046</v>
      </c>
      <c r="I1390" s="11">
        <v>6040612.0</v>
      </c>
      <c r="J1390" s="11">
        <v>0.776</v>
      </c>
      <c r="K1390" s="12" t="s">
        <v>185</v>
      </c>
      <c r="L1390" s="5" t="s">
        <v>77</v>
      </c>
      <c r="M1390" s="9" t="s">
        <v>71</v>
      </c>
    </row>
    <row r="1391">
      <c r="A1391" s="11">
        <v>1390.0</v>
      </c>
      <c r="B1391" s="11">
        <v>0.022</v>
      </c>
      <c r="C1391" s="11">
        <v>0.014</v>
      </c>
      <c r="D1391" s="11">
        <v>77.0</v>
      </c>
      <c r="E1391" s="11">
        <v>73.0</v>
      </c>
      <c r="F1391" s="11">
        <v>0.294</v>
      </c>
      <c r="G1391" s="11">
        <v>0.659</v>
      </c>
      <c r="H1391" s="11">
        <v>0.046</v>
      </c>
      <c r="I1391" s="11">
        <v>6103233.0</v>
      </c>
      <c r="J1391" s="11">
        <v>0.778</v>
      </c>
      <c r="K1391" s="12" t="s">
        <v>185</v>
      </c>
      <c r="L1391" s="5" t="s">
        <v>77</v>
      </c>
      <c r="M1391" s="9" t="s">
        <v>72</v>
      </c>
    </row>
    <row r="1392">
      <c r="A1392" s="11">
        <v>1391.0</v>
      </c>
      <c r="B1392" s="11">
        <v>0.021</v>
      </c>
      <c r="C1392" s="11">
        <v>0.013</v>
      </c>
      <c r="D1392" s="11">
        <v>77.0</v>
      </c>
      <c r="E1392" s="11">
        <v>73.0</v>
      </c>
      <c r="F1392" s="11">
        <v>0.295</v>
      </c>
      <c r="G1392" s="11">
        <v>0.658</v>
      </c>
      <c r="H1392" s="11">
        <v>0.047</v>
      </c>
      <c r="I1392" s="11">
        <v>6154623.0</v>
      </c>
      <c r="J1392" s="11">
        <v>0.78</v>
      </c>
      <c r="K1392" s="12" t="s">
        <v>185</v>
      </c>
      <c r="L1392" s="5" t="s">
        <v>77</v>
      </c>
      <c r="M1392" s="9" t="s">
        <v>73</v>
      </c>
    </row>
    <row r="1393">
      <c r="A1393" s="11">
        <v>1392.0</v>
      </c>
      <c r="B1393" s="11">
        <v>0.013</v>
      </c>
      <c r="C1393" s="8"/>
      <c r="D1393" s="11">
        <v>80.0</v>
      </c>
      <c r="E1393" s="11">
        <v>74.0</v>
      </c>
      <c r="F1393" s="8"/>
      <c r="G1393" s="8"/>
      <c r="H1393" s="8"/>
      <c r="I1393" s="11">
        <v>33093.0</v>
      </c>
      <c r="J1393" s="11">
        <v>0.151</v>
      </c>
      <c r="K1393" s="12" t="s">
        <v>186</v>
      </c>
      <c r="L1393" s="5" t="s">
        <v>75</v>
      </c>
      <c r="M1393" s="9" t="s">
        <v>60</v>
      </c>
    </row>
    <row r="1394">
      <c r="A1394" s="11">
        <v>1393.0</v>
      </c>
      <c r="B1394" s="11">
        <v>0.012</v>
      </c>
      <c r="C1394" s="8"/>
      <c r="D1394" s="11">
        <v>82.0</v>
      </c>
      <c r="E1394" s="11">
        <v>76.0</v>
      </c>
      <c r="F1394" s="8"/>
      <c r="G1394" s="8"/>
      <c r="H1394" s="8"/>
      <c r="I1394" s="11">
        <v>33475.0</v>
      </c>
      <c r="J1394" s="11">
        <v>0.15</v>
      </c>
      <c r="K1394" s="12" t="s">
        <v>186</v>
      </c>
      <c r="L1394" s="5" t="s">
        <v>75</v>
      </c>
      <c r="M1394" s="9" t="s">
        <v>62</v>
      </c>
    </row>
    <row r="1395">
      <c r="A1395" s="11">
        <v>1394.0</v>
      </c>
      <c r="B1395" s="11">
        <v>0.012</v>
      </c>
      <c r="C1395" s="8"/>
      <c r="D1395" s="11">
        <v>82.0</v>
      </c>
      <c r="E1395" s="11">
        <v>77.0</v>
      </c>
      <c r="F1395" s="8"/>
      <c r="G1395" s="8"/>
      <c r="H1395" s="8"/>
      <c r="I1395" s="11">
        <v>33821.0</v>
      </c>
      <c r="J1395" s="11">
        <v>0.149</v>
      </c>
      <c r="K1395" s="12" t="s">
        <v>186</v>
      </c>
      <c r="L1395" s="5" t="s">
        <v>75</v>
      </c>
      <c r="M1395" s="9" t="s">
        <v>63</v>
      </c>
    </row>
    <row r="1396">
      <c r="A1396" s="11">
        <v>1395.0</v>
      </c>
      <c r="B1396" s="11">
        <v>0.01</v>
      </c>
      <c r="C1396" s="8"/>
      <c r="D1396" s="11">
        <v>82.0</v>
      </c>
      <c r="E1396" s="11">
        <v>78.0</v>
      </c>
      <c r="F1396" s="8"/>
      <c r="G1396" s="8"/>
      <c r="H1396" s="8"/>
      <c r="I1396" s="11">
        <v>34141.0</v>
      </c>
      <c r="J1396" s="11">
        <v>0.149</v>
      </c>
      <c r="K1396" s="12" t="s">
        <v>186</v>
      </c>
      <c r="L1396" s="5" t="s">
        <v>75</v>
      </c>
      <c r="M1396" s="9" t="s">
        <v>64</v>
      </c>
    </row>
    <row r="1397">
      <c r="A1397" s="11">
        <v>1396.0</v>
      </c>
      <c r="B1397" s="11">
        <v>0.011</v>
      </c>
      <c r="C1397" s="8"/>
      <c r="D1397" s="11">
        <v>85.0</v>
      </c>
      <c r="E1397" s="11">
        <v>79.0</v>
      </c>
      <c r="F1397" s="8"/>
      <c r="G1397" s="8"/>
      <c r="H1397" s="8"/>
      <c r="I1397" s="11">
        <v>34445.0</v>
      </c>
      <c r="J1397" s="11">
        <v>0.148</v>
      </c>
      <c r="K1397" s="12" t="s">
        <v>186</v>
      </c>
      <c r="L1397" s="5" t="s">
        <v>75</v>
      </c>
      <c r="M1397" s="9" t="s">
        <v>65</v>
      </c>
    </row>
    <row r="1398">
      <c r="A1398" s="11">
        <v>1397.0</v>
      </c>
      <c r="B1398" s="11">
        <v>0.011</v>
      </c>
      <c r="C1398" s="8"/>
      <c r="D1398" s="11">
        <v>84.0</v>
      </c>
      <c r="E1398" s="11">
        <v>77.0</v>
      </c>
      <c r="F1398" s="8"/>
      <c r="G1398" s="8"/>
      <c r="H1398" s="8"/>
      <c r="I1398" s="11">
        <v>34740.0</v>
      </c>
      <c r="J1398" s="11">
        <v>0.147</v>
      </c>
      <c r="K1398" s="12" t="s">
        <v>186</v>
      </c>
      <c r="L1398" s="5" t="s">
        <v>75</v>
      </c>
      <c r="M1398" s="9" t="s">
        <v>66</v>
      </c>
    </row>
    <row r="1399">
      <c r="A1399" s="11">
        <v>1398.0</v>
      </c>
      <c r="B1399" s="11">
        <v>0.01</v>
      </c>
      <c r="C1399" s="8"/>
      <c r="D1399" s="11">
        <v>83.0</v>
      </c>
      <c r="E1399" s="11">
        <v>79.0</v>
      </c>
      <c r="F1399" s="8"/>
      <c r="G1399" s="8"/>
      <c r="H1399" s="8"/>
      <c r="I1399" s="11">
        <v>35028.0</v>
      </c>
      <c r="J1399" s="11">
        <v>0.147</v>
      </c>
      <c r="K1399" s="12" t="s">
        <v>186</v>
      </c>
      <c r="L1399" s="5" t="s">
        <v>75</v>
      </c>
      <c r="M1399" s="9" t="s">
        <v>67</v>
      </c>
    </row>
    <row r="1400">
      <c r="A1400" s="11">
        <v>1399.0</v>
      </c>
      <c r="B1400" s="11">
        <v>0.01</v>
      </c>
      <c r="C1400" s="8"/>
      <c r="D1400" s="11">
        <v>84.0</v>
      </c>
      <c r="E1400" s="11">
        <v>79.0</v>
      </c>
      <c r="F1400" s="8"/>
      <c r="G1400" s="8"/>
      <c r="H1400" s="8"/>
      <c r="I1400" s="11">
        <v>35308.0</v>
      </c>
      <c r="J1400" s="11">
        <v>0.146</v>
      </c>
      <c r="K1400" s="12" t="s">
        <v>186</v>
      </c>
      <c r="L1400" s="5" t="s">
        <v>75</v>
      </c>
      <c r="M1400" s="9" t="s">
        <v>68</v>
      </c>
    </row>
    <row r="1401">
      <c r="A1401" s="11">
        <v>1400.0</v>
      </c>
      <c r="B1401" s="11">
        <v>0.01</v>
      </c>
      <c r="C1401" s="8"/>
      <c r="D1401" s="11">
        <v>86.0</v>
      </c>
      <c r="E1401" s="11">
        <v>80.0</v>
      </c>
      <c r="F1401" s="8"/>
      <c r="G1401" s="8"/>
      <c r="H1401" s="8"/>
      <c r="I1401" s="11">
        <v>35582.0</v>
      </c>
      <c r="J1401" s="11">
        <v>0.146</v>
      </c>
      <c r="K1401" s="12" t="s">
        <v>186</v>
      </c>
      <c r="L1401" s="5" t="s">
        <v>75</v>
      </c>
      <c r="M1401" s="9" t="s">
        <v>69</v>
      </c>
    </row>
    <row r="1402">
      <c r="A1402" s="11">
        <v>1401.0</v>
      </c>
      <c r="B1402" s="11">
        <v>0.011</v>
      </c>
      <c r="C1402" s="8"/>
      <c r="D1402" s="11">
        <v>84.0</v>
      </c>
      <c r="E1402" s="11">
        <v>80.0</v>
      </c>
      <c r="F1402" s="8"/>
      <c r="G1402" s="8"/>
      <c r="H1402" s="8"/>
      <c r="I1402" s="11">
        <v>35851.0</v>
      </c>
      <c r="J1402" s="11">
        <v>0.145</v>
      </c>
      <c r="K1402" s="12" t="s">
        <v>186</v>
      </c>
      <c r="L1402" s="5" t="s">
        <v>75</v>
      </c>
      <c r="M1402" s="9" t="s">
        <v>70</v>
      </c>
    </row>
    <row r="1403">
      <c r="A1403" s="11">
        <v>1402.0</v>
      </c>
      <c r="B1403" s="11">
        <v>0.009</v>
      </c>
      <c r="C1403" s="8"/>
      <c r="D1403" s="11">
        <v>84.0</v>
      </c>
      <c r="E1403" s="11">
        <v>80.0</v>
      </c>
      <c r="F1403" s="8"/>
      <c r="G1403" s="8"/>
      <c r="H1403" s="8"/>
      <c r="I1403" s="11">
        <v>36120.0</v>
      </c>
      <c r="J1403" s="11">
        <v>0.145</v>
      </c>
      <c r="K1403" s="12" t="s">
        <v>186</v>
      </c>
      <c r="L1403" s="5" t="s">
        <v>75</v>
      </c>
      <c r="M1403" s="9" t="s">
        <v>71</v>
      </c>
    </row>
    <row r="1404">
      <c r="A1404" s="11">
        <v>1403.0</v>
      </c>
      <c r="B1404" s="11">
        <v>0.011</v>
      </c>
      <c r="C1404" s="8"/>
      <c r="D1404" s="11">
        <v>84.0</v>
      </c>
      <c r="E1404" s="11">
        <v>80.0</v>
      </c>
      <c r="F1404" s="8"/>
      <c r="G1404" s="8"/>
      <c r="H1404" s="8"/>
      <c r="I1404" s="11">
        <v>36388.0</v>
      </c>
      <c r="J1404" s="11">
        <v>0.144</v>
      </c>
      <c r="K1404" s="12" t="s">
        <v>186</v>
      </c>
      <c r="L1404" s="5" t="s">
        <v>75</v>
      </c>
      <c r="M1404" s="9" t="s">
        <v>72</v>
      </c>
    </row>
    <row r="1405">
      <c r="A1405" s="11">
        <v>1404.0</v>
      </c>
      <c r="B1405" s="11">
        <v>0.01</v>
      </c>
      <c r="C1405" s="8"/>
      <c r="D1405" s="11">
        <v>85.0</v>
      </c>
      <c r="E1405" s="11">
        <v>80.0</v>
      </c>
      <c r="F1405" s="8"/>
      <c r="G1405" s="8"/>
      <c r="H1405" s="8"/>
      <c r="I1405" s="11">
        <v>36656.0</v>
      </c>
      <c r="J1405" s="11">
        <v>0.144</v>
      </c>
      <c r="K1405" s="12" t="s">
        <v>186</v>
      </c>
      <c r="L1405" s="5" t="s">
        <v>75</v>
      </c>
      <c r="M1405" s="9" t="s">
        <v>73</v>
      </c>
    </row>
    <row r="1406">
      <c r="A1406" s="11">
        <v>1405.0</v>
      </c>
      <c r="B1406" s="11">
        <v>0.01</v>
      </c>
      <c r="C1406" s="11">
        <v>0.01</v>
      </c>
      <c r="D1406" s="11">
        <v>78.0</v>
      </c>
      <c r="E1406" s="11">
        <v>67.0</v>
      </c>
      <c r="F1406" s="11">
        <v>0.199</v>
      </c>
      <c r="G1406" s="11">
        <v>0.662</v>
      </c>
      <c r="H1406" s="11">
        <v>0.139</v>
      </c>
      <c r="I1406" s="11">
        <v>3499536.0</v>
      </c>
      <c r="J1406" s="11">
        <v>0.67</v>
      </c>
      <c r="K1406" s="12" t="s">
        <v>187</v>
      </c>
      <c r="L1406" s="5" t="s">
        <v>75</v>
      </c>
      <c r="M1406" s="9" t="s">
        <v>60</v>
      </c>
    </row>
    <row r="1407">
      <c r="A1407" s="11">
        <v>1406.0</v>
      </c>
      <c r="B1407" s="11">
        <v>0.009</v>
      </c>
      <c r="C1407" s="11">
        <v>0.009</v>
      </c>
      <c r="D1407" s="11">
        <v>78.0</v>
      </c>
      <c r="E1407" s="11">
        <v>66.0</v>
      </c>
      <c r="F1407" s="11">
        <v>0.193</v>
      </c>
      <c r="G1407" s="11">
        <v>0.665</v>
      </c>
      <c r="H1407" s="11">
        <v>0.142</v>
      </c>
      <c r="I1407" s="11">
        <v>3470818.0</v>
      </c>
      <c r="J1407" s="11">
        <v>0.669</v>
      </c>
      <c r="K1407" s="12" t="s">
        <v>187</v>
      </c>
      <c r="L1407" s="5" t="s">
        <v>75</v>
      </c>
      <c r="M1407" s="9" t="s">
        <v>62</v>
      </c>
    </row>
    <row r="1408">
      <c r="A1408" s="11">
        <v>1407.0</v>
      </c>
      <c r="B1408" s="11">
        <v>0.009</v>
      </c>
      <c r="C1408" s="11">
        <v>0.009</v>
      </c>
      <c r="D1408" s="11">
        <v>78.0</v>
      </c>
      <c r="E1408" s="11">
        <v>66.0</v>
      </c>
      <c r="F1408" s="11">
        <v>0.187</v>
      </c>
      <c r="G1408" s="11">
        <v>0.669</v>
      </c>
      <c r="H1408" s="11">
        <v>0.144</v>
      </c>
      <c r="I1408" s="11">
        <v>3443067.0</v>
      </c>
      <c r="J1408" s="11">
        <v>0.668</v>
      </c>
      <c r="K1408" s="12" t="s">
        <v>187</v>
      </c>
      <c r="L1408" s="5" t="s">
        <v>75</v>
      </c>
      <c r="M1408" s="9" t="s">
        <v>63</v>
      </c>
    </row>
    <row r="1409">
      <c r="A1409" s="11">
        <v>1408.0</v>
      </c>
      <c r="B1409" s="11">
        <v>0.009</v>
      </c>
      <c r="C1409" s="11">
        <v>0.009</v>
      </c>
      <c r="D1409" s="11">
        <v>78.0</v>
      </c>
      <c r="E1409" s="11">
        <v>67.0</v>
      </c>
      <c r="F1409" s="11">
        <v>0.18</v>
      </c>
      <c r="G1409" s="11">
        <v>0.673</v>
      </c>
      <c r="H1409" s="11">
        <v>0.147</v>
      </c>
      <c r="I1409" s="11">
        <v>3415213.0</v>
      </c>
      <c r="J1409" s="11">
        <v>0.667</v>
      </c>
      <c r="K1409" s="12" t="s">
        <v>187</v>
      </c>
      <c r="L1409" s="5" t="s">
        <v>75</v>
      </c>
      <c r="M1409" s="9" t="s">
        <v>64</v>
      </c>
    </row>
    <row r="1410">
      <c r="A1410" s="11">
        <v>1409.0</v>
      </c>
      <c r="B1410" s="11">
        <v>0.009</v>
      </c>
      <c r="C1410" s="11">
        <v>0.008</v>
      </c>
      <c r="D1410" s="11">
        <v>78.0</v>
      </c>
      <c r="E1410" s="11">
        <v>66.0</v>
      </c>
      <c r="F1410" s="11">
        <v>0.173</v>
      </c>
      <c r="G1410" s="11">
        <v>0.677</v>
      </c>
      <c r="H1410" s="11">
        <v>0.15</v>
      </c>
      <c r="I1410" s="11">
        <v>3377075.0</v>
      </c>
      <c r="J1410" s="11">
        <v>0.666</v>
      </c>
      <c r="K1410" s="12" t="s">
        <v>187</v>
      </c>
      <c r="L1410" s="5" t="s">
        <v>75</v>
      </c>
      <c r="M1410" s="9" t="s">
        <v>65</v>
      </c>
    </row>
    <row r="1411">
      <c r="A1411" s="11">
        <v>1410.0</v>
      </c>
      <c r="B1411" s="11">
        <v>0.009</v>
      </c>
      <c r="C1411" s="11">
        <v>0.008</v>
      </c>
      <c r="D1411" s="11">
        <v>77.0</v>
      </c>
      <c r="E1411" s="11">
        <v>65.0</v>
      </c>
      <c r="F1411" s="11">
        <v>0.167</v>
      </c>
      <c r="G1411" s="11">
        <v>0.681</v>
      </c>
      <c r="H1411" s="11">
        <v>0.151</v>
      </c>
      <c r="I1411" s="11">
        <v>3322528.0</v>
      </c>
      <c r="J1411" s="11">
        <v>0.666</v>
      </c>
      <c r="K1411" s="12" t="s">
        <v>187</v>
      </c>
      <c r="L1411" s="5" t="s">
        <v>75</v>
      </c>
      <c r="M1411" s="9" t="s">
        <v>66</v>
      </c>
    </row>
    <row r="1412">
      <c r="A1412" s="11">
        <v>1411.0</v>
      </c>
      <c r="B1412" s="11">
        <v>0.01</v>
      </c>
      <c r="C1412" s="11">
        <v>0.008</v>
      </c>
      <c r="D1412" s="11">
        <v>77.0</v>
      </c>
      <c r="E1412" s="11">
        <v>65.0</v>
      </c>
      <c r="F1412" s="11">
        <v>0.163</v>
      </c>
      <c r="G1412" s="11">
        <v>0.685</v>
      </c>
      <c r="H1412" s="11">
        <v>0.153</v>
      </c>
      <c r="I1412" s="11">
        <v>3269909.0</v>
      </c>
      <c r="J1412" s="11">
        <v>0.667</v>
      </c>
      <c r="K1412" s="12" t="s">
        <v>187</v>
      </c>
      <c r="L1412" s="5" t="s">
        <v>75</v>
      </c>
      <c r="M1412" s="9" t="s">
        <v>67</v>
      </c>
    </row>
    <row r="1413">
      <c r="A1413" s="11">
        <v>1412.0</v>
      </c>
      <c r="B1413" s="11">
        <v>0.01</v>
      </c>
      <c r="C1413" s="11">
        <v>0.007</v>
      </c>
      <c r="D1413" s="11">
        <v>77.0</v>
      </c>
      <c r="E1413" s="11">
        <v>65.0</v>
      </c>
      <c r="F1413" s="11">
        <v>0.159</v>
      </c>
      <c r="G1413" s="11">
        <v>0.688</v>
      </c>
      <c r="H1413" s="11">
        <v>0.154</v>
      </c>
      <c r="I1413" s="11">
        <v>3231294.0</v>
      </c>
      <c r="J1413" s="11">
        <v>0.668</v>
      </c>
      <c r="K1413" s="12" t="s">
        <v>187</v>
      </c>
      <c r="L1413" s="5" t="s">
        <v>75</v>
      </c>
      <c r="M1413" s="9" t="s">
        <v>68</v>
      </c>
    </row>
    <row r="1414">
      <c r="A1414" s="11">
        <v>1413.0</v>
      </c>
      <c r="B1414" s="11">
        <v>0.011</v>
      </c>
      <c r="C1414" s="11">
        <v>0.007</v>
      </c>
      <c r="D1414" s="11">
        <v>78.0</v>
      </c>
      <c r="E1414" s="11">
        <v>66.0</v>
      </c>
      <c r="F1414" s="11">
        <v>0.156</v>
      </c>
      <c r="G1414" s="11">
        <v>0.69</v>
      </c>
      <c r="H1414" s="11">
        <v>0.154</v>
      </c>
      <c r="I1414" s="11">
        <v>3198231.0</v>
      </c>
      <c r="J1414" s="11">
        <v>0.668</v>
      </c>
      <c r="K1414" s="12" t="s">
        <v>187</v>
      </c>
      <c r="L1414" s="5" t="s">
        <v>75</v>
      </c>
      <c r="M1414" s="9" t="s">
        <v>69</v>
      </c>
    </row>
    <row r="1415">
      <c r="A1415" s="11">
        <v>1414.0</v>
      </c>
      <c r="B1415" s="11">
        <v>0.012</v>
      </c>
      <c r="C1415" s="11">
        <v>0.006</v>
      </c>
      <c r="D1415" s="11">
        <v>79.0</v>
      </c>
      <c r="E1415" s="11">
        <v>68.0</v>
      </c>
      <c r="F1415" s="11">
        <v>0.154</v>
      </c>
      <c r="G1415" s="11">
        <v>0.692</v>
      </c>
      <c r="H1415" s="11">
        <v>0.155</v>
      </c>
      <c r="I1415" s="11">
        <v>3162916.0</v>
      </c>
      <c r="J1415" s="11">
        <v>0.668</v>
      </c>
      <c r="K1415" s="12" t="s">
        <v>187</v>
      </c>
      <c r="L1415" s="5" t="s">
        <v>75</v>
      </c>
      <c r="M1415" s="9" t="s">
        <v>70</v>
      </c>
    </row>
    <row r="1416">
      <c r="A1416" s="11">
        <v>1415.0</v>
      </c>
      <c r="B1416" s="11">
        <v>0.012</v>
      </c>
      <c r="C1416" s="11">
        <v>0.006</v>
      </c>
      <c r="D1416" s="11">
        <v>79.0</v>
      </c>
      <c r="E1416" s="11">
        <v>68.0</v>
      </c>
      <c r="F1416" s="11">
        <v>0.152</v>
      </c>
      <c r="G1416" s="11">
        <v>0.693</v>
      </c>
      <c r="H1416" s="11">
        <v>0.155</v>
      </c>
      <c r="I1416" s="11">
        <v>3097282.0</v>
      </c>
      <c r="J1416" s="11">
        <v>0.668</v>
      </c>
      <c r="K1416" s="12" t="s">
        <v>187</v>
      </c>
      <c r="L1416" s="5" t="s">
        <v>75</v>
      </c>
      <c r="M1416" s="9" t="s">
        <v>71</v>
      </c>
    </row>
    <row r="1417">
      <c r="A1417" s="11">
        <v>1416.0</v>
      </c>
      <c r="B1417" s="11">
        <v>0.011</v>
      </c>
      <c r="C1417" s="11">
        <v>0.005</v>
      </c>
      <c r="D1417" s="11">
        <v>79.0</v>
      </c>
      <c r="E1417" s="11">
        <v>68.0</v>
      </c>
      <c r="F1417" s="11">
        <v>0.151</v>
      </c>
      <c r="G1417" s="11">
        <v>0.693</v>
      </c>
      <c r="H1417" s="11">
        <v>0.155</v>
      </c>
      <c r="I1417" s="11">
        <v>3028115.0</v>
      </c>
      <c r="J1417" s="11">
        <v>0.667</v>
      </c>
      <c r="K1417" s="12" t="s">
        <v>187</v>
      </c>
      <c r="L1417" s="5" t="s">
        <v>75</v>
      </c>
      <c r="M1417" s="9" t="s">
        <v>72</v>
      </c>
    </row>
    <row r="1418">
      <c r="A1418" s="11">
        <v>1417.0</v>
      </c>
      <c r="B1418" s="11">
        <v>0.01</v>
      </c>
      <c r="C1418" s="11">
        <v>0.005</v>
      </c>
      <c r="D1418" s="11">
        <v>80.0</v>
      </c>
      <c r="E1418" s="11">
        <v>68.0</v>
      </c>
      <c r="F1418" s="11">
        <v>0.151</v>
      </c>
      <c r="G1418" s="11">
        <v>0.693</v>
      </c>
      <c r="H1418" s="11">
        <v>0.156</v>
      </c>
      <c r="I1418" s="11">
        <v>2987773.0</v>
      </c>
      <c r="J1418" s="11">
        <v>0.666</v>
      </c>
      <c r="K1418" s="12" t="s">
        <v>187</v>
      </c>
      <c r="L1418" s="5" t="s">
        <v>75</v>
      </c>
      <c r="M1418" s="9" t="s">
        <v>73</v>
      </c>
    </row>
    <row r="1419">
      <c r="A1419" s="11">
        <v>1418.0</v>
      </c>
      <c r="B1419" s="11">
        <v>0.013</v>
      </c>
      <c r="C1419" s="11">
        <v>0.004</v>
      </c>
      <c r="D1419" s="11">
        <v>81.0</v>
      </c>
      <c r="E1419" s="11">
        <v>75.0</v>
      </c>
      <c r="F1419" s="11">
        <v>0.189</v>
      </c>
      <c r="G1419" s="11">
        <v>0.67</v>
      </c>
      <c r="H1419" s="11">
        <v>0.141</v>
      </c>
      <c r="I1419" s="11">
        <v>436300.0</v>
      </c>
      <c r="J1419" s="11">
        <v>0.842</v>
      </c>
      <c r="K1419" s="12" t="s">
        <v>188</v>
      </c>
      <c r="L1419" s="5" t="s">
        <v>75</v>
      </c>
      <c r="M1419" s="9" t="s">
        <v>60</v>
      </c>
    </row>
    <row r="1420">
      <c r="A1420" s="11">
        <v>1419.0</v>
      </c>
      <c r="B1420" s="11">
        <v>0.012</v>
      </c>
      <c r="C1420" s="11">
        <v>0.004</v>
      </c>
      <c r="D1420" s="11">
        <v>81.0</v>
      </c>
      <c r="E1420" s="11">
        <v>75.0</v>
      </c>
      <c r="F1420" s="11">
        <v>0.19</v>
      </c>
      <c r="G1420" s="11">
        <v>0.669</v>
      </c>
      <c r="H1420" s="11">
        <v>0.142</v>
      </c>
      <c r="I1420" s="11">
        <v>441525.0</v>
      </c>
      <c r="J1420" s="11">
        <v>0.848</v>
      </c>
      <c r="K1420" s="12" t="s">
        <v>188</v>
      </c>
      <c r="L1420" s="5" t="s">
        <v>75</v>
      </c>
      <c r="M1420" s="9" t="s">
        <v>62</v>
      </c>
    </row>
    <row r="1421">
      <c r="A1421" s="11">
        <v>1420.0</v>
      </c>
      <c r="B1421" s="11">
        <v>0.012</v>
      </c>
      <c r="C1421" s="11">
        <v>0.003</v>
      </c>
      <c r="D1421" s="11">
        <v>82.0</v>
      </c>
      <c r="E1421" s="11">
        <v>75.0</v>
      </c>
      <c r="F1421" s="11">
        <v>0.189</v>
      </c>
      <c r="G1421" s="11">
        <v>0.668</v>
      </c>
      <c r="H1421" s="11">
        <v>0.143</v>
      </c>
      <c r="I1421" s="11">
        <v>446175.0</v>
      </c>
      <c r="J1421" s="11">
        <v>0.853</v>
      </c>
      <c r="K1421" s="12" t="s">
        <v>188</v>
      </c>
      <c r="L1421" s="5" t="s">
        <v>75</v>
      </c>
      <c r="M1421" s="9" t="s">
        <v>63</v>
      </c>
    </row>
    <row r="1422">
      <c r="A1422" s="11">
        <v>1421.0</v>
      </c>
      <c r="B1422" s="11">
        <v>0.012</v>
      </c>
      <c r="C1422" s="11">
        <v>0.003</v>
      </c>
      <c r="D1422" s="11">
        <v>81.0</v>
      </c>
      <c r="E1422" s="11">
        <v>75.0</v>
      </c>
      <c r="F1422" s="11">
        <v>0.189</v>
      </c>
      <c r="G1422" s="11">
        <v>0.668</v>
      </c>
      <c r="H1422" s="11">
        <v>0.144</v>
      </c>
      <c r="I1422" s="11">
        <v>451630.0</v>
      </c>
      <c r="J1422" s="11">
        <v>0.857</v>
      </c>
      <c r="K1422" s="12" t="s">
        <v>188</v>
      </c>
      <c r="L1422" s="5" t="s">
        <v>75</v>
      </c>
      <c r="M1422" s="9" t="s">
        <v>64</v>
      </c>
    </row>
    <row r="1423">
      <c r="A1423" s="11">
        <v>1422.0</v>
      </c>
      <c r="B1423" s="11">
        <v>0.012</v>
      </c>
      <c r="C1423" s="11">
        <v>0.003</v>
      </c>
      <c r="D1423" s="11">
        <v>82.0</v>
      </c>
      <c r="E1423" s="11">
        <v>76.0</v>
      </c>
      <c r="F1423" s="11">
        <v>0.188</v>
      </c>
      <c r="G1423" s="11">
        <v>0.668</v>
      </c>
      <c r="H1423" s="11">
        <v>0.144</v>
      </c>
      <c r="I1423" s="11">
        <v>458095.0</v>
      </c>
      <c r="J1423" s="11">
        <v>0.862</v>
      </c>
      <c r="K1423" s="12" t="s">
        <v>188</v>
      </c>
      <c r="L1423" s="5" t="s">
        <v>75</v>
      </c>
      <c r="M1423" s="9" t="s">
        <v>65</v>
      </c>
    </row>
    <row r="1424">
      <c r="A1424" s="11">
        <v>1423.0</v>
      </c>
      <c r="B1424" s="11">
        <v>0.012</v>
      </c>
      <c r="C1424" s="11">
        <v>0.003</v>
      </c>
      <c r="D1424" s="11">
        <v>82.0</v>
      </c>
      <c r="E1424" s="11">
        <v>77.0</v>
      </c>
      <c r="F1424" s="11">
        <v>0.186</v>
      </c>
      <c r="G1424" s="11">
        <v>0.67</v>
      </c>
      <c r="H1424" s="11">
        <v>0.144</v>
      </c>
      <c r="I1424" s="11">
        <v>465158.0</v>
      </c>
      <c r="J1424" s="11">
        <v>0.866</v>
      </c>
      <c r="K1424" s="12" t="s">
        <v>188</v>
      </c>
      <c r="L1424" s="5" t="s">
        <v>75</v>
      </c>
      <c r="M1424" s="9" t="s">
        <v>66</v>
      </c>
    </row>
    <row r="1425">
      <c r="A1425" s="11">
        <v>1424.0</v>
      </c>
      <c r="B1425" s="11">
        <v>0.012</v>
      </c>
      <c r="C1425" s="11">
        <v>0.003</v>
      </c>
      <c r="D1425" s="11">
        <v>82.0</v>
      </c>
      <c r="E1425" s="11">
        <v>77.0</v>
      </c>
      <c r="F1425" s="11">
        <v>0.184</v>
      </c>
      <c r="G1425" s="11">
        <v>0.672</v>
      </c>
      <c r="H1425" s="11">
        <v>0.144</v>
      </c>
      <c r="I1425" s="11">
        <v>472637.0</v>
      </c>
      <c r="J1425" s="11">
        <v>0.87</v>
      </c>
      <c r="K1425" s="12" t="s">
        <v>188</v>
      </c>
      <c r="L1425" s="5" t="s">
        <v>75</v>
      </c>
      <c r="M1425" s="9" t="s">
        <v>67</v>
      </c>
    </row>
    <row r="1426">
      <c r="A1426" s="11">
        <v>1425.0</v>
      </c>
      <c r="B1426" s="11">
        <v>0.011</v>
      </c>
      <c r="C1426" s="11">
        <v>0.002</v>
      </c>
      <c r="D1426" s="11">
        <v>82.0</v>
      </c>
      <c r="E1426" s="11">
        <v>77.0</v>
      </c>
      <c r="F1426" s="11">
        <v>0.182</v>
      </c>
      <c r="G1426" s="11">
        <v>0.675</v>
      </c>
      <c r="H1426" s="11">
        <v>0.143</v>
      </c>
      <c r="I1426" s="11">
        <v>479993.0</v>
      </c>
      <c r="J1426" s="11">
        <v>0.874</v>
      </c>
      <c r="K1426" s="12" t="s">
        <v>188</v>
      </c>
      <c r="L1426" s="5" t="s">
        <v>75</v>
      </c>
      <c r="M1426" s="9" t="s">
        <v>68</v>
      </c>
    </row>
    <row r="1427">
      <c r="A1427" s="11">
        <v>1426.0</v>
      </c>
      <c r="B1427" s="11">
        <v>0.012</v>
      </c>
      <c r="C1427" s="11">
        <v>0.002</v>
      </c>
      <c r="D1427" s="11">
        <v>83.0</v>
      </c>
      <c r="E1427" s="11">
        <v>78.0</v>
      </c>
      <c r="F1427" s="11">
        <v>0.18</v>
      </c>
      <c r="G1427" s="11">
        <v>0.679</v>
      </c>
      <c r="H1427" s="11">
        <v>0.141</v>
      </c>
      <c r="I1427" s="11">
        <v>488650.0</v>
      </c>
      <c r="J1427" s="11">
        <v>0.878</v>
      </c>
      <c r="K1427" s="12" t="s">
        <v>188</v>
      </c>
      <c r="L1427" s="5" t="s">
        <v>75</v>
      </c>
      <c r="M1427" s="9" t="s">
        <v>69</v>
      </c>
    </row>
    <row r="1428">
      <c r="A1428" s="11">
        <v>1427.0</v>
      </c>
      <c r="B1428" s="11">
        <v>0.011</v>
      </c>
      <c r="C1428" s="11">
        <v>0.002</v>
      </c>
      <c r="D1428" s="11">
        <v>83.0</v>
      </c>
      <c r="E1428" s="11">
        <v>78.0</v>
      </c>
      <c r="F1428" s="11">
        <v>0.178</v>
      </c>
      <c r="G1428" s="11">
        <v>0.682</v>
      </c>
      <c r="H1428" s="11">
        <v>0.14</v>
      </c>
      <c r="I1428" s="11">
        <v>497783.0</v>
      </c>
      <c r="J1428" s="11">
        <v>0.882</v>
      </c>
      <c r="K1428" s="12" t="s">
        <v>188</v>
      </c>
      <c r="L1428" s="5" t="s">
        <v>75</v>
      </c>
      <c r="M1428" s="9" t="s">
        <v>70</v>
      </c>
    </row>
    <row r="1429">
      <c r="A1429" s="11">
        <v>1428.0</v>
      </c>
      <c r="B1429" s="11">
        <v>0.012</v>
      </c>
      <c r="C1429" s="11">
        <v>0.002</v>
      </c>
      <c r="D1429" s="11">
        <v>84.0</v>
      </c>
      <c r="E1429" s="11">
        <v>78.0</v>
      </c>
      <c r="F1429" s="11">
        <v>0.176</v>
      </c>
      <c r="G1429" s="11">
        <v>0.684</v>
      </c>
      <c r="H1429" s="11">
        <v>0.14</v>
      </c>
      <c r="I1429" s="11">
        <v>506953.0</v>
      </c>
      <c r="J1429" s="11">
        <v>0.885</v>
      </c>
      <c r="K1429" s="12" t="s">
        <v>188</v>
      </c>
      <c r="L1429" s="5" t="s">
        <v>75</v>
      </c>
      <c r="M1429" s="9" t="s">
        <v>71</v>
      </c>
    </row>
    <row r="1430">
      <c r="A1430" s="11">
        <v>1429.0</v>
      </c>
      <c r="B1430" s="11">
        <v>0.011</v>
      </c>
      <c r="C1430" s="11">
        <v>0.002</v>
      </c>
      <c r="D1430" s="11">
        <v>84.0</v>
      </c>
      <c r="E1430" s="11">
        <v>79.0</v>
      </c>
      <c r="F1430" s="11">
        <v>0.175</v>
      </c>
      <c r="G1430" s="11">
        <v>0.685</v>
      </c>
      <c r="H1430" s="11">
        <v>0.14</v>
      </c>
      <c r="I1430" s="11">
        <v>518347.0</v>
      </c>
      <c r="J1430" s="11">
        <v>0.889</v>
      </c>
      <c r="K1430" s="12" t="s">
        <v>188</v>
      </c>
      <c r="L1430" s="5" t="s">
        <v>75</v>
      </c>
      <c r="M1430" s="9" t="s">
        <v>72</v>
      </c>
    </row>
    <row r="1431">
      <c r="A1431" s="11">
        <v>1430.0</v>
      </c>
      <c r="B1431" s="11">
        <v>0.011</v>
      </c>
      <c r="C1431" s="11">
        <v>0.002</v>
      </c>
      <c r="D1431" s="11">
        <v>84.0</v>
      </c>
      <c r="E1431" s="11">
        <v>79.0</v>
      </c>
      <c r="F1431" s="11">
        <v>0.175</v>
      </c>
      <c r="G1431" s="11">
        <v>0.685</v>
      </c>
      <c r="H1431" s="11">
        <v>0.141</v>
      </c>
      <c r="I1431" s="11">
        <v>530946.0</v>
      </c>
      <c r="J1431" s="11">
        <v>0.892</v>
      </c>
      <c r="K1431" s="12" t="s">
        <v>188</v>
      </c>
      <c r="L1431" s="5" t="s">
        <v>75</v>
      </c>
      <c r="M1431" s="9" t="s">
        <v>73</v>
      </c>
    </row>
    <row r="1432">
      <c r="A1432" s="11">
        <v>1431.0</v>
      </c>
      <c r="B1432" s="11">
        <v>0.009</v>
      </c>
      <c r="C1432" s="8"/>
      <c r="D1432" s="11">
        <v>80.0</v>
      </c>
      <c r="E1432" s="11">
        <v>75.0</v>
      </c>
      <c r="F1432" s="11">
        <v>0.228</v>
      </c>
      <c r="G1432" s="11">
        <v>0.698</v>
      </c>
      <c r="H1432" s="11">
        <v>0.074</v>
      </c>
      <c r="I1432" s="11">
        <v>431907.0</v>
      </c>
      <c r="J1432" s="11">
        <v>1.0</v>
      </c>
      <c r="K1432" s="12" t="s">
        <v>189</v>
      </c>
      <c r="L1432" s="5" t="s">
        <v>61</v>
      </c>
      <c r="M1432" s="9" t="s">
        <v>60</v>
      </c>
    </row>
    <row r="1433">
      <c r="A1433" s="11">
        <v>1432.0</v>
      </c>
      <c r="B1433" s="11">
        <v>0.008</v>
      </c>
      <c r="C1433" s="8"/>
      <c r="D1433" s="11">
        <v>80.0</v>
      </c>
      <c r="E1433" s="11">
        <v>76.0</v>
      </c>
      <c r="F1433" s="11">
        <v>0.219</v>
      </c>
      <c r="G1433" s="11">
        <v>0.708</v>
      </c>
      <c r="H1433" s="11">
        <v>0.074</v>
      </c>
      <c r="I1433" s="11">
        <v>438080.0</v>
      </c>
      <c r="J1433" s="11">
        <v>1.0</v>
      </c>
      <c r="K1433" s="12" t="s">
        <v>189</v>
      </c>
      <c r="L1433" s="5" t="s">
        <v>61</v>
      </c>
      <c r="M1433" s="9" t="s">
        <v>62</v>
      </c>
    </row>
    <row r="1434">
      <c r="A1434" s="11">
        <v>1433.0</v>
      </c>
      <c r="B1434" s="11">
        <v>0.008</v>
      </c>
      <c r="C1434" s="8"/>
      <c r="D1434" s="11">
        <v>80.0</v>
      </c>
      <c r="E1434" s="11">
        <v>76.0</v>
      </c>
      <c r="F1434" s="11">
        <v>0.208</v>
      </c>
      <c r="G1434" s="11">
        <v>0.718</v>
      </c>
      <c r="H1434" s="11">
        <v>0.074</v>
      </c>
      <c r="I1434" s="11">
        <v>444150.0</v>
      </c>
      <c r="J1434" s="11">
        <v>1.0</v>
      </c>
      <c r="K1434" s="12" t="s">
        <v>189</v>
      </c>
      <c r="L1434" s="5" t="s">
        <v>61</v>
      </c>
      <c r="M1434" s="9" t="s">
        <v>63</v>
      </c>
    </row>
    <row r="1435">
      <c r="A1435" s="11">
        <v>1434.0</v>
      </c>
      <c r="B1435" s="11">
        <v>0.008</v>
      </c>
      <c r="C1435" s="8"/>
      <c r="D1435" s="11">
        <v>81.0</v>
      </c>
      <c r="E1435" s="11">
        <v>76.0</v>
      </c>
      <c r="F1435" s="11">
        <v>0.197</v>
      </c>
      <c r="G1435" s="11">
        <v>0.73</v>
      </c>
      <c r="H1435" s="11">
        <v>0.074</v>
      </c>
      <c r="I1435" s="11">
        <v>450711.0</v>
      </c>
      <c r="J1435" s="11">
        <v>1.0</v>
      </c>
      <c r="K1435" s="12" t="s">
        <v>189</v>
      </c>
      <c r="L1435" s="5" t="s">
        <v>61</v>
      </c>
      <c r="M1435" s="9" t="s">
        <v>64</v>
      </c>
    </row>
    <row r="1436">
      <c r="A1436" s="11">
        <v>1435.0</v>
      </c>
      <c r="B1436" s="11">
        <v>0.008</v>
      </c>
      <c r="C1436" s="8"/>
      <c r="D1436" s="11">
        <v>81.0</v>
      </c>
      <c r="E1436" s="11">
        <v>76.0</v>
      </c>
      <c r="F1436" s="11">
        <v>0.185</v>
      </c>
      <c r="G1436" s="11">
        <v>0.742</v>
      </c>
      <c r="H1436" s="11">
        <v>0.074</v>
      </c>
      <c r="I1436" s="11">
        <v>458542.0</v>
      </c>
      <c r="J1436" s="11">
        <v>1.0</v>
      </c>
      <c r="K1436" s="12" t="s">
        <v>189</v>
      </c>
      <c r="L1436" s="5" t="s">
        <v>61</v>
      </c>
      <c r="M1436" s="9" t="s">
        <v>65</v>
      </c>
    </row>
    <row r="1437">
      <c r="A1437" s="11">
        <v>1436.0</v>
      </c>
      <c r="B1437" s="11">
        <v>0.008</v>
      </c>
      <c r="C1437" s="8"/>
      <c r="D1437" s="11">
        <v>81.0</v>
      </c>
      <c r="E1437" s="11">
        <v>76.0</v>
      </c>
      <c r="F1437" s="11">
        <v>0.173</v>
      </c>
      <c r="G1437" s="11">
        <v>0.754</v>
      </c>
      <c r="H1437" s="11">
        <v>0.073</v>
      </c>
      <c r="I1437" s="11">
        <v>468149.0</v>
      </c>
      <c r="J1437" s="11">
        <v>1.0</v>
      </c>
      <c r="K1437" s="12" t="s">
        <v>189</v>
      </c>
      <c r="L1437" s="5" t="s">
        <v>61</v>
      </c>
      <c r="M1437" s="9" t="s">
        <v>66</v>
      </c>
    </row>
    <row r="1438">
      <c r="A1438" s="11">
        <v>1437.0</v>
      </c>
      <c r="B1438" s="11">
        <v>0.008</v>
      </c>
      <c r="C1438" s="8"/>
      <c r="D1438" s="11">
        <v>81.0</v>
      </c>
      <c r="E1438" s="11">
        <v>77.0</v>
      </c>
      <c r="F1438" s="11">
        <v>0.161</v>
      </c>
      <c r="G1438" s="11">
        <v>0.766</v>
      </c>
      <c r="H1438" s="11">
        <v>0.072</v>
      </c>
      <c r="I1438" s="11">
        <v>479808.0</v>
      </c>
      <c r="J1438" s="11">
        <v>1.0</v>
      </c>
      <c r="K1438" s="12" t="s">
        <v>189</v>
      </c>
      <c r="L1438" s="5" t="s">
        <v>61</v>
      </c>
      <c r="M1438" s="9" t="s">
        <v>67</v>
      </c>
    </row>
    <row r="1439">
      <c r="A1439" s="11">
        <v>1438.0</v>
      </c>
      <c r="B1439" s="11">
        <v>0.008</v>
      </c>
      <c r="C1439" s="8"/>
      <c r="D1439" s="11">
        <v>82.0</v>
      </c>
      <c r="E1439" s="11">
        <v>77.0</v>
      </c>
      <c r="F1439" s="11">
        <v>0.15</v>
      </c>
      <c r="G1439" s="11">
        <v>0.778</v>
      </c>
      <c r="H1439" s="11">
        <v>0.071</v>
      </c>
      <c r="I1439" s="11">
        <v>493206.0</v>
      </c>
      <c r="J1439" s="11">
        <v>1.0</v>
      </c>
      <c r="K1439" s="12" t="s">
        <v>189</v>
      </c>
      <c r="L1439" s="5" t="s">
        <v>61</v>
      </c>
      <c r="M1439" s="9" t="s">
        <v>68</v>
      </c>
    </row>
    <row r="1440">
      <c r="A1440" s="11">
        <v>1439.0</v>
      </c>
      <c r="B1440" s="11">
        <v>0.009</v>
      </c>
      <c r="C1440" s="8"/>
      <c r="D1440" s="11">
        <v>82.0</v>
      </c>
      <c r="E1440" s="11">
        <v>77.0</v>
      </c>
      <c r="F1440" s="11">
        <v>0.141</v>
      </c>
      <c r="G1440" s="11">
        <v>0.788</v>
      </c>
      <c r="H1440" s="11">
        <v>0.071</v>
      </c>
      <c r="I1440" s="11">
        <v>507528.0</v>
      </c>
      <c r="J1440" s="11">
        <v>1.0</v>
      </c>
      <c r="K1440" s="12" t="s">
        <v>189</v>
      </c>
      <c r="L1440" s="5" t="s">
        <v>61</v>
      </c>
      <c r="M1440" s="9" t="s">
        <v>69</v>
      </c>
    </row>
    <row r="1441">
      <c r="A1441" s="11">
        <v>1440.0</v>
      </c>
      <c r="B1441" s="11">
        <v>0.009</v>
      </c>
      <c r="C1441" s="8"/>
      <c r="D1441" s="11">
        <v>82.0</v>
      </c>
      <c r="E1441" s="11">
        <v>77.0</v>
      </c>
      <c r="F1441" s="11">
        <v>0.133</v>
      </c>
      <c r="G1441" s="11">
        <v>0.796</v>
      </c>
      <c r="H1441" s="11">
        <v>0.071</v>
      </c>
      <c r="I1441" s="11">
        <v>521617.0</v>
      </c>
      <c r="J1441" s="11">
        <v>1.0</v>
      </c>
      <c r="K1441" s="12" t="s">
        <v>189</v>
      </c>
      <c r="L1441" s="5" t="s">
        <v>61</v>
      </c>
      <c r="M1441" s="9" t="s">
        <v>70</v>
      </c>
    </row>
    <row r="1442">
      <c r="A1442" s="11">
        <v>1441.0</v>
      </c>
      <c r="B1442" s="11">
        <v>0.009</v>
      </c>
      <c r="C1442" s="8"/>
      <c r="D1442" s="11">
        <v>82.0</v>
      </c>
      <c r="E1442" s="11">
        <v>77.0</v>
      </c>
      <c r="F1442" s="11">
        <v>0.127</v>
      </c>
      <c r="G1442" s="11">
        <v>0.801</v>
      </c>
      <c r="H1442" s="11">
        <v>0.072</v>
      </c>
      <c r="I1442" s="11">
        <v>534626.0</v>
      </c>
      <c r="J1442" s="11">
        <v>1.0</v>
      </c>
      <c r="K1442" s="12" t="s">
        <v>189</v>
      </c>
      <c r="L1442" s="5" t="s">
        <v>61</v>
      </c>
      <c r="M1442" s="9" t="s">
        <v>71</v>
      </c>
    </row>
    <row r="1443">
      <c r="A1443" s="11">
        <v>1442.0</v>
      </c>
      <c r="B1443" s="11">
        <v>0.01</v>
      </c>
      <c r="C1443" s="8"/>
      <c r="D1443" s="11">
        <v>82.0</v>
      </c>
      <c r="E1443" s="11">
        <v>78.0</v>
      </c>
      <c r="F1443" s="11">
        <v>0.124</v>
      </c>
      <c r="G1443" s="11">
        <v>0.802</v>
      </c>
      <c r="H1443" s="11">
        <v>0.074</v>
      </c>
      <c r="I1443" s="11">
        <v>546278.0</v>
      </c>
      <c r="J1443" s="11">
        <v>1.0</v>
      </c>
      <c r="K1443" s="12" t="s">
        <v>189</v>
      </c>
      <c r="L1443" s="5" t="s">
        <v>61</v>
      </c>
      <c r="M1443" s="9" t="s">
        <v>72</v>
      </c>
    </row>
    <row r="1444">
      <c r="A1444" s="11">
        <v>1443.0</v>
      </c>
      <c r="B1444" s="11">
        <v>0.01</v>
      </c>
      <c r="C1444" s="8"/>
      <c r="D1444" s="11">
        <v>82.0</v>
      </c>
      <c r="E1444" s="11">
        <v>78.0</v>
      </c>
      <c r="F1444" s="11">
        <v>0.122</v>
      </c>
      <c r="G1444" s="11">
        <v>0.8</v>
      </c>
      <c r="H1444" s="11">
        <v>0.077</v>
      </c>
      <c r="I1444" s="11">
        <v>556783.0</v>
      </c>
      <c r="J1444" s="11">
        <v>1.0</v>
      </c>
      <c r="K1444" s="12" t="s">
        <v>189</v>
      </c>
      <c r="L1444" s="5" t="s">
        <v>61</v>
      </c>
      <c r="M1444" s="9" t="s">
        <v>73</v>
      </c>
    </row>
    <row r="1445">
      <c r="A1445" s="11">
        <v>1444.0</v>
      </c>
      <c r="B1445" s="11">
        <v>0.041</v>
      </c>
      <c r="C1445" s="11">
        <v>0.071</v>
      </c>
      <c r="D1445" s="11">
        <v>60.0</v>
      </c>
      <c r="E1445" s="11">
        <v>57.0</v>
      </c>
      <c r="F1445" s="11">
        <v>0.455</v>
      </c>
      <c r="G1445" s="11">
        <v>0.515</v>
      </c>
      <c r="H1445" s="11">
        <v>0.03</v>
      </c>
      <c r="I1445" s="11">
        <v>1.5744811E7</v>
      </c>
      <c r="J1445" s="11">
        <v>0.271</v>
      </c>
      <c r="K1445" s="12" t="s">
        <v>190</v>
      </c>
      <c r="L1445" s="5" t="s">
        <v>77</v>
      </c>
      <c r="M1445" s="9" t="s">
        <v>60</v>
      </c>
    </row>
    <row r="1446">
      <c r="A1446" s="11">
        <v>1445.0</v>
      </c>
      <c r="B1446" s="11">
        <v>0.04</v>
      </c>
      <c r="C1446" s="11">
        <v>0.067</v>
      </c>
      <c r="D1446" s="11">
        <v>60.0</v>
      </c>
      <c r="E1446" s="11">
        <v>58.0</v>
      </c>
      <c r="F1446" s="11">
        <v>0.455</v>
      </c>
      <c r="G1446" s="11">
        <v>0.516</v>
      </c>
      <c r="H1446" s="11">
        <v>0.03</v>
      </c>
      <c r="I1446" s="11">
        <v>1.6235767E7</v>
      </c>
      <c r="J1446" s="11">
        <v>0.274</v>
      </c>
      <c r="K1446" s="12" t="s">
        <v>190</v>
      </c>
      <c r="L1446" s="5" t="s">
        <v>77</v>
      </c>
      <c r="M1446" s="9" t="s">
        <v>62</v>
      </c>
    </row>
    <row r="1447">
      <c r="A1447" s="11">
        <v>1446.0</v>
      </c>
      <c r="B1447" s="11">
        <v>0.04</v>
      </c>
      <c r="C1447" s="11">
        <v>0.064</v>
      </c>
      <c r="D1447" s="11">
        <v>61.0</v>
      </c>
      <c r="E1447" s="11">
        <v>59.0</v>
      </c>
      <c r="F1447" s="11">
        <v>0.454</v>
      </c>
      <c r="G1447" s="11">
        <v>0.517</v>
      </c>
      <c r="H1447" s="11">
        <v>0.03</v>
      </c>
      <c r="I1447" s="11">
        <v>1.6736029E7</v>
      </c>
      <c r="J1447" s="11">
        <v>0.277</v>
      </c>
      <c r="K1447" s="12" t="s">
        <v>190</v>
      </c>
      <c r="L1447" s="5" t="s">
        <v>77</v>
      </c>
      <c r="M1447" s="9" t="s">
        <v>63</v>
      </c>
    </row>
    <row r="1448">
      <c r="A1448" s="11">
        <v>1447.0</v>
      </c>
      <c r="B1448" s="11">
        <v>0.039</v>
      </c>
      <c r="C1448" s="11">
        <v>0.061</v>
      </c>
      <c r="D1448" s="11">
        <v>62.0</v>
      </c>
      <c r="E1448" s="11">
        <v>59.0</v>
      </c>
      <c r="F1448" s="11">
        <v>0.452</v>
      </c>
      <c r="G1448" s="11">
        <v>0.518</v>
      </c>
      <c r="H1448" s="11">
        <v>0.029</v>
      </c>
      <c r="I1448" s="11">
        <v>1.7245275E7</v>
      </c>
      <c r="J1448" s="11">
        <v>0.279</v>
      </c>
      <c r="K1448" s="12" t="s">
        <v>190</v>
      </c>
      <c r="L1448" s="5" t="s">
        <v>77</v>
      </c>
      <c r="M1448" s="9" t="s">
        <v>64</v>
      </c>
    </row>
    <row r="1449">
      <c r="A1449" s="11">
        <v>1448.0</v>
      </c>
      <c r="B1449" s="11">
        <v>0.038</v>
      </c>
      <c r="C1449" s="11">
        <v>0.058</v>
      </c>
      <c r="D1449" s="11">
        <v>62.0</v>
      </c>
      <c r="E1449" s="11">
        <v>59.0</v>
      </c>
      <c r="F1449" s="11">
        <v>0.45</v>
      </c>
      <c r="G1449" s="11">
        <v>0.52</v>
      </c>
      <c r="H1449" s="11">
        <v>0.029</v>
      </c>
      <c r="I1449" s="11">
        <v>1.7763367E7</v>
      </c>
      <c r="J1449" s="11">
        <v>0.282</v>
      </c>
      <c r="K1449" s="12" t="s">
        <v>190</v>
      </c>
      <c r="L1449" s="5" t="s">
        <v>77</v>
      </c>
      <c r="M1449" s="9" t="s">
        <v>65</v>
      </c>
    </row>
    <row r="1450">
      <c r="A1450" s="11">
        <v>1449.0</v>
      </c>
      <c r="B1450" s="11">
        <v>0.038</v>
      </c>
      <c r="C1450" s="11">
        <v>0.055</v>
      </c>
      <c r="D1450" s="11">
        <v>63.0</v>
      </c>
      <c r="E1450" s="11">
        <v>60.0</v>
      </c>
      <c r="F1450" s="11">
        <v>0.448</v>
      </c>
      <c r="G1450" s="11">
        <v>0.523</v>
      </c>
      <c r="H1450" s="11">
        <v>0.029</v>
      </c>
      <c r="I1450" s="11">
        <v>1.8290394E7</v>
      </c>
      <c r="J1450" s="11">
        <v>0.288</v>
      </c>
      <c r="K1450" s="12" t="s">
        <v>190</v>
      </c>
      <c r="L1450" s="5" t="s">
        <v>77</v>
      </c>
      <c r="M1450" s="9" t="s">
        <v>66</v>
      </c>
    </row>
    <row r="1451">
      <c r="A1451" s="11">
        <v>1450.0</v>
      </c>
      <c r="B1451" s="11">
        <v>0.037</v>
      </c>
      <c r="C1451" s="11">
        <v>0.052</v>
      </c>
      <c r="D1451" s="11">
        <v>63.0</v>
      </c>
      <c r="E1451" s="11">
        <v>60.0</v>
      </c>
      <c r="F1451" s="11">
        <v>0.446</v>
      </c>
      <c r="G1451" s="11">
        <v>0.525</v>
      </c>
      <c r="H1451" s="11">
        <v>0.029</v>
      </c>
      <c r="I1451" s="11">
        <v>1.8826126E7</v>
      </c>
      <c r="J1451" s="11">
        <v>0.294</v>
      </c>
      <c r="K1451" s="12" t="s">
        <v>190</v>
      </c>
      <c r="L1451" s="5" t="s">
        <v>77</v>
      </c>
      <c r="M1451" s="9" t="s">
        <v>67</v>
      </c>
    </row>
    <row r="1452">
      <c r="A1452" s="11">
        <v>1451.0</v>
      </c>
      <c r="B1452" s="11">
        <v>0.037</v>
      </c>
      <c r="C1452" s="11">
        <v>0.049</v>
      </c>
      <c r="D1452" s="11">
        <v>63.0</v>
      </c>
      <c r="E1452" s="11">
        <v>61.0</v>
      </c>
      <c r="F1452" s="11">
        <v>0.443</v>
      </c>
      <c r="G1452" s="11">
        <v>0.528</v>
      </c>
      <c r="H1452" s="11">
        <v>0.029</v>
      </c>
      <c r="I1452" s="11">
        <v>1.9371023E7</v>
      </c>
      <c r="J1452" s="11">
        <v>0.3</v>
      </c>
      <c r="K1452" s="12" t="s">
        <v>190</v>
      </c>
      <c r="L1452" s="5" t="s">
        <v>77</v>
      </c>
      <c r="M1452" s="9" t="s">
        <v>68</v>
      </c>
    </row>
    <row r="1453">
      <c r="A1453" s="11">
        <v>1452.0</v>
      </c>
      <c r="B1453" s="11">
        <v>0.036</v>
      </c>
      <c r="C1453" s="11">
        <v>0.047</v>
      </c>
      <c r="D1453" s="11">
        <v>64.0</v>
      </c>
      <c r="E1453" s="11">
        <v>61.0</v>
      </c>
      <c r="F1453" s="11">
        <v>0.44</v>
      </c>
      <c r="G1453" s="11">
        <v>0.531</v>
      </c>
      <c r="H1453" s="11">
        <v>0.029</v>
      </c>
      <c r="I1453" s="11">
        <v>1.9926785E7</v>
      </c>
      <c r="J1453" s="11">
        <v>0.307</v>
      </c>
      <c r="K1453" s="12" t="s">
        <v>190</v>
      </c>
      <c r="L1453" s="5" t="s">
        <v>77</v>
      </c>
      <c r="M1453" s="9" t="s">
        <v>69</v>
      </c>
    </row>
    <row r="1454">
      <c r="A1454" s="11">
        <v>1453.0</v>
      </c>
      <c r="B1454" s="11">
        <v>0.036</v>
      </c>
      <c r="C1454" s="11">
        <v>0.045</v>
      </c>
      <c r="D1454" s="11">
        <v>64.0</v>
      </c>
      <c r="E1454" s="11">
        <v>61.0</v>
      </c>
      <c r="F1454" s="11">
        <v>0.437</v>
      </c>
      <c r="G1454" s="11">
        <v>0.534</v>
      </c>
      <c r="H1454" s="11">
        <v>0.029</v>
      </c>
      <c r="I1454" s="11">
        <v>2.0495695E7</v>
      </c>
      <c r="J1454" s="11">
        <v>0.313</v>
      </c>
      <c r="K1454" s="12" t="s">
        <v>190</v>
      </c>
      <c r="L1454" s="5" t="s">
        <v>77</v>
      </c>
      <c r="M1454" s="9" t="s">
        <v>70</v>
      </c>
    </row>
    <row r="1455">
      <c r="A1455" s="11">
        <v>1454.0</v>
      </c>
      <c r="B1455" s="11">
        <v>0.035</v>
      </c>
      <c r="C1455" s="11">
        <v>0.044</v>
      </c>
      <c r="D1455" s="11">
        <v>65.0</v>
      </c>
      <c r="E1455" s="11">
        <v>62.0</v>
      </c>
      <c r="F1455" s="11">
        <v>0.434</v>
      </c>
      <c r="G1455" s="11">
        <v>0.537</v>
      </c>
      <c r="H1455" s="11">
        <v>0.028</v>
      </c>
      <c r="I1455" s="11">
        <v>2.1079532E7</v>
      </c>
      <c r="J1455" s="11">
        <v>0.319</v>
      </c>
      <c r="K1455" s="12" t="s">
        <v>190</v>
      </c>
      <c r="L1455" s="5" t="s">
        <v>77</v>
      </c>
      <c r="M1455" s="9" t="s">
        <v>71</v>
      </c>
    </row>
    <row r="1456">
      <c r="A1456" s="11">
        <v>1455.0</v>
      </c>
      <c r="B1456" s="11">
        <v>0.035</v>
      </c>
      <c r="C1456" s="11">
        <v>0.042</v>
      </c>
      <c r="D1456" s="11">
        <v>65.0</v>
      </c>
      <c r="E1456" s="11">
        <v>62.0</v>
      </c>
      <c r="F1456" s="11">
        <v>0.431</v>
      </c>
      <c r="G1456" s="11">
        <v>0.541</v>
      </c>
      <c r="H1456" s="11">
        <v>0.028</v>
      </c>
      <c r="I1456" s="11">
        <v>2.1678934E7</v>
      </c>
      <c r="J1456" s="11">
        <v>0.326</v>
      </c>
      <c r="K1456" s="12" t="s">
        <v>190</v>
      </c>
      <c r="L1456" s="5" t="s">
        <v>77</v>
      </c>
      <c r="M1456" s="9" t="s">
        <v>72</v>
      </c>
    </row>
    <row r="1457">
      <c r="A1457" s="11">
        <v>1456.0</v>
      </c>
      <c r="B1457" s="11">
        <v>0.035</v>
      </c>
      <c r="C1457" s="11">
        <v>0.041</v>
      </c>
      <c r="D1457" s="11">
        <v>66.0</v>
      </c>
      <c r="E1457" s="11">
        <v>63.0</v>
      </c>
      <c r="F1457" s="11">
        <v>0.427</v>
      </c>
      <c r="G1457" s="11">
        <v>0.545</v>
      </c>
      <c r="H1457" s="11">
        <v>0.028</v>
      </c>
      <c r="I1457" s="11">
        <v>2.2293914E7</v>
      </c>
      <c r="J1457" s="11">
        <v>0.332</v>
      </c>
      <c r="K1457" s="12" t="s">
        <v>190</v>
      </c>
      <c r="L1457" s="5" t="s">
        <v>77</v>
      </c>
      <c r="M1457" s="9" t="s">
        <v>73</v>
      </c>
    </row>
    <row r="1458">
      <c r="A1458" s="11">
        <v>1457.0</v>
      </c>
      <c r="B1458" s="11">
        <v>0.045</v>
      </c>
      <c r="C1458" s="11">
        <v>0.103</v>
      </c>
      <c r="D1458" s="11">
        <v>46.0</v>
      </c>
      <c r="E1458" s="11">
        <v>46.0</v>
      </c>
      <c r="F1458" s="11">
        <v>0.458</v>
      </c>
      <c r="G1458" s="11">
        <v>0.511</v>
      </c>
      <c r="H1458" s="11">
        <v>0.031</v>
      </c>
      <c r="I1458" s="11">
        <v>1.1321496E7</v>
      </c>
      <c r="J1458" s="11">
        <v>0.146</v>
      </c>
      <c r="K1458" s="12" t="s">
        <v>191</v>
      </c>
      <c r="L1458" s="5" t="s">
        <v>77</v>
      </c>
      <c r="M1458" s="9" t="s">
        <v>60</v>
      </c>
    </row>
    <row r="1459">
      <c r="A1459" s="11">
        <v>1458.0</v>
      </c>
      <c r="B1459" s="11">
        <v>0.045</v>
      </c>
      <c r="C1459" s="11">
        <v>0.097</v>
      </c>
      <c r="D1459" s="11">
        <v>46.0</v>
      </c>
      <c r="E1459" s="11">
        <v>46.0</v>
      </c>
      <c r="F1459" s="11">
        <v>0.46</v>
      </c>
      <c r="G1459" s="11">
        <v>0.51</v>
      </c>
      <c r="H1459" s="11">
        <v>0.03</v>
      </c>
      <c r="I1459" s="11">
        <v>1.1623166E7</v>
      </c>
      <c r="J1459" s="11">
        <v>0.147</v>
      </c>
      <c r="K1459" s="12" t="s">
        <v>191</v>
      </c>
      <c r="L1459" s="5" t="s">
        <v>77</v>
      </c>
      <c r="M1459" s="9" t="s">
        <v>62</v>
      </c>
    </row>
    <row r="1460">
      <c r="A1460" s="11">
        <v>1459.0</v>
      </c>
      <c r="B1460" s="11">
        <v>0.044</v>
      </c>
      <c r="C1460" s="11">
        <v>0.09</v>
      </c>
      <c r="D1460" s="11">
        <v>47.0</v>
      </c>
      <c r="E1460" s="11">
        <v>47.0</v>
      </c>
      <c r="F1460" s="11">
        <v>0.461</v>
      </c>
      <c r="G1460" s="11">
        <v>0.509</v>
      </c>
      <c r="H1460" s="11">
        <v>0.03</v>
      </c>
      <c r="I1460" s="11">
        <v>1.1926778E7</v>
      </c>
      <c r="J1460" s="11">
        <v>0.148</v>
      </c>
      <c r="K1460" s="12" t="s">
        <v>191</v>
      </c>
      <c r="L1460" s="5" t="s">
        <v>77</v>
      </c>
      <c r="M1460" s="9" t="s">
        <v>63</v>
      </c>
    </row>
    <row r="1461">
      <c r="A1461" s="11">
        <v>1460.0</v>
      </c>
      <c r="B1461" s="11">
        <v>0.043</v>
      </c>
      <c r="C1461" s="11">
        <v>0.084</v>
      </c>
      <c r="D1461" s="11">
        <v>47.0</v>
      </c>
      <c r="E1461" s="11">
        <v>47.0</v>
      </c>
      <c r="F1461" s="11">
        <v>0.461</v>
      </c>
      <c r="G1461" s="11">
        <v>0.509</v>
      </c>
      <c r="H1461" s="11">
        <v>0.03</v>
      </c>
      <c r="I1461" s="11">
        <v>1.2238739E7</v>
      </c>
      <c r="J1461" s="11">
        <v>0.149</v>
      </c>
      <c r="K1461" s="12" t="s">
        <v>191</v>
      </c>
      <c r="L1461" s="5" t="s">
        <v>77</v>
      </c>
      <c r="M1461" s="9" t="s">
        <v>64</v>
      </c>
    </row>
    <row r="1462">
      <c r="A1462" s="11">
        <v>1461.0</v>
      </c>
      <c r="B1462" s="11">
        <v>0.043</v>
      </c>
      <c r="C1462" s="11">
        <v>0.078</v>
      </c>
      <c r="D1462" s="11">
        <v>48.0</v>
      </c>
      <c r="E1462" s="11">
        <v>48.0</v>
      </c>
      <c r="F1462" s="11">
        <v>0.461</v>
      </c>
      <c r="G1462" s="11">
        <v>0.508</v>
      </c>
      <c r="H1462" s="11">
        <v>0.03</v>
      </c>
      <c r="I1462" s="11">
        <v>1.2569091E7</v>
      </c>
      <c r="J1462" s="11">
        <v>0.15</v>
      </c>
      <c r="K1462" s="12" t="s">
        <v>191</v>
      </c>
      <c r="L1462" s="5" t="s">
        <v>77</v>
      </c>
      <c r="M1462" s="9" t="s">
        <v>65</v>
      </c>
    </row>
    <row r="1463">
      <c r="A1463" s="11">
        <v>1462.0</v>
      </c>
      <c r="B1463" s="11">
        <v>0.042</v>
      </c>
      <c r="C1463" s="11">
        <v>0.073</v>
      </c>
      <c r="D1463" s="11">
        <v>49.0</v>
      </c>
      <c r="E1463" s="11">
        <v>49.0</v>
      </c>
      <c r="F1463" s="11">
        <v>0.461</v>
      </c>
      <c r="G1463" s="11">
        <v>0.508</v>
      </c>
      <c r="H1463" s="11">
        <v>0.031</v>
      </c>
      <c r="I1463" s="11">
        <v>1.2924746E7</v>
      </c>
      <c r="J1463" s="11">
        <v>0.151</v>
      </c>
      <c r="K1463" s="12" t="s">
        <v>191</v>
      </c>
      <c r="L1463" s="5" t="s">
        <v>77</v>
      </c>
      <c r="M1463" s="9" t="s">
        <v>66</v>
      </c>
    </row>
    <row r="1464">
      <c r="A1464" s="11">
        <v>1463.0</v>
      </c>
      <c r="B1464" s="11">
        <v>0.042</v>
      </c>
      <c r="C1464" s="11">
        <v>0.068</v>
      </c>
      <c r="D1464" s="11">
        <v>50.0</v>
      </c>
      <c r="E1464" s="11">
        <v>50.0</v>
      </c>
      <c r="F1464" s="11">
        <v>0.461</v>
      </c>
      <c r="G1464" s="11">
        <v>0.508</v>
      </c>
      <c r="H1464" s="11">
        <v>0.03</v>
      </c>
      <c r="I1464" s="11">
        <v>1.3307535E7</v>
      </c>
      <c r="J1464" s="11">
        <v>0.151</v>
      </c>
      <c r="K1464" s="12" t="s">
        <v>191</v>
      </c>
      <c r="L1464" s="5" t="s">
        <v>77</v>
      </c>
      <c r="M1464" s="9" t="s">
        <v>67</v>
      </c>
    </row>
    <row r="1465">
      <c r="A1465" s="11">
        <v>1464.0</v>
      </c>
      <c r="B1465" s="11">
        <v>0.042</v>
      </c>
      <c r="C1465" s="11">
        <v>0.064</v>
      </c>
      <c r="D1465" s="11">
        <v>51.0</v>
      </c>
      <c r="E1465" s="11">
        <v>51.0</v>
      </c>
      <c r="F1465" s="11">
        <v>0.461</v>
      </c>
      <c r="G1465" s="11">
        <v>0.509</v>
      </c>
      <c r="H1465" s="11">
        <v>0.03</v>
      </c>
      <c r="I1465" s="11">
        <v>1.3713758E7</v>
      </c>
      <c r="J1465" s="11">
        <v>0.152</v>
      </c>
      <c r="K1465" s="12" t="s">
        <v>191</v>
      </c>
      <c r="L1465" s="5" t="s">
        <v>77</v>
      </c>
      <c r="M1465" s="9" t="s">
        <v>68</v>
      </c>
    </row>
    <row r="1466">
      <c r="A1466" s="11">
        <v>1465.0</v>
      </c>
      <c r="B1466" s="11">
        <v>0.042</v>
      </c>
      <c r="C1466" s="11">
        <v>0.059</v>
      </c>
      <c r="D1466" s="11">
        <v>52.0</v>
      </c>
      <c r="E1466" s="11">
        <v>52.0</v>
      </c>
      <c r="F1466" s="11">
        <v>0.46</v>
      </c>
      <c r="G1466" s="11">
        <v>0.509</v>
      </c>
      <c r="H1466" s="11">
        <v>0.03</v>
      </c>
      <c r="I1466" s="11">
        <v>1.4138207E7</v>
      </c>
      <c r="J1466" s="11">
        <v>0.153</v>
      </c>
      <c r="K1466" s="12" t="s">
        <v>191</v>
      </c>
      <c r="L1466" s="5" t="s">
        <v>77</v>
      </c>
      <c r="M1466" s="9" t="s">
        <v>69</v>
      </c>
    </row>
    <row r="1467">
      <c r="A1467" s="11">
        <v>1466.0</v>
      </c>
      <c r="B1467" s="11">
        <v>0.041</v>
      </c>
      <c r="C1467" s="11">
        <v>0.055</v>
      </c>
      <c r="D1467" s="11">
        <v>53.0</v>
      </c>
      <c r="E1467" s="11">
        <v>53.0</v>
      </c>
      <c r="F1467" s="11">
        <v>0.459</v>
      </c>
      <c r="G1467" s="11">
        <v>0.51</v>
      </c>
      <c r="H1467" s="11">
        <v>0.031</v>
      </c>
      <c r="I1467" s="11">
        <v>1.4573338E7</v>
      </c>
      <c r="J1467" s="11">
        <v>0.154</v>
      </c>
      <c r="K1467" s="12" t="s">
        <v>191</v>
      </c>
      <c r="L1467" s="5" t="s">
        <v>77</v>
      </c>
      <c r="M1467" s="9" t="s">
        <v>70</v>
      </c>
    </row>
    <row r="1468">
      <c r="A1468" s="11">
        <v>1467.0</v>
      </c>
      <c r="B1468" s="11">
        <v>0.041</v>
      </c>
      <c r="C1468" s="11">
        <v>0.053</v>
      </c>
      <c r="D1468" s="11">
        <v>54.0</v>
      </c>
      <c r="E1468" s="11">
        <v>53.0</v>
      </c>
      <c r="F1468" s="11">
        <v>0.458</v>
      </c>
      <c r="G1468" s="11">
        <v>0.511</v>
      </c>
      <c r="H1468" s="11">
        <v>0.031</v>
      </c>
      <c r="I1468" s="11">
        <v>1.5013694E7</v>
      </c>
      <c r="J1468" s="11">
        <v>0.155</v>
      </c>
      <c r="K1468" s="12" t="s">
        <v>191</v>
      </c>
      <c r="L1468" s="5" t="s">
        <v>77</v>
      </c>
      <c r="M1468" s="9" t="s">
        <v>71</v>
      </c>
    </row>
    <row r="1469">
      <c r="A1469" s="11">
        <v>1468.0</v>
      </c>
      <c r="B1469" s="11">
        <v>0.04</v>
      </c>
      <c r="C1469" s="11">
        <v>0.049</v>
      </c>
      <c r="D1469" s="11">
        <v>54.0</v>
      </c>
      <c r="E1469" s="11">
        <v>54.0</v>
      </c>
      <c r="F1469" s="11">
        <v>0.456</v>
      </c>
      <c r="G1469" s="11">
        <v>0.512</v>
      </c>
      <c r="H1469" s="11">
        <v>0.031</v>
      </c>
      <c r="I1469" s="11">
        <v>1.5457531E7</v>
      </c>
      <c r="J1469" s="11">
        <v>0.157</v>
      </c>
      <c r="K1469" s="12" t="s">
        <v>191</v>
      </c>
      <c r="L1469" s="5" t="s">
        <v>77</v>
      </c>
      <c r="M1469" s="9" t="s">
        <v>72</v>
      </c>
    </row>
    <row r="1470">
      <c r="A1470" s="11">
        <v>1469.0</v>
      </c>
      <c r="B1470" s="11">
        <v>0.04</v>
      </c>
      <c r="C1470" s="11">
        <v>0.046</v>
      </c>
      <c r="D1470" s="11">
        <v>55.0</v>
      </c>
      <c r="E1470" s="11">
        <v>55.0</v>
      </c>
      <c r="F1470" s="11">
        <v>0.454</v>
      </c>
      <c r="G1470" s="11">
        <v>0.514</v>
      </c>
      <c r="H1470" s="11">
        <v>0.031</v>
      </c>
      <c r="I1470" s="11">
        <v>1.5906483E7</v>
      </c>
      <c r="J1470" s="11">
        <v>0.158</v>
      </c>
      <c r="K1470" s="12" t="s">
        <v>191</v>
      </c>
      <c r="L1470" s="5" t="s">
        <v>77</v>
      </c>
      <c r="M1470" s="9" t="s">
        <v>73</v>
      </c>
    </row>
    <row r="1471">
      <c r="A1471" s="11">
        <v>1470.0</v>
      </c>
      <c r="B1471" s="11">
        <v>0.023</v>
      </c>
      <c r="C1471" s="11">
        <v>0.009</v>
      </c>
      <c r="D1471" s="11">
        <v>75.0</v>
      </c>
      <c r="E1471" s="11">
        <v>71.0</v>
      </c>
      <c r="F1471" s="11">
        <v>0.333</v>
      </c>
      <c r="G1471" s="11">
        <v>0.628</v>
      </c>
      <c r="H1471" s="11">
        <v>0.038</v>
      </c>
      <c r="I1471" s="11">
        <v>2.3420751E7</v>
      </c>
      <c r="J1471" s="11">
        <v>0.62</v>
      </c>
      <c r="K1471" s="12" t="s">
        <v>192</v>
      </c>
      <c r="L1471" s="5" t="s">
        <v>61</v>
      </c>
      <c r="M1471" s="9" t="s">
        <v>60</v>
      </c>
    </row>
    <row r="1472">
      <c r="A1472" s="11">
        <v>1471.0</v>
      </c>
      <c r="B1472" s="11">
        <v>0.022</v>
      </c>
      <c r="C1472" s="11">
        <v>0.008</v>
      </c>
      <c r="D1472" s="11">
        <v>75.0</v>
      </c>
      <c r="E1472" s="11">
        <v>71.0</v>
      </c>
      <c r="F1472" s="11">
        <v>0.327</v>
      </c>
      <c r="G1472" s="11">
        <v>0.634</v>
      </c>
      <c r="H1472" s="11">
        <v>0.039</v>
      </c>
      <c r="I1472" s="11">
        <v>2.3925742E7</v>
      </c>
      <c r="J1472" s="11">
        <v>0.629</v>
      </c>
      <c r="K1472" s="12" t="s">
        <v>192</v>
      </c>
      <c r="L1472" s="5" t="s">
        <v>61</v>
      </c>
      <c r="M1472" s="9" t="s">
        <v>62</v>
      </c>
    </row>
    <row r="1473">
      <c r="A1473" s="11">
        <v>1472.0</v>
      </c>
      <c r="B1473" s="11">
        <v>0.021</v>
      </c>
      <c r="C1473" s="11">
        <v>0.008</v>
      </c>
      <c r="D1473" s="11">
        <v>75.0</v>
      </c>
      <c r="E1473" s="11">
        <v>71.0</v>
      </c>
      <c r="F1473" s="11">
        <v>0.321</v>
      </c>
      <c r="G1473" s="11">
        <v>0.639</v>
      </c>
      <c r="H1473" s="11">
        <v>0.04</v>
      </c>
      <c r="I1473" s="11">
        <v>2.4413795E7</v>
      </c>
      <c r="J1473" s="11">
        <v>0.639</v>
      </c>
      <c r="K1473" s="12" t="s">
        <v>192</v>
      </c>
      <c r="L1473" s="5" t="s">
        <v>61</v>
      </c>
      <c r="M1473" s="9" t="s">
        <v>63</v>
      </c>
    </row>
    <row r="1474">
      <c r="A1474" s="11">
        <v>1473.0</v>
      </c>
      <c r="B1474" s="11">
        <v>0.02</v>
      </c>
      <c r="C1474" s="11">
        <v>0.007</v>
      </c>
      <c r="D1474" s="11">
        <v>76.0</v>
      </c>
      <c r="E1474" s="11">
        <v>71.0</v>
      </c>
      <c r="F1474" s="11">
        <v>0.315</v>
      </c>
      <c r="G1474" s="11">
        <v>0.644</v>
      </c>
      <c r="H1474" s="11">
        <v>0.042</v>
      </c>
      <c r="I1474" s="11">
        <v>2.4890654E7</v>
      </c>
      <c r="J1474" s="11">
        <v>0.648</v>
      </c>
      <c r="K1474" s="12" t="s">
        <v>192</v>
      </c>
      <c r="L1474" s="5" t="s">
        <v>61</v>
      </c>
      <c r="M1474" s="9" t="s">
        <v>64</v>
      </c>
    </row>
    <row r="1475">
      <c r="A1475" s="11">
        <v>1474.0</v>
      </c>
      <c r="B1475" s="11">
        <v>0.019</v>
      </c>
      <c r="C1475" s="11">
        <v>0.007</v>
      </c>
      <c r="D1475" s="11">
        <v>76.0</v>
      </c>
      <c r="E1475" s="11">
        <v>71.0</v>
      </c>
      <c r="F1475" s="11">
        <v>0.308</v>
      </c>
      <c r="G1475" s="11">
        <v>0.649</v>
      </c>
      <c r="H1475" s="11">
        <v>0.043</v>
      </c>
      <c r="I1475" s="11">
        <v>2.5365089E7</v>
      </c>
      <c r="J1475" s="11">
        <v>0.657</v>
      </c>
      <c r="K1475" s="12" t="s">
        <v>192</v>
      </c>
      <c r="L1475" s="5" t="s">
        <v>61</v>
      </c>
      <c r="M1475" s="9" t="s">
        <v>65</v>
      </c>
    </row>
    <row r="1476">
      <c r="A1476" s="11">
        <v>1475.0</v>
      </c>
      <c r="B1476" s="11">
        <v>0.019</v>
      </c>
      <c r="C1476" s="11">
        <v>0.007</v>
      </c>
      <c r="D1476" s="11">
        <v>76.0</v>
      </c>
      <c r="E1476" s="11">
        <v>72.0</v>
      </c>
      <c r="F1476" s="11">
        <v>0.302</v>
      </c>
      <c r="G1476" s="11">
        <v>0.654</v>
      </c>
      <c r="H1476" s="11">
        <v>0.044</v>
      </c>
      <c r="I1476" s="11">
        <v>2.5843466E7</v>
      </c>
      <c r="J1476" s="11">
        <v>0.666</v>
      </c>
      <c r="K1476" s="12" t="s">
        <v>192</v>
      </c>
      <c r="L1476" s="5" t="s">
        <v>61</v>
      </c>
      <c r="M1476" s="9" t="s">
        <v>66</v>
      </c>
    </row>
    <row r="1477">
      <c r="A1477" s="11">
        <v>1476.0</v>
      </c>
      <c r="B1477" s="11">
        <v>0.018</v>
      </c>
      <c r="C1477" s="11">
        <v>0.007</v>
      </c>
      <c r="D1477" s="11">
        <v>76.0</v>
      </c>
      <c r="E1477" s="11">
        <v>72.0</v>
      </c>
      <c r="F1477" s="11">
        <v>0.297</v>
      </c>
      <c r="G1477" s="11">
        <v>0.659</v>
      </c>
      <c r="H1477" s="11">
        <v>0.045</v>
      </c>
      <c r="I1477" s="11">
        <v>2.6327098E7</v>
      </c>
      <c r="J1477" s="11">
        <v>0.675</v>
      </c>
      <c r="K1477" s="12" t="s">
        <v>192</v>
      </c>
      <c r="L1477" s="5" t="s">
        <v>61</v>
      </c>
      <c r="M1477" s="9" t="s">
        <v>67</v>
      </c>
    </row>
    <row r="1478">
      <c r="A1478" s="11">
        <v>1477.0</v>
      </c>
      <c r="B1478" s="11">
        <v>0.018</v>
      </c>
      <c r="C1478" s="11">
        <v>0.007</v>
      </c>
      <c r="D1478" s="11">
        <v>76.0</v>
      </c>
      <c r="E1478" s="11">
        <v>72.0</v>
      </c>
      <c r="F1478" s="11">
        <v>0.292</v>
      </c>
      <c r="G1478" s="11">
        <v>0.663</v>
      </c>
      <c r="H1478" s="11">
        <v>0.045</v>
      </c>
      <c r="I1478" s="11">
        <v>2.6813819E7</v>
      </c>
      <c r="J1478" s="11">
        <v>0.684</v>
      </c>
      <c r="K1478" s="12" t="s">
        <v>192</v>
      </c>
      <c r="L1478" s="5" t="s">
        <v>61</v>
      </c>
      <c r="M1478" s="9" t="s">
        <v>68</v>
      </c>
    </row>
    <row r="1479">
      <c r="A1479" s="11">
        <v>1478.0</v>
      </c>
      <c r="B1479" s="11">
        <v>0.018</v>
      </c>
      <c r="C1479" s="11">
        <v>0.007</v>
      </c>
      <c r="D1479" s="11">
        <v>77.0</v>
      </c>
      <c r="E1479" s="11">
        <v>72.0</v>
      </c>
      <c r="F1479" s="11">
        <v>0.287</v>
      </c>
      <c r="G1479" s="11">
        <v>0.667</v>
      </c>
      <c r="H1479" s="11">
        <v>0.046</v>
      </c>
      <c r="I1479" s="11">
        <v>2.7302348E7</v>
      </c>
      <c r="J1479" s="11">
        <v>0.692</v>
      </c>
      <c r="K1479" s="12" t="s">
        <v>192</v>
      </c>
      <c r="L1479" s="5" t="s">
        <v>61</v>
      </c>
      <c r="M1479" s="9" t="s">
        <v>69</v>
      </c>
    </row>
    <row r="1480">
      <c r="A1480" s="11">
        <v>1479.0</v>
      </c>
      <c r="B1480" s="11">
        <v>0.018</v>
      </c>
      <c r="C1480" s="11">
        <v>0.007</v>
      </c>
      <c r="D1480" s="11">
        <v>77.0</v>
      </c>
      <c r="E1480" s="11">
        <v>72.0</v>
      </c>
      <c r="F1480" s="11">
        <v>0.282</v>
      </c>
      <c r="G1480" s="11">
        <v>0.671</v>
      </c>
      <c r="H1480" s="11">
        <v>0.047</v>
      </c>
      <c r="I1480" s="11">
        <v>2.7790324E7</v>
      </c>
      <c r="J1480" s="11">
        <v>0.701</v>
      </c>
      <c r="K1480" s="12" t="s">
        <v>192</v>
      </c>
      <c r="L1480" s="5" t="s">
        <v>61</v>
      </c>
      <c r="M1480" s="9" t="s">
        <v>70</v>
      </c>
    </row>
    <row r="1481">
      <c r="A1481" s="11">
        <v>1480.0</v>
      </c>
      <c r="B1481" s="11">
        <v>0.018</v>
      </c>
      <c r="C1481" s="11">
        <v>0.007</v>
      </c>
      <c r="D1481" s="11">
        <v>77.0</v>
      </c>
      <c r="E1481" s="11">
        <v>72.0</v>
      </c>
      <c r="F1481" s="11">
        <v>0.277</v>
      </c>
      <c r="G1481" s="11">
        <v>0.675</v>
      </c>
      <c r="H1481" s="11">
        <v>0.048</v>
      </c>
      <c r="I1481" s="11">
        <v>2.8275835E7</v>
      </c>
      <c r="J1481" s="11">
        <v>0.709</v>
      </c>
      <c r="K1481" s="12" t="s">
        <v>192</v>
      </c>
      <c r="L1481" s="5" t="s">
        <v>61</v>
      </c>
      <c r="M1481" s="9" t="s">
        <v>71</v>
      </c>
    </row>
    <row r="1482">
      <c r="A1482" s="11">
        <v>1481.0</v>
      </c>
      <c r="B1482" s="11">
        <v>0.018</v>
      </c>
      <c r="C1482" s="11">
        <v>0.007</v>
      </c>
      <c r="D1482" s="11">
        <v>77.0</v>
      </c>
      <c r="E1482" s="11">
        <v>72.0</v>
      </c>
      <c r="F1482" s="11">
        <v>0.272</v>
      </c>
      <c r="G1482" s="11">
        <v>0.678</v>
      </c>
      <c r="H1482" s="11">
        <v>0.05</v>
      </c>
      <c r="I1482" s="11">
        <v>2.8758968E7</v>
      </c>
      <c r="J1482" s="11">
        <v>0.717</v>
      </c>
      <c r="K1482" s="12" t="s">
        <v>192</v>
      </c>
      <c r="L1482" s="5" t="s">
        <v>61</v>
      </c>
      <c r="M1482" s="9" t="s">
        <v>72</v>
      </c>
    </row>
    <row r="1483">
      <c r="A1483" s="11">
        <v>1482.0</v>
      </c>
      <c r="B1483" s="11">
        <v>0.018</v>
      </c>
      <c r="C1483" s="11">
        <v>0.007</v>
      </c>
      <c r="D1483" s="11">
        <v>77.0</v>
      </c>
      <c r="E1483" s="11">
        <v>73.0</v>
      </c>
      <c r="F1483" s="11">
        <v>0.267</v>
      </c>
      <c r="G1483" s="11">
        <v>0.682</v>
      </c>
      <c r="H1483" s="11">
        <v>0.052</v>
      </c>
      <c r="I1483" s="11">
        <v>2.9239927E7</v>
      </c>
      <c r="J1483" s="11">
        <v>0.725</v>
      </c>
      <c r="K1483" s="12" t="s">
        <v>192</v>
      </c>
      <c r="L1483" s="5" t="s">
        <v>61</v>
      </c>
      <c r="M1483" s="9" t="s">
        <v>73</v>
      </c>
    </row>
    <row r="1484">
      <c r="A1484" s="11">
        <v>1483.0</v>
      </c>
      <c r="B1484" s="11">
        <v>0.025</v>
      </c>
      <c r="C1484" s="11">
        <v>0.035</v>
      </c>
      <c r="D1484" s="11">
        <v>70.0</v>
      </c>
      <c r="E1484" s="11">
        <v>69.0</v>
      </c>
      <c r="F1484" s="11">
        <v>0.413</v>
      </c>
      <c r="G1484" s="11">
        <v>0.549</v>
      </c>
      <c r="H1484" s="11">
        <v>0.038</v>
      </c>
      <c r="I1484" s="11">
        <v>272745.0</v>
      </c>
      <c r="J1484" s="11">
        <v>0.277</v>
      </c>
      <c r="K1484" s="12" t="s">
        <v>193</v>
      </c>
      <c r="L1484" s="5" t="s">
        <v>61</v>
      </c>
      <c r="M1484" s="9" t="s">
        <v>60</v>
      </c>
    </row>
    <row r="1485">
      <c r="A1485" s="11">
        <v>1484.0</v>
      </c>
      <c r="B1485" s="11">
        <v>0.023</v>
      </c>
      <c r="C1485" s="11">
        <v>0.032</v>
      </c>
      <c r="D1485" s="11">
        <v>72.0</v>
      </c>
      <c r="E1485" s="11">
        <v>70.0</v>
      </c>
      <c r="F1485" s="11">
        <v>0.399</v>
      </c>
      <c r="G1485" s="11">
        <v>0.561</v>
      </c>
      <c r="H1485" s="11">
        <v>0.039</v>
      </c>
      <c r="I1485" s="11">
        <v>277825.0</v>
      </c>
      <c r="J1485" s="11">
        <v>0.289</v>
      </c>
      <c r="K1485" s="12" t="s">
        <v>193</v>
      </c>
      <c r="L1485" s="5" t="s">
        <v>61</v>
      </c>
      <c r="M1485" s="9" t="s">
        <v>62</v>
      </c>
    </row>
    <row r="1486">
      <c r="A1486" s="11">
        <v>1485.0</v>
      </c>
      <c r="B1486" s="11">
        <v>0.022</v>
      </c>
      <c r="C1486" s="11">
        <v>0.028</v>
      </c>
      <c r="D1486" s="11">
        <v>73.0</v>
      </c>
      <c r="E1486" s="11">
        <v>70.0</v>
      </c>
      <c r="F1486" s="11">
        <v>0.385</v>
      </c>
      <c r="G1486" s="11">
        <v>0.574</v>
      </c>
      <c r="H1486" s="11">
        <v>0.041</v>
      </c>
      <c r="I1486" s="11">
        <v>282743.0</v>
      </c>
      <c r="J1486" s="11">
        <v>0.3</v>
      </c>
      <c r="K1486" s="12" t="s">
        <v>193</v>
      </c>
      <c r="L1486" s="5" t="s">
        <v>61</v>
      </c>
      <c r="M1486" s="9" t="s">
        <v>63</v>
      </c>
    </row>
    <row r="1487">
      <c r="A1487" s="11">
        <v>1486.0</v>
      </c>
      <c r="B1487" s="11">
        <v>0.022</v>
      </c>
      <c r="C1487" s="11">
        <v>0.025</v>
      </c>
      <c r="D1487" s="11">
        <v>74.0</v>
      </c>
      <c r="E1487" s="11">
        <v>71.0</v>
      </c>
      <c r="F1487" s="11">
        <v>0.37</v>
      </c>
      <c r="G1487" s="11">
        <v>0.587</v>
      </c>
      <c r="H1487" s="11">
        <v>0.043</v>
      </c>
      <c r="I1487" s="11">
        <v>287594.0</v>
      </c>
      <c r="J1487" s="11">
        <v>0.313</v>
      </c>
      <c r="K1487" s="12" t="s">
        <v>193</v>
      </c>
      <c r="L1487" s="5" t="s">
        <v>61</v>
      </c>
      <c r="M1487" s="9" t="s">
        <v>64</v>
      </c>
    </row>
    <row r="1488">
      <c r="A1488" s="11">
        <v>1487.0</v>
      </c>
      <c r="B1488" s="11">
        <v>0.021</v>
      </c>
      <c r="C1488" s="11">
        <v>0.022</v>
      </c>
      <c r="D1488" s="11">
        <v>75.0</v>
      </c>
      <c r="E1488" s="11">
        <v>72.0</v>
      </c>
      <c r="F1488" s="11">
        <v>0.356</v>
      </c>
      <c r="G1488" s="11">
        <v>0.599</v>
      </c>
      <c r="H1488" s="11">
        <v>0.044</v>
      </c>
      <c r="I1488" s="11">
        <v>292505.0</v>
      </c>
      <c r="J1488" s="11">
        <v>0.325</v>
      </c>
      <c r="K1488" s="12" t="s">
        <v>193</v>
      </c>
      <c r="L1488" s="5" t="s">
        <v>61</v>
      </c>
      <c r="M1488" s="9" t="s">
        <v>65</v>
      </c>
    </row>
    <row r="1489">
      <c r="A1489" s="11">
        <v>1488.0</v>
      </c>
      <c r="B1489" s="11">
        <v>0.021</v>
      </c>
      <c r="C1489" s="11">
        <v>0.019</v>
      </c>
      <c r="D1489" s="11">
        <v>75.0</v>
      </c>
      <c r="E1489" s="11">
        <v>73.0</v>
      </c>
      <c r="F1489" s="11">
        <v>0.343</v>
      </c>
      <c r="G1489" s="11">
        <v>0.611</v>
      </c>
      <c r="H1489" s="11">
        <v>0.046</v>
      </c>
      <c r="I1489" s="11">
        <v>297576.0</v>
      </c>
      <c r="J1489" s="11">
        <v>0.338</v>
      </c>
      <c r="K1489" s="12" t="s">
        <v>193</v>
      </c>
      <c r="L1489" s="5" t="s">
        <v>61</v>
      </c>
      <c r="M1489" s="9" t="s">
        <v>66</v>
      </c>
    </row>
    <row r="1490">
      <c r="A1490" s="11">
        <v>1489.0</v>
      </c>
      <c r="B1490" s="11">
        <v>0.021</v>
      </c>
      <c r="C1490" s="11">
        <v>0.017</v>
      </c>
      <c r="D1490" s="11">
        <v>76.0</v>
      </c>
      <c r="E1490" s="11">
        <v>74.0</v>
      </c>
      <c r="F1490" s="11">
        <v>0.332</v>
      </c>
      <c r="G1490" s="11">
        <v>0.621</v>
      </c>
      <c r="H1490" s="11">
        <v>0.047</v>
      </c>
      <c r="I1490" s="11">
        <v>302825.0</v>
      </c>
      <c r="J1490" s="11">
        <v>0.35</v>
      </c>
      <c r="K1490" s="12" t="s">
        <v>193</v>
      </c>
      <c r="L1490" s="5" t="s">
        <v>61</v>
      </c>
      <c r="M1490" s="9" t="s">
        <v>67</v>
      </c>
    </row>
    <row r="1491">
      <c r="A1491" s="11">
        <v>1490.0</v>
      </c>
      <c r="B1491" s="11">
        <v>0.022</v>
      </c>
      <c r="C1491" s="11">
        <v>0.015</v>
      </c>
      <c r="D1491" s="11">
        <v>77.0</v>
      </c>
      <c r="E1491" s="11">
        <v>74.0</v>
      </c>
      <c r="F1491" s="11">
        <v>0.322</v>
      </c>
      <c r="G1491" s="11">
        <v>0.63</v>
      </c>
      <c r="H1491" s="11">
        <v>0.048</v>
      </c>
      <c r="I1491" s="11">
        <v>308239.0</v>
      </c>
      <c r="J1491" s="11">
        <v>0.363</v>
      </c>
      <c r="K1491" s="12" t="s">
        <v>193</v>
      </c>
      <c r="L1491" s="5" t="s">
        <v>61</v>
      </c>
      <c r="M1491" s="9" t="s">
        <v>68</v>
      </c>
    </row>
    <row r="1492">
      <c r="A1492" s="11">
        <v>1491.0</v>
      </c>
      <c r="B1492" s="11">
        <v>0.022</v>
      </c>
      <c r="C1492" s="11">
        <v>0.014</v>
      </c>
      <c r="D1492" s="11">
        <v>77.0</v>
      </c>
      <c r="E1492" s="11">
        <v>75.0</v>
      </c>
      <c r="F1492" s="11">
        <v>0.313</v>
      </c>
      <c r="G1492" s="11">
        <v>0.637</v>
      </c>
      <c r="H1492" s="11">
        <v>0.049</v>
      </c>
      <c r="I1492" s="11">
        <v>313843.0</v>
      </c>
      <c r="J1492" s="11">
        <v>0.376</v>
      </c>
      <c r="K1492" s="12" t="s">
        <v>193</v>
      </c>
      <c r="L1492" s="5" t="s">
        <v>61</v>
      </c>
      <c r="M1492" s="9" t="s">
        <v>69</v>
      </c>
    </row>
    <row r="1493">
      <c r="A1493" s="11">
        <v>1492.0</v>
      </c>
      <c r="B1493" s="11">
        <v>0.022</v>
      </c>
      <c r="C1493" s="11">
        <v>0.012</v>
      </c>
      <c r="D1493" s="11">
        <v>77.0</v>
      </c>
      <c r="E1493" s="11">
        <v>75.0</v>
      </c>
      <c r="F1493" s="11">
        <v>0.306</v>
      </c>
      <c r="G1493" s="11">
        <v>0.644</v>
      </c>
      <c r="H1493" s="11">
        <v>0.05</v>
      </c>
      <c r="I1493" s="11">
        <v>319660.0</v>
      </c>
      <c r="J1493" s="11">
        <v>0.388</v>
      </c>
      <c r="K1493" s="12" t="s">
        <v>193</v>
      </c>
      <c r="L1493" s="5" t="s">
        <v>61</v>
      </c>
      <c r="M1493" s="9" t="s">
        <v>70</v>
      </c>
    </row>
    <row r="1494">
      <c r="A1494" s="11">
        <v>1493.0</v>
      </c>
      <c r="B1494" s="11">
        <v>0.022</v>
      </c>
      <c r="C1494" s="11">
        <v>0.011</v>
      </c>
      <c r="D1494" s="11">
        <v>78.0</v>
      </c>
      <c r="E1494" s="11">
        <v>76.0</v>
      </c>
      <c r="F1494" s="11">
        <v>0.3</v>
      </c>
      <c r="G1494" s="11">
        <v>0.65</v>
      </c>
      <c r="H1494" s="11">
        <v>0.05</v>
      </c>
      <c r="I1494" s="11">
        <v>325694.0</v>
      </c>
      <c r="J1494" s="11">
        <v>0.4</v>
      </c>
      <c r="K1494" s="12" t="s">
        <v>193</v>
      </c>
      <c r="L1494" s="5" t="s">
        <v>61</v>
      </c>
      <c r="M1494" s="9" t="s">
        <v>71</v>
      </c>
    </row>
    <row r="1495">
      <c r="A1495" s="11">
        <v>1494.0</v>
      </c>
      <c r="B1495" s="11">
        <v>0.022</v>
      </c>
      <c r="C1495" s="11">
        <v>0.01</v>
      </c>
      <c r="D1495" s="11">
        <v>78.0</v>
      </c>
      <c r="E1495" s="11">
        <v>76.0</v>
      </c>
      <c r="F1495" s="11">
        <v>0.294</v>
      </c>
      <c r="G1495" s="11">
        <v>0.655</v>
      </c>
      <c r="H1495" s="11">
        <v>0.05</v>
      </c>
      <c r="I1495" s="11">
        <v>331964.0</v>
      </c>
      <c r="J1495" s="11">
        <v>0.412</v>
      </c>
      <c r="K1495" s="12" t="s">
        <v>193</v>
      </c>
      <c r="L1495" s="5" t="s">
        <v>61</v>
      </c>
      <c r="M1495" s="9" t="s">
        <v>72</v>
      </c>
    </row>
    <row r="1496">
      <c r="A1496" s="11">
        <v>1495.0</v>
      </c>
      <c r="B1496" s="11">
        <v>0.022</v>
      </c>
      <c r="C1496" s="11">
        <v>0.009</v>
      </c>
      <c r="D1496" s="11">
        <v>79.0</v>
      </c>
      <c r="E1496" s="11">
        <v>77.0</v>
      </c>
      <c r="F1496" s="11">
        <v>0.29</v>
      </c>
      <c r="G1496" s="11">
        <v>0.66</v>
      </c>
      <c r="H1496" s="11">
        <v>0.05</v>
      </c>
      <c r="I1496" s="11">
        <v>338442.0</v>
      </c>
      <c r="J1496" s="11">
        <v>0.423</v>
      </c>
      <c r="K1496" s="12" t="s">
        <v>193</v>
      </c>
      <c r="L1496" s="5" t="s">
        <v>61</v>
      </c>
      <c r="M1496" s="9" t="s">
        <v>73</v>
      </c>
    </row>
    <row r="1497">
      <c r="A1497" s="11">
        <v>1496.0</v>
      </c>
      <c r="B1497" s="11">
        <v>0.048</v>
      </c>
      <c r="C1497" s="11">
        <v>0.116</v>
      </c>
      <c r="D1497" s="11">
        <v>49.0</v>
      </c>
      <c r="E1497" s="11">
        <v>49.0</v>
      </c>
      <c r="F1497" s="11">
        <v>0.461</v>
      </c>
      <c r="G1497" s="11">
        <v>0.504</v>
      </c>
      <c r="H1497" s="11">
        <v>0.035</v>
      </c>
      <c r="I1497" s="11">
        <v>1.0260577E7</v>
      </c>
      <c r="J1497" s="11">
        <v>0.284</v>
      </c>
      <c r="K1497" s="12" t="s">
        <v>194</v>
      </c>
      <c r="L1497" s="5" t="s">
        <v>77</v>
      </c>
      <c r="M1497" s="9" t="s">
        <v>60</v>
      </c>
    </row>
    <row r="1498">
      <c r="A1498" s="11">
        <v>1497.0</v>
      </c>
      <c r="B1498" s="11">
        <v>0.048</v>
      </c>
      <c r="C1498" s="11">
        <v>0.113</v>
      </c>
      <c r="D1498" s="11">
        <v>49.0</v>
      </c>
      <c r="E1498" s="11">
        <v>50.0</v>
      </c>
      <c r="F1498" s="11">
        <v>0.461</v>
      </c>
      <c r="G1498" s="11">
        <v>0.505</v>
      </c>
      <c r="H1498" s="11">
        <v>0.034</v>
      </c>
      <c r="I1498" s="11">
        <v>1.0562768E7</v>
      </c>
      <c r="J1498" s="11">
        <v>0.291</v>
      </c>
      <c r="K1498" s="12" t="s">
        <v>194</v>
      </c>
      <c r="L1498" s="5" t="s">
        <v>77</v>
      </c>
      <c r="M1498" s="9" t="s">
        <v>62</v>
      </c>
    </row>
    <row r="1499">
      <c r="A1499" s="11">
        <v>1498.0</v>
      </c>
      <c r="B1499" s="11">
        <v>0.048</v>
      </c>
      <c r="C1499" s="11">
        <v>0.109</v>
      </c>
      <c r="D1499" s="11">
        <v>50.0</v>
      </c>
      <c r="E1499" s="11">
        <v>50.0</v>
      </c>
      <c r="F1499" s="11">
        <v>0.461</v>
      </c>
      <c r="G1499" s="11">
        <v>0.506</v>
      </c>
      <c r="H1499" s="11">
        <v>0.033</v>
      </c>
      <c r="I1499" s="11">
        <v>1.0882662E7</v>
      </c>
      <c r="J1499" s="11">
        <v>0.298</v>
      </c>
      <c r="K1499" s="12" t="s">
        <v>194</v>
      </c>
      <c r="L1499" s="5" t="s">
        <v>77</v>
      </c>
      <c r="M1499" s="9" t="s">
        <v>63</v>
      </c>
    </row>
    <row r="1500">
      <c r="A1500" s="11">
        <v>1499.0</v>
      </c>
      <c r="B1500" s="11">
        <v>0.048</v>
      </c>
      <c r="C1500" s="11">
        <v>0.105</v>
      </c>
      <c r="D1500" s="11">
        <v>50.0</v>
      </c>
      <c r="E1500" s="11">
        <v>51.0</v>
      </c>
      <c r="F1500" s="11">
        <v>0.462</v>
      </c>
      <c r="G1500" s="11">
        <v>0.506</v>
      </c>
      <c r="H1500" s="11">
        <v>0.032</v>
      </c>
      <c r="I1500" s="11">
        <v>1.1219737E7</v>
      </c>
      <c r="J1500" s="11">
        <v>0.305</v>
      </c>
      <c r="K1500" s="12" t="s">
        <v>194</v>
      </c>
      <c r="L1500" s="5" t="s">
        <v>77</v>
      </c>
      <c r="M1500" s="9" t="s">
        <v>64</v>
      </c>
    </row>
    <row r="1501">
      <c r="A1501" s="11">
        <v>1500.0</v>
      </c>
      <c r="B1501" s="11">
        <v>0.048</v>
      </c>
      <c r="C1501" s="11">
        <v>0.101</v>
      </c>
      <c r="D1501" s="11">
        <v>51.0</v>
      </c>
      <c r="E1501" s="11">
        <v>51.0</v>
      </c>
      <c r="F1501" s="11">
        <v>0.462</v>
      </c>
      <c r="G1501" s="11">
        <v>0.506</v>
      </c>
      <c r="H1501" s="11">
        <v>0.031</v>
      </c>
      <c r="I1501" s="11">
        <v>1.1572936E7</v>
      </c>
      <c r="J1501" s="11">
        <v>0.313</v>
      </c>
      <c r="K1501" s="12" t="s">
        <v>194</v>
      </c>
      <c r="L1501" s="5" t="s">
        <v>77</v>
      </c>
      <c r="M1501" s="9" t="s">
        <v>65</v>
      </c>
    </row>
    <row r="1502">
      <c r="A1502" s="11">
        <v>1501.0</v>
      </c>
      <c r="B1502" s="11">
        <v>0.048</v>
      </c>
      <c r="C1502" s="11">
        <v>0.097</v>
      </c>
      <c r="D1502" s="11">
        <v>51.0</v>
      </c>
      <c r="E1502" s="11">
        <v>52.0</v>
      </c>
      <c r="F1502" s="11">
        <v>0.463</v>
      </c>
      <c r="G1502" s="11">
        <v>0.506</v>
      </c>
      <c r="H1502" s="11">
        <v>0.031</v>
      </c>
      <c r="I1502" s="11">
        <v>1.1941258E7</v>
      </c>
      <c r="J1502" s="11">
        <v>0.321</v>
      </c>
      <c r="K1502" s="12" t="s">
        <v>194</v>
      </c>
      <c r="L1502" s="5" t="s">
        <v>77</v>
      </c>
      <c r="M1502" s="9" t="s">
        <v>66</v>
      </c>
    </row>
    <row r="1503">
      <c r="A1503" s="11">
        <v>1502.0</v>
      </c>
      <c r="B1503" s="11">
        <v>0.048</v>
      </c>
      <c r="C1503" s="11">
        <v>0.093</v>
      </c>
      <c r="D1503" s="11">
        <v>52.0</v>
      </c>
      <c r="E1503" s="11">
        <v>52.0</v>
      </c>
      <c r="F1503" s="11">
        <v>0.464</v>
      </c>
      <c r="G1503" s="11">
        <v>0.506</v>
      </c>
      <c r="H1503" s="11">
        <v>0.03</v>
      </c>
      <c r="I1503" s="11">
        <v>1.2325545E7</v>
      </c>
      <c r="J1503" s="11">
        <v>0.328</v>
      </c>
      <c r="K1503" s="12" t="s">
        <v>194</v>
      </c>
      <c r="L1503" s="5" t="s">
        <v>77</v>
      </c>
      <c r="M1503" s="9" t="s">
        <v>67</v>
      </c>
    </row>
    <row r="1504">
      <c r="A1504" s="11">
        <v>1503.0</v>
      </c>
      <c r="B1504" s="11">
        <v>0.048</v>
      </c>
      <c r="C1504" s="11">
        <v>0.09</v>
      </c>
      <c r="D1504" s="11">
        <v>52.0</v>
      </c>
      <c r="E1504" s="11">
        <v>53.0</v>
      </c>
      <c r="F1504" s="11">
        <v>0.464</v>
      </c>
      <c r="G1504" s="11">
        <v>0.506</v>
      </c>
      <c r="H1504" s="11">
        <v>0.03</v>
      </c>
      <c r="I1504" s="11">
        <v>1.2725629E7</v>
      </c>
      <c r="J1504" s="11">
        <v>0.336</v>
      </c>
      <c r="K1504" s="12" t="s">
        <v>194</v>
      </c>
      <c r="L1504" s="5" t="s">
        <v>77</v>
      </c>
      <c r="M1504" s="9" t="s">
        <v>68</v>
      </c>
    </row>
    <row r="1505">
      <c r="A1505" s="11">
        <v>1504.0</v>
      </c>
      <c r="B1505" s="11">
        <v>0.048</v>
      </c>
      <c r="C1505" s="11">
        <v>0.088</v>
      </c>
      <c r="D1505" s="11">
        <v>53.0</v>
      </c>
      <c r="E1505" s="11">
        <v>53.0</v>
      </c>
      <c r="F1505" s="11">
        <v>0.465</v>
      </c>
      <c r="G1505" s="11">
        <v>0.505</v>
      </c>
      <c r="H1505" s="11">
        <v>0.03</v>
      </c>
      <c r="I1505" s="11">
        <v>1.3138299E7</v>
      </c>
      <c r="J1505" s="11">
        <v>0.344</v>
      </c>
      <c r="K1505" s="12" t="s">
        <v>194</v>
      </c>
      <c r="L1505" s="5" t="s">
        <v>77</v>
      </c>
      <c r="M1505" s="9" t="s">
        <v>69</v>
      </c>
    </row>
    <row r="1506">
      <c r="A1506" s="11">
        <v>1505.0</v>
      </c>
      <c r="B1506" s="11">
        <v>0.048</v>
      </c>
      <c r="C1506" s="11">
        <v>0.085</v>
      </c>
      <c r="D1506" s="11">
        <v>53.0</v>
      </c>
      <c r="E1506" s="11">
        <v>54.0</v>
      </c>
      <c r="F1506" s="11">
        <v>0.467</v>
      </c>
      <c r="G1506" s="11">
        <v>0.504</v>
      </c>
      <c r="H1506" s="11">
        <v>0.029</v>
      </c>
      <c r="I1506" s="11">
        <v>1.3559296E7</v>
      </c>
      <c r="J1506" s="11">
        <v>0.352</v>
      </c>
      <c r="K1506" s="12" t="s">
        <v>194</v>
      </c>
      <c r="L1506" s="5" t="s">
        <v>77</v>
      </c>
      <c r="M1506" s="9" t="s">
        <v>70</v>
      </c>
    </row>
    <row r="1507">
      <c r="A1507" s="11">
        <v>1506.0</v>
      </c>
      <c r="B1507" s="11">
        <v>0.048</v>
      </c>
      <c r="C1507" s="11">
        <v>0.083</v>
      </c>
      <c r="D1507" s="11">
        <v>54.0</v>
      </c>
      <c r="E1507" s="11">
        <v>54.0</v>
      </c>
      <c r="F1507" s="11">
        <v>0.468</v>
      </c>
      <c r="G1507" s="11">
        <v>0.503</v>
      </c>
      <c r="H1507" s="11">
        <v>0.029</v>
      </c>
      <c r="I1507" s="11">
        <v>1.3985961E7</v>
      </c>
      <c r="J1507" s="11">
        <v>0.36</v>
      </c>
      <c r="K1507" s="12" t="s">
        <v>194</v>
      </c>
      <c r="L1507" s="5" t="s">
        <v>77</v>
      </c>
      <c r="M1507" s="9" t="s">
        <v>71</v>
      </c>
    </row>
    <row r="1508">
      <c r="A1508" s="11">
        <v>1507.0</v>
      </c>
      <c r="B1508" s="11">
        <v>0.048</v>
      </c>
      <c r="C1508" s="11">
        <v>0.081</v>
      </c>
      <c r="D1508" s="11">
        <v>54.0</v>
      </c>
      <c r="E1508" s="11">
        <v>54.0</v>
      </c>
      <c r="F1508" s="11">
        <v>0.47</v>
      </c>
      <c r="G1508" s="11">
        <v>0.502</v>
      </c>
      <c r="H1508" s="11">
        <v>0.029</v>
      </c>
      <c r="I1508" s="11">
        <v>1.4416737E7</v>
      </c>
      <c r="J1508" s="11">
        <v>0.368</v>
      </c>
      <c r="K1508" s="12" t="s">
        <v>194</v>
      </c>
      <c r="L1508" s="5" t="s">
        <v>77</v>
      </c>
      <c r="M1508" s="9" t="s">
        <v>72</v>
      </c>
    </row>
    <row r="1509">
      <c r="A1509" s="11">
        <v>1508.0</v>
      </c>
      <c r="B1509" s="11">
        <v>0.047</v>
      </c>
      <c r="C1509" s="11">
        <v>0.079</v>
      </c>
      <c r="D1509" s="11">
        <v>54.0</v>
      </c>
      <c r="E1509" s="11">
        <v>55.0</v>
      </c>
      <c r="F1509" s="11">
        <v>0.471</v>
      </c>
      <c r="G1509" s="11">
        <v>0.5</v>
      </c>
      <c r="H1509" s="11">
        <v>0.028</v>
      </c>
      <c r="I1509" s="11">
        <v>1.4853572E7</v>
      </c>
      <c r="J1509" s="11">
        <v>0.376</v>
      </c>
      <c r="K1509" s="12" t="s">
        <v>194</v>
      </c>
      <c r="L1509" s="5" t="s">
        <v>77</v>
      </c>
      <c r="M1509" s="9" t="s">
        <v>73</v>
      </c>
    </row>
    <row r="1510">
      <c r="A1510" s="11">
        <v>1509.0</v>
      </c>
      <c r="B1510" s="11">
        <v>0.012</v>
      </c>
      <c r="C1510" s="11">
        <v>0.007</v>
      </c>
      <c r="D1510" s="11">
        <v>80.0</v>
      </c>
      <c r="E1510" s="11">
        <v>76.0</v>
      </c>
      <c r="F1510" s="11">
        <v>0.207</v>
      </c>
      <c r="G1510" s="11">
        <v>0.686</v>
      </c>
      <c r="H1510" s="11">
        <v>0.107</v>
      </c>
      <c r="I1510" s="11">
        <v>381363.0</v>
      </c>
      <c r="J1510" s="11">
        <v>0.924</v>
      </c>
      <c r="K1510" s="12" t="s">
        <v>195</v>
      </c>
      <c r="L1510" s="5" t="s">
        <v>75</v>
      </c>
      <c r="M1510" s="9" t="s">
        <v>60</v>
      </c>
    </row>
    <row r="1511">
      <c r="A1511" s="11">
        <v>1510.0</v>
      </c>
      <c r="B1511" s="11">
        <v>0.01</v>
      </c>
      <c r="C1511" s="11">
        <v>0.007</v>
      </c>
      <c r="D1511" s="11">
        <v>81.0</v>
      </c>
      <c r="E1511" s="11">
        <v>77.0</v>
      </c>
      <c r="F1511" s="11">
        <v>0.2</v>
      </c>
      <c r="G1511" s="11">
        <v>0.688</v>
      </c>
      <c r="H1511" s="11">
        <v>0.111</v>
      </c>
      <c r="I1511" s="11">
        <v>393028.0</v>
      </c>
      <c r="J1511" s="11">
        <v>0.926</v>
      </c>
      <c r="K1511" s="12" t="s">
        <v>195</v>
      </c>
      <c r="L1511" s="5" t="s">
        <v>75</v>
      </c>
      <c r="M1511" s="9" t="s">
        <v>62</v>
      </c>
    </row>
    <row r="1512">
      <c r="A1512" s="11">
        <v>1511.0</v>
      </c>
      <c r="B1512" s="11">
        <v>0.01</v>
      </c>
      <c r="C1512" s="11">
        <v>0.006</v>
      </c>
      <c r="D1512" s="11">
        <v>81.0</v>
      </c>
      <c r="E1512" s="11">
        <v>76.0</v>
      </c>
      <c r="F1512" s="11">
        <v>0.193</v>
      </c>
      <c r="G1512" s="11">
        <v>0.69</v>
      </c>
      <c r="H1512" s="11">
        <v>0.117</v>
      </c>
      <c r="I1512" s="11">
        <v>395969.0</v>
      </c>
      <c r="J1512" s="11">
        <v>0.929</v>
      </c>
      <c r="K1512" s="12" t="s">
        <v>195</v>
      </c>
      <c r="L1512" s="5" t="s">
        <v>75</v>
      </c>
      <c r="M1512" s="9" t="s">
        <v>63</v>
      </c>
    </row>
    <row r="1513">
      <c r="A1513" s="11">
        <v>1512.0</v>
      </c>
      <c r="B1513" s="11">
        <v>0.01</v>
      </c>
      <c r="C1513" s="11">
        <v>0.006</v>
      </c>
      <c r="D1513" s="11">
        <v>81.0</v>
      </c>
      <c r="E1513" s="11">
        <v>76.0</v>
      </c>
      <c r="F1513" s="11">
        <v>0.185</v>
      </c>
      <c r="G1513" s="11">
        <v>0.691</v>
      </c>
      <c r="H1513" s="11">
        <v>0.123</v>
      </c>
      <c r="I1513" s="11">
        <v>398582.0</v>
      </c>
      <c r="J1513" s="11">
        <v>0.932</v>
      </c>
      <c r="K1513" s="12" t="s">
        <v>195</v>
      </c>
      <c r="L1513" s="5" t="s">
        <v>75</v>
      </c>
      <c r="M1513" s="9" t="s">
        <v>64</v>
      </c>
    </row>
    <row r="1514">
      <c r="A1514" s="11">
        <v>1513.0</v>
      </c>
      <c r="B1514" s="11">
        <v>0.01</v>
      </c>
      <c r="C1514" s="11">
        <v>0.006</v>
      </c>
      <c r="D1514" s="11">
        <v>81.0</v>
      </c>
      <c r="E1514" s="11">
        <v>77.0</v>
      </c>
      <c r="F1514" s="11">
        <v>0.178</v>
      </c>
      <c r="G1514" s="11">
        <v>0.693</v>
      </c>
      <c r="H1514" s="11">
        <v>0.129</v>
      </c>
      <c r="I1514" s="11">
        <v>401268.0</v>
      </c>
      <c r="J1514" s="11">
        <v>0.934</v>
      </c>
      <c r="K1514" s="12" t="s">
        <v>195</v>
      </c>
      <c r="L1514" s="5" t="s">
        <v>75</v>
      </c>
      <c r="M1514" s="9" t="s">
        <v>65</v>
      </c>
    </row>
    <row r="1515">
      <c r="A1515" s="11">
        <v>1514.0</v>
      </c>
      <c r="B1515" s="11">
        <v>0.01</v>
      </c>
      <c r="C1515" s="11">
        <v>0.006</v>
      </c>
      <c r="D1515" s="11">
        <v>81.0</v>
      </c>
      <c r="E1515" s="11">
        <v>77.0</v>
      </c>
      <c r="F1515" s="11">
        <v>0.173</v>
      </c>
      <c r="G1515" s="11">
        <v>0.694</v>
      </c>
      <c r="H1515" s="11">
        <v>0.133</v>
      </c>
      <c r="I1515" s="11">
        <v>403834.0</v>
      </c>
      <c r="J1515" s="11">
        <v>0.936</v>
      </c>
      <c r="K1515" s="12" t="s">
        <v>195</v>
      </c>
      <c r="L1515" s="5" t="s">
        <v>75</v>
      </c>
      <c r="M1515" s="9" t="s">
        <v>66</v>
      </c>
    </row>
    <row r="1516">
      <c r="A1516" s="11">
        <v>1515.0</v>
      </c>
      <c r="B1516" s="11">
        <v>0.009</v>
      </c>
      <c r="C1516" s="11">
        <v>0.006</v>
      </c>
      <c r="D1516" s="11">
        <v>82.0</v>
      </c>
      <c r="E1516" s="11">
        <v>77.0</v>
      </c>
      <c r="F1516" s="11">
        <v>0.168</v>
      </c>
      <c r="G1516" s="11">
        <v>0.696</v>
      </c>
      <c r="H1516" s="11">
        <v>0.136</v>
      </c>
      <c r="I1516" s="11">
        <v>405308.0</v>
      </c>
      <c r="J1516" s="11">
        <v>0.939</v>
      </c>
      <c r="K1516" s="12" t="s">
        <v>195</v>
      </c>
      <c r="L1516" s="5" t="s">
        <v>75</v>
      </c>
      <c r="M1516" s="9" t="s">
        <v>67</v>
      </c>
    </row>
    <row r="1517">
      <c r="A1517" s="11">
        <v>1516.0</v>
      </c>
      <c r="B1517" s="11">
        <v>0.009</v>
      </c>
      <c r="C1517" s="11">
        <v>0.006</v>
      </c>
      <c r="D1517" s="11">
        <v>82.0</v>
      </c>
      <c r="E1517" s="11">
        <v>78.0</v>
      </c>
      <c r="F1517" s="11">
        <v>0.164</v>
      </c>
      <c r="G1517" s="11">
        <v>0.698</v>
      </c>
      <c r="H1517" s="11">
        <v>0.138</v>
      </c>
      <c r="I1517" s="11">
        <v>406724.0</v>
      </c>
      <c r="J1517" s="11">
        <v>0.941</v>
      </c>
      <c r="K1517" s="12" t="s">
        <v>195</v>
      </c>
      <c r="L1517" s="5" t="s">
        <v>75</v>
      </c>
      <c r="M1517" s="9" t="s">
        <v>68</v>
      </c>
    </row>
    <row r="1518">
      <c r="A1518" s="11">
        <v>1517.0</v>
      </c>
      <c r="B1518" s="11">
        <v>0.01</v>
      </c>
      <c r="C1518" s="11">
        <v>0.006</v>
      </c>
      <c r="D1518" s="11">
        <v>82.0</v>
      </c>
      <c r="E1518" s="11">
        <v>77.0</v>
      </c>
      <c r="F1518" s="11">
        <v>0.162</v>
      </c>
      <c r="G1518" s="11">
        <v>0.699</v>
      </c>
      <c r="H1518" s="11">
        <v>0.139</v>
      </c>
      <c r="I1518" s="11">
        <v>409379.0</v>
      </c>
      <c r="J1518" s="11">
        <v>0.943</v>
      </c>
      <c r="K1518" s="12" t="s">
        <v>195</v>
      </c>
      <c r="L1518" s="5" t="s">
        <v>75</v>
      </c>
      <c r="M1518" s="9" t="s">
        <v>69</v>
      </c>
    </row>
    <row r="1519">
      <c r="A1519" s="11">
        <v>1518.0</v>
      </c>
      <c r="B1519" s="11">
        <v>0.01</v>
      </c>
      <c r="C1519" s="11">
        <v>0.006</v>
      </c>
      <c r="D1519" s="11">
        <v>83.0</v>
      </c>
      <c r="E1519" s="11">
        <v>78.0</v>
      </c>
      <c r="F1519" s="11">
        <v>0.159</v>
      </c>
      <c r="G1519" s="11">
        <v>0.699</v>
      </c>
      <c r="H1519" s="11">
        <v>0.141</v>
      </c>
      <c r="I1519" s="11">
        <v>412477.0</v>
      </c>
      <c r="J1519" s="11">
        <v>0.945</v>
      </c>
      <c r="K1519" s="12" t="s">
        <v>195</v>
      </c>
      <c r="L1519" s="5" t="s">
        <v>75</v>
      </c>
      <c r="M1519" s="9" t="s">
        <v>70</v>
      </c>
    </row>
    <row r="1520">
      <c r="A1520" s="11">
        <v>1519.0</v>
      </c>
      <c r="B1520" s="11">
        <v>0.009</v>
      </c>
      <c r="C1520" s="11">
        <v>0.006</v>
      </c>
      <c r="D1520" s="11">
        <v>84.0</v>
      </c>
      <c r="E1520" s="11">
        <v>79.0</v>
      </c>
      <c r="F1520" s="11">
        <v>0.156</v>
      </c>
      <c r="G1520" s="11">
        <v>0.699</v>
      </c>
      <c r="H1520" s="11">
        <v>0.145</v>
      </c>
      <c r="I1520" s="11">
        <v>414508.0</v>
      </c>
      <c r="J1520" s="11">
        <v>0.947</v>
      </c>
      <c r="K1520" s="12" t="s">
        <v>195</v>
      </c>
      <c r="L1520" s="5" t="s">
        <v>75</v>
      </c>
      <c r="M1520" s="9" t="s">
        <v>71</v>
      </c>
    </row>
    <row r="1521">
      <c r="A1521" s="11">
        <v>1520.0</v>
      </c>
      <c r="B1521" s="11">
        <v>0.01</v>
      </c>
      <c r="C1521" s="11">
        <v>0.005</v>
      </c>
      <c r="D1521" s="11">
        <v>83.0</v>
      </c>
      <c r="E1521" s="11">
        <v>79.0</v>
      </c>
      <c r="F1521" s="11">
        <v>0.153</v>
      </c>
      <c r="G1521" s="11">
        <v>0.697</v>
      </c>
      <c r="H1521" s="11">
        <v>0.15</v>
      </c>
      <c r="I1521" s="11">
        <v>416268.0</v>
      </c>
      <c r="J1521" s="11">
        <v>0.948</v>
      </c>
      <c r="K1521" s="12" t="s">
        <v>195</v>
      </c>
      <c r="L1521" s="5" t="s">
        <v>75</v>
      </c>
      <c r="M1521" s="9" t="s">
        <v>72</v>
      </c>
    </row>
    <row r="1522">
      <c r="A1522" s="11">
        <v>1521.0</v>
      </c>
      <c r="B1522" s="11">
        <v>0.01</v>
      </c>
      <c r="C1522" s="11">
        <v>0.005</v>
      </c>
      <c r="D1522" s="11">
        <v>83.0</v>
      </c>
      <c r="E1522" s="11">
        <v>79.0</v>
      </c>
      <c r="F1522" s="11">
        <v>0.15</v>
      </c>
      <c r="G1522" s="11">
        <v>0.694</v>
      </c>
      <c r="H1522" s="11">
        <v>0.156</v>
      </c>
      <c r="I1522" s="11">
        <v>419455.0</v>
      </c>
      <c r="J1522" s="11">
        <v>0.95</v>
      </c>
      <c r="K1522" s="12" t="s">
        <v>195</v>
      </c>
      <c r="L1522" s="5" t="s">
        <v>75</v>
      </c>
      <c r="M1522" s="9" t="s">
        <v>73</v>
      </c>
    </row>
    <row r="1523">
      <c r="A1523" s="8">
        <v>1522.0</v>
      </c>
      <c r="B1523" s="8"/>
      <c r="C1523" s="11">
        <v>0.034</v>
      </c>
      <c r="D1523" s="11">
        <v>68.0</v>
      </c>
      <c r="E1523" s="11">
        <v>63.0</v>
      </c>
      <c r="F1523" s="8"/>
      <c r="G1523" s="8"/>
      <c r="H1523" s="8"/>
      <c r="I1523" s="11">
        <v>52161.0</v>
      </c>
      <c r="J1523" s="11">
        <v>0.684</v>
      </c>
      <c r="K1523" s="12" t="s">
        <v>196</v>
      </c>
      <c r="L1523" s="5" t="s">
        <v>80</v>
      </c>
      <c r="M1523" s="9" t="s">
        <v>60</v>
      </c>
    </row>
    <row r="1524">
      <c r="A1524" s="8">
        <v>1523.0</v>
      </c>
      <c r="B1524" s="8"/>
      <c r="C1524" s="11">
        <v>0.033</v>
      </c>
      <c r="D1524" s="8"/>
      <c r="E1524" s="8"/>
      <c r="F1524" s="8"/>
      <c r="G1524" s="8"/>
      <c r="H1524" s="8"/>
      <c r="I1524" s="11">
        <v>52184.0</v>
      </c>
      <c r="J1524" s="11">
        <v>0.687</v>
      </c>
      <c r="K1524" s="12" t="s">
        <v>196</v>
      </c>
      <c r="L1524" s="5" t="s">
        <v>80</v>
      </c>
      <c r="M1524" s="9" t="s">
        <v>62</v>
      </c>
    </row>
    <row r="1525">
      <c r="A1525" s="8">
        <v>1524.0</v>
      </c>
      <c r="B1525" s="8"/>
      <c r="C1525" s="11">
        <v>0.033</v>
      </c>
      <c r="D1525" s="8"/>
      <c r="E1525" s="8"/>
      <c r="F1525" s="8"/>
      <c r="G1525" s="8"/>
      <c r="H1525" s="8"/>
      <c r="I1525" s="11">
        <v>52161.0</v>
      </c>
      <c r="J1525" s="11">
        <v>0.69</v>
      </c>
      <c r="K1525" s="12" t="s">
        <v>196</v>
      </c>
      <c r="L1525" s="5" t="s">
        <v>80</v>
      </c>
      <c r="M1525" s="9" t="s">
        <v>63</v>
      </c>
    </row>
    <row r="1526">
      <c r="A1526" s="8">
        <v>1525.0</v>
      </c>
      <c r="B1526" s="8"/>
      <c r="C1526" s="11">
        <v>0.033</v>
      </c>
      <c r="D1526" s="8"/>
      <c r="E1526" s="8"/>
      <c r="F1526" s="8"/>
      <c r="G1526" s="8"/>
      <c r="H1526" s="8"/>
      <c r="I1526" s="11">
        <v>52115.0</v>
      </c>
      <c r="J1526" s="11">
        <v>0.693</v>
      </c>
      <c r="K1526" s="12" t="s">
        <v>196</v>
      </c>
      <c r="L1526" s="5" t="s">
        <v>80</v>
      </c>
      <c r="M1526" s="9" t="s">
        <v>64</v>
      </c>
    </row>
    <row r="1527">
      <c r="A1527" s="8">
        <v>1526.0</v>
      </c>
      <c r="B1527" s="8"/>
      <c r="C1527" s="11">
        <v>0.033</v>
      </c>
      <c r="D1527" s="8"/>
      <c r="E1527" s="8"/>
      <c r="F1527" s="8"/>
      <c r="G1527" s="8"/>
      <c r="H1527" s="8"/>
      <c r="I1527" s="11">
        <v>52074.0</v>
      </c>
      <c r="J1527" s="11">
        <v>0.696</v>
      </c>
      <c r="K1527" s="12" t="s">
        <v>196</v>
      </c>
      <c r="L1527" s="5" t="s">
        <v>80</v>
      </c>
      <c r="M1527" s="9" t="s">
        <v>65</v>
      </c>
    </row>
    <row r="1528">
      <c r="A1528" s="11">
        <v>1527.0</v>
      </c>
      <c r="B1528" s="11">
        <v>0.035</v>
      </c>
      <c r="C1528" s="11">
        <v>0.033</v>
      </c>
      <c r="D1528" s="8"/>
      <c r="E1528" s="8"/>
      <c r="F1528" s="8"/>
      <c r="G1528" s="8"/>
      <c r="H1528" s="8"/>
      <c r="I1528" s="11">
        <v>52058.0</v>
      </c>
      <c r="J1528" s="11">
        <v>0.699</v>
      </c>
      <c r="K1528" s="12" t="s">
        <v>196</v>
      </c>
      <c r="L1528" s="5" t="s">
        <v>80</v>
      </c>
      <c r="M1528" s="9" t="s">
        <v>66</v>
      </c>
    </row>
    <row r="1529">
      <c r="A1529" s="11">
        <v>1528.0</v>
      </c>
      <c r="B1529" s="11">
        <v>0.035</v>
      </c>
      <c r="C1529" s="11">
        <v>0.033</v>
      </c>
      <c r="D1529" s="8"/>
      <c r="E1529" s="8"/>
      <c r="F1529" s="8"/>
      <c r="G1529" s="8"/>
      <c r="H1529" s="8"/>
      <c r="I1529" s="11">
        <v>52084.0</v>
      </c>
      <c r="J1529" s="11">
        <v>0.702</v>
      </c>
      <c r="K1529" s="12" t="s">
        <v>196</v>
      </c>
      <c r="L1529" s="5" t="s">
        <v>80</v>
      </c>
      <c r="M1529" s="9" t="s">
        <v>67</v>
      </c>
    </row>
    <row r="1530">
      <c r="A1530" s="11">
        <v>1529.0</v>
      </c>
      <c r="B1530" s="11">
        <v>0.035</v>
      </c>
      <c r="C1530" s="11">
        <v>0.032</v>
      </c>
      <c r="D1530" s="8"/>
      <c r="E1530" s="8"/>
      <c r="F1530" s="8"/>
      <c r="G1530" s="8"/>
      <c r="H1530" s="8"/>
      <c r="I1530" s="11">
        <v>52150.0</v>
      </c>
      <c r="J1530" s="11">
        <v>0.705</v>
      </c>
      <c r="K1530" s="12" t="s">
        <v>196</v>
      </c>
      <c r="L1530" s="5" t="s">
        <v>80</v>
      </c>
      <c r="M1530" s="9" t="s">
        <v>68</v>
      </c>
    </row>
    <row r="1531">
      <c r="A1531" s="8">
        <v>1530.0</v>
      </c>
      <c r="B1531" s="8"/>
      <c r="C1531" s="11">
        <v>0.032</v>
      </c>
      <c r="D1531" s="8"/>
      <c r="E1531" s="8"/>
      <c r="F1531" s="8"/>
      <c r="G1531" s="8"/>
      <c r="H1531" s="8"/>
      <c r="I1531" s="11">
        <v>52245.0</v>
      </c>
      <c r="J1531" s="11">
        <v>0.708</v>
      </c>
      <c r="K1531" s="12" t="s">
        <v>196</v>
      </c>
      <c r="L1531" s="5" t="s">
        <v>80</v>
      </c>
      <c r="M1531" s="9" t="s">
        <v>69</v>
      </c>
    </row>
    <row r="1532">
      <c r="A1532" s="8">
        <v>1531.0</v>
      </c>
      <c r="B1532" s="8"/>
      <c r="C1532" s="11">
        <v>0.032</v>
      </c>
      <c r="D1532" s="8"/>
      <c r="E1532" s="8"/>
      <c r="F1532" s="8"/>
      <c r="G1532" s="8"/>
      <c r="H1532" s="8"/>
      <c r="I1532" s="11">
        <v>52341.0</v>
      </c>
      <c r="J1532" s="11">
        <v>0.711</v>
      </c>
      <c r="K1532" s="12" t="s">
        <v>196</v>
      </c>
      <c r="L1532" s="5" t="s">
        <v>80</v>
      </c>
      <c r="M1532" s="9" t="s">
        <v>70</v>
      </c>
    </row>
    <row r="1533">
      <c r="A1533" s="8">
        <v>1532.0</v>
      </c>
      <c r="B1533" s="8"/>
      <c r="C1533" s="11">
        <v>0.032</v>
      </c>
      <c r="D1533" s="8"/>
      <c r="E1533" s="8"/>
      <c r="F1533" s="8"/>
      <c r="G1533" s="8"/>
      <c r="H1533" s="8"/>
      <c r="I1533" s="11">
        <v>52428.0</v>
      </c>
      <c r="J1533" s="11">
        <v>0.713</v>
      </c>
      <c r="K1533" s="12" t="s">
        <v>196</v>
      </c>
      <c r="L1533" s="5" t="s">
        <v>80</v>
      </c>
      <c r="M1533" s="9" t="s">
        <v>71</v>
      </c>
    </row>
    <row r="1534">
      <c r="A1534" s="8">
        <v>1533.0</v>
      </c>
      <c r="B1534" s="8"/>
      <c r="C1534" s="11">
        <v>0.032</v>
      </c>
      <c r="D1534" s="8"/>
      <c r="E1534" s="8"/>
      <c r="F1534" s="8"/>
      <c r="G1534" s="8"/>
      <c r="H1534" s="8"/>
      <c r="I1534" s="11">
        <v>52495.0</v>
      </c>
      <c r="J1534" s="11">
        <v>0.716</v>
      </c>
      <c r="K1534" s="12" t="s">
        <v>196</v>
      </c>
      <c r="L1534" s="5" t="s">
        <v>80</v>
      </c>
      <c r="M1534" s="9" t="s">
        <v>72</v>
      </c>
    </row>
    <row r="1535">
      <c r="A1535" s="8">
        <v>1534.0</v>
      </c>
      <c r="B1535" s="8"/>
      <c r="C1535" s="11">
        <v>0.031</v>
      </c>
      <c r="D1535" s="8"/>
      <c r="E1535" s="8"/>
      <c r="F1535" s="8"/>
      <c r="G1535" s="8"/>
      <c r="H1535" s="8"/>
      <c r="I1535" s="11">
        <v>52555.0</v>
      </c>
      <c r="J1535" s="11">
        <v>0.719</v>
      </c>
      <c r="K1535" s="12" t="s">
        <v>196</v>
      </c>
      <c r="L1535" s="5" t="s">
        <v>80</v>
      </c>
      <c r="M1535" s="9" t="s">
        <v>73</v>
      </c>
    </row>
    <row r="1536">
      <c r="A1536" s="11">
        <v>1535.0</v>
      </c>
      <c r="B1536" s="11">
        <v>0.038</v>
      </c>
      <c r="C1536" s="11">
        <v>0.076</v>
      </c>
      <c r="D1536" s="11">
        <v>61.0</v>
      </c>
      <c r="E1536" s="11">
        <v>58.0</v>
      </c>
      <c r="F1536" s="11">
        <v>0.428</v>
      </c>
      <c r="G1536" s="11">
        <v>0.54</v>
      </c>
      <c r="H1536" s="11">
        <v>0.032</v>
      </c>
      <c r="I1536" s="11">
        <v>2708095.0</v>
      </c>
      <c r="J1536" s="11">
        <v>0.492</v>
      </c>
      <c r="K1536" s="12" t="s">
        <v>197</v>
      </c>
      <c r="L1536" s="5" t="s">
        <v>77</v>
      </c>
      <c r="M1536" s="9" t="s">
        <v>60</v>
      </c>
    </row>
    <row r="1537">
      <c r="A1537" s="11">
        <v>1536.0</v>
      </c>
      <c r="B1537" s="11">
        <v>0.038</v>
      </c>
      <c r="C1537" s="11">
        <v>0.076</v>
      </c>
      <c r="D1537" s="11">
        <v>61.0</v>
      </c>
      <c r="E1537" s="11">
        <v>58.0</v>
      </c>
      <c r="F1537" s="11">
        <v>0.426</v>
      </c>
      <c r="G1537" s="11">
        <v>0.543</v>
      </c>
      <c r="H1537" s="11">
        <v>0.032</v>
      </c>
      <c r="I1537" s="11">
        <v>2791403.0</v>
      </c>
      <c r="J1537" s="11">
        <v>0.5</v>
      </c>
      <c r="K1537" s="12" t="s">
        <v>197</v>
      </c>
      <c r="L1537" s="5" t="s">
        <v>77</v>
      </c>
      <c r="M1537" s="9" t="s">
        <v>62</v>
      </c>
    </row>
    <row r="1538">
      <c r="A1538" s="11">
        <v>1537.0</v>
      </c>
      <c r="B1538" s="11">
        <v>0.038</v>
      </c>
      <c r="C1538" s="11">
        <v>0.076</v>
      </c>
      <c r="D1538" s="11">
        <v>61.0</v>
      </c>
      <c r="E1538" s="11">
        <v>58.0</v>
      </c>
      <c r="F1538" s="11">
        <v>0.423</v>
      </c>
      <c r="G1538" s="11">
        <v>0.545</v>
      </c>
      <c r="H1538" s="11">
        <v>0.032</v>
      </c>
      <c r="I1538" s="11">
        <v>2877431.0</v>
      </c>
      <c r="J1538" s="11">
        <v>0.508</v>
      </c>
      <c r="K1538" s="12" t="s">
        <v>197</v>
      </c>
      <c r="L1538" s="5" t="s">
        <v>77</v>
      </c>
      <c r="M1538" s="9" t="s">
        <v>63</v>
      </c>
    </row>
    <row r="1539">
      <c r="A1539" s="11">
        <v>1538.0</v>
      </c>
      <c r="B1539" s="11">
        <v>0.037</v>
      </c>
      <c r="C1539" s="11">
        <v>0.076</v>
      </c>
      <c r="D1539" s="11">
        <v>62.0</v>
      </c>
      <c r="E1539" s="11">
        <v>59.0</v>
      </c>
      <c r="F1539" s="11">
        <v>0.42</v>
      </c>
      <c r="G1539" s="11">
        <v>0.548</v>
      </c>
      <c r="H1539" s="11">
        <v>0.032</v>
      </c>
      <c r="I1539" s="11">
        <v>2965667.0</v>
      </c>
      <c r="J1539" s="11">
        <v>0.516</v>
      </c>
      <c r="K1539" s="12" t="s">
        <v>197</v>
      </c>
      <c r="L1539" s="5" t="s">
        <v>77</v>
      </c>
      <c r="M1539" s="9" t="s">
        <v>64</v>
      </c>
    </row>
    <row r="1540">
      <c r="A1540" s="11">
        <v>1539.0</v>
      </c>
      <c r="B1540" s="11">
        <v>0.037</v>
      </c>
      <c r="C1540" s="11">
        <v>0.075</v>
      </c>
      <c r="D1540" s="11">
        <v>62.0</v>
      </c>
      <c r="E1540" s="11">
        <v>59.0</v>
      </c>
      <c r="F1540" s="11">
        <v>0.418</v>
      </c>
      <c r="G1540" s="11">
        <v>0.551</v>
      </c>
      <c r="H1540" s="11">
        <v>0.032</v>
      </c>
      <c r="I1540" s="11">
        <v>3055425.0</v>
      </c>
      <c r="J1540" s="11">
        <v>0.524</v>
      </c>
      <c r="K1540" s="12" t="s">
        <v>197</v>
      </c>
      <c r="L1540" s="5" t="s">
        <v>77</v>
      </c>
      <c r="M1540" s="9" t="s">
        <v>65</v>
      </c>
    </row>
    <row r="1541">
      <c r="A1541" s="11">
        <v>1540.0</v>
      </c>
      <c r="B1541" s="11">
        <v>0.037</v>
      </c>
      <c r="C1541" s="11">
        <v>0.075</v>
      </c>
      <c r="D1541" s="11">
        <v>62.0</v>
      </c>
      <c r="E1541" s="11">
        <v>59.0</v>
      </c>
      <c r="F1541" s="11">
        <v>0.416</v>
      </c>
      <c r="G1541" s="11">
        <v>0.553</v>
      </c>
      <c r="H1541" s="11">
        <v>0.031</v>
      </c>
      <c r="I1541" s="11">
        <v>3146164.0</v>
      </c>
      <c r="J1541" s="11">
        <v>0.531</v>
      </c>
      <c r="K1541" s="12" t="s">
        <v>197</v>
      </c>
      <c r="L1541" s="5" t="s">
        <v>77</v>
      </c>
      <c r="M1541" s="9" t="s">
        <v>66</v>
      </c>
    </row>
    <row r="1542">
      <c r="A1542" s="11">
        <v>1541.0</v>
      </c>
      <c r="B1542" s="11">
        <v>0.037</v>
      </c>
      <c r="C1542" s="11">
        <v>0.074</v>
      </c>
      <c r="D1542" s="11">
        <v>62.0</v>
      </c>
      <c r="E1542" s="11">
        <v>59.0</v>
      </c>
      <c r="F1542" s="11">
        <v>0.413</v>
      </c>
      <c r="G1542" s="11">
        <v>0.555</v>
      </c>
      <c r="H1542" s="11">
        <v>0.031</v>
      </c>
      <c r="I1542" s="11">
        <v>3237713.0</v>
      </c>
      <c r="J1542" s="11">
        <v>0.539</v>
      </c>
      <c r="K1542" s="12" t="s">
        <v>197</v>
      </c>
      <c r="L1542" s="5" t="s">
        <v>77</v>
      </c>
      <c r="M1542" s="9" t="s">
        <v>67</v>
      </c>
    </row>
    <row r="1543">
      <c r="A1543" s="11">
        <v>1542.0</v>
      </c>
      <c r="B1543" s="11">
        <v>0.036</v>
      </c>
      <c r="C1543" s="11">
        <v>0.073</v>
      </c>
      <c r="D1543" s="11">
        <v>62.0</v>
      </c>
      <c r="E1543" s="11">
        <v>59.0</v>
      </c>
      <c r="F1543" s="11">
        <v>0.411</v>
      </c>
      <c r="G1543" s="11">
        <v>0.557</v>
      </c>
      <c r="H1543" s="11">
        <v>0.031</v>
      </c>
      <c r="I1543" s="11">
        <v>3330037.0</v>
      </c>
      <c r="J1543" s="11">
        <v>0.546</v>
      </c>
      <c r="K1543" s="12" t="s">
        <v>197</v>
      </c>
      <c r="L1543" s="5" t="s">
        <v>77</v>
      </c>
      <c r="M1543" s="9" t="s">
        <v>68</v>
      </c>
    </row>
    <row r="1544">
      <c r="A1544" s="11">
        <v>1543.0</v>
      </c>
      <c r="B1544" s="11">
        <v>0.036</v>
      </c>
      <c r="C1544" s="11">
        <v>0.072</v>
      </c>
      <c r="D1544" s="11">
        <v>62.0</v>
      </c>
      <c r="E1544" s="11">
        <v>59.0</v>
      </c>
      <c r="F1544" s="11">
        <v>0.409</v>
      </c>
      <c r="G1544" s="11">
        <v>0.559</v>
      </c>
      <c r="H1544" s="11">
        <v>0.031</v>
      </c>
      <c r="I1544" s="11">
        <v>3422901.0</v>
      </c>
      <c r="J1544" s="11">
        <v>0.553</v>
      </c>
      <c r="K1544" s="12" t="s">
        <v>197</v>
      </c>
      <c r="L1544" s="5" t="s">
        <v>77</v>
      </c>
      <c r="M1544" s="9" t="s">
        <v>69</v>
      </c>
    </row>
    <row r="1545">
      <c r="A1545" s="11">
        <v>1544.0</v>
      </c>
      <c r="B1545" s="11">
        <v>0.036</v>
      </c>
      <c r="C1545" s="11">
        <v>0.071</v>
      </c>
      <c r="D1545" s="11">
        <v>62.0</v>
      </c>
      <c r="E1545" s="11">
        <v>59.0</v>
      </c>
      <c r="F1545" s="11">
        <v>0.407</v>
      </c>
      <c r="G1545" s="11">
        <v>0.561</v>
      </c>
      <c r="H1545" s="11">
        <v>0.031</v>
      </c>
      <c r="I1545" s="11">
        <v>3516077.0</v>
      </c>
      <c r="J1545" s="11">
        <v>0.56</v>
      </c>
      <c r="K1545" s="12" t="s">
        <v>197</v>
      </c>
      <c r="L1545" s="5" t="s">
        <v>77</v>
      </c>
      <c r="M1545" s="9" t="s">
        <v>70</v>
      </c>
    </row>
    <row r="1546">
      <c r="A1546" s="11">
        <v>1545.0</v>
      </c>
      <c r="B1546" s="11">
        <v>0.035</v>
      </c>
      <c r="C1546" s="11">
        <v>0.07</v>
      </c>
      <c r="D1546" s="11">
        <v>63.0</v>
      </c>
      <c r="E1546" s="11">
        <v>60.0</v>
      </c>
      <c r="F1546" s="11">
        <v>0.406</v>
      </c>
      <c r="G1546" s="11">
        <v>0.563</v>
      </c>
      <c r="H1546" s="11">
        <v>0.031</v>
      </c>
      <c r="I1546" s="11">
        <v>3609420.0</v>
      </c>
      <c r="J1546" s="11">
        <v>0.567</v>
      </c>
      <c r="K1546" s="12" t="s">
        <v>197</v>
      </c>
      <c r="L1546" s="5" t="s">
        <v>77</v>
      </c>
      <c r="M1546" s="9" t="s">
        <v>71</v>
      </c>
    </row>
    <row r="1547">
      <c r="A1547" s="11">
        <v>1546.0</v>
      </c>
      <c r="B1547" s="11">
        <v>0.035</v>
      </c>
      <c r="C1547" s="11">
        <v>0.069</v>
      </c>
      <c r="D1547" s="11">
        <v>63.0</v>
      </c>
      <c r="E1547" s="11">
        <v>60.0</v>
      </c>
      <c r="F1547" s="11">
        <v>0.404</v>
      </c>
      <c r="G1547" s="11">
        <v>0.565</v>
      </c>
      <c r="H1547" s="11">
        <v>0.031</v>
      </c>
      <c r="I1547" s="11">
        <v>3702763.0</v>
      </c>
      <c r="J1547" s="11">
        <v>0.573</v>
      </c>
      <c r="K1547" s="12" t="s">
        <v>197</v>
      </c>
      <c r="L1547" s="5" t="s">
        <v>77</v>
      </c>
      <c r="M1547" s="9" t="s">
        <v>72</v>
      </c>
    </row>
    <row r="1548">
      <c r="A1548" s="11">
        <v>1547.0</v>
      </c>
      <c r="B1548" s="11">
        <v>0.034</v>
      </c>
      <c r="C1548" s="11">
        <v>0.068</v>
      </c>
      <c r="D1548" s="11">
        <v>63.0</v>
      </c>
      <c r="E1548" s="11">
        <v>60.0</v>
      </c>
      <c r="F1548" s="11">
        <v>0.402</v>
      </c>
      <c r="G1548" s="11">
        <v>0.566</v>
      </c>
      <c r="H1548" s="11">
        <v>0.032</v>
      </c>
      <c r="I1548" s="11">
        <v>3796141.0</v>
      </c>
      <c r="J1548" s="11">
        <v>0.58</v>
      </c>
      <c r="K1548" s="12" t="s">
        <v>197</v>
      </c>
      <c r="L1548" s="5" t="s">
        <v>77</v>
      </c>
      <c r="M1548" s="9" t="s">
        <v>73</v>
      </c>
    </row>
    <row r="1549">
      <c r="A1549" s="11">
        <v>1548.0</v>
      </c>
      <c r="B1549" s="11">
        <v>0.017</v>
      </c>
      <c r="C1549" s="11">
        <v>0.016</v>
      </c>
      <c r="D1549" s="11">
        <v>75.0</v>
      </c>
      <c r="E1549" s="11">
        <v>68.0</v>
      </c>
      <c r="F1549" s="11">
        <v>0.258</v>
      </c>
      <c r="G1549" s="11">
        <v>0.681</v>
      </c>
      <c r="H1549" s="11">
        <v>0.061</v>
      </c>
      <c r="I1549" s="11">
        <v>1186873.0</v>
      </c>
      <c r="J1549" s="11">
        <v>0.427</v>
      </c>
      <c r="K1549" s="12" t="s">
        <v>198</v>
      </c>
      <c r="L1549" s="5" t="s">
        <v>77</v>
      </c>
      <c r="M1549" s="9" t="s">
        <v>60</v>
      </c>
    </row>
    <row r="1550">
      <c r="A1550" s="11">
        <v>1549.0</v>
      </c>
      <c r="B1550" s="11">
        <v>0.016</v>
      </c>
      <c r="C1550" s="11">
        <v>0.015</v>
      </c>
      <c r="D1550" s="11">
        <v>75.0</v>
      </c>
      <c r="E1550" s="11">
        <v>68.0</v>
      </c>
      <c r="F1550" s="11">
        <v>0.255</v>
      </c>
      <c r="G1550" s="11">
        <v>0.683</v>
      </c>
      <c r="H1550" s="11">
        <v>0.063</v>
      </c>
      <c r="I1550" s="11">
        <v>1199881.0</v>
      </c>
      <c r="J1550" s="11">
        <v>0.425</v>
      </c>
      <c r="K1550" s="12" t="s">
        <v>198</v>
      </c>
      <c r="L1550" s="5" t="s">
        <v>77</v>
      </c>
      <c r="M1550" s="9" t="s">
        <v>62</v>
      </c>
    </row>
    <row r="1551">
      <c r="A1551" s="11">
        <v>1550.0</v>
      </c>
      <c r="B1551" s="11">
        <v>0.017</v>
      </c>
      <c r="C1551" s="11">
        <v>0.014</v>
      </c>
      <c r="D1551" s="11">
        <v>76.0</v>
      </c>
      <c r="E1551" s="11">
        <v>69.0</v>
      </c>
      <c r="F1551" s="11">
        <v>0.252</v>
      </c>
      <c r="G1551" s="11">
        <v>0.685</v>
      </c>
      <c r="H1551" s="11">
        <v>0.064</v>
      </c>
      <c r="I1551" s="11">
        <v>1210196.0</v>
      </c>
      <c r="J1551" s="11">
        <v>0.423</v>
      </c>
      <c r="K1551" s="12" t="s">
        <v>198</v>
      </c>
      <c r="L1551" s="5" t="s">
        <v>77</v>
      </c>
      <c r="M1551" s="9" t="s">
        <v>63</v>
      </c>
    </row>
    <row r="1552">
      <c r="A1552" s="11">
        <v>1551.0</v>
      </c>
      <c r="B1552" s="11">
        <v>0.016</v>
      </c>
      <c r="C1552" s="11">
        <v>0.014</v>
      </c>
      <c r="D1552" s="11">
        <v>76.0</v>
      </c>
      <c r="E1552" s="11">
        <v>69.0</v>
      </c>
      <c r="F1552" s="11">
        <v>0.249</v>
      </c>
      <c r="G1552" s="11">
        <v>0.687</v>
      </c>
      <c r="H1552" s="11">
        <v>0.064</v>
      </c>
      <c r="I1552" s="11">
        <v>1222811.0</v>
      </c>
      <c r="J1552" s="11">
        <v>0.42</v>
      </c>
      <c r="K1552" s="12" t="s">
        <v>198</v>
      </c>
      <c r="L1552" s="5" t="s">
        <v>77</v>
      </c>
      <c r="M1552" s="9" t="s">
        <v>64</v>
      </c>
    </row>
    <row r="1553">
      <c r="A1553" s="11">
        <v>1552.0</v>
      </c>
      <c r="B1553" s="11">
        <v>0.016</v>
      </c>
      <c r="C1553" s="11">
        <v>0.014</v>
      </c>
      <c r="D1553" s="11">
        <v>76.0</v>
      </c>
      <c r="E1553" s="11">
        <v>69.0</v>
      </c>
      <c r="F1553" s="11">
        <v>0.246</v>
      </c>
      <c r="G1553" s="11">
        <v>0.689</v>
      </c>
      <c r="H1553" s="11">
        <v>0.065</v>
      </c>
      <c r="I1553" s="11">
        <v>1233386.0</v>
      </c>
      <c r="J1553" s="11">
        <v>0.418</v>
      </c>
      <c r="K1553" s="12" t="s">
        <v>198</v>
      </c>
      <c r="L1553" s="5" t="s">
        <v>77</v>
      </c>
      <c r="M1553" s="9" t="s">
        <v>65</v>
      </c>
    </row>
    <row r="1554">
      <c r="A1554" s="11">
        <v>1553.0</v>
      </c>
      <c r="B1554" s="11">
        <v>0.015</v>
      </c>
      <c r="C1554" s="11">
        <v>0.014</v>
      </c>
      <c r="D1554" s="11">
        <v>76.0</v>
      </c>
      <c r="E1554" s="11">
        <v>69.0</v>
      </c>
      <c r="F1554" s="11">
        <v>0.242</v>
      </c>
      <c r="G1554" s="11">
        <v>0.692</v>
      </c>
      <c r="H1554" s="11">
        <v>0.066</v>
      </c>
      <c r="I1554" s="11">
        <v>1243253.0</v>
      </c>
      <c r="J1554" s="11">
        <v>0.416</v>
      </c>
      <c r="K1554" s="12" t="s">
        <v>198</v>
      </c>
      <c r="L1554" s="5" t="s">
        <v>77</v>
      </c>
      <c r="M1554" s="9" t="s">
        <v>66</v>
      </c>
    </row>
    <row r="1555">
      <c r="A1555" s="11">
        <v>1554.0</v>
      </c>
      <c r="B1555" s="11">
        <v>0.014</v>
      </c>
      <c r="C1555" s="11">
        <v>0.014</v>
      </c>
      <c r="D1555" s="11">
        <v>76.0</v>
      </c>
      <c r="E1555" s="11">
        <v>69.0</v>
      </c>
      <c r="F1555" s="11">
        <v>0.236</v>
      </c>
      <c r="G1555" s="11">
        <v>0.696</v>
      </c>
      <c r="H1555" s="11">
        <v>0.068</v>
      </c>
      <c r="I1555" s="11">
        <v>1252698.0</v>
      </c>
      <c r="J1555" s="11">
        <v>0.414</v>
      </c>
      <c r="K1555" s="12" t="s">
        <v>198</v>
      </c>
      <c r="L1555" s="5" t="s">
        <v>77</v>
      </c>
      <c r="M1555" s="9" t="s">
        <v>67</v>
      </c>
    </row>
    <row r="1556">
      <c r="A1556" s="11">
        <v>1555.0</v>
      </c>
      <c r="B1556" s="11">
        <v>0.014</v>
      </c>
      <c r="C1556" s="11">
        <v>0.014</v>
      </c>
      <c r="D1556" s="11">
        <v>76.0</v>
      </c>
      <c r="E1556" s="11">
        <v>69.0</v>
      </c>
      <c r="F1556" s="11">
        <v>0.23</v>
      </c>
      <c r="G1556" s="11">
        <v>0.7</v>
      </c>
      <c r="H1556" s="11">
        <v>0.07</v>
      </c>
      <c r="I1556" s="11">
        <v>1260403.0</v>
      </c>
      <c r="J1556" s="11">
        <v>0.412</v>
      </c>
      <c r="K1556" s="12" t="s">
        <v>198</v>
      </c>
      <c r="L1556" s="5" t="s">
        <v>77</v>
      </c>
      <c r="M1556" s="9" t="s">
        <v>68</v>
      </c>
    </row>
    <row r="1557">
      <c r="A1557" s="11">
        <v>1556.0</v>
      </c>
      <c r="B1557" s="11">
        <v>0.013</v>
      </c>
      <c r="C1557" s="11">
        <v>0.014</v>
      </c>
      <c r="D1557" s="11">
        <v>76.0</v>
      </c>
      <c r="E1557" s="11">
        <v>69.0</v>
      </c>
      <c r="F1557" s="11">
        <v>0.224</v>
      </c>
      <c r="G1557" s="11">
        <v>0.704</v>
      </c>
      <c r="H1557" s="11">
        <v>0.072</v>
      </c>
      <c r="I1557" s="11">
        <v>1268565.0</v>
      </c>
      <c r="J1557" s="11">
        <v>0.41</v>
      </c>
      <c r="K1557" s="12" t="s">
        <v>198</v>
      </c>
      <c r="L1557" s="5" t="s">
        <v>77</v>
      </c>
      <c r="M1557" s="9" t="s">
        <v>69</v>
      </c>
    </row>
    <row r="1558">
      <c r="A1558" s="11">
        <v>1557.0</v>
      </c>
      <c r="B1558" s="11">
        <v>0.012</v>
      </c>
      <c r="C1558" s="11">
        <v>0.014</v>
      </c>
      <c r="D1558" s="11">
        <v>77.0</v>
      </c>
      <c r="E1558" s="11">
        <v>69.0</v>
      </c>
      <c r="F1558" s="11">
        <v>0.217</v>
      </c>
      <c r="G1558" s="11">
        <v>0.708</v>
      </c>
      <c r="H1558" s="11">
        <v>0.075</v>
      </c>
      <c r="I1558" s="11">
        <v>1275032.0</v>
      </c>
      <c r="J1558" s="11">
        <v>0.408</v>
      </c>
      <c r="K1558" s="12" t="s">
        <v>198</v>
      </c>
      <c r="L1558" s="5" t="s">
        <v>77</v>
      </c>
      <c r="M1558" s="9" t="s">
        <v>70</v>
      </c>
    </row>
    <row r="1559">
      <c r="A1559" s="11">
        <v>1558.0</v>
      </c>
      <c r="B1559" s="11">
        <v>0.012</v>
      </c>
      <c r="C1559" s="11">
        <v>0.013</v>
      </c>
      <c r="D1559" s="11">
        <v>77.0</v>
      </c>
      <c r="E1559" s="11">
        <v>69.0</v>
      </c>
      <c r="F1559" s="11">
        <v>0.212</v>
      </c>
      <c r="G1559" s="11">
        <v>0.711</v>
      </c>
      <c r="H1559" s="11">
        <v>0.077</v>
      </c>
      <c r="I1559" s="11">
        <v>1280924.0</v>
      </c>
      <c r="J1559" s="11">
        <v>0.406</v>
      </c>
      <c r="K1559" s="12" t="s">
        <v>198</v>
      </c>
      <c r="L1559" s="5" t="s">
        <v>77</v>
      </c>
      <c r="M1559" s="9" t="s">
        <v>71</v>
      </c>
    </row>
    <row r="1560">
      <c r="A1560" s="11">
        <v>1559.0</v>
      </c>
      <c r="B1560" s="11">
        <v>0.011</v>
      </c>
      <c r="C1560" s="11">
        <v>0.013</v>
      </c>
      <c r="D1560" s="11">
        <v>77.0</v>
      </c>
      <c r="E1560" s="11">
        <v>70.0</v>
      </c>
      <c r="F1560" s="11">
        <v>0.206</v>
      </c>
      <c r="G1560" s="11">
        <v>0.713</v>
      </c>
      <c r="H1560" s="11">
        <v>0.08</v>
      </c>
      <c r="I1560" s="11">
        <v>1286051.0</v>
      </c>
      <c r="J1560" s="11">
        <v>0.404</v>
      </c>
      <c r="K1560" s="12" t="s">
        <v>198</v>
      </c>
      <c r="L1560" s="5" t="s">
        <v>77</v>
      </c>
      <c r="M1560" s="9" t="s">
        <v>72</v>
      </c>
    </row>
    <row r="1561">
      <c r="A1561" s="11">
        <v>1560.0</v>
      </c>
      <c r="B1561" s="11">
        <v>0.011</v>
      </c>
      <c r="C1561" s="11">
        <v>0.013</v>
      </c>
      <c r="D1561" s="11">
        <v>77.0</v>
      </c>
      <c r="E1561" s="11">
        <v>70.0</v>
      </c>
      <c r="F1561" s="11">
        <v>0.202</v>
      </c>
      <c r="G1561" s="11">
        <v>0.715</v>
      </c>
      <c r="H1561" s="11">
        <v>0.084</v>
      </c>
      <c r="I1561" s="11">
        <v>1291167.0</v>
      </c>
      <c r="J1561" s="11">
        <v>0.402</v>
      </c>
      <c r="K1561" s="12" t="s">
        <v>198</v>
      </c>
      <c r="L1561" s="5" t="s">
        <v>77</v>
      </c>
      <c r="M1561" s="9" t="s">
        <v>73</v>
      </c>
    </row>
    <row r="1562">
      <c r="A1562" s="11">
        <v>1561.0</v>
      </c>
      <c r="B1562" s="11">
        <v>0.024</v>
      </c>
      <c r="C1562" s="11">
        <v>0.022</v>
      </c>
      <c r="D1562" s="11">
        <v>77.0</v>
      </c>
      <c r="E1562" s="11">
        <v>72.0</v>
      </c>
      <c r="F1562" s="11">
        <v>0.341</v>
      </c>
      <c r="G1562" s="11">
        <v>0.61</v>
      </c>
      <c r="H1562" s="11">
        <v>0.049</v>
      </c>
      <c r="I1562" s="11">
        <v>1.03873607E8</v>
      </c>
      <c r="J1562" s="11">
        <v>0.747</v>
      </c>
      <c r="K1562" s="12" t="s">
        <v>199</v>
      </c>
      <c r="L1562" s="5" t="s">
        <v>84</v>
      </c>
      <c r="M1562" s="9" t="s">
        <v>60</v>
      </c>
    </row>
    <row r="1563">
      <c r="A1563" s="11">
        <v>1562.0</v>
      </c>
      <c r="B1563" s="11">
        <v>0.024</v>
      </c>
      <c r="C1563" s="11">
        <v>0.02</v>
      </c>
      <c r="D1563" s="11">
        <v>77.0</v>
      </c>
      <c r="E1563" s="11">
        <v>72.0</v>
      </c>
      <c r="F1563" s="11">
        <v>0.337</v>
      </c>
      <c r="G1563" s="11">
        <v>0.613</v>
      </c>
      <c r="H1563" s="11">
        <v>0.05</v>
      </c>
      <c r="I1563" s="11">
        <v>1.05339877E8</v>
      </c>
      <c r="J1563" s="11">
        <v>0.75</v>
      </c>
      <c r="K1563" s="12" t="s">
        <v>199</v>
      </c>
      <c r="L1563" s="5" t="s">
        <v>84</v>
      </c>
      <c r="M1563" s="9" t="s">
        <v>62</v>
      </c>
    </row>
    <row r="1564">
      <c r="A1564" s="11">
        <v>1563.0</v>
      </c>
      <c r="B1564" s="11">
        <v>0.023</v>
      </c>
      <c r="C1564" s="11">
        <v>0.019</v>
      </c>
      <c r="D1564" s="11">
        <v>77.0</v>
      </c>
      <c r="E1564" s="11">
        <v>72.0</v>
      </c>
      <c r="F1564" s="11">
        <v>0.334</v>
      </c>
      <c r="G1564" s="11">
        <v>0.615</v>
      </c>
      <c r="H1564" s="11">
        <v>0.051</v>
      </c>
      <c r="I1564" s="11">
        <v>1.06723661E8</v>
      </c>
      <c r="J1564" s="11">
        <v>0.754</v>
      </c>
      <c r="K1564" s="12" t="s">
        <v>199</v>
      </c>
      <c r="L1564" s="5" t="s">
        <v>84</v>
      </c>
      <c r="M1564" s="9" t="s">
        <v>63</v>
      </c>
    </row>
    <row r="1565">
      <c r="A1565" s="11">
        <v>1564.0</v>
      </c>
      <c r="B1565" s="11">
        <v>0.023</v>
      </c>
      <c r="C1565" s="11">
        <v>0.018</v>
      </c>
      <c r="D1565" s="11">
        <v>78.0</v>
      </c>
      <c r="E1565" s="11">
        <v>73.0</v>
      </c>
      <c r="F1565" s="11">
        <v>0.33</v>
      </c>
      <c r="G1565" s="11">
        <v>0.618</v>
      </c>
      <c r="H1565" s="11">
        <v>0.051</v>
      </c>
      <c r="I1565" s="11">
        <v>1.08056312E8</v>
      </c>
      <c r="J1565" s="11">
        <v>0.757</v>
      </c>
      <c r="K1565" s="12" t="s">
        <v>199</v>
      </c>
      <c r="L1565" s="5" t="s">
        <v>84</v>
      </c>
      <c r="M1565" s="9" t="s">
        <v>64</v>
      </c>
    </row>
    <row r="1566">
      <c r="A1566" s="11">
        <v>1565.0</v>
      </c>
      <c r="B1566" s="11">
        <v>0.022</v>
      </c>
      <c r="C1566" s="11">
        <v>0.017</v>
      </c>
      <c r="D1566" s="11">
        <v>78.0</v>
      </c>
      <c r="E1566" s="11">
        <v>73.0</v>
      </c>
      <c r="F1566" s="11">
        <v>0.327</v>
      </c>
      <c r="G1566" s="11">
        <v>0.621</v>
      </c>
      <c r="H1566" s="11">
        <v>0.052</v>
      </c>
      <c r="I1566" s="11">
        <v>1.0938155E8</v>
      </c>
      <c r="J1566" s="11">
        <v>0.76</v>
      </c>
      <c r="K1566" s="12" t="s">
        <v>199</v>
      </c>
      <c r="L1566" s="5" t="s">
        <v>84</v>
      </c>
      <c r="M1566" s="9" t="s">
        <v>65</v>
      </c>
    </row>
    <row r="1567">
      <c r="A1567" s="11">
        <v>1566.0</v>
      </c>
      <c r="B1567" s="11">
        <v>0.022</v>
      </c>
      <c r="C1567" s="11">
        <v>0.017</v>
      </c>
      <c r="D1567" s="11">
        <v>78.0</v>
      </c>
      <c r="E1567" s="11">
        <v>73.0</v>
      </c>
      <c r="F1567" s="11">
        <v>0.323</v>
      </c>
      <c r="G1567" s="11">
        <v>0.624</v>
      </c>
      <c r="H1567" s="11">
        <v>0.053</v>
      </c>
      <c r="I1567" s="11">
        <v>1.10731826E8</v>
      </c>
      <c r="J1567" s="11">
        <v>0.763</v>
      </c>
      <c r="K1567" s="12" t="s">
        <v>199</v>
      </c>
      <c r="L1567" s="5" t="s">
        <v>84</v>
      </c>
      <c r="M1567" s="9" t="s">
        <v>66</v>
      </c>
    </row>
    <row r="1568">
      <c r="A1568" s="11">
        <v>1567.0</v>
      </c>
      <c r="B1568" s="11">
        <v>0.021</v>
      </c>
      <c r="C1568" s="11">
        <v>0.016</v>
      </c>
      <c r="D1568" s="11">
        <v>78.0</v>
      </c>
      <c r="E1568" s="11">
        <v>73.0</v>
      </c>
      <c r="F1568" s="11">
        <v>0.319</v>
      </c>
      <c r="G1568" s="11">
        <v>0.627</v>
      </c>
      <c r="H1568" s="11">
        <v>0.054</v>
      </c>
      <c r="I1568" s="11">
        <v>1.12116694E8</v>
      </c>
      <c r="J1568" s="11">
        <v>0.766</v>
      </c>
      <c r="K1568" s="12" t="s">
        <v>199</v>
      </c>
      <c r="L1568" s="5" t="s">
        <v>84</v>
      </c>
      <c r="M1568" s="9" t="s">
        <v>67</v>
      </c>
    </row>
    <row r="1569">
      <c r="A1569" s="11">
        <v>1568.0</v>
      </c>
      <c r="B1569" s="11">
        <v>0.021</v>
      </c>
      <c r="C1569" s="11">
        <v>0.016</v>
      </c>
      <c r="D1569" s="11">
        <v>78.0</v>
      </c>
      <c r="E1569" s="11">
        <v>74.0</v>
      </c>
      <c r="F1569" s="11">
        <v>0.314</v>
      </c>
      <c r="G1569" s="11">
        <v>0.63</v>
      </c>
      <c r="H1569" s="11">
        <v>0.056</v>
      </c>
      <c r="I1569" s="11">
        <v>1.13529819E8</v>
      </c>
      <c r="J1569" s="11">
        <v>0.769</v>
      </c>
      <c r="K1569" s="12" t="s">
        <v>199</v>
      </c>
      <c r="L1569" s="5" t="s">
        <v>84</v>
      </c>
      <c r="M1569" s="9" t="s">
        <v>68</v>
      </c>
    </row>
    <row r="1570">
      <c r="A1570" s="11">
        <v>1569.0</v>
      </c>
      <c r="B1570" s="11">
        <v>0.02</v>
      </c>
      <c r="C1570" s="11">
        <v>0.015</v>
      </c>
      <c r="D1570" s="11">
        <v>79.0</v>
      </c>
      <c r="E1570" s="11">
        <v>74.0</v>
      </c>
      <c r="F1570" s="11">
        <v>0.31</v>
      </c>
      <c r="G1570" s="11">
        <v>0.633</v>
      </c>
      <c r="H1570" s="11">
        <v>0.057</v>
      </c>
      <c r="I1570" s="11">
        <v>1.14968039E8</v>
      </c>
      <c r="J1570" s="11">
        <v>0.772</v>
      </c>
      <c r="K1570" s="12" t="s">
        <v>199</v>
      </c>
      <c r="L1570" s="5" t="s">
        <v>84</v>
      </c>
      <c r="M1570" s="9" t="s">
        <v>69</v>
      </c>
    </row>
    <row r="1571">
      <c r="A1571" s="11">
        <v>1570.0</v>
      </c>
      <c r="B1571" s="11">
        <v>0.02</v>
      </c>
      <c r="C1571" s="11">
        <v>0.015</v>
      </c>
      <c r="D1571" s="11">
        <v>79.0</v>
      </c>
      <c r="E1571" s="11">
        <v>74.0</v>
      </c>
      <c r="F1571" s="11">
        <v>0.305</v>
      </c>
      <c r="G1571" s="11">
        <v>0.636</v>
      </c>
      <c r="H1571" s="11">
        <v>0.058</v>
      </c>
      <c r="I1571" s="11">
        <v>1.16422752E8</v>
      </c>
      <c r="J1571" s="11">
        <v>0.775</v>
      </c>
      <c r="K1571" s="12" t="s">
        <v>199</v>
      </c>
      <c r="L1571" s="5" t="s">
        <v>84</v>
      </c>
      <c r="M1571" s="9" t="s">
        <v>70</v>
      </c>
    </row>
    <row r="1572">
      <c r="A1572" s="11">
        <v>1571.0</v>
      </c>
      <c r="B1572" s="11">
        <v>0.02</v>
      </c>
      <c r="C1572" s="11">
        <v>0.014</v>
      </c>
      <c r="D1572" s="11">
        <v>79.0</v>
      </c>
      <c r="E1572" s="11">
        <v>74.0</v>
      </c>
      <c r="F1572" s="11">
        <v>0.3</v>
      </c>
      <c r="G1572" s="11">
        <v>0.64</v>
      </c>
      <c r="H1572" s="11">
        <v>0.06</v>
      </c>
      <c r="I1572" s="11">
        <v>1.17886404E8</v>
      </c>
      <c r="J1572" s="11">
        <v>0.778</v>
      </c>
      <c r="K1572" s="12" t="s">
        <v>199</v>
      </c>
      <c r="L1572" s="5" t="s">
        <v>84</v>
      </c>
      <c r="M1572" s="9" t="s">
        <v>71</v>
      </c>
    </row>
    <row r="1573">
      <c r="A1573" s="11">
        <v>1572.0</v>
      </c>
      <c r="B1573" s="11">
        <v>0.019</v>
      </c>
      <c r="C1573" s="11">
        <v>0.014</v>
      </c>
      <c r="D1573" s="11">
        <v>79.0</v>
      </c>
      <c r="E1573" s="11">
        <v>75.0</v>
      </c>
      <c r="F1573" s="11">
        <v>0.295</v>
      </c>
      <c r="G1573" s="11">
        <v>0.643</v>
      </c>
      <c r="H1573" s="11">
        <v>0.061</v>
      </c>
      <c r="I1573" s="11">
        <v>1.19361233E8</v>
      </c>
      <c r="J1573" s="11">
        <v>0.781</v>
      </c>
      <c r="K1573" s="12" t="s">
        <v>199</v>
      </c>
      <c r="L1573" s="5" t="s">
        <v>84</v>
      </c>
      <c r="M1573" s="9" t="s">
        <v>72</v>
      </c>
    </row>
    <row r="1574">
      <c r="A1574" s="11">
        <v>1573.0</v>
      </c>
      <c r="B1574" s="11">
        <v>0.019</v>
      </c>
      <c r="C1574" s="11">
        <v>0.013</v>
      </c>
      <c r="D1574" s="11">
        <v>80.0</v>
      </c>
      <c r="E1574" s="11">
        <v>75.0</v>
      </c>
      <c r="F1574" s="11">
        <v>0.29</v>
      </c>
      <c r="G1574" s="11">
        <v>0.647</v>
      </c>
      <c r="H1574" s="11">
        <v>0.063</v>
      </c>
      <c r="I1574" s="11">
        <v>1.20847477E8</v>
      </c>
      <c r="J1574" s="11">
        <v>0.784</v>
      </c>
      <c r="K1574" s="12" t="s">
        <v>199</v>
      </c>
      <c r="L1574" s="5" t="s">
        <v>84</v>
      </c>
      <c r="M1574" s="9" t="s">
        <v>73</v>
      </c>
    </row>
    <row r="1575">
      <c r="A1575" s="11">
        <v>1574.0</v>
      </c>
      <c r="B1575" s="11">
        <v>0.03</v>
      </c>
      <c r="C1575" s="11">
        <v>0.042</v>
      </c>
      <c r="D1575" s="11">
        <v>68.0</v>
      </c>
      <c r="E1575" s="11">
        <v>67.0</v>
      </c>
      <c r="F1575" s="11">
        <v>0.403</v>
      </c>
      <c r="G1575" s="11">
        <v>0.56</v>
      </c>
      <c r="H1575" s="11">
        <v>0.037</v>
      </c>
      <c r="I1575" s="11">
        <v>107430.0</v>
      </c>
      <c r="J1575" s="11">
        <v>0.223</v>
      </c>
      <c r="K1575" s="12" t="s">
        <v>200</v>
      </c>
      <c r="L1575" s="5" t="s">
        <v>80</v>
      </c>
      <c r="M1575" s="9" t="s">
        <v>60</v>
      </c>
    </row>
    <row r="1576">
      <c r="A1576" s="11">
        <v>1575.0</v>
      </c>
      <c r="B1576" s="11">
        <v>0.029</v>
      </c>
      <c r="C1576" s="11">
        <v>0.041</v>
      </c>
      <c r="D1576" s="11">
        <v>68.0</v>
      </c>
      <c r="E1576" s="11">
        <v>67.0</v>
      </c>
      <c r="F1576" s="11">
        <v>0.399</v>
      </c>
      <c r="G1576" s="11">
        <v>0.563</v>
      </c>
      <c r="H1576" s="11">
        <v>0.038</v>
      </c>
      <c r="I1576" s="11">
        <v>107170.0</v>
      </c>
      <c r="J1576" s="11">
        <v>0.223</v>
      </c>
      <c r="K1576" s="12" t="s">
        <v>200</v>
      </c>
      <c r="L1576" s="5" t="s">
        <v>80</v>
      </c>
      <c r="M1576" s="9" t="s">
        <v>62</v>
      </c>
    </row>
    <row r="1577">
      <c r="A1577" s="11">
        <v>1576.0</v>
      </c>
      <c r="B1577" s="11">
        <v>0.028</v>
      </c>
      <c r="C1577" s="11">
        <v>0.04</v>
      </c>
      <c r="D1577" s="11">
        <v>68.0</v>
      </c>
      <c r="E1577" s="11">
        <v>67.0</v>
      </c>
      <c r="F1577" s="11">
        <v>0.395</v>
      </c>
      <c r="G1577" s="11">
        <v>0.566</v>
      </c>
      <c r="H1577" s="11">
        <v>0.039</v>
      </c>
      <c r="I1577" s="11">
        <v>106983.0</v>
      </c>
      <c r="J1577" s="11">
        <v>0.223</v>
      </c>
      <c r="K1577" s="12" t="s">
        <v>200</v>
      </c>
      <c r="L1577" s="5" t="s">
        <v>80</v>
      </c>
      <c r="M1577" s="9" t="s">
        <v>63</v>
      </c>
    </row>
    <row r="1578">
      <c r="A1578" s="11">
        <v>1577.0</v>
      </c>
      <c r="B1578" s="11">
        <v>0.028</v>
      </c>
      <c r="C1578" s="11">
        <v>0.039</v>
      </c>
      <c r="D1578" s="11">
        <v>68.0</v>
      </c>
      <c r="E1578" s="11">
        <v>67.0</v>
      </c>
      <c r="F1578" s="11">
        <v>0.393</v>
      </c>
      <c r="G1578" s="11">
        <v>0.568</v>
      </c>
      <c r="H1578" s="11">
        <v>0.039</v>
      </c>
      <c r="I1578" s="11">
        <v>106816.0</v>
      </c>
      <c r="J1578" s="11">
        <v>0.223</v>
      </c>
      <c r="K1578" s="12" t="s">
        <v>200</v>
      </c>
      <c r="L1578" s="5" t="s">
        <v>80</v>
      </c>
      <c r="M1578" s="9" t="s">
        <v>64</v>
      </c>
    </row>
    <row r="1579">
      <c r="A1579" s="11">
        <v>1578.0</v>
      </c>
      <c r="B1579" s="11">
        <v>0.027</v>
      </c>
      <c r="C1579" s="11">
        <v>0.038</v>
      </c>
      <c r="D1579" s="11">
        <v>68.0</v>
      </c>
      <c r="E1579" s="11">
        <v>67.0</v>
      </c>
      <c r="F1579" s="11">
        <v>0.391</v>
      </c>
      <c r="G1579" s="11">
        <v>0.57</v>
      </c>
      <c r="H1579" s="11">
        <v>0.04</v>
      </c>
      <c r="I1579" s="11">
        <v>106575.0</v>
      </c>
      <c r="J1579" s="11">
        <v>0.223</v>
      </c>
      <c r="K1579" s="12" t="s">
        <v>200</v>
      </c>
      <c r="L1579" s="5" t="s">
        <v>80</v>
      </c>
      <c r="M1579" s="9" t="s">
        <v>65</v>
      </c>
    </row>
    <row r="1580">
      <c r="A1580" s="11">
        <v>1579.0</v>
      </c>
      <c r="B1580" s="11">
        <v>0.026</v>
      </c>
      <c r="C1580" s="11">
        <v>0.037</v>
      </c>
      <c r="D1580" s="11">
        <v>69.0</v>
      </c>
      <c r="E1580" s="11">
        <v>67.0</v>
      </c>
      <c r="F1580" s="11">
        <v>0.388</v>
      </c>
      <c r="G1580" s="11">
        <v>0.572</v>
      </c>
      <c r="H1580" s="11">
        <v>0.04</v>
      </c>
      <c r="I1580" s="11">
        <v>106198.0</v>
      </c>
      <c r="J1580" s="11">
        <v>0.223</v>
      </c>
      <c r="K1580" s="12" t="s">
        <v>200</v>
      </c>
      <c r="L1580" s="5" t="s">
        <v>80</v>
      </c>
      <c r="M1580" s="9" t="s">
        <v>66</v>
      </c>
    </row>
    <row r="1581">
      <c r="A1581" s="11">
        <v>1580.0</v>
      </c>
      <c r="B1581" s="11">
        <v>0.025</v>
      </c>
      <c r="C1581" s="11">
        <v>0.036</v>
      </c>
      <c r="D1581" s="11">
        <v>69.0</v>
      </c>
      <c r="E1581" s="11">
        <v>67.0</v>
      </c>
      <c r="F1581" s="11">
        <v>0.385</v>
      </c>
      <c r="G1581" s="11">
        <v>0.575</v>
      </c>
      <c r="H1581" s="11">
        <v>0.04</v>
      </c>
      <c r="I1581" s="11">
        <v>105686.0</v>
      </c>
      <c r="J1581" s="11">
        <v>0.223</v>
      </c>
      <c r="K1581" s="12" t="s">
        <v>200</v>
      </c>
      <c r="L1581" s="5" t="s">
        <v>80</v>
      </c>
      <c r="M1581" s="9" t="s">
        <v>67</v>
      </c>
    </row>
    <row r="1582">
      <c r="A1582" s="11">
        <v>1581.0</v>
      </c>
      <c r="B1582" s="11">
        <v>0.025</v>
      </c>
      <c r="C1582" s="11">
        <v>0.035</v>
      </c>
      <c r="D1582" s="11">
        <v>69.0</v>
      </c>
      <c r="E1582" s="11">
        <v>67.0</v>
      </c>
      <c r="F1582" s="11">
        <v>0.382</v>
      </c>
      <c r="G1582" s="11">
        <v>0.579</v>
      </c>
      <c r="H1582" s="11">
        <v>0.039</v>
      </c>
      <c r="I1582" s="11">
        <v>105097.0</v>
      </c>
      <c r="J1582" s="11">
        <v>0.223</v>
      </c>
      <c r="K1582" s="12" t="s">
        <v>200</v>
      </c>
      <c r="L1582" s="5" t="s">
        <v>80</v>
      </c>
      <c r="M1582" s="9" t="s">
        <v>68</v>
      </c>
    </row>
    <row r="1583">
      <c r="A1583" s="11">
        <v>1582.0</v>
      </c>
      <c r="B1583" s="11">
        <v>0.024</v>
      </c>
      <c r="C1583" s="11">
        <v>0.034</v>
      </c>
      <c r="D1583" s="11">
        <v>69.0</v>
      </c>
      <c r="E1583" s="11">
        <v>68.0</v>
      </c>
      <c r="F1583" s="11">
        <v>0.378</v>
      </c>
      <c r="G1583" s="11">
        <v>0.583</v>
      </c>
      <c r="H1583" s="11">
        <v>0.039</v>
      </c>
      <c r="I1583" s="11">
        <v>104498.0</v>
      </c>
      <c r="J1583" s="11">
        <v>0.223</v>
      </c>
      <c r="K1583" s="12" t="s">
        <v>200</v>
      </c>
      <c r="L1583" s="5" t="s">
        <v>80</v>
      </c>
      <c r="M1583" s="9" t="s">
        <v>69</v>
      </c>
    </row>
    <row r="1584">
      <c r="A1584" s="11">
        <v>1583.0</v>
      </c>
      <c r="B1584" s="11">
        <v>0.024</v>
      </c>
      <c r="C1584" s="11">
        <v>0.033</v>
      </c>
      <c r="D1584" s="11">
        <v>69.0</v>
      </c>
      <c r="E1584" s="11">
        <v>68.0</v>
      </c>
      <c r="F1584" s="11">
        <v>0.374</v>
      </c>
      <c r="G1584" s="11">
        <v>0.588</v>
      </c>
      <c r="H1584" s="11">
        <v>0.039</v>
      </c>
      <c r="I1584" s="11">
        <v>103983.0</v>
      </c>
      <c r="J1584" s="11">
        <v>0.223</v>
      </c>
      <c r="K1584" s="12" t="s">
        <v>200</v>
      </c>
      <c r="L1584" s="5" t="s">
        <v>80</v>
      </c>
      <c r="M1584" s="9" t="s">
        <v>70</v>
      </c>
    </row>
    <row r="1585">
      <c r="A1585" s="11">
        <v>1584.0</v>
      </c>
      <c r="B1585" s="11">
        <v>0.024</v>
      </c>
      <c r="C1585" s="11">
        <v>0.033</v>
      </c>
      <c r="D1585" s="11">
        <v>69.0</v>
      </c>
      <c r="E1585" s="11">
        <v>68.0</v>
      </c>
      <c r="F1585" s="11">
        <v>0.369</v>
      </c>
      <c r="G1585" s="11">
        <v>0.593</v>
      </c>
      <c r="H1585" s="11">
        <v>0.038</v>
      </c>
      <c r="I1585" s="11">
        <v>103619.0</v>
      </c>
      <c r="J1585" s="11">
        <v>0.223</v>
      </c>
      <c r="K1585" s="12" t="s">
        <v>200</v>
      </c>
      <c r="L1585" s="5" t="s">
        <v>80</v>
      </c>
      <c r="M1585" s="9" t="s">
        <v>71</v>
      </c>
    </row>
    <row r="1586">
      <c r="A1586" s="11">
        <v>1585.0</v>
      </c>
      <c r="B1586" s="11">
        <v>0.024</v>
      </c>
      <c r="C1586" s="11">
        <v>0.032</v>
      </c>
      <c r="D1586" s="11">
        <v>70.0</v>
      </c>
      <c r="E1586" s="11">
        <v>68.0</v>
      </c>
      <c r="F1586" s="11">
        <v>0.364</v>
      </c>
      <c r="G1586" s="11">
        <v>0.597</v>
      </c>
      <c r="H1586" s="11">
        <v>0.039</v>
      </c>
      <c r="I1586" s="11">
        <v>103424.0</v>
      </c>
      <c r="J1586" s="11">
        <v>0.223</v>
      </c>
      <c r="K1586" s="12" t="s">
        <v>200</v>
      </c>
      <c r="L1586" s="5" t="s">
        <v>80</v>
      </c>
      <c r="M1586" s="9" t="s">
        <v>72</v>
      </c>
    </row>
    <row r="1587">
      <c r="A1587" s="11">
        <v>1586.0</v>
      </c>
      <c r="B1587" s="11">
        <v>0.024</v>
      </c>
      <c r="C1587" s="11">
        <v>0.031</v>
      </c>
      <c r="D1587" s="11">
        <v>70.0</v>
      </c>
      <c r="E1587" s="11">
        <v>68.0</v>
      </c>
      <c r="F1587" s="11">
        <v>0.358</v>
      </c>
      <c r="G1587" s="11">
        <v>0.602</v>
      </c>
      <c r="H1587" s="11">
        <v>0.039</v>
      </c>
      <c r="I1587" s="11">
        <v>103395.0</v>
      </c>
      <c r="J1587" s="11">
        <v>0.223</v>
      </c>
      <c r="K1587" s="12" t="s">
        <v>200</v>
      </c>
      <c r="L1587" s="5" t="s">
        <v>80</v>
      </c>
      <c r="M1587" s="9" t="s">
        <v>73</v>
      </c>
    </row>
    <row r="1588">
      <c r="A1588" s="11">
        <v>1587.0</v>
      </c>
      <c r="B1588" s="11">
        <v>0.012</v>
      </c>
      <c r="C1588" s="11">
        <v>0.025</v>
      </c>
      <c r="D1588" s="11">
        <v>71.0</v>
      </c>
      <c r="E1588" s="11">
        <v>63.0</v>
      </c>
      <c r="F1588" s="11">
        <v>0.237</v>
      </c>
      <c r="G1588" s="11">
        <v>0.663</v>
      </c>
      <c r="H1588" s="11">
        <v>0.1</v>
      </c>
      <c r="I1588" s="11">
        <v>3639592.0</v>
      </c>
      <c r="J1588" s="11">
        <v>0.458</v>
      </c>
      <c r="K1588" s="12" t="s">
        <v>201</v>
      </c>
      <c r="L1588" s="5" t="s">
        <v>75</v>
      </c>
      <c r="M1588" s="9" t="s">
        <v>60</v>
      </c>
    </row>
    <row r="1589">
      <c r="A1589" s="11">
        <v>1588.0</v>
      </c>
      <c r="B1589" s="11">
        <v>0.012</v>
      </c>
      <c r="C1589" s="11">
        <v>0.024</v>
      </c>
      <c r="D1589" s="11">
        <v>71.0</v>
      </c>
      <c r="E1589" s="11">
        <v>63.0</v>
      </c>
      <c r="F1589" s="11">
        <v>0.228</v>
      </c>
      <c r="G1589" s="11">
        <v>0.669</v>
      </c>
      <c r="H1589" s="11">
        <v>0.102</v>
      </c>
      <c r="I1589" s="11">
        <v>3631462.0</v>
      </c>
      <c r="J1589" s="11">
        <v>0.457</v>
      </c>
      <c r="K1589" s="12" t="s">
        <v>201</v>
      </c>
      <c r="L1589" s="5" t="s">
        <v>75</v>
      </c>
      <c r="M1589" s="9" t="s">
        <v>62</v>
      </c>
    </row>
    <row r="1590">
      <c r="A1590" s="11">
        <v>1589.0</v>
      </c>
      <c r="B1590" s="11">
        <v>0.012</v>
      </c>
      <c r="C1590" s="11">
        <v>0.023</v>
      </c>
      <c r="D1590" s="11">
        <v>71.0</v>
      </c>
      <c r="E1590" s="11">
        <v>63.0</v>
      </c>
      <c r="F1590" s="11">
        <v>0.219</v>
      </c>
      <c r="G1590" s="11">
        <v>0.676</v>
      </c>
      <c r="H1590" s="11">
        <v>0.105</v>
      </c>
      <c r="I1590" s="11">
        <v>3623062.0</v>
      </c>
      <c r="J1590" s="11">
        <v>0.456</v>
      </c>
      <c r="K1590" s="12" t="s">
        <v>201</v>
      </c>
      <c r="L1590" s="5" t="s">
        <v>75</v>
      </c>
      <c r="M1590" s="9" t="s">
        <v>63</v>
      </c>
    </row>
    <row r="1591">
      <c r="A1591" s="11">
        <v>1590.0</v>
      </c>
      <c r="B1591" s="11">
        <v>0.012</v>
      </c>
      <c r="C1591" s="11">
        <v>0.021</v>
      </c>
      <c r="D1591" s="11">
        <v>72.0</v>
      </c>
      <c r="E1591" s="11">
        <v>64.0</v>
      </c>
      <c r="F1591" s="11">
        <v>0.208</v>
      </c>
      <c r="G1591" s="11">
        <v>0.683</v>
      </c>
      <c r="H1591" s="11">
        <v>0.108</v>
      </c>
      <c r="I1591" s="11">
        <v>3612874.0</v>
      </c>
      <c r="J1591" s="11">
        <v>0.455</v>
      </c>
      <c r="K1591" s="12" t="s">
        <v>201</v>
      </c>
      <c r="L1591" s="5" t="s">
        <v>75</v>
      </c>
      <c r="M1591" s="9" t="s">
        <v>64</v>
      </c>
    </row>
    <row r="1592">
      <c r="A1592" s="11">
        <v>1591.0</v>
      </c>
      <c r="B1592" s="11">
        <v>0.012</v>
      </c>
      <c r="C1592" s="11">
        <v>0.02</v>
      </c>
      <c r="D1592" s="11">
        <v>72.0</v>
      </c>
      <c r="E1592" s="11">
        <v>64.0</v>
      </c>
      <c r="F1592" s="11">
        <v>0.198</v>
      </c>
      <c r="G1592" s="11">
        <v>0.691</v>
      </c>
      <c r="H1592" s="11">
        <v>0.111</v>
      </c>
      <c r="I1592" s="11">
        <v>3603945.0</v>
      </c>
      <c r="J1592" s="11">
        <v>0.454</v>
      </c>
      <c r="K1592" s="12" t="s">
        <v>201</v>
      </c>
      <c r="L1592" s="5" t="s">
        <v>75</v>
      </c>
      <c r="M1592" s="9" t="s">
        <v>65</v>
      </c>
    </row>
    <row r="1593">
      <c r="A1593" s="11">
        <v>1592.0</v>
      </c>
      <c r="B1593" s="11">
        <v>0.012</v>
      </c>
      <c r="C1593" s="11">
        <v>0.019</v>
      </c>
      <c r="D1593" s="11">
        <v>72.0</v>
      </c>
      <c r="E1593" s="11">
        <v>64.0</v>
      </c>
      <c r="F1593" s="11">
        <v>0.19</v>
      </c>
      <c r="G1593" s="11">
        <v>0.698</v>
      </c>
      <c r="H1593" s="11">
        <v>0.112</v>
      </c>
      <c r="I1593" s="11">
        <v>3595187.0</v>
      </c>
      <c r="J1593" s="11">
        <v>0.453</v>
      </c>
      <c r="K1593" s="12" t="s">
        <v>201</v>
      </c>
      <c r="L1593" s="5" t="s">
        <v>75</v>
      </c>
      <c r="M1593" s="9" t="s">
        <v>66</v>
      </c>
    </row>
    <row r="1594">
      <c r="A1594" s="11">
        <v>1593.0</v>
      </c>
      <c r="B1594" s="11">
        <v>0.012</v>
      </c>
      <c r="C1594" s="11">
        <v>0.018</v>
      </c>
      <c r="D1594" s="11">
        <v>72.0</v>
      </c>
      <c r="E1594" s="11">
        <v>64.0</v>
      </c>
      <c r="F1594" s="11">
        <v>0.182</v>
      </c>
      <c r="G1594" s="11">
        <v>0.705</v>
      </c>
      <c r="H1594" s="11">
        <v>0.113</v>
      </c>
      <c r="I1594" s="11">
        <v>3585209.0</v>
      </c>
      <c r="J1594" s="11">
        <v>0.452</v>
      </c>
      <c r="K1594" s="12" t="s">
        <v>201</v>
      </c>
      <c r="L1594" s="5" t="s">
        <v>75</v>
      </c>
      <c r="M1594" s="9" t="s">
        <v>67</v>
      </c>
    </row>
    <row r="1595">
      <c r="A1595" s="11">
        <v>1594.0</v>
      </c>
      <c r="B1595" s="11">
        <v>0.012</v>
      </c>
      <c r="C1595" s="11">
        <v>0.017</v>
      </c>
      <c r="D1595" s="11">
        <v>72.0</v>
      </c>
      <c r="E1595" s="11">
        <v>64.0</v>
      </c>
      <c r="F1595" s="11">
        <v>0.177</v>
      </c>
      <c r="G1595" s="11">
        <v>0.71</v>
      </c>
      <c r="H1595" s="11">
        <v>0.113</v>
      </c>
      <c r="I1595" s="11">
        <v>3576910.0</v>
      </c>
      <c r="J1595" s="11">
        <v>0.451</v>
      </c>
      <c r="K1595" s="12" t="s">
        <v>201</v>
      </c>
      <c r="L1595" s="5" t="s">
        <v>75</v>
      </c>
      <c r="M1595" s="9" t="s">
        <v>68</v>
      </c>
    </row>
    <row r="1596">
      <c r="A1596" s="11">
        <v>1595.0</v>
      </c>
      <c r="B1596" s="11">
        <v>0.012</v>
      </c>
      <c r="C1596" s="11">
        <v>0.016</v>
      </c>
      <c r="D1596" s="11">
        <v>72.0</v>
      </c>
      <c r="E1596" s="11">
        <v>64.0</v>
      </c>
      <c r="F1596" s="11">
        <v>0.172</v>
      </c>
      <c r="G1596" s="11">
        <v>0.715</v>
      </c>
      <c r="H1596" s="11">
        <v>0.112</v>
      </c>
      <c r="I1596" s="11">
        <v>3570108.0</v>
      </c>
      <c r="J1596" s="11">
        <v>0.45</v>
      </c>
      <c r="K1596" s="12" t="s">
        <v>201</v>
      </c>
      <c r="L1596" s="5" t="s">
        <v>75</v>
      </c>
      <c r="M1596" s="9" t="s">
        <v>69</v>
      </c>
    </row>
    <row r="1597">
      <c r="A1597" s="11">
        <v>1596.0</v>
      </c>
      <c r="B1597" s="11">
        <v>0.012</v>
      </c>
      <c r="C1597" s="11">
        <v>0.016</v>
      </c>
      <c r="D1597" s="11">
        <v>72.0</v>
      </c>
      <c r="E1597" s="11">
        <v>65.0</v>
      </c>
      <c r="F1597" s="11">
        <v>0.169</v>
      </c>
      <c r="G1597" s="11">
        <v>0.719</v>
      </c>
      <c r="H1597" s="11">
        <v>0.112</v>
      </c>
      <c r="I1597" s="11">
        <v>3565604.0</v>
      </c>
      <c r="J1597" s="11">
        <v>0.449</v>
      </c>
      <c r="K1597" s="12" t="s">
        <v>201</v>
      </c>
      <c r="L1597" s="5" t="s">
        <v>75</v>
      </c>
      <c r="M1597" s="9" t="s">
        <v>70</v>
      </c>
    </row>
    <row r="1598">
      <c r="A1598" s="11">
        <v>1597.0</v>
      </c>
      <c r="B1598" s="11">
        <v>0.012</v>
      </c>
      <c r="C1598" s="11">
        <v>0.015</v>
      </c>
      <c r="D1598" s="11">
        <v>72.0</v>
      </c>
      <c r="E1598" s="11">
        <v>65.0</v>
      </c>
      <c r="F1598" s="11">
        <v>0.167</v>
      </c>
      <c r="G1598" s="11">
        <v>0.722</v>
      </c>
      <c r="H1598" s="11">
        <v>0.112</v>
      </c>
      <c r="I1598" s="11">
        <v>3562045.0</v>
      </c>
      <c r="J1598" s="11">
        <v>0.449</v>
      </c>
      <c r="K1598" s="12" t="s">
        <v>201</v>
      </c>
      <c r="L1598" s="5" t="s">
        <v>75</v>
      </c>
      <c r="M1598" s="9" t="s">
        <v>71</v>
      </c>
    </row>
    <row r="1599">
      <c r="A1599" s="11">
        <v>1598.0</v>
      </c>
      <c r="B1599" s="11">
        <v>0.012</v>
      </c>
      <c r="C1599" s="11">
        <v>0.014</v>
      </c>
      <c r="D1599" s="11">
        <v>73.0</v>
      </c>
      <c r="E1599" s="11">
        <v>65.0</v>
      </c>
      <c r="F1599" s="11">
        <v>0.165</v>
      </c>
      <c r="G1599" s="11">
        <v>0.723</v>
      </c>
      <c r="H1599" s="11">
        <v>0.112</v>
      </c>
      <c r="I1599" s="11">
        <v>3559986.0</v>
      </c>
      <c r="J1599" s="11">
        <v>0.449</v>
      </c>
      <c r="K1599" s="12" t="s">
        <v>201</v>
      </c>
      <c r="L1599" s="5" t="s">
        <v>75</v>
      </c>
      <c r="M1599" s="9" t="s">
        <v>72</v>
      </c>
    </row>
    <row r="1600">
      <c r="A1600" s="11">
        <v>1599.0</v>
      </c>
      <c r="B1600" s="11">
        <v>0.012</v>
      </c>
      <c r="C1600" s="11">
        <v>0.014</v>
      </c>
      <c r="D1600" s="11">
        <v>73.0</v>
      </c>
      <c r="E1600" s="11">
        <v>65.0</v>
      </c>
      <c r="F1600" s="11">
        <v>0.165</v>
      </c>
      <c r="G1600" s="11">
        <v>0.722</v>
      </c>
      <c r="H1600" s="11">
        <v>0.112</v>
      </c>
      <c r="I1600" s="11">
        <v>3559519.0</v>
      </c>
      <c r="J1600" s="11">
        <v>0.449</v>
      </c>
      <c r="K1600" s="12" t="s">
        <v>201</v>
      </c>
      <c r="L1600" s="5" t="s">
        <v>75</v>
      </c>
      <c r="M1600" s="9" t="s">
        <v>73</v>
      </c>
    </row>
    <row r="1601">
      <c r="A1601" s="8">
        <v>1600.0</v>
      </c>
      <c r="B1601" s="8"/>
      <c r="C1601" s="11">
        <v>0.004</v>
      </c>
      <c r="D1601" s="8"/>
      <c r="E1601" s="8"/>
      <c r="F1601" s="8"/>
      <c r="G1601" s="8"/>
      <c r="H1601" s="8"/>
      <c r="I1601" s="11">
        <v>32081.0</v>
      </c>
      <c r="J1601" s="11">
        <v>1.0</v>
      </c>
      <c r="K1601" s="12" t="s">
        <v>202</v>
      </c>
      <c r="L1601" s="5" t="s">
        <v>75</v>
      </c>
      <c r="M1601" s="9" t="s">
        <v>60</v>
      </c>
    </row>
    <row r="1602">
      <c r="A1602" s="8">
        <v>1601.0</v>
      </c>
      <c r="B1602" s="8"/>
      <c r="C1602" s="11">
        <v>0.004</v>
      </c>
      <c r="D1602" s="8"/>
      <c r="E1602" s="8"/>
      <c r="F1602" s="8"/>
      <c r="G1602" s="8"/>
      <c r="H1602" s="8"/>
      <c r="I1602" s="11">
        <v>32366.0</v>
      </c>
      <c r="J1602" s="11">
        <v>1.0</v>
      </c>
      <c r="K1602" s="12" t="s">
        <v>202</v>
      </c>
      <c r="L1602" s="5" t="s">
        <v>75</v>
      </c>
      <c r="M1602" s="9" t="s">
        <v>62</v>
      </c>
    </row>
    <row r="1603">
      <c r="A1603" s="8">
        <v>1602.0</v>
      </c>
      <c r="B1603" s="8"/>
      <c r="C1603" s="11">
        <v>0.004</v>
      </c>
      <c r="D1603" s="8"/>
      <c r="E1603" s="8"/>
      <c r="F1603" s="8"/>
      <c r="G1603" s="8"/>
      <c r="H1603" s="8"/>
      <c r="I1603" s="11">
        <v>32653.0</v>
      </c>
      <c r="J1603" s="11">
        <v>1.0</v>
      </c>
      <c r="K1603" s="12" t="s">
        <v>202</v>
      </c>
      <c r="L1603" s="5" t="s">
        <v>75</v>
      </c>
      <c r="M1603" s="9" t="s">
        <v>63</v>
      </c>
    </row>
    <row r="1604">
      <c r="A1604" s="8">
        <v>1603.0</v>
      </c>
      <c r="B1604" s="8"/>
      <c r="C1604" s="11">
        <v>0.004</v>
      </c>
      <c r="D1604" s="8"/>
      <c r="E1604" s="8"/>
      <c r="F1604" s="8"/>
      <c r="G1604" s="8"/>
      <c r="H1604" s="8"/>
      <c r="I1604" s="11">
        <v>32968.0</v>
      </c>
      <c r="J1604" s="11">
        <v>1.0</v>
      </c>
      <c r="K1604" s="12" t="s">
        <v>202</v>
      </c>
      <c r="L1604" s="5" t="s">
        <v>75</v>
      </c>
      <c r="M1604" s="9" t="s">
        <v>64</v>
      </c>
    </row>
    <row r="1605">
      <c r="A1605" s="8">
        <v>1604.0</v>
      </c>
      <c r="B1605" s="8"/>
      <c r="C1605" s="11">
        <v>0.004</v>
      </c>
      <c r="D1605" s="8"/>
      <c r="E1605" s="8"/>
      <c r="F1605" s="8"/>
      <c r="G1605" s="8"/>
      <c r="H1605" s="8"/>
      <c r="I1605" s="11">
        <v>33346.0</v>
      </c>
      <c r="J1605" s="11">
        <v>1.0</v>
      </c>
      <c r="K1605" s="12" t="s">
        <v>202</v>
      </c>
      <c r="L1605" s="5" t="s">
        <v>75</v>
      </c>
      <c r="M1605" s="9" t="s">
        <v>65</v>
      </c>
    </row>
    <row r="1606">
      <c r="A1606" s="8">
        <v>1605.0</v>
      </c>
      <c r="B1606" s="8"/>
      <c r="C1606" s="11">
        <v>0.004</v>
      </c>
      <c r="D1606" s="8"/>
      <c r="E1606" s="8"/>
      <c r="F1606" s="8"/>
      <c r="G1606" s="8"/>
      <c r="H1606" s="8"/>
      <c r="I1606" s="11">
        <v>33808.0</v>
      </c>
      <c r="J1606" s="11">
        <v>1.0</v>
      </c>
      <c r="K1606" s="12" t="s">
        <v>202</v>
      </c>
      <c r="L1606" s="5" t="s">
        <v>75</v>
      </c>
      <c r="M1606" s="9" t="s">
        <v>66</v>
      </c>
    </row>
    <row r="1607">
      <c r="A1607" s="8">
        <v>1606.0</v>
      </c>
      <c r="B1607" s="8"/>
      <c r="C1607" s="11">
        <v>0.004</v>
      </c>
      <c r="D1607" s="8"/>
      <c r="E1607" s="8"/>
      <c r="F1607" s="8"/>
      <c r="G1607" s="8"/>
      <c r="H1607" s="8"/>
      <c r="I1607" s="11">
        <v>34369.0</v>
      </c>
      <c r="J1607" s="11">
        <v>1.0</v>
      </c>
      <c r="K1607" s="12" t="s">
        <v>202</v>
      </c>
      <c r="L1607" s="5" t="s">
        <v>75</v>
      </c>
      <c r="M1607" s="9" t="s">
        <v>67</v>
      </c>
    </row>
    <row r="1608">
      <c r="A1608" s="8">
        <v>1607.0</v>
      </c>
      <c r="B1608" s="8"/>
      <c r="C1608" s="11">
        <v>0.004</v>
      </c>
      <c r="D1608" s="8"/>
      <c r="E1608" s="8"/>
      <c r="F1608" s="8"/>
      <c r="G1608" s="8"/>
      <c r="H1608" s="8"/>
      <c r="I1608" s="11">
        <v>35013.0</v>
      </c>
      <c r="J1608" s="11">
        <v>1.0</v>
      </c>
      <c r="K1608" s="12" t="s">
        <v>202</v>
      </c>
      <c r="L1608" s="5" t="s">
        <v>75</v>
      </c>
      <c r="M1608" s="9" t="s">
        <v>68</v>
      </c>
    </row>
    <row r="1609">
      <c r="A1609" s="8">
        <v>1608.0</v>
      </c>
      <c r="B1609" s="8"/>
      <c r="C1609" s="11">
        <v>0.003</v>
      </c>
      <c r="D1609" s="8"/>
      <c r="E1609" s="8"/>
      <c r="F1609" s="8"/>
      <c r="G1609" s="8"/>
      <c r="H1609" s="8"/>
      <c r="I1609" s="11">
        <v>35686.0</v>
      </c>
      <c r="J1609" s="11">
        <v>1.0</v>
      </c>
      <c r="K1609" s="12" t="s">
        <v>202</v>
      </c>
      <c r="L1609" s="5" t="s">
        <v>75</v>
      </c>
      <c r="M1609" s="9" t="s">
        <v>69</v>
      </c>
    </row>
    <row r="1610">
      <c r="A1610" s="8">
        <v>1609.0</v>
      </c>
      <c r="B1610" s="8"/>
      <c r="C1610" s="11">
        <v>0.003</v>
      </c>
      <c r="D1610" s="8"/>
      <c r="E1610" s="8"/>
      <c r="F1610" s="8"/>
      <c r="G1610" s="8"/>
      <c r="H1610" s="8"/>
      <c r="I1610" s="11">
        <v>36314.0</v>
      </c>
      <c r="J1610" s="11">
        <v>1.0</v>
      </c>
      <c r="K1610" s="12" t="s">
        <v>202</v>
      </c>
      <c r="L1610" s="5" t="s">
        <v>75</v>
      </c>
      <c r="M1610" s="9" t="s">
        <v>70</v>
      </c>
    </row>
    <row r="1611">
      <c r="A1611" s="8">
        <v>1610.0</v>
      </c>
      <c r="B1611" s="8"/>
      <c r="C1611" s="11">
        <v>0.003</v>
      </c>
      <c r="D1611" s="8"/>
      <c r="E1611" s="8"/>
      <c r="F1611" s="8"/>
      <c r="G1611" s="8"/>
      <c r="H1611" s="8"/>
      <c r="I1611" s="11">
        <v>36845.0</v>
      </c>
      <c r="J1611" s="11">
        <v>1.0</v>
      </c>
      <c r="K1611" s="12" t="s">
        <v>202</v>
      </c>
      <c r="L1611" s="5" t="s">
        <v>75</v>
      </c>
      <c r="M1611" s="9" t="s">
        <v>71</v>
      </c>
    </row>
    <row r="1612">
      <c r="A1612" s="8">
        <v>1611.0</v>
      </c>
      <c r="B1612" s="8"/>
      <c r="C1612" s="11">
        <v>0.003</v>
      </c>
      <c r="D1612" s="8"/>
      <c r="E1612" s="8"/>
      <c r="F1612" s="8"/>
      <c r="G1612" s="8"/>
      <c r="H1612" s="8"/>
      <c r="I1612" s="11">
        <v>37261.0</v>
      </c>
      <c r="J1612" s="11">
        <v>1.0</v>
      </c>
      <c r="K1612" s="12" t="s">
        <v>202</v>
      </c>
      <c r="L1612" s="5" t="s">
        <v>75</v>
      </c>
      <c r="M1612" s="9" t="s">
        <v>72</v>
      </c>
    </row>
    <row r="1613">
      <c r="A1613" s="8">
        <v>1612.0</v>
      </c>
      <c r="B1613" s="8"/>
      <c r="C1613" s="11">
        <v>0.003</v>
      </c>
      <c r="D1613" s="8"/>
      <c r="E1613" s="8"/>
      <c r="F1613" s="8"/>
      <c r="G1613" s="8"/>
      <c r="H1613" s="8"/>
      <c r="I1613" s="11">
        <v>37579.0</v>
      </c>
      <c r="J1613" s="11">
        <v>1.0</v>
      </c>
      <c r="K1613" s="12" t="s">
        <v>202</v>
      </c>
      <c r="L1613" s="5" t="s">
        <v>75</v>
      </c>
      <c r="M1613" s="9" t="s">
        <v>73</v>
      </c>
    </row>
    <row r="1614">
      <c r="A1614" s="11">
        <v>1613.0</v>
      </c>
      <c r="B1614" s="11">
        <v>0.019</v>
      </c>
      <c r="C1614" s="11">
        <v>0.049</v>
      </c>
      <c r="D1614" s="11">
        <v>66.0</v>
      </c>
      <c r="E1614" s="11">
        <v>60.0</v>
      </c>
      <c r="F1614" s="11">
        <v>0.348</v>
      </c>
      <c r="G1614" s="11">
        <v>0.615</v>
      </c>
      <c r="H1614" s="11">
        <v>0.037</v>
      </c>
      <c r="I1614" s="11">
        <v>2397473.0</v>
      </c>
      <c r="J1614" s="11">
        <v>0.571</v>
      </c>
      <c r="K1614" s="12" t="s">
        <v>203</v>
      </c>
      <c r="L1614" s="5" t="s">
        <v>61</v>
      </c>
      <c r="M1614" s="9" t="s">
        <v>60</v>
      </c>
    </row>
    <row r="1615">
      <c r="A1615" s="11">
        <v>1614.0</v>
      </c>
      <c r="B1615" s="11">
        <v>0.019</v>
      </c>
      <c r="C1615" s="11">
        <v>0.047</v>
      </c>
      <c r="D1615" s="11">
        <v>67.0</v>
      </c>
      <c r="E1615" s="11">
        <v>60.0</v>
      </c>
      <c r="F1615" s="11">
        <v>0.336</v>
      </c>
      <c r="G1615" s="11">
        <v>0.627</v>
      </c>
      <c r="H1615" s="11">
        <v>0.037</v>
      </c>
      <c r="I1615" s="11">
        <v>2419669.0</v>
      </c>
      <c r="J1615" s="11">
        <v>0.582</v>
      </c>
      <c r="K1615" s="12" t="s">
        <v>203</v>
      </c>
      <c r="L1615" s="5" t="s">
        <v>61</v>
      </c>
      <c r="M1615" s="9" t="s">
        <v>62</v>
      </c>
    </row>
    <row r="1616">
      <c r="A1616" s="11">
        <v>1615.0</v>
      </c>
      <c r="B1616" s="11">
        <v>0.019</v>
      </c>
      <c r="C1616" s="11">
        <v>0.044</v>
      </c>
      <c r="D1616" s="11">
        <v>67.0</v>
      </c>
      <c r="E1616" s="11">
        <v>61.0</v>
      </c>
      <c r="F1616" s="11">
        <v>0.323</v>
      </c>
      <c r="G1616" s="11">
        <v>0.64</v>
      </c>
      <c r="H1616" s="11">
        <v>0.037</v>
      </c>
      <c r="I1616" s="11">
        <v>2443231.0</v>
      </c>
      <c r="J1616" s="11">
        <v>0.593</v>
      </c>
      <c r="K1616" s="12" t="s">
        <v>203</v>
      </c>
      <c r="L1616" s="5" t="s">
        <v>61</v>
      </c>
      <c r="M1616" s="9" t="s">
        <v>63</v>
      </c>
    </row>
    <row r="1617">
      <c r="A1617" s="11">
        <v>1616.0</v>
      </c>
      <c r="B1617" s="11">
        <v>0.019</v>
      </c>
      <c r="C1617" s="11">
        <v>0.042</v>
      </c>
      <c r="D1617" s="11">
        <v>68.0</v>
      </c>
      <c r="E1617" s="11">
        <v>61.0</v>
      </c>
      <c r="F1617" s="11">
        <v>0.311</v>
      </c>
      <c r="G1617" s="11">
        <v>0.652</v>
      </c>
      <c r="H1617" s="11">
        <v>0.037</v>
      </c>
      <c r="I1617" s="11">
        <v>2468595.0</v>
      </c>
      <c r="J1617" s="11">
        <v>0.604</v>
      </c>
      <c r="K1617" s="12" t="s">
        <v>203</v>
      </c>
      <c r="L1617" s="5" t="s">
        <v>61</v>
      </c>
      <c r="M1617" s="9" t="s">
        <v>64</v>
      </c>
    </row>
    <row r="1618">
      <c r="A1618" s="11">
        <v>1617.0</v>
      </c>
      <c r="B1618" s="11">
        <v>0.02</v>
      </c>
      <c r="C1618" s="11">
        <v>0.039</v>
      </c>
      <c r="D1618" s="11">
        <v>69.0</v>
      </c>
      <c r="E1618" s="11">
        <v>61.0</v>
      </c>
      <c r="F1618" s="11">
        <v>0.299</v>
      </c>
      <c r="G1618" s="11">
        <v>0.664</v>
      </c>
      <c r="H1618" s="11">
        <v>0.037</v>
      </c>
      <c r="I1618" s="11">
        <v>2496248.0</v>
      </c>
      <c r="J1618" s="11">
        <v>0.614</v>
      </c>
      <c r="K1618" s="12" t="s">
        <v>203</v>
      </c>
      <c r="L1618" s="5" t="s">
        <v>61</v>
      </c>
      <c r="M1618" s="9" t="s">
        <v>65</v>
      </c>
    </row>
    <row r="1619">
      <c r="A1619" s="11">
        <v>1618.0</v>
      </c>
      <c r="B1619" s="11">
        <v>0.02</v>
      </c>
      <c r="C1619" s="11">
        <v>0.037</v>
      </c>
      <c r="D1619" s="11">
        <v>69.0</v>
      </c>
      <c r="E1619" s="11">
        <v>62.0</v>
      </c>
      <c r="F1619" s="11">
        <v>0.289</v>
      </c>
      <c r="G1619" s="11">
        <v>0.673</v>
      </c>
      <c r="H1619" s="11">
        <v>0.037</v>
      </c>
      <c r="I1619" s="11">
        <v>2526502.0</v>
      </c>
      <c r="J1619" s="11">
        <v>0.625</v>
      </c>
      <c r="K1619" s="12" t="s">
        <v>203</v>
      </c>
      <c r="L1619" s="5" t="s">
        <v>61</v>
      </c>
      <c r="M1619" s="9" t="s">
        <v>66</v>
      </c>
    </row>
    <row r="1620">
      <c r="A1620" s="11">
        <v>1619.0</v>
      </c>
      <c r="B1620" s="11">
        <v>0.021</v>
      </c>
      <c r="C1620" s="11">
        <v>0.035</v>
      </c>
      <c r="D1620" s="11">
        <v>70.0</v>
      </c>
      <c r="E1620" s="11">
        <v>62.0</v>
      </c>
      <c r="F1620" s="11">
        <v>0.282</v>
      </c>
      <c r="G1620" s="11">
        <v>0.681</v>
      </c>
      <c r="H1620" s="11">
        <v>0.037</v>
      </c>
      <c r="I1620" s="11">
        <v>2559496.0</v>
      </c>
      <c r="J1620" s="11">
        <v>0.635</v>
      </c>
      <c r="K1620" s="12" t="s">
        <v>203</v>
      </c>
      <c r="L1620" s="5" t="s">
        <v>61</v>
      </c>
      <c r="M1620" s="9" t="s">
        <v>67</v>
      </c>
    </row>
    <row r="1621">
      <c r="A1621" s="11">
        <v>1620.0</v>
      </c>
      <c r="B1621" s="11">
        <v>0.022</v>
      </c>
      <c r="C1621" s="11">
        <v>0.033</v>
      </c>
      <c r="D1621" s="11">
        <v>70.0</v>
      </c>
      <c r="E1621" s="11">
        <v>62.0</v>
      </c>
      <c r="F1621" s="11">
        <v>0.276</v>
      </c>
      <c r="G1621" s="11">
        <v>0.686</v>
      </c>
      <c r="H1621" s="11">
        <v>0.038</v>
      </c>
      <c r="I1621" s="11">
        <v>2595068.0</v>
      </c>
      <c r="J1621" s="11">
        <v>0.646</v>
      </c>
      <c r="K1621" s="12" t="s">
        <v>203</v>
      </c>
      <c r="L1621" s="5" t="s">
        <v>61</v>
      </c>
      <c r="M1621" s="9" t="s">
        <v>68</v>
      </c>
    </row>
    <row r="1622">
      <c r="A1622" s="11">
        <v>1621.0</v>
      </c>
      <c r="B1622" s="11">
        <v>0.022</v>
      </c>
      <c r="C1622" s="11">
        <v>0.032</v>
      </c>
      <c r="D1622" s="11">
        <v>70.0</v>
      </c>
      <c r="E1622" s="11">
        <v>62.0</v>
      </c>
      <c r="F1622" s="11">
        <v>0.273</v>
      </c>
      <c r="G1622" s="11">
        <v>0.689</v>
      </c>
      <c r="H1622" s="11">
        <v>0.038</v>
      </c>
      <c r="I1622" s="11">
        <v>2632834.0</v>
      </c>
      <c r="J1622" s="11">
        <v>0.656</v>
      </c>
      <c r="K1622" s="12" t="s">
        <v>203</v>
      </c>
      <c r="L1622" s="5" t="s">
        <v>61</v>
      </c>
      <c r="M1622" s="9" t="s">
        <v>69</v>
      </c>
    </row>
    <row r="1623">
      <c r="A1623" s="11">
        <v>1622.0</v>
      </c>
      <c r="B1623" s="11">
        <v>0.023</v>
      </c>
      <c r="C1623" s="11">
        <v>0.03</v>
      </c>
      <c r="D1623" s="11">
        <v>71.0</v>
      </c>
      <c r="E1623" s="11">
        <v>63.0</v>
      </c>
      <c r="F1623" s="11">
        <v>0.271</v>
      </c>
      <c r="G1623" s="11">
        <v>0.691</v>
      </c>
      <c r="H1623" s="11">
        <v>0.038</v>
      </c>
      <c r="I1623" s="11">
        <v>2672223.0</v>
      </c>
      <c r="J1623" s="11">
        <v>0.666</v>
      </c>
      <c r="K1623" s="12" t="s">
        <v>203</v>
      </c>
      <c r="L1623" s="5" t="s">
        <v>61</v>
      </c>
      <c r="M1623" s="9" t="s">
        <v>70</v>
      </c>
    </row>
    <row r="1624">
      <c r="A1624" s="11">
        <v>1623.0</v>
      </c>
      <c r="B1624" s="11">
        <v>0.023</v>
      </c>
      <c r="C1624" s="11">
        <v>0.029</v>
      </c>
      <c r="D1624" s="11">
        <v>71.0</v>
      </c>
      <c r="E1624" s="11">
        <v>63.0</v>
      </c>
      <c r="F1624" s="11">
        <v>0.27</v>
      </c>
      <c r="G1624" s="11">
        <v>0.692</v>
      </c>
      <c r="H1624" s="11">
        <v>0.038</v>
      </c>
      <c r="I1624" s="11">
        <v>2712738.0</v>
      </c>
      <c r="J1624" s="11">
        <v>0.676</v>
      </c>
      <c r="K1624" s="12" t="s">
        <v>203</v>
      </c>
      <c r="L1624" s="5" t="s">
        <v>61</v>
      </c>
      <c r="M1624" s="9" t="s">
        <v>71</v>
      </c>
    </row>
    <row r="1625">
      <c r="A1625" s="11">
        <v>1624.0</v>
      </c>
      <c r="B1625" s="11">
        <v>0.023</v>
      </c>
      <c r="C1625" s="11">
        <v>0.028</v>
      </c>
      <c r="D1625" s="11">
        <v>71.0</v>
      </c>
      <c r="E1625" s="11">
        <v>63.0</v>
      </c>
      <c r="F1625" s="11">
        <v>0.27</v>
      </c>
      <c r="G1625" s="11">
        <v>0.692</v>
      </c>
      <c r="H1625" s="11">
        <v>0.038</v>
      </c>
      <c r="I1625" s="11">
        <v>2754209.0</v>
      </c>
      <c r="J1625" s="11">
        <v>0.685</v>
      </c>
      <c r="K1625" s="12" t="s">
        <v>203</v>
      </c>
      <c r="L1625" s="5" t="s">
        <v>61</v>
      </c>
      <c r="M1625" s="9" t="s">
        <v>72</v>
      </c>
    </row>
    <row r="1626">
      <c r="A1626" s="11">
        <v>1625.0</v>
      </c>
      <c r="B1626" s="11">
        <v>0.023</v>
      </c>
      <c r="C1626" s="11">
        <v>0.027</v>
      </c>
      <c r="D1626" s="11">
        <v>71.0</v>
      </c>
      <c r="E1626" s="11">
        <v>63.0</v>
      </c>
      <c r="F1626" s="11">
        <v>0.271</v>
      </c>
      <c r="G1626" s="11">
        <v>0.691</v>
      </c>
      <c r="H1626" s="11">
        <v>0.038</v>
      </c>
      <c r="I1626" s="11">
        <v>2796484.0</v>
      </c>
      <c r="J1626" s="11">
        <v>0.695</v>
      </c>
      <c r="K1626" s="12" t="s">
        <v>203</v>
      </c>
      <c r="L1626" s="5" t="s">
        <v>61</v>
      </c>
      <c r="M1626" s="9" t="s">
        <v>73</v>
      </c>
    </row>
    <row r="1627">
      <c r="A1627" s="11">
        <v>1626.0</v>
      </c>
      <c r="B1627" s="11">
        <v>0.013</v>
      </c>
      <c r="C1627" s="11">
        <v>0.013</v>
      </c>
      <c r="D1627" s="11">
        <v>77.0</v>
      </c>
      <c r="E1627" s="11">
        <v>71.0</v>
      </c>
      <c r="F1627" s="11">
        <v>0.213</v>
      </c>
      <c r="G1627" s="11">
        <v>0.673</v>
      </c>
      <c r="H1627" s="11">
        <v>0.113</v>
      </c>
      <c r="I1627" s="11">
        <v>611196.0</v>
      </c>
      <c r="J1627" s="11">
        <v>0.585</v>
      </c>
      <c r="K1627" s="12" t="s">
        <v>204</v>
      </c>
      <c r="L1627" s="5" t="s">
        <v>75</v>
      </c>
      <c r="M1627" s="9" t="s">
        <v>60</v>
      </c>
    </row>
    <row r="1628">
      <c r="A1628" s="11">
        <v>1627.0</v>
      </c>
      <c r="B1628" s="11">
        <v>0.013</v>
      </c>
      <c r="C1628" s="11">
        <v>0.012</v>
      </c>
      <c r="D1628" s="11">
        <v>77.0</v>
      </c>
      <c r="E1628" s="11">
        <v>71.0</v>
      </c>
      <c r="F1628" s="11">
        <v>0.21</v>
      </c>
      <c r="G1628" s="11">
        <v>0.673</v>
      </c>
      <c r="H1628" s="11">
        <v>0.117</v>
      </c>
      <c r="I1628" s="11">
        <v>611525.0</v>
      </c>
      <c r="J1628" s="11">
        <v>0.596</v>
      </c>
      <c r="K1628" s="12" t="s">
        <v>204</v>
      </c>
      <c r="L1628" s="5" t="s">
        <v>75</v>
      </c>
      <c r="M1628" s="9" t="s">
        <v>62</v>
      </c>
    </row>
    <row r="1629">
      <c r="A1629" s="11">
        <v>1628.0</v>
      </c>
      <c r="B1629" s="11">
        <v>0.013</v>
      </c>
      <c r="C1629" s="11">
        <v>0.011</v>
      </c>
      <c r="D1629" s="11">
        <v>77.0</v>
      </c>
      <c r="E1629" s="11">
        <v>71.0</v>
      </c>
      <c r="F1629" s="11">
        <v>0.207</v>
      </c>
      <c r="G1629" s="11">
        <v>0.671</v>
      </c>
      <c r="H1629" s="11">
        <v>0.121</v>
      </c>
      <c r="I1629" s="11">
        <v>612325.0</v>
      </c>
      <c r="J1629" s="11">
        <v>0.606</v>
      </c>
      <c r="K1629" s="12" t="s">
        <v>204</v>
      </c>
      <c r="L1629" s="5" t="s">
        <v>75</v>
      </c>
      <c r="M1629" s="9" t="s">
        <v>63</v>
      </c>
    </row>
    <row r="1630">
      <c r="A1630" s="11">
        <v>1629.0</v>
      </c>
      <c r="B1630" s="11">
        <v>0.013</v>
      </c>
      <c r="C1630" s="11">
        <v>0.011</v>
      </c>
      <c r="D1630" s="11">
        <v>76.0</v>
      </c>
      <c r="E1630" s="11">
        <v>71.0</v>
      </c>
      <c r="F1630" s="11">
        <v>0.205</v>
      </c>
      <c r="G1630" s="11">
        <v>0.67</v>
      </c>
      <c r="H1630" s="11">
        <v>0.125</v>
      </c>
      <c r="I1630" s="11">
        <v>613448.0</v>
      </c>
      <c r="J1630" s="11">
        <v>0.616</v>
      </c>
      <c r="K1630" s="12" t="s">
        <v>204</v>
      </c>
      <c r="L1630" s="5" t="s">
        <v>75</v>
      </c>
      <c r="M1630" s="9" t="s">
        <v>64</v>
      </c>
    </row>
    <row r="1631">
      <c r="A1631" s="11">
        <v>1630.0</v>
      </c>
      <c r="B1631" s="11">
        <v>0.013</v>
      </c>
      <c r="C1631" s="11">
        <v>0.01</v>
      </c>
      <c r="D1631" s="11">
        <v>76.0</v>
      </c>
      <c r="E1631" s="11">
        <v>71.0</v>
      </c>
      <c r="F1631" s="11">
        <v>0.203</v>
      </c>
      <c r="G1631" s="11">
        <v>0.669</v>
      </c>
      <c r="H1631" s="11">
        <v>0.128</v>
      </c>
      <c r="I1631" s="11">
        <v>614670.0</v>
      </c>
      <c r="J1631" s="11">
        <v>0.62</v>
      </c>
      <c r="K1631" s="12" t="s">
        <v>204</v>
      </c>
      <c r="L1631" s="5" t="s">
        <v>75</v>
      </c>
      <c r="M1631" s="9" t="s">
        <v>65</v>
      </c>
    </row>
    <row r="1632">
      <c r="A1632" s="11">
        <v>1631.0</v>
      </c>
      <c r="B1632" s="11">
        <v>0.013</v>
      </c>
      <c r="C1632" s="11">
        <v>0.01</v>
      </c>
      <c r="D1632" s="11">
        <v>76.0</v>
      </c>
      <c r="E1632" s="11">
        <v>71.0</v>
      </c>
      <c r="F1632" s="11">
        <v>0.201</v>
      </c>
      <c r="G1632" s="11">
        <v>0.67</v>
      </c>
      <c r="H1632" s="11">
        <v>0.129</v>
      </c>
      <c r="I1632" s="11">
        <v>615820.0</v>
      </c>
      <c r="J1632" s="11">
        <v>0.622</v>
      </c>
      <c r="K1632" s="12" t="s">
        <v>204</v>
      </c>
      <c r="L1632" s="5" t="s">
        <v>75</v>
      </c>
      <c r="M1632" s="9" t="s">
        <v>66</v>
      </c>
    </row>
    <row r="1633">
      <c r="A1633" s="11">
        <v>1632.0</v>
      </c>
      <c r="B1633" s="11">
        <v>0.013</v>
      </c>
      <c r="C1633" s="11">
        <v>0.009</v>
      </c>
      <c r="D1633" s="11">
        <v>76.0</v>
      </c>
      <c r="E1633" s="11">
        <v>71.0</v>
      </c>
      <c r="F1633" s="11">
        <v>0.2</v>
      </c>
      <c r="G1633" s="11">
        <v>0.671</v>
      </c>
      <c r="H1633" s="11">
        <v>0.129</v>
      </c>
      <c r="I1633" s="11">
        <v>616854.0</v>
      </c>
      <c r="J1633" s="11">
        <v>0.624</v>
      </c>
      <c r="K1633" s="12" t="s">
        <v>204</v>
      </c>
      <c r="L1633" s="5" t="s">
        <v>75</v>
      </c>
      <c r="M1633" s="9" t="s">
        <v>67</v>
      </c>
    </row>
    <row r="1634">
      <c r="A1634" s="11">
        <v>1633.0</v>
      </c>
      <c r="B1634" s="11">
        <v>0.013</v>
      </c>
      <c r="C1634" s="11">
        <v>0.008</v>
      </c>
      <c r="D1634" s="11">
        <v>76.0</v>
      </c>
      <c r="E1634" s="11">
        <v>72.0</v>
      </c>
      <c r="F1634" s="11">
        <v>0.199</v>
      </c>
      <c r="G1634" s="11">
        <v>0.673</v>
      </c>
      <c r="H1634" s="11">
        <v>0.128</v>
      </c>
      <c r="I1634" s="11">
        <v>617800.0</v>
      </c>
      <c r="J1634" s="11">
        <v>0.626</v>
      </c>
      <c r="K1634" s="12" t="s">
        <v>204</v>
      </c>
      <c r="L1634" s="5" t="s">
        <v>75</v>
      </c>
      <c r="M1634" s="9" t="s">
        <v>68</v>
      </c>
    </row>
    <row r="1635">
      <c r="A1635" s="11">
        <v>1634.0</v>
      </c>
      <c r="B1635" s="11">
        <v>0.012</v>
      </c>
      <c r="C1635" s="11">
        <v>0.007</v>
      </c>
      <c r="D1635" s="11">
        <v>76.0</v>
      </c>
      <c r="E1635" s="11">
        <v>72.0</v>
      </c>
      <c r="F1635" s="11">
        <v>0.198</v>
      </c>
      <c r="G1635" s="11">
        <v>0.676</v>
      </c>
      <c r="H1635" s="11">
        <v>0.126</v>
      </c>
      <c r="I1635" s="11">
        <v>618649.0</v>
      </c>
      <c r="J1635" s="11">
        <v>0.627</v>
      </c>
      <c r="K1635" s="12" t="s">
        <v>204</v>
      </c>
      <c r="L1635" s="5" t="s">
        <v>75</v>
      </c>
      <c r="M1635" s="9" t="s">
        <v>69</v>
      </c>
    </row>
    <row r="1636">
      <c r="A1636" s="11">
        <v>1635.0</v>
      </c>
      <c r="B1636" s="11">
        <v>0.012</v>
      </c>
      <c r="C1636" s="11">
        <v>0.007</v>
      </c>
      <c r="D1636" s="11">
        <v>77.0</v>
      </c>
      <c r="E1636" s="11">
        <v>72.0</v>
      </c>
      <c r="F1636" s="11">
        <v>0.196</v>
      </c>
      <c r="G1636" s="11">
        <v>0.679</v>
      </c>
      <c r="H1636" s="11">
        <v>0.125</v>
      </c>
      <c r="I1636" s="11">
        <v>619408.0</v>
      </c>
      <c r="J1636" s="11">
        <v>0.629</v>
      </c>
      <c r="K1636" s="12" t="s">
        <v>204</v>
      </c>
      <c r="L1636" s="5" t="s">
        <v>75</v>
      </c>
      <c r="M1636" s="9" t="s">
        <v>70</v>
      </c>
    </row>
    <row r="1637">
      <c r="A1637" s="11">
        <v>1636.0</v>
      </c>
      <c r="B1637" s="11">
        <v>0.012</v>
      </c>
      <c r="C1637" s="11">
        <v>0.006</v>
      </c>
      <c r="D1637" s="11">
        <v>77.0</v>
      </c>
      <c r="E1637" s="11">
        <v>72.0</v>
      </c>
      <c r="F1637" s="11">
        <v>0.195</v>
      </c>
      <c r="G1637" s="11">
        <v>0.681</v>
      </c>
      <c r="H1637" s="11">
        <v>0.125</v>
      </c>
      <c r="I1637" s="11">
        <v>620078.0</v>
      </c>
      <c r="J1637" s="11">
        <v>0.631</v>
      </c>
      <c r="K1637" s="12" t="s">
        <v>204</v>
      </c>
      <c r="L1637" s="5" t="s">
        <v>75</v>
      </c>
      <c r="M1637" s="9" t="s">
        <v>71</v>
      </c>
    </row>
    <row r="1638">
      <c r="A1638" s="11">
        <v>1637.0</v>
      </c>
      <c r="B1638" s="11">
        <v>0.012</v>
      </c>
      <c r="C1638" s="11">
        <v>0.006</v>
      </c>
      <c r="D1638" s="11">
        <v>77.0</v>
      </c>
      <c r="E1638" s="11">
        <v>72.0</v>
      </c>
      <c r="F1638" s="11">
        <v>0.193</v>
      </c>
      <c r="G1638" s="11">
        <v>0.682</v>
      </c>
      <c r="H1638" s="11">
        <v>0.126</v>
      </c>
      <c r="I1638" s="11">
        <v>620644.0</v>
      </c>
      <c r="J1638" s="11">
        <v>0.633</v>
      </c>
      <c r="K1638" s="12" t="s">
        <v>204</v>
      </c>
      <c r="L1638" s="5" t="s">
        <v>75</v>
      </c>
      <c r="M1638" s="9" t="s">
        <v>72</v>
      </c>
    </row>
    <row r="1639">
      <c r="A1639" s="11">
        <v>1638.0</v>
      </c>
      <c r="B1639" s="11">
        <v>0.012</v>
      </c>
      <c r="C1639" s="11">
        <v>0.005</v>
      </c>
      <c r="D1639" s="11">
        <v>77.0</v>
      </c>
      <c r="E1639" s="11">
        <v>72.0</v>
      </c>
      <c r="F1639" s="11">
        <v>0.19</v>
      </c>
      <c r="G1639" s="11">
        <v>0.682</v>
      </c>
      <c r="H1639" s="11">
        <v>0.128</v>
      </c>
      <c r="I1639" s="11">
        <v>621081.0</v>
      </c>
      <c r="J1639" s="11">
        <v>0.635</v>
      </c>
      <c r="K1639" s="12" t="s">
        <v>204</v>
      </c>
      <c r="L1639" s="5" t="s">
        <v>75</v>
      </c>
      <c r="M1639" s="9" t="s">
        <v>73</v>
      </c>
    </row>
    <row r="1640">
      <c r="A1640" s="11">
        <v>1639.0</v>
      </c>
      <c r="B1640" s="11">
        <v>0.022</v>
      </c>
      <c r="C1640" s="11">
        <v>0.043</v>
      </c>
      <c r="D1640" s="11">
        <v>70.0</v>
      </c>
      <c r="E1640" s="11">
        <v>67.0</v>
      </c>
      <c r="F1640" s="11">
        <v>0.341</v>
      </c>
      <c r="G1640" s="11">
        <v>0.613</v>
      </c>
      <c r="H1640" s="11">
        <v>0.047</v>
      </c>
      <c r="I1640" s="11">
        <v>2.8710123E7</v>
      </c>
      <c r="J1640" s="11">
        <v>0.533</v>
      </c>
      <c r="K1640" s="12" t="s">
        <v>205</v>
      </c>
      <c r="L1640" s="5" t="s">
        <v>77</v>
      </c>
      <c r="M1640" s="9" t="s">
        <v>60</v>
      </c>
    </row>
    <row r="1641">
      <c r="A1641" s="11">
        <v>1640.0</v>
      </c>
      <c r="B1641" s="11">
        <v>0.021</v>
      </c>
      <c r="C1641" s="11">
        <v>0.041</v>
      </c>
      <c r="D1641" s="11">
        <v>70.0</v>
      </c>
      <c r="E1641" s="11">
        <v>67.0</v>
      </c>
      <c r="F1641" s="11">
        <v>0.333</v>
      </c>
      <c r="G1641" s="11">
        <v>0.619</v>
      </c>
      <c r="H1641" s="11">
        <v>0.048</v>
      </c>
      <c r="I1641" s="11">
        <v>2.9021156E7</v>
      </c>
      <c r="J1641" s="11">
        <v>0.537</v>
      </c>
      <c r="K1641" s="12" t="s">
        <v>205</v>
      </c>
      <c r="L1641" s="5" t="s">
        <v>77</v>
      </c>
      <c r="M1641" s="9" t="s">
        <v>62</v>
      </c>
    </row>
    <row r="1642">
      <c r="A1642" s="11">
        <v>1641.0</v>
      </c>
      <c r="B1642" s="11">
        <v>0.021</v>
      </c>
      <c r="C1642" s="11">
        <v>0.04</v>
      </c>
      <c r="D1642" s="11">
        <v>70.0</v>
      </c>
      <c r="E1642" s="11">
        <v>67.0</v>
      </c>
      <c r="F1642" s="11">
        <v>0.327</v>
      </c>
      <c r="G1642" s="11">
        <v>0.625</v>
      </c>
      <c r="H1642" s="11">
        <v>0.048</v>
      </c>
      <c r="I1642" s="11">
        <v>2.9311443E7</v>
      </c>
      <c r="J1642" s="11">
        <v>0.54</v>
      </c>
      <c r="K1642" s="12" t="s">
        <v>205</v>
      </c>
      <c r="L1642" s="5" t="s">
        <v>77</v>
      </c>
      <c r="M1642" s="9" t="s">
        <v>63</v>
      </c>
    </row>
    <row r="1643">
      <c r="A1643" s="11">
        <v>1642.0</v>
      </c>
      <c r="B1643" s="11">
        <v>0.021</v>
      </c>
      <c r="C1643" s="11">
        <v>0.038</v>
      </c>
      <c r="D1643" s="11">
        <v>70.0</v>
      </c>
      <c r="E1643" s="11">
        <v>67.0</v>
      </c>
      <c r="F1643" s="11">
        <v>0.32</v>
      </c>
      <c r="G1643" s="11">
        <v>0.631</v>
      </c>
      <c r="H1643" s="11">
        <v>0.049</v>
      </c>
      <c r="I1643" s="11">
        <v>2.9586937E7</v>
      </c>
      <c r="J1643" s="11">
        <v>0.543</v>
      </c>
      <c r="K1643" s="12" t="s">
        <v>205</v>
      </c>
      <c r="L1643" s="5" t="s">
        <v>77</v>
      </c>
      <c r="M1643" s="9" t="s">
        <v>64</v>
      </c>
    </row>
    <row r="1644">
      <c r="A1644" s="11">
        <v>1643.0</v>
      </c>
      <c r="B1644" s="11">
        <v>0.02</v>
      </c>
      <c r="C1644" s="11">
        <v>0.037</v>
      </c>
      <c r="D1644" s="11">
        <v>71.0</v>
      </c>
      <c r="E1644" s="11">
        <v>67.0</v>
      </c>
      <c r="F1644" s="11">
        <v>0.314</v>
      </c>
      <c r="G1644" s="11">
        <v>0.636</v>
      </c>
      <c r="H1644" s="11">
        <v>0.049</v>
      </c>
      <c r="I1644" s="11">
        <v>2.985582E7</v>
      </c>
      <c r="J1644" s="11">
        <v>0.546</v>
      </c>
      <c r="K1644" s="12" t="s">
        <v>205</v>
      </c>
      <c r="L1644" s="5" t="s">
        <v>77</v>
      </c>
      <c r="M1644" s="9" t="s">
        <v>65</v>
      </c>
    </row>
    <row r="1645">
      <c r="A1645" s="11">
        <v>1644.0</v>
      </c>
      <c r="B1645" s="11">
        <v>0.02</v>
      </c>
      <c r="C1645" s="11">
        <v>0.035</v>
      </c>
      <c r="D1645" s="11">
        <v>71.0</v>
      </c>
      <c r="E1645" s="11">
        <v>67.0</v>
      </c>
      <c r="F1645" s="11">
        <v>0.308</v>
      </c>
      <c r="G1645" s="11">
        <v>0.642</v>
      </c>
      <c r="H1645" s="11">
        <v>0.05</v>
      </c>
      <c r="I1645" s="11">
        <v>3.0125445E7</v>
      </c>
      <c r="J1645" s="11">
        <v>0.551</v>
      </c>
      <c r="K1645" s="12" t="s">
        <v>205</v>
      </c>
      <c r="L1645" s="5" t="s">
        <v>77</v>
      </c>
      <c r="M1645" s="9" t="s">
        <v>66</v>
      </c>
    </row>
    <row r="1646">
      <c r="A1646" s="11">
        <v>1645.0</v>
      </c>
      <c r="B1646" s="11">
        <v>0.02</v>
      </c>
      <c r="C1646" s="11">
        <v>0.034</v>
      </c>
      <c r="D1646" s="11">
        <v>71.0</v>
      </c>
      <c r="E1646" s="11">
        <v>68.0</v>
      </c>
      <c r="F1646" s="11">
        <v>0.302</v>
      </c>
      <c r="G1646" s="11">
        <v>0.648</v>
      </c>
      <c r="H1646" s="11">
        <v>0.05</v>
      </c>
      <c r="I1646" s="11">
        <v>3.0395097E7</v>
      </c>
      <c r="J1646" s="11">
        <v>0.556</v>
      </c>
      <c r="K1646" s="12" t="s">
        <v>205</v>
      </c>
      <c r="L1646" s="5" t="s">
        <v>77</v>
      </c>
      <c r="M1646" s="9" t="s">
        <v>67</v>
      </c>
    </row>
    <row r="1647">
      <c r="A1647" s="11">
        <v>1646.0</v>
      </c>
      <c r="B1647" s="11">
        <v>0.02</v>
      </c>
      <c r="C1647" s="11">
        <v>0.033</v>
      </c>
      <c r="D1647" s="11">
        <v>71.0</v>
      </c>
      <c r="E1647" s="11">
        <v>68.0</v>
      </c>
      <c r="F1647" s="11">
        <v>0.295</v>
      </c>
      <c r="G1647" s="11">
        <v>0.654</v>
      </c>
      <c r="H1647" s="11">
        <v>0.05</v>
      </c>
      <c r="I1647" s="11">
        <v>3.0667086E7</v>
      </c>
      <c r="J1647" s="11">
        <v>0.562</v>
      </c>
      <c r="K1647" s="12" t="s">
        <v>205</v>
      </c>
      <c r="L1647" s="5" t="s">
        <v>77</v>
      </c>
      <c r="M1647" s="9" t="s">
        <v>68</v>
      </c>
    </row>
    <row r="1648">
      <c r="A1648" s="11">
        <v>1647.0</v>
      </c>
      <c r="B1648" s="11">
        <v>0.021</v>
      </c>
      <c r="C1648" s="11">
        <v>0.031</v>
      </c>
      <c r="D1648" s="11">
        <v>71.0</v>
      </c>
      <c r="E1648" s="11">
        <v>68.0</v>
      </c>
      <c r="F1648" s="11">
        <v>0.289</v>
      </c>
      <c r="G1648" s="11">
        <v>0.66</v>
      </c>
      <c r="H1648" s="11">
        <v>0.05</v>
      </c>
      <c r="I1648" s="11">
        <v>3.0955151E7</v>
      </c>
      <c r="J1648" s="11">
        <v>0.567</v>
      </c>
      <c r="K1648" s="12" t="s">
        <v>205</v>
      </c>
      <c r="L1648" s="5" t="s">
        <v>77</v>
      </c>
      <c r="M1648" s="9" t="s">
        <v>69</v>
      </c>
    </row>
    <row r="1649">
      <c r="A1649" s="11">
        <v>1648.0</v>
      </c>
      <c r="B1649" s="11">
        <v>0.021</v>
      </c>
      <c r="C1649" s="11">
        <v>0.03</v>
      </c>
      <c r="D1649" s="11">
        <v>72.0</v>
      </c>
      <c r="E1649" s="11">
        <v>68.0</v>
      </c>
      <c r="F1649" s="11">
        <v>0.285</v>
      </c>
      <c r="G1649" s="11">
        <v>0.665</v>
      </c>
      <c r="H1649" s="11">
        <v>0.05</v>
      </c>
      <c r="I1649" s="11">
        <v>3.1276564E7</v>
      </c>
      <c r="J1649" s="11">
        <v>0.572</v>
      </c>
      <c r="K1649" s="12" t="s">
        <v>205</v>
      </c>
      <c r="L1649" s="5" t="s">
        <v>77</v>
      </c>
      <c r="M1649" s="9" t="s">
        <v>70</v>
      </c>
    </row>
    <row r="1650">
      <c r="A1650" s="11">
        <v>1649.0</v>
      </c>
      <c r="B1650" s="11">
        <v>0.022</v>
      </c>
      <c r="C1650" s="11">
        <v>0.029</v>
      </c>
      <c r="D1650" s="11">
        <v>72.0</v>
      </c>
      <c r="E1650" s="11">
        <v>68.0</v>
      </c>
      <c r="F1650" s="11">
        <v>0.281</v>
      </c>
      <c r="G1650" s="11">
        <v>0.669</v>
      </c>
      <c r="H1650" s="11">
        <v>0.05</v>
      </c>
      <c r="I1650" s="11">
        <v>3.164236E7</v>
      </c>
      <c r="J1650" s="11">
        <v>0.577</v>
      </c>
      <c r="K1650" s="12" t="s">
        <v>205</v>
      </c>
      <c r="L1650" s="5" t="s">
        <v>77</v>
      </c>
      <c r="M1650" s="9" t="s">
        <v>71</v>
      </c>
    </row>
    <row r="1651">
      <c r="A1651" s="11">
        <v>1650.0</v>
      </c>
      <c r="B1651" s="11">
        <v>0.022</v>
      </c>
      <c r="C1651" s="11">
        <v>0.028</v>
      </c>
      <c r="D1651" s="11">
        <v>72.0</v>
      </c>
      <c r="E1651" s="11">
        <v>69.0</v>
      </c>
      <c r="F1651" s="11">
        <v>0.279</v>
      </c>
      <c r="G1651" s="11">
        <v>0.671</v>
      </c>
      <c r="H1651" s="11">
        <v>0.05</v>
      </c>
      <c r="I1651" s="11">
        <v>3.2059424E7</v>
      </c>
      <c r="J1651" s="11">
        <v>0.582</v>
      </c>
      <c r="K1651" s="12" t="s">
        <v>205</v>
      </c>
      <c r="L1651" s="5" t="s">
        <v>77</v>
      </c>
      <c r="M1651" s="9" t="s">
        <v>72</v>
      </c>
    </row>
    <row r="1652">
      <c r="A1652" s="11">
        <v>1651.0</v>
      </c>
      <c r="B1652" s="11">
        <v>0.023</v>
      </c>
      <c r="C1652" s="11">
        <v>0.027</v>
      </c>
      <c r="D1652" s="11">
        <v>72.0</v>
      </c>
      <c r="E1652" s="11">
        <v>69.0</v>
      </c>
      <c r="F1652" s="11">
        <v>0.278</v>
      </c>
      <c r="G1652" s="11">
        <v>0.672</v>
      </c>
      <c r="H1652" s="11">
        <v>0.05</v>
      </c>
      <c r="I1652" s="11">
        <v>3.2521143E7</v>
      </c>
      <c r="J1652" s="11">
        <v>0.587</v>
      </c>
      <c r="K1652" s="12" t="s">
        <v>205</v>
      </c>
      <c r="L1652" s="5" t="s">
        <v>77</v>
      </c>
      <c r="M1652" s="9" t="s">
        <v>73</v>
      </c>
    </row>
    <row r="1653">
      <c r="A1653" s="11">
        <v>1652.0</v>
      </c>
      <c r="B1653" s="11">
        <v>0.044</v>
      </c>
      <c r="C1653" s="11">
        <v>0.114</v>
      </c>
      <c r="D1653" s="11">
        <v>49.0</v>
      </c>
      <c r="E1653" s="11">
        <v>46.0</v>
      </c>
      <c r="F1653" s="11">
        <v>0.438</v>
      </c>
      <c r="G1653" s="11">
        <v>0.53</v>
      </c>
      <c r="H1653" s="11">
        <v>0.032</v>
      </c>
      <c r="I1653" s="11">
        <v>1.8275618E7</v>
      </c>
      <c r="J1653" s="11">
        <v>0.291</v>
      </c>
      <c r="K1653" s="12" t="s">
        <v>206</v>
      </c>
      <c r="L1653" s="5" t="s">
        <v>77</v>
      </c>
      <c r="M1653" s="9" t="s">
        <v>60</v>
      </c>
    </row>
    <row r="1654">
      <c r="A1654" s="11">
        <v>1653.0</v>
      </c>
      <c r="B1654" s="11">
        <v>0.045</v>
      </c>
      <c r="C1654" s="11">
        <v>0.109</v>
      </c>
      <c r="D1654" s="11">
        <v>49.0</v>
      </c>
      <c r="E1654" s="11">
        <v>46.0</v>
      </c>
      <c r="F1654" s="11">
        <v>0.44</v>
      </c>
      <c r="G1654" s="11">
        <v>0.529</v>
      </c>
      <c r="H1654" s="11">
        <v>0.032</v>
      </c>
      <c r="I1654" s="11">
        <v>1.8785719E7</v>
      </c>
      <c r="J1654" s="11">
        <v>0.293</v>
      </c>
      <c r="K1654" s="12" t="s">
        <v>206</v>
      </c>
      <c r="L1654" s="5" t="s">
        <v>77</v>
      </c>
      <c r="M1654" s="9" t="s">
        <v>62</v>
      </c>
    </row>
    <row r="1655">
      <c r="A1655" s="11">
        <v>1654.0</v>
      </c>
      <c r="B1655" s="11">
        <v>0.045</v>
      </c>
      <c r="C1655" s="11">
        <v>0.104</v>
      </c>
      <c r="D1655" s="11">
        <v>49.0</v>
      </c>
      <c r="E1655" s="11">
        <v>46.0</v>
      </c>
      <c r="F1655" s="11">
        <v>0.441</v>
      </c>
      <c r="G1655" s="11">
        <v>0.527</v>
      </c>
      <c r="H1655" s="11">
        <v>0.032</v>
      </c>
      <c r="I1655" s="11">
        <v>1.9319894E7</v>
      </c>
      <c r="J1655" s="11">
        <v>0.295</v>
      </c>
      <c r="K1655" s="12" t="s">
        <v>206</v>
      </c>
      <c r="L1655" s="5" t="s">
        <v>77</v>
      </c>
      <c r="M1655" s="9" t="s">
        <v>63</v>
      </c>
    </row>
    <row r="1656">
      <c r="A1656" s="11">
        <v>1655.0</v>
      </c>
      <c r="B1656" s="11">
        <v>0.045</v>
      </c>
      <c r="C1656" s="11">
        <v>0.099</v>
      </c>
      <c r="D1656" s="11">
        <v>49.0</v>
      </c>
      <c r="E1656" s="11">
        <v>46.0</v>
      </c>
      <c r="F1656" s="11">
        <v>0.444</v>
      </c>
      <c r="G1656" s="11">
        <v>0.525</v>
      </c>
      <c r="H1656" s="11">
        <v>0.032</v>
      </c>
      <c r="I1656" s="11">
        <v>1.987346E7</v>
      </c>
      <c r="J1656" s="11">
        <v>0.296</v>
      </c>
      <c r="K1656" s="12" t="s">
        <v>206</v>
      </c>
      <c r="L1656" s="5" t="s">
        <v>77</v>
      </c>
      <c r="M1656" s="9" t="s">
        <v>64</v>
      </c>
    </row>
    <row r="1657">
      <c r="A1657" s="11">
        <v>1656.0</v>
      </c>
      <c r="B1657" s="11">
        <v>0.044</v>
      </c>
      <c r="C1657" s="11">
        <v>0.095</v>
      </c>
      <c r="D1657" s="11">
        <v>49.0</v>
      </c>
      <c r="E1657" s="11">
        <v>46.0</v>
      </c>
      <c r="F1657" s="11">
        <v>0.446</v>
      </c>
      <c r="G1657" s="11">
        <v>0.522</v>
      </c>
      <c r="H1657" s="11">
        <v>0.032</v>
      </c>
      <c r="I1657" s="11">
        <v>2.0438827E7</v>
      </c>
      <c r="J1657" s="11">
        <v>0.298</v>
      </c>
      <c r="K1657" s="12" t="s">
        <v>206</v>
      </c>
      <c r="L1657" s="5" t="s">
        <v>77</v>
      </c>
      <c r="M1657" s="9" t="s">
        <v>65</v>
      </c>
    </row>
    <row r="1658">
      <c r="A1658" s="11">
        <v>1657.0</v>
      </c>
      <c r="B1658" s="11">
        <v>0.044</v>
      </c>
      <c r="C1658" s="11">
        <v>0.091</v>
      </c>
      <c r="D1658" s="11">
        <v>49.0</v>
      </c>
      <c r="E1658" s="11">
        <v>47.0</v>
      </c>
      <c r="F1658" s="11">
        <v>0.448</v>
      </c>
      <c r="G1658" s="11">
        <v>0.52</v>
      </c>
      <c r="H1658" s="11">
        <v>0.032</v>
      </c>
      <c r="I1658" s="11">
        <v>2.1010376E7</v>
      </c>
      <c r="J1658" s="11">
        <v>0.3</v>
      </c>
      <c r="K1658" s="12" t="s">
        <v>206</v>
      </c>
      <c r="L1658" s="5" t="s">
        <v>77</v>
      </c>
      <c r="M1658" s="9" t="s">
        <v>66</v>
      </c>
    </row>
    <row r="1659">
      <c r="A1659" s="11">
        <v>1658.0</v>
      </c>
      <c r="B1659" s="11">
        <v>0.043</v>
      </c>
      <c r="C1659" s="11">
        <v>0.087</v>
      </c>
      <c r="D1659" s="11">
        <v>49.0</v>
      </c>
      <c r="E1659" s="11">
        <v>47.0</v>
      </c>
      <c r="F1659" s="11">
        <v>0.45</v>
      </c>
      <c r="G1659" s="11">
        <v>0.519</v>
      </c>
      <c r="H1659" s="11">
        <v>0.032</v>
      </c>
      <c r="I1659" s="11">
        <v>2.1587317E7</v>
      </c>
      <c r="J1659" s="11">
        <v>0.302</v>
      </c>
      <c r="K1659" s="12" t="s">
        <v>206</v>
      </c>
      <c r="L1659" s="5" t="s">
        <v>77</v>
      </c>
      <c r="M1659" s="9" t="s">
        <v>67</v>
      </c>
    </row>
    <row r="1660">
      <c r="A1660" s="11">
        <v>1659.0</v>
      </c>
      <c r="B1660" s="11">
        <v>0.043</v>
      </c>
      <c r="C1660" s="11">
        <v>0.082</v>
      </c>
      <c r="D1660" s="11">
        <v>49.0</v>
      </c>
      <c r="E1660" s="11">
        <v>47.0</v>
      </c>
      <c r="F1660" s="11">
        <v>0.451</v>
      </c>
      <c r="G1660" s="11">
        <v>0.517</v>
      </c>
      <c r="H1660" s="11">
        <v>0.032</v>
      </c>
      <c r="I1660" s="11">
        <v>2.2171404E7</v>
      </c>
      <c r="J1660" s="11">
        <v>0.304</v>
      </c>
      <c r="K1660" s="12" t="s">
        <v>206</v>
      </c>
      <c r="L1660" s="5" t="s">
        <v>77</v>
      </c>
      <c r="M1660" s="9" t="s">
        <v>68</v>
      </c>
    </row>
    <row r="1661">
      <c r="A1661" s="11">
        <v>1660.0</v>
      </c>
      <c r="B1661" s="11">
        <v>0.042</v>
      </c>
      <c r="C1661" s="11">
        <v>0.078</v>
      </c>
      <c r="D1661" s="11">
        <v>50.0</v>
      </c>
      <c r="E1661" s="11">
        <v>47.0</v>
      </c>
      <c r="F1661" s="11">
        <v>0.452</v>
      </c>
      <c r="G1661" s="11">
        <v>0.516</v>
      </c>
      <c r="H1661" s="11">
        <v>0.032</v>
      </c>
      <c r="I1661" s="11">
        <v>2.2762525E7</v>
      </c>
      <c r="J1661" s="11">
        <v>0.305</v>
      </c>
      <c r="K1661" s="12" t="s">
        <v>206</v>
      </c>
      <c r="L1661" s="5" t="s">
        <v>77</v>
      </c>
      <c r="M1661" s="9" t="s">
        <v>69</v>
      </c>
    </row>
    <row r="1662">
      <c r="A1662" s="11">
        <v>1661.0</v>
      </c>
      <c r="B1662" s="11">
        <v>0.041</v>
      </c>
      <c r="C1662" s="11">
        <v>0.074</v>
      </c>
      <c r="D1662" s="11">
        <v>50.0</v>
      </c>
      <c r="E1662" s="11">
        <v>48.0</v>
      </c>
      <c r="F1662" s="11">
        <v>0.453</v>
      </c>
      <c r="G1662" s="11">
        <v>0.515</v>
      </c>
      <c r="H1662" s="11">
        <v>0.032</v>
      </c>
      <c r="I1662" s="11">
        <v>2.3361025E7</v>
      </c>
      <c r="J1662" s="11">
        <v>0.307</v>
      </c>
      <c r="K1662" s="12" t="s">
        <v>206</v>
      </c>
      <c r="L1662" s="5" t="s">
        <v>77</v>
      </c>
      <c r="M1662" s="9" t="s">
        <v>70</v>
      </c>
    </row>
    <row r="1663">
      <c r="A1663" s="11">
        <v>1662.0</v>
      </c>
      <c r="B1663" s="11">
        <v>0.041</v>
      </c>
      <c r="C1663" s="11">
        <v>0.072</v>
      </c>
      <c r="D1663" s="11">
        <v>50.0</v>
      </c>
      <c r="E1663" s="11">
        <v>48.0</v>
      </c>
      <c r="F1663" s="11">
        <v>0.453</v>
      </c>
      <c r="G1663" s="11">
        <v>0.514</v>
      </c>
      <c r="H1663" s="11">
        <v>0.032</v>
      </c>
      <c r="I1663" s="11">
        <v>2.3967265E7</v>
      </c>
      <c r="J1663" s="11">
        <v>0.31</v>
      </c>
      <c r="K1663" s="12" t="s">
        <v>206</v>
      </c>
      <c r="L1663" s="5" t="s">
        <v>77</v>
      </c>
      <c r="M1663" s="9" t="s">
        <v>71</v>
      </c>
    </row>
    <row r="1664">
      <c r="A1664" s="11">
        <v>1663.0</v>
      </c>
      <c r="B1664" s="11">
        <v>0.04</v>
      </c>
      <c r="C1664" s="11">
        <v>0.068</v>
      </c>
      <c r="D1664" s="11">
        <v>50.0</v>
      </c>
      <c r="E1664" s="11">
        <v>49.0</v>
      </c>
      <c r="F1664" s="11">
        <v>0.454</v>
      </c>
      <c r="G1664" s="11">
        <v>0.514</v>
      </c>
      <c r="H1664" s="11">
        <v>0.032</v>
      </c>
      <c r="I1664" s="11">
        <v>2.4581367E7</v>
      </c>
      <c r="J1664" s="11">
        <v>0.312</v>
      </c>
      <c r="K1664" s="12" t="s">
        <v>206</v>
      </c>
      <c r="L1664" s="5" t="s">
        <v>77</v>
      </c>
      <c r="M1664" s="9" t="s">
        <v>72</v>
      </c>
    </row>
    <row r="1665">
      <c r="A1665" s="11">
        <v>1664.0</v>
      </c>
      <c r="B1665" s="11">
        <v>0.039</v>
      </c>
      <c r="C1665" s="11">
        <v>0.064</v>
      </c>
      <c r="D1665" s="11">
        <v>51.0</v>
      </c>
      <c r="E1665" s="11">
        <v>49.0</v>
      </c>
      <c r="F1665" s="11">
        <v>0.454</v>
      </c>
      <c r="G1665" s="11">
        <v>0.514</v>
      </c>
      <c r="H1665" s="11">
        <v>0.033</v>
      </c>
      <c r="I1665" s="11">
        <v>2.5203395E7</v>
      </c>
      <c r="J1665" s="11">
        <v>0.314</v>
      </c>
      <c r="K1665" s="12" t="s">
        <v>206</v>
      </c>
      <c r="L1665" s="5" t="s">
        <v>77</v>
      </c>
      <c r="M1665" s="9" t="s">
        <v>73</v>
      </c>
    </row>
    <row r="1666">
      <c r="A1666" s="11">
        <v>1665.0</v>
      </c>
      <c r="B1666" s="11">
        <v>0.021</v>
      </c>
      <c r="C1666" s="11">
        <v>0.059</v>
      </c>
      <c r="D1666" s="11">
        <v>64.0</v>
      </c>
      <c r="E1666" s="11">
        <v>60.0</v>
      </c>
      <c r="F1666" s="11">
        <v>0.307</v>
      </c>
      <c r="G1666" s="11">
        <v>0.645</v>
      </c>
      <c r="H1666" s="11">
        <v>0.047</v>
      </c>
      <c r="I1666" s="11">
        <v>4.8453E7</v>
      </c>
      <c r="J1666" s="11">
        <v>0.27</v>
      </c>
      <c r="K1666" s="12" t="s">
        <v>207</v>
      </c>
      <c r="L1666" s="5" t="s">
        <v>61</v>
      </c>
      <c r="M1666" s="9" t="s">
        <v>60</v>
      </c>
    </row>
    <row r="1667">
      <c r="A1667" s="11">
        <v>1666.0</v>
      </c>
      <c r="B1667" s="11">
        <v>0.02</v>
      </c>
      <c r="C1667" s="11">
        <v>0.057</v>
      </c>
      <c r="D1667" s="11">
        <v>64.0</v>
      </c>
      <c r="E1667" s="11">
        <v>60.0</v>
      </c>
      <c r="F1667" s="11">
        <v>0.301</v>
      </c>
      <c r="G1667" s="11">
        <v>0.651</v>
      </c>
      <c r="H1667" s="11">
        <v>0.048</v>
      </c>
      <c r="I1667" s="11">
        <v>4.8894203E7</v>
      </c>
      <c r="J1667" s="11">
        <v>0.273</v>
      </c>
      <c r="K1667" s="12" t="s">
        <v>207</v>
      </c>
      <c r="L1667" s="5" t="s">
        <v>61</v>
      </c>
      <c r="M1667" s="9" t="s">
        <v>62</v>
      </c>
    </row>
    <row r="1668">
      <c r="A1668" s="11">
        <v>1667.0</v>
      </c>
      <c r="B1668" s="11">
        <v>0.02</v>
      </c>
      <c r="C1668" s="11">
        <v>0.056</v>
      </c>
      <c r="D1668" s="11">
        <v>65.0</v>
      </c>
      <c r="E1668" s="11">
        <v>61.0</v>
      </c>
      <c r="F1668" s="11">
        <v>0.296</v>
      </c>
      <c r="G1668" s="11">
        <v>0.656</v>
      </c>
      <c r="H1668" s="11">
        <v>0.048</v>
      </c>
      <c r="I1668" s="11">
        <v>4.9261313E7</v>
      </c>
      <c r="J1668" s="11">
        <v>0.277</v>
      </c>
      <c r="K1668" s="12" t="s">
        <v>207</v>
      </c>
      <c r="L1668" s="5" t="s">
        <v>61</v>
      </c>
      <c r="M1668" s="9" t="s">
        <v>63</v>
      </c>
    </row>
    <row r="1669">
      <c r="A1669" s="11">
        <v>1668.0</v>
      </c>
      <c r="B1669" s="11">
        <v>0.02</v>
      </c>
      <c r="C1669" s="11">
        <v>0.054</v>
      </c>
      <c r="D1669" s="11">
        <v>65.0</v>
      </c>
      <c r="E1669" s="11">
        <v>61.0</v>
      </c>
      <c r="F1669" s="11">
        <v>0.29</v>
      </c>
      <c r="G1669" s="11">
        <v>0.661</v>
      </c>
      <c r="H1669" s="11">
        <v>0.048</v>
      </c>
      <c r="I1669" s="11">
        <v>4.9577152E7</v>
      </c>
      <c r="J1669" s="11">
        <v>0.281</v>
      </c>
      <c r="K1669" s="12" t="s">
        <v>207</v>
      </c>
      <c r="L1669" s="5" t="s">
        <v>61</v>
      </c>
      <c r="M1669" s="9" t="s">
        <v>64</v>
      </c>
    </row>
    <row r="1670">
      <c r="A1670" s="11">
        <v>1669.0</v>
      </c>
      <c r="B1670" s="11">
        <v>0.019</v>
      </c>
      <c r="C1670" s="11">
        <v>0.052</v>
      </c>
      <c r="D1670" s="11">
        <v>65.0</v>
      </c>
      <c r="E1670" s="11">
        <v>61.0</v>
      </c>
      <c r="F1670" s="11">
        <v>0.286</v>
      </c>
      <c r="G1670" s="11">
        <v>0.666</v>
      </c>
      <c r="H1670" s="11">
        <v>0.049</v>
      </c>
      <c r="I1670" s="11">
        <v>4.9875169E7</v>
      </c>
      <c r="J1670" s="11">
        <v>0.285</v>
      </c>
      <c r="K1670" s="12" t="s">
        <v>207</v>
      </c>
      <c r="L1670" s="5" t="s">
        <v>61</v>
      </c>
      <c r="M1670" s="9" t="s">
        <v>65</v>
      </c>
    </row>
    <row r="1671">
      <c r="A1671" s="11">
        <v>1670.0</v>
      </c>
      <c r="B1671" s="11">
        <v>0.019</v>
      </c>
      <c r="C1671" s="11">
        <v>0.051</v>
      </c>
      <c r="D1671" s="11">
        <v>66.0</v>
      </c>
      <c r="E1671" s="11">
        <v>61.0</v>
      </c>
      <c r="F1671" s="11">
        <v>0.281</v>
      </c>
      <c r="G1671" s="11">
        <v>0.67</v>
      </c>
      <c r="H1671" s="11">
        <v>0.049</v>
      </c>
      <c r="I1671" s="11">
        <v>5.018102E7</v>
      </c>
      <c r="J1671" s="11">
        <v>0.289</v>
      </c>
      <c r="K1671" s="12" t="s">
        <v>207</v>
      </c>
      <c r="L1671" s="5" t="s">
        <v>61</v>
      </c>
      <c r="M1671" s="9" t="s">
        <v>66</v>
      </c>
    </row>
    <row r="1672">
      <c r="A1672" s="11">
        <v>1671.0</v>
      </c>
      <c r="B1672" s="11">
        <v>0.019</v>
      </c>
      <c r="C1672" s="11">
        <v>0.049</v>
      </c>
      <c r="D1672" s="11">
        <v>66.0</v>
      </c>
      <c r="E1672" s="11">
        <v>62.0</v>
      </c>
      <c r="F1672" s="11">
        <v>0.277</v>
      </c>
      <c r="G1672" s="11">
        <v>0.674</v>
      </c>
      <c r="H1672" s="11">
        <v>0.05</v>
      </c>
      <c r="I1672" s="11">
        <v>5.050007E7</v>
      </c>
      <c r="J1672" s="11">
        <v>0.294</v>
      </c>
      <c r="K1672" s="12" t="s">
        <v>207</v>
      </c>
      <c r="L1672" s="5" t="s">
        <v>61</v>
      </c>
      <c r="M1672" s="9" t="s">
        <v>67</v>
      </c>
    </row>
    <row r="1673">
      <c r="A1673" s="11">
        <v>1672.0</v>
      </c>
      <c r="B1673" s="11">
        <v>0.019</v>
      </c>
      <c r="C1673" s="11">
        <v>0.048</v>
      </c>
      <c r="D1673" s="11">
        <v>66.0</v>
      </c>
      <c r="E1673" s="11">
        <v>62.0</v>
      </c>
      <c r="F1673" s="11">
        <v>0.272</v>
      </c>
      <c r="G1673" s="11">
        <v>0.678</v>
      </c>
      <c r="H1673" s="11">
        <v>0.05</v>
      </c>
      <c r="I1673" s="11">
        <v>5.0828959E7</v>
      </c>
      <c r="J1673" s="11">
        <v>0.299</v>
      </c>
      <c r="K1673" s="12" t="s">
        <v>207</v>
      </c>
      <c r="L1673" s="5" t="s">
        <v>61</v>
      </c>
      <c r="M1673" s="9" t="s">
        <v>68</v>
      </c>
    </row>
    <row r="1674">
      <c r="A1674" s="11">
        <v>1673.0</v>
      </c>
      <c r="B1674" s="11">
        <v>0.018</v>
      </c>
      <c r="C1674" s="11">
        <v>0.046</v>
      </c>
      <c r="D1674" s="11">
        <v>66.0</v>
      </c>
      <c r="E1674" s="11">
        <v>62.0</v>
      </c>
      <c r="F1674" s="11">
        <v>0.268</v>
      </c>
      <c r="G1674" s="11">
        <v>0.681</v>
      </c>
      <c r="H1674" s="11">
        <v>0.05</v>
      </c>
      <c r="I1674" s="11">
        <v>5.1174018E7</v>
      </c>
      <c r="J1674" s="11">
        <v>0.304</v>
      </c>
      <c r="K1674" s="12" t="s">
        <v>207</v>
      </c>
      <c r="L1674" s="5" t="s">
        <v>61</v>
      </c>
      <c r="M1674" s="9" t="s">
        <v>69</v>
      </c>
    </row>
    <row r="1675">
      <c r="A1675" s="11">
        <v>1674.0</v>
      </c>
      <c r="B1675" s="11">
        <v>0.018</v>
      </c>
      <c r="C1675" s="11">
        <v>0.045</v>
      </c>
      <c r="D1675" s="11">
        <v>66.0</v>
      </c>
      <c r="E1675" s="11">
        <v>62.0</v>
      </c>
      <c r="F1675" s="11">
        <v>0.265</v>
      </c>
      <c r="G1675" s="11">
        <v>0.685</v>
      </c>
      <c r="H1675" s="11">
        <v>0.051</v>
      </c>
      <c r="I1675" s="11">
        <v>5.154049E7</v>
      </c>
      <c r="J1675" s="11">
        <v>0.309</v>
      </c>
      <c r="K1675" s="12" t="s">
        <v>207</v>
      </c>
      <c r="L1675" s="5" t="s">
        <v>61</v>
      </c>
      <c r="M1675" s="9" t="s">
        <v>70</v>
      </c>
    </row>
    <row r="1676">
      <c r="A1676" s="11">
        <v>1675.0</v>
      </c>
      <c r="B1676" s="11">
        <v>0.018</v>
      </c>
      <c r="C1676" s="11">
        <v>0.044</v>
      </c>
      <c r="D1676" s="11">
        <v>67.0</v>
      </c>
      <c r="E1676" s="11">
        <v>63.0</v>
      </c>
      <c r="F1676" s="11">
        <v>0.261</v>
      </c>
      <c r="G1676" s="11">
        <v>0.688</v>
      </c>
      <c r="H1676" s="11">
        <v>0.051</v>
      </c>
      <c r="I1676" s="11">
        <v>5.1931231E7</v>
      </c>
      <c r="J1676" s="11">
        <v>0.314</v>
      </c>
      <c r="K1676" s="12" t="s">
        <v>207</v>
      </c>
      <c r="L1676" s="5" t="s">
        <v>61</v>
      </c>
      <c r="M1676" s="9" t="s">
        <v>71</v>
      </c>
    </row>
    <row r="1677">
      <c r="A1677" s="11">
        <v>1676.0</v>
      </c>
      <c r="B1677" s="11">
        <v>0.018</v>
      </c>
      <c r="C1677" s="11">
        <v>0.042</v>
      </c>
      <c r="D1677" s="11">
        <v>67.0</v>
      </c>
      <c r="E1677" s="11">
        <v>63.0</v>
      </c>
      <c r="F1677" s="11">
        <v>0.257</v>
      </c>
      <c r="G1677" s="11">
        <v>0.692</v>
      </c>
      <c r="H1677" s="11">
        <v>0.051</v>
      </c>
      <c r="I1677" s="11">
        <v>5.2350763E7</v>
      </c>
      <c r="J1677" s="11">
        <v>0.319</v>
      </c>
      <c r="K1677" s="12" t="s">
        <v>207</v>
      </c>
      <c r="L1677" s="5" t="s">
        <v>61</v>
      </c>
      <c r="M1677" s="9" t="s">
        <v>72</v>
      </c>
    </row>
    <row r="1678">
      <c r="A1678" s="11">
        <v>1677.0</v>
      </c>
      <c r="B1678" s="11">
        <v>0.017</v>
      </c>
      <c r="C1678" s="11">
        <v>0.041</v>
      </c>
      <c r="D1678" s="11">
        <v>67.0</v>
      </c>
      <c r="E1678" s="11">
        <v>63.0</v>
      </c>
      <c r="F1678" s="11">
        <v>0.253</v>
      </c>
      <c r="G1678" s="11">
        <v>0.696</v>
      </c>
      <c r="H1678" s="11">
        <v>0.052</v>
      </c>
      <c r="I1678" s="11">
        <v>5.2797319E7</v>
      </c>
      <c r="J1678" s="11">
        <v>0.325</v>
      </c>
      <c r="K1678" s="12" t="s">
        <v>207</v>
      </c>
      <c r="L1678" s="5" t="s">
        <v>61</v>
      </c>
      <c r="M1678" s="9" t="s">
        <v>73</v>
      </c>
    </row>
    <row r="1679">
      <c r="A1679" s="11">
        <v>1678.0</v>
      </c>
      <c r="B1679" s="11">
        <v>0.032</v>
      </c>
      <c r="C1679" s="11">
        <v>0.049</v>
      </c>
      <c r="D1679" s="11">
        <v>57.0</v>
      </c>
      <c r="E1679" s="11">
        <v>53.0</v>
      </c>
      <c r="F1679" s="11">
        <v>0.405</v>
      </c>
      <c r="G1679" s="11">
        <v>0.562</v>
      </c>
      <c r="H1679" s="11">
        <v>0.033</v>
      </c>
      <c r="I1679" s="11">
        <v>1897953.0</v>
      </c>
      <c r="J1679" s="11">
        <v>0.324</v>
      </c>
      <c r="K1679" s="12" t="s">
        <v>208</v>
      </c>
      <c r="L1679" s="5" t="s">
        <v>77</v>
      </c>
      <c r="M1679" s="9" t="s">
        <v>60</v>
      </c>
    </row>
    <row r="1680">
      <c r="A1680" s="11">
        <v>1679.0</v>
      </c>
      <c r="B1680" s="11">
        <v>0.031</v>
      </c>
      <c r="C1680" s="11">
        <v>0.049</v>
      </c>
      <c r="D1680" s="11">
        <v>56.0</v>
      </c>
      <c r="E1680" s="11">
        <v>52.0</v>
      </c>
      <c r="F1680" s="11">
        <v>0.403</v>
      </c>
      <c r="G1680" s="11">
        <v>0.564</v>
      </c>
      <c r="H1680" s="11">
        <v>0.033</v>
      </c>
      <c r="I1680" s="11">
        <v>1931282.0</v>
      </c>
      <c r="J1680" s="11">
        <v>0.329</v>
      </c>
      <c r="K1680" s="12" t="s">
        <v>208</v>
      </c>
      <c r="L1680" s="5" t="s">
        <v>77</v>
      </c>
      <c r="M1680" s="9" t="s">
        <v>62</v>
      </c>
    </row>
    <row r="1681">
      <c r="A1681" s="11">
        <v>1680.0</v>
      </c>
      <c r="B1681" s="11">
        <v>0.031</v>
      </c>
      <c r="C1681" s="11">
        <v>0.049</v>
      </c>
      <c r="D1681" s="11">
        <v>56.0</v>
      </c>
      <c r="E1681" s="11">
        <v>52.0</v>
      </c>
      <c r="F1681" s="11">
        <v>0.402</v>
      </c>
      <c r="G1681" s="11">
        <v>0.565</v>
      </c>
      <c r="H1681" s="11">
        <v>0.033</v>
      </c>
      <c r="I1681" s="11">
        <v>1958303.0</v>
      </c>
      <c r="J1681" s="11">
        <v>0.338</v>
      </c>
      <c r="K1681" s="12" t="s">
        <v>208</v>
      </c>
      <c r="L1681" s="5" t="s">
        <v>77</v>
      </c>
      <c r="M1681" s="9" t="s">
        <v>63</v>
      </c>
    </row>
    <row r="1682">
      <c r="A1682" s="11">
        <v>1681.0</v>
      </c>
      <c r="B1682" s="11">
        <v>0.03</v>
      </c>
      <c r="C1682" s="11">
        <v>0.049</v>
      </c>
      <c r="D1682" s="11">
        <v>56.0</v>
      </c>
      <c r="E1682" s="11">
        <v>52.0</v>
      </c>
      <c r="F1682" s="11">
        <v>0.401</v>
      </c>
      <c r="G1682" s="11">
        <v>0.565</v>
      </c>
      <c r="H1682" s="11">
        <v>0.033</v>
      </c>
      <c r="I1682" s="11">
        <v>1981237.0</v>
      </c>
      <c r="J1682" s="11">
        <v>0.347</v>
      </c>
      <c r="K1682" s="12" t="s">
        <v>208</v>
      </c>
      <c r="L1682" s="5" t="s">
        <v>77</v>
      </c>
      <c r="M1682" s="9" t="s">
        <v>64</v>
      </c>
    </row>
    <row r="1683">
      <c r="A1683" s="11">
        <v>1682.0</v>
      </c>
      <c r="B1683" s="11">
        <v>0.03</v>
      </c>
      <c r="C1683" s="11">
        <v>0.048</v>
      </c>
      <c r="D1683" s="11">
        <v>57.0</v>
      </c>
      <c r="E1683" s="11">
        <v>53.0</v>
      </c>
      <c r="F1683" s="11">
        <v>0.4</v>
      </c>
      <c r="G1683" s="11">
        <v>0.567</v>
      </c>
      <c r="H1683" s="11">
        <v>0.033</v>
      </c>
      <c r="I1683" s="11">
        <v>2003320.0</v>
      </c>
      <c r="J1683" s="11">
        <v>0.357</v>
      </c>
      <c r="K1683" s="12" t="s">
        <v>208</v>
      </c>
      <c r="L1683" s="5" t="s">
        <v>77</v>
      </c>
      <c r="M1683" s="9" t="s">
        <v>65</v>
      </c>
    </row>
    <row r="1684">
      <c r="A1684" s="11">
        <v>1683.0</v>
      </c>
      <c r="B1684" s="11">
        <v>0.029</v>
      </c>
      <c r="C1684" s="11">
        <v>0.046</v>
      </c>
      <c r="D1684" s="11">
        <v>58.0</v>
      </c>
      <c r="E1684" s="11">
        <v>54.0</v>
      </c>
      <c r="F1684" s="11">
        <v>0.398</v>
      </c>
      <c r="G1684" s="11">
        <v>0.569</v>
      </c>
      <c r="H1684" s="11">
        <v>0.033</v>
      </c>
      <c r="I1684" s="11">
        <v>2027026.0</v>
      </c>
      <c r="J1684" s="11">
        <v>0.366</v>
      </c>
      <c r="K1684" s="12" t="s">
        <v>208</v>
      </c>
      <c r="L1684" s="5" t="s">
        <v>77</v>
      </c>
      <c r="M1684" s="9" t="s">
        <v>66</v>
      </c>
    </row>
    <row r="1685">
      <c r="A1685" s="11">
        <v>1684.0</v>
      </c>
      <c r="B1685" s="11">
        <v>0.029</v>
      </c>
      <c r="C1685" s="11">
        <v>0.044</v>
      </c>
      <c r="D1685" s="11">
        <v>60.0</v>
      </c>
      <c r="E1685" s="11">
        <v>55.0</v>
      </c>
      <c r="F1685" s="11">
        <v>0.395</v>
      </c>
      <c r="G1685" s="11">
        <v>0.571</v>
      </c>
      <c r="H1685" s="11">
        <v>0.033</v>
      </c>
      <c r="I1685" s="11">
        <v>2052931.0</v>
      </c>
      <c r="J1685" s="11">
        <v>0.376</v>
      </c>
      <c r="K1685" s="12" t="s">
        <v>208</v>
      </c>
      <c r="L1685" s="5" t="s">
        <v>77</v>
      </c>
      <c r="M1685" s="9" t="s">
        <v>67</v>
      </c>
    </row>
    <row r="1686">
      <c r="A1686" s="11">
        <v>1685.0</v>
      </c>
      <c r="B1686" s="11">
        <v>0.028</v>
      </c>
      <c r="C1686" s="11">
        <v>0.042</v>
      </c>
      <c r="D1686" s="11">
        <v>62.0</v>
      </c>
      <c r="E1686" s="11">
        <v>56.0</v>
      </c>
      <c r="F1686" s="11">
        <v>0.391</v>
      </c>
      <c r="G1686" s="11">
        <v>0.575</v>
      </c>
      <c r="H1686" s="11">
        <v>0.034</v>
      </c>
      <c r="I1686" s="11">
        <v>2080700.0</v>
      </c>
      <c r="J1686" s="11">
        <v>0.386</v>
      </c>
      <c r="K1686" s="12" t="s">
        <v>208</v>
      </c>
      <c r="L1686" s="5" t="s">
        <v>77</v>
      </c>
      <c r="M1686" s="9" t="s">
        <v>68</v>
      </c>
    </row>
    <row r="1687">
      <c r="A1687" s="11">
        <v>1686.0</v>
      </c>
      <c r="B1687" s="11">
        <v>0.028</v>
      </c>
      <c r="C1687" s="11">
        <v>0.041</v>
      </c>
      <c r="D1687" s="11">
        <v>63.0</v>
      </c>
      <c r="E1687" s="11">
        <v>57.0</v>
      </c>
      <c r="F1687" s="11">
        <v>0.387</v>
      </c>
      <c r="G1687" s="11">
        <v>0.579</v>
      </c>
      <c r="H1687" s="11">
        <v>0.034</v>
      </c>
      <c r="I1687" s="11">
        <v>2110791.0</v>
      </c>
      <c r="J1687" s="11">
        <v>0.396</v>
      </c>
      <c r="K1687" s="12" t="s">
        <v>208</v>
      </c>
      <c r="L1687" s="5" t="s">
        <v>77</v>
      </c>
      <c r="M1687" s="9" t="s">
        <v>69</v>
      </c>
    </row>
    <row r="1688">
      <c r="A1688" s="11">
        <v>1687.0</v>
      </c>
      <c r="B1688" s="11">
        <v>0.027</v>
      </c>
      <c r="C1688" s="11">
        <v>0.039</v>
      </c>
      <c r="D1688" s="11">
        <v>64.0</v>
      </c>
      <c r="E1688" s="11">
        <v>59.0</v>
      </c>
      <c r="F1688" s="11">
        <v>0.382</v>
      </c>
      <c r="G1688" s="11">
        <v>0.584</v>
      </c>
      <c r="H1688" s="11">
        <v>0.034</v>
      </c>
      <c r="I1688" s="11">
        <v>2143498.0</v>
      </c>
      <c r="J1688" s="11">
        <v>0.406</v>
      </c>
      <c r="K1688" s="12" t="s">
        <v>208</v>
      </c>
      <c r="L1688" s="5" t="s">
        <v>77</v>
      </c>
      <c r="M1688" s="9" t="s">
        <v>70</v>
      </c>
    </row>
    <row r="1689">
      <c r="A1689" s="11">
        <v>1688.0</v>
      </c>
      <c r="B1689" s="11">
        <v>0.027</v>
      </c>
      <c r="C1689" s="11">
        <v>0.038</v>
      </c>
      <c r="D1689" s="11">
        <v>65.0</v>
      </c>
      <c r="E1689" s="11">
        <v>60.0</v>
      </c>
      <c r="F1689" s="11">
        <v>0.377</v>
      </c>
      <c r="G1689" s="11">
        <v>0.589</v>
      </c>
      <c r="H1689" s="11">
        <v>0.034</v>
      </c>
      <c r="I1689" s="11">
        <v>2178967.0</v>
      </c>
      <c r="J1689" s="11">
        <v>0.416</v>
      </c>
      <c r="K1689" s="12" t="s">
        <v>208</v>
      </c>
      <c r="L1689" s="5" t="s">
        <v>77</v>
      </c>
      <c r="M1689" s="9" t="s">
        <v>71</v>
      </c>
    </row>
    <row r="1690">
      <c r="A1690" s="11">
        <v>1689.0</v>
      </c>
      <c r="B1690" s="11">
        <v>0.027</v>
      </c>
      <c r="C1690" s="11">
        <v>0.036</v>
      </c>
      <c r="D1690" s="11">
        <v>66.0</v>
      </c>
      <c r="E1690" s="11">
        <v>61.0</v>
      </c>
      <c r="F1690" s="11">
        <v>0.371</v>
      </c>
      <c r="G1690" s="11">
        <v>0.594</v>
      </c>
      <c r="H1690" s="11">
        <v>0.035</v>
      </c>
      <c r="I1690" s="11">
        <v>2217618.0</v>
      </c>
      <c r="J1690" s="11">
        <v>0.426</v>
      </c>
      <c r="K1690" s="12" t="s">
        <v>208</v>
      </c>
      <c r="L1690" s="5" t="s">
        <v>77</v>
      </c>
      <c r="M1690" s="9" t="s">
        <v>72</v>
      </c>
    </row>
    <row r="1691">
      <c r="A1691" s="11">
        <v>1690.0</v>
      </c>
      <c r="B1691" s="11">
        <v>0.026</v>
      </c>
      <c r="C1691" s="11">
        <v>0.036</v>
      </c>
      <c r="D1691" s="11">
        <v>67.0</v>
      </c>
      <c r="E1691" s="11">
        <v>61.0</v>
      </c>
      <c r="F1691" s="11">
        <v>0.366</v>
      </c>
      <c r="G1691" s="11">
        <v>0.599</v>
      </c>
      <c r="H1691" s="11">
        <v>0.035</v>
      </c>
      <c r="I1691" s="11">
        <v>2259393.0</v>
      </c>
      <c r="J1691" s="11">
        <v>0.437</v>
      </c>
      <c r="K1691" s="12" t="s">
        <v>208</v>
      </c>
      <c r="L1691" s="5" t="s">
        <v>77</v>
      </c>
      <c r="M1691" s="9" t="s">
        <v>73</v>
      </c>
    </row>
    <row r="1692">
      <c r="A1692" s="11">
        <v>1691.0</v>
      </c>
      <c r="B1692" s="11">
        <v>0.033</v>
      </c>
      <c r="C1692" s="11">
        <v>0.06</v>
      </c>
      <c r="D1692" s="11">
        <v>63.0</v>
      </c>
      <c r="E1692" s="11">
        <v>61.0</v>
      </c>
      <c r="F1692" s="11">
        <v>0.404</v>
      </c>
      <c r="G1692" s="11">
        <v>0.558</v>
      </c>
      <c r="H1692" s="11">
        <v>0.038</v>
      </c>
      <c r="I1692" s="11">
        <v>2.3184177E7</v>
      </c>
      <c r="J1692" s="11">
        <v>0.134</v>
      </c>
      <c r="K1692" s="12" t="s">
        <v>209</v>
      </c>
      <c r="L1692" s="5" t="s">
        <v>61</v>
      </c>
      <c r="M1692" s="9" t="s">
        <v>60</v>
      </c>
    </row>
    <row r="1693">
      <c r="A1693" s="11">
        <v>1692.0</v>
      </c>
      <c r="B1693" s="11">
        <v>0.032</v>
      </c>
      <c r="C1693" s="11">
        <v>0.057</v>
      </c>
      <c r="D1693" s="11">
        <v>64.0</v>
      </c>
      <c r="E1693" s="11">
        <v>62.0</v>
      </c>
      <c r="F1693" s="11">
        <v>0.403</v>
      </c>
      <c r="G1693" s="11">
        <v>0.559</v>
      </c>
      <c r="H1693" s="11">
        <v>0.039</v>
      </c>
      <c r="I1693" s="11">
        <v>2.3655119E7</v>
      </c>
      <c r="J1693" s="11">
        <v>0.14</v>
      </c>
      <c r="K1693" s="12" t="s">
        <v>209</v>
      </c>
      <c r="L1693" s="5" t="s">
        <v>61</v>
      </c>
      <c r="M1693" s="9" t="s">
        <v>62</v>
      </c>
    </row>
    <row r="1694">
      <c r="A1694" s="11">
        <v>1693.0</v>
      </c>
      <c r="B1694" s="11">
        <v>0.031</v>
      </c>
      <c r="C1694" s="11">
        <v>0.054</v>
      </c>
      <c r="D1694" s="11">
        <v>64.0</v>
      </c>
      <c r="E1694" s="11">
        <v>62.0</v>
      </c>
      <c r="F1694" s="11">
        <v>0.401</v>
      </c>
      <c r="G1694" s="11">
        <v>0.559</v>
      </c>
      <c r="H1694" s="11">
        <v>0.04</v>
      </c>
      <c r="I1694" s="11">
        <v>2.4102862E7</v>
      </c>
      <c r="J1694" s="11">
        <v>0.143</v>
      </c>
      <c r="K1694" s="12" t="s">
        <v>209</v>
      </c>
      <c r="L1694" s="5" t="s">
        <v>61</v>
      </c>
      <c r="M1694" s="9" t="s">
        <v>63</v>
      </c>
    </row>
    <row r="1695">
      <c r="A1695" s="11">
        <v>1694.0</v>
      </c>
      <c r="B1695" s="11">
        <v>0.03</v>
      </c>
      <c r="C1695" s="11">
        <v>0.052</v>
      </c>
      <c r="D1695" s="11">
        <v>65.0</v>
      </c>
      <c r="E1695" s="11">
        <v>63.0</v>
      </c>
      <c r="F1695" s="11">
        <v>0.399</v>
      </c>
      <c r="G1695" s="11">
        <v>0.559</v>
      </c>
      <c r="H1695" s="11">
        <v>0.041</v>
      </c>
      <c r="I1695" s="11">
        <v>2.4525527E7</v>
      </c>
      <c r="J1695" s="11">
        <v>0.146</v>
      </c>
      <c r="K1695" s="12" t="s">
        <v>209</v>
      </c>
      <c r="L1695" s="5" t="s">
        <v>61</v>
      </c>
      <c r="M1695" s="9" t="s">
        <v>64</v>
      </c>
    </row>
    <row r="1696">
      <c r="A1696" s="11">
        <v>1695.0</v>
      </c>
      <c r="B1696" s="11">
        <v>0.029</v>
      </c>
      <c r="C1696" s="11">
        <v>0.049</v>
      </c>
      <c r="D1696" s="11">
        <v>65.0</v>
      </c>
      <c r="E1696" s="11">
        <v>63.0</v>
      </c>
      <c r="F1696" s="11">
        <v>0.397</v>
      </c>
      <c r="G1696" s="11">
        <v>0.56</v>
      </c>
      <c r="H1696" s="11">
        <v>0.043</v>
      </c>
      <c r="I1696" s="11">
        <v>2.492191E7</v>
      </c>
      <c r="J1696" s="11">
        <v>0.149</v>
      </c>
      <c r="K1696" s="12" t="s">
        <v>209</v>
      </c>
      <c r="L1696" s="5" t="s">
        <v>61</v>
      </c>
      <c r="M1696" s="9" t="s">
        <v>65</v>
      </c>
    </row>
    <row r="1697">
      <c r="A1697" s="11">
        <v>1696.0</v>
      </c>
      <c r="B1697" s="11">
        <v>0.028</v>
      </c>
      <c r="C1697" s="11">
        <v>0.047</v>
      </c>
      <c r="D1697" s="11">
        <v>66.0</v>
      </c>
      <c r="E1697" s="11">
        <v>64.0</v>
      </c>
      <c r="F1697" s="11">
        <v>0.395</v>
      </c>
      <c r="G1697" s="11">
        <v>0.561</v>
      </c>
      <c r="H1697" s="11">
        <v>0.044</v>
      </c>
      <c r="I1697" s="11">
        <v>2.5292058E7</v>
      </c>
      <c r="J1697" s="11">
        <v>0.152</v>
      </c>
      <c r="K1697" s="12" t="s">
        <v>209</v>
      </c>
      <c r="L1697" s="5" t="s">
        <v>61</v>
      </c>
      <c r="M1697" s="9" t="s">
        <v>66</v>
      </c>
    </row>
    <row r="1698">
      <c r="A1698" s="11">
        <v>1697.0</v>
      </c>
      <c r="B1698" s="11">
        <v>0.027</v>
      </c>
      <c r="C1698" s="11">
        <v>0.044</v>
      </c>
      <c r="D1698" s="11">
        <v>66.0</v>
      </c>
      <c r="E1698" s="11">
        <v>64.0</v>
      </c>
      <c r="F1698" s="11">
        <v>0.391</v>
      </c>
      <c r="G1698" s="11">
        <v>0.564</v>
      </c>
      <c r="H1698" s="11">
        <v>0.045</v>
      </c>
      <c r="I1698" s="11">
        <v>2.5634043E7</v>
      </c>
      <c r="J1698" s="11">
        <v>0.155</v>
      </c>
      <c r="K1698" s="12" t="s">
        <v>209</v>
      </c>
      <c r="L1698" s="5" t="s">
        <v>61</v>
      </c>
      <c r="M1698" s="9" t="s">
        <v>67</v>
      </c>
    </row>
    <row r="1699">
      <c r="A1699" s="11">
        <v>1698.0</v>
      </c>
      <c r="B1699" s="11">
        <v>0.026</v>
      </c>
      <c r="C1699" s="11">
        <v>0.042</v>
      </c>
      <c r="D1699" s="11">
        <v>67.0</v>
      </c>
      <c r="E1699" s="11">
        <v>65.0</v>
      </c>
      <c r="F1699" s="11">
        <v>0.387</v>
      </c>
      <c r="G1699" s="11">
        <v>0.566</v>
      </c>
      <c r="H1699" s="11">
        <v>0.046</v>
      </c>
      <c r="I1699" s="11">
        <v>2.5950022E7</v>
      </c>
      <c r="J1699" s="11">
        <v>0.158</v>
      </c>
      <c r="K1699" s="12" t="s">
        <v>209</v>
      </c>
      <c r="L1699" s="5" t="s">
        <v>61</v>
      </c>
      <c r="M1699" s="9" t="s">
        <v>68</v>
      </c>
    </row>
    <row r="1700">
      <c r="A1700" s="11">
        <v>1699.0</v>
      </c>
      <c r="B1700" s="11">
        <v>0.025</v>
      </c>
      <c r="C1700" s="11">
        <v>0.04</v>
      </c>
      <c r="D1700" s="11">
        <v>67.0</v>
      </c>
      <c r="E1700" s="11">
        <v>65.0</v>
      </c>
      <c r="F1700" s="11">
        <v>0.383</v>
      </c>
      <c r="G1700" s="11">
        <v>0.57</v>
      </c>
      <c r="H1700" s="11">
        <v>0.047</v>
      </c>
      <c r="I1700" s="11">
        <v>2.6249412E7</v>
      </c>
      <c r="J1700" s="11">
        <v>0.162</v>
      </c>
      <c r="K1700" s="12" t="s">
        <v>209</v>
      </c>
      <c r="L1700" s="5" t="s">
        <v>61</v>
      </c>
      <c r="M1700" s="9" t="s">
        <v>69</v>
      </c>
    </row>
    <row r="1701">
      <c r="A1701" s="11">
        <v>1700.0</v>
      </c>
      <c r="B1701" s="11">
        <v>0.024</v>
      </c>
      <c r="C1701" s="11">
        <v>0.038</v>
      </c>
      <c r="D1701" s="11">
        <v>68.0</v>
      </c>
      <c r="E1701" s="11">
        <v>66.0</v>
      </c>
      <c r="F1701" s="11">
        <v>0.377</v>
      </c>
      <c r="G1701" s="11">
        <v>0.574</v>
      </c>
      <c r="H1701" s="11">
        <v>0.048</v>
      </c>
      <c r="I1701" s="11">
        <v>2.6544943E7</v>
      </c>
      <c r="J1701" s="11">
        <v>0.165</v>
      </c>
      <c r="K1701" s="12" t="s">
        <v>209</v>
      </c>
      <c r="L1701" s="5" t="s">
        <v>61</v>
      </c>
      <c r="M1701" s="9" t="s">
        <v>70</v>
      </c>
    </row>
    <row r="1702">
      <c r="A1702" s="11">
        <v>1701.0</v>
      </c>
      <c r="B1702" s="11">
        <v>0.023</v>
      </c>
      <c r="C1702" s="11">
        <v>0.036</v>
      </c>
      <c r="D1702" s="11">
        <v>68.0</v>
      </c>
      <c r="E1702" s="11">
        <v>66.0</v>
      </c>
      <c r="F1702" s="11">
        <v>0.371</v>
      </c>
      <c r="G1702" s="11">
        <v>0.58</v>
      </c>
      <c r="H1702" s="11">
        <v>0.049</v>
      </c>
      <c r="I1702" s="11">
        <v>2.6846016E7</v>
      </c>
      <c r="J1702" s="11">
        <v>0.168</v>
      </c>
      <c r="K1702" s="12" t="s">
        <v>209</v>
      </c>
      <c r="L1702" s="5" t="s">
        <v>61</v>
      </c>
      <c r="M1702" s="9" t="s">
        <v>71</v>
      </c>
    </row>
    <row r="1703">
      <c r="A1703" s="11">
        <v>1702.0</v>
      </c>
      <c r="B1703" s="11">
        <v>0.022</v>
      </c>
      <c r="C1703" s="11">
        <v>0.035</v>
      </c>
      <c r="D1703" s="11">
        <v>69.0</v>
      </c>
      <c r="E1703" s="11">
        <v>66.0</v>
      </c>
      <c r="F1703" s="11">
        <v>0.364</v>
      </c>
      <c r="G1703" s="11">
        <v>0.586</v>
      </c>
      <c r="H1703" s="11">
        <v>0.05</v>
      </c>
      <c r="I1703" s="11">
        <v>2.7156367E7</v>
      </c>
      <c r="J1703" s="11">
        <v>0.172</v>
      </c>
      <c r="K1703" s="12" t="s">
        <v>209</v>
      </c>
      <c r="L1703" s="5" t="s">
        <v>61</v>
      </c>
      <c r="M1703" s="9" t="s">
        <v>72</v>
      </c>
    </row>
    <row r="1704">
      <c r="A1704" s="11">
        <v>1703.0</v>
      </c>
      <c r="B1704" s="11">
        <v>0.022</v>
      </c>
      <c r="C1704" s="11">
        <v>0.033</v>
      </c>
      <c r="D1704" s="11">
        <v>69.0</v>
      </c>
      <c r="E1704" s="11">
        <v>67.0</v>
      </c>
      <c r="F1704" s="11">
        <v>0.356</v>
      </c>
      <c r="G1704" s="11">
        <v>0.594</v>
      </c>
      <c r="H1704" s="11">
        <v>0.051</v>
      </c>
      <c r="I1704" s="11">
        <v>2.7474377E7</v>
      </c>
      <c r="J1704" s="11">
        <v>0.175</v>
      </c>
      <c r="K1704" s="12" t="s">
        <v>209</v>
      </c>
      <c r="L1704" s="5" t="s">
        <v>61</v>
      </c>
      <c r="M1704" s="9" t="s">
        <v>73</v>
      </c>
    </row>
    <row r="1705">
      <c r="A1705" s="11">
        <v>1704.0</v>
      </c>
      <c r="B1705" s="11">
        <v>0.013</v>
      </c>
      <c r="C1705" s="11">
        <v>0.005</v>
      </c>
      <c r="D1705" s="11">
        <v>81.0</v>
      </c>
      <c r="E1705" s="11">
        <v>76.0</v>
      </c>
      <c r="F1705" s="11">
        <v>0.186</v>
      </c>
      <c r="G1705" s="11">
        <v>0.679</v>
      </c>
      <c r="H1705" s="11">
        <v>0.136</v>
      </c>
      <c r="I1705" s="11">
        <v>1.5925513E7</v>
      </c>
      <c r="J1705" s="11">
        <v>0.768</v>
      </c>
      <c r="K1705" s="12" t="s">
        <v>210</v>
      </c>
      <c r="L1705" s="5" t="s">
        <v>75</v>
      </c>
      <c r="M1705" s="9" t="s">
        <v>60</v>
      </c>
    </row>
    <row r="1706">
      <c r="A1706" s="11">
        <v>1705.0</v>
      </c>
      <c r="B1706" s="11">
        <v>0.013</v>
      </c>
      <c r="C1706" s="11">
        <v>0.005</v>
      </c>
      <c r="D1706" s="11">
        <v>81.0</v>
      </c>
      <c r="E1706" s="11">
        <v>76.0</v>
      </c>
      <c r="F1706" s="11">
        <v>0.186</v>
      </c>
      <c r="G1706" s="11">
        <v>0.678</v>
      </c>
      <c r="H1706" s="11">
        <v>0.136</v>
      </c>
      <c r="I1706" s="11">
        <v>1.604618E7</v>
      </c>
      <c r="J1706" s="11">
        <v>0.778</v>
      </c>
      <c r="K1706" s="12" t="s">
        <v>210</v>
      </c>
      <c r="L1706" s="5" t="s">
        <v>75</v>
      </c>
      <c r="M1706" s="9" t="s">
        <v>62</v>
      </c>
    </row>
    <row r="1707">
      <c r="A1707" s="11">
        <v>1706.0</v>
      </c>
      <c r="B1707" s="11">
        <v>0.013</v>
      </c>
      <c r="C1707" s="11">
        <v>0.005</v>
      </c>
      <c r="D1707" s="11">
        <v>81.0</v>
      </c>
      <c r="E1707" s="11">
        <v>76.0</v>
      </c>
      <c r="F1707" s="11">
        <v>0.186</v>
      </c>
      <c r="G1707" s="11">
        <v>0.677</v>
      </c>
      <c r="H1707" s="11">
        <v>0.137</v>
      </c>
      <c r="I1707" s="11">
        <v>1.6148929E7</v>
      </c>
      <c r="J1707" s="11">
        <v>0.791</v>
      </c>
      <c r="K1707" s="12" t="s">
        <v>210</v>
      </c>
      <c r="L1707" s="5" t="s">
        <v>75</v>
      </c>
      <c r="M1707" s="9" t="s">
        <v>63</v>
      </c>
    </row>
    <row r="1708">
      <c r="A1708" s="11">
        <v>1707.0</v>
      </c>
      <c r="B1708" s="11">
        <v>0.012</v>
      </c>
      <c r="C1708" s="11">
        <v>0.005</v>
      </c>
      <c r="D1708" s="11">
        <v>81.0</v>
      </c>
      <c r="E1708" s="11">
        <v>76.0</v>
      </c>
      <c r="F1708" s="11">
        <v>0.186</v>
      </c>
      <c r="G1708" s="11">
        <v>0.676</v>
      </c>
      <c r="H1708" s="11">
        <v>0.138</v>
      </c>
      <c r="I1708" s="11">
        <v>1.6225302E7</v>
      </c>
      <c r="J1708" s="11">
        <v>0.803</v>
      </c>
      <c r="K1708" s="12" t="s">
        <v>210</v>
      </c>
      <c r="L1708" s="5" t="s">
        <v>75</v>
      </c>
      <c r="M1708" s="9" t="s">
        <v>64</v>
      </c>
    </row>
    <row r="1709">
      <c r="A1709" s="11">
        <v>1708.0</v>
      </c>
      <c r="B1709" s="11">
        <v>0.012</v>
      </c>
      <c r="C1709" s="11">
        <v>0.005</v>
      </c>
      <c r="D1709" s="11">
        <v>81.0</v>
      </c>
      <c r="E1709" s="11">
        <v>77.0</v>
      </c>
      <c r="F1709" s="11">
        <v>0.185</v>
      </c>
      <c r="G1709" s="11">
        <v>0.676</v>
      </c>
      <c r="H1709" s="11">
        <v>0.139</v>
      </c>
      <c r="I1709" s="11">
        <v>1.6281779E7</v>
      </c>
      <c r="J1709" s="11">
        <v>0.815</v>
      </c>
      <c r="K1709" s="12" t="s">
        <v>210</v>
      </c>
      <c r="L1709" s="5" t="s">
        <v>75</v>
      </c>
      <c r="M1709" s="9" t="s">
        <v>65</v>
      </c>
    </row>
    <row r="1710">
      <c r="A1710" s="11">
        <v>1709.0</v>
      </c>
      <c r="B1710" s="11">
        <v>0.012</v>
      </c>
      <c r="C1710" s="11">
        <v>0.005</v>
      </c>
      <c r="D1710" s="11">
        <v>82.0</v>
      </c>
      <c r="E1710" s="11">
        <v>77.0</v>
      </c>
      <c r="F1710" s="11">
        <v>0.184</v>
      </c>
      <c r="G1710" s="11">
        <v>0.675</v>
      </c>
      <c r="H1710" s="11">
        <v>0.14</v>
      </c>
      <c r="I1710" s="11">
        <v>1.6319868E7</v>
      </c>
      <c r="J1710" s="11">
        <v>0.826</v>
      </c>
      <c r="K1710" s="12" t="s">
        <v>210</v>
      </c>
      <c r="L1710" s="5" t="s">
        <v>75</v>
      </c>
      <c r="M1710" s="9" t="s">
        <v>66</v>
      </c>
    </row>
    <row r="1711">
      <c r="A1711" s="11">
        <v>1710.0</v>
      </c>
      <c r="B1711" s="11">
        <v>0.011</v>
      </c>
      <c r="C1711" s="11">
        <v>0.004</v>
      </c>
      <c r="D1711" s="11">
        <v>82.0</v>
      </c>
      <c r="E1711" s="11">
        <v>78.0</v>
      </c>
      <c r="F1711" s="11">
        <v>0.183</v>
      </c>
      <c r="G1711" s="11">
        <v>0.675</v>
      </c>
      <c r="H1711" s="11">
        <v>0.142</v>
      </c>
      <c r="I1711" s="11">
        <v>1.6346101E7</v>
      </c>
      <c r="J1711" s="11">
        <v>0.836</v>
      </c>
      <c r="K1711" s="12" t="s">
        <v>210</v>
      </c>
      <c r="L1711" s="5" t="s">
        <v>75</v>
      </c>
      <c r="M1711" s="9" t="s">
        <v>67</v>
      </c>
    </row>
    <row r="1712">
      <c r="A1712" s="11">
        <v>1711.0</v>
      </c>
      <c r="B1712" s="11">
        <v>0.011</v>
      </c>
      <c r="C1712" s="11">
        <v>0.004</v>
      </c>
      <c r="D1712" s="11">
        <v>82.0</v>
      </c>
      <c r="E1712" s="11">
        <v>78.0</v>
      </c>
      <c r="F1712" s="11">
        <v>0.181</v>
      </c>
      <c r="G1712" s="11">
        <v>0.674</v>
      </c>
      <c r="H1712" s="11">
        <v>0.144</v>
      </c>
      <c r="I1712" s="11">
        <v>1.6381696E7</v>
      </c>
      <c r="J1712" s="11">
        <v>0.845</v>
      </c>
      <c r="K1712" s="12" t="s">
        <v>210</v>
      </c>
      <c r="L1712" s="5" t="s">
        <v>75</v>
      </c>
      <c r="M1712" s="9" t="s">
        <v>68</v>
      </c>
    </row>
    <row r="1713">
      <c r="A1713" s="11">
        <v>1712.0</v>
      </c>
      <c r="B1713" s="11">
        <v>0.011</v>
      </c>
      <c r="C1713" s="11">
        <v>0.004</v>
      </c>
      <c r="D1713" s="11">
        <v>82.0</v>
      </c>
      <c r="E1713" s="11">
        <v>78.0</v>
      </c>
      <c r="F1713" s="11">
        <v>0.179</v>
      </c>
      <c r="G1713" s="11">
        <v>0.674</v>
      </c>
      <c r="H1713" s="11">
        <v>0.147</v>
      </c>
      <c r="I1713" s="11">
        <v>1.6445593E7</v>
      </c>
      <c r="J1713" s="11">
        <v>0.854</v>
      </c>
      <c r="K1713" s="12" t="s">
        <v>210</v>
      </c>
      <c r="L1713" s="5" t="s">
        <v>75</v>
      </c>
      <c r="M1713" s="9" t="s">
        <v>69</v>
      </c>
    </row>
    <row r="1714">
      <c r="A1714" s="11">
        <v>1713.0</v>
      </c>
      <c r="B1714" s="11">
        <v>0.011</v>
      </c>
      <c r="C1714" s="11">
        <v>0.004</v>
      </c>
      <c r="D1714" s="11">
        <v>83.0</v>
      </c>
      <c r="E1714" s="11">
        <v>79.0</v>
      </c>
      <c r="F1714" s="11">
        <v>0.177</v>
      </c>
      <c r="G1714" s="11">
        <v>0.673</v>
      </c>
      <c r="H1714" s="11">
        <v>0.15</v>
      </c>
      <c r="I1714" s="11">
        <v>1.6530388E7</v>
      </c>
      <c r="J1714" s="11">
        <v>0.862</v>
      </c>
      <c r="K1714" s="12" t="s">
        <v>210</v>
      </c>
      <c r="L1714" s="5" t="s">
        <v>75</v>
      </c>
      <c r="M1714" s="9" t="s">
        <v>70</v>
      </c>
    </row>
    <row r="1715">
      <c r="A1715" s="11">
        <v>1714.0</v>
      </c>
      <c r="B1715" s="11">
        <v>0.011</v>
      </c>
      <c r="C1715" s="11">
        <v>0.004</v>
      </c>
      <c r="D1715" s="11">
        <v>83.0</v>
      </c>
      <c r="E1715" s="11">
        <v>79.0</v>
      </c>
      <c r="F1715" s="11">
        <v>0.175</v>
      </c>
      <c r="G1715" s="11">
        <v>0.671</v>
      </c>
      <c r="H1715" s="11">
        <v>0.154</v>
      </c>
      <c r="I1715" s="11">
        <v>1.6615394E7</v>
      </c>
      <c r="J1715" s="11">
        <v>0.871</v>
      </c>
      <c r="K1715" s="12" t="s">
        <v>210</v>
      </c>
      <c r="L1715" s="5" t="s">
        <v>75</v>
      </c>
      <c r="M1715" s="9" t="s">
        <v>71</v>
      </c>
    </row>
    <row r="1716">
      <c r="A1716" s="11">
        <v>1715.0</v>
      </c>
      <c r="B1716" s="11">
        <v>0.011</v>
      </c>
      <c r="C1716" s="11">
        <v>0.004</v>
      </c>
      <c r="D1716" s="11">
        <v>83.0</v>
      </c>
      <c r="E1716" s="11">
        <v>79.0</v>
      </c>
      <c r="F1716" s="11">
        <v>0.173</v>
      </c>
      <c r="G1716" s="11">
        <v>0.667</v>
      </c>
      <c r="H1716" s="11">
        <v>0.159</v>
      </c>
      <c r="I1716" s="11">
        <v>1.6693074E7</v>
      </c>
      <c r="J1716" s="11">
        <v>0.878</v>
      </c>
      <c r="K1716" s="12" t="s">
        <v>210</v>
      </c>
      <c r="L1716" s="5" t="s">
        <v>75</v>
      </c>
      <c r="M1716" s="9" t="s">
        <v>72</v>
      </c>
    </row>
    <row r="1717">
      <c r="A1717" s="11">
        <v>1716.0</v>
      </c>
      <c r="B1717" s="11">
        <v>0.011</v>
      </c>
      <c r="C1717" s="11">
        <v>0.004</v>
      </c>
      <c r="D1717" s="11">
        <v>83.0</v>
      </c>
      <c r="E1717" s="11">
        <v>79.0</v>
      </c>
      <c r="F1717" s="11">
        <v>0.172</v>
      </c>
      <c r="G1717" s="11">
        <v>0.663</v>
      </c>
      <c r="H1717" s="11">
        <v>0.164</v>
      </c>
      <c r="I1717" s="11">
        <v>1.6754962E7</v>
      </c>
      <c r="J1717" s="11">
        <v>0.886</v>
      </c>
      <c r="K1717" s="12" t="s">
        <v>210</v>
      </c>
      <c r="L1717" s="5" t="s">
        <v>75</v>
      </c>
      <c r="M1717" s="9" t="s">
        <v>73</v>
      </c>
    </row>
    <row r="1718">
      <c r="A1718" s="11">
        <v>1717.0</v>
      </c>
      <c r="B1718" s="11">
        <v>0.021</v>
      </c>
      <c r="C1718" s="8"/>
      <c r="D1718" s="11">
        <v>78.0</v>
      </c>
      <c r="E1718" s="11">
        <v>72.0</v>
      </c>
      <c r="F1718" s="11">
        <v>0.287</v>
      </c>
      <c r="G1718" s="11">
        <v>0.654</v>
      </c>
      <c r="H1718" s="11">
        <v>0.059</v>
      </c>
      <c r="I1718" s="11">
        <v>213230.0</v>
      </c>
      <c r="J1718" s="11">
        <v>0.618</v>
      </c>
      <c r="K1718" s="12" t="s">
        <v>211</v>
      </c>
      <c r="L1718" s="5" t="s">
        <v>80</v>
      </c>
      <c r="M1718" s="9" t="s">
        <v>60</v>
      </c>
    </row>
    <row r="1719">
      <c r="A1719" s="11">
        <v>1718.0</v>
      </c>
      <c r="B1719" s="11">
        <v>0.02</v>
      </c>
      <c r="C1719" s="8"/>
      <c r="D1719" s="11">
        <v>78.0</v>
      </c>
      <c r="E1719" s="11">
        <v>72.0</v>
      </c>
      <c r="F1719" s="11">
        <v>0.284</v>
      </c>
      <c r="G1719" s="11">
        <v>0.655</v>
      </c>
      <c r="H1719" s="11">
        <v>0.061</v>
      </c>
      <c r="I1719" s="11">
        <v>217324.0</v>
      </c>
      <c r="J1719" s="11">
        <v>0.622</v>
      </c>
      <c r="K1719" s="12" t="s">
        <v>211</v>
      </c>
      <c r="L1719" s="5" t="s">
        <v>80</v>
      </c>
      <c r="M1719" s="9" t="s">
        <v>62</v>
      </c>
    </row>
    <row r="1720">
      <c r="A1720" s="11">
        <v>1719.0</v>
      </c>
      <c r="B1720" s="11">
        <v>0.019</v>
      </c>
      <c r="C1720" s="8"/>
      <c r="D1720" s="11">
        <v>79.0</v>
      </c>
      <c r="E1720" s="11">
        <v>71.0</v>
      </c>
      <c r="F1720" s="11">
        <v>0.281</v>
      </c>
      <c r="G1720" s="11">
        <v>0.657</v>
      </c>
      <c r="H1720" s="11">
        <v>0.062</v>
      </c>
      <c r="I1720" s="11">
        <v>221490.0</v>
      </c>
      <c r="J1720" s="11">
        <v>0.626</v>
      </c>
      <c r="K1720" s="12" t="s">
        <v>211</v>
      </c>
      <c r="L1720" s="5" t="s">
        <v>80</v>
      </c>
      <c r="M1720" s="9" t="s">
        <v>63</v>
      </c>
    </row>
    <row r="1721">
      <c r="A1721" s="11">
        <v>1720.0</v>
      </c>
      <c r="B1721" s="11">
        <v>0.018</v>
      </c>
      <c r="C1721" s="8"/>
      <c r="D1721" s="11">
        <v>79.0</v>
      </c>
      <c r="E1721" s="11">
        <v>72.0</v>
      </c>
      <c r="F1721" s="11">
        <v>0.278</v>
      </c>
      <c r="G1721" s="11">
        <v>0.659</v>
      </c>
      <c r="H1721" s="11">
        <v>0.063</v>
      </c>
      <c r="I1721" s="11">
        <v>225735.0</v>
      </c>
      <c r="J1721" s="11">
        <v>0.629</v>
      </c>
      <c r="K1721" s="12" t="s">
        <v>211</v>
      </c>
      <c r="L1721" s="5" t="s">
        <v>80</v>
      </c>
      <c r="M1721" s="9" t="s">
        <v>64</v>
      </c>
    </row>
    <row r="1722">
      <c r="A1722" s="11">
        <v>1721.0</v>
      </c>
      <c r="B1722" s="11">
        <v>0.017</v>
      </c>
      <c r="C1722" s="8"/>
      <c r="D1722" s="11">
        <v>79.0</v>
      </c>
      <c r="E1722" s="11">
        <v>72.0</v>
      </c>
      <c r="F1722" s="11">
        <v>0.274</v>
      </c>
      <c r="G1722" s="11">
        <v>0.661</v>
      </c>
      <c r="H1722" s="11">
        <v>0.066</v>
      </c>
      <c r="I1722" s="11">
        <v>230068.0</v>
      </c>
      <c r="J1722" s="11">
        <v>0.633</v>
      </c>
      <c r="K1722" s="12" t="s">
        <v>211</v>
      </c>
      <c r="L1722" s="5" t="s">
        <v>80</v>
      </c>
      <c r="M1722" s="9" t="s">
        <v>65</v>
      </c>
    </row>
    <row r="1723">
      <c r="A1723" s="11">
        <v>1722.0</v>
      </c>
      <c r="B1723" s="11">
        <v>0.017</v>
      </c>
      <c r="C1723" s="8"/>
      <c r="D1723" s="11">
        <v>79.0</v>
      </c>
      <c r="E1723" s="11">
        <v>72.0</v>
      </c>
      <c r="F1723" s="11">
        <v>0.269</v>
      </c>
      <c r="G1723" s="11">
        <v>0.662</v>
      </c>
      <c r="H1723" s="11">
        <v>0.069</v>
      </c>
      <c r="I1723" s="11">
        <v>234393.0</v>
      </c>
      <c r="J1723" s="11">
        <v>0.64</v>
      </c>
      <c r="K1723" s="12" t="s">
        <v>211</v>
      </c>
      <c r="L1723" s="5" t="s">
        <v>80</v>
      </c>
      <c r="M1723" s="9" t="s">
        <v>66</v>
      </c>
    </row>
    <row r="1724">
      <c r="A1724" s="11">
        <v>1723.0</v>
      </c>
      <c r="B1724" s="11">
        <v>0.018</v>
      </c>
      <c r="C1724" s="8"/>
      <c r="D1724" s="11">
        <v>80.0</v>
      </c>
      <c r="E1724" s="11">
        <v>73.0</v>
      </c>
      <c r="F1724" s="11">
        <v>0.262</v>
      </c>
      <c r="G1724" s="11">
        <v>0.664</v>
      </c>
      <c r="H1724" s="11">
        <v>0.074</v>
      </c>
      <c r="I1724" s="11">
        <v>238459.0</v>
      </c>
      <c r="J1724" s="11">
        <v>0.646</v>
      </c>
      <c r="K1724" s="12" t="s">
        <v>211</v>
      </c>
      <c r="L1724" s="5" t="s">
        <v>80</v>
      </c>
      <c r="M1724" s="9" t="s">
        <v>67</v>
      </c>
    </row>
    <row r="1725">
      <c r="A1725" s="11">
        <v>1724.0</v>
      </c>
      <c r="B1725" s="11">
        <v>0.017</v>
      </c>
      <c r="C1725" s="8"/>
      <c r="D1725" s="11">
        <v>80.0</v>
      </c>
      <c r="E1725" s="11">
        <v>72.0</v>
      </c>
      <c r="F1725" s="11">
        <v>0.255</v>
      </c>
      <c r="G1725" s="11">
        <v>0.665</v>
      </c>
      <c r="H1725" s="11">
        <v>0.08</v>
      </c>
      <c r="I1725" s="11">
        <v>242400.0</v>
      </c>
      <c r="J1725" s="11">
        <v>0.653</v>
      </c>
      <c r="K1725" s="12" t="s">
        <v>211</v>
      </c>
      <c r="L1725" s="5" t="s">
        <v>80</v>
      </c>
      <c r="M1725" s="9" t="s">
        <v>68</v>
      </c>
    </row>
    <row r="1726">
      <c r="A1726" s="11">
        <v>1725.0</v>
      </c>
      <c r="B1726" s="11">
        <v>0.016</v>
      </c>
      <c r="C1726" s="8"/>
      <c r="D1726" s="11">
        <v>81.0</v>
      </c>
      <c r="E1726" s="11">
        <v>72.0</v>
      </c>
      <c r="F1726" s="11">
        <v>0.248</v>
      </c>
      <c r="G1726" s="11">
        <v>0.667</v>
      </c>
      <c r="H1726" s="11">
        <v>0.086</v>
      </c>
      <c r="I1726" s="11">
        <v>243985.0</v>
      </c>
      <c r="J1726" s="11">
        <v>0.66</v>
      </c>
      <c r="K1726" s="12" t="s">
        <v>211</v>
      </c>
      <c r="L1726" s="5" t="s">
        <v>80</v>
      </c>
      <c r="M1726" s="9" t="s">
        <v>69</v>
      </c>
    </row>
    <row r="1727">
      <c r="A1727" s="11">
        <v>1726.0</v>
      </c>
      <c r="B1727" s="11">
        <v>0.016</v>
      </c>
      <c r="C1727" s="8"/>
      <c r="D1727" s="11">
        <v>81.0</v>
      </c>
      <c r="E1727" s="11">
        <v>72.0</v>
      </c>
      <c r="F1727" s="11">
        <v>0.241</v>
      </c>
      <c r="G1727" s="11">
        <v>0.668</v>
      </c>
      <c r="H1727" s="11">
        <v>0.091</v>
      </c>
      <c r="I1727" s="11">
        <v>245580.0</v>
      </c>
      <c r="J1727" s="11">
        <v>0.666</v>
      </c>
      <c r="K1727" s="12" t="s">
        <v>211</v>
      </c>
      <c r="L1727" s="5" t="s">
        <v>80</v>
      </c>
      <c r="M1727" s="9" t="s">
        <v>70</v>
      </c>
    </row>
    <row r="1728">
      <c r="A1728" s="11">
        <v>1727.0</v>
      </c>
      <c r="B1728" s="11">
        <v>0.017</v>
      </c>
      <c r="C1728" s="8"/>
      <c r="D1728" s="11">
        <v>79.0</v>
      </c>
      <c r="E1728" s="11">
        <v>73.0</v>
      </c>
      <c r="F1728" s="11">
        <v>0.235</v>
      </c>
      <c r="G1728" s="11">
        <v>0.67</v>
      </c>
      <c r="H1728" s="11">
        <v>0.095</v>
      </c>
      <c r="I1728" s="11">
        <v>250000.0</v>
      </c>
      <c r="J1728" s="11">
        <v>0.673</v>
      </c>
      <c r="K1728" s="12" t="s">
        <v>211</v>
      </c>
      <c r="L1728" s="5" t="s">
        <v>80</v>
      </c>
      <c r="M1728" s="9" t="s">
        <v>71</v>
      </c>
    </row>
    <row r="1729">
      <c r="A1729" s="11">
        <v>1728.0</v>
      </c>
      <c r="B1729" s="11">
        <v>0.016</v>
      </c>
      <c r="C1729" s="8"/>
      <c r="D1729" s="11">
        <v>79.0</v>
      </c>
      <c r="E1729" s="11">
        <v>73.0</v>
      </c>
      <c r="F1729" s="11">
        <v>0.231</v>
      </c>
      <c r="G1729" s="11">
        <v>0.671</v>
      </c>
      <c r="H1729" s="11">
        <v>0.098</v>
      </c>
      <c r="I1729" s="11">
        <v>254000.0</v>
      </c>
      <c r="J1729" s="11">
        <v>0.679</v>
      </c>
      <c r="K1729" s="12" t="s">
        <v>211</v>
      </c>
      <c r="L1729" s="5" t="s">
        <v>80</v>
      </c>
      <c r="M1729" s="9" t="s">
        <v>72</v>
      </c>
    </row>
    <row r="1730">
      <c r="A1730" s="11">
        <v>1729.0</v>
      </c>
      <c r="B1730" s="11">
        <v>0.016</v>
      </c>
      <c r="C1730" s="8"/>
      <c r="D1730" s="11">
        <v>79.0</v>
      </c>
      <c r="E1730" s="11">
        <v>73.0</v>
      </c>
      <c r="F1730" s="11">
        <v>0.228</v>
      </c>
      <c r="G1730" s="11">
        <v>0.673</v>
      </c>
      <c r="H1730" s="11">
        <v>0.099</v>
      </c>
      <c r="I1730" s="11">
        <v>258000.0</v>
      </c>
      <c r="J1730" s="11">
        <v>0.685</v>
      </c>
      <c r="K1730" s="12" t="s">
        <v>211</v>
      </c>
      <c r="L1730" s="5" t="s">
        <v>80</v>
      </c>
      <c r="M1730" s="9" t="s">
        <v>73</v>
      </c>
    </row>
    <row r="1731">
      <c r="A1731" s="11">
        <v>1730.0</v>
      </c>
      <c r="B1731" s="11">
        <v>0.015</v>
      </c>
      <c r="C1731" s="11">
        <v>0.006</v>
      </c>
      <c r="D1731" s="11">
        <v>81.0</v>
      </c>
      <c r="E1731" s="11">
        <v>76.0</v>
      </c>
      <c r="F1731" s="11">
        <v>0.227</v>
      </c>
      <c r="G1731" s="11">
        <v>0.655</v>
      </c>
      <c r="H1731" s="11">
        <v>0.118</v>
      </c>
      <c r="I1731" s="11">
        <v>3857700.0</v>
      </c>
      <c r="J1731" s="11">
        <v>0.857</v>
      </c>
      <c r="K1731" s="12" t="s">
        <v>212</v>
      </c>
      <c r="L1731" s="5" t="s">
        <v>80</v>
      </c>
      <c r="M1731" s="9" t="s">
        <v>60</v>
      </c>
    </row>
    <row r="1732">
      <c r="A1732" s="11">
        <v>1731.0</v>
      </c>
      <c r="B1732" s="11">
        <v>0.014</v>
      </c>
      <c r="C1732" s="11">
        <v>0.006</v>
      </c>
      <c r="D1732" s="11">
        <v>81.0</v>
      </c>
      <c r="E1732" s="11">
        <v>76.0</v>
      </c>
      <c r="F1732" s="11">
        <v>0.225</v>
      </c>
      <c r="G1732" s="11">
        <v>0.657</v>
      </c>
      <c r="H1732" s="11">
        <v>0.118</v>
      </c>
      <c r="I1732" s="11">
        <v>3880500.0</v>
      </c>
      <c r="J1732" s="11">
        <v>0.858</v>
      </c>
      <c r="K1732" s="12" t="s">
        <v>212</v>
      </c>
      <c r="L1732" s="5" t="s">
        <v>80</v>
      </c>
      <c r="M1732" s="9" t="s">
        <v>62</v>
      </c>
    </row>
    <row r="1733">
      <c r="A1733" s="11">
        <v>1732.0</v>
      </c>
      <c r="B1733" s="11">
        <v>0.014</v>
      </c>
      <c r="C1733" s="11">
        <v>0.006</v>
      </c>
      <c r="D1733" s="11">
        <v>81.0</v>
      </c>
      <c r="E1733" s="11">
        <v>77.0</v>
      </c>
      <c r="F1733" s="11">
        <v>0.223</v>
      </c>
      <c r="G1733" s="11">
        <v>0.659</v>
      </c>
      <c r="H1733" s="11">
        <v>0.118</v>
      </c>
      <c r="I1733" s="11">
        <v>3948500.0</v>
      </c>
      <c r="J1733" s="11">
        <v>0.859</v>
      </c>
      <c r="K1733" s="12" t="s">
        <v>212</v>
      </c>
      <c r="L1733" s="5" t="s">
        <v>80</v>
      </c>
      <c r="M1733" s="9" t="s">
        <v>63</v>
      </c>
    </row>
    <row r="1734">
      <c r="A1734" s="11">
        <v>1733.0</v>
      </c>
      <c r="B1734" s="11">
        <v>0.014</v>
      </c>
      <c r="C1734" s="11">
        <v>0.006</v>
      </c>
      <c r="D1734" s="11">
        <v>81.0</v>
      </c>
      <c r="E1734" s="11">
        <v>77.0</v>
      </c>
      <c r="F1734" s="11">
        <v>0.221</v>
      </c>
      <c r="G1734" s="11">
        <v>0.661</v>
      </c>
      <c r="H1734" s="11">
        <v>0.119</v>
      </c>
      <c r="I1734" s="11">
        <v>4027200.0</v>
      </c>
      <c r="J1734" s="11">
        <v>0.86</v>
      </c>
      <c r="K1734" s="12" t="s">
        <v>212</v>
      </c>
      <c r="L1734" s="5" t="s">
        <v>80</v>
      </c>
      <c r="M1734" s="9" t="s">
        <v>64</v>
      </c>
    </row>
    <row r="1735">
      <c r="A1735" s="11">
        <v>1734.0</v>
      </c>
      <c r="B1735" s="11">
        <v>0.014</v>
      </c>
      <c r="C1735" s="11">
        <v>0.006</v>
      </c>
      <c r="D1735" s="11">
        <v>82.0</v>
      </c>
      <c r="E1735" s="11">
        <v>78.0</v>
      </c>
      <c r="F1735" s="11">
        <v>0.218</v>
      </c>
      <c r="G1735" s="11">
        <v>0.663</v>
      </c>
      <c r="H1735" s="11">
        <v>0.119</v>
      </c>
      <c r="I1735" s="11">
        <v>4087500.0</v>
      </c>
      <c r="J1735" s="11">
        <v>0.86</v>
      </c>
      <c r="K1735" s="12" t="s">
        <v>212</v>
      </c>
      <c r="L1735" s="5" t="s">
        <v>80</v>
      </c>
      <c r="M1735" s="9" t="s">
        <v>65</v>
      </c>
    </row>
    <row r="1736">
      <c r="A1736" s="11">
        <v>1735.0</v>
      </c>
      <c r="B1736" s="11">
        <v>0.014</v>
      </c>
      <c r="C1736" s="11">
        <v>0.005</v>
      </c>
      <c r="D1736" s="11">
        <v>82.0</v>
      </c>
      <c r="E1736" s="11">
        <v>78.0</v>
      </c>
      <c r="F1736" s="11">
        <v>0.215</v>
      </c>
      <c r="G1736" s="11">
        <v>0.664</v>
      </c>
      <c r="H1736" s="11">
        <v>0.12</v>
      </c>
      <c r="I1736" s="11">
        <v>4133900.0</v>
      </c>
      <c r="J1736" s="11">
        <v>0.861</v>
      </c>
      <c r="K1736" s="12" t="s">
        <v>212</v>
      </c>
      <c r="L1736" s="5" t="s">
        <v>80</v>
      </c>
      <c r="M1736" s="9" t="s">
        <v>66</v>
      </c>
    </row>
    <row r="1737">
      <c r="A1737" s="11">
        <v>1736.0</v>
      </c>
      <c r="B1737" s="11">
        <v>0.014</v>
      </c>
      <c r="C1737" s="11">
        <v>0.005</v>
      </c>
      <c r="D1737" s="11">
        <v>82.0</v>
      </c>
      <c r="E1737" s="11">
        <v>78.0</v>
      </c>
      <c r="F1737" s="11">
        <v>0.213</v>
      </c>
      <c r="G1737" s="11">
        <v>0.666</v>
      </c>
      <c r="H1737" s="11">
        <v>0.121</v>
      </c>
      <c r="I1737" s="11">
        <v>4184600.0</v>
      </c>
      <c r="J1737" s="11">
        <v>0.861</v>
      </c>
      <c r="K1737" s="12" t="s">
        <v>212</v>
      </c>
      <c r="L1737" s="5" t="s">
        <v>80</v>
      </c>
      <c r="M1737" s="9" t="s">
        <v>67</v>
      </c>
    </row>
    <row r="1738">
      <c r="A1738" s="11">
        <v>1737.0</v>
      </c>
      <c r="B1738" s="11">
        <v>0.015</v>
      </c>
      <c r="C1738" s="11">
        <v>0.005</v>
      </c>
      <c r="D1738" s="11">
        <v>82.0</v>
      </c>
      <c r="E1738" s="11">
        <v>78.0</v>
      </c>
      <c r="F1738" s="11">
        <v>0.211</v>
      </c>
      <c r="G1738" s="11">
        <v>0.666</v>
      </c>
      <c r="H1738" s="11">
        <v>0.123</v>
      </c>
      <c r="I1738" s="11">
        <v>4228300.0</v>
      </c>
      <c r="J1738" s="11">
        <v>0.861</v>
      </c>
      <c r="K1738" s="12" t="s">
        <v>212</v>
      </c>
      <c r="L1738" s="5" t="s">
        <v>80</v>
      </c>
      <c r="M1738" s="9" t="s">
        <v>68</v>
      </c>
    </row>
    <row r="1739">
      <c r="A1739" s="11">
        <v>1738.0</v>
      </c>
      <c r="B1739" s="11">
        <v>0.015</v>
      </c>
      <c r="C1739" s="11">
        <v>0.005</v>
      </c>
      <c r="D1739" s="11">
        <v>82.0</v>
      </c>
      <c r="E1739" s="11">
        <v>78.0</v>
      </c>
      <c r="F1739" s="11">
        <v>0.208</v>
      </c>
      <c r="G1739" s="11">
        <v>0.666</v>
      </c>
      <c r="H1739" s="11">
        <v>0.125</v>
      </c>
      <c r="I1739" s="11">
        <v>4268900.0</v>
      </c>
      <c r="J1739" s="11">
        <v>0.861</v>
      </c>
      <c r="K1739" s="12" t="s">
        <v>212</v>
      </c>
      <c r="L1739" s="5" t="s">
        <v>80</v>
      </c>
      <c r="M1739" s="9" t="s">
        <v>69</v>
      </c>
    </row>
    <row r="1740">
      <c r="A1740" s="11">
        <v>1739.0</v>
      </c>
      <c r="B1740" s="11">
        <v>0.014</v>
      </c>
      <c r="C1740" s="11">
        <v>0.005</v>
      </c>
      <c r="D1740" s="11">
        <v>83.0</v>
      </c>
      <c r="E1740" s="11">
        <v>79.0</v>
      </c>
      <c r="F1740" s="11">
        <v>0.207</v>
      </c>
      <c r="G1740" s="11">
        <v>0.666</v>
      </c>
      <c r="H1740" s="11">
        <v>0.127</v>
      </c>
      <c r="I1740" s="11">
        <v>4315800.0</v>
      </c>
      <c r="J1740" s="11">
        <v>0.861</v>
      </c>
      <c r="K1740" s="12" t="s">
        <v>212</v>
      </c>
      <c r="L1740" s="5" t="s">
        <v>80</v>
      </c>
      <c r="M1740" s="9" t="s">
        <v>70</v>
      </c>
    </row>
    <row r="1741">
      <c r="A1741" s="11">
        <v>1740.0</v>
      </c>
      <c r="B1741" s="11">
        <v>0.015</v>
      </c>
      <c r="C1741" s="11">
        <v>0.005</v>
      </c>
      <c r="D1741" s="11">
        <v>83.0</v>
      </c>
      <c r="E1741" s="11">
        <v>79.0</v>
      </c>
      <c r="F1741" s="11">
        <v>0.205</v>
      </c>
      <c r="G1741" s="11">
        <v>0.665</v>
      </c>
      <c r="H1741" s="11">
        <v>0.13</v>
      </c>
      <c r="I1741" s="11">
        <v>4367800.0</v>
      </c>
      <c r="J1741" s="11">
        <v>0.862</v>
      </c>
      <c r="K1741" s="12" t="s">
        <v>212</v>
      </c>
      <c r="L1741" s="5" t="s">
        <v>80</v>
      </c>
      <c r="M1741" s="9" t="s">
        <v>71</v>
      </c>
    </row>
    <row r="1742">
      <c r="A1742" s="11">
        <v>1741.0</v>
      </c>
      <c r="B1742" s="11">
        <v>0.014</v>
      </c>
      <c r="C1742" s="11">
        <v>0.005</v>
      </c>
      <c r="D1742" s="11">
        <v>83.0</v>
      </c>
      <c r="E1742" s="11">
        <v>79.0</v>
      </c>
      <c r="F1742" s="11">
        <v>0.204</v>
      </c>
      <c r="G1742" s="11">
        <v>0.663</v>
      </c>
      <c r="H1742" s="11">
        <v>0.133</v>
      </c>
      <c r="I1742" s="11">
        <v>4405200.0</v>
      </c>
      <c r="J1742" s="11">
        <v>0.862</v>
      </c>
      <c r="K1742" s="12" t="s">
        <v>212</v>
      </c>
      <c r="L1742" s="5" t="s">
        <v>80</v>
      </c>
      <c r="M1742" s="9" t="s">
        <v>72</v>
      </c>
    </row>
    <row r="1743">
      <c r="A1743" s="11">
        <v>1742.0</v>
      </c>
      <c r="B1743" s="11">
        <v>0.014</v>
      </c>
      <c r="C1743" s="11">
        <v>0.005</v>
      </c>
      <c r="D1743" s="11">
        <v>83.0</v>
      </c>
      <c r="E1743" s="11">
        <v>79.0</v>
      </c>
      <c r="F1743" s="11">
        <v>0.203</v>
      </c>
      <c r="G1743" s="11">
        <v>0.661</v>
      </c>
      <c r="H1743" s="11">
        <v>0.136</v>
      </c>
      <c r="I1743" s="11">
        <v>4433000.0</v>
      </c>
      <c r="J1743" s="11">
        <v>0.862</v>
      </c>
      <c r="K1743" s="12" t="s">
        <v>212</v>
      </c>
      <c r="L1743" s="5" t="s">
        <v>80</v>
      </c>
      <c r="M1743" s="9" t="s">
        <v>73</v>
      </c>
    </row>
    <row r="1744">
      <c r="A1744" s="11">
        <v>1743.0</v>
      </c>
      <c r="B1744" s="11">
        <v>0.028</v>
      </c>
      <c r="C1744" s="11">
        <v>0.033</v>
      </c>
      <c r="D1744" s="11">
        <v>72.0</v>
      </c>
      <c r="E1744" s="11">
        <v>67.0</v>
      </c>
      <c r="F1744" s="11">
        <v>0.409</v>
      </c>
      <c r="G1744" s="11">
        <v>0.554</v>
      </c>
      <c r="H1744" s="11">
        <v>0.037</v>
      </c>
      <c r="I1744" s="11">
        <v>5100920.0</v>
      </c>
      <c r="J1744" s="11">
        <v>0.547</v>
      </c>
      <c r="K1744" s="12" t="s">
        <v>213</v>
      </c>
      <c r="L1744" s="5" t="s">
        <v>84</v>
      </c>
      <c r="M1744" s="9" t="s">
        <v>60</v>
      </c>
    </row>
    <row r="1745">
      <c r="A1745" s="11">
        <v>1744.0</v>
      </c>
      <c r="B1745" s="11">
        <v>0.027</v>
      </c>
      <c r="C1745" s="11">
        <v>0.031</v>
      </c>
      <c r="D1745" s="11">
        <v>73.0</v>
      </c>
      <c r="E1745" s="11">
        <v>67.0</v>
      </c>
      <c r="F1745" s="11">
        <v>0.403</v>
      </c>
      <c r="G1745" s="11">
        <v>0.559</v>
      </c>
      <c r="H1745" s="11">
        <v>0.038</v>
      </c>
      <c r="I1745" s="11">
        <v>5176685.0</v>
      </c>
      <c r="J1745" s="11">
        <v>0.55</v>
      </c>
      <c r="K1745" s="12" t="s">
        <v>213</v>
      </c>
      <c r="L1745" s="5" t="s">
        <v>84</v>
      </c>
      <c r="M1745" s="9" t="s">
        <v>62</v>
      </c>
    </row>
    <row r="1746">
      <c r="A1746" s="11">
        <v>1745.0</v>
      </c>
      <c r="B1746" s="11">
        <v>0.027</v>
      </c>
      <c r="C1746" s="11">
        <v>0.03</v>
      </c>
      <c r="D1746" s="11">
        <v>74.0</v>
      </c>
      <c r="E1746" s="11">
        <v>68.0</v>
      </c>
      <c r="F1746" s="11">
        <v>0.397</v>
      </c>
      <c r="G1746" s="11">
        <v>0.565</v>
      </c>
      <c r="H1746" s="11">
        <v>0.039</v>
      </c>
      <c r="I1746" s="11">
        <v>5248577.0</v>
      </c>
      <c r="J1746" s="11">
        <v>0.552</v>
      </c>
      <c r="K1746" s="12" t="s">
        <v>213</v>
      </c>
      <c r="L1746" s="5" t="s">
        <v>84</v>
      </c>
      <c r="M1746" s="9" t="s">
        <v>63</v>
      </c>
    </row>
    <row r="1747">
      <c r="A1747" s="11">
        <v>1746.0</v>
      </c>
      <c r="B1747" s="11">
        <v>0.026</v>
      </c>
      <c r="C1747" s="11">
        <v>0.029</v>
      </c>
      <c r="D1747" s="11">
        <v>74.0</v>
      </c>
      <c r="E1747" s="11">
        <v>68.0</v>
      </c>
      <c r="F1747" s="11">
        <v>0.391</v>
      </c>
      <c r="G1747" s="11">
        <v>0.57</v>
      </c>
      <c r="H1747" s="11">
        <v>0.039</v>
      </c>
      <c r="I1747" s="11">
        <v>5317878.0</v>
      </c>
      <c r="J1747" s="11">
        <v>0.555</v>
      </c>
      <c r="K1747" s="12" t="s">
        <v>213</v>
      </c>
      <c r="L1747" s="5" t="s">
        <v>84</v>
      </c>
      <c r="M1747" s="9" t="s">
        <v>64</v>
      </c>
    </row>
    <row r="1748">
      <c r="A1748" s="11">
        <v>1747.0</v>
      </c>
      <c r="B1748" s="11">
        <v>0.026</v>
      </c>
      <c r="C1748" s="11">
        <v>0.027</v>
      </c>
      <c r="D1748" s="11">
        <v>75.0</v>
      </c>
      <c r="E1748" s="11">
        <v>69.0</v>
      </c>
      <c r="F1748" s="11">
        <v>0.384</v>
      </c>
      <c r="G1748" s="11">
        <v>0.575</v>
      </c>
      <c r="H1748" s="11">
        <v>0.04</v>
      </c>
      <c r="I1748" s="11">
        <v>5386299.0</v>
      </c>
      <c r="J1748" s="11">
        <v>0.557</v>
      </c>
      <c r="K1748" s="12" t="s">
        <v>213</v>
      </c>
      <c r="L1748" s="5" t="s">
        <v>84</v>
      </c>
      <c r="M1748" s="9" t="s">
        <v>65</v>
      </c>
    </row>
    <row r="1749">
      <c r="A1749" s="11">
        <v>1748.0</v>
      </c>
      <c r="B1749" s="11">
        <v>0.025</v>
      </c>
      <c r="C1749" s="11">
        <v>0.026</v>
      </c>
      <c r="D1749" s="11">
        <v>75.0</v>
      </c>
      <c r="E1749" s="11">
        <v>69.0</v>
      </c>
      <c r="F1749" s="11">
        <v>0.378</v>
      </c>
      <c r="G1749" s="11">
        <v>0.581</v>
      </c>
      <c r="H1749" s="11">
        <v>0.041</v>
      </c>
      <c r="I1749" s="11">
        <v>5455219.0</v>
      </c>
      <c r="J1749" s="11">
        <v>0.559</v>
      </c>
      <c r="K1749" s="12" t="s">
        <v>213</v>
      </c>
      <c r="L1749" s="5" t="s">
        <v>84</v>
      </c>
      <c r="M1749" s="9" t="s">
        <v>66</v>
      </c>
    </row>
    <row r="1750">
      <c r="A1750" s="11">
        <v>1749.0</v>
      </c>
      <c r="B1750" s="11">
        <v>0.025</v>
      </c>
      <c r="C1750" s="11">
        <v>0.025</v>
      </c>
      <c r="D1750" s="11">
        <v>75.0</v>
      </c>
      <c r="E1750" s="11">
        <v>69.0</v>
      </c>
      <c r="F1750" s="11">
        <v>0.371</v>
      </c>
      <c r="G1750" s="11">
        <v>0.587</v>
      </c>
      <c r="H1750" s="11">
        <v>0.042</v>
      </c>
      <c r="I1750" s="11">
        <v>5524927.0</v>
      </c>
      <c r="J1750" s="11">
        <v>0.562</v>
      </c>
      <c r="K1750" s="12" t="s">
        <v>213</v>
      </c>
      <c r="L1750" s="5" t="s">
        <v>84</v>
      </c>
      <c r="M1750" s="9" t="s">
        <v>67</v>
      </c>
    </row>
    <row r="1751">
      <c r="A1751" s="11">
        <v>1750.0</v>
      </c>
      <c r="B1751" s="11">
        <v>0.025</v>
      </c>
      <c r="C1751" s="11">
        <v>0.024</v>
      </c>
      <c r="D1751" s="11">
        <v>76.0</v>
      </c>
      <c r="E1751" s="11">
        <v>70.0</v>
      </c>
      <c r="F1751" s="11">
        <v>0.364</v>
      </c>
      <c r="G1751" s="11">
        <v>0.592</v>
      </c>
      <c r="H1751" s="11">
        <v>0.043</v>
      </c>
      <c r="I1751" s="11">
        <v>5595533.0</v>
      </c>
      <c r="J1751" s="11">
        <v>0.564</v>
      </c>
      <c r="K1751" s="12" t="s">
        <v>213</v>
      </c>
      <c r="L1751" s="5" t="s">
        <v>84</v>
      </c>
      <c r="M1751" s="9" t="s">
        <v>68</v>
      </c>
    </row>
    <row r="1752">
      <c r="A1752" s="11">
        <v>1751.0</v>
      </c>
      <c r="B1752" s="11">
        <v>0.025</v>
      </c>
      <c r="C1752" s="11">
        <v>0.024</v>
      </c>
      <c r="D1752" s="11">
        <v>76.0</v>
      </c>
      <c r="E1752" s="11">
        <v>70.0</v>
      </c>
      <c r="F1752" s="11">
        <v>0.358</v>
      </c>
      <c r="G1752" s="11">
        <v>0.598</v>
      </c>
      <c r="H1752" s="11">
        <v>0.044</v>
      </c>
      <c r="I1752" s="11">
        <v>5667983.0</v>
      </c>
      <c r="J1752" s="11">
        <v>0.567</v>
      </c>
      <c r="K1752" s="12" t="s">
        <v>213</v>
      </c>
      <c r="L1752" s="5" t="s">
        <v>84</v>
      </c>
      <c r="M1752" s="9" t="s">
        <v>69</v>
      </c>
    </row>
    <row r="1753">
      <c r="A1753" s="11">
        <v>1752.0</v>
      </c>
      <c r="B1753" s="11">
        <v>0.024</v>
      </c>
      <c r="C1753" s="11">
        <v>0.023</v>
      </c>
      <c r="D1753" s="11">
        <v>77.0</v>
      </c>
      <c r="E1753" s="11">
        <v>70.0</v>
      </c>
      <c r="F1753" s="11">
        <v>0.351</v>
      </c>
      <c r="G1753" s="11">
        <v>0.604</v>
      </c>
      <c r="H1753" s="11">
        <v>0.045</v>
      </c>
      <c r="I1753" s="11">
        <v>5743329.0</v>
      </c>
      <c r="J1753" s="11">
        <v>0.57</v>
      </c>
      <c r="K1753" s="12" t="s">
        <v>213</v>
      </c>
      <c r="L1753" s="5" t="s">
        <v>84</v>
      </c>
      <c r="M1753" s="9" t="s">
        <v>70</v>
      </c>
    </row>
    <row r="1754">
      <c r="A1754" s="11">
        <v>1753.0</v>
      </c>
      <c r="B1754" s="11">
        <v>0.024</v>
      </c>
      <c r="C1754" s="11">
        <v>0.022</v>
      </c>
      <c r="D1754" s="11">
        <v>77.0</v>
      </c>
      <c r="E1754" s="11">
        <v>71.0</v>
      </c>
      <c r="F1754" s="11">
        <v>0.345</v>
      </c>
      <c r="G1754" s="11">
        <v>0.609</v>
      </c>
      <c r="H1754" s="11">
        <v>0.046</v>
      </c>
      <c r="I1754" s="11">
        <v>5822209.0</v>
      </c>
      <c r="J1754" s="11">
        <v>0.573</v>
      </c>
      <c r="K1754" s="12" t="s">
        <v>213</v>
      </c>
      <c r="L1754" s="5" t="s">
        <v>84</v>
      </c>
      <c r="M1754" s="9" t="s">
        <v>71</v>
      </c>
    </row>
    <row r="1755">
      <c r="A1755" s="11">
        <v>1754.0</v>
      </c>
      <c r="B1755" s="11">
        <v>0.024</v>
      </c>
      <c r="C1755" s="11">
        <v>0.021</v>
      </c>
      <c r="D1755" s="11">
        <v>77.0</v>
      </c>
      <c r="E1755" s="11">
        <v>71.0</v>
      </c>
      <c r="F1755" s="11">
        <v>0.339</v>
      </c>
      <c r="G1755" s="11">
        <v>0.615</v>
      </c>
      <c r="H1755" s="11">
        <v>0.046</v>
      </c>
      <c r="I1755" s="11">
        <v>5905146.0</v>
      </c>
      <c r="J1755" s="11">
        <v>0.575</v>
      </c>
      <c r="K1755" s="12" t="s">
        <v>213</v>
      </c>
      <c r="L1755" s="5" t="s">
        <v>84</v>
      </c>
      <c r="M1755" s="9" t="s">
        <v>72</v>
      </c>
    </row>
    <row r="1756">
      <c r="A1756" s="11">
        <v>1755.0</v>
      </c>
      <c r="B1756" s="11">
        <v>0.023</v>
      </c>
      <c r="C1756" s="11">
        <v>0.021</v>
      </c>
      <c r="D1756" s="11">
        <v>78.0</v>
      </c>
      <c r="E1756" s="11">
        <v>71.0</v>
      </c>
      <c r="F1756" s="11">
        <v>0.334</v>
      </c>
      <c r="G1756" s="11">
        <v>0.62</v>
      </c>
      <c r="H1756" s="11">
        <v>0.046</v>
      </c>
      <c r="I1756" s="11">
        <v>5991733.0</v>
      </c>
      <c r="J1756" s="11">
        <v>0.578</v>
      </c>
      <c r="K1756" s="12" t="s">
        <v>213</v>
      </c>
      <c r="L1756" s="5" t="s">
        <v>84</v>
      </c>
      <c r="M1756" s="9" t="s">
        <v>73</v>
      </c>
    </row>
    <row r="1757">
      <c r="A1757" s="11">
        <v>1756.0</v>
      </c>
      <c r="B1757" s="11">
        <v>0.053</v>
      </c>
      <c r="C1757" s="11">
        <v>0.101</v>
      </c>
      <c r="D1757" s="11">
        <v>51.0</v>
      </c>
      <c r="E1757" s="11">
        <v>51.0</v>
      </c>
      <c r="F1757" s="11">
        <v>0.479</v>
      </c>
      <c r="G1757" s="11">
        <v>0.495</v>
      </c>
      <c r="H1757" s="11">
        <v>0.025</v>
      </c>
      <c r="I1757" s="11">
        <v>1.0989815E7</v>
      </c>
      <c r="J1757" s="11">
        <v>0.162</v>
      </c>
      <c r="K1757" s="12" t="s">
        <v>214</v>
      </c>
      <c r="L1757" s="5" t="s">
        <v>77</v>
      </c>
      <c r="M1757" s="9" t="s">
        <v>60</v>
      </c>
    </row>
    <row r="1758">
      <c r="A1758" s="11">
        <v>1757.0</v>
      </c>
      <c r="B1758" s="11">
        <v>0.053</v>
      </c>
      <c r="C1758" s="11">
        <v>0.098</v>
      </c>
      <c r="D1758" s="11">
        <v>51.0</v>
      </c>
      <c r="E1758" s="11">
        <v>51.0</v>
      </c>
      <c r="F1758" s="11">
        <v>0.481</v>
      </c>
      <c r="G1758" s="11">
        <v>0.494</v>
      </c>
      <c r="H1758" s="11">
        <v>0.025</v>
      </c>
      <c r="I1758" s="11">
        <v>1.1396434E7</v>
      </c>
      <c r="J1758" s="11">
        <v>0.163</v>
      </c>
      <c r="K1758" s="12" t="s">
        <v>214</v>
      </c>
      <c r="L1758" s="5" t="s">
        <v>77</v>
      </c>
      <c r="M1758" s="9" t="s">
        <v>62</v>
      </c>
    </row>
    <row r="1759">
      <c r="A1759" s="11">
        <v>1758.0</v>
      </c>
      <c r="B1759" s="11">
        <v>0.052</v>
      </c>
      <c r="C1759" s="11">
        <v>0.094</v>
      </c>
      <c r="D1759" s="11">
        <v>52.0</v>
      </c>
      <c r="E1759" s="11">
        <v>52.0</v>
      </c>
      <c r="F1759" s="11">
        <v>0.483</v>
      </c>
      <c r="G1759" s="11">
        <v>0.491</v>
      </c>
      <c r="H1759" s="11">
        <v>0.025</v>
      </c>
      <c r="I1759" s="11">
        <v>1.1817297E7</v>
      </c>
      <c r="J1759" s="11">
        <v>0.164</v>
      </c>
      <c r="K1759" s="12" t="s">
        <v>214</v>
      </c>
      <c r="L1759" s="5" t="s">
        <v>77</v>
      </c>
      <c r="M1759" s="9" t="s">
        <v>63</v>
      </c>
    </row>
    <row r="1760">
      <c r="A1760" s="11">
        <v>1759.0</v>
      </c>
      <c r="B1760" s="11">
        <v>0.052</v>
      </c>
      <c r="C1760" s="11">
        <v>0.09</v>
      </c>
      <c r="D1760" s="11">
        <v>53.0</v>
      </c>
      <c r="E1760" s="11">
        <v>53.0</v>
      </c>
      <c r="F1760" s="11">
        <v>0.486</v>
      </c>
      <c r="G1760" s="11">
        <v>0.489</v>
      </c>
      <c r="H1760" s="11">
        <v>0.025</v>
      </c>
      <c r="I1760" s="11">
        <v>1.225404E7</v>
      </c>
      <c r="J1760" s="11">
        <v>0.165</v>
      </c>
      <c r="K1760" s="12" t="s">
        <v>214</v>
      </c>
      <c r="L1760" s="5" t="s">
        <v>77</v>
      </c>
      <c r="M1760" s="9" t="s">
        <v>64</v>
      </c>
    </row>
    <row r="1761">
      <c r="A1761" s="11">
        <v>1760.0</v>
      </c>
      <c r="B1761" s="11">
        <v>0.052</v>
      </c>
      <c r="C1761" s="11">
        <v>0.086</v>
      </c>
      <c r="D1761" s="11">
        <v>53.0</v>
      </c>
      <c r="E1761" s="11">
        <v>53.0</v>
      </c>
      <c r="F1761" s="11">
        <v>0.488</v>
      </c>
      <c r="G1761" s="11">
        <v>0.487</v>
      </c>
      <c r="H1761" s="11">
        <v>0.025</v>
      </c>
      <c r="I1761" s="11">
        <v>1.2708897E7</v>
      </c>
      <c r="J1761" s="11">
        <v>0.166</v>
      </c>
      <c r="K1761" s="12" t="s">
        <v>214</v>
      </c>
      <c r="L1761" s="5" t="s">
        <v>77</v>
      </c>
      <c r="M1761" s="9" t="s">
        <v>65</v>
      </c>
    </row>
    <row r="1762">
      <c r="A1762" s="11">
        <v>1761.0</v>
      </c>
      <c r="B1762" s="11">
        <v>0.051</v>
      </c>
      <c r="C1762" s="11">
        <v>0.082</v>
      </c>
      <c r="D1762" s="11">
        <v>54.0</v>
      </c>
      <c r="E1762" s="11">
        <v>54.0</v>
      </c>
      <c r="F1762" s="11">
        <v>0.49</v>
      </c>
      <c r="G1762" s="11">
        <v>0.485</v>
      </c>
      <c r="H1762" s="11">
        <v>0.025</v>
      </c>
      <c r="I1762" s="11">
        <v>1.3183798E7</v>
      </c>
      <c r="J1762" s="11">
        <v>0.167</v>
      </c>
      <c r="K1762" s="12" t="s">
        <v>214</v>
      </c>
      <c r="L1762" s="5" t="s">
        <v>77</v>
      </c>
      <c r="M1762" s="9" t="s">
        <v>66</v>
      </c>
    </row>
    <row r="1763">
      <c r="A1763" s="11">
        <v>1762.0</v>
      </c>
      <c r="B1763" s="11">
        <v>0.051</v>
      </c>
      <c r="C1763" s="11">
        <v>0.079</v>
      </c>
      <c r="D1763" s="11">
        <v>55.0</v>
      </c>
      <c r="E1763" s="11">
        <v>55.0</v>
      </c>
      <c r="F1763" s="11">
        <v>0.492</v>
      </c>
      <c r="G1763" s="11">
        <v>0.483</v>
      </c>
      <c r="H1763" s="11">
        <v>0.025</v>
      </c>
      <c r="I1763" s="11">
        <v>1.3679705E7</v>
      </c>
      <c r="J1763" s="11">
        <v>0.169</v>
      </c>
      <c r="K1763" s="12" t="s">
        <v>214</v>
      </c>
      <c r="L1763" s="5" t="s">
        <v>77</v>
      </c>
      <c r="M1763" s="9" t="s">
        <v>67</v>
      </c>
    </row>
    <row r="1764">
      <c r="A1764" s="11">
        <v>1763.0</v>
      </c>
      <c r="B1764" s="11">
        <v>0.051</v>
      </c>
      <c r="C1764" s="11">
        <v>0.075</v>
      </c>
      <c r="D1764" s="11">
        <v>55.0</v>
      </c>
      <c r="E1764" s="11">
        <v>55.0</v>
      </c>
      <c r="F1764" s="11">
        <v>0.494</v>
      </c>
      <c r="G1764" s="11">
        <v>0.481</v>
      </c>
      <c r="H1764" s="11">
        <v>0.025</v>
      </c>
      <c r="I1764" s="11">
        <v>1.4197289E7</v>
      </c>
      <c r="J1764" s="11">
        <v>0.17</v>
      </c>
      <c r="K1764" s="12" t="s">
        <v>214</v>
      </c>
      <c r="L1764" s="5" t="s">
        <v>77</v>
      </c>
      <c r="M1764" s="9" t="s">
        <v>68</v>
      </c>
    </row>
    <row r="1765">
      <c r="A1765" s="11">
        <v>1764.0</v>
      </c>
      <c r="B1765" s="11">
        <v>0.05</v>
      </c>
      <c r="C1765" s="11">
        <v>0.072</v>
      </c>
      <c r="D1765" s="11">
        <v>56.0</v>
      </c>
      <c r="E1765" s="11">
        <v>56.0</v>
      </c>
      <c r="F1765" s="11">
        <v>0.496</v>
      </c>
      <c r="G1765" s="11">
        <v>0.479</v>
      </c>
      <c r="H1765" s="11">
        <v>0.026</v>
      </c>
      <c r="I1765" s="11">
        <v>1.4737895E7</v>
      </c>
      <c r="J1765" s="11">
        <v>0.172</v>
      </c>
      <c r="K1765" s="12" t="s">
        <v>214</v>
      </c>
      <c r="L1765" s="5" t="s">
        <v>77</v>
      </c>
      <c r="M1765" s="9" t="s">
        <v>69</v>
      </c>
    </row>
    <row r="1766">
      <c r="A1766" s="11">
        <v>1765.0</v>
      </c>
      <c r="B1766" s="11">
        <v>0.05</v>
      </c>
      <c r="C1766" s="11">
        <v>0.069</v>
      </c>
      <c r="D1766" s="11">
        <v>57.0</v>
      </c>
      <c r="E1766" s="11">
        <v>56.0</v>
      </c>
      <c r="F1766" s="11">
        <v>0.497</v>
      </c>
      <c r="G1766" s="11">
        <v>0.477</v>
      </c>
      <c r="H1766" s="11">
        <v>0.026</v>
      </c>
      <c r="I1766" s="11">
        <v>1.5302948E7</v>
      </c>
      <c r="J1766" s="11">
        <v>0.174</v>
      </c>
      <c r="K1766" s="12" t="s">
        <v>214</v>
      </c>
      <c r="L1766" s="5" t="s">
        <v>77</v>
      </c>
      <c r="M1766" s="9" t="s">
        <v>70</v>
      </c>
    </row>
    <row r="1767">
      <c r="A1767" s="11">
        <v>1766.0</v>
      </c>
      <c r="B1767" s="11">
        <v>0.05</v>
      </c>
      <c r="C1767" s="11">
        <v>0.066</v>
      </c>
      <c r="D1767" s="11">
        <v>57.0</v>
      </c>
      <c r="E1767" s="11">
        <v>57.0</v>
      </c>
      <c r="F1767" s="11">
        <v>0.498</v>
      </c>
      <c r="G1767" s="11">
        <v>0.476</v>
      </c>
      <c r="H1767" s="11">
        <v>0.026</v>
      </c>
      <c r="I1767" s="11">
        <v>1.5893746E7</v>
      </c>
      <c r="J1767" s="11">
        <v>0.176</v>
      </c>
      <c r="K1767" s="12" t="s">
        <v>214</v>
      </c>
      <c r="L1767" s="5" t="s">
        <v>77</v>
      </c>
      <c r="M1767" s="9" t="s">
        <v>71</v>
      </c>
    </row>
    <row r="1768">
      <c r="A1768" s="11">
        <v>1767.0</v>
      </c>
      <c r="B1768" s="11">
        <v>0.05</v>
      </c>
      <c r="C1768" s="11">
        <v>0.064</v>
      </c>
      <c r="D1768" s="11">
        <v>58.0</v>
      </c>
      <c r="E1768" s="11">
        <v>57.0</v>
      </c>
      <c r="F1768" s="11">
        <v>0.499</v>
      </c>
      <c r="G1768" s="11">
        <v>0.475</v>
      </c>
      <c r="H1768" s="11">
        <v>0.026</v>
      </c>
      <c r="I1768" s="11">
        <v>1.6511462E7</v>
      </c>
      <c r="J1768" s="11">
        <v>0.178</v>
      </c>
      <c r="K1768" s="12" t="s">
        <v>214</v>
      </c>
      <c r="L1768" s="5" t="s">
        <v>77</v>
      </c>
      <c r="M1768" s="9" t="s">
        <v>72</v>
      </c>
    </row>
    <row r="1769">
      <c r="A1769" s="11">
        <v>1768.0</v>
      </c>
      <c r="B1769" s="11">
        <v>0.05</v>
      </c>
      <c r="C1769" s="11">
        <v>0.062</v>
      </c>
      <c r="D1769" s="11">
        <v>58.0</v>
      </c>
      <c r="E1769" s="11">
        <v>58.0</v>
      </c>
      <c r="F1769" s="11">
        <v>0.5</v>
      </c>
      <c r="G1769" s="11">
        <v>0.474</v>
      </c>
      <c r="H1769" s="11">
        <v>0.026</v>
      </c>
      <c r="I1769" s="11">
        <v>1.7157042E7</v>
      </c>
      <c r="J1769" s="11">
        <v>0.18</v>
      </c>
      <c r="K1769" s="12" t="s">
        <v>214</v>
      </c>
      <c r="L1769" s="5" t="s">
        <v>77</v>
      </c>
      <c r="M1769" s="9" t="s">
        <v>73</v>
      </c>
    </row>
    <row r="1770">
      <c r="A1770" s="11">
        <v>1769.0</v>
      </c>
      <c r="B1770" s="11">
        <v>0.043</v>
      </c>
      <c r="C1770" s="11">
        <v>0.113</v>
      </c>
      <c r="D1770" s="11">
        <v>47.0</v>
      </c>
      <c r="E1770" s="11">
        <v>46.0</v>
      </c>
      <c r="F1770" s="11">
        <v>0.435</v>
      </c>
      <c r="G1770" s="11">
        <v>0.537</v>
      </c>
      <c r="H1770" s="11">
        <v>0.028</v>
      </c>
      <c r="I1770" s="11">
        <v>1.22876727E8</v>
      </c>
      <c r="J1770" s="11">
        <v>0.348</v>
      </c>
      <c r="K1770" s="12" t="s">
        <v>215</v>
      </c>
      <c r="L1770" s="5" t="s">
        <v>77</v>
      </c>
      <c r="M1770" s="9" t="s">
        <v>60</v>
      </c>
    </row>
    <row r="1771">
      <c r="A1771" s="11">
        <v>1770.0</v>
      </c>
      <c r="B1771" s="11">
        <v>0.043</v>
      </c>
      <c r="C1771" s="11">
        <v>0.11</v>
      </c>
      <c r="D1771" s="11">
        <v>47.0</v>
      </c>
      <c r="E1771" s="11">
        <v>46.0</v>
      </c>
      <c r="F1771" s="11">
        <v>0.435</v>
      </c>
      <c r="G1771" s="11">
        <v>0.538</v>
      </c>
      <c r="H1771" s="11">
        <v>0.028</v>
      </c>
      <c r="I1771" s="11">
        <v>1.26004992E8</v>
      </c>
      <c r="J1771" s="11">
        <v>0.357</v>
      </c>
      <c r="K1771" s="12" t="s">
        <v>215</v>
      </c>
      <c r="L1771" s="5" t="s">
        <v>77</v>
      </c>
      <c r="M1771" s="9" t="s">
        <v>62</v>
      </c>
    </row>
    <row r="1772">
      <c r="A1772" s="11">
        <v>1771.0</v>
      </c>
      <c r="B1772" s="11">
        <v>0.043</v>
      </c>
      <c r="C1772" s="11">
        <v>0.106</v>
      </c>
      <c r="D1772" s="11">
        <v>48.0</v>
      </c>
      <c r="E1772" s="11">
        <v>47.0</v>
      </c>
      <c r="F1772" s="11">
        <v>0.434</v>
      </c>
      <c r="G1772" s="11">
        <v>0.538</v>
      </c>
      <c r="H1772" s="11">
        <v>0.028</v>
      </c>
      <c r="I1772" s="11">
        <v>1.29224641E8</v>
      </c>
      <c r="J1772" s="11">
        <v>0.365</v>
      </c>
      <c r="K1772" s="12" t="s">
        <v>215</v>
      </c>
      <c r="L1772" s="5" t="s">
        <v>77</v>
      </c>
      <c r="M1772" s="9" t="s">
        <v>63</v>
      </c>
    </row>
    <row r="1773">
      <c r="A1773" s="11">
        <v>1772.0</v>
      </c>
      <c r="B1773" s="11">
        <v>0.043</v>
      </c>
      <c r="C1773" s="11">
        <v>0.103</v>
      </c>
      <c r="D1773" s="11">
        <v>48.0</v>
      </c>
      <c r="E1773" s="11">
        <v>47.0</v>
      </c>
      <c r="F1773" s="11">
        <v>0.435</v>
      </c>
      <c r="G1773" s="11">
        <v>0.538</v>
      </c>
      <c r="H1773" s="11">
        <v>0.028</v>
      </c>
      <c r="I1773" s="11">
        <v>1.32550146E8</v>
      </c>
      <c r="J1773" s="11">
        <v>0.374</v>
      </c>
      <c r="K1773" s="12" t="s">
        <v>215</v>
      </c>
      <c r="L1773" s="5" t="s">
        <v>77</v>
      </c>
      <c r="M1773" s="9" t="s">
        <v>64</v>
      </c>
    </row>
    <row r="1774">
      <c r="A1774" s="11">
        <v>1773.0</v>
      </c>
      <c r="B1774" s="11">
        <v>0.043</v>
      </c>
      <c r="C1774" s="11">
        <v>0.1</v>
      </c>
      <c r="D1774" s="11">
        <v>49.0</v>
      </c>
      <c r="E1774" s="11">
        <v>48.0</v>
      </c>
      <c r="F1774" s="11">
        <v>0.435</v>
      </c>
      <c r="G1774" s="11">
        <v>0.538</v>
      </c>
      <c r="H1774" s="11">
        <v>0.027</v>
      </c>
      <c r="I1774" s="11">
        <v>1.3599925E8</v>
      </c>
      <c r="J1774" s="11">
        <v>0.382</v>
      </c>
      <c r="K1774" s="12" t="s">
        <v>215</v>
      </c>
      <c r="L1774" s="5" t="s">
        <v>77</v>
      </c>
      <c r="M1774" s="9" t="s">
        <v>65</v>
      </c>
    </row>
    <row r="1775">
      <c r="A1775" s="11">
        <v>1774.0</v>
      </c>
      <c r="B1775" s="11">
        <v>0.042</v>
      </c>
      <c r="C1775" s="11">
        <v>0.097</v>
      </c>
      <c r="D1775" s="11">
        <v>49.0</v>
      </c>
      <c r="E1775" s="11">
        <v>48.0</v>
      </c>
      <c r="F1775" s="11">
        <v>0.436</v>
      </c>
      <c r="G1775" s="11">
        <v>0.537</v>
      </c>
      <c r="H1775" s="11">
        <v>0.027</v>
      </c>
      <c r="I1775" s="11">
        <v>1.39585891E8</v>
      </c>
      <c r="J1775" s="11">
        <v>0.391</v>
      </c>
      <c r="K1775" s="12" t="s">
        <v>215</v>
      </c>
      <c r="L1775" s="5" t="s">
        <v>77</v>
      </c>
      <c r="M1775" s="9" t="s">
        <v>66</v>
      </c>
    </row>
    <row r="1776">
      <c r="A1776" s="11">
        <v>1775.0</v>
      </c>
      <c r="B1776" s="11">
        <v>0.042</v>
      </c>
      <c r="C1776" s="11">
        <v>0.094</v>
      </c>
      <c r="D1776" s="11">
        <v>50.0</v>
      </c>
      <c r="E1776" s="11">
        <v>49.0</v>
      </c>
      <c r="F1776" s="11">
        <v>0.436</v>
      </c>
      <c r="G1776" s="11">
        <v>0.536</v>
      </c>
      <c r="H1776" s="11">
        <v>0.027</v>
      </c>
      <c r="I1776" s="11">
        <v>1.43314909E8</v>
      </c>
      <c r="J1776" s="11">
        <v>0.399</v>
      </c>
      <c r="K1776" s="12" t="s">
        <v>215</v>
      </c>
      <c r="L1776" s="5" t="s">
        <v>77</v>
      </c>
      <c r="M1776" s="9" t="s">
        <v>67</v>
      </c>
    </row>
    <row r="1777">
      <c r="A1777" s="11">
        <v>1776.0</v>
      </c>
      <c r="B1777" s="11">
        <v>0.042</v>
      </c>
      <c r="C1777" s="11">
        <v>0.091</v>
      </c>
      <c r="D1777" s="11">
        <v>50.0</v>
      </c>
      <c r="E1777" s="11">
        <v>49.0</v>
      </c>
      <c r="F1777" s="11">
        <v>0.437</v>
      </c>
      <c r="G1777" s="11">
        <v>0.536</v>
      </c>
      <c r="H1777" s="11">
        <v>0.027</v>
      </c>
      <c r="I1777" s="11">
        <v>1.47187353E8</v>
      </c>
      <c r="J1777" s="11">
        <v>0.408</v>
      </c>
      <c r="K1777" s="12" t="s">
        <v>215</v>
      </c>
      <c r="L1777" s="5" t="s">
        <v>77</v>
      </c>
      <c r="M1777" s="9" t="s">
        <v>68</v>
      </c>
    </row>
    <row r="1778">
      <c r="A1778" s="11">
        <v>1777.0</v>
      </c>
      <c r="B1778" s="11">
        <v>0.042</v>
      </c>
      <c r="C1778" s="11">
        <v>0.088</v>
      </c>
      <c r="D1778" s="11">
        <v>51.0</v>
      </c>
      <c r="E1778" s="11">
        <v>50.0</v>
      </c>
      <c r="F1778" s="11">
        <v>0.438</v>
      </c>
      <c r="G1778" s="11">
        <v>0.535</v>
      </c>
      <c r="H1778" s="11">
        <v>0.027</v>
      </c>
      <c r="I1778" s="11">
        <v>1.5120808E8</v>
      </c>
      <c r="J1778" s="11">
        <v>0.417</v>
      </c>
      <c r="K1778" s="12" t="s">
        <v>215</v>
      </c>
      <c r="L1778" s="5" t="s">
        <v>77</v>
      </c>
      <c r="M1778" s="9" t="s">
        <v>69</v>
      </c>
    </row>
    <row r="1779">
      <c r="A1779" s="11">
        <v>1778.0</v>
      </c>
      <c r="B1779" s="11">
        <v>0.042</v>
      </c>
      <c r="C1779" s="11">
        <v>0.085</v>
      </c>
      <c r="D1779" s="11">
        <v>51.0</v>
      </c>
      <c r="E1779" s="11">
        <v>51.0</v>
      </c>
      <c r="F1779" s="11">
        <v>0.439</v>
      </c>
      <c r="G1779" s="11">
        <v>0.534</v>
      </c>
      <c r="H1779" s="11">
        <v>0.027</v>
      </c>
      <c r="I1779" s="11">
        <v>1.5538102E8</v>
      </c>
      <c r="J1779" s="11">
        <v>0.426</v>
      </c>
      <c r="K1779" s="12" t="s">
        <v>215</v>
      </c>
      <c r="L1779" s="5" t="s">
        <v>77</v>
      </c>
      <c r="M1779" s="9" t="s">
        <v>70</v>
      </c>
    </row>
    <row r="1780">
      <c r="A1780" s="11">
        <v>1779.0</v>
      </c>
      <c r="B1780" s="11">
        <v>0.042</v>
      </c>
      <c r="C1780" s="11">
        <v>0.082</v>
      </c>
      <c r="D1780" s="11">
        <v>52.0</v>
      </c>
      <c r="E1780" s="11">
        <v>51.0</v>
      </c>
      <c r="F1780" s="11">
        <v>0.44</v>
      </c>
      <c r="G1780" s="11">
        <v>0.532</v>
      </c>
      <c r="H1780" s="11">
        <v>0.027</v>
      </c>
      <c r="I1780" s="11">
        <v>1.5970778E8</v>
      </c>
      <c r="J1780" s="11">
        <v>0.435</v>
      </c>
      <c r="K1780" s="12" t="s">
        <v>215</v>
      </c>
      <c r="L1780" s="5" t="s">
        <v>77</v>
      </c>
      <c r="M1780" s="9" t="s">
        <v>71</v>
      </c>
    </row>
    <row r="1781">
      <c r="A1781" s="11">
        <v>1780.0</v>
      </c>
      <c r="B1781" s="11">
        <v>0.042</v>
      </c>
      <c r="C1781" s="11">
        <v>0.079</v>
      </c>
      <c r="D1781" s="11">
        <v>52.0</v>
      </c>
      <c r="E1781" s="11">
        <v>51.0</v>
      </c>
      <c r="F1781" s="11">
        <v>0.441</v>
      </c>
      <c r="G1781" s="11">
        <v>0.531</v>
      </c>
      <c r="H1781" s="11">
        <v>0.027</v>
      </c>
      <c r="I1781" s="11">
        <v>1.64192925E8</v>
      </c>
      <c r="J1781" s="11">
        <v>0.444</v>
      </c>
      <c r="K1781" s="12" t="s">
        <v>215</v>
      </c>
      <c r="L1781" s="5" t="s">
        <v>77</v>
      </c>
      <c r="M1781" s="9" t="s">
        <v>72</v>
      </c>
    </row>
    <row r="1782">
      <c r="A1782" s="11">
        <v>1781.0</v>
      </c>
      <c r="B1782" s="11">
        <v>0.042</v>
      </c>
      <c r="C1782" s="11">
        <v>0.077</v>
      </c>
      <c r="D1782" s="11">
        <v>52.0</v>
      </c>
      <c r="E1782" s="11">
        <v>52.0</v>
      </c>
      <c r="F1782" s="11">
        <v>0.442</v>
      </c>
      <c r="G1782" s="11">
        <v>0.531</v>
      </c>
      <c r="H1782" s="11">
        <v>0.027</v>
      </c>
      <c r="I1782" s="11">
        <v>1.68833776E8</v>
      </c>
      <c r="J1782" s="11">
        <v>0.452</v>
      </c>
      <c r="K1782" s="12" t="s">
        <v>215</v>
      </c>
      <c r="L1782" s="5" t="s">
        <v>77</v>
      </c>
      <c r="M1782" s="9" t="s">
        <v>73</v>
      </c>
    </row>
    <row r="1783">
      <c r="A1783" s="11">
        <v>1782.0</v>
      </c>
      <c r="B1783" s="11">
        <v>0.018</v>
      </c>
      <c r="C1783" s="11">
        <v>0.045</v>
      </c>
      <c r="D1783" s="11">
        <v>69.0</v>
      </c>
      <c r="E1783" s="11">
        <v>61.0</v>
      </c>
      <c r="F1783" s="11">
        <v>0.26</v>
      </c>
      <c r="G1783" s="11">
        <v>0.681</v>
      </c>
      <c r="H1783" s="11">
        <v>0.059</v>
      </c>
      <c r="I1783" s="11">
        <v>2.2840225E7</v>
      </c>
      <c r="J1783" s="11">
        <v>0.594</v>
      </c>
      <c r="K1783" s="12" t="s">
        <v>216</v>
      </c>
      <c r="L1783" s="5" t="s">
        <v>61</v>
      </c>
      <c r="M1783" s="9" t="s">
        <v>60</v>
      </c>
    </row>
    <row r="1784">
      <c r="A1784" s="11">
        <v>1783.0</v>
      </c>
      <c r="B1784" s="11">
        <v>0.017</v>
      </c>
      <c r="C1784" s="11">
        <v>0.039</v>
      </c>
      <c r="D1784" s="11">
        <v>70.0</v>
      </c>
      <c r="E1784" s="11">
        <v>62.0</v>
      </c>
      <c r="F1784" s="11">
        <v>0.258</v>
      </c>
      <c r="G1784" s="11">
        <v>0.68</v>
      </c>
      <c r="H1784" s="11">
        <v>0.062</v>
      </c>
      <c r="I1784" s="11">
        <v>2.3043449E7</v>
      </c>
      <c r="J1784" s="11">
        <v>0.595</v>
      </c>
      <c r="K1784" s="12" t="s">
        <v>216</v>
      </c>
      <c r="L1784" s="5" t="s">
        <v>61</v>
      </c>
      <c r="M1784" s="9" t="s">
        <v>62</v>
      </c>
    </row>
    <row r="1785">
      <c r="A1785" s="11">
        <v>1784.0</v>
      </c>
      <c r="B1785" s="11">
        <v>0.017</v>
      </c>
      <c r="C1785" s="11">
        <v>0.034</v>
      </c>
      <c r="D1785" s="11">
        <v>70.0</v>
      </c>
      <c r="E1785" s="11">
        <v>63.0</v>
      </c>
      <c r="F1785" s="11">
        <v>0.256</v>
      </c>
      <c r="G1785" s="11">
        <v>0.68</v>
      </c>
      <c r="H1785" s="11">
        <v>0.065</v>
      </c>
      <c r="I1785" s="11">
        <v>2.3248059E7</v>
      </c>
      <c r="J1785" s="11">
        <v>0.596</v>
      </c>
      <c r="K1785" s="12" t="s">
        <v>216</v>
      </c>
      <c r="L1785" s="5" t="s">
        <v>61</v>
      </c>
      <c r="M1785" s="9" t="s">
        <v>63</v>
      </c>
    </row>
    <row r="1786">
      <c r="A1786" s="11">
        <v>1785.0</v>
      </c>
      <c r="B1786" s="11">
        <v>0.016</v>
      </c>
      <c r="C1786" s="11">
        <v>0.03</v>
      </c>
      <c r="D1786" s="11">
        <v>71.0</v>
      </c>
      <c r="E1786" s="11">
        <v>64.0</v>
      </c>
      <c r="F1786" s="11">
        <v>0.253</v>
      </c>
      <c r="G1786" s="11">
        <v>0.679</v>
      </c>
      <c r="H1786" s="11">
        <v>0.068</v>
      </c>
      <c r="I1786" s="11">
        <v>2.344918E7</v>
      </c>
      <c r="J1786" s="11">
        <v>0.596</v>
      </c>
      <c r="K1786" s="12" t="s">
        <v>216</v>
      </c>
      <c r="L1786" s="5" t="s">
        <v>61</v>
      </c>
      <c r="M1786" s="9" t="s">
        <v>64</v>
      </c>
    </row>
    <row r="1787">
      <c r="A1787" s="11">
        <v>1786.0</v>
      </c>
      <c r="B1787" s="11">
        <v>0.016</v>
      </c>
      <c r="C1787" s="11">
        <v>0.028</v>
      </c>
      <c r="D1787" s="11">
        <v>72.0</v>
      </c>
      <c r="E1787" s="11">
        <v>64.0</v>
      </c>
      <c r="F1787" s="11">
        <v>0.25</v>
      </c>
      <c r="G1787" s="11">
        <v>0.678</v>
      </c>
      <c r="H1787" s="11">
        <v>0.071</v>
      </c>
      <c r="I1787" s="11">
        <v>2.3639303E7</v>
      </c>
      <c r="J1787" s="11">
        <v>0.597</v>
      </c>
      <c r="K1787" s="12" t="s">
        <v>216</v>
      </c>
      <c r="L1787" s="5" t="s">
        <v>61</v>
      </c>
      <c r="M1787" s="9" t="s">
        <v>65</v>
      </c>
    </row>
    <row r="1788">
      <c r="A1788" s="11">
        <v>1787.0</v>
      </c>
      <c r="B1788" s="11">
        <v>0.016</v>
      </c>
      <c r="C1788" s="11">
        <v>0.026</v>
      </c>
      <c r="D1788" s="11">
        <v>72.0</v>
      </c>
      <c r="E1788" s="11">
        <v>65.0</v>
      </c>
      <c r="F1788" s="11">
        <v>0.247</v>
      </c>
      <c r="G1788" s="11">
        <v>0.678</v>
      </c>
      <c r="H1788" s="11">
        <v>0.074</v>
      </c>
      <c r="I1788" s="11">
        <v>2.3813333E7</v>
      </c>
      <c r="J1788" s="11">
        <v>0.598</v>
      </c>
      <c r="K1788" s="12" t="s">
        <v>216</v>
      </c>
      <c r="L1788" s="5" t="s">
        <v>61</v>
      </c>
      <c r="M1788" s="9" t="s">
        <v>66</v>
      </c>
    </row>
    <row r="1789">
      <c r="A1789" s="11">
        <v>1788.0</v>
      </c>
      <c r="B1789" s="11">
        <v>0.015</v>
      </c>
      <c r="C1789" s="11">
        <v>0.026</v>
      </c>
      <c r="D1789" s="11">
        <v>72.0</v>
      </c>
      <c r="E1789" s="11">
        <v>65.0</v>
      </c>
      <c r="F1789" s="11">
        <v>0.243</v>
      </c>
      <c r="G1789" s="11">
        <v>0.679</v>
      </c>
      <c r="H1789" s="11">
        <v>0.077</v>
      </c>
      <c r="I1789" s="11">
        <v>2.3969917E7</v>
      </c>
      <c r="J1789" s="11">
        <v>0.599</v>
      </c>
      <c r="K1789" s="12" t="s">
        <v>216</v>
      </c>
      <c r="L1789" s="5" t="s">
        <v>61</v>
      </c>
      <c r="M1789" s="9" t="s">
        <v>67</v>
      </c>
    </row>
    <row r="1790">
      <c r="A1790" s="11">
        <v>1789.0</v>
      </c>
      <c r="B1790" s="11">
        <v>0.015</v>
      </c>
      <c r="C1790" s="11">
        <v>0.026</v>
      </c>
      <c r="D1790" s="11">
        <v>72.0</v>
      </c>
      <c r="E1790" s="11">
        <v>65.0</v>
      </c>
      <c r="F1790" s="11">
        <v>0.239</v>
      </c>
      <c r="G1790" s="11">
        <v>0.681</v>
      </c>
      <c r="H1790" s="11">
        <v>0.08</v>
      </c>
      <c r="I1790" s="11">
        <v>2.4111989E7</v>
      </c>
      <c r="J1790" s="11">
        <v>0.6</v>
      </c>
      <c r="K1790" s="12" t="s">
        <v>216</v>
      </c>
      <c r="L1790" s="5" t="s">
        <v>61</v>
      </c>
      <c r="M1790" s="9" t="s">
        <v>68</v>
      </c>
    </row>
    <row r="1791">
      <c r="A1791" s="11">
        <v>1790.0</v>
      </c>
      <c r="B1791" s="11">
        <v>0.015</v>
      </c>
      <c r="C1791" s="11">
        <v>0.026</v>
      </c>
      <c r="D1791" s="11">
        <v>72.0</v>
      </c>
      <c r="E1791" s="11">
        <v>65.0</v>
      </c>
      <c r="F1791" s="11">
        <v>0.235</v>
      </c>
      <c r="G1791" s="11">
        <v>0.682</v>
      </c>
      <c r="H1791" s="11">
        <v>0.083</v>
      </c>
      <c r="I1791" s="11">
        <v>2.4243894E7</v>
      </c>
      <c r="J1791" s="11">
        <v>0.6</v>
      </c>
      <c r="K1791" s="12" t="s">
        <v>216</v>
      </c>
      <c r="L1791" s="5" t="s">
        <v>61</v>
      </c>
      <c r="M1791" s="9" t="s">
        <v>69</v>
      </c>
    </row>
    <row r="1792">
      <c r="A1792" s="11">
        <v>1791.0</v>
      </c>
      <c r="B1792" s="11">
        <v>0.014</v>
      </c>
      <c r="C1792" s="11">
        <v>0.025</v>
      </c>
      <c r="D1792" s="11">
        <v>72.0</v>
      </c>
      <c r="E1792" s="11">
        <v>65.0</v>
      </c>
      <c r="F1792" s="11">
        <v>0.231</v>
      </c>
      <c r="G1792" s="11">
        <v>0.684</v>
      </c>
      <c r="H1792" s="11">
        <v>0.085</v>
      </c>
      <c r="I1792" s="11">
        <v>2.4371865E7</v>
      </c>
      <c r="J1792" s="11">
        <v>0.601</v>
      </c>
      <c r="K1792" s="12" t="s">
        <v>216</v>
      </c>
      <c r="L1792" s="5" t="s">
        <v>61</v>
      </c>
      <c r="M1792" s="9" t="s">
        <v>70</v>
      </c>
    </row>
    <row r="1793">
      <c r="A1793" s="11">
        <v>1792.0</v>
      </c>
      <c r="B1793" s="11">
        <v>0.014</v>
      </c>
      <c r="C1793" s="11">
        <v>0.025</v>
      </c>
      <c r="D1793" s="11">
        <v>72.0</v>
      </c>
      <c r="E1793" s="11">
        <v>66.0</v>
      </c>
      <c r="F1793" s="11">
        <v>0.227</v>
      </c>
      <c r="G1793" s="11">
        <v>0.686</v>
      </c>
      <c r="H1793" s="11">
        <v>0.088</v>
      </c>
      <c r="I1793" s="11">
        <v>2.450052E7</v>
      </c>
      <c r="J1793" s="11">
        <v>0.602</v>
      </c>
      <c r="K1793" s="12" t="s">
        <v>216</v>
      </c>
      <c r="L1793" s="5" t="s">
        <v>61</v>
      </c>
      <c r="M1793" s="9" t="s">
        <v>71</v>
      </c>
    </row>
    <row r="1794">
      <c r="A1794" s="11">
        <v>1793.0</v>
      </c>
      <c r="B1794" s="11">
        <v>0.014</v>
      </c>
      <c r="C1794" s="11">
        <v>0.024</v>
      </c>
      <c r="D1794" s="11">
        <v>73.0</v>
      </c>
      <c r="E1794" s="11">
        <v>66.0</v>
      </c>
      <c r="F1794" s="11">
        <v>0.223</v>
      </c>
      <c r="G1794" s="11">
        <v>0.687</v>
      </c>
      <c r="H1794" s="11">
        <v>0.09</v>
      </c>
      <c r="I1794" s="11">
        <v>2.4631291E7</v>
      </c>
      <c r="J1794" s="11">
        <v>0.603</v>
      </c>
      <c r="K1794" s="12" t="s">
        <v>216</v>
      </c>
      <c r="L1794" s="5" t="s">
        <v>61</v>
      </c>
      <c r="M1794" s="9" t="s">
        <v>72</v>
      </c>
    </row>
    <row r="1795">
      <c r="A1795" s="11">
        <v>1794.0</v>
      </c>
      <c r="B1795" s="11">
        <v>0.014</v>
      </c>
      <c r="C1795" s="11">
        <v>0.023</v>
      </c>
      <c r="D1795" s="11">
        <v>73.0</v>
      </c>
      <c r="E1795" s="11">
        <v>66.0</v>
      </c>
      <c r="F1795" s="11">
        <v>0.22</v>
      </c>
      <c r="G1795" s="11">
        <v>0.688</v>
      </c>
      <c r="H1795" s="11">
        <v>0.092</v>
      </c>
      <c r="I1795" s="11">
        <v>2.4763188E7</v>
      </c>
      <c r="J1795" s="11">
        <v>0.604</v>
      </c>
      <c r="K1795" s="12" t="s">
        <v>216</v>
      </c>
      <c r="L1795" s="5" t="s">
        <v>61</v>
      </c>
      <c r="M1795" s="9" t="s">
        <v>73</v>
      </c>
    </row>
    <row r="1796">
      <c r="A1796" s="11">
        <v>1795.0</v>
      </c>
      <c r="B1796" s="11">
        <v>0.013</v>
      </c>
      <c r="C1796" s="11">
        <v>0.014</v>
      </c>
      <c r="D1796" s="11">
        <v>76.0</v>
      </c>
      <c r="E1796" s="11">
        <v>71.0</v>
      </c>
      <c r="F1796" s="11">
        <v>0.224</v>
      </c>
      <c r="G1796" s="11">
        <v>0.676</v>
      </c>
      <c r="H1796" s="11">
        <v>0.1</v>
      </c>
      <c r="I1796" s="11">
        <v>2052129.0</v>
      </c>
      <c r="J1796" s="11">
        <v>0.585</v>
      </c>
      <c r="K1796" s="12" t="s">
        <v>217</v>
      </c>
      <c r="L1796" s="5" t="s">
        <v>75</v>
      </c>
      <c r="M1796" s="9" t="s">
        <v>60</v>
      </c>
    </row>
    <row r="1797">
      <c r="A1797" s="11">
        <v>1796.0</v>
      </c>
      <c r="B1797" s="11">
        <v>0.012</v>
      </c>
      <c r="C1797" s="11">
        <v>0.014</v>
      </c>
      <c r="D1797" s="11">
        <v>76.0</v>
      </c>
      <c r="E1797" s="11">
        <v>71.0</v>
      </c>
      <c r="F1797" s="11">
        <v>0.219</v>
      </c>
      <c r="G1797" s="11">
        <v>0.679</v>
      </c>
      <c r="H1797" s="11">
        <v>0.103</v>
      </c>
      <c r="I1797" s="11">
        <v>2065098.0</v>
      </c>
      <c r="J1797" s="11">
        <v>0.583</v>
      </c>
      <c r="K1797" s="12" t="s">
        <v>217</v>
      </c>
      <c r="L1797" s="5" t="s">
        <v>75</v>
      </c>
      <c r="M1797" s="9" t="s">
        <v>62</v>
      </c>
    </row>
    <row r="1798">
      <c r="A1798" s="11">
        <v>1797.0</v>
      </c>
      <c r="B1798" s="11">
        <v>0.012</v>
      </c>
      <c r="C1798" s="11">
        <v>0.013</v>
      </c>
      <c r="D1798" s="11">
        <v>76.0</v>
      </c>
      <c r="E1798" s="11">
        <v>71.0</v>
      </c>
      <c r="F1798" s="11">
        <v>0.213</v>
      </c>
      <c r="G1798" s="11">
        <v>0.681</v>
      </c>
      <c r="H1798" s="11">
        <v>0.106</v>
      </c>
      <c r="I1798" s="11">
        <v>2074441.0</v>
      </c>
      <c r="J1798" s="11">
        <v>0.581</v>
      </c>
      <c r="K1798" s="12" t="s">
        <v>217</v>
      </c>
      <c r="L1798" s="5" t="s">
        <v>75</v>
      </c>
      <c r="M1798" s="9" t="s">
        <v>63</v>
      </c>
    </row>
    <row r="1799">
      <c r="A1799" s="11">
        <v>1798.0</v>
      </c>
      <c r="B1799" s="11">
        <v>0.012</v>
      </c>
      <c r="C1799" s="11">
        <v>0.013</v>
      </c>
      <c r="D1799" s="11">
        <v>76.0</v>
      </c>
      <c r="E1799" s="11">
        <v>71.0</v>
      </c>
      <c r="F1799" s="11">
        <v>0.208</v>
      </c>
      <c r="G1799" s="11">
        <v>0.684</v>
      </c>
      <c r="H1799" s="11">
        <v>0.108</v>
      </c>
      <c r="I1799" s="11">
        <v>2080866.0</v>
      </c>
      <c r="J1799" s="11">
        <v>0.579</v>
      </c>
      <c r="K1799" s="12" t="s">
        <v>217</v>
      </c>
      <c r="L1799" s="5" t="s">
        <v>75</v>
      </c>
      <c r="M1799" s="9" t="s">
        <v>64</v>
      </c>
    </row>
    <row r="1800">
      <c r="A1800" s="11">
        <v>1799.0</v>
      </c>
      <c r="B1800" s="11">
        <v>0.012</v>
      </c>
      <c r="C1800" s="11">
        <v>0.012</v>
      </c>
      <c r="D1800" s="11">
        <v>77.0</v>
      </c>
      <c r="E1800" s="11">
        <v>72.0</v>
      </c>
      <c r="F1800" s="11">
        <v>0.203</v>
      </c>
      <c r="G1800" s="11">
        <v>0.687</v>
      </c>
      <c r="H1800" s="11">
        <v>0.11</v>
      </c>
      <c r="I1800" s="11">
        <v>2085728.0</v>
      </c>
      <c r="J1800" s="11">
        <v>0.577</v>
      </c>
      <c r="K1800" s="12" t="s">
        <v>217</v>
      </c>
      <c r="L1800" s="5" t="s">
        <v>75</v>
      </c>
      <c r="M1800" s="9" t="s">
        <v>65</v>
      </c>
    </row>
    <row r="1801">
      <c r="A1801" s="11">
        <v>1800.0</v>
      </c>
      <c r="B1801" s="11">
        <v>0.011</v>
      </c>
      <c r="C1801" s="11">
        <v>0.012</v>
      </c>
      <c r="D1801" s="11">
        <v>77.0</v>
      </c>
      <c r="E1801" s="11">
        <v>72.0</v>
      </c>
      <c r="F1801" s="11">
        <v>0.198</v>
      </c>
      <c r="G1801" s="11">
        <v>0.69</v>
      </c>
      <c r="H1801" s="11">
        <v>0.112</v>
      </c>
      <c r="I1801" s="11">
        <v>2090044.0</v>
      </c>
      <c r="J1801" s="11">
        <v>0.575</v>
      </c>
      <c r="K1801" s="12" t="s">
        <v>217</v>
      </c>
      <c r="L1801" s="5" t="s">
        <v>75</v>
      </c>
      <c r="M1801" s="9" t="s">
        <v>66</v>
      </c>
    </row>
    <row r="1802">
      <c r="A1802" s="11">
        <v>1801.0</v>
      </c>
      <c r="B1802" s="11">
        <v>0.011</v>
      </c>
      <c r="C1802" s="11">
        <v>0.012</v>
      </c>
      <c r="D1802" s="11">
        <v>77.0</v>
      </c>
      <c r="E1802" s="11">
        <v>72.0</v>
      </c>
      <c r="F1802" s="11">
        <v>0.192</v>
      </c>
      <c r="G1802" s="11">
        <v>0.694</v>
      </c>
      <c r="H1802" s="11">
        <v>0.113</v>
      </c>
      <c r="I1802" s="11">
        <v>2093801.0</v>
      </c>
      <c r="J1802" s="11">
        <v>0.574</v>
      </c>
      <c r="K1802" s="12" t="s">
        <v>217</v>
      </c>
      <c r="L1802" s="5" t="s">
        <v>75</v>
      </c>
      <c r="M1802" s="9" t="s">
        <v>67</v>
      </c>
    </row>
    <row r="1803">
      <c r="A1803" s="11">
        <v>1802.0</v>
      </c>
      <c r="B1803" s="11">
        <v>0.011</v>
      </c>
      <c r="C1803" s="11">
        <v>0.011</v>
      </c>
      <c r="D1803" s="11">
        <v>77.0</v>
      </c>
      <c r="E1803" s="11">
        <v>72.0</v>
      </c>
      <c r="F1803" s="11">
        <v>0.187</v>
      </c>
      <c r="G1803" s="11">
        <v>0.699</v>
      </c>
      <c r="H1803" s="11">
        <v>0.114</v>
      </c>
      <c r="I1803" s="11">
        <v>2096620.0</v>
      </c>
      <c r="J1803" s="11">
        <v>0.572</v>
      </c>
      <c r="K1803" s="12" t="s">
        <v>217</v>
      </c>
      <c r="L1803" s="5" t="s">
        <v>75</v>
      </c>
      <c r="M1803" s="9" t="s">
        <v>68</v>
      </c>
    </row>
    <row r="1804">
      <c r="A1804" s="11">
        <v>1803.0</v>
      </c>
      <c r="B1804" s="11">
        <v>0.011</v>
      </c>
      <c r="C1804" s="11">
        <v>0.01</v>
      </c>
      <c r="D1804" s="11">
        <v>77.0</v>
      </c>
      <c r="E1804" s="11">
        <v>72.0</v>
      </c>
      <c r="F1804" s="11">
        <v>0.182</v>
      </c>
      <c r="G1804" s="11">
        <v>0.703</v>
      </c>
      <c r="H1804" s="11">
        <v>0.115</v>
      </c>
      <c r="I1804" s="11">
        <v>2098769.0</v>
      </c>
      <c r="J1804" s="11">
        <v>0.571</v>
      </c>
      <c r="K1804" s="12" t="s">
        <v>217</v>
      </c>
      <c r="L1804" s="5" t="s">
        <v>75</v>
      </c>
      <c r="M1804" s="9" t="s">
        <v>69</v>
      </c>
    </row>
    <row r="1805">
      <c r="A1805" s="11">
        <v>1804.0</v>
      </c>
      <c r="B1805" s="11">
        <v>0.011</v>
      </c>
      <c r="C1805" s="11">
        <v>0.01</v>
      </c>
      <c r="D1805" s="11">
        <v>77.0</v>
      </c>
      <c r="E1805" s="11">
        <v>72.0</v>
      </c>
      <c r="F1805" s="11">
        <v>0.178</v>
      </c>
      <c r="G1805" s="11">
        <v>0.707</v>
      </c>
      <c r="H1805" s="11">
        <v>0.115</v>
      </c>
      <c r="I1805" s="11">
        <v>2100558.0</v>
      </c>
      <c r="J1805" s="11">
        <v>0.57</v>
      </c>
      <c r="K1805" s="12" t="s">
        <v>217</v>
      </c>
      <c r="L1805" s="5" t="s">
        <v>75</v>
      </c>
      <c r="M1805" s="9" t="s">
        <v>70</v>
      </c>
    </row>
    <row r="1806">
      <c r="A1806" s="11">
        <v>1805.0</v>
      </c>
      <c r="B1806" s="11">
        <v>0.011</v>
      </c>
      <c r="C1806" s="11">
        <v>0.009</v>
      </c>
      <c r="D1806" s="11">
        <v>77.0</v>
      </c>
      <c r="E1806" s="11">
        <v>73.0</v>
      </c>
      <c r="F1806" s="11">
        <v>0.174</v>
      </c>
      <c r="G1806" s="11">
        <v>0.709</v>
      </c>
      <c r="H1806" s="11">
        <v>0.117</v>
      </c>
      <c r="I1806" s="11">
        <v>2102216.0</v>
      </c>
      <c r="J1806" s="11">
        <v>0.57</v>
      </c>
      <c r="K1806" s="12" t="s">
        <v>217</v>
      </c>
      <c r="L1806" s="5" t="s">
        <v>75</v>
      </c>
      <c r="M1806" s="9" t="s">
        <v>71</v>
      </c>
    </row>
    <row r="1807">
      <c r="A1807" s="11">
        <v>1806.0</v>
      </c>
      <c r="B1807" s="11">
        <v>0.011</v>
      </c>
      <c r="C1807" s="11">
        <v>0.008</v>
      </c>
      <c r="D1807" s="11">
        <v>77.0</v>
      </c>
      <c r="E1807" s="11">
        <v>73.0</v>
      </c>
      <c r="F1807" s="11">
        <v>0.171</v>
      </c>
      <c r="G1807" s="11">
        <v>0.71</v>
      </c>
      <c r="H1807" s="11">
        <v>0.118</v>
      </c>
      <c r="I1807" s="11">
        <v>2103890.0</v>
      </c>
      <c r="J1807" s="11">
        <v>0.57</v>
      </c>
      <c r="K1807" s="12" t="s">
        <v>217</v>
      </c>
      <c r="L1807" s="5" t="s">
        <v>75</v>
      </c>
      <c r="M1807" s="9" t="s">
        <v>72</v>
      </c>
    </row>
    <row r="1808">
      <c r="A1808" s="11">
        <v>1807.0</v>
      </c>
      <c r="B1808" s="11">
        <v>0.011</v>
      </c>
      <c r="C1808" s="11">
        <v>0.007</v>
      </c>
      <c r="D1808" s="11">
        <v>77.0</v>
      </c>
      <c r="E1808" s="11">
        <v>73.0</v>
      </c>
      <c r="F1808" s="11">
        <v>0.169</v>
      </c>
      <c r="G1808" s="11">
        <v>0.711</v>
      </c>
      <c r="H1808" s="11">
        <v>0.12</v>
      </c>
      <c r="I1808" s="11">
        <v>2105575.0</v>
      </c>
      <c r="J1808" s="11">
        <v>0.57</v>
      </c>
      <c r="K1808" s="12" t="s">
        <v>217</v>
      </c>
      <c r="L1808" s="5" t="s">
        <v>75</v>
      </c>
      <c r="M1808" s="9" t="s">
        <v>73</v>
      </c>
    </row>
    <row r="1809">
      <c r="A1809" s="11">
        <v>1808.0</v>
      </c>
      <c r="B1809" s="11">
        <v>0.013</v>
      </c>
      <c r="C1809" s="11">
        <v>0.004</v>
      </c>
      <c r="D1809" s="11">
        <v>81.0</v>
      </c>
      <c r="E1809" s="11">
        <v>76.0</v>
      </c>
      <c r="F1809" s="11">
        <v>0.2</v>
      </c>
      <c r="G1809" s="11">
        <v>0.648</v>
      </c>
      <c r="H1809" s="11">
        <v>0.152</v>
      </c>
      <c r="I1809" s="11">
        <v>4490967.0</v>
      </c>
      <c r="J1809" s="11">
        <v>0.761</v>
      </c>
      <c r="K1809" s="12" t="s">
        <v>218</v>
      </c>
      <c r="L1809" s="5" t="s">
        <v>75</v>
      </c>
      <c r="M1809" s="9" t="s">
        <v>60</v>
      </c>
    </row>
    <row r="1810">
      <c r="A1810" s="11">
        <v>1809.0</v>
      </c>
      <c r="B1810" s="11">
        <v>0.013</v>
      </c>
      <c r="C1810" s="11">
        <v>0.004</v>
      </c>
      <c r="D1810" s="11">
        <v>82.0</v>
      </c>
      <c r="E1810" s="11">
        <v>76.0</v>
      </c>
      <c r="F1810" s="11">
        <v>0.2</v>
      </c>
      <c r="G1810" s="11">
        <v>0.65</v>
      </c>
      <c r="H1810" s="11">
        <v>0.15</v>
      </c>
      <c r="I1810" s="11">
        <v>4513751.0</v>
      </c>
      <c r="J1810" s="11">
        <v>0.766</v>
      </c>
      <c r="K1810" s="12" t="s">
        <v>218</v>
      </c>
      <c r="L1810" s="5" t="s">
        <v>75</v>
      </c>
      <c r="M1810" s="9" t="s">
        <v>62</v>
      </c>
    </row>
    <row r="1811">
      <c r="A1811" s="11">
        <v>1810.0</v>
      </c>
      <c r="B1811" s="11">
        <v>0.012</v>
      </c>
      <c r="C1811" s="11">
        <v>0.004</v>
      </c>
      <c r="D1811" s="11">
        <v>82.0</v>
      </c>
      <c r="E1811" s="11">
        <v>77.0</v>
      </c>
      <c r="F1811" s="11">
        <v>0.2</v>
      </c>
      <c r="G1811" s="11">
        <v>0.651</v>
      </c>
      <c r="H1811" s="11">
        <v>0.149</v>
      </c>
      <c r="I1811" s="11">
        <v>4538159.0</v>
      </c>
      <c r="J1811" s="11">
        <v>0.77</v>
      </c>
      <c r="K1811" s="12" t="s">
        <v>218</v>
      </c>
      <c r="L1811" s="5" t="s">
        <v>75</v>
      </c>
      <c r="M1811" s="9" t="s">
        <v>63</v>
      </c>
    </row>
    <row r="1812">
      <c r="A1812" s="11">
        <v>1811.0</v>
      </c>
      <c r="B1812" s="11">
        <v>0.012</v>
      </c>
      <c r="C1812" s="11">
        <v>0.004</v>
      </c>
      <c r="D1812" s="11">
        <v>82.0</v>
      </c>
      <c r="E1812" s="11">
        <v>77.0</v>
      </c>
      <c r="F1812" s="11">
        <v>0.199</v>
      </c>
      <c r="G1812" s="11">
        <v>0.653</v>
      </c>
      <c r="H1812" s="11">
        <v>0.148</v>
      </c>
      <c r="I1812" s="11">
        <v>4564855.0</v>
      </c>
      <c r="J1812" s="11">
        <v>0.772</v>
      </c>
      <c r="K1812" s="12" t="s">
        <v>218</v>
      </c>
      <c r="L1812" s="5" t="s">
        <v>75</v>
      </c>
      <c r="M1812" s="9" t="s">
        <v>64</v>
      </c>
    </row>
    <row r="1813">
      <c r="A1813" s="11">
        <v>1812.0</v>
      </c>
      <c r="B1813" s="11">
        <v>0.012</v>
      </c>
      <c r="C1813" s="11">
        <v>0.003</v>
      </c>
      <c r="D1813" s="11">
        <v>82.0</v>
      </c>
      <c r="E1813" s="11">
        <v>78.0</v>
      </c>
      <c r="F1813" s="11">
        <v>0.198</v>
      </c>
      <c r="G1813" s="11">
        <v>0.655</v>
      </c>
      <c r="H1813" s="11">
        <v>0.148</v>
      </c>
      <c r="I1813" s="11">
        <v>4591910.0</v>
      </c>
      <c r="J1813" s="11">
        <v>0.773</v>
      </c>
      <c r="K1813" s="12" t="s">
        <v>218</v>
      </c>
      <c r="L1813" s="5" t="s">
        <v>75</v>
      </c>
      <c r="M1813" s="9" t="s">
        <v>65</v>
      </c>
    </row>
    <row r="1814">
      <c r="A1814" s="11">
        <v>1813.0</v>
      </c>
      <c r="B1814" s="11">
        <v>0.012</v>
      </c>
      <c r="C1814" s="11">
        <v>0.003</v>
      </c>
      <c r="D1814" s="11">
        <v>83.0</v>
      </c>
      <c r="E1814" s="11">
        <v>78.0</v>
      </c>
      <c r="F1814" s="11">
        <v>0.196</v>
      </c>
      <c r="G1814" s="11">
        <v>0.656</v>
      </c>
      <c r="H1814" s="11">
        <v>0.147</v>
      </c>
      <c r="I1814" s="11">
        <v>4623291.0</v>
      </c>
      <c r="J1814" s="11">
        <v>0.775</v>
      </c>
      <c r="K1814" s="12" t="s">
        <v>218</v>
      </c>
      <c r="L1814" s="5" t="s">
        <v>75</v>
      </c>
      <c r="M1814" s="9" t="s">
        <v>66</v>
      </c>
    </row>
    <row r="1815">
      <c r="A1815" s="11">
        <v>1814.0</v>
      </c>
      <c r="B1815" s="11">
        <v>0.013</v>
      </c>
      <c r="C1815" s="11">
        <v>0.003</v>
      </c>
      <c r="D1815" s="11">
        <v>83.0</v>
      </c>
      <c r="E1815" s="11">
        <v>78.0</v>
      </c>
      <c r="F1815" s="11">
        <v>0.195</v>
      </c>
      <c r="G1815" s="11">
        <v>0.658</v>
      </c>
      <c r="H1815" s="11">
        <v>0.147</v>
      </c>
      <c r="I1815" s="11">
        <v>4660677.0</v>
      </c>
      <c r="J1815" s="11">
        <v>0.779</v>
      </c>
      <c r="K1815" s="12" t="s">
        <v>218</v>
      </c>
      <c r="L1815" s="5" t="s">
        <v>75</v>
      </c>
      <c r="M1815" s="9" t="s">
        <v>67</v>
      </c>
    </row>
    <row r="1816">
      <c r="A1816" s="11">
        <v>1815.0</v>
      </c>
      <c r="B1816" s="11">
        <v>0.012</v>
      </c>
      <c r="C1816" s="11">
        <v>0.003</v>
      </c>
      <c r="D1816" s="11">
        <v>83.0</v>
      </c>
      <c r="E1816" s="11">
        <v>78.0</v>
      </c>
      <c r="F1816" s="11">
        <v>0.193</v>
      </c>
      <c r="G1816" s="11">
        <v>0.66</v>
      </c>
      <c r="H1816" s="11">
        <v>0.147</v>
      </c>
      <c r="I1816" s="11">
        <v>4709153.0</v>
      </c>
      <c r="J1816" s="11">
        <v>0.782</v>
      </c>
      <c r="K1816" s="12" t="s">
        <v>218</v>
      </c>
      <c r="L1816" s="5" t="s">
        <v>75</v>
      </c>
      <c r="M1816" s="9" t="s">
        <v>68</v>
      </c>
    </row>
    <row r="1817">
      <c r="A1817" s="11">
        <v>1816.0</v>
      </c>
      <c r="B1817" s="11">
        <v>0.013</v>
      </c>
      <c r="C1817" s="11">
        <v>0.003</v>
      </c>
      <c r="D1817" s="11">
        <v>83.0</v>
      </c>
      <c r="E1817" s="11">
        <v>78.0</v>
      </c>
      <c r="F1817" s="11">
        <v>0.191</v>
      </c>
      <c r="G1817" s="11">
        <v>0.661</v>
      </c>
      <c r="H1817" s="11">
        <v>0.148</v>
      </c>
      <c r="I1817" s="11">
        <v>4768212.0</v>
      </c>
      <c r="J1817" s="11">
        <v>0.785</v>
      </c>
      <c r="K1817" s="12" t="s">
        <v>218</v>
      </c>
      <c r="L1817" s="5" t="s">
        <v>75</v>
      </c>
      <c r="M1817" s="9" t="s">
        <v>69</v>
      </c>
    </row>
    <row r="1818">
      <c r="A1818" s="11">
        <v>1817.0</v>
      </c>
      <c r="B1818" s="11">
        <v>0.013</v>
      </c>
      <c r="C1818" s="11">
        <v>0.003</v>
      </c>
      <c r="D1818" s="11">
        <v>83.0</v>
      </c>
      <c r="E1818" s="11">
        <v>79.0</v>
      </c>
      <c r="F1818" s="11">
        <v>0.189</v>
      </c>
      <c r="G1818" s="11">
        <v>0.662</v>
      </c>
      <c r="H1818" s="11">
        <v>0.149</v>
      </c>
      <c r="I1818" s="11">
        <v>4828726.0</v>
      </c>
      <c r="J1818" s="11">
        <v>0.788</v>
      </c>
      <c r="K1818" s="12" t="s">
        <v>218</v>
      </c>
      <c r="L1818" s="5" t="s">
        <v>75</v>
      </c>
      <c r="M1818" s="9" t="s">
        <v>70</v>
      </c>
    </row>
    <row r="1819">
      <c r="A1819" s="11">
        <v>1818.0</v>
      </c>
      <c r="B1819" s="11">
        <v>0.013</v>
      </c>
      <c r="C1819" s="11">
        <v>0.003</v>
      </c>
      <c r="D1819" s="11">
        <v>83.0</v>
      </c>
      <c r="E1819" s="11">
        <v>79.0</v>
      </c>
      <c r="F1819" s="11">
        <v>0.188</v>
      </c>
      <c r="G1819" s="11">
        <v>0.662</v>
      </c>
      <c r="H1819" s="11">
        <v>0.15</v>
      </c>
      <c r="I1819" s="11">
        <v>4889252.0</v>
      </c>
      <c r="J1819" s="11">
        <v>0.791</v>
      </c>
      <c r="K1819" s="12" t="s">
        <v>218</v>
      </c>
      <c r="L1819" s="5" t="s">
        <v>75</v>
      </c>
      <c r="M1819" s="9" t="s">
        <v>71</v>
      </c>
    </row>
    <row r="1820">
      <c r="A1820" s="11">
        <v>1819.0</v>
      </c>
      <c r="B1820" s="11">
        <v>0.012</v>
      </c>
      <c r="C1820" s="11">
        <v>0.003</v>
      </c>
      <c r="D1820" s="11">
        <v>84.0</v>
      </c>
      <c r="E1820" s="11">
        <v>79.0</v>
      </c>
      <c r="F1820" s="11">
        <v>0.187</v>
      </c>
      <c r="G1820" s="11">
        <v>0.661</v>
      </c>
      <c r="H1820" s="11">
        <v>0.152</v>
      </c>
      <c r="I1820" s="11">
        <v>4953088.0</v>
      </c>
      <c r="J1820" s="11">
        <v>0.794</v>
      </c>
      <c r="K1820" s="12" t="s">
        <v>218</v>
      </c>
      <c r="L1820" s="5" t="s">
        <v>75</v>
      </c>
      <c r="M1820" s="9" t="s">
        <v>72</v>
      </c>
    </row>
    <row r="1821">
      <c r="A1821" s="11">
        <v>1820.0</v>
      </c>
      <c r="B1821" s="11">
        <v>0.012</v>
      </c>
      <c r="C1821" s="11">
        <v>0.002</v>
      </c>
      <c r="D1821" s="11">
        <v>84.0</v>
      </c>
      <c r="E1821" s="11">
        <v>80.0</v>
      </c>
      <c r="F1821" s="11">
        <v>0.186</v>
      </c>
      <c r="G1821" s="11">
        <v>0.659</v>
      </c>
      <c r="H1821" s="11">
        <v>0.155</v>
      </c>
      <c r="I1821" s="11">
        <v>5018573.0</v>
      </c>
      <c r="J1821" s="11">
        <v>0.797</v>
      </c>
      <c r="K1821" s="12" t="s">
        <v>218</v>
      </c>
      <c r="L1821" s="5" t="s">
        <v>75</v>
      </c>
      <c r="M1821" s="9" t="s">
        <v>73</v>
      </c>
    </row>
    <row r="1822">
      <c r="A1822" s="11">
        <v>1821.0</v>
      </c>
      <c r="B1822" s="11">
        <v>0.024</v>
      </c>
      <c r="C1822" s="11">
        <v>0.014</v>
      </c>
      <c r="D1822" s="11">
        <v>74.0</v>
      </c>
      <c r="E1822" s="11">
        <v>70.0</v>
      </c>
      <c r="F1822" s="11">
        <v>0.372</v>
      </c>
      <c r="G1822" s="11">
        <v>0.605</v>
      </c>
      <c r="H1822" s="11">
        <v>0.023</v>
      </c>
      <c r="I1822" s="11">
        <v>2192535.0</v>
      </c>
      <c r="J1822" s="11">
        <v>0.716</v>
      </c>
      <c r="K1822" s="12" t="s">
        <v>219</v>
      </c>
      <c r="L1822" s="5" t="s">
        <v>93</v>
      </c>
      <c r="M1822" s="9" t="s">
        <v>60</v>
      </c>
    </row>
    <row r="1823">
      <c r="A1823" s="11">
        <v>1822.0</v>
      </c>
      <c r="B1823" s="11">
        <v>0.023</v>
      </c>
      <c r="C1823" s="11">
        <v>0.013</v>
      </c>
      <c r="D1823" s="11">
        <v>75.0</v>
      </c>
      <c r="E1823" s="11">
        <v>71.0</v>
      </c>
      <c r="F1823" s="11">
        <v>0.369</v>
      </c>
      <c r="G1823" s="11">
        <v>0.607</v>
      </c>
      <c r="H1823" s="11">
        <v>0.024</v>
      </c>
      <c r="I1823" s="11">
        <v>2239025.0</v>
      </c>
      <c r="J1823" s="11">
        <v>0.715</v>
      </c>
      <c r="K1823" s="12" t="s">
        <v>219</v>
      </c>
      <c r="L1823" s="5" t="s">
        <v>93</v>
      </c>
      <c r="M1823" s="9" t="s">
        <v>62</v>
      </c>
    </row>
    <row r="1824">
      <c r="A1824" s="11">
        <v>1823.0</v>
      </c>
      <c r="B1824" s="11">
        <v>0.023</v>
      </c>
      <c r="C1824" s="11">
        <v>0.013</v>
      </c>
      <c r="D1824" s="11">
        <v>75.0</v>
      </c>
      <c r="E1824" s="11">
        <v>71.0</v>
      </c>
      <c r="F1824" s="11">
        <v>0.366</v>
      </c>
      <c r="G1824" s="11">
        <v>0.609</v>
      </c>
      <c r="H1824" s="11">
        <v>0.024</v>
      </c>
      <c r="I1824" s="11">
        <v>2308409.0</v>
      </c>
      <c r="J1824" s="11">
        <v>0.715</v>
      </c>
      <c r="K1824" s="12" t="s">
        <v>219</v>
      </c>
      <c r="L1824" s="5" t="s">
        <v>93</v>
      </c>
      <c r="M1824" s="9" t="s">
        <v>63</v>
      </c>
    </row>
    <row r="1825">
      <c r="A1825" s="11">
        <v>1824.0</v>
      </c>
      <c r="B1825" s="11">
        <v>0.022</v>
      </c>
      <c r="C1825" s="11">
        <v>0.012</v>
      </c>
      <c r="D1825" s="11">
        <v>76.0</v>
      </c>
      <c r="E1825" s="11">
        <v>72.0</v>
      </c>
      <c r="F1825" s="11">
        <v>0.364</v>
      </c>
      <c r="G1825" s="11">
        <v>0.612</v>
      </c>
      <c r="H1825" s="11">
        <v>0.025</v>
      </c>
      <c r="I1825" s="11">
        <v>2389121.0</v>
      </c>
      <c r="J1825" s="11">
        <v>0.715</v>
      </c>
      <c r="K1825" s="12" t="s">
        <v>219</v>
      </c>
      <c r="L1825" s="5" t="s">
        <v>93</v>
      </c>
      <c r="M1825" s="9" t="s">
        <v>64</v>
      </c>
    </row>
    <row r="1826">
      <c r="A1826" s="11">
        <v>1825.0</v>
      </c>
      <c r="B1826" s="11">
        <v>0.022</v>
      </c>
      <c r="C1826" s="11">
        <v>0.011</v>
      </c>
      <c r="D1826" s="11">
        <v>76.0</v>
      </c>
      <c r="E1826" s="11">
        <v>72.0</v>
      </c>
      <c r="F1826" s="11">
        <v>0.359</v>
      </c>
      <c r="G1826" s="11">
        <v>0.616</v>
      </c>
      <c r="H1826" s="11">
        <v>0.025</v>
      </c>
      <c r="I1826" s="11">
        <v>2464001.0</v>
      </c>
      <c r="J1826" s="11">
        <v>0.718</v>
      </c>
      <c r="K1826" s="12" t="s">
        <v>219</v>
      </c>
      <c r="L1826" s="5" t="s">
        <v>93</v>
      </c>
      <c r="M1826" s="9" t="s">
        <v>65</v>
      </c>
    </row>
    <row r="1827">
      <c r="A1827" s="11">
        <v>1826.0</v>
      </c>
      <c r="B1827" s="11">
        <v>0.022</v>
      </c>
      <c r="C1827" s="11">
        <v>0.011</v>
      </c>
      <c r="D1827" s="11">
        <v>77.0</v>
      </c>
      <c r="E1827" s="11">
        <v>72.0</v>
      </c>
      <c r="F1827" s="11">
        <v>0.351</v>
      </c>
      <c r="G1827" s="11">
        <v>0.624</v>
      </c>
      <c r="H1827" s="11">
        <v>0.025</v>
      </c>
      <c r="I1827" s="11">
        <v>2522325.0</v>
      </c>
      <c r="J1827" s="11">
        <v>0.724</v>
      </c>
      <c r="K1827" s="12" t="s">
        <v>219</v>
      </c>
      <c r="L1827" s="5" t="s">
        <v>93</v>
      </c>
      <c r="M1827" s="9" t="s">
        <v>66</v>
      </c>
    </row>
    <row r="1828">
      <c r="A1828" s="11">
        <v>1827.0</v>
      </c>
      <c r="B1828" s="11">
        <v>0.022</v>
      </c>
      <c r="C1828" s="11">
        <v>0.011</v>
      </c>
      <c r="D1828" s="11">
        <v>77.0</v>
      </c>
      <c r="E1828" s="11">
        <v>73.0</v>
      </c>
      <c r="F1828" s="11">
        <v>0.34</v>
      </c>
      <c r="G1828" s="11">
        <v>0.635</v>
      </c>
      <c r="H1828" s="11">
        <v>0.025</v>
      </c>
      <c r="I1828" s="11">
        <v>2554905.0</v>
      </c>
      <c r="J1828" s="11">
        <v>0.73</v>
      </c>
      <c r="K1828" s="12" t="s">
        <v>219</v>
      </c>
      <c r="L1828" s="5" t="s">
        <v>93</v>
      </c>
      <c r="M1828" s="9" t="s">
        <v>67</v>
      </c>
    </row>
    <row r="1829">
      <c r="A1829" s="11">
        <v>1828.0</v>
      </c>
      <c r="B1829" s="11">
        <v>0.022</v>
      </c>
      <c r="C1829" s="11">
        <v>0.01</v>
      </c>
      <c r="D1829" s="11">
        <v>77.0</v>
      </c>
      <c r="E1829" s="11">
        <v>73.0</v>
      </c>
      <c r="F1829" s="11">
        <v>0.327</v>
      </c>
      <c r="G1829" s="11">
        <v>0.649</v>
      </c>
      <c r="H1829" s="11">
        <v>0.024</v>
      </c>
      <c r="I1829" s="11">
        <v>2569739.0</v>
      </c>
      <c r="J1829" s="11">
        <v>0.735</v>
      </c>
      <c r="K1829" s="12" t="s">
        <v>219</v>
      </c>
      <c r="L1829" s="5" t="s">
        <v>93</v>
      </c>
      <c r="M1829" s="9" t="s">
        <v>68</v>
      </c>
    </row>
    <row r="1830">
      <c r="A1830" s="11">
        <v>1829.0</v>
      </c>
      <c r="B1830" s="11">
        <v>0.022</v>
      </c>
      <c r="C1830" s="11">
        <v>0.01</v>
      </c>
      <c r="D1830" s="11">
        <v>78.0</v>
      </c>
      <c r="E1830" s="11">
        <v>73.0</v>
      </c>
      <c r="F1830" s="11">
        <v>0.311</v>
      </c>
      <c r="G1830" s="11">
        <v>0.665</v>
      </c>
      <c r="H1830" s="11">
        <v>0.024</v>
      </c>
      <c r="I1830" s="11">
        <v>2593523.0</v>
      </c>
      <c r="J1830" s="11">
        <v>0.741</v>
      </c>
      <c r="K1830" s="12" t="s">
        <v>219</v>
      </c>
      <c r="L1830" s="5" t="s">
        <v>93</v>
      </c>
      <c r="M1830" s="9" t="s">
        <v>69</v>
      </c>
    </row>
    <row r="1831">
      <c r="A1831" s="11">
        <v>1830.0</v>
      </c>
      <c r="B1831" s="11">
        <v>0.022</v>
      </c>
      <c r="C1831" s="11">
        <v>0.01</v>
      </c>
      <c r="D1831" s="11">
        <v>78.0</v>
      </c>
      <c r="E1831" s="11">
        <v>74.0</v>
      </c>
      <c r="F1831" s="11">
        <v>0.292</v>
      </c>
      <c r="G1831" s="11">
        <v>0.683</v>
      </c>
      <c r="H1831" s="11">
        <v>0.024</v>
      </c>
      <c r="I1831" s="11">
        <v>2663224.0</v>
      </c>
      <c r="J1831" s="11">
        <v>0.746</v>
      </c>
      <c r="K1831" s="12" t="s">
        <v>219</v>
      </c>
      <c r="L1831" s="5" t="s">
        <v>93</v>
      </c>
      <c r="M1831" s="9" t="s">
        <v>70</v>
      </c>
    </row>
    <row r="1832">
      <c r="A1832" s="11">
        <v>1831.0</v>
      </c>
      <c r="B1832" s="11">
        <v>0.022</v>
      </c>
      <c r="C1832" s="11">
        <v>0.01</v>
      </c>
      <c r="D1832" s="11">
        <v>78.0</v>
      </c>
      <c r="E1832" s="11">
        <v>74.0</v>
      </c>
      <c r="F1832" s="11">
        <v>0.274</v>
      </c>
      <c r="G1832" s="11">
        <v>0.701</v>
      </c>
      <c r="H1832" s="11">
        <v>0.025</v>
      </c>
      <c r="I1832" s="11">
        <v>2802768.0</v>
      </c>
      <c r="J1832" s="11">
        <v>0.752</v>
      </c>
      <c r="K1832" s="12" t="s">
        <v>219</v>
      </c>
      <c r="L1832" s="5" t="s">
        <v>93</v>
      </c>
      <c r="M1832" s="9" t="s">
        <v>71</v>
      </c>
    </row>
    <row r="1833">
      <c r="A1833" s="11">
        <v>1832.0</v>
      </c>
      <c r="B1833" s="11">
        <v>0.022</v>
      </c>
      <c r="C1833" s="11">
        <v>0.01</v>
      </c>
      <c r="D1833" s="11">
        <v>79.0</v>
      </c>
      <c r="E1833" s="11">
        <v>74.0</v>
      </c>
      <c r="F1833" s="11">
        <v>0.257</v>
      </c>
      <c r="G1833" s="11">
        <v>0.717</v>
      </c>
      <c r="H1833" s="11">
        <v>0.026</v>
      </c>
      <c r="I1833" s="11">
        <v>3024774.0</v>
      </c>
      <c r="J1833" s="11">
        <v>0.757</v>
      </c>
      <c r="K1833" s="12" t="s">
        <v>219</v>
      </c>
      <c r="L1833" s="5" t="s">
        <v>93</v>
      </c>
      <c r="M1833" s="9" t="s">
        <v>72</v>
      </c>
    </row>
    <row r="1834">
      <c r="A1834" s="11">
        <v>1833.0</v>
      </c>
      <c r="B1834" s="11">
        <v>0.021</v>
      </c>
      <c r="C1834" s="11">
        <v>0.01</v>
      </c>
      <c r="D1834" s="11">
        <v>79.0</v>
      </c>
      <c r="E1834" s="11">
        <v>75.0</v>
      </c>
      <c r="F1834" s="11">
        <v>0.242</v>
      </c>
      <c r="G1834" s="11">
        <v>0.731</v>
      </c>
      <c r="H1834" s="11">
        <v>0.028</v>
      </c>
      <c r="I1834" s="11">
        <v>3314001.0</v>
      </c>
      <c r="J1834" s="11">
        <v>0.762</v>
      </c>
      <c r="K1834" s="12" t="s">
        <v>219</v>
      </c>
      <c r="L1834" s="5" t="s">
        <v>93</v>
      </c>
      <c r="M1834" s="9" t="s">
        <v>73</v>
      </c>
    </row>
    <row r="1835">
      <c r="A1835" s="11">
        <v>1834.0</v>
      </c>
      <c r="B1835" s="11">
        <v>0.031</v>
      </c>
      <c r="C1835" s="11">
        <v>0.088</v>
      </c>
      <c r="D1835" s="11">
        <v>65.0</v>
      </c>
      <c r="E1835" s="11">
        <v>63.0</v>
      </c>
      <c r="F1835" s="11">
        <v>0.415</v>
      </c>
      <c r="G1835" s="11">
        <v>0.546</v>
      </c>
      <c r="H1835" s="11">
        <v>0.039</v>
      </c>
      <c r="I1835" s="11">
        <v>1.43832014E8</v>
      </c>
      <c r="J1835" s="11">
        <v>0.332</v>
      </c>
      <c r="K1835" s="12" t="s">
        <v>220</v>
      </c>
      <c r="L1835" s="5" t="s">
        <v>61</v>
      </c>
      <c r="M1835" s="9" t="s">
        <v>60</v>
      </c>
    </row>
    <row r="1836">
      <c r="A1836" s="11">
        <v>1835.0</v>
      </c>
      <c r="B1836" s="11">
        <v>0.03</v>
      </c>
      <c r="C1836" s="11">
        <v>0.086</v>
      </c>
      <c r="D1836" s="11">
        <v>65.0</v>
      </c>
      <c r="E1836" s="11">
        <v>63.0</v>
      </c>
      <c r="F1836" s="11">
        <v>0.409</v>
      </c>
      <c r="G1836" s="11">
        <v>0.552</v>
      </c>
      <c r="H1836" s="11">
        <v>0.04</v>
      </c>
      <c r="I1836" s="11">
        <v>1.46857081E8</v>
      </c>
      <c r="J1836" s="11">
        <v>0.334</v>
      </c>
      <c r="K1836" s="12" t="s">
        <v>220</v>
      </c>
      <c r="L1836" s="5" t="s">
        <v>61</v>
      </c>
      <c r="M1836" s="9" t="s">
        <v>62</v>
      </c>
    </row>
    <row r="1837">
      <c r="A1837" s="11">
        <v>1836.0</v>
      </c>
      <c r="B1837" s="11">
        <v>0.029</v>
      </c>
      <c r="C1837" s="11">
        <v>0.085</v>
      </c>
      <c r="D1837" s="11">
        <v>65.0</v>
      </c>
      <c r="E1837" s="11">
        <v>64.0</v>
      </c>
      <c r="F1837" s="11">
        <v>0.402</v>
      </c>
      <c r="G1837" s="11">
        <v>0.558</v>
      </c>
      <c r="H1837" s="11">
        <v>0.04</v>
      </c>
      <c r="I1837" s="11">
        <v>1.49693684E8</v>
      </c>
      <c r="J1837" s="11">
        <v>0.338</v>
      </c>
      <c r="K1837" s="12" t="s">
        <v>220</v>
      </c>
      <c r="L1837" s="5" t="s">
        <v>61</v>
      </c>
      <c r="M1837" s="9" t="s">
        <v>63</v>
      </c>
    </row>
    <row r="1838">
      <c r="A1838" s="11">
        <v>1837.0</v>
      </c>
      <c r="B1838" s="11">
        <v>0.029</v>
      </c>
      <c r="C1838" s="11">
        <v>0.083</v>
      </c>
      <c r="D1838" s="11">
        <v>65.0</v>
      </c>
      <c r="E1838" s="11">
        <v>64.0</v>
      </c>
      <c r="F1838" s="11">
        <v>0.395</v>
      </c>
      <c r="G1838" s="11">
        <v>0.564</v>
      </c>
      <c r="H1838" s="11">
        <v>0.04</v>
      </c>
      <c r="I1838" s="11">
        <v>1.52419974E8</v>
      </c>
      <c r="J1838" s="11">
        <v>0.341</v>
      </c>
      <c r="K1838" s="12" t="s">
        <v>220</v>
      </c>
      <c r="L1838" s="5" t="s">
        <v>61</v>
      </c>
      <c r="M1838" s="9" t="s">
        <v>64</v>
      </c>
    </row>
    <row r="1839">
      <c r="A1839" s="11">
        <v>1838.0</v>
      </c>
      <c r="B1839" s="11">
        <v>0.028</v>
      </c>
      <c r="C1839" s="11">
        <v>0.082</v>
      </c>
      <c r="D1839" s="11">
        <v>66.0</v>
      </c>
      <c r="E1839" s="11">
        <v>64.0</v>
      </c>
      <c r="F1839" s="11">
        <v>0.388</v>
      </c>
      <c r="G1839" s="11">
        <v>0.571</v>
      </c>
      <c r="H1839" s="11">
        <v>0.041</v>
      </c>
      <c r="I1839" s="11">
        <v>1.55151394E8</v>
      </c>
      <c r="J1839" s="11">
        <v>0.344</v>
      </c>
      <c r="K1839" s="12" t="s">
        <v>220</v>
      </c>
      <c r="L1839" s="5" t="s">
        <v>61</v>
      </c>
      <c r="M1839" s="9" t="s">
        <v>65</v>
      </c>
    </row>
    <row r="1840">
      <c r="A1840" s="11">
        <v>1839.0</v>
      </c>
      <c r="B1840" s="11">
        <v>0.028</v>
      </c>
      <c r="C1840" s="11">
        <v>0.08</v>
      </c>
      <c r="D1840" s="11">
        <v>66.0</v>
      </c>
      <c r="E1840" s="11">
        <v>64.0</v>
      </c>
      <c r="F1840" s="11">
        <v>0.382</v>
      </c>
      <c r="G1840" s="11">
        <v>0.577</v>
      </c>
      <c r="H1840" s="11">
        <v>0.041</v>
      </c>
      <c r="I1840" s="11">
        <v>1.57971415E8</v>
      </c>
      <c r="J1840" s="11">
        <v>0.347</v>
      </c>
      <c r="K1840" s="12" t="s">
        <v>220</v>
      </c>
      <c r="L1840" s="5" t="s">
        <v>61</v>
      </c>
      <c r="M1840" s="9" t="s">
        <v>66</v>
      </c>
    </row>
    <row r="1841">
      <c r="A1841" s="11">
        <v>1840.0</v>
      </c>
      <c r="B1841" s="11">
        <v>0.028</v>
      </c>
      <c r="C1841" s="11">
        <v>0.079</v>
      </c>
      <c r="D1841" s="11">
        <v>66.0</v>
      </c>
      <c r="E1841" s="11">
        <v>65.0</v>
      </c>
      <c r="F1841" s="11">
        <v>0.376</v>
      </c>
      <c r="G1841" s="11">
        <v>0.583</v>
      </c>
      <c r="H1841" s="11">
        <v>0.042</v>
      </c>
      <c r="I1841" s="11">
        <v>1.60905794E8</v>
      </c>
      <c r="J1841" s="11">
        <v>0.351</v>
      </c>
      <c r="K1841" s="12" t="s">
        <v>220</v>
      </c>
      <c r="L1841" s="5" t="s">
        <v>61</v>
      </c>
      <c r="M1841" s="9" t="s">
        <v>67</v>
      </c>
    </row>
    <row r="1842">
      <c r="A1842" s="11">
        <v>1841.0</v>
      </c>
      <c r="B1842" s="11">
        <v>0.028</v>
      </c>
      <c r="C1842" s="11">
        <v>0.078</v>
      </c>
      <c r="D1842" s="11">
        <v>66.0</v>
      </c>
      <c r="E1842" s="11">
        <v>65.0</v>
      </c>
      <c r="F1842" s="11">
        <v>0.37</v>
      </c>
      <c r="G1842" s="11">
        <v>0.588</v>
      </c>
      <c r="H1842" s="11">
        <v>0.042</v>
      </c>
      <c r="I1842" s="11">
        <v>1.63928329E8</v>
      </c>
      <c r="J1842" s="11">
        <v>0.354</v>
      </c>
      <c r="K1842" s="12" t="s">
        <v>220</v>
      </c>
      <c r="L1842" s="5" t="s">
        <v>61</v>
      </c>
      <c r="M1842" s="9" t="s">
        <v>68</v>
      </c>
    </row>
    <row r="1843">
      <c r="A1843" s="11">
        <v>1842.0</v>
      </c>
      <c r="B1843" s="11">
        <v>0.027</v>
      </c>
      <c r="C1843" s="11">
        <v>0.076</v>
      </c>
      <c r="D1843" s="11">
        <v>67.0</v>
      </c>
      <c r="E1843" s="11">
        <v>65.0</v>
      </c>
      <c r="F1843" s="11">
        <v>0.365</v>
      </c>
      <c r="G1843" s="11">
        <v>0.593</v>
      </c>
      <c r="H1843" s="11">
        <v>0.043</v>
      </c>
      <c r="I1843" s="11">
        <v>1.67008083E8</v>
      </c>
      <c r="J1843" s="11">
        <v>0.358</v>
      </c>
      <c r="K1843" s="12" t="s">
        <v>220</v>
      </c>
      <c r="L1843" s="5" t="s">
        <v>61</v>
      </c>
      <c r="M1843" s="9" t="s">
        <v>69</v>
      </c>
    </row>
    <row r="1844">
      <c r="A1844" s="11">
        <v>1843.0</v>
      </c>
      <c r="B1844" s="11">
        <v>0.027</v>
      </c>
      <c r="C1844" s="11">
        <v>0.075</v>
      </c>
      <c r="D1844" s="11">
        <v>67.0</v>
      </c>
      <c r="E1844" s="11">
        <v>65.0</v>
      </c>
      <c r="F1844" s="11">
        <v>0.36</v>
      </c>
      <c r="G1844" s="11">
        <v>0.597</v>
      </c>
      <c r="H1844" s="11">
        <v>0.043</v>
      </c>
      <c r="I1844" s="11">
        <v>1.70093999E8</v>
      </c>
      <c r="J1844" s="11">
        <v>0.362</v>
      </c>
      <c r="K1844" s="12" t="s">
        <v>220</v>
      </c>
      <c r="L1844" s="5" t="s">
        <v>61</v>
      </c>
      <c r="M1844" s="9" t="s">
        <v>70</v>
      </c>
    </row>
    <row r="1845">
      <c r="A1845" s="11">
        <v>1844.0</v>
      </c>
      <c r="B1845" s="11">
        <v>0.027</v>
      </c>
      <c r="C1845" s="11">
        <v>0.073</v>
      </c>
      <c r="D1845" s="11">
        <v>67.0</v>
      </c>
      <c r="E1845" s="11">
        <v>65.0</v>
      </c>
      <c r="F1845" s="11">
        <v>0.354</v>
      </c>
      <c r="G1845" s="11">
        <v>0.602</v>
      </c>
      <c r="H1845" s="11">
        <v>0.043</v>
      </c>
      <c r="I1845" s="11">
        <v>1.73149306E8</v>
      </c>
      <c r="J1845" s="11">
        <v>0.366</v>
      </c>
      <c r="K1845" s="12" t="s">
        <v>220</v>
      </c>
      <c r="L1845" s="5" t="s">
        <v>61</v>
      </c>
      <c r="M1845" s="9" t="s">
        <v>71</v>
      </c>
    </row>
    <row r="1846">
      <c r="A1846" s="11">
        <v>1845.0</v>
      </c>
      <c r="B1846" s="11">
        <v>0.026</v>
      </c>
      <c r="C1846" s="11">
        <v>0.072</v>
      </c>
      <c r="D1846" s="11">
        <v>67.0</v>
      </c>
      <c r="E1846" s="11">
        <v>65.0</v>
      </c>
      <c r="F1846" s="11">
        <v>0.349</v>
      </c>
      <c r="G1846" s="11">
        <v>0.608</v>
      </c>
      <c r="H1846" s="11">
        <v>0.043</v>
      </c>
      <c r="I1846" s="11">
        <v>1.76166353E8</v>
      </c>
      <c r="J1846" s="11">
        <v>0.37</v>
      </c>
      <c r="K1846" s="12" t="s">
        <v>220</v>
      </c>
      <c r="L1846" s="5" t="s">
        <v>61</v>
      </c>
      <c r="M1846" s="9" t="s">
        <v>72</v>
      </c>
    </row>
    <row r="1847">
      <c r="A1847" s="11">
        <v>1846.0</v>
      </c>
      <c r="B1847" s="11">
        <v>0.026</v>
      </c>
      <c r="C1847" s="11">
        <v>0.071</v>
      </c>
      <c r="D1847" s="11">
        <v>67.0</v>
      </c>
      <c r="E1847" s="11">
        <v>66.0</v>
      </c>
      <c r="F1847" s="11">
        <v>0.343</v>
      </c>
      <c r="G1847" s="11">
        <v>0.613</v>
      </c>
      <c r="H1847" s="11">
        <v>0.044</v>
      </c>
      <c r="I1847" s="11">
        <v>1.79160111E8</v>
      </c>
      <c r="J1847" s="11">
        <v>0.374</v>
      </c>
      <c r="K1847" s="12" t="s">
        <v>220</v>
      </c>
      <c r="L1847" s="5" t="s">
        <v>61</v>
      </c>
      <c r="M1847" s="9" t="s">
        <v>73</v>
      </c>
    </row>
    <row r="1848">
      <c r="A1848" s="11">
        <v>1847.0</v>
      </c>
      <c r="B1848" s="11">
        <v>0.024</v>
      </c>
      <c r="C1848" s="11">
        <v>0.022</v>
      </c>
      <c r="D1848" s="11">
        <v>78.0</v>
      </c>
      <c r="E1848" s="11">
        <v>73.0</v>
      </c>
      <c r="F1848" s="11">
        <v>0.321</v>
      </c>
      <c r="G1848" s="11">
        <v>0.623</v>
      </c>
      <c r="H1848" s="11">
        <v>0.055</v>
      </c>
      <c r="I1848" s="11">
        <v>3054812.0</v>
      </c>
      <c r="J1848" s="11">
        <v>0.622</v>
      </c>
      <c r="K1848" s="12" t="s">
        <v>221</v>
      </c>
      <c r="L1848" s="5" t="s">
        <v>84</v>
      </c>
      <c r="M1848" s="9" t="s">
        <v>60</v>
      </c>
    </row>
    <row r="1849">
      <c r="A1849" s="11">
        <v>1848.0</v>
      </c>
      <c r="B1849" s="11">
        <v>0.024</v>
      </c>
      <c r="C1849" s="11">
        <v>0.021</v>
      </c>
      <c r="D1849" s="11">
        <v>78.0</v>
      </c>
      <c r="E1849" s="11">
        <v>73.0</v>
      </c>
      <c r="F1849" s="11">
        <v>0.318</v>
      </c>
      <c r="G1849" s="11">
        <v>0.625</v>
      </c>
      <c r="H1849" s="11">
        <v>0.056</v>
      </c>
      <c r="I1849" s="11">
        <v>3116409.0</v>
      </c>
      <c r="J1849" s="11">
        <v>0.625</v>
      </c>
      <c r="K1849" s="12" t="s">
        <v>221</v>
      </c>
      <c r="L1849" s="5" t="s">
        <v>84</v>
      </c>
      <c r="M1849" s="9" t="s">
        <v>62</v>
      </c>
    </row>
    <row r="1850">
      <c r="A1850" s="11">
        <v>1849.0</v>
      </c>
      <c r="B1850" s="11">
        <v>0.023</v>
      </c>
      <c r="C1850" s="11">
        <v>0.021</v>
      </c>
      <c r="D1850" s="11">
        <v>78.0</v>
      </c>
      <c r="E1850" s="11">
        <v>73.0</v>
      </c>
      <c r="F1850" s="11">
        <v>0.316</v>
      </c>
      <c r="G1850" s="11">
        <v>0.627</v>
      </c>
      <c r="H1850" s="11">
        <v>0.057</v>
      </c>
      <c r="I1850" s="11">
        <v>3178450.0</v>
      </c>
      <c r="J1850" s="11">
        <v>0.628</v>
      </c>
      <c r="K1850" s="12" t="s">
        <v>221</v>
      </c>
      <c r="L1850" s="5" t="s">
        <v>84</v>
      </c>
      <c r="M1850" s="9" t="s">
        <v>63</v>
      </c>
    </row>
    <row r="1851">
      <c r="A1851" s="11">
        <v>1850.0</v>
      </c>
      <c r="B1851" s="11">
        <v>0.023</v>
      </c>
      <c r="C1851" s="11">
        <v>0.02</v>
      </c>
      <c r="D1851" s="11">
        <v>78.0</v>
      </c>
      <c r="E1851" s="11">
        <v>73.0</v>
      </c>
      <c r="F1851" s="11">
        <v>0.313</v>
      </c>
      <c r="G1851" s="11">
        <v>0.629</v>
      </c>
      <c r="H1851" s="11">
        <v>0.058</v>
      </c>
      <c r="I1851" s="11">
        <v>3240805.0</v>
      </c>
      <c r="J1851" s="11">
        <v>0.631</v>
      </c>
      <c r="K1851" s="12" t="s">
        <v>221</v>
      </c>
      <c r="L1851" s="5" t="s">
        <v>84</v>
      </c>
      <c r="M1851" s="9" t="s">
        <v>64</v>
      </c>
    </row>
    <row r="1852">
      <c r="A1852" s="11">
        <v>1851.0</v>
      </c>
      <c r="B1852" s="11">
        <v>0.023</v>
      </c>
      <c r="C1852" s="11">
        <v>0.02</v>
      </c>
      <c r="D1852" s="11">
        <v>79.0</v>
      </c>
      <c r="E1852" s="11">
        <v>73.0</v>
      </c>
      <c r="F1852" s="11">
        <v>0.31</v>
      </c>
      <c r="G1852" s="11">
        <v>0.63</v>
      </c>
      <c r="H1852" s="11">
        <v>0.06</v>
      </c>
      <c r="I1852" s="11">
        <v>3303335.0</v>
      </c>
      <c r="J1852" s="11">
        <v>0.634</v>
      </c>
      <c r="K1852" s="12" t="s">
        <v>221</v>
      </c>
      <c r="L1852" s="5" t="s">
        <v>84</v>
      </c>
      <c r="M1852" s="9" t="s">
        <v>65</v>
      </c>
    </row>
    <row r="1853">
      <c r="A1853" s="11">
        <v>1852.0</v>
      </c>
      <c r="B1853" s="11">
        <v>0.022</v>
      </c>
      <c r="C1853" s="11">
        <v>0.019</v>
      </c>
      <c r="D1853" s="11">
        <v>79.0</v>
      </c>
      <c r="E1853" s="11">
        <v>73.0</v>
      </c>
      <c r="F1853" s="11">
        <v>0.307</v>
      </c>
      <c r="G1853" s="11">
        <v>0.632</v>
      </c>
      <c r="H1853" s="11">
        <v>0.061</v>
      </c>
      <c r="I1853" s="11">
        <v>3365929.0</v>
      </c>
      <c r="J1853" s="11">
        <v>0.637</v>
      </c>
      <c r="K1853" s="12" t="s">
        <v>221</v>
      </c>
      <c r="L1853" s="5" t="s">
        <v>84</v>
      </c>
      <c r="M1853" s="9" t="s">
        <v>66</v>
      </c>
    </row>
    <row r="1854">
      <c r="A1854" s="11">
        <v>1853.0</v>
      </c>
      <c r="B1854" s="11">
        <v>0.022</v>
      </c>
      <c r="C1854" s="11">
        <v>0.019</v>
      </c>
      <c r="D1854" s="11">
        <v>79.0</v>
      </c>
      <c r="E1854" s="11">
        <v>73.0</v>
      </c>
      <c r="F1854" s="11">
        <v>0.305</v>
      </c>
      <c r="G1854" s="11">
        <v>0.633</v>
      </c>
      <c r="H1854" s="11">
        <v>0.062</v>
      </c>
      <c r="I1854" s="11">
        <v>3428509.0</v>
      </c>
      <c r="J1854" s="11">
        <v>0.64</v>
      </c>
      <c r="K1854" s="12" t="s">
        <v>221</v>
      </c>
      <c r="L1854" s="5" t="s">
        <v>84</v>
      </c>
      <c r="M1854" s="9" t="s">
        <v>67</v>
      </c>
    </row>
    <row r="1855">
      <c r="A1855" s="11">
        <v>1854.0</v>
      </c>
      <c r="B1855" s="11">
        <v>0.021</v>
      </c>
      <c r="C1855" s="11">
        <v>0.018</v>
      </c>
      <c r="D1855" s="11">
        <v>79.0</v>
      </c>
      <c r="E1855" s="11">
        <v>74.0</v>
      </c>
      <c r="F1855" s="11">
        <v>0.302</v>
      </c>
      <c r="G1855" s="11">
        <v>0.635</v>
      </c>
      <c r="H1855" s="11">
        <v>0.063</v>
      </c>
      <c r="I1855" s="11">
        <v>3491034.0</v>
      </c>
      <c r="J1855" s="11">
        <v>0.643</v>
      </c>
      <c r="K1855" s="12" t="s">
        <v>221</v>
      </c>
      <c r="L1855" s="5" t="s">
        <v>84</v>
      </c>
      <c r="M1855" s="9" t="s">
        <v>68</v>
      </c>
    </row>
    <row r="1856">
      <c r="A1856" s="11">
        <v>1855.0</v>
      </c>
      <c r="B1856" s="11">
        <v>0.021</v>
      </c>
      <c r="C1856" s="11">
        <v>0.018</v>
      </c>
      <c r="D1856" s="11">
        <v>80.0</v>
      </c>
      <c r="E1856" s="11">
        <v>74.0</v>
      </c>
      <c r="F1856" s="11">
        <v>0.299</v>
      </c>
      <c r="G1856" s="11">
        <v>0.636</v>
      </c>
      <c r="H1856" s="11">
        <v>0.065</v>
      </c>
      <c r="I1856" s="11">
        <v>3553480.0</v>
      </c>
      <c r="J1856" s="11">
        <v>0.645</v>
      </c>
      <c r="K1856" s="12" t="s">
        <v>221</v>
      </c>
      <c r="L1856" s="5" t="s">
        <v>84</v>
      </c>
      <c r="M1856" s="9" t="s">
        <v>69</v>
      </c>
    </row>
    <row r="1857">
      <c r="A1857" s="11">
        <v>1856.0</v>
      </c>
      <c r="B1857" s="11">
        <v>0.021</v>
      </c>
      <c r="C1857" s="11">
        <v>0.017</v>
      </c>
      <c r="D1857" s="11">
        <v>80.0</v>
      </c>
      <c r="E1857" s="11">
        <v>74.0</v>
      </c>
      <c r="F1857" s="11">
        <v>0.296</v>
      </c>
      <c r="G1857" s="11">
        <v>0.638</v>
      </c>
      <c r="H1857" s="11">
        <v>0.066</v>
      </c>
      <c r="I1857" s="11">
        <v>3615846.0</v>
      </c>
      <c r="J1857" s="11">
        <v>0.648</v>
      </c>
      <c r="K1857" s="12" t="s">
        <v>221</v>
      </c>
      <c r="L1857" s="5" t="s">
        <v>84</v>
      </c>
      <c r="M1857" s="9" t="s">
        <v>70</v>
      </c>
    </row>
    <row r="1858">
      <c r="A1858" s="11">
        <v>1857.0</v>
      </c>
      <c r="B1858" s="11">
        <v>0.02</v>
      </c>
      <c r="C1858" s="11">
        <v>0.017</v>
      </c>
      <c r="D1858" s="11">
        <v>80.0</v>
      </c>
      <c r="E1858" s="11">
        <v>74.0</v>
      </c>
      <c r="F1858" s="11">
        <v>0.293</v>
      </c>
      <c r="G1858" s="11">
        <v>0.639</v>
      </c>
      <c r="H1858" s="11">
        <v>0.068</v>
      </c>
      <c r="I1858" s="11">
        <v>3678128.0</v>
      </c>
      <c r="J1858" s="11">
        <v>0.651</v>
      </c>
      <c r="K1858" s="12" t="s">
        <v>221</v>
      </c>
      <c r="L1858" s="5" t="s">
        <v>84</v>
      </c>
      <c r="M1858" s="9" t="s">
        <v>71</v>
      </c>
    </row>
    <row r="1859">
      <c r="A1859" s="11">
        <v>1858.0</v>
      </c>
      <c r="B1859" s="11">
        <v>0.02</v>
      </c>
      <c r="C1859" s="11">
        <v>0.016</v>
      </c>
      <c r="D1859" s="11">
        <v>80.0</v>
      </c>
      <c r="E1859" s="11">
        <v>74.0</v>
      </c>
      <c r="F1859" s="11">
        <v>0.29</v>
      </c>
      <c r="G1859" s="11">
        <v>0.641</v>
      </c>
      <c r="H1859" s="11">
        <v>0.069</v>
      </c>
      <c r="I1859" s="11">
        <v>3740282.0</v>
      </c>
      <c r="J1859" s="11">
        <v>0.654</v>
      </c>
      <c r="K1859" s="12" t="s">
        <v>221</v>
      </c>
      <c r="L1859" s="5" t="s">
        <v>84</v>
      </c>
      <c r="M1859" s="9" t="s">
        <v>72</v>
      </c>
    </row>
    <row r="1860">
      <c r="A1860" s="11">
        <v>1859.0</v>
      </c>
      <c r="B1860" s="11">
        <v>0.02</v>
      </c>
      <c r="C1860" s="11">
        <v>0.016</v>
      </c>
      <c r="D1860" s="11">
        <v>80.0</v>
      </c>
      <c r="E1860" s="11">
        <v>75.0</v>
      </c>
      <c r="F1860" s="11">
        <v>0.286</v>
      </c>
      <c r="G1860" s="11">
        <v>0.643</v>
      </c>
      <c r="H1860" s="11">
        <v>0.071</v>
      </c>
      <c r="I1860" s="11">
        <v>3802281.0</v>
      </c>
      <c r="J1860" s="11">
        <v>0.657</v>
      </c>
      <c r="K1860" s="12" t="s">
        <v>221</v>
      </c>
      <c r="L1860" s="5" t="s">
        <v>84</v>
      </c>
      <c r="M1860" s="9" t="s">
        <v>73</v>
      </c>
    </row>
    <row r="1861">
      <c r="A1861" s="11">
        <v>1860.0</v>
      </c>
      <c r="B1861" s="11">
        <v>0.035</v>
      </c>
      <c r="C1861" s="11">
        <v>0.058</v>
      </c>
      <c r="D1861" s="11">
        <v>61.0</v>
      </c>
      <c r="E1861" s="11">
        <v>57.0</v>
      </c>
      <c r="F1861" s="11">
        <v>0.402</v>
      </c>
      <c r="G1861" s="11">
        <v>0.573</v>
      </c>
      <c r="H1861" s="11">
        <v>0.025</v>
      </c>
      <c r="I1861" s="11">
        <v>5379226.0</v>
      </c>
      <c r="J1861" s="11">
        <v>0.132</v>
      </c>
      <c r="K1861" s="12" t="s">
        <v>222</v>
      </c>
      <c r="L1861" s="5" t="s">
        <v>80</v>
      </c>
      <c r="M1861" s="9" t="s">
        <v>60</v>
      </c>
    </row>
    <row r="1862">
      <c r="A1862" s="11">
        <v>1861.0</v>
      </c>
      <c r="B1862" s="11">
        <v>0.035</v>
      </c>
      <c r="C1862" s="11">
        <v>0.058</v>
      </c>
      <c r="D1862" s="11">
        <v>61.0</v>
      </c>
      <c r="E1862" s="11">
        <v>57.0</v>
      </c>
      <c r="F1862" s="11">
        <v>0.402</v>
      </c>
      <c r="G1862" s="11">
        <v>0.573</v>
      </c>
      <c r="H1862" s="11">
        <v>0.025</v>
      </c>
      <c r="I1862" s="11">
        <v>5518971.0</v>
      </c>
      <c r="J1862" s="11">
        <v>0.132</v>
      </c>
      <c r="K1862" s="12" t="s">
        <v>222</v>
      </c>
      <c r="L1862" s="5" t="s">
        <v>80</v>
      </c>
      <c r="M1862" s="9" t="s">
        <v>62</v>
      </c>
    </row>
    <row r="1863">
      <c r="A1863" s="11">
        <v>1862.0</v>
      </c>
      <c r="B1863" s="11">
        <v>0.034</v>
      </c>
      <c r="C1863" s="11">
        <v>0.057</v>
      </c>
      <c r="D1863" s="11">
        <v>62.0</v>
      </c>
      <c r="E1863" s="11">
        <v>57.0</v>
      </c>
      <c r="F1863" s="11">
        <v>0.402</v>
      </c>
      <c r="G1863" s="11">
        <v>0.573</v>
      </c>
      <c r="H1863" s="11">
        <v>0.025</v>
      </c>
      <c r="I1863" s="11">
        <v>5660267.0</v>
      </c>
      <c r="J1863" s="11">
        <v>0.132</v>
      </c>
      <c r="K1863" s="12" t="s">
        <v>222</v>
      </c>
      <c r="L1863" s="5" t="s">
        <v>80</v>
      </c>
      <c r="M1863" s="9" t="s">
        <v>63</v>
      </c>
    </row>
    <row r="1864">
      <c r="A1864" s="11">
        <v>1863.0</v>
      </c>
      <c r="B1864" s="11">
        <v>0.034</v>
      </c>
      <c r="C1864" s="11">
        <v>0.057</v>
      </c>
      <c r="D1864" s="11">
        <v>62.0</v>
      </c>
      <c r="E1864" s="11">
        <v>58.0</v>
      </c>
      <c r="F1864" s="11">
        <v>0.401</v>
      </c>
      <c r="G1864" s="11">
        <v>0.573</v>
      </c>
      <c r="H1864" s="11">
        <v>0.026</v>
      </c>
      <c r="I1864" s="11">
        <v>5803302.0</v>
      </c>
      <c r="J1864" s="11">
        <v>0.131</v>
      </c>
      <c r="K1864" s="12" t="s">
        <v>222</v>
      </c>
      <c r="L1864" s="5" t="s">
        <v>80</v>
      </c>
      <c r="M1864" s="9" t="s">
        <v>64</v>
      </c>
    </row>
    <row r="1865">
      <c r="A1865" s="11">
        <v>1864.0</v>
      </c>
      <c r="B1865" s="11">
        <v>0.033</v>
      </c>
      <c r="C1865" s="11">
        <v>0.056</v>
      </c>
      <c r="D1865" s="11">
        <v>62.0</v>
      </c>
      <c r="E1865" s="11">
        <v>58.0</v>
      </c>
      <c r="F1865" s="11">
        <v>0.401</v>
      </c>
      <c r="G1865" s="11">
        <v>0.574</v>
      </c>
      <c r="H1865" s="11">
        <v>0.026</v>
      </c>
      <c r="I1865" s="11">
        <v>5948461.0</v>
      </c>
      <c r="J1865" s="11">
        <v>0.131</v>
      </c>
      <c r="K1865" s="12" t="s">
        <v>222</v>
      </c>
      <c r="L1865" s="5" t="s">
        <v>80</v>
      </c>
      <c r="M1865" s="9" t="s">
        <v>65</v>
      </c>
    </row>
    <row r="1866">
      <c r="A1866" s="11">
        <v>1865.0</v>
      </c>
      <c r="B1866" s="11">
        <v>0.033</v>
      </c>
      <c r="C1866" s="11">
        <v>0.056</v>
      </c>
      <c r="D1866" s="11">
        <v>63.0</v>
      </c>
      <c r="E1866" s="11">
        <v>59.0</v>
      </c>
      <c r="F1866" s="11">
        <v>0.4</v>
      </c>
      <c r="G1866" s="11">
        <v>0.574</v>
      </c>
      <c r="H1866" s="11">
        <v>0.026</v>
      </c>
      <c r="I1866" s="11">
        <v>6095959.0</v>
      </c>
      <c r="J1866" s="11">
        <v>0.131</v>
      </c>
      <c r="K1866" s="12" t="s">
        <v>222</v>
      </c>
      <c r="L1866" s="5" t="s">
        <v>80</v>
      </c>
      <c r="M1866" s="9" t="s">
        <v>66</v>
      </c>
    </row>
    <row r="1867">
      <c r="A1867" s="11">
        <v>1866.0</v>
      </c>
      <c r="B1867" s="11">
        <v>0.032</v>
      </c>
      <c r="C1867" s="11">
        <v>0.055</v>
      </c>
      <c r="D1867" s="11">
        <v>63.0</v>
      </c>
      <c r="E1867" s="11">
        <v>59.0</v>
      </c>
      <c r="F1867" s="11">
        <v>0.399</v>
      </c>
      <c r="G1867" s="11">
        <v>0.575</v>
      </c>
      <c r="H1867" s="11">
        <v>0.026</v>
      </c>
      <c r="I1867" s="11">
        <v>6245797.0</v>
      </c>
      <c r="J1867" s="11">
        <v>0.131</v>
      </c>
      <c r="K1867" s="12" t="s">
        <v>222</v>
      </c>
      <c r="L1867" s="5" t="s">
        <v>80</v>
      </c>
      <c r="M1867" s="9" t="s">
        <v>67</v>
      </c>
    </row>
    <row r="1868">
      <c r="A1868" s="11">
        <v>1867.0</v>
      </c>
      <c r="B1868" s="11">
        <v>0.032</v>
      </c>
      <c r="C1868" s="11">
        <v>0.054</v>
      </c>
      <c r="D1868" s="11">
        <v>63.0</v>
      </c>
      <c r="E1868" s="11">
        <v>59.0</v>
      </c>
      <c r="F1868" s="11">
        <v>0.397</v>
      </c>
      <c r="G1868" s="11">
        <v>0.576</v>
      </c>
      <c r="H1868" s="11">
        <v>0.027</v>
      </c>
      <c r="I1868" s="11">
        <v>6397623.0</v>
      </c>
      <c r="J1868" s="11">
        <v>0.131</v>
      </c>
      <c r="K1868" s="12" t="s">
        <v>222</v>
      </c>
      <c r="L1868" s="5" t="s">
        <v>80</v>
      </c>
      <c r="M1868" s="9" t="s">
        <v>68</v>
      </c>
    </row>
    <row r="1869">
      <c r="A1869" s="11">
        <v>1868.0</v>
      </c>
      <c r="B1869" s="11">
        <v>0.031</v>
      </c>
      <c r="C1869" s="11">
        <v>0.053</v>
      </c>
      <c r="D1869" s="11">
        <v>64.0</v>
      </c>
      <c r="E1869" s="11">
        <v>60.0</v>
      </c>
      <c r="F1869" s="11">
        <v>0.395</v>
      </c>
      <c r="G1869" s="11">
        <v>0.578</v>
      </c>
      <c r="H1869" s="11">
        <v>0.027</v>
      </c>
      <c r="I1869" s="11">
        <v>6550877.0</v>
      </c>
      <c r="J1869" s="11">
        <v>0.131</v>
      </c>
      <c r="K1869" s="12" t="s">
        <v>222</v>
      </c>
      <c r="L1869" s="5" t="s">
        <v>80</v>
      </c>
      <c r="M1869" s="9" t="s">
        <v>69</v>
      </c>
    </row>
    <row r="1870">
      <c r="A1870" s="11">
        <v>1869.0</v>
      </c>
      <c r="B1870" s="11">
        <v>0.031</v>
      </c>
      <c r="C1870" s="11">
        <v>0.052</v>
      </c>
      <c r="D1870" s="11">
        <v>64.0</v>
      </c>
      <c r="E1870" s="11">
        <v>60.0</v>
      </c>
      <c r="F1870" s="11">
        <v>0.393</v>
      </c>
      <c r="G1870" s="11">
        <v>0.579</v>
      </c>
      <c r="H1870" s="11">
        <v>0.027</v>
      </c>
      <c r="I1870" s="11">
        <v>6704829.0</v>
      </c>
      <c r="J1870" s="11">
        <v>0.13</v>
      </c>
      <c r="K1870" s="12" t="s">
        <v>222</v>
      </c>
      <c r="L1870" s="5" t="s">
        <v>80</v>
      </c>
      <c r="M1870" s="9" t="s">
        <v>70</v>
      </c>
    </row>
    <row r="1871">
      <c r="A1871" s="11">
        <v>1870.0</v>
      </c>
      <c r="B1871" s="11">
        <v>0.03</v>
      </c>
      <c r="C1871" s="11">
        <v>0.051</v>
      </c>
      <c r="D1871" s="11">
        <v>64.0</v>
      </c>
      <c r="E1871" s="11">
        <v>60.0</v>
      </c>
      <c r="F1871" s="11">
        <v>0.391</v>
      </c>
      <c r="G1871" s="11">
        <v>0.582</v>
      </c>
      <c r="H1871" s="11">
        <v>0.028</v>
      </c>
      <c r="I1871" s="11">
        <v>6858945.0</v>
      </c>
      <c r="J1871" s="11">
        <v>0.13</v>
      </c>
      <c r="K1871" s="12" t="s">
        <v>222</v>
      </c>
      <c r="L1871" s="5" t="s">
        <v>80</v>
      </c>
      <c r="M1871" s="9" t="s">
        <v>71</v>
      </c>
    </row>
    <row r="1872">
      <c r="A1872" s="11">
        <v>1871.0</v>
      </c>
      <c r="B1872" s="11">
        <v>0.03</v>
      </c>
      <c r="C1872" s="11">
        <v>0.05</v>
      </c>
      <c r="D1872" s="11">
        <v>64.0</v>
      </c>
      <c r="E1872" s="11">
        <v>60.0</v>
      </c>
      <c r="F1872" s="11">
        <v>0.387</v>
      </c>
      <c r="G1872" s="11">
        <v>0.584</v>
      </c>
      <c r="H1872" s="11">
        <v>0.028</v>
      </c>
      <c r="I1872" s="11">
        <v>7012977.0</v>
      </c>
      <c r="J1872" s="11">
        <v>0.13</v>
      </c>
      <c r="K1872" s="12" t="s">
        <v>222</v>
      </c>
      <c r="L1872" s="5" t="s">
        <v>80</v>
      </c>
      <c r="M1872" s="9" t="s">
        <v>72</v>
      </c>
    </row>
    <row r="1873">
      <c r="A1873" s="11">
        <v>1872.0</v>
      </c>
      <c r="B1873" s="11">
        <v>0.029</v>
      </c>
      <c r="C1873" s="11">
        <v>0.048</v>
      </c>
      <c r="D1873" s="11">
        <v>64.0</v>
      </c>
      <c r="E1873" s="11">
        <v>60.0</v>
      </c>
      <c r="F1873" s="11">
        <v>0.384</v>
      </c>
      <c r="G1873" s="11">
        <v>0.588</v>
      </c>
      <c r="H1873" s="11">
        <v>0.029</v>
      </c>
      <c r="I1873" s="11">
        <v>7167010.0</v>
      </c>
      <c r="J1873" s="11">
        <v>0.13</v>
      </c>
      <c r="K1873" s="12" t="s">
        <v>222</v>
      </c>
      <c r="L1873" s="5" t="s">
        <v>80</v>
      </c>
      <c r="M1873" s="9" t="s">
        <v>73</v>
      </c>
    </row>
    <row r="1874">
      <c r="A1874" s="11">
        <v>1873.0</v>
      </c>
      <c r="B1874" s="11">
        <v>0.028</v>
      </c>
      <c r="C1874" s="11">
        <v>0.028</v>
      </c>
      <c r="D1874" s="11">
        <v>72.0</v>
      </c>
      <c r="E1874" s="11">
        <v>68.0</v>
      </c>
      <c r="F1874" s="11">
        <v>0.382</v>
      </c>
      <c r="G1874" s="11">
        <v>0.574</v>
      </c>
      <c r="H1874" s="11">
        <v>0.044</v>
      </c>
      <c r="I1874" s="11">
        <v>5350253.0</v>
      </c>
      <c r="J1874" s="11">
        <v>0.553</v>
      </c>
      <c r="K1874" s="12" t="s">
        <v>223</v>
      </c>
      <c r="L1874" s="5" t="s">
        <v>84</v>
      </c>
      <c r="M1874" s="9" t="s">
        <v>60</v>
      </c>
    </row>
    <row r="1875">
      <c r="A1875" s="11">
        <v>1874.0</v>
      </c>
      <c r="B1875" s="11">
        <v>0.028</v>
      </c>
      <c r="C1875" s="11">
        <v>0.027</v>
      </c>
      <c r="D1875" s="11">
        <v>73.0</v>
      </c>
      <c r="E1875" s="11">
        <v>68.0</v>
      </c>
      <c r="F1875" s="11">
        <v>0.377</v>
      </c>
      <c r="G1875" s="11">
        <v>0.578</v>
      </c>
      <c r="H1875" s="11">
        <v>0.045</v>
      </c>
      <c r="I1875" s="11">
        <v>5460621.0</v>
      </c>
      <c r="J1875" s="11">
        <v>0.56</v>
      </c>
      <c r="K1875" s="12" t="s">
        <v>223</v>
      </c>
      <c r="L1875" s="5" t="s">
        <v>84</v>
      </c>
      <c r="M1875" s="9" t="s">
        <v>62</v>
      </c>
    </row>
    <row r="1876">
      <c r="A1876" s="11">
        <v>1875.0</v>
      </c>
      <c r="B1876" s="11">
        <v>0.027</v>
      </c>
      <c r="C1876" s="11">
        <v>0.026</v>
      </c>
      <c r="D1876" s="11">
        <v>73.0</v>
      </c>
      <c r="E1876" s="11">
        <v>69.0</v>
      </c>
      <c r="F1876" s="11">
        <v>0.372</v>
      </c>
      <c r="G1876" s="11">
        <v>0.582</v>
      </c>
      <c r="H1876" s="11">
        <v>0.045</v>
      </c>
      <c r="I1876" s="11">
        <v>5571371.0</v>
      </c>
      <c r="J1876" s="11">
        <v>0.566</v>
      </c>
      <c r="K1876" s="12" t="s">
        <v>223</v>
      </c>
      <c r="L1876" s="5" t="s">
        <v>84</v>
      </c>
      <c r="M1876" s="9" t="s">
        <v>63</v>
      </c>
    </row>
    <row r="1877">
      <c r="A1877" s="11">
        <v>1876.0</v>
      </c>
      <c r="B1877" s="11">
        <v>0.027</v>
      </c>
      <c r="C1877" s="11">
        <v>0.025</v>
      </c>
      <c r="D1877" s="11">
        <v>73.0</v>
      </c>
      <c r="E1877" s="11">
        <v>69.0</v>
      </c>
      <c r="F1877" s="11">
        <v>0.368</v>
      </c>
      <c r="G1877" s="11">
        <v>0.586</v>
      </c>
      <c r="H1877" s="11">
        <v>0.046</v>
      </c>
      <c r="I1877" s="11">
        <v>5682350.0</v>
      </c>
      <c r="J1877" s="11">
        <v>0.569</v>
      </c>
      <c r="K1877" s="12" t="s">
        <v>223</v>
      </c>
      <c r="L1877" s="5" t="s">
        <v>84</v>
      </c>
      <c r="M1877" s="9" t="s">
        <v>64</v>
      </c>
    </row>
    <row r="1878">
      <c r="A1878" s="11">
        <v>1877.0</v>
      </c>
      <c r="B1878" s="11">
        <v>0.026</v>
      </c>
      <c r="C1878" s="11">
        <v>0.025</v>
      </c>
      <c r="D1878" s="11">
        <v>73.0</v>
      </c>
      <c r="E1878" s="11">
        <v>69.0</v>
      </c>
      <c r="F1878" s="11">
        <v>0.363</v>
      </c>
      <c r="G1878" s="11">
        <v>0.59</v>
      </c>
      <c r="H1878" s="11">
        <v>0.047</v>
      </c>
      <c r="I1878" s="11">
        <v>5793330.0</v>
      </c>
      <c r="J1878" s="11">
        <v>0.571</v>
      </c>
      <c r="K1878" s="12" t="s">
        <v>223</v>
      </c>
      <c r="L1878" s="5" t="s">
        <v>84</v>
      </c>
      <c r="M1878" s="9" t="s">
        <v>65</v>
      </c>
    </row>
    <row r="1879">
      <c r="A1879" s="11">
        <v>1878.0</v>
      </c>
      <c r="B1879" s="11">
        <v>0.026</v>
      </c>
      <c r="C1879" s="11">
        <v>0.024</v>
      </c>
      <c r="D1879" s="11">
        <v>73.0</v>
      </c>
      <c r="E1879" s="11">
        <v>69.0</v>
      </c>
      <c r="F1879" s="11">
        <v>0.358</v>
      </c>
      <c r="G1879" s="11">
        <v>0.594</v>
      </c>
      <c r="H1879" s="11">
        <v>0.048</v>
      </c>
      <c r="I1879" s="11">
        <v>5904170.0</v>
      </c>
      <c r="J1879" s="11">
        <v>0.574</v>
      </c>
      <c r="K1879" s="12" t="s">
        <v>223</v>
      </c>
      <c r="L1879" s="5" t="s">
        <v>84</v>
      </c>
      <c r="M1879" s="9" t="s">
        <v>66</v>
      </c>
    </row>
    <row r="1880">
      <c r="A1880" s="11">
        <v>1879.0</v>
      </c>
      <c r="B1880" s="11">
        <v>0.025</v>
      </c>
      <c r="C1880" s="11">
        <v>0.023</v>
      </c>
      <c r="D1880" s="11">
        <v>74.0</v>
      </c>
      <c r="E1880" s="11">
        <v>69.0</v>
      </c>
      <c r="F1880" s="11">
        <v>0.353</v>
      </c>
      <c r="G1880" s="11">
        <v>0.598</v>
      </c>
      <c r="H1880" s="11">
        <v>0.048</v>
      </c>
      <c r="I1880" s="11">
        <v>6014781.0</v>
      </c>
      <c r="J1880" s="11">
        <v>0.576</v>
      </c>
      <c r="K1880" s="12" t="s">
        <v>223</v>
      </c>
      <c r="L1880" s="5" t="s">
        <v>84</v>
      </c>
      <c r="M1880" s="9" t="s">
        <v>67</v>
      </c>
    </row>
    <row r="1881">
      <c r="A1881" s="11">
        <v>1880.0</v>
      </c>
      <c r="B1881" s="11">
        <v>0.025</v>
      </c>
      <c r="C1881" s="11">
        <v>0.023</v>
      </c>
      <c r="D1881" s="11">
        <v>74.0</v>
      </c>
      <c r="E1881" s="11">
        <v>70.0</v>
      </c>
      <c r="F1881" s="11">
        <v>0.349</v>
      </c>
      <c r="G1881" s="11">
        <v>0.602</v>
      </c>
      <c r="H1881" s="11">
        <v>0.049</v>
      </c>
      <c r="I1881" s="11">
        <v>6125285.0</v>
      </c>
      <c r="J1881" s="11">
        <v>0.578</v>
      </c>
      <c r="K1881" s="12" t="s">
        <v>223</v>
      </c>
      <c r="L1881" s="5" t="s">
        <v>84</v>
      </c>
      <c r="M1881" s="9" t="s">
        <v>68</v>
      </c>
    </row>
    <row r="1882">
      <c r="A1882" s="11">
        <v>1881.0</v>
      </c>
      <c r="B1882" s="11">
        <v>0.025</v>
      </c>
      <c r="C1882" s="11">
        <v>0.022</v>
      </c>
      <c r="D1882" s="11">
        <v>74.0</v>
      </c>
      <c r="E1882" s="11">
        <v>70.0</v>
      </c>
      <c r="F1882" s="11">
        <v>0.344</v>
      </c>
      <c r="G1882" s="11">
        <v>0.606</v>
      </c>
      <c r="H1882" s="11">
        <v>0.05</v>
      </c>
      <c r="I1882" s="11">
        <v>6236005.0</v>
      </c>
      <c r="J1882" s="11">
        <v>0.58</v>
      </c>
      <c r="K1882" s="12" t="s">
        <v>223</v>
      </c>
      <c r="L1882" s="5" t="s">
        <v>84</v>
      </c>
      <c r="M1882" s="9" t="s">
        <v>69</v>
      </c>
    </row>
    <row r="1883">
      <c r="A1883" s="11">
        <v>1882.0</v>
      </c>
      <c r="B1883" s="11">
        <v>0.025</v>
      </c>
      <c r="C1883" s="11">
        <v>0.021</v>
      </c>
      <c r="D1883" s="11">
        <v>74.0</v>
      </c>
      <c r="E1883" s="11">
        <v>70.0</v>
      </c>
      <c r="F1883" s="11">
        <v>0.34</v>
      </c>
      <c r="G1883" s="11">
        <v>0.61</v>
      </c>
      <c r="H1883" s="11">
        <v>0.051</v>
      </c>
      <c r="I1883" s="11">
        <v>6347383.0</v>
      </c>
      <c r="J1883" s="11">
        <v>0.583</v>
      </c>
      <c r="K1883" s="12" t="s">
        <v>223</v>
      </c>
      <c r="L1883" s="5" t="s">
        <v>84</v>
      </c>
      <c r="M1883" s="9" t="s">
        <v>70</v>
      </c>
    </row>
    <row r="1884">
      <c r="A1884" s="11">
        <v>1883.0</v>
      </c>
      <c r="B1884" s="11">
        <v>0.024</v>
      </c>
      <c r="C1884" s="11">
        <v>0.021</v>
      </c>
      <c r="D1884" s="11">
        <v>74.0</v>
      </c>
      <c r="E1884" s="11">
        <v>70.0</v>
      </c>
      <c r="F1884" s="11">
        <v>0.335</v>
      </c>
      <c r="G1884" s="11">
        <v>0.613</v>
      </c>
      <c r="H1884" s="11">
        <v>0.052</v>
      </c>
      <c r="I1884" s="11">
        <v>6459721.0</v>
      </c>
      <c r="J1884" s="11">
        <v>0.585</v>
      </c>
      <c r="K1884" s="12" t="s">
        <v>223</v>
      </c>
      <c r="L1884" s="5" t="s">
        <v>84</v>
      </c>
      <c r="M1884" s="9" t="s">
        <v>71</v>
      </c>
    </row>
    <row r="1885">
      <c r="A1885" s="11">
        <v>1884.0</v>
      </c>
      <c r="B1885" s="11">
        <v>0.024</v>
      </c>
      <c r="C1885" s="11">
        <v>0.02</v>
      </c>
      <c r="D1885" s="11">
        <v>74.0</v>
      </c>
      <c r="E1885" s="11">
        <v>70.0</v>
      </c>
      <c r="F1885" s="11">
        <v>0.331</v>
      </c>
      <c r="G1885" s="11">
        <v>0.616</v>
      </c>
      <c r="H1885" s="11">
        <v>0.053</v>
      </c>
      <c r="I1885" s="11">
        <v>6573097.0</v>
      </c>
      <c r="J1885" s="11">
        <v>0.587</v>
      </c>
      <c r="K1885" s="12" t="s">
        <v>223</v>
      </c>
      <c r="L1885" s="5" t="s">
        <v>84</v>
      </c>
      <c r="M1885" s="9" t="s">
        <v>72</v>
      </c>
    </row>
    <row r="1886">
      <c r="A1886" s="11">
        <v>1885.0</v>
      </c>
      <c r="B1886" s="11">
        <v>0.024</v>
      </c>
      <c r="C1886" s="11">
        <v>0.019</v>
      </c>
      <c r="D1886" s="11">
        <v>74.0</v>
      </c>
      <c r="E1886" s="11">
        <v>70.0</v>
      </c>
      <c r="F1886" s="11">
        <v>0.328</v>
      </c>
      <c r="G1886" s="11">
        <v>0.619</v>
      </c>
      <c r="H1886" s="11">
        <v>0.054</v>
      </c>
      <c r="I1886" s="11">
        <v>6687361.0</v>
      </c>
      <c r="J1886" s="11">
        <v>0.589</v>
      </c>
      <c r="K1886" s="12" t="s">
        <v>223</v>
      </c>
      <c r="L1886" s="5" t="s">
        <v>84</v>
      </c>
      <c r="M1886" s="9" t="s">
        <v>73</v>
      </c>
    </row>
    <row r="1887">
      <c r="A1887" s="11">
        <v>1886.0</v>
      </c>
      <c r="B1887" s="11">
        <v>0.024</v>
      </c>
      <c r="C1887" s="11">
        <v>0.03</v>
      </c>
      <c r="D1887" s="11">
        <v>73.0</v>
      </c>
      <c r="E1887" s="11">
        <v>68.0</v>
      </c>
      <c r="F1887" s="11">
        <v>0.341</v>
      </c>
      <c r="G1887" s="11">
        <v>0.611</v>
      </c>
      <c r="H1887" s="11">
        <v>0.048</v>
      </c>
      <c r="I1887" s="11">
        <v>2.600008E7</v>
      </c>
      <c r="J1887" s="11">
        <v>0.73</v>
      </c>
      <c r="K1887" s="12" t="s">
        <v>224</v>
      </c>
      <c r="L1887" s="5" t="s">
        <v>84</v>
      </c>
      <c r="M1887" s="9" t="s">
        <v>60</v>
      </c>
    </row>
    <row r="1888">
      <c r="A1888" s="11">
        <v>1887.0</v>
      </c>
      <c r="B1888" s="11">
        <v>0.024</v>
      </c>
      <c r="C1888" s="11">
        <v>0.028</v>
      </c>
      <c r="D1888" s="11">
        <v>74.0</v>
      </c>
      <c r="E1888" s="11">
        <v>68.0</v>
      </c>
      <c r="F1888" s="11">
        <v>0.337</v>
      </c>
      <c r="G1888" s="11">
        <v>0.614</v>
      </c>
      <c r="H1888" s="11">
        <v>0.049</v>
      </c>
      <c r="I1888" s="11">
        <v>2.6372358E7</v>
      </c>
      <c r="J1888" s="11">
        <v>0.734</v>
      </c>
      <c r="K1888" s="12" t="s">
        <v>224</v>
      </c>
      <c r="L1888" s="5" t="s">
        <v>84</v>
      </c>
      <c r="M1888" s="9" t="s">
        <v>62</v>
      </c>
    </row>
    <row r="1889">
      <c r="A1889" s="11">
        <v>1888.0</v>
      </c>
      <c r="B1889" s="11">
        <v>0.023</v>
      </c>
      <c r="C1889" s="11">
        <v>0.026</v>
      </c>
      <c r="D1889" s="11">
        <v>74.0</v>
      </c>
      <c r="E1889" s="11">
        <v>69.0</v>
      </c>
      <c r="F1889" s="11">
        <v>0.333</v>
      </c>
      <c r="G1889" s="11">
        <v>0.617</v>
      </c>
      <c r="H1889" s="11">
        <v>0.051</v>
      </c>
      <c r="I1889" s="11">
        <v>2.6729909E7</v>
      </c>
      <c r="J1889" s="11">
        <v>0.739</v>
      </c>
      <c r="K1889" s="12" t="s">
        <v>224</v>
      </c>
      <c r="L1889" s="5" t="s">
        <v>84</v>
      </c>
      <c r="M1889" s="9" t="s">
        <v>63</v>
      </c>
    </row>
    <row r="1890">
      <c r="A1890" s="11">
        <v>1889.0</v>
      </c>
      <c r="B1890" s="11">
        <v>0.023</v>
      </c>
      <c r="C1890" s="11">
        <v>0.025</v>
      </c>
      <c r="D1890" s="11">
        <v>74.0</v>
      </c>
      <c r="E1890" s="11">
        <v>69.0</v>
      </c>
      <c r="F1890" s="11">
        <v>0.328</v>
      </c>
      <c r="G1890" s="11">
        <v>0.62</v>
      </c>
      <c r="H1890" s="11">
        <v>0.052</v>
      </c>
      <c r="I1890" s="11">
        <v>2.7073334E7</v>
      </c>
      <c r="J1890" s="11">
        <v>0.742</v>
      </c>
      <c r="K1890" s="12" t="s">
        <v>224</v>
      </c>
      <c r="L1890" s="5" t="s">
        <v>84</v>
      </c>
      <c r="M1890" s="9" t="s">
        <v>64</v>
      </c>
    </row>
    <row r="1891">
      <c r="A1891" s="11">
        <v>1890.0</v>
      </c>
      <c r="B1891" s="11">
        <v>0.022</v>
      </c>
      <c r="C1891" s="11">
        <v>0.023</v>
      </c>
      <c r="D1891" s="11">
        <v>75.0</v>
      </c>
      <c r="E1891" s="11">
        <v>69.0</v>
      </c>
      <c r="F1891" s="11">
        <v>0.324</v>
      </c>
      <c r="G1891" s="11">
        <v>0.623</v>
      </c>
      <c r="H1891" s="11">
        <v>0.053</v>
      </c>
      <c r="I1891" s="11">
        <v>2.7403845E7</v>
      </c>
      <c r="J1891" s="11">
        <v>0.746</v>
      </c>
      <c r="K1891" s="12" t="s">
        <v>224</v>
      </c>
      <c r="L1891" s="5" t="s">
        <v>84</v>
      </c>
      <c r="M1891" s="9" t="s">
        <v>65</v>
      </c>
    </row>
    <row r="1892">
      <c r="A1892" s="11">
        <v>1891.0</v>
      </c>
      <c r="B1892" s="11">
        <v>0.022</v>
      </c>
      <c r="C1892" s="11">
        <v>0.022</v>
      </c>
      <c r="D1892" s="11">
        <v>75.0</v>
      </c>
      <c r="E1892" s="11">
        <v>70.0</v>
      </c>
      <c r="F1892" s="11">
        <v>0.32</v>
      </c>
      <c r="G1892" s="11">
        <v>0.626</v>
      </c>
      <c r="H1892" s="11">
        <v>0.054</v>
      </c>
      <c r="I1892" s="11">
        <v>2.7723281E7</v>
      </c>
      <c r="J1892" s="11">
        <v>0.75</v>
      </c>
      <c r="K1892" s="12" t="s">
        <v>224</v>
      </c>
      <c r="L1892" s="5" t="s">
        <v>84</v>
      </c>
      <c r="M1892" s="9" t="s">
        <v>66</v>
      </c>
    </row>
    <row r="1893">
      <c r="A1893" s="11">
        <v>1892.0</v>
      </c>
      <c r="B1893" s="11">
        <v>0.022</v>
      </c>
      <c r="C1893" s="11">
        <v>0.02</v>
      </c>
      <c r="D1893" s="11">
        <v>75.0</v>
      </c>
      <c r="E1893" s="11">
        <v>70.0</v>
      </c>
      <c r="F1893" s="11">
        <v>0.316</v>
      </c>
      <c r="G1893" s="11">
        <v>0.629</v>
      </c>
      <c r="H1893" s="11">
        <v>0.055</v>
      </c>
      <c r="I1893" s="11">
        <v>2.8030688E7</v>
      </c>
      <c r="J1893" s="11">
        <v>0.754</v>
      </c>
      <c r="K1893" s="12" t="s">
        <v>224</v>
      </c>
      <c r="L1893" s="5" t="s">
        <v>84</v>
      </c>
      <c r="M1893" s="9" t="s">
        <v>67</v>
      </c>
    </row>
    <row r="1894">
      <c r="A1894" s="11">
        <v>1893.0</v>
      </c>
      <c r="B1894" s="11">
        <v>0.021</v>
      </c>
      <c r="C1894" s="11">
        <v>0.019</v>
      </c>
      <c r="D1894" s="11">
        <v>76.0</v>
      </c>
      <c r="E1894" s="11">
        <v>70.0</v>
      </c>
      <c r="F1894" s="11">
        <v>0.312</v>
      </c>
      <c r="G1894" s="11">
        <v>0.632</v>
      </c>
      <c r="H1894" s="11">
        <v>0.056</v>
      </c>
      <c r="I1894" s="11">
        <v>2.832841E7</v>
      </c>
      <c r="J1894" s="11">
        <v>0.758</v>
      </c>
      <c r="K1894" s="12" t="s">
        <v>224</v>
      </c>
      <c r="L1894" s="5" t="s">
        <v>84</v>
      </c>
      <c r="M1894" s="9" t="s">
        <v>68</v>
      </c>
    </row>
    <row r="1895">
      <c r="A1895" s="11">
        <v>1894.0</v>
      </c>
      <c r="B1895" s="11">
        <v>0.021</v>
      </c>
      <c r="C1895" s="11">
        <v>0.017</v>
      </c>
      <c r="D1895" s="11">
        <v>76.0</v>
      </c>
      <c r="E1895" s="11">
        <v>71.0</v>
      </c>
      <c r="F1895" s="11">
        <v>0.308</v>
      </c>
      <c r="G1895" s="11">
        <v>0.635</v>
      </c>
      <c r="H1895" s="11">
        <v>0.057</v>
      </c>
      <c r="I1895" s="11">
        <v>2.8625628E7</v>
      </c>
      <c r="J1895" s="11">
        <v>0.762</v>
      </c>
      <c r="K1895" s="12" t="s">
        <v>224</v>
      </c>
      <c r="L1895" s="5" t="s">
        <v>84</v>
      </c>
      <c r="M1895" s="9" t="s">
        <v>69</v>
      </c>
    </row>
    <row r="1896">
      <c r="A1896" s="11">
        <v>1895.0</v>
      </c>
      <c r="B1896" s="11">
        <v>0.021</v>
      </c>
      <c r="C1896" s="11">
        <v>0.016</v>
      </c>
      <c r="D1896" s="11">
        <v>76.0</v>
      </c>
      <c r="E1896" s="11">
        <v>71.0</v>
      </c>
      <c r="F1896" s="11">
        <v>0.304</v>
      </c>
      <c r="G1896" s="11">
        <v>0.637</v>
      </c>
      <c r="H1896" s="11">
        <v>0.059</v>
      </c>
      <c r="I1896" s="11">
        <v>2.8934303E7</v>
      </c>
      <c r="J1896" s="11">
        <v>0.766</v>
      </c>
      <c r="K1896" s="12" t="s">
        <v>224</v>
      </c>
      <c r="L1896" s="5" t="s">
        <v>84</v>
      </c>
      <c r="M1896" s="9" t="s">
        <v>70</v>
      </c>
    </row>
    <row r="1897">
      <c r="A1897" s="11">
        <v>1896.0</v>
      </c>
      <c r="B1897" s="11">
        <v>0.021</v>
      </c>
      <c r="C1897" s="11">
        <v>0.015</v>
      </c>
      <c r="D1897" s="11">
        <v>77.0</v>
      </c>
      <c r="E1897" s="11">
        <v>71.0</v>
      </c>
      <c r="F1897" s="11">
        <v>0.3</v>
      </c>
      <c r="G1897" s="11">
        <v>0.64</v>
      </c>
      <c r="H1897" s="11">
        <v>0.06</v>
      </c>
      <c r="I1897" s="11">
        <v>2.926283E7</v>
      </c>
      <c r="J1897" s="11">
        <v>0.769</v>
      </c>
      <c r="K1897" s="12" t="s">
        <v>224</v>
      </c>
      <c r="L1897" s="5" t="s">
        <v>84</v>
      </c>
      <c r="M1897" s="9" t="s">
        <v>71</v>
      </c>
    </row>
    <row r="1898">
      <c r="A1898" s="11">
        <v>1897.0</v>
      </c>
      <c r="B1898" s="11">
        <v>0.02</v>
      </c>
      <c r="C1898" s="11">
        <v>0.014</v>
      </c>
      <c r="D1898" s="11">
        <v>77.0</v>
      </c>
      <c r="E1898" s="11">
        <v>72.0</v>
      </c>
      <c r="F1898" s="11">
        <v>0.296</v>
      </c>
      <c r="G1898" s="11">
        <v>0.643</v>
      </c>
      <c r="H1898" s="11">
        <v>0.061</v>
      </c>
      <c r="I1898" s="11">
        <v>2.9614887E7</v>
      </c>
      <c r="J1898" s="11">
        <v>0.773</v>
      </c>
      <c r="K1898" s="12" t="s">
        <v>224</v>
      </c>
      <c r="L1898" s="5" t="s">
        <v>84</v>
      </c>
      <c r="M1898" s="9" t="s">
        <v>72</v>
      </c>
    </row>
    <row r="1899">
      <c r="A1899" s="11">
        <v>1898.0</v>
      </c>
      <c r="B1899" s="11">
        <v>0.02</v>
      </c>
      <c r="C1899" s="11">
        <v>0.014</v>
      </c>
      <c r="D1899" s="11">
        <v>77.0</v>
      </c>
      <c r="E1899" s="11">
        <v>72.0</v>
      </c>
      <c r="F1899" s="11">
        <v>0.292</v>
      </c>
      <c r="G1899" s="11">
        <v>0.646</v>
      </c>
      <c r="H1899" s="11">
        <v>0.063</v>
      </c>
      <c r="I1899" s="11">
        <v>2.99878E7</v>
      </c>
      <c r="J1899" s="11">
        <v>0.776</v>
      </c>
      <c r="K1899" s="12" t="s">
        <v>224</v>
      </c>
      <c r="L1899" s="5" t="s">
        <v>84</v>
      </c>
      <c r="M1899" s="9" t="s">
        <v>73</v>
      </c>
    </row>
    <row r="1900">
      <c r="A1900" s="11">
        <v>1899.0</v>
      </c>
      <c r="B1900" s="11">
        <v>0.03</v>
      </c>
      <c r="C1900" s="11">
        <v>0.03</v>
      </c>
      <c r="D1900" s="11">
        <v>70.0</v>
      </c>
      <c r="E1900" s="11">
        <v>64.0</v>
      </c>
      <c r="F1900" s="11">
        <v>0.385</v>
      </c>
      <c r="G1900" s="11">
        <v>0.583</v>
      </c>
      <c r="H1900" s="11">
        <v>0.032</v>
      </c>
      <c r="I1900" s="11">
        <v>7.7651848E7</v>
      </c>
      <c r="J1900" s="11">
        <v>0.48</v>
      </c>
      <c r="K1900" s="12" t="s">
        <v>225</v>
      </c>
      <c r="L1900" s="5" t="s">
        <v>61</v>
      </c>
      <c r="M1900" s="9" t="s">
        <v>60</v>
      </c>
    </row>
    <row r="1901">
      <c r="A1901" s="11">
        <v>1900.0</v>
      </c>
      <c r="B1901" s="11">
        <v>0.029</v>
      </c>
      <c r="C1901" s="11">
        <v>0.03</v>
      </c>
      <c r="D1901" s="11">
        <v>70.0</v>
      </c>
      <c r="E1901" s="11">
        <v>64.0</v>
      </c>
      <c r="F1901" s="11">
        <v>0.382</v>
      </c>
      <c r="G1901" s="11">
        <v>0.585</v>
      </c>
      <c r="H1901" s="11">
        <v>0.033</v>
      </c>
      <c r="I1901" s="11">
        <v>7.9297756E7</v>
      </c>
      <c r="J1901" s="11">
        <v>0.477</v>
      </c>
      <c r="K1901" s="12" t="s">
        <v>225</v>
      </c>
      <c r="L1901" s="5" t="s">
        <v>61</v>
      </c>
      <c r="M1901" s="9" t="s">
        <v>62</v>
      </c>
    </row>
    <row r="1902">
      <c r="A1902" s="11">
        <v>1901.0</v>
      </c>
      <c r="B1902" s="11">
        <v>0.029</v>
      </c>
      <c r="C1902" s="11">
        <v>0.029</v>
      </c>
      <c r="D1902" s="11">
        <v>70.0</v>
      </c>
      <c r="E1902" s="11">
        <v>64.0</v>
      </c>
      <c r="F1902" s="11">
        <v>0.38</v>
      </c>
      <c r="G1902" s="11">
        <v>0.587</v>
      </c>
      <c r="H1902" s="11">
        <v>0.033</v>
      </c>
      <c r="I1902" s="11">
        <v>8.0953652E7</v>
      </c>
      <c r="J1902" s="11">
        <v>0.474</v>
      </c>
      <c r="K1902" s="12" t="s">
        <v>225</v>
      </c>
      <c r="L1902" s="5" t="s">
        <v>61</v>
      </c>
      <c r="M1902" s="9" t="s">
        <v>63</v>
      </c>
    </row>
    <row r="1903">
      <c r="A1903" s="11">
        <v>1902.0</v>
      </c>
      <c r="B1903" s="11">
        <v>0.028</v>
      </c>
      <c r="C1903" s="11">
        <v>0.029</v>
      </c>
      <c r="D1903" s="11">
        <v>71.0</v>
      </c>
      <c r="E1903" s="11">
        <v>64.0</v>
      </c>
      <c r="F1903" s="11">
        <v>0.377</v>
      </c>
      <c r="G1903" s="11">
        <v>0.59</v>
      </c>
      <c r="H1903" s="11">
        <v>0.033</v>
      </c>
      <c r="I1903" s="11">
        <v>8.2604681E7</v>
      </c>
      <c r="J1903" s="11">
        <v>0.471</v>
      </c>
      <c r="K1903" s="12" t="s">
        <v>225</v>
      </c>
      <c r="L1903" s="5" t="s">
        <v>61</v>
      </c>
      <c r="M1903" s="9" t="s">
        <v>64</v>
      </c>
    </row>
    <row r="1904">
      <c r="A1904" s="11">
        <v>1903.0</v>
      </c>
      <c r="B1904" s="11">
        <v>0.028</v>
      </c>
      <c r="C1904" s="11">
        <v>0.028</v>
      </c>
      <c r="D1904" s="11">
        <v>71.0</v>
      </c>
      <c r="E1904" s="11">
        <v>64.0</v>
      </c>
      <c r="F1904" s="11">
        <v>0.374</v>
      </c>
      <c r="G1904" s="11">
        <v>0.592</v>
      </c>
      <c r="H1904" s="11">
        <v>0.034</v>
      </c>
      <c r="I1904" s="11">
        <v>8.4231329E7</v>
      </c>
      <c r="J1904" s="11">
        <v>0.469</v>
      </c>
      <c r="K1904" s="12" t="s">
        <v>225</v>
      </c>
      <c r="L1904" s="5" t="s">
        <v>61</v>
      </c>
      <c r="M1904" s="9" t="s">
        <v>65</v>
      </c>
    </row>
    <row r="1905">
      <c r="A1905" s="11">
        <v>1904.0</v>
      </c>
      <c r="B1905" s="11">
        <v>0.027</v>
      </c>
      <c r="C1905" s="11">
        <v>0.028</v>
      </c>
      <c r="D1905" s="11">
        <v>71.0</v>
      </c>
      <c r="E1905" s="11">
        <v>64.0</v>
      </c>
      <c r="F1905" s="11">
        <v>0.371</v>
      </c>
      <c r="G1905" s="11">
        <v>0.595</v>
      </c>
      <c r="H1905" s="11">
        <v>0.034</v>
      </c>
      <c r="I1905" s="11">
        <v>8.5821214E7</v>
      </c>
      <c r="J1905" s="11">
        <v>0.466</v>
      </c>
      <c r="K1905" s="12" t="s">
        <v>225</v>
      </c>
      <c r="L1905" s="5" t="s">
        <v>61</v>
      </c>
      <c r="M1905" s="9" t="s">
        <v>66</v>
      </c>
    </row>
    <row r="1906">
      <c r="A1906" s="11">
        <v>1905.0</v>
      </c>
      <c r="B1906" s="11">
        <v>0.027</v>
      </c>
      <c r="C1906" s="11">
        <v>0.027</v>
      </c>
      <c r="D1906" s="11">
        <v>71.0</v>
      </c>
      <c r="E1906" s="11">
        <v>64.0</v>
      </c>
      <c r="F1906" s="11">
        <v>0.367</v>
      </c>
      <c r="G1906" s="11">
        <v>0.598</v>
      </c>
      <c r="H1906" s="11">
        <v>0.035</v>
      </c>
      <c r="I1906" s="11">
        <v>8.7366573E7</v>
      </c>
      <c r="J1906" s="11">
        <v>0.463</v>
      </c>
      <c r="K1906" s="12" t="s">
        <v>225</v>
      </c>
      <c r="L1906" s="5" t="s">
        <v>61</v>
      </c>
      <c r="M1906" s="9" t="s">
        <v>67</v>
      </c>
    </row>
    <row r="1907">
      <c r="A1907" s="11">
        <v>1906.0</v>
      </c>
      <c r="B1907" s="11">
        <v>0.026</v>
      </c>
      <c r="C1907" s="11">
        <v>0.027</v>
      </c>
      <c r="D1907" s="11">
        <v>71.0</v>
      </c>
      <c r="E1907" s="11">
        <v>64.0</v>
      </c>
      <c r="F1907" s="11">
        <v>0.364</v>
      </c>
      <c r="G1907" s="11">
        <v>0.601</v>
      </c>
      <c r="H1907" s="11">
        <v>0.035</v>
      </c>
      <c r="I1907" s="11">
        <v>8.8875548E7</v>
      </c>
      <c r="J1907" s="11">
        <v>0.461</v>
      </c>
      <c r="K1907" s="12" t="s">
        <v>225</v>
      </c>
      <c r="L1907" s="5" t="s">
        <v>61</v>
      </c>
      <c r="M1907" s="9" t="s">
        <v>68</v>
      </c>
    </row>
    <row r="1908">
      <c r="A1908" s="11">
        <v>1907.0</v>
      </c>
      <c r="B1908" s="11">
        <v>0.026</v>
      </c>
      <c r="C1908" s="11">
        <v>0.026</v>
      </c>
      <c r="D1908" s="11">
        <v>71.0</v>
      </c>
      <c r="E1908" s="11">
        <v>65.0</v>
      </c>
      <c r="F1908" s="11">
        <v>0.36</v>
      </c>
      <c r="G1908" s="11">
        <v>0.604</v>
      </c>
      <c r="H1908" s="11">
        <v>0.036</v>
      </c>
      <c r="I1908" s="11">
        <v>9.0371287E7</v>
      </c>
      <c r="J1908" s="11">
        <v>0.458</v>
      </c>
      <c r="K1908" s="12" t="s">
        <v>225</v>
      </c>
      <c r="L1908" s="5" t="s">
        <v>61</v>
      </c>
      <c r="M1908" s="9" t="s">
        <v>69</v>
      </c>
    </row>
    <row r="1909">
      <c r="A1909" s="11">
        <v>1908.0</v>
      </c>
      <c r="B1909" s="11">
        <v>0.025</v>
      </c>
      <c r="C1909" s="11">
        <v>0.026</v>
      </c>
      <c r="D1909" s="11">
        <v>72.0</v>
      </c>
      <c r="E1909" s="11">
        <v>65.0</v>
      </c>
      <c r="F1909" s="11">
        <v>0.357</v>
      </c>
      <c r="G1909" s="11">
        <v>0.607</v>
      </c>
      <c r="H1909" s="11">
        <v>0.037</v>
      </c>
      <c r="I1909" s="11">
        <v>9.18864E7</v>
      </c>
      <c r="J1909" s="11">
        <v>0.455</v>
      </c>
      <c r="K1909" s="12" t="s">
        <v>225</v>
      </c>
      <c r="L1909" s="5" t="s">
        <v>61</v>
      </c>
      <c r="M1909" s="9" t="s">
        <v>70</v>
      </c>
    </row>
    <row r="1910">
      <c r="A1910" s="11">
        <v>1909.0</v>
      </c>
      <c r="B1910" s="11">
        <v>0.025</v>
      </c>
      <c r="C1910" s="11">
        <v>0.025</v>
      </c>
      <c r="D1910" s="11">
        <v>72.0</v>
      </c>
      <c r="E1910" s="11">
        <v>65.0</v>
      </c>
      <c r="F1910" s="11">
        <v>0.353</v>
      </c>
      <c r="G1910" s="11">
        <v>0.61</v>
      </c>
      <c r="H1910" s="11">
        <v>0.037</v>
      </c>
      <c r="I1910" s="11">
        <v>9.3444322E7</v>
      </c>
      <c r="J1910" s="11">
        <v>0.453</v>
      </c>
      <c r="K1910" s="12" t="s">
        <v>225</v>
      </c>
      <c r="L1910" s="5" t="s">
        <v>61</v>
      </c>
      <c r="M1910" s="9" t="s">
        <v>71</v>
      </c>
    </row>
    <row r="1911">
      <c r="A1911" s="11">
        <v>1910.0</v>
      </c>
      <c r="B1911" s="11">
        <v>0.025</v>
      </c>
      <c r="C1911" s="11">
        <v>0.025</v>
      </c>
      <c r="D1911" s="11">
        <v>72.0</v>
      </c>
      <c r="E1911" s="11">
        <v>65.0</v>
      </c>
      <c r="F1911" s="11">
        <v>0.349</v>
      </c>
      <c r="G1911" s="11">
        <v>0.613</v>
      </c>
      <c r="H1911" s="11">
        <v>0.038</v>
      </c>
      <c r="I1911" s="11">
        <v>9.5053437E7</v>
      </c>
      <c r="J1911" s="11">
        <v>0.45</v>
      </c>
      <c r="K1911" s="12" t="s">
        <v>225</v>
      </c>
      <c r="L1911" s="5" t="s">
        <v>61</v>
      </c>
      <c r="M1911" s="9" t="s">
        <v>72</v>
      </c>
    </row>
    <row r="1912">
      <c r="A1912" s="11">
        <v>1911.0</v>
      </c>
      <c r="B1912" s="11">
        <v>0.025</v>
      </c>
      <c r="C1912" s="11">
        <v>0.024</v>
      </c>
      <c r="D1912" s="11">
        <v>72.0</v>
      </c>
      <c r="E1912" s="11">
        <v>65.0</v>
      </c>
      <c r="F1912" s="11">
        <v>0.345</v>
      </c>
      <c r="G1912" s="11">
        <v>0.616</v>
      </c>
      <c r="H1912" s="11">
        <v>0.038</v>
      </c>
      <c r="I1912" s="11">
        <v>9.6706764E7</v>
      </c>
      <c r="J1912" s="11">
        <v>0.448</v>
      </c>
      <c r="K1912" s="12" t="s">
        <v>225</v>
      </c>
      <c r="L1912" s="5" t="s">
        <v>61</v>
      </c>
      <c r="M1912" s="9" t="s">
        <v>73</v>
      </c>
    </row>
    <row r="1913">
      <c r="A1913" s="11">
        <v>1912.0</v>
      </c>
      <c r="B1913" s="11">
        <v>0.01</v>
      </c>
      <c r="C1913" s="11">
        <v>0.008</v>
      </c>
      <c r="D1913" s="11">
        <v>78.0</v>
      </c>
      <c r="E1913" s="11">
        <v>70.0</v>
      </c>
      <c r="F1913" s="11">
        <v>0.194</v>
      </c>
      <c r="G1913" s="11">
        <v>0.684</v>
      </c>
      <c r="H1913" s="11">
        <v>0.123</v>
      </c>
      <c r="I1913" s="11">
        <v>3.8258629E7</v>
      </c>
      <c r="J1913" s="11">
        <v>0.617</v>
      </c>
      <c r="K1913" s="12" t="s">
        <v>226</v>
      </c>
      <c r="L1913" s="5" t="s">
        <v>75</v>
      </c>
      <c r="M1913" s="9" t="s">
        <v>60</v>
      </c>
    </row>
    <row r="1914">
      <c r="A1914" s="11">
        <v>1913.0</v>
      </c>
      <c r="B1914" s="11">
        <v>0.01</v>
      </c>
      <c r="C1914" s="11">
        <v>0.008</v>
      </c>
      <c r="D1914" s="11">
        <v>78.0</v>
      </c>
      <c r="E1914" s="11">
        <v>70.0</v>
      </c>
      <c r="F1914" s="11">
        <v>0.187</v>
      </c>
      <c r="G1914" s="11">
        <v>0.688</v>
      </c>
      <c r="H1914" s="11">
        <v>0.125</v>
      </c>
      <c r="I1914" s="11">
        <v>3.8248076E7</v>
      </c>
      <c r="J1914" s="11">
        <v>0.618</v>
      </c>
      <c r="K1914" s="12" t="s">
        <v>226</v>
      </c>
      <c r="L1914" s="5" t="s">
        <v>75</v>
      </c>
      <c r="M1914" s="9" t="s">
        <v>62</v>
      </c>
    </row>
    <row r="1915">
      <c r="A1915" s="11">
        <v>1914.0</v>
      </c>
      <c r="B1915" s="11">
        <v>0.009</v>
      </c>
      <c r="C1915" s="11">
        <v>0.007</v>
      </c>
      <c r="D1915" s="11">
        <v>79.0</v>
      </c>
      <c r="E1915" s="11">
        <v>70.0</v>
      </c>
      <c r="F1915" s="11">
        <v>0.18</v>
      </c>
      <c r="G1915" s="11">
        <v>0.692</v>
      </c>
      <c r="H1915" s="11">
        <v>0.127</v>
      </c>
      <c r="I1915" s="11">
        <v>3.8230364E7</v>
      </c>
      <c r="J1915" s="11">
        <v>0.618</v>
      </c>
      <c r="K1915" s="12" t="s">
        <v>226</v>
      </c>
      <c r="L1915" s="5" t="s">
        <v>75</v>
      </c>
      <c r="M1915" s="9" t="s">
        <v>63</v>
      </c>
    </row>
    <row r="1916">
      <c r="A1916" s="11">
        <v>1915.0</v>
      </c>
      <c r="B1916" s="11">
        <v>0.009</v>
      </c>
      <c r="C1916" s="11">
        <v>0.007</v>
      </c>
      <c r="D1916" s="11">
        <v>79.0</v>
      </c>
      <c r="E1916" s="11">
        <v>71.0</v>
      </c>
      <c r="F1916" s="11">
        <v>0.174</v>
      </c>
      <c r="G1916" s="11">
        <v>0.696</v>
      </c>
      <c r="H1916" s="11">
        <v>0.13</v>
      </c>
      <c r="I1916" s="11">
        <v>3.820457E7</v>
      </c>
      <c r="J1916" s="11">
        <v>0.617</v>
      </c>
      <c r="K1916" s="12" t="s">
        <v>226</v>
      </c>
      <c r="L1916" s="5" t="s">
        <v>75</v>
      </c>
      <c r="M1916" s="9" t="s">
        <v>64</v>
      </c>
    </row>
    <row r="1917">
      <c r="A1917" s="11">
        <v>1916.0</v>
      </c>
      <c r="B1917" s="11">
        <v>0.009</v>
      </c>
      <c r="C1917" s="11">
        <v>0.007</v>
      </c>
      <c r="D1917" s="11">
        <v>79.0</v>
      </c>
      <c r="E1917" s="11">
        <v>71.0</v>
      </c>
      <c r="F1917" s="11">
        <v>0.169</v>
      </c>
      <c r="G1917" s="11">
        <v>0.7</v>
      </c>
      <c r="H1917" s="11">
        <v>0.131</v>
      </c>
      <c r="I1917" s="11">
        <v>3.8182222E7</v>
      </c>
      <c r="J1917" s="11">
        <v>0.616</v>
      </c>
      <c r="K1917" s="12" t="s">
        <v>226</v>
      </c>
      <c r="L1917" s="5" t="s">
        <v>75</v>
      </c>
      <c r="M1917" s="9" t="s">
        <v>65</v>
      </c>
    </row>
    <row r="1918">
      <c r="A1918" s="11">
        <v>1917.0</v>
      </c>
      <c r="B1918" s="11">
        <v>0.01</v>
      </c>
      <c r="C1918" s="11">
        <v>0.007</v>
      </c>
      <c r="D1918" s="11">
        <v>79.0</v>
      </c>
      <c r="E1918" s="11">
        <v>71.0</v>
      </c>
      <c r="F1918" s="11">
        <v>0.164</v>
      </c>
      <c r="G1918" s="11">
        <v>0.703</v>
      </c>
      <c r="H1918" s="11">
        <v>0.133</v>
      </c>
      <c r="I1918" s="11">
        <v>3.8165445E7</v>
      </c>
      <c r="J1918" s="11">
        <v>0.615</v>
      </c>
      <c r="K1918" s="12" t="s">
        <v>226</v>
      </c>
      <c r="L1918" s="5" t="s">
        <v>75</v>
      </c>
      <c r="M1918" s="9" t="s">
        <v>66</v>
      </c>
    </row>
    <row r="1919">
      <c r="A1919" s="11">
        <v>1918.0</v>
      </c>
      <c r="B1919" s="11">
        <v>0.01</v>
      </c>
      <c r="C1919" s="11">
        <v>0.006</v>
      </c>
      <c r="D1919" s="11">
        <v>80.0</v>
      </c>
      <c r="E1919" s="11">
        <v>71.0</v>
      </c>
      <c r="F1919" s="11">
        <v>0.16</v>
      </c>
      <c r="G1919" s="11">
        <v>0.707</v>
      </c>
      <c r="H1919" s="11">
        <v>0.133</v>
      </c>
      <c r="I1919" s="11">
        <v>3.8141267E7</v>
      </c>
      <c r="J1919" s="11">
        <v>0.613</v>
      </c>
      <c r="K1919" s="12" t="s">
        <v>226</v>
      </c>
      <c r="L1919" s="5" t="s">
        <v>75</v>
      </c>
      <c r="M1919" s="9" t="s">
        <v>67</v>
      </c>
    </row>
    <row r="1920">
      <c r="A1920" s="11">
        <v>1919.0</v>
      </c>
      <c r="B1920" s="11">
        <v>0.01</v>
      </c>
      <c r="C1920" s="11">
        <v>0.006</v>
      </c>
      <c r="D1920" s="11">
        <v>80.0</v>
      </c>
      <c r="E1920" s="11">
        <v>71.0</v>
      </c>
      <c r="F1920" s="11">
        <v>0.156</v>
      </c>
      <c r="G1920" s="11">
        <v>0.71</v>
      </c>
      <c r="H1920" s="11">
        <v>0.133</v>
      </c>
      <c r="I1920" s="11">
        <v>3.812056E7</v>
      </c>
      <c r="J1920" s="11">
        <v>0.612</v>
      </c>
      <c r="K1920" s="12" t="s">
        <v>226</v>
      </c>
      <c r="L1920" s="5" t="s">
        <v>75</v>
      </c>
      <c r="M1920" s="9" t="s">
        <v>68</v>
      </c>
    </row>
    <row r="1921">
      <c r="A1921" s="11">
        <v>1920.0</v>
      </c>
      <c r="B1921" s="11">
        <v>0.011</v>
      </c>
      <c r="C1921" s="11">
        <v>0.006</v>
      </c>
      <c r="D1921" s="11">
        <v>80.0</v>
      </c>
      <c r="E1921" s="11">
        <v>71.0</v>
      </c>
      <c r="F1921" s="11">
        <v>0.154</v>
      </c>
      <c r="G1921" s="11">
        <v>0.713</v>
      </c>
      <c r="H1921" s="11">
        <v>0.133</v>
      </c>
      <c r="I1921" s="11">
        <v>3.8125759E7</v>
      </c>
      <c r="J1921" s="11">
        <v>0.611</v>
      </c>
      <c r="K1921" s="12" t="s">
        <v>226</v>
      </c>
      <c r="L1921" s="5" t="s">
        <v>75</v>
      </c>
      <c r="M1921" s="9" t="s">
        <v>69</v>
      </c>
    </row>
    <row r="1922">
      <c r="A1922" s="11">
        <v>1921.0</v>
      </c>
      <c r="B1922" s="11">
        <v>0.011</v>
      </c>
      <c r="C1922" s="11">
        <v>0.005</v>
      </c>
      <c r="D1922" s="11">
        <v>80.0</v>
      </c>
      <c r="E1922" s="11">
        <v>72.0</v>
      </c>
      <c r="F1922" s="11">
        <v>0.152</v>
      </c>
      <c r="G1922" s="11">
        <v>0.715</v>
      </c>
      <c r="H1922" s="11">
        <v>0.134</v>
      </c>
      <c r="I1922" s="11">
        <v>3.8151603E7</v>
      </c>
      <c r="J1922" s="11">
        <v>0.61</v>
      </c>
      <c r="K1922" s="12" t="s">
        <v>226</v>
      </c>
      <c r="L1922" s="5" t="s">
        <v>75</v>
      </c>
      <c r="M1922" s="9" t="s">
        <v>70</v>
      </c>
    </row>
    <row r="1923">
      <c r="A1923" s="11">
        <v>1922.0</v>
      </c>
      <c r="B1923" s="11">
        <v>0.011</v>
      </c>
      <c r="C1923" s="11">
        <v>0.005</v>
      </c>
      <c r="D1923" s="11">
        <v>81.0</v>
      </c>
      <c r="E1923" s="11">
        <v>72.0</v>
      </c>
      <c r="F1923" s="11">
        <v>0.15</v>
      </c>
      <c r="G1923" s="11">
        <v>0.715</v>
      </c>
      <c r="H1923" s="11">
        <v>0.135</v>
      </c>
      <c r="I1923" s="11">
        <v>3.8183683E7</v>
      </c>
      <c r="J1923" s="11">
        <v>0.609</v>
      </c>
      <c r="K1923" s="12" t="s">
        <v>226</v>
      </c>
      <c r="L1923" s="5" t="s">
        <v>75</v>
      </c>
      <c r="M1923" s="9" t="s">
        <v>71</v>
      </c>
    </row>
    <row r="1924">
      <c r="A1924" s="11">
        <v>1923.0</v>
      </c>
      <c r="B1924" s="11">
        <v>0.01</v>
      </c>
      <c r="C1924" s="11">
        <v>0.005</v>
      </c>
      <c r="D1924" s="11">
        <v>81.0</v>
      </c>
      <c r="E1924" s="11">
        <v>73.0</v>
      </c>
      <c r="F1924" s="11">
        <v>0.149</v>
      </c>
      <c r="G1924" s="11">
        <v>0.713</v>
      </c>
      <c r="H1924" s="11">
        <v>0.137</v>
      </c>
      <c r="I1924" s="11">
        <v>3.8534157E7</v>
      </c>
      <c r="J1924" s="11">
        <v>0.608</v>
      </c>
      <c r="K1924" s="12" t="s">
        <v>226</v>
      </c>
      <c r="L1924" s="5" t="s">
        <v>75</v>
      </c>
      <c r="M1924" s="9" t="s">
        <v>72</v>
      </c>
    </row>
    <row r="1925">
      <c r="A1925" s="11">
        <v>1924.0</v>
      </c>
      <c r="B1925" s="11">
        <v>0.01</v>
      </c>
      <c r="C1925" s="11">
        <v>0.005</v>
      </c>
      <c r="D1925" s="11">
        <v>81.0</v>
      </c>
      <c r="E1925" s="11">
        <v>73.0</v>
      </c>
      <c r="F1925" s="11">
        <v>0.149</v>
      </c>
      <c r="G1925" s="11">
        <v>0.71</v>
      </c>
      <c r="H1925" s="11">
        <v>0.14</v>
      </c>
      <c r="I1925" s="11">
        <v>3.8535873E7</v>
      </c>
      <c r="J1925" s="11">
        <v>0.607</v>
      </c>
      <c r="K1925" s="12" t="s">
        <v>226</v>
      </c>
      <c r="L1925" s="5" t="s">
        <v>75</v>
      </c>
      <c r="M1925" s="9" t="s">
        <v>73</v>
      </c>
    </row>
    <row r="1926">
      <c r="A1926" s="11">
        <v>1925.0</v>
      </c>
      <c r="B1926" s="11">
        <v>0.012</v>
      </c>
      <c r="C1926" s="11">
        <v>0.006</v>
      </c>
      <c r="D1926" s="11">
        <v>80.0</v>
      </c>
      <c r="E1926" s="11">
        <v>73.0</v>
      </c>
      <c r="F1926" s="11">
        <v>0.162</v>
      </c>
      <c r="G1926" s="11">
        <v>0.676</v>
      </c>
      <c r="H1926" s="11">
        <v>0.162</v>
      </c>
      <c r="I1926" s="11">
        <v>1.0289898E7</v>
      </c>
      <c r="J1926" s="11">
        <v>0.544</v>
      </c>
      <c r="K1926" s="12" t="s">
        <v>227</v>
      </c>
      <c r="L1926" s="5" t="s">
        <v>75</v>
      </c>
      <c r="M1926" s="9" t="s">
        <v>60</v>
      </c>
    </row>
    <row r="1927">
      <c r="A1927" s="11">
        <v>1926.0</v>
      </c>
      <c r="B1927" s="11">
        <v>0.011</v>
      </c>
      <c r="C1927" s="11">
        <v>0.005</v>
      </c>
      <c r="D1927" s="11">
        <v>80.0</v>
      </c>
      <c r="E1927" s="11">
        <v>73.0</v>
      </c>
      <c r="F1927" s="11">
        <v>0.16</v>
      </c>
      <c r="G1927" s="11">
        <v>0.676</v>
      </c>
      <c r="H1927" s="11">
        <v>0.164</v>
      </c>
      <c r="I1927" s="11">
        <v>1.0362722E7</v>
      </c>
      <c r="J1927" s="11">
        <v>0.55</v>
      </c>
      <c r="K1927" s="12" t="s">
        <v>227</v>
      </c>
      <c r="L1927" s="5" t="s">
        <v>75</v>
      </c>
      <c r="M1927" s="9" t="s">
        <v>62</v>
      </c>
    </row>
    <row r="1928">
      <c r="A1928" s="11">
        <v>1927.0</v>
      </c>
      <c r="B1928" s="11">
        <v>0.011</v>
      </c>
      <c r="C1928" s="11">
        <v>0.005</v>
      </c>
      <c r="D1928" s="11">
        <v>81.0</v>
      </c>
      <c r="E1928" s="11">
        <v>74.0</v>
      </c>
      <c r="F1928" s="11">
        <v>0.159</v>
      </c>
      <c r="G1928" s="11">
        <v>0.675</v>
      </c>
      <c r="H1928" s="11">
        <v>0.166</v>
      </c>
      <c r="I1928" s="11">
        <v>1.0419631E7</v>
      </c>
      <c r="J1928" s="11">
        <v>0.557</v>
      </c>
      <c r="K1928" s="12" t="s">
        <v>227</v>
      </c>
      <c r="L1928" s="5" t="s">
        <v>75</v>
      </c>
      <c r="M1928" s="9" t="s">
        <v>63</v>
      </c>
    </row>
    <row r="1929">
      <c r="A1929" s="11">
        <v>1928.0</v>
      </c>
      <c r="B1929" s="11">
        <v>0.011</v>
      </c>
      <c r="C1929" s="11">
        <v>0.004</v>
      </c>
      <c r="D1929" s="11">
        <v>81.0</v>
      </c>
      <c r="E1929" s="11">
        <v>74.0</v>
      </c>
      <c r="F1929" s="11">
        <v>0.158</v>
      </c>
      <c r="G1929" s="11">
        <v>0.674</v>
      </c>
      <c r="H1929" s="11">
        <v>0.168</v>
      </c>
      <c r="I1929" s="11">
        <v>1.0458821E7</v>
      </c>
      <c r="J1929" s="11">
        <v>0.563</v>
      </c>
      <c r="K1929" s="12" t="s">
        <v>227</v>
      </c>
      <c r="L1929" s="5" t="s">
        <v>75</v>
      </c>
      <c r="M1929" s="9" t="s">
        <v>64</v>
      </c>
    </row>
    <row r="1930">
      <c r="A1930" s="11">
        <v>1929.0</v>
      </c>
      <c r="B1930" s="11">
        <v>0.01</v>
      </c>
      <c r="C1930" s="11">
        <v>0.004</v>
      </c>
      <c r="D1930" s="11">
        <v>81.0</v>
      </c>
      <c r="E1930" s="11">
        <v>75.0</v>
      </c>
      <c r="F1930" s="11">
        <v>0.157</v>
      </c>
      <c r="G1930" s="11">
        <v>0.674</v>
      </c>
      <c r="H1930" s="11">
        <v>0.17</v>
      </c>
      <c r="I1930" s="11">
        <v>1.0483861E7</v>
      </c>
      <c r="J1930" s="11">
        <v>0.569</v>
      </c>
      <c r="K1930" s="12" t="s">
        <v>227</v>
      </c>
      <c r="L1930" s="5" t="s">
        <v>75</v>
      </c>
      <c r="M1930" s="9" t="s">
        <v>65</v>
      </c>
    </row>
    <row r="1931">
      <c r="A1931" s="11">
        <v>1930.0</v>
      </c>
      <c r="B1931" s="11">
        <v>0.01</v>
      </c>
      <c r="C1931" s="11">
        <v>0.004</v>
      </c>
      <c r="D1931" s="11">
        <v>81.0</v>
      </c>
      <c r="E1931" s="11">
        <v>75.0</v>
      </c>
      <c r="F1931" s="11">
        <v>0.156</v>
      </c>
      <c r="G1931" s="11">
        <v>0.673</v>
      </c>
      <c r="H1931" s="11">
        <v>0.171</v>
      </c>
      <c r="I1931" s="11">
        <v>1.050333E7</v>
      </c>
      <c r="J1931" s="11">
        <v>0.575</v>
      </c>
      <c r="K1931" s="12" t="s">
        <v>227</v>
      </c>
      <c r="L1931" s="5" t="s">
        <v>75</v>
      </c>
      <c r="M1931" s="9" t="s">
        <v>66</v>
      </c>
    </row>
    <row r="1932">
      <c r="A1932" s="11">
        <v>1931.0</v>
      </c>
      <c r="B1932" s="11">
        <v>0.01</v>
      </c>
      <c r="C1932" s="11">
        <v>0.004</v>
      </c>
      <c r="D1932" s="11">
        <v>82.0</v>
      </c>
      <c r="E1932" s="11">
        <v>75.0</v>
      </c>
      <c r="F1932" s="11">
        <v>0.155</v>
      </c>
      <c r="G1932" s="11">
        <v>0.672</v>
      </c>
      <c r="H1932" s="11">
        <v>0.173</v>
      </c>
      <c r="I1932" s="11">
        <v>1.0522288E7</v>
      </c>
      <c r="J1932" s="11">
        <v>0.581</v>
      </c>
      <c r="K1932" s="12" t="s">
        <v>227</v>
      </c>
      <c r="L1932" s="5" t="s">
        <v>75</v>
      </c>
      <c r="M1932" s="9" t="s">
        <v>67</v>
      </c>
    </row>
    <row r="1933">
      <c r="A1933" s="11">
        <v>1932.0</v>
      </c>
      <c r="B1933" s="11">
        <v>0.01</v>
      </c>
      <c r="C1933" s="11">
        <v>0.003</v>
      </c>
      <c r="D1933" s="11">
        <v>82.0</v>
      </c>
      <c r="E1933" s="11">
        <v>75.0</v>
      </c>
      <c r="F1933" s="11">
        <v>0.154</v>
      </c>
      <c r="G1933" s="11">
        <v>0.671</v>
      </c>
      <c r="H1933" s="11">
        <v>0.175</v>
      </c>
      <c r="I1933" s="11">
        <v>1.0542964E7</v>
      </c>
      <c r="J1933" s="11">
        <v>0.587</v>
      </c>
      <c r="K1933" s="12" t="s">
        <v>227</v>
      </c>
      <c r="L1933" s="5" t="s">
        <v>75</v>
      </c>
      <c r="M1933" s="9" t="s">
        <v>68</v>
      </c>
    </row>
    <row r="1934">
      <c r="A1934" s="11">
        <v>1933.0</v>
      </c>
      <c r="B1934" s="11">
        <v>0.01</v>
      </c>
      <c r="C1934" s="11">
        <v>0.003</v>
      </c>
      <c r="D1934" s="11">
        <v>82.0</v>
      </c>
      <c r="E1934" s="11">
        <v>76.0</v>
      </c>
      <c r="F1934" s="11">
        <v>0.153</v>
      </c>
      <c r="G1934" s="11">
        <v>0.67</v>
      </c>
      <c r="H1934" s="11">
        <v>0.176</v>
      </c>
      <c r="I1934" s="11">
        <v>1.0558177E7</v>
      </c>
      <c r="J1934" s="11">
        <v>0.594</v>
      </c>
      <c r="K1934" s="12" t="s">
        <v>227</v>
      </c>
      <c r="L1934" s="5" t="s">
        <v>75</v>
      </c>
      <c r="M1934" s="9" t="s">
        <v>69</v>
      </c>
    </row>
    <row r="1935">
      <c r="A1935" s="11">
        <v>1934.0</v>
      </c>
      <c r="B1935" s="11">
        <v>0.009</v>
      </c>
      <c r="C1935" s="11">
        <v>0.003</v>
      </c>
      <c r="D1935" s="11">
        <v>82.0</v>
      </c>
      <c r="E1935" s="11">
        <v>76.0</v>
      </c>
      <c r="F1935" s="11">
        <v>0.153</v>
      </c>
      <c r="G1935" s="11">
        <v>0.669</v>
      </c>
      <c r="H1935" s="11">
        <v>0.178</v>
      </c>
      <c r="I1935" s="11">
        <v>1.0568247E7</v>
      </c>
      <c r="J1935" s="11">
        <v>0.6</v>
      </c>
      <c r="K1935" s="12" t="s">
        <v>227</v>
      </c>
      <c r="L1935" s="5" t="s">
        <v>75</v>
      </c>
      <c r="M1935" s="9" t="s">
        <v>70</v>
      </c>
    </row>
    <row r="1936">
      <c r="A1936" s="11">
        <v>1935.0</v>
      </c>
      <c r="B1936" s="11">
        <v>0.01</v>
      </c>
      <c r="C1936" s="11">
        <v>0.003</v>
      </c>
      <c r="D1936" s="11">
        <v>82.0</v>
      </c>
      <c r="E1936" s="11">
        <v>76.0</v>
      </c>
      <c r="F1936" s="11">
        <v>0.151</v>
      </c>
      <c r="G1936" s="11">
        <v>0.668</v>
      </c>
      <c r="H1936" s="11">
        <v>0.18</v>
      </c>
      <c r="I1936" s="11">
        <v>1.05731E7</v>
      </c>
      <c r="J1936" s="11">
        <v>0.606</v>
      </c>
      <c r="K1936" s="12" t="s">
        <v>227</v>
      </c>
      <c r="L1936" s="5" t="s">
        <v>75</v>
      </c>
      <c r="M1936" s="9" t="s">
        <v>71</v>
      </c>
    </row>
    <row r="1937">
      <c r="A1937" s="11">
        <v>1936.0</v>
      </c>
      <c r="B1937" s="11">
        <v>0.009</v>
      </c>
      <c r="C1937" s="11">
        <v>0.003</v>
      </c>
      <c r="D1937" s="11">
        <v>84.0</v>
      </c>
      <c r="E1937" s="11">
        <v>77.0</v>
      </c>
      <c r="F1937" s="11">
        <v>0.15</v>
      </c>
      <c r="G1937" s="11">
        <v>0.667</v>
      </c>
      <c r="H1937" s="11">
        <v>0.182</v>
      </c>
      <c r="I1937" s="11">
        <v>1.055756E7</v>
      </c>
      <c r="J1937" s="11">
        <v>0.612</v>
      </c>
      <c r="K1937" s="12" t="s">
        <v>227</v>
      </c>
      <c r="L1937" s="5" t="s">
        <v>75</v>
      </c>
      <c r="M1937" s="9" t="s">
        <v>72</v>
      </c>
    </row>
    <row r="1938">
      <c r="A1938" s="11">
        <v>1937.0</v>
      </c>
      <c r="B1938" s="11">
        <v>0.009</v>
      </c>
      <c r="C1938" s="11">
        <v>0.003</v>
      </c>
      <c r="D1938" s="11">
        <v>84.0</v>
      </c>
      <c r="E1938" s="11">
        <v>77.0</v>
      </c>
      <c r="F1938" s="11">
        <v>0.149</v>
      </c>
      <c r="G1938" s="11">
        <v>0.666</v>
      </c>
      <c r="H1938" s="11">
        <v>0.185</v>
      </c>
      <c r="I1938" s="11">
        <v>1.0514844E7</v>
      </c>
      <c r="J1938" s="11">
        <v>0.618</v>
      </c>
      <c r="K1938" s="12" t="s">
        <v>227</v>
      </c>
      <c r="L1938" s="5" t="s">
        <v>75</v>
      </c>
      <c r="M1938" s="9" t="s">
        <v>73</v>
      </c>
    </row>
    <row r="1939">
      <c r="A1939" s="11">
        <v>1938.0</v>
      </c>
      <c r="B1939" s="11">
        <v>0.016</v>
      </c>
      <c r="C1939" s="8"/>
      <c r="D1939" s="11">
        <v>81.0</v>
      </c>
      <c r="E1939" s="11">
        <v>73.0</v>
      </c>
      <c r="F1939" s="11">
        <v>0.236</v>
      </c>
      <c r="G1939" s="11">
        <v>0.651</v>
      </c>
      <c r="H1939" s="11">
        <v>0.113</v>
      </c>
      <c r="I1939" s="11">
        <v>3810605.0</v>
      </c>
      <c r="J1939" s="11">
        <v>0.944</v>
      </c>
      <c r="K1939" s="12" t="s">
        <v>228</v>
      </c>
      <c r="L1939" s="5" t="s">
        <v>84</v>
      </c>
      <c r="M1939" s="9" t="s">
        <v>60</v>
      </c>
    </row>
    <row r="1940">
      <c r="A1940" s="11">
        <v>1939.0</v>
      </c>
      <c r="B1940" s="11">
        <v>0.015</v>
      </c>
      <c r="C1940" s="8"/>
      <c r="D1940" s="11">
        <v>81.0</v>
      </c>
      <c r="E1940" s="11">
        <v>73.0</v>
      </c>
      <c r="F1940" s="11">
        <v>0.233</v>
      </c>
      <c r="G1940" s="11">
        <v>0.652</v>
      </c>
      <c r="H1940" s="11">
        <v>0.115</v>
      </c>
      <c r="I1940" s="11">
        <v>3818774.0</v>
      </c>
      <c r="J1940" s="11">
        <v>0.943</v>
      </c>
      <c r="K1940" s="12" t="s">
        <v>228</v>
      </c>
      <c r="L1940" s="5" t="s">
        <v>84</v>
      </c>
      <c r="M1940" s="9" t="s">
        <v>62</v>
      </c>
    </row>
    <row r="1941">
      <c r="A1941" s="11">
        <v>1940.0</v>
      </c>
      <c r="B1941" s="11">
        <v>0.014</v>
      </c>
      <c r="C1941" s="8"/>
      <c r="D1941" s="11">
        <v>82.0</v>
      </c>
      <c r="E1941" s="11">
        <v>74.0</v>
      </c>
      <c r="F1941" s="11">
        <v>0.23</v>
      </c>
      <c r="G1941" s="11">
        <v>0.653</v>
      </c>
      <c r="H1941" s="11">
        <v>0.117</v>
      </c>
      <c r="I1941" s="11">
        <v>3823701.0</v>
      </c>
      <c r="J1941" s="11">
        <v>0.943</v>
      </c>
      <c r="K1941" s="12" t="s">
        <v>228</v>
      </c>
      <c r="L1941" s="5" t="s">
        <v>84</v>
      </c>
      <c r="M1941" s="9" t="s">
        <v>63</v>
      </c>
    </row>
    <row r="1942">
      <c r="A1942" s="11">
        <v>1941.0</v>
      </c>
      <c r="B1942" s="11">
        <v>0.013</v>
      </c>
      <c r="C1942" s="8"/>
      <c r="D1942" s="11">
        <v>82.0</v>
      </c>
      <c r="E1942" s="11">
        <v>74.0</v>
      </c>
      <c r="F1942" s="11">
        <v>0.227</v>
      </c>
      <c r="G1942" s="11">
        <v>0.654</v>
      </c>
      <c r="H1942" s="11">
        <v>0.118</v>
      </c>
      <c r="I1942" s="11">
        <v>3826095.0</v>
      </c>
      <c r="J1942" s="11">
        <v>0.942</v>
      </c>
      <c r="K1942" s="12" t="s">
        <v>228</v>
      </c>
      <c r="L1942" s="5" t="s">
        <v>84</v>
      </c>
      <c r="M1942" s="9" t="s">
        <v>64</v>
      </c>
    </row>
    <row r="1943">
      <c r="A1943" s="11">
        <v>1942.0</v>
      </c>
      <c r="B1943" s="11">
        <v>0.013</v>
      </c>
      <c r="C1943" s="8"/>
      <c r="D1943" s="11">
        <v>82.0</v>
      </c>
      <c r="E1943" s="11">
        <v>74.0</v>
      </c>
      <c r="F1943" s="11">
        <v>0.225</v>
      </c>
      <c r="G1943" s="11">
        <v>0.655</v>
      </c>
      <c r="H1943" s="11">
        <v>0.12</v>
      </c>
      <c r="I1943" s="11">
        <v>3826878.0</v>
      </c>
      <c r="J1943" s="11">
        <v>0.942</v>
      </c>
      <c r="K1943" s="12" t="s">
        <v>228</v>
      </c>
      <c r="L1943" s="5" t="s">
        <v>84</v>
      </c>
      <c r="M1943" s="9" t="s">
        <v>65</v>
      </c>
    </row>
    <row r="1944">
      <c r="A1944" s="11">
        <v>1943.0</v>
      </c>
      <c r="B1944" s="11">
        <v>0.013</v>
      </c>
      <c r="C1944" s="8"/>
      <c r="D1944" s="11">
        <v>82.0</v>
      </c>
      <c r="E1944" s="11">
        <v>74.0</v>
      </c>
      <c r="F1944" s="11">
        <v>0.222</v>
      </c>
      <c r="G1944" s="11">
        <v>0.657</v>
      </c>
      <c r="H1944" s="11">
        <v>0.122</v>
      </c>
      <c r="I1944" s="11">
        <v>3821362.0</v>
      </c>
      <c r="J1944" s="11">
        <v>0.941</v>
      </c>
      <c r="K1944" s="12" t="s">
        <v>228</v>
      </c>
      <c r="L1944" s="5" t="s">
        <v>84</v>
      </c>
      <c r="M1944" s="9" t="s">
        <v>66</v>
      </c>
    </row>
    <row r="1945">
      <c r="A1945" s="11">
        <v>1944.0</v>
      </c>
      <c r="B1945" s="11">
        <v>0.012</v>
      </c>
      <c r="C1945" s="8"/>
      <c r="D1945" s="11">
        <v>83.0</v>
      </c>
      <c r="E1945" s="11">
        <v>74.0</v>
      </c>
      <c r="F1945" s="11">
        <v>0.219</v>
      </c>
      <c r="G1945" s="11">
        <v>0.658</v>
      </c>
      <c r="H1945" s="11">
        <v>0.123</v>
      </c>
      <c r="I1945" s="11">
        <v>3805214.0</v>
      </c>
      <c r="J1945" s="11">
        <v>0.941</v>
      </c>
      <c r="K1945" s="12" t="s">
        <v>228</v>
      </c>
      <c r="L1945" s="5" t="s">
        <v>84</v>
      </c>
      <c r="M1945" s="9" t="s">
        <v>67</v>
      </c>
    </row>
    <row r="1946">
      <c r="A1946" s="11">
        <v>1945.0</v>
      </c>
      <c r="B1946" s="11">
        <v>0.012</v>
      </c>
      <c r="C1946" s="8"/>
      <c r="D1946" s="11">
        <v>83.0</v>
      </c>
      <c r="E1946" s="11">
        <v>74.0</v>
      </c>
      <c r="F1946" s="11">
        <v>0.215</v>
      </c>
      <c r="G1946" s="11">
        <v>0.66</v>
      </c>
      <c r="H1946" s="11">
        <v>0.125</v>
      </c>
      <c r="I1946" s="11">
        <v>3782995.0</v>
      </c>
      <c r="J1946" s="11">
        <v>0.94</v>
      </c>
      <c r="K1946" s="12" t="s">
        <v>228</v>
      </c>
      <c r="L1946" s="5" t="s">
        <v>84</v>
      </c>
      <c r="M1946" s="9" t="s">
        <v>68</v>
      </c>
    </row>
    <row r="1947">
      <c r="A1947" s="11">
        <v>1946.0</v>
      </c>
      <c r="B1947" s="11">
        <v>0.012</v>
      </c>
      <c r="C1947" s="8"/>
      <c r="D1947" s="11">
        <v>83.0</v>
      </c>
      <c r="E1947" s="11">
        <v>75.0</v>
      </c>
      <c r="F1947" s="11">
        <v>0.212</v>
      </c>
      <c r="G1947" s="11">
        <v>0.662</v>
      </c>
      <c r="H1947" s="11">
        <v>0.126</v>
      </c>
      <c r="I1947" s="11">
        <v>3760866.0</v>
      </c>
      <c r="J1947" s="11">
        <v>0.939</v>
      </c>
      <c r="K1947" s="12" t="s">
        <v>228</v>
      </c>
      <c r="L1947" s="5" t="s">
        <v>84</v>
      </c>
      <c r="M1947" s="9" t="s">
        <v>69</v>
      </c>
    </row>
    <row r="1948">
      <c r="A1948" s="11">
        <v>1947.0</v>
      </c>
      <c r="B1948" s="11">
        <v>0.012</v>
      </c>
      <c r="C1948" s="8"/>
      <c r="D1948" s="11">
        <v>82.0</v>
      </c>
      <c r="E1948" s="11">
        <v>74.0</v>
      </c>
      <c r="F1948" s="11">
        <v>0.208</v>
      </c>
      <c r="G1948" s="11">
        <v>0.664</v>
      </c>
      <c r="H1948" s="11">
        <v>0.128</v>
      </c>
      <c r="I1948" s="11">
        <v>3740410.0</v>
      </c>
      <c r="J1948" s="11">
        <v>0.939</v>
      </c>
      <c r="K1948" s="12" t="s">
        <v>228</v>
      </c>
      <c r="L1948" s="5" t="s">
        <v>84</v>
      </c>
      <c r="M1948" s="9" t="s">
        <v>70</v>
      </c>
    </row>
    <row r="1949">
      <c r="A1949" s="11">
        <v>1948.0</v>
      </c>
      <c r="B1949" s="11">
        <v>0.011</v>
      </c>
      <c r="C1949" s="8"/>
      <c r="D1949" s="11">
        <v>82.0</v>
      </c>
      <c r="E1949" s="11">
        <v>74.0</v>
      </c>
      <c r="F1949" s="11">
        <v>0.205</v>
      </c>
      <c r="G1949" s="11">
        <v>0.665</v>
      </c>
      <c r="H1949" s="11">
        <v>0.13</v>
      </c>
      <c r="I1949" s="11">
        <v>3721208.0</v>
      </c>
      <c r="J1949" s="11">
        <v>0.938</v>
      </c>
      <c r="K1949" s="12" t="s">
        <v>228</v>
      </c>
      <c r="L1949" s="5" t="s">
        <v>84</v>
      </c>
      <c r="M1949" s="9" t="s">
        <v>71</v>
      </c>
    </row>
    <row r="1950">
      <c r="A1950" s="11">
        <v>1949.0</v>
      </c>
      <c r="B1950" s="11">
        <v>0.011</v>
      </c>
      <c r="C1950" s="8"/>
      <c r="D1950" s="11">
        <v>82.0</v>
      </c>
      <c r="E1950" s="11">
        <v>75.0</v>
      </c>
      <c r="F1950" s="11">
        <v>0.201</v>
      </c>
      <c r="G1950" s="11">
        <v>0.666</v>
      </c>
      <c r="H1950" s="11">
        <v>0.132</v>
      </c>
      <c r="I1950" s="11">
        <v>3686580.0</v>
      </c>
      <c r="J1950" s="11">
        <v>0.938</v>
      </c>
      <c r="K1950" s="12" t="s">
        <v>228</v>
      </c>
      <c r="L1950" s="5" t="s">
        <v>84</v>
      </c>
      <c r="M1950" s="9" t="s">
        <v>72</v>
      </c>
    </row>
    <row r="1951">
      <c r="A1951" s="11">
        <v>1950.0</v>
      </c>
      <c r="B1951" s="11">
        <v>0.011</v>
      </c>
      <c r="C1951" s="8"/>
      <c r="D1951" s="11">
        <v>82.0</v>
      </c>
      <c r="E1951" s="11">
        <v>75.0</v>
      </c>
      <c r="F1951" s="11">
        <v>0.198</v>
      </c>
      <c r="G1951" s="11">
        <v>0.667</v>
      </c>
      <c r="H1951" s="11">
        <v>0.135</v>
      </c>
      <c r="I1951" s="11">
        <v>3651545.0</v>
      </c>
      <c r="J1951" s="11">
        <v>0.937</v>
      </c>
      <c r="K1951" s="12" t="s">
        <v>228</v>
      </c>
      <c r="L1951" s="5" t="s">
        <v>84</v>
      </c>
      <c r="M1951" s="9" t="s">
        <v>73</v>
      </c>
    </row>
    <row r="1952">
      <c r="A1952" s="11">
        <v>1951.0</v>
      </c>
      <c r="B1952" s="11">
        <v>0.019</v>
      </c>
      <c r="C1952" s="11">
        <v>0.011</v>
      </c>
      <c r="D1952" s="11">
        <v>78.0</v>
      </c>
      <c r="E1952" s="11">
        <v>76.0</v>
      </c>
      <c r="F1952" s="11">
        <v>0.259</v>
      </c>
      <c r="G1952" s="11">
        <v>0.724</v>
      </c>
      <c r="H1952" s="11">
        <v>0.017</v>
      </c>
      <c r="I1952" s="11">
        <v>593693.0</v>
      </c>
      <c r="J1952" s="11">
        <v>0.963</v>
      </c>
      <c r="K1952" s="12" t="s">
        <v>229</v>
      </c>
      <c r="L1952" s="5" t="s">
        <v>93</v>
      </c>
      <c r="M1952" s="9" t="s">
        <v>60</v>
      </c>
    </row>
    <row r="1953">
      <c r="A1953" s="11">
        <v>1952.0</v>
      </c>
      <c r="B1953" s="11">
        <v>0.019</v>
      </c>
      <c r="C1953" s="11">
        <v>0.01</v>
      </c>
      <c r="D1953" s="11">
        <v>78.0</v>
      </c>
      <c r="E1953" s="11">
        <v>76.0</v>
      </c>
      <c r="F1953" s="11">
        <v>0.263</v>
      </c>
      <c r="G1953" s="11">
        <v>0.72</v>
      </c>
      <c r="H1953" s="11">
        <v>0.017</v>
      </c>
      <c r="I1953" s="11">
        <v>611808.0</v>
      </c>
      <c r="J1953" s="11">
        <v>0.965</v>
      </c>
      <c r="K1953" s="12" t="s">
        <v>229</v>
      </c>
      <c r="L1953" s="5" t="s">
        <v>93</v>
      </c>
      <c r="M1953" s="9" t="s">
        <v>62</v>
      </c>
    </row>
    <row r="1954">
      <c r="A1954" s="11">
        <v>1953.0</v>
      </c>
      <c r="B1954" s="11">
        <v>0.018</v>
      </c>
      <c r="C1954" s="11">
        <v>0.01</v>
      </c>
      <c r="D1954" s="11">
        <v>78.0</v>
      </c>
      <c r="E1954" s="11">
        <v>76.0</v>
      </c>
      <c r="F1954" s="11">
        <v>0.268</v>
      </c>
      <c r="G1954" s="11">
        <v>0.716</v>
      </c>
      <c r="H1954" s="11">
        <v>0.016</v>
      </c>
      <c r="I1954" s="11">
        <v>629745.0</v>
      </c>
      <c r="J1954" s="11">
        <v>0.967</v>
      </c>
      <c r="K1954" s="12" t="s">
        <v>229</v>
      </c>
      <c r="L1954" s="5" t="s">
        <v>93</v>
      </c>
      <c r="M1954" s="9" t="s">
        <v>63</v>
      </c>
    </row>
    <row r="1955">
      <c r="A1955" s="11">
        <v>1954.0</v>
      </c>
      <c r="B1955" s="11">
        <v>0.017</v>
      </c>
      <c r="C1955" s="11">
        <v>0.01</v>
      </c>
      <c r="D1955" s="11">
        <v>78.0</v>
      </c>
      <c r="E1955" s="11">
        <v>76.0</v>
      </c>
      <c r="F1955" s="11">
        <v>0.269</v>
      </c>
      <c r="G1955" s="11">
        <v>0.716</v>
      </c>
      <c r="H1955" s="11">
        <v>0.015</v>
      </c>
      <c r="I1955" s="11">
        <v>660238.0</v>
      </c>
      <c r="J1955" s="11">
        <v>0.969</v>
      </c>
      <c r="K1955" s="12" t="s">
        <v>229</v>
      </c>
      <c r="L1955" s="5" t="s">
        <v>93</v>
      </c>
      <c r="M1955" s="9" t="s">
        <v>64</v>
      </c>
    </row>
    <row r="1956">
      <c r="A1956" s="11">
        <v>1955.0</v>
      </c>
      <c r="B1956" s="11">
        <v>0.016</v>
      </c>
      <c r="C1956" s="11">
        <v>0.009</v>
      </c>
      <c r="D1956" s="11">
        <v>78.0</v>
      </c>
      <c r="E1956" s="11">
        <v>76.0</v>
      </c>
      <c r="F1956" s="11">
        <v>0.259</v>
      </c>
      <c r="G1956" s="11">
        <v>0.727</v>
      </c>
      <c r="H1956" s="11">
        <v>0.014</v>
      </c>
      <c r="I1956" s="11">
        <v>720383.0</v>
      </c>
      <c r="J1956" s="11">
        <v>0.971</v>
      </c>
      <c r="K1956" s="12" t="s">
        <v>229</v>
      </c>
      <c r="L1956" s="5" t="s">
        <v>93</v>
      </c>
      <c r="M1956" s="9" t="s">
        <v>65</v>
      </c>
    </row>
    <row r="1957">
      <c r="A1957" s="11">
        <v>1956.0</v>
      </c>
      <c r="B1957" s="11">
        <v>0.015</v>
      </c>
      <c r="C1957" s="11">
        <v>0.009</v>
      </c>
      <c r="D1957" s="11">
        <v>78.0</v>
      </c>
      <c r="E1957" s="11">
        <v>77.0</v>
      </c>
      <c r="F1957" s="11">
        <v>0.237</v>
      </c>
      <c r="G1957" s="11">
        <v>0.749</v>
      </c>
      <c r="H1957" s="11">
        <v>0.014</v>
      </c>
      <c r="I1957" s="11">
        <v>821159.0</v>
      </c>
      <c r="J1957" s="11">
        <v>0.974</v>
      </c>
      <c r="K1957" s="12" t="s">
        <v>229</v>
      </c>
      <c r="L1957" s="5" t="s">
        <v>93</v>
      </c>
      <c r="M1957" s="9" t="s">
        <v>66</v>
      </c>
    </row>
    <row r="1958">
      <c r="A1958" s="11">
        <v>1957.0</v>
      </c>
      <c r="B1958" s="11">
        <v>0.014</v>
      </c>
      <c r="C1958" s="11">
        <v>0.009</v>
      </c>
      <c r="D1958" s="11">
        <v>78.0</v>
      </c>
      <c r="E1958" s="11">
        <v>77.0</v>
      </c>
      <c r="F1958" s="11">
        <v>0.21</v>
      </c>
      <c r="G1958" s="11">
        <v>0.778</v>
      </c>
      <c r="H1958" s="11">
        <v>0.013</v>
      </c>
      <c r="I1958" s="11">
        <v>967602.0</v>
      </c>
      <c r="J1958" s="11">
        <v>0.978</v>
      </c>
      <c r="K1958" s="12" t="s">
        <v>229</v>
      </c>
      <c r="L1958" s="5" t="s">
        <v>93</v>
      </c>
      <c r="M1958" s="9" t="s">
        <v>67</v>
      </c>
    </row>
    <row r="1959">
      <c r="A1959" s="11">
        <v>1958.0</v>
      </c>
      <c r="B1959" s="11">
        <v>0.013</v>
      </c>
      <c r="C1959" s="11">
        <v>0.008</v>
      </c>
      <c r="D1959" s="11">
        <v>79.0</v>
      </c>
      <c r="E1959" s="11">
        <v>77.0</v>
      </c>
      <c r="F1959" s="11">
        <v>0.183</v>
      </c>
      <c r="G1959" s="11">
        <v>0.805</v>
      </c>
      <c r="H1959" s="11">
        <v>0.012</v>
      </c>
      <c r="I1959" s="11">
        <v>1152459.0</v>
      </c>
      <c r="J1959" s="11">
        <v>0.98</v>
      </c>
      <c r="K1959" s="12" t="s">
        <v>229</v>
      </c>
      <c r="L1959" s="5" t="s">
        <v>93</v>
      </c>
      <c r="M1959" s="9" t="s">
        <v>68</v>
      </c>
    </row>
    <row r="1960">
      <c r="A1960" s="11">
        <v>1959.0</v>
      </c>
      <c r="B1960" s="11">
        <v>0.013</v>
      </c>
      <c r="C1960" s="11">
        <v>0.008</v>
      </c>
      <c r="D1960" s="11">
        <v>79.0</v>
      </c>
      <c r="E1960" s="11">
        <v>77.0</v>
      </c>
      <c r="F1960" s="11">
        <v>0.161</v>
      </c>
      <c r="G1960" s="11">
        <v>0.827</v>
      </c>
      <c r="H1960" s="11">
        <v>0.012</v>
      </c>
      <c r="I1960" s="11">
        <v>1359114.0</v>
      </c>
      <c r="J1960" s="11">
        <v>0.983</v>
      </c>
      <c r="K1960" s="12" t="s">
        <v>229</v>
      </c>
      <c r="L1960" s="5" t="s">
        <v>93</v>
      </c>
      <c r="M1960" s="9" t="s">
        <v>69</v>
      </c>
    </row>
    <row r="1961">
      <c r="A1961" s="11">
        <v>1960.0</v>
      </c>
      <c r="B1961" s="11">
        <v>0.012</v>
      </c>
      <c r="C1961" s="11">
        <v>0.008</v>
      </c>
      <c r="D1961" s="11">
        <v>79.0</v>
      </c>
      <c r="E1961" s="11">
        <v>77.0</v>
      </c>
      <c r="F1961" s="11">
        <v>0.146</v>
      </c>
      <c r="G1961" s="11">
        <v>0.843</v>
      </c>
      <c r="H1961" s="11">
        <v>0.011</v>
      </c>
      <c r="I1961" s="11">
        <v>1564082.0</v>
      </c>
      <c r="J1961" s="11">
        <v>0.985</v>
      </c>
      <c r="K1961" s="12" t="s">
        <v>229</v>
      </c>
      <c r="L1961" s="5" t="s">
        <v>93</v>
      </c>
      <c r="M1961" s="9" t="s">
        <v>70</v>
      </c>
    </row>
    <row r="1962">
      <c r="A1962" s="11">
        <v>1961.0</v>
      </c>
      <c r="B1962" s="11">
        <v>0.012</v>
      </c>
      <c r="C1962" s="11">
        <v>0.008</v>
      </c>
      <c r="D1962" s="11">
        <v>79.0</v>
      </c>
      <c r="E1962" s="11">
        <v>77.0</v>
      </c>
      <c r="F1962" s="11">
        <v>0.137</v>
      </c>
      <c r="G1962" s="11">
        <v>0.852</v>
      </c>
      <c r="H1962" s="11">
        <v>0.011</v>
      </c>
      <c r="I1962" s="11">
        <v>1749713.0</v>
      </c>
      <c r="J1962" s="11">
        <v>0.987</v>
      </c>
      <c r="K1962" s="12" t="s">
        <v>229</v>
      </c>
      <c r="L1962" s="5" t="s">
        <v>93</v>
      </c>
      <c r="M1962" s="9" t="s">
        <v>71</v>
      </c>
    </row>
    <row r="1963">
      <c r="A1963" s="11">
        <v>1962.0</v>
      </c>
      <c r="B1963" s="11">
        <v>0.011</v>
      </c>
      <c r="C1963" s="11">
        <v>0.007</v>
      </c>
      <c r="D1963" s="11">
        <v>79.0</v>
      </c>
      <c r="E1963" s="11">
        <v>77.0</v>
      </c>
      <c r="F1963" s="11">
        <v>0.134</v>
      </c>
      <c r="G1963" s="11">
        <v>0.856</v>
      </c>
      <c r="H1963" s="11">
        <v>0.01</v>
      </c>
      <c r="I1963" s="11">
        <v>1910902.0</v>
      </c>
      <c r="J1963" s="11">
        <v>0.988</v>
      </c>
      <c r="K1963" s="12" t="s">
        <v>229</v>
      </c>
      <c r="L1963" s="5" t="s">
        <v>93</v>
      </c>
      <c r="M1963" s="9" t="s">
        <v>72</v>
      </c>
    </row>
    <row r="1964">
      <c r="A1964" s="11">
        <v>1963.0</v>
      </c>
      <c r="B1964" s="11">
        <v>0.011</v>
      </c>
      <c r="C1964" s="11">
        <v>0.007</v>
      </c>
      <c r="D1964" s="11">
        <v>79.0</v>
      </c>
      <c r="E1964" s="11">
        <v>78.0</v>
      </c>
      <c r="F1964" s="11">
        <v>0.133</v>
      </c>
      <c r="G1964" s="11">
        <v>0.857</v>
      </c>
      <c r="H1964" s="11">
        <v>0.01</v>
      </c>
      <c r="I1964" s="11">
        <v>2050514.0</v>
      </c>
      <c r="J1964" s="11">
        <v>0.989</v>
      </c>
      <c r="K1964" s="12" t="s">
        <v>229</v>
      </c>
      <c r="L1964" s="5" t="s">
        <v>93</v>
      </c>
      <c r="M1964" s="9" t="s">
        <v>73</v>
      </c>
    </row>
    <row r="1965">
      <c r="A1965" s="11">
        <v>1964.0</v>
      </c>
      <c r="B1965" s="11">
        <v>0.01</v>
      </c>
      <c r="C1965" s="11">
        <v>0.023</v>
      </c>
      <c r="D1965" s="11">
        <v>75.0</v>
      </c>
      <c r="E1965" s="11">
        <v>68.0</v>
      </c>
      <c r="F1965" s="11">
        <v>0.186</v>
      </c>
      <c r="G1965" s="11">
        <v>0.68</v>
      </c>
      <c r="H1965" s="11">
        <v>0.134</v>
      </c>
      <c r="I1965" s="11">
        <v>2.2442971E7</v>
      </c>
      <c r="J1965" s="11">
        <v>0.53</v>
      </c>
      <c r="K1965" s="12" t="s">
        <v>230</v>
      </c>
      <c r="L1965" s="5" t="s">
        <v>75</v>
      </c>
      <c r="M1965" s="9" t="s">
        <v>60</v>
      </c>
    </row>
    <row r="1966">
      <c r="A1966" s="11">
        <v>1965.0</v>
      </c>
      <c r="B1966" s="11">
        <v>0.01</v>
      </c>
      <c r="C1966" s="11">
        <v>0.022</v>
      </c>
      <c r="D1966" s="11">
        <v>75.0</v>
      </c>
      <c r="E1966" s="11">
        <v>68.0</v>
      </c>
      <c r="F1966" s="11">
        <v>0.181</v>
      </c>
      <c r="G1966" s="11">
        <v>0.683</v>
      </c>
      <c r="H1966" s="11">
        <v>0.137</v>
      </c>
      <c r="I1966" s="11">
        <v>2.213197E7</v>
      </c>
      <c r="J1966" s="11">
        <v>0.529</v>
      </c>
      <c r="K1966" s="12" t="s">
        <v>230</v>
      </c>
      <c r="L1966" s="5" t="s">
        <v>75</v>
      </c>
      <c r="M1966" s="9" t="s">
        <v>62</v>
      </c>
    </row>
    <row r="1967">
      <c r="A1967" s="11">
        <v>1966.0</v>
      </c>
      <c r="B1967" s="11">
        <v>0.01</v>
      </c>
      <c r="C1967" s="11">
        <v>0.022</v>
      </c>
      <c r="D1967" s="11">
        <v>75.0</v>
      </c>
      <c r="E1967" s="11">
        <v>67.0</v>
      </c>
      <c r="F1967" s="11">
        <v>0.174</v>
      </c>
      <c r="G1967" s="11">
        <v>0.686</v>
      </c>
      <c r="H1967" s="11">
        <v>0.14</v>
      </c>
      <c r="I1967" s="11">
        <v>2.1730496E7</v>
      </c>
      <c r="J1967" s="11">
        <v>0.528</v>
      </c>
      <c r="K1967" s="12" t="s">
        <v>230</v>
      </c>
      <c r="L1967" s="5" t="s">
        <v>75</v>
      </c>
      <c r="M1967" s="9" t="s">
        <v>63</v>
      </c>
    </row>
    <row r="1968">
      <c r="A1968" s="11">
        <v>1967.0</v>
      </c>
      <c r="B1968" s="11">
        <v>0.01</v>
      </c>
      <c r="C1968" s="11">
        <v>0.021</v>
      </c>
      <c r="D1968" s="11">
        <v>75.0</v>
      </c>
      <c r="E1968" s="11">
        <v>68.0</v>
      </c>
      <c r="F1968" s="11">
        <v>0.166</v>
      </c>
      <c r="G1968" s="11">
        <v>0.691</v>
      </c>
      <c r="H1968" s="11">
        <v>0.143</v>
      </c>
      <c r="I1968" s="11">
        <v>2.1574326E7</v>
      </c>
      <c r="J1968" s="11">
        <v>0.529</v>
      </c>
      <c r="K1968" s="12" t="s">
        <v>230</v>
      </c>
      <c r="L1968" s="5" t="s">
        <v>75</v>
      </c>
      <c r="M1968" s="9" t="s">
        <v>64</v>
      </c>
    </row>
    <row r="1969">
      <c r="A1969" s="11">
        <v>1968.0</v>
      </c>
      <c r="B1969" s="11">
        <v>0.01</v>
      </c>
      <c r="C1969" s="11">
        <v>0.02</v>
      </c>
      <c r="D1969" s="11">
        <v>75.0</v>
      </c>
      <c r="E1969" s="11">
        <v>68.0</v>
      </c>
      <c r="F1969" s="11">
        <v>0.16</v>
      </c>
      <c r="G1969" s="11">
        <v>0.694</v>
      </c>
      <c r="H1969" s="11">
        <v>0.146</v>
      </c>
      <c r="I1969" s="11">
        <v>2.1451748E7</v>
      </c>
      <c r="J1969" s="11">
        <v>0.53</v>
      </c>
      <c r="K1969" s="12" t="s">
        <v>230</v>
      </c>
      <c r="L1969" s="5" t="s">
        <v>75</v>
      </c>
      <c r="M1969" s="9" t="s">
        <v>65</v>
      </c>
    </row>
    <row r="1970">
      <c r="A1970" s="11">
        <v>1969.0</v>
      </c>
      <c r="B1970" s="11">
        <v>0.01</v>
      </c>
      <c r="C1970" s="11">
        <v>0.018</v>
      </c>
      <c r="D1970" s="11">
        <v>76.0</v>
      </c>
      <c r="E1970" s="11">
        <v>68.0</v>
      </c>
      <c r="F1970" s="11">
        <v>0.155</v>
      </c>
      <c r="G1970" s="11">
        <v>0.697</v>
      </c>
      <c r="H1970" s="11">
        <v>0.148</v>
      </c>
      <c r="I1970" s="11">
        <v>2.1319685E7</v>
      </c>
      <c r="J1970" s="11">
        <v>0.532</v>
      </c>
      <c r="K1970" s="12" t="s">
        <v>230</v>
      </c>
      <c r="L1970" s="5" t="s">
        <v>75</v>
      </c>
      <c r="M1970" s="9" t="s">
        <v>66</v>
      </c>
    </row>
    <row r="1971">
      <c r="A1971" s="11">
        <v>1970.0</v>
      </c>
      <c r="B1971" s="11">
        <v>0.01</v>
      </c>
      <c r="C1971" s="11">
        <v>0.017</v>
      </c>
      <c r="D1971" s="11">
        <v>76.0</v>
      </c>
      <c r="E1971" s="11">
        <v>69.0</v>
      </c>
      <c r="F1971" s="11">
        <v>0.152</v>
      </c>
      <c r="G1971" s="11">
        <v>0.7</v>
      </c>
      <c r="H1971" s="11">
        <v>0.149</v>
      </c>
      <c r="I1971" s="11">
        <v>2.119376E7</v>
      </c>
      <c r="J1971" s="11">
        <v>0.533</v>
      </c>
      <c r="K1971" s="12" t="s">
        <v>230</v>
      </c>
      <c r="L1971" s="5" t="s">
        <v>75</v>
      </c>
      <c r="M1971" s="9" t="s">
        <v>67</v>
      </c>
    </row>
    <row r="1972">
      <c r="A1972" s="11">
        <v>1971.0</v>
      </c>
      <c r="B1972" s="11">
        <v>0.01</v>
      </c>
      <c r="C1972" s="11">
        <v>0.015</v>
      </c>
      <c r="D1972" s="11">
        <v>76.0</v>
      </c>
      <c r="E1972" s="11">
        <v>69.0</v>
      </c>
      <c r="F1972" s="11">
        <v>0.15</v>
      </c>
      <c r="G1972" s="11">
        <v>0.701</v>
      </c>
      <c r="H1972" s="11">
        <v>0.149</v>
      </c>
      <c r="I1972" s="11">
        <v>2.0882982E7</v>
      </c>
      <c r="J1972" s="11">
        <v>0.534</v>
      </c>
      <c r="K1972" s="12" t="s">
        <v>230</v>
      </c>
      <c r="L1972" s="5" t="s">
        <v>75</v>
      </c>
      <c r="M1972" s="9" t="s">
        <v>68</v>
      </c>
    </row>
    <row r="1973">
      <c r="A1973" s="11">
        <v>1972.0</v>
      </c>
      <c r="B1973" s="11">
        <v>0.011</v>
      </c>
      <c r="C1973" s="11">
        <v>0.014</v>
      </c>
      <c r="D1973" s="11">
        <v>76.0</v>
      </c>
      <c r="E1973" s="11">
        <v>69.0</v>
      </c>
      <c r="F1973" s="11">
        <v>0.15</v>
      </c>
      <c r="G1973" s="11">
        <v>0.702</v>
      </c>
      <c r="H1973" s="11">
        <v>0.149</v>
      </c>
      <c r="I1973" s="11">
        <v>2.0537875E7</v>
      </c>
      <c r="J1973" s="11">
        <v>0.536</v>
      </c>
      <c r="K1973" s="12" t="s">
        <v>230</v>
      </c>
      <c r="L1973" s="5" t="s">
        <v>75</v>
      </c>
      <c r="M1973" s="9" t="s">
        <v>69</v>
      </c>
    </row>
    <row r="1974">
      <c r="A1974" s="11">
        <v>1973.0</v>
      </c>
      <c r="B1974" s="11">
        <v>0.011</v>
      </c>
      <c r="C1974" s="11">
        <v>0.013</v>
      </c>
      <c r="D1974" s="11">
        <v>77.0</v>
      </c>
      <c r="E1974" s="11">
        <v>70.0</v>
      </c>
      <c r="F1974" s="11">
        <v>0.15</v>
      </c>
      <c r="G1974" s="11">
        <v>0.702</v>
      </c>
      <c r="H1974" s="11">
        <v>0.148</v>
      </c>
      <c r="I1974" s="11">
        <v>2.0367487E7</v>
      </c>
      <c r="J1974" s="11">
        <v>0.537</v>
      </c>
      <c r="K1974" s="12" t="s">
        <v>230</v>
      </c>
      <c r="L1974" s="5" t="s">
        <v>75</v>
      </c>
      <c r="M1974" s="9" t="s">
        <v>70</v>
      </c>
    </row>
    <row r="1975">
      <c r="A1975" s="11">
        <v>1974.0</v>
      </c>
      <c r="B1975" s="11">
        <v>0.011</v>
      </c>
      <c r="C1975" s="11">
        <v>0.012</v>
      </c>
      <c r="D1975" s="11">
        <v>77.0</v>
      </c>
      <c r="E1975" s="11">
        <v>70.0</v>
      </c>
      <c r="F1975" s="11">
        <v>0.15</v>
      </c>
      <c r="G1975" s="11">
        <v>0.701</v>
      </c>
      <c r="H1975" s="11">
        <v>0.148</v>
      </c>
      <c r="I1975" s="11">
        <v>2.0246871E7</v>
      </c>
      <c r="J1975" s="11">
        <v>0.538</v>
      </c>
      <c r="K1975" s="12" t="s">
        <v>230</v>
      </c>
      <c r="L1975" s="5" t="s">
        <v>75</v>
      </c>
      <c r="M1975" s="9" t="s">
        <v>71</v>
      </c>
    </row>
    <row r="1976">
      <c r="A1976" s="11">
        <v>1975.0</v>
      </c>
      <c r="B1976" s="11">
        <v>0.01</v>
      </c>
      <c r="C1976" s="11">
        <v>0.012</v>
      </c>
      <c r="D1976" s="11">
        <v>78.0</v>
      </c>
      <c r="E1976" s="11">
        <v>71.0</v>
      </c>
      <c r="F1976" s="11">
        <v>0.15</v>
      </c>
      <c r="G1976" s="11">
        <v>0.701</v>
      </c>
      <c r="H1976" s="11">
        <v>0.149</v>
      </c>
      <c r="I1976" s="11">
        <v>2.0147528E7</v>
      </c>
      <c r="J1976" s="11">
        <v>0.54</v>
      </c>
      <c r="K1976" s="12" t="s">
        <v>230</v>
      </c>
      <c r="L1976" s="5" t="s">
        <v>75</v>
      </c>
      <c r="M1976" s="9" t="s">
        <v>72</v>
      </c>
    </row>
    <row r="1977">
      <c r="A1977" s="11">
        <v>1976.0</v>
      </c>
      <c r="B1977" s="11">
        <v>0.01</v>
      </c>
      <c r="C1977" s="11">
        <v>0.011</v>
      </c>
      <c r="D1977" s="11">
        <v>78.0</v>
      </c>
      <c r="E1977" s="11">
        <v>71.0</v>
      </c>
      <c r="F1977" s="11">
        <v>0.15</v>
      </c>
      <c r="G1977" s="11">
        <v>0.7</v>
      </c>
      <c r="H1977" s="11">
        <v>0.15</v>
      </c>
      <c r="I1977" s="11">
        <v>2.0076727E7</v>
      </c>
      <c r="J1977" s="11">
        <v>0.541</v>
      </c>
      <c r="K1977" s="12" t="s">
        <v>230</v>
      </c>
      <c r="L1977" s="5" t="s">
        <v>75</v>
      </c>
      <c r="M1977" s="9" t="s">
        <v>73</v>
      </c>
    </row>
    <row r="1978">
      <c r="A1978" s="11">
        <v>1977.0</v>
      </c>
      <c r="B1978" s="11">
        <v>0.009</v>
      </c>
      <c r="C1978" s="11">
        <v>0.02</v>
      </c>
      <c r="D1978" s="11">
        <v>72.0</v>
      </c>
      <c r="E1978" s="11">
        <v>59.0</v>
      </c>
      <c r="F1978" s="11">
        <v>0.182</v>
      </c>
      <c r="G1978" s="11">
        <v>0.694</v>
      </c>
      <c r="H1978" s="11">
        <v>0.124</v>
      </c>
      <c r="I1978" s="11">
        <v>1.4659687E8</v>
      </c>
      <c r="J1978" s="11">
        <v>0.734</v>
      </c>
      <c r="K1978" s="12" t="s">
        <v>231</v>
      </c>
      <c r="L1978" s="5" t="s">
        <v>75</v>
      </c>
      <c r="M1978" s="9" t="s">
        <v>60</v>
      </c>
    </row>
    <row r="1979">
      <c r="A1979" s="11">
        <v>1978.0</v>
      </c>
      <c r="B1979" s="11">
        <v>0.009</v>
      </c>
      <c r="C1979" s="11">
        <v>0.019</v>
      </c>
      <c r="D1979" s="11">
        <v>72.0</v>
      </c>
      <c r="E1979" s="11">
        <v>59.0</v>
      </c>
      <c r="F1979" s="11">
        <v>0.175</v>
      </c>
      <c r="G1979" s="11">
        <v>0.698</v>
      </c>
      <c r="H1979" s="11">
        <v>0.127</v>
      </c>
      <c r="I1979" s="11">
        <v>1.45976473E8</v>
      </c>
      <c r="J1979" s="11">
        <v>0.733</v>
      </c>
      <c r="K1979" s="12" t="s">
        <v>231</v>
      </c>
      <c r="L1979" s="5" t="s">
        <v>75</v>
      </c>
      <c r="M1979" s="9" t="s">
        <v>62</v>
      </c>
    </row>
    <row r="1980">
      <c r="A1980" s="11">
        <v>1979.0</v>
      </c>
      <c r="B1980" s="11">
        <v>0.01</v>
      </c>
      <c r="C1980" s="11">
        <v>0.018</v>
      </c>
      <c r="D1980" s="11">
        <v>72.0</v>
      </c>
      <c r="E1980" s="11">
        <v>59.0</v>
      </c>
      <c r="F1980" s="11">
        <v>0.168</v>
      </c>
      <c r="G1980" s="11">
        <v>0.702</v>
      </c>
      <c r="H1980" s="11">
        <v>0.13</v>
      </c>
      <c r="I1980" s="11">
        <v>1.45408033E8</v>
      </c>
      <c r="J1980" s="11">
        <v>0.733</v>
      </c>
      <c r="K1980" s="12" t="s">
        <v>231</v>
      </c>
      <c r="L1980" s="5" t="s">
        <v>75</v>
      </c>
      <c r="M1980" s="9" t="s">
        <v>63</v>
      </c>
    </row>
    <row r="1981">
      <c r="A1981" s="11">
        <v>1980.0</v>
      </c>
      <c r="B1981" s="11">
        <v>0.01</v>
      </c>
      <c r="C1981" s="11">
        <v>0.017</v>
      </c>
      <c r="D1981" s="11">
        <v>72.0</v>
      </c>
      <c r="E1981" s="11">
        <v>59.0</v>
      </c>
      <c r="F1981" s="11">
        <v>0.162</v>
      </c>
      <c r="G1981" s="11">
        <v>0.705</v>
      </c>
      <c r="H1981" s="11">
        <v>0.134</v>
      </c>
      <c r="I1981" s="11">
        <v>1.44667468E8</v>
      </c>
      <c r="J1981" s="11">
        <v>0.734</v>
      </c>
      <c r="K1981" s="12" t="s">
        <v>231</v>
      </c>
      <c r="L1981" s="5" t="s">
        <v>75</v>
      </c>
      <c r="M1981" s="9" t="s">
        <v>64</v>
      </c>
    </row>
    <row r="1982">
      <c r="A1982" s="11">
        <v>1981.0</v>
      </c>
      <c r="B1982" s="11">
        <v>0.01</v>
      </c>
      <c r="C1982" s="11">
        <v>0.015</v>
      </c>
      <c r="D1982" s="11">
        <v>72.0</v>
      </c>
      <c r="E1982" s="11">
        <v>59.0</v>
      </c>
      <c r="F1982" s="11">
        <v>0.156</v>
      </c>
      <c r="G1982" s="11">
        <v>0.707</v>
      </c>
      <c r="H1982" s="11">
        <v>0.136</v>
      </c>
      <c r="I1982" s="11">
        <v>1.43821212E8</v>
      </c>
      <c r="J1982" s="11">
        <v>0.734</v>
      </c>
      <c r="K1982" s="12" t="s">
        <v>231</v>
      </c>
      <c r="L1982" s="5" t="s">
        <v>75</v>
      </c>
      <c r="M1982" s="9" t="s">
        <v>65</v>
      </c>
    </row>
    <row r="1983">
      <c r="A1983" s="11">
        <v>1982.0</v>
      </c>
      <c r="B1983" s="11">
        <v>0.01</v>
      </c>
      <c r="C1983" s="11">
        <v>0.014</v>
      </c>
      <c r="D1983" s="11">
        <v>72.0</v>
      </c>
      <c r="E1983" s="11">
        <v>59.0</v>
      </c>
      <c r="F1983" s="11">
        <v>0.152</v>
      </c>
      <c r="G1983" s="11">
        <v>0.71</v>
      </c>
      <c r="H1983" s="11">
        <v>0.138</v>
      </c>
      <c r="I1983" s="11">
        <v>1.43113885E8</v>
      </c>
      <c r="J1983" s="11">
        <v>0.735</v>
      </c>
      <c r="K1983" s="12" t="s">
        <v>231</v>
      </c>
      <c r="L1983" s="5" t="s">
        <v>75</v>
      </c>
      <c r="M1983" s="9" t="s">
        <v>66</v>
      </c>
    </row>
    <row r="1984">
      <c r="A1984" s="11">
        <v>1983.0</v>
      </c>
      <c r="B1984" s="11">
        <v>0.01</v>
      </c>
      <c r="C1984" s="11">
        <v>0.013</v>
      </c>
      <c r="D1984" s="11">
        <v>73.0</v>
      </c>
      <c r="E1984" s="11">
        <v>60.0</v>
      </c>
      <c r="F1984" s="11">
        <v>0.149</v>
      </c>
      <c r="G1984" s="11">
        <v>0.713</v>
      </c>
      <c r="H1984" s="11">
        <v>0.138</v>
      </c>
      <c r="I1984" s="11">
        <v>1.4248726E8</v>
      </c>
      <c r="J1984" s="11">
        <v>0.735</v>
      </c>
      <c r="K1984" s="12" t="s">
        <v>231</v>
      </c>
      <c r="L1984" s="5" t="s">
        <v>75</v>
      </c>
      <c r="M1984" s="9" t="s">
        <v>67</v>
      </c>
    </row>
    <row r="1985">
      <c r="A1985" s="11">
        <v>1984.0</v>
      </c>
      <c r="B1985" s="11">
        <v>0.011</v>
      </c>
      <c r="C1985" s="11">
        <v>0.012</v>
      </c>
      <c r="D1985" s="11">
        <v>74.0</v>
      </c>
      <c r="E1985" s="11">
        <v>61.0</v>
      </c>
      <c r="F1985" s="11">
        <v>0.147</v>
      </c>
      <c r="G1985" s="11">
        <v>0.716</v>
      </c>
      <c r="H1985" s="11">
        <v>0.137</v>
      </c>
      <c r="I1985" s="11">
        <v>1.42114903E8</v>
      </c>
      <c r="J1985" s="11">
        <v>0.736</v>
      </c>
      <c r="K1985" s="12" t="s">
        <v>231</v>
      </c>
      <c r="L1985" s="5" t="s">
        <v>75</v>
      </c>
      <c r="M1985" s="9" t="s">
        <v>68</v>
      </c>
    </row>
    <row r="1986">
      <c r="A1986" s="11">
        <v>1985.0</v>
      </c>
      <c r="B1986" s="11">
        <v>0.012</v>
      </c>
      <c r="C1986" s="11">
        <v>0.012</v>
      </c>
      <c r="D1986" s="11">
        <v>74.0</v>
      </c>
      <c r="E1986" s="11">
        <v>62.0</v>
      </c>
      <c r="F1986" s="11">
        <v>0.147</v>
      </c>
      <c r="G1986" s="11">
        <v>0.718</v>
      </c>
      <c r="H1986" s="11">
        <v>0.135</v>
      </c>
      <c r="I1986" s="11">
        <v>1.41956409E8</v>
      </c>
      <c r="J1986" s="11">
        <v>0.736</v>
      </c>
      <c r="K1986" s="12" t="s">
        <v>231</v>
      </c>
      <c r="L1986" s="5" t="s">
        <v>75</v>
      </c>
      <c r="M1986" s="9" t="s">
        <v>69</v>
      </c>
    </row>
    <row r="1987">
      <c r="A1987" s="11">
        <v>1986.0</v>
      </c>
      <c r="B1987" s="11">
        <v>0.012</v>
      </c>
      <c r="C1987" s="11">
        <v>0.011</v>
      </c>
      <c r="D1987" s="11">
        <v>75.0</v>
      </c>
      <c r="E1987" s="11">
        <v>63.0</v>
      </c>
      <c r="F1987" s="11">
        <v>0.148</v>
      </c>
      <c r="G1987" s="11">
        <v>0.72</v>
      </c>
      <c r="H1987" s="11">
        <v>0.133</v>
      </c>
      <c r="I1987" s="11">
        <v>1.41909244E8</v>
      </c>
      <c r="J1987" s="11">
        <v>0.736</v>
      </c>
      <c r="K1987" s="12" t="s">
        <v>231</v>
      </c>
      <c r="L1987" s="5" t="s">
        <v>75</v>
      </c>
      <c r="M1987" s="9" t="s">
        <v>70</v>
      </c>
    </row>
    <row r="1988">
      <c r="A1988" s="11">
        <v>1987.0</v>
      </c>
      <c r="B1988" s="11">
        <v>0.013</v>
      </c>
      <c r="C1988" s="11">
        <v>0.01</v>
      </c>
      <c r="D1988" s="11">
        <v>75.0</v>
      </c>
      <c r="E1988" s="11">
        <v>63.0</v>
      </c>
      <c r="F1988" s="11">
        <v>0.149</v>
      </c>
      <c r="G1988" s="11">
        <v>0.72</v>
      </c>
      <c r="H1988" s="11">
        <v>0.131</v>
      </c>
      <c r="I1988" s="11">
        <v>1.42385523E8</v>
      </c>
      <c r="J1988" s="11">
        <v>0.737</v>
      </c>
      <c r="K1988" s="12" t="s">
        <v>231</v>
      </c>
      <c r="L1988" s="5" t="s">
        <v>75</v>
      </c>
      <c r="M1988" s="9" t="s">
        <v>71</v>
      </c>
    </row>
    <row r="1989">
      <c r="A1989" s="11">
        <v>1988.0</v>
      </c>
      <c r="B1989" s="11">
        <v>0.013</v>
      </c>
      <c r="C1989" s="11">
        <v>0.01</v>
      </c>
      <c r="D1989" s="11">
        <v>76.0</v>
      </c>
      <c r="E1989" s="11">
        <v>64.0</v>
      </c>
      <c r="F1989" s="11">
        <v>0.151</v>
      </c>
      <c r="G1989" s="11">
        <v>0.718</v>
      </c>
      <c r="H1989" s="11">
        <v>0.13</v>
      </c>
      <c r="I1989" s="11">
        <v>1.4295646E8</v>
      </c>
      <c r="J1989" s="11">
        <v>0.737</v>
      </c>
      <c r="K1989" s="12" t="s">
        <v>231</v>
      </c>
      <c r="L1989" s="5" t="s">
        <v>75</v>
      </c>
      <c r="M1989" s="9" t="s">
        <v>72</v>
      </c>
    </row>
    <row r="1990">
      <c r="A1990" s="11">
        <v>1989.0</v>
      </c>
      <c r="B1990" s="11">
        <v>0.013</v>
      </c>
      <c r="C1990" s="11">
        <v>0.009</v>
      </c>
      <c r="D1990" s="11">
        <v>76.0</v>
      </c>
      <c r="E1990" s="11">
        <v>65.0</v>
      </c>
      <c r="F1990" s="11">
        <v>0.154</v>
      </c>
      <c r="G1990" s="11">
        <v>0.716</v>
      </c>
      <c r="H1990" s="11">
        <v>0.13</v>
      </c>
      <c r="I1990" s="11">
        <v>1.43178E8</v>
      </c>
      <c r="J1990" s="11">
        <v>0.738</v>
      </c>
      <c r="K1990" s="12" t="s">
        <v>231</v>
      </c>
      <c r="L1990" s="5" t="s">
        <v>75</v>
      </c>
      <c r="M1990" s="9" t="s">
        <v>73</v>
      </c>
    </row>
    <row r="1991">
      <c r="A1991" s="11">
        <v>1990.0</v>
      </c>
      <c r="B1991" s="11">
        <v>0.041</v>
      </c>
      <c r="C1991" s="11">
        <v>0.108</v>
      </c>
      <c r="D1991" s="11">
        <v>49.0</v>
      </c>
      <c r="E1991" s="11">
        <v>47.0</v>
      </c>
      <c r="F1991" s="11">
        <v>0.466</v>
      </c>
      <c r="G1991" s="11">
        <v>0.505</v>
      </c>
      <c r="H1991" s="11">
        <v>0.03</v>
      </c>
      <c r="I1991" s="11">
        <v>8395577.0</v>
      </c>
      <c r="J1991" s="11">
        <v>0.149</v>
      </c>
      <c r="K1991" s="12" t="s">
        <v>232</v>
      </c>
      <c r="L1991" s="5" t="s">
        <v>77</v>
      </c>
      <c r="M1991" s="9" t="s">
        <v>60</v>
      </c>
    </row>
    <row r="1992">
      <c r="A1992" s="11">
        <v>1991.0</v>
      </c>
      <c r="B1992" s="11">
        <v>0.04</v>
      </c>
      <c r="C1992" s="11">
        <v>0.101</v>
      </c>
      <c r="D1992" s="11">
        <v>50.0</v>
      </c>
      <c r="E1992" s="11">
        <v>48.0</v>
      </c>
      <c r="F1992" s="11">
        <v>0.464</v>
      </c>
      <c r="G1992" s="11">
        <v>0.507</v>
      </c>
      <c r="H1992" s="11">
        <v>0.029</v>
      </c>
      <c r="I1992" s="11">
        <v>8760003.0</v>
      </c>
      <c r="J1992" s="11">
        <v>0.158</v>
      </c>
      <c r="K1992" s="12" t="s">
        <v>232</v>
      </c>
      <c r="L1992" s="5" t="s">
        <v>77</v>
      </c>
      <c r="M1992" s="9" t="s">
        <v>62</v>
      </c>
    </row>
    <row r="1993">
      <c r="A1993" s="11">
        <v>1992.0</v>
      </c>
      <c r="B1993" s="11">
        <v>0.04</v>
      </c>
      <c r="C1993" s="11">
        <v>0.092</v>
      </c>
      <c r="D1993" s="11">
        <v>51.0</v>
      </c>
      <c r="E1993" s="11">
        <v>50.0</v>
      </c>
      <c r="F1993" s="11">
        <v>0.459</v>
      </c>
      <c r="G1993" s="11">
        <v>0.513</v>
      </c>
      <c r="H1993" s="11">
        <v>0.029</v>
      </c>
      <c r="I1993" s="11">
        <v>8987523.0</v>
      </c>
      <c r="J1993" s="11">
        <v>0.168</v>
      </c>
      <c r="K1993" s="12" t="s">
        <v>232</v>
      </c>
      <c r="L1993" s="5" t="s">
        <v>77</v>
      </c>
      <c r="M1993" s="9" t="s">
        <v>63</v>
      </c>
    </row>
    <row r="1994">
      <c r="A1994" s="11">
        <v>1993.0</v>
      </c>
      <c r="B1994" s="11">
        <v>0.039</v>
      </c>
      <c r="C1994" s="11">
        <v>0.083</v>
      </c>
      <c r="D1994" s="11">
        <v>53.0</v>
      </c>
      <c r="E1994" s="11">
        <v>51.0</v>
      </c>
      <c r="F1994" s="11">
        <v>0.452</v>
      </c>
      <c r="G1994" s="11">
        <v>0.521</v>
      </c>
      <c r="H1994" s="11">
        <v>0.027</v>
      </c>
      <c r="I1994" s="11">
        <v>9126167.0</v>
      </c>
      <c r="J1994" s="11">
        <v>0.176</v>
      </c>
      <c r="K1994" s="12" t="s">
        <v>232</v>
      </c>
      <c r="L1994" s="5" t="s">
        <v>77</v>
      </c>
      <c r="M1994" s="9" t="s">
        <v>64</v>
      </c>
    </row>
    <row r="1995">
      <c r="A1995" s="11">
        <v>1994.0</v>
      </c>
      <c r="B1995" s="11">
        <v>0.039</v>
      </c>
      <c r="C1995" s="11">
        <v>0.075</v>
      </c>
      <c r="D1995" s="11">
        <v>55.0</v>
      </c>
      <c r="E1995" s="11">
        <v>52.0</v>
      </c>
      <c r="F1995" s="11">
        <v>0.446</v>
      </c>
      <c r="G1995" s="11">
        <v>0.528</v>
      </c>
      <c r="H1995" s="11">
        <v>0.026</v>
      </c>
      <c r="I1995" s="11">
        <v>9254379.0</v>
      </c>
      <c r="J1995" s="11">
        <v>0.184</v>
      </c>
      <c r="K1995" s="12" t="s">
        <v>232</v>
      </c>
      <c r="L1995" s="5" t="s">
        <v>77</v>
      </c>
      <c r="M1995" s="9" t="s">
        <v>65</v>
      </c>
    </row>
    <row r="1996">
      <c r="A1996" s="11">
        <v>1995.0</v>
      </c>
      <c r="B1996" s="11">
        <v>0.038</v>
      </c>
      <c r="C1996" s="11">
        <v>0.067</v>
      </c>
      <c r="D1996" s="11">
        <v>56.0</v>
      </c>
      <c r="E1996" s="11">
        <v>54.0</v>
      </c>
      <c r="F1996" s="11">
        <v>0.442</v>
      </c>
      <c r="G1996" s="11">
        <v>0.532</v>
      </c>
      <c r="H1996" s="11">
        <v>0.025</v>
      </c>
      <c r="I1996" s="11">
        <v>9429457.0</v>
      </c>
      <c r="J1996" s="11">
        <v>0.193</v>
      </c>
      <c r="K1996" s="12" t="s">
        <v>232</v>
      </c>
      <c r="L1996" s="5" t="s">
        <v>77</v>
      </c>
      <c r="M1996" s="9" t="s">
        <v>66</v>
      </c>
    </row>
    <row r="1997">
      <c r="A1997" s="11">
        <v>1996.0</v>
      </c>
      <c r="B1997" s="11">
        <v>0.038</v>
      </c>
      <c r="C1997" s="11">
        <v>0.061</v>
      </c>
      <c r="D1997" s="11">
        <v>58.0</v>
      </c>
      <c r="E1997" s="11">
        <v>56.0</v>
      </c>
      <c r="F1997" s="11">
        <v>0.442</v>
      </c>
      <c r="G1997" s="11">
        <v>0.533</v>
      </c>
      <c r="H1997" s="11">
        <v>0.024</v>
      </c>
      <c r="I1997" s="11">
        <v>9660946.0</v>
      </c>
      <c r="J1997" s="11">
        <v>0.202</v>
      </c>
      <c r="K1997" s="12" t="s">
        <v>232</v>
      </c>
      <c r="L1997" s="5" t="s">
        <v>77</v>
      </c>
      <c r="M1997" s="9" t="s">
        <v>67</v>
      </c>
    </row>
    <row r="1998">
      <c r="A1998" s="11">
        <v>1997.0</v>
      </c>
      <c r="B1998" s="11">
        <v>0.038</v>
      </c>
      <c r="C1998" s="11">
        <v>0.055</v>
      </c>
      <c r="D1998" s="11">
        <v>60.0</v>
      </c>
      <c r="E1998" s="11">
        <v>57.0</v>
      </c>
      <c r="F1998" s="11">
        <v>0.445</v>
      </c>
      <c r="G1998" s="11">
        <v>0.532</v>
      </c>
      <c r="H1998" s="11">
        <v>0.024</v>
      </c>
      <c r="I1998" s="11">
        <v>9928143.0</v>
      </c>
      <c r="J1998" s="11">
        <v>0.211</v>
      </c>
      <c r="K1998" s="12" t="s">
        <v>232</v>
      </c>
      <c r="L1998" s="5" t="s">
        <v>77</v>
      </c>
      <c r="M1998" s="9" t="s">
        <v>68</v>
      </c>
    </row>
    <row r="1999">
      <c r="A1999" s="11">
        <v>1998.0</v>
      </c>
      <c r="B1999" s="11">
        <v>0.038</v>
      </c>
      <c r="C1999" s="11">
        <v>0.05</v>
      </c>
      <c r="D1999" s="11">
        <v>61.0</v>
      </c>
      <c r="E1999" s="11">
        <v>59.0</v>
      </c>
      <c r="F1999" s="11">
        <v>0.447</v>
      </c>
      <c r="G1999" s="11">
        <v>0.53</v>
      </c>
      <c r="H1999" s="11">
        <v>0.023</v>
      </c>
      <c r="I1999" s="11">
        <v>1.0222961E7</v>
      </c>
      <c r="J1999" s="11">
        <v>0.22</v>
      </c>
      <c r="K1999" s="12" t="s">
        <v>232</v>
      </c>
      <c r="L1999" s="5" t="s">
        <v>77</v>
      </c>
      <c r="M1999" s="9" t="s">
        <v>69</v>
      </c>
    </row>
    <row r="2000">
      <c r="A2000" s="11">
        <v>1999.0</v>
      </c>
      <c r="B2000" s="11">
        <v>0.037</v>
      </c>
      <c r="C2000" s="11">
        <v>0.047</v>
      </c>
      <c r="D2000" s="11">
        <v>63.0</v>
      </c>
      <c r="E2000" s="11">
        <v>60.0</v>
      </c>
      <c r="F2000" s="11">
        <v>0.448</v>
      </c>
      <c r="G2000" s="11">
        <v>0.529</v>
      </c>
      <c r="H2000" s="11">
        <v>0.023</v>
      </c>
      <c r="I2000" s="11">
        <v>1.0529668E7</v>
      </c>
      <c r="J2000" s="11">
        <v>0.23</v>
      </c>
      <c r="K2000" s="12" t="s">
        <v>232</v>
      </c>
      <c r="L2000" s="5" t="s">
        <v>77</v>
      </c>
      <c r="M2000" s="9" t="s">
        <v>70</v>
      </c>
    </row>
    <row r="2001">
      <c r="A2001" s="11">
        <v>2000.0</v>
      </c>
      <c r="B2001" s="11">
        <v>0.037</v>
      </c>
      <c r="C2001" s="11">
        <v>0.044</v>
      </c>
      <c r="D2001" s="11">
        <v>64.0</v>
      </c>
      <c r="E2001" s="11">
        <v>61.0</v>
      </c>
      <c r="F2001" s="11">
        <v>0.447</v>
      </c>
      <c r="G2001" s="11">
        <v>0.53</v>
      </c>
      <c r="H2001" s="11">
        <v>0.023</v>
      </c>
      <c r="I2001" s="11">
        <v>1.0836732E7</v>
      </c>
      <c r="J2001" s="11">
        <v>0.24</v>
      </c>
      <c r="K2001" s="12" t="s">
        <v>232</v>
      </c>
      <c r="L2001" s="5" t="s">
        <v>77</v>
      </c>
      <c r="M2001" s="9" t="s">
        <v>71</v>
      </c>
    </row>
    <row r="2002">
      <c r="A2002" s="11">
        <v>2001.0</v>
      </c>
      <c r="B2002" s="11">
        <v>0.036</v>
      </c>
      <c r="C2002" s="11">
        <v>0.041</v>
      </c>
      <c r="D2002" s="11">
        <v>65.0</v>
      </c>
      <c r="E2002" s="11">
        <v>61.0</v>
      </c>
      <c r="F2002" s="11">
        <v>0.442</v>
      </c>
      <c r="G2002" s="11">
        <v>0.535</v>
      </c>
      <c r="H2002" s="11">
        <v>0.023</v>
      </c>
      <c r="I2002" s="11">
        <v>1.1144315E7</v>
      </c>
      <c r="J2002" s="11">
        <v>0.249</v>
      </c>
      <c r="K2002" s="12" t="s">
        <v>232</v>
      </c>
      <c r="L2002" s="5" t="s">
        <v>77</v>
      </c>
      <c r="M2002" s="9" t="s">
        <v>72</v>
      </c>
    </row>
    <row r="2003">
      <c r="A2003" s="11">
        <v>2002.0</v>
      </c>
      <c r="B2003" s="11">
        <v>0.036</v>
      </c>
      <c r="C2003" s="11">
        <v>0.039</v>
      </c>
      <c r="D2003" s="11">
        <v>65.0</v>
      </c>
      <c r="E2003" s="11">
        <v>62.0</v>
      </c>
      <c r="F2003" s="11">
        <v>0.436</v>
      </c>
      <c r="G2003" s="11">
        <v>0.541</v>
      </c>
      <c r="H2003" s="11">
        <v>0.023</v>
      </c>
      <c r="I2003" s="11">
        <v>1.1457801E7</v>
      </c>
      <c r="J2003" s="11">
        <v>0.259</v>
      </c>
      <c r="K2003" s="12" t="s">
        <v>232</v>
      </c>
      <c r="L2003" s="5" t="s">
        <v>77</v>
      </c>
      <c r="M2003" s="9" t="s">
        <v>73</v>
      </c>
    </row>
    <row r="2004">
      <c r="A2004" s="11">
        <v>2003.0</v>
      </c>
      <c r="B2004" s="11">
        <v>0.031</v>
      </c>
      <c r="C2004" s="11">
        <v>0.019</v>
      </c>
      <c r="D2004" s="11">
        <v>73.0</v>
      </c>
      <c r="E2004" s="11">
        <v>66.0</v>
      </c>
      <c r="F2004" s="11">
        <v>0.407</v>
      </c>
      <c r="G2004" s="11">
        <v>0.548</v>
      </c>
      <c r="H2004" s="11">
        <v>0.045</v>
      </c>
      <c r="I2004" s="11">
        <v>174614.0</v>
      </c>
      <c r="J2004" s="11">
        <v>0.22</v>
      </c>
      <c r="K2004" s="12" t="s">
        <v>233</v>
      </c>
      <c r="L2004" s="5" t="s">
        <v>80</v>
      </c>
      <c r="M2004" s="9" t="s">
        <v>60</v>
      </c>
    </row>
    <row r="2005">
      <c r="A2005" s="11">
        <v>2004.0</v>
      </c>
      <c r="B2005" s="11">
        <v>0.03</v>
      </c>
      <c r="C2005" s="11">
        <v>0.018</v>
      </c>
      <c r="D2005" s="11">
        <v>73.0</v>
      </c>
      <c r="E2005" s="11">
        <v>67.0</v>
      </c>
      <c r="F2005" s="11">
        <v>0.406</v>
      </c>
      <c r="G2005" s="11">
        <v>0.549</v>
      </c>
      <c r="H2005" s="11">
        <v>0.045</v>
      </c>
      <c r="I2005" s="11">
        <v>175567.0</v>
      </c>
      <c r="J2005" s="11">
        <v>0.221</v>
      </c>
      <c r="K2005" s="12" t="s">
        <v>233</v>
      </c>
      <c r="L2005" s="5" t="s">
        <v>80</v>
      </c>
      <c r="M2005" s="9" t="s">
        <v>62</v>
      </c>
    </row>
    <row r="2006">
      <c r="A2006" s="11">
        <v>2005.0</v>
      </c>
      <c r="B2006" s="11">
        <v>0.03</v>
      </c>
      <c r="C2006" s="11">
        <v>0.018</v>
      </c>
      <c r="D2006" s="11">
        <v>73.0</v>
      </c>
      <c r="E2006" s="11">
        <v>67.0</v>
      </c>
      <c r="F2006" s="11">
        <v>0.404</v>
      </c>
      <c r="G2006" s="11">
        <v>0.55</v>
      </c>
      <c r="H2006" s="11">
        <v>0.046</v>
      </c>
      <c r="I2006" s="11">
        <v>176592.0</v>
      </c>
      <c r="J2006" s="11">
        <v>0.219</v>
      </c>
      <c r="K2006" s="12" t="s">
        <v>233</v>
      </c>
      <c r="L2006" s="5" t="s">
        <v>80</v>
      </c>
      <c r="M2006" s="9" t="s">
        <v>63</v>
      </c>
    </row>
    <row r="2007">
      <c r="A2007" s="11">
        <v>2006.0</v>
      </c>
      <c r="B2007" s="11">
        <v>0.03</v>
      </c>
      <c r="C2007" s="11">
        <v>0.017</v>
      </c>
      <c r="D2007" s="11">
        <v>74.0</v>
      </c>
      <c r="E2007" s="11">
        <v>67.0</v>
      </c>
      <c r="F2007" s="11">
        <v>0.401</v>
      </c>
      <c r="G2007" s="11">
        <v>0.552</v>
      </c>
      <c r="H2007" s="11">
        <v>0.047</v>
      </c>
      <c r="I2007" s="11">
        <v>177677.0</v>
      </c>
      <c r="J2007" s="11">
        <v>0.217</v>
      </c>
      <c r="K2007" s="12" t="s">
        <v>233</v>
      </c>
      <c r="L2007" s="5" t="s">
        <v>80</v>
      </c>
      <c r="M2007" s="9" t="s">
        <v>64</v>
      </c>
    </row>
    <row r="2008">
      <c r="A2008" s="11">
        <v>2007.0</v>
      </c>
      <c r="B2008" s="11">
        <v>0.03</v>
      </c>
      <c r="C2008" s="11">
        <v>0.017</v>
      </c>
      <c r="D2008" s="11">
        <v>74.0</v>
      </c>
      <c r="E2008" s="11">
        <v>68.0</v>
      </c>
      <c r="F2008" s="11">
        <v>0.398</v>
      </c>
      <c r="G2008" s="11">
        <v>0.554</v>
      </c>
      <c r="H2008" s="11">
        <v>0.048</v>
      </c>
      <c r="I2008" s="11">
        <v>178794.0</v>
      </c>
      <c r="J2008" s="11">
        <v>0.215</v>
      </c>
      <c r="K2008" s="12" t="s">
        <v>233</v>
      </c>
      <c r="L2008" s="5" t="s">
        <v>80</v>
      </c>
      <c r="M2008" s="9" t="s">
        <v>65</v>
      </c>
    </row>
    <row r="2009">
      <c r="A2009" s="11">
        <v>2008.0</v>
      </c>
      <c r="B2009" s="11">
        <v>0.029</v>
      </c>
      <c r="C2009" s="11">
        <v>0.017</v>
      </c>
      <c r="D2009" s="11">
        <v>74.0</v>
      </c>
      <c r="E2009" s="11">
        <v>68.0</v>
      </c>
      <c r="F2009" s="11">
        <v>0.396</v>
      </c>
      <c r="G2009" s="11">
        <v>0.556</v>
      </c>
      <c r="H2009" s="11">
        <v>0.048</v>
      </c>
      <c r="I2009" s="11">
        <v>179928.0</v>
      </c>
      <c r="J2009" s="11">
        <v>0.212</v>
      </c>
      <c r="K2009" s="12" t="s">
        <v>233</v>
      </c>
      <c r="L2009" s="5" t="s">
        <v>80</v>
      </c>
      <c r="M2009" s="9" t="s">
        <v>66</v>
      </c>
    </row>
    <row r="2010">
      <c r="A2010" s="11">
        <v>2009.0</v>
      </c>
      <c r="B2010" s="11">
        <v>0.029</v>
      </c>
      <c r="C2010" s="11">
        <v>0.016</v>
      </c>
      <c r="D2010" s="11">
        <v>75.0</v>
      </c>
      <c r="E2010" s="11">
        <v>68.0</v>
      </c>
      <c r="F2010" s="11">
        <v>0.393</v>
      </c>
      <c r="G2010" s="11">
        <v>0.558</v>
      </c>
      <c r="H2010" s="11">
        <v>0.049</v>
      </c>
      <c r="I2010" s="11">
        <v>181073.0</v>
      </c>
      <c r="J2010" s="11">
        <v>0.21</v>
      </c>
      <c r="K2010" s="12" t="s">
        <v>233</v>
      </c>
      <c r="L2010" s="5" t="s">
        <v>80</v>
      </c>
      <c r="M2010" s="9" t="s">
        <v>67</v>
      </c>
    </row>
    <row r="2011">
      <c r="A2011" s="11">
        <v>2010.0</v>
      </c>
      <c r="B2011" s="11">
        <v>0.029</v>
      </c>
      <c r="C2011" s="11">
        <v>0.016</v>
      </c>
      <c r="D2011" s="11">
        <v>75.0</v>
      </c>
      <c r="E2011" s="11">
        <v>68.0</v>
      </c>
      <c r="F2011" s="11">
        <v>0.39</v>
      </c>
      <c r="G2011" s="11">
        <v>0.56</v>
      </c>
      <c r="H2011" s="11">
        <v>0.049</v>
      </c>
      <c r="I2011" s="11">
        <v>182240.0</v>
      </c>
      <c r="J2011" s="11">
        <v>0.208</v>
      </c>
      <c r="K2011" s="12" t="s">
        <v>233</v>
      </c>
      <c r="L2011" s="5" t="s">
        <v>80</v>
      </c>
      <c r="M2011" s="9" t="s">
        <v>68</v>
      </c>
    </row>
    <row r="2012">
      <c r="A2012" s="11">
        <v>2011.0</v>
      </c>
      <c r="B2012" s="11">
        <v>0.029</v>
      </c>
      <c r="C2012" s="11">
        <v>0.016</v>
      </c>
      <c r="D2012" s="11">
        <v>75.0</v>
      </c>
      <c r="E2012" s="11">
        <v>69.0</v>
      </c>
      <c r="F2012" s="11">
        <v>0.388</v>
      </c>
      <c r="G2012" s="11">
        <v>0.563</v>
      </c>
      <c r="H2012" s="11">
        <v>0.05</v>
      </c>
      <c r="I2012" s="11">
        <v>183444.0</v>
      </c>
      <c r="J2012" s="11">
        <v>0.205</v>
      </c>
      <c r="K2012" s="12" t="s">
        <v>233</v>
      </c>
      <c r="L2012" s="5" t="s">
        <v>80</v>
      </c>
      <c r="M2012" s="9" t="s">
        <v>69</v>
      </c>
    </row>
    <row r="2013">
      <c r="A2013" s="11">
        <v>2012.0</v>
      </c>
      <c r="B2013" s="11">
        <v>0.028</v>
      </c>
      <c r="C2013" s="11">
        <v>0.016</v>
      </c>
      <c r="D2013" s="11">
        <v>75.0</v>
      </c>
      <c r="E2013" s="11">
        <v>69.0</v>
      </c>
      <c r="F2013" s="11">
        <v>0.385</v>
      </c>
      <c r="G2013" s="11">
        <v>0.565</v>
      </c>
      <c r="H2013" s="11">
        <v>0.05</v>
      </c>
      <c r="I2013" s="11">
        <v>184704.0</v>
      </c>
      <c r="J2013" s="11">
        <v>0.203</v>
      </c>
      <c r="K2013" s="12" t="s">
        <v>233</v>
      </c>
      <c r="L2013" s="5" t="s">
        <v>80</v>
      </c>
      <c r="M2013" s="9" t="s">
        <v>70</v>
      </c>
    </row>
    <row r="2014">
      <c r="A2014" s="11">
        <v>2013.0</v>
      </c>
      <c r="B2014" s="11">
        <v>0.028</v>
      </c>
      <c r="C2014" s="11">
        <v>0.016</v>
      </c>
      <c r="D2014" s="11">
        <v>76.0</v>
      </c>
      <c r="E2014" s="11">
        <v>69.0</v>
      </c>
      <c r="F2014" s="11">
        <v>0.383</v>
      </c>
      <c r="G2014" s="11">
        <v>0.567</v>
      </c>
      <c r="H2014" s="11">
        <v>0.051</v>
      </c>
      <c r="I2014" s="11">
        <v>186029.0</v>
      </c>
      <c r="J2014" s="11">
        <v>0.201</v>
      </c>
      <c r="K2014" s="12" t="s">
        <v>233</v>
      </c>
      <c r="L2014" s="5" t="s">
        <v>80</v>
      </c>
      <c r="M2014" s="9" t="s">
        <v>71</v>
      </c>
    </row>
    <row r="2015">
      <c r="A2015" s="11">
        <v>2014.0</v>
      </c>
      <c r="B2015" s="11">
        <v>0.027</v>
      </c>
      <c r="C2015" s="11">
        <v>0.016</v>
      </c>
      <c r="D2015" s="11">
        <v>76.0</v>
      </c>
      <c r="E2015" s="11">
        <v>70.0</v>
      </c>
      <c r="F2015" s="11">
        <v>0.381</v>
      </c>
      <c r="G2015" s="11">
        <v>0.569</v>
      </c>
      <c r="H2015" s="11">
        <v>0.051</v>
      </c>
      <c r="I2015" s="11">
        <v>187429.0</v>
      </c>
      <c r="J2015" s="11">
        <v>0.199</v>
      </c>
      <c r="K2015" s="12" t="s">
        <v>233</v>
      </c>
      <c r="L2015" s="5" t="s">
        <v>80</v>
      </c>
      <c r="M2015" s="9" t="s">
        <v>72</v>
      </c>
    </row>
    <row r="2016">
      <c r="A2016" s="11">
        <v>2015.0</v>
      </c>
      <c r="B2016" s="11">
        <v>0.027</v>
      </c>
      <c r="C2016" s="11">
        <v>0.016</v>
      </c>
      <c r="D2016" s="11">
        <v>76.0</v>
      </c>
      <c r="E2016" s="11">
        <v>70.0</v>
      </c>
      <c r="F2016" s="11">
        <v>0.379</v>
      </c>
      <c r="G2016" s="11">
        <v>0.57</v>
      </c>
      <c r="H2016" s="11">
        <v>0.051</v>
      </c>
      <c r="I2016" s="11">
        <v>188889.0</v>
      </c>
      <c r="J2016" s="11">
        <v>0.196</v>
      </c>
      <c r="K2016" s="12" t="s">
        <v>233</v>
      </c>
      <c r="L2016" s="5" t="s">
        <v>80</v>
      </c>
      <c r="M2016" s="9" t="s">
        <v>73</v>
      </c>
    </row>
    <row r="2017">
      <c r="A2017" s="8">
        <v>2016.0</v>
      </c>
      <c r="B2017" s="8"/>
      <c r="C2017" s="11">
        <v>0.005</v>
      </c>
      <c r="D2017" s="11">
        <v>84.0</v>
      </c>
      <c r="E2017" s="11">
        <v>77.0</v>
      </c>
      <c r="F2017" s="8"/>
      <c r="G2017" s="8"/>
      <c r="H2017" s="8"/>
      <c r="I2017" s="11">
        <v>26969.0</v>
      </c>
      <c r="J2017" s="11">
        <v>0.934</v>
      </c>
      <c r="K2017" s="12" t="s">
        <v>234</v>
      </c>
      <c r="L2017" s="5" t="s">
        <v>75</v>
      </c>
      <c r="M2017" s="9" t="s">
        <v>60</v>
      </c>
    </row>
    <row r="2018">
      <c r="A2018" s="8">
        <v>2017.0</v>
      </c>
      <c r="B2018" s="8"/>
      <c r="C2018" s="11">
        <v>0.005</v>
      </c>
      <c r="D2018" s="11">
        <v>84.0</v>
      </c>
      <c r="E2018" s="11">
        <v>78.0</v>
      </c>
      <c r="F2018" s="8"/>
      <c r="G2018" s="8"/>
      <c r="H2018" s="8"/>
      <c r="I2018" s="11">
        <v>27467.0</v>
      </c>
      <c r="J2018" s="11">
        <v>0.938</v>
      </c>
      <c r="K2018" s="12" t="s">
        <v>234</v>
      </c>
      <c r="L2018" s="5" t="s">
        <v>75</v>
      </c>
      <c r="M2018" s="9" t="s">
        <v>62</v>
      </c>
    </row>
    <row r="2019">
      <c r="A2019" s="8">
        <v>2018.0</v>
      </c>
      <c r="B2019" s="8"/>
      <c r="C2019" s="11">
        <v>0.004</v>
      </c>
      <c r="D2019" s="11">
        <v>85.0</v>
      </c>
      <c r="E2019" s="11">
        <v>78.0</v>
      </c>
      <c r="F2019" s="8"/>
      <c r="G2019" s="8"/>
      <c r="H2019" s="8"/>
      <c r="I2019" s="11">
        <v>28064.0</v>
      </c>
      <c r="J2019" s="11">
        <v>0.939</v>
      </c>
      <c r="K2019" s="12" t="s">
        <v>234</v>
      </c>
      <c r="L2019" s="5" t="s">
        <v>75</v>
      </c>
      <c r="M2019" s="9" t="s">
        <v>63</v>
      </c>
    </row>
    <row r="2020">
      <c r="A2020" s="8">
        <v>2019.0</v>
      </c>
      <c r="B2020" s="8"/>
      <c r="C2020" s="11">
        <v>0.004</v>
      </c>
      <c r="D2020" s="11">
        <v>85.0</v>
      </c>
      <c r="E2020" s="11">
        <v>78.0</v>
      </c>
      <c r="F2020" s="8"/>
      <c r="G2020" s="8"/>
      <c r="H2020" s="8"/>
      <c r="I2020" s="11">
        <v>28700.0</v>
      </c>
      <c r="J2020" s="11">
        <v>0.94</v>
      </c>
      <c r="K2020" s="12" t="s">
        <v>234</v>
      </c>
      <c r="L2020" s="5" t="s">
        <v>75</v>
      </c>
      <c r="M2020" s="9" t="s">
        <v>64</v>
      </c>
    </row>
    <row r="2021">
      <c r="A2021" s="11">
        <v>2020.0</v>
      </c>
      <c r="B2021" s="11">
        <v>0.01</v>
      </c>
      <c r="C2021" s="11">
        <v>0.004</v>
      </c>
      <c r="D2021" s="11">
        <v>85.0</v>
      </c>
      <c r="E2021" s="11">
        <v>79.0</v>
      </c>
      <c r="F2021" s="8"/>
      <c r="G2021" s="8"/>
      <c r="H2021" s="8"/>
      <c r="I2021" s="11">
        <v>29290.0</v>
      </c>
      <c r="J2021" s="11">
        <v>0.94</v>
      </c>
      <c r="K2021" s="12" t="s">
        <v>234</v>
      </c>
      <c r="L2021" s="5" t="s">
        <v>75</v>
      </c>
      <c r="M2021" s="9" t="s">
        <v>65</v>
      </c>
    </row>
    <row r="2022">
      <c r="A2022" s="11">
        <v>2021.0</v>
      </c>
      <c r="B2022" s="11">
        <v>0.01</v>
      </c>
      <c r="C2022" s="11">
        <v>0.004</v>
      </c>
      <c r="D2022" s="11">
        <v>85.0</v>
      </c>
      <c r="E2022" s="11">
        <v>79.0</v>
      </c>
      <c r="F2022" s="8"/>
      <c r="G2022" s="8"/>
      <c r="H2022" s="8"/>
      <c r="I2022" s="11">
        <v>29775.0</v>
      </c>
      <c r="J2022" s="11">
        <v>0.94</v>
      </c>
      <c r="K2022" s="12" t="s">
        <v>234</v>
      </c>
      <c r="L2022" s="5" t="s">
        <v>75</v>
      </c>
      <c r="M2022" s="9" t="s">
        <v>66</v>
      </c>
    </row>
    <row r="2023">
      <c r="A2023" s="11">
        <v>2022.0</v>
      </c>
      <c r="B2023" s="11">
        <v>0.01</v>
      </c>
      <c r="C2023" s="11">
        <v>0.004</v>
      </c>
      <c r="D2023" s="11">
        <v>85.0</v>
      </c>
      <c r="E2023" s="11">
        <v>79.0</v>
      </c>
      <c r="F2023" s="8"/>
      <c r="G2023" s="8"/>
      <c r="H2023" s="8"/>
      <c r="I2023" s="11">
        <v>30130.0</v>
      </c>
      <c r="J2023" s="11">
        <v>0.94</v>
      </c>
      <c r="K2023" s="12" t="s">
        <v>234</v>
      </c>
      <c r="L2023" s="5" t="s">
        <v>75</v>
      </c>
      <c r="M2023" s="9" t="s">
        <v>67</v>
      </c>
    </row>
    <row r="2024">
      <c r="A2024" s="11">
        <v>2023.0</v>
      </c>
      <c r="B2024" s="11">
        <v>0.009</v>
      </c>
      <c r="C2024" s="11">
        <v>0.003</v>
      </c>
      <c r="D2024" s="11">
        <v>85.0</v>
      </c>
      <c r="E2024" s="11">
        <v>80.0</v>
      </c>
      <c r="F2024" s="8"/>
      <c r="G2024" s="8"/>
      <c r="H2024" s="8"/>
      <c r="I2024" s="11">
        <v>30377.0</v>
      </c>
      <c r="J2024" s="11">
        <v>0.94</v>
      </c>
      <c r="K2024" s="12" t="s">
        <v>234</v>
      </c>
      <c r="L2024" s="5" t="s">
        <v>75</v>
      </c>
      <c r="M2024" s="9" t="s">
        <v>68</v>
      </c>
    </row>
    <row r="2025">
      <c r="A2025" s="11">
        <v>2024.0</v>
      </c>
      <c r="B2025" s="11">
        <v>0.011</v>
      </c>
      <c r="C2025" s="11">
        <v>0.003</v>
      </c>
      <c r="D2025" s="11">
        <v>86.0</v>
      </c>
      <c r="E2025" s="11">
        <v>80.0</v>
      </c>
      <c r="F2025" s="8"/>
      <c r="G2025" s="8"/>
      <c r="H2025" s="8"/>
      <c r="I2025" s="11">
        <v>30549.0</v>
      </c>
      <c r="J2025" s="11">
        <v>0.941</v>
      </c>
      <c r="K2025" s="12" t="s">
        <v>234</v>
      </c>
      <c r="L2025" s="5" t="s">
        <v>75</v>
      </c>
      <c r="M2025" s="9" t="s">
        <v>69</v>
      </c>
    </row>
    <row r="2026">
      <c r="A2026" s="11">
        <v>2025.0</v>
      </c>
      <c r="B2026" s="11">
        <v>0.011</v>
      </c>
      <c r="C2026" s="11">
        <v>0.003</v>
      </c>
      <c r="D2026" s="11">
        <v>86.0</v>
      </c>
      <c r="E2026" s="11">
        <v>80.0</v>
      </c>
      <c r="F2026" s="8"/>
      <c r="G2026" s="8"/>
      <c r="H2026" s="8"/>
      <c r="I2026" s="11">
        <v>30698.0</v>
      </c>
      <c r="J2026" s="11">
        <v>0.941</v>
      </c>
      <c r="K2026" s="12" t="s">
        <v>234</v>
      </c>
      <c r="L2026" s="5" t="s">
        <v>75</v>
      </c>
      <c r="M2026" s="9" t="s">
        <v>70</v>
      </c>
    </row>
    <row r="2027">
      <c r="A2027" s="11">
        <v>2026.0</v>
      </c>
      <c r="B2027" s="11">
        <v>0.011</v>
      </c>
      <c r="C2027" s="11">
        <v>0.003</v>
      </c>
      <c r="D2027" s="11">
        <v>86.0</v>
      </c>
      <c r="E2027" s="11">
        <v>80.0</v>
      </c>
      <c r="F2027" s="8"/>
      <c r="G2027" s="8"/>
      <c r="H2027" s="8"/>
      <c r="I2027" s="11">
        <v>30861.0</v>
      </c>
      <c r="J2027" s="11">
        <v>0.941</v>
      </c>
      <c r="K2027" s="12" t="s">
        <v>234</v>
      </c>
      <c r="L2027" s="5" t="s">
        <v>75</v>
      </c>
      <c r="M2027" s="9" t="s">
        <v>71</v>
      </c>
    </row>
    <row r="2028">
      <c r="A2028" s="11">
        <v>2027.0</v>
      </c>
      <c r="B2028" s="11">
        <v>0.01</v>
      </c>
      <c r="C2028" s="11">
        <v>0.003</v>
      </c>
      <c r="D2028" s="11">
        <v>86.0</v>
      </c>
      <c r="E2028" s="11">
        <v>80.0</v>
      </c>
      <c r="F2028" s="8"/>
      <c r="G2028" s="8"/>
      <c r="H2028" s="8"/>
      <c r="I2028" s="11">
        <v>31048.0</v>
      </c>
      <c r="J2028" s="11">
        <v>0.941</v>
      </c>
      <c r="K2028" s="12" t="s">
        <v>234</v>
      </c>
      <c r="L2028" s="5" t="s">
        <v>75</v>
      </c>
      <c r="M2028" s="9" t="s">
        <v>72</v>
      </c>
    </row>
    <row r="2029">
      <c r="A2029" s="11">
        <v>2028.0</v>
      </c>
      <c r="B2029" s="11">
        <v>0.01</v>
      </c>
      <c r="C2029" s="11">
        <v>0.003</v>
      </c>
      <c r="D2029" s="8"/>
      <c r="E2029" s="8"/>
      <c r="F2029" s="8"/>
      <c r="G2029" s="8"/>
      <c r="H2029" s="8"/>
      <c r="I2029" s="11">
        <v>31247.0</v>
      </c>
      <c r="J2029" s="11">
        <v>0.941</v>
      </c>
      <c r="K2029" s="12" t="s">
        <v>234</v>
      </c>
      <c r="L2029" s="5" t="s">
        <v>75</v>
      </c>
      <c r="M2029" s="9" t="s">
        <v>73</v>
      </c>
    </row>
    <row r="2030">
      <c r="A2030" s="11">
        <v>2029.0</v>
      </c>
      <c r="B2030" s="11">
        <v>0.036</v>
      </c>
      <c r="C2030" s="11">
        <v>0.058</v>
      </c>
      <c r="D2030" s="11">
        <v>65.0</v>
      </c>
      <c r="E2030" s="11">
        <v>62.0</v>
      </c>
      <c r="F2030" s="11">
        <v>0.44</v>
      </c>
      <c r="G2030" s="11">
        <v>0.52</v>
      </c>
      <c r="H2030" s="11">
        <v>0.04</v>
      </c>
      <c r="I2030" s="11">
        <v>139428.0</v>
      </c>
      <c r="J2030" s="11">
        <v>0.534</v>
      </c>
      <c r="K2030" s="12" t="s">
        <v>235</v>
      </c>
      <c r="L2030" s="5" t="s">
        <v>77</v>
      </c>
      <c r="M2030" s="9" t="s">
        <v>60</v>
      </c>
    </row>
    <row r="2031">
      <c r="A2031" s="11">
        <v>2030.0</v>
      </c>
      <c r="B2031" s="11">
        <v>0.037</v>
      </c>
      <c r="C2031" s="11">
        <v>0.056</v>
      </c>
      <c r="D2031" s="11">
        <v>65.0</v>
      </c>
      <c r="E2031" s="11">
        <v>62.0</v>
      </c>
      <c r="F2031" s="11">
        <v>0.434</v>
      </c>
      <c r="G2031" s="11">
        <v>0.526</v>
      </c>
      <c r="H2031" s="11">
        <v>0.04</v>
      </c>
      <c r="I2031" s="11">
        <v>141783.0</v>
      </c>
      <c r="J2031" s="11">
        <v>0.544</v>
      </c>
      <c r="K2031" s="12" t="s">
        <v>235</v>
      </c>
      <c r="L2031" s="5" t="s">
        <v>77</v>
      </c>
      <c r="M2031" s="9" t="s">
        <v>62</v>
      </c>
    </row>
    <row r="2032">
      <c r="A2032" s="11">
        <v>2031.0</v>
      </c>
      <c r="B2032" s="11">
        <v>0.037</v>
      </c>
      <c r="C2032" s="11">
        <v>0.054</v>
      </c>
      <c r="D2032" s="11">
        <v>66.0</v>
      </c>
      <c r="E2032" s="11">
        <v>62.0</v>
      </c>
      <c r="F2032" s="11">
        <v>0.429</v>
      </c>
      <c r="G2032" s="11">
        <v>0.53</v>
      </c>
      <c r="H2032" s="11">
        <v>0.04</v>
      </c>
      <c r="I2032" s="11">
        <v>144447.0</v>
      </c>
      <c r="J2032" s="11">
        <v>0.553</v>
      </c>
      <c r="K2032" s="12" t="s">
        <v>235</v>
      </c>
      <c r="L2032" s="5" t="s">
        <v>77</v>
      </c>
      <c r="M2032" s="9" t="s">
        <v>63</v>
      </c>
    </row>
    <row r="2033">
      <c r="A2033" s="11">
        <v>2032.0</v>
      </c>
      <c r="B2033" s="11">
        <v>0.037</v>
      </c>
      <c r="C2033" s="11">
        <v>0.052</v>
      </c>
      <c r="D2033" s="11">
        <v>66.0</v>
      </c>
      <c r="E2033" s="11">
        <v>62.0</v>
      </c>
      <c r="F2033" s="11">
        <v>0.426</v>
      </c>
      <c r="G2033" s="11">
        <v>0.534</v>
      </c>
      <c r="H2033" s="11">
        <v>0.04</v>
      </c>
      <c r="I2033" s="11">
        <v>147455.0</v>
      </c>
      <c r="J2033" s="11">
        <v>0.563</v>
      </c>
      <c r="K2033" s="12" t="s">
        <v>235</v>
      </c>
      <c r="L2033" s="5" t="s">
        <v>77</v>
      </c>
      <c r="M2033" s="9" t="s">
        <v>64</v>
      </c>
    </row>
    <row r="2034">
      <c r="A2034" s="11">
        <v>2033.0</v>
      </c>
      <c r="B2034" s="11">
        <v>0.038</v>
      </c>
      <c r="C2034" s="11">
        <v>0.05</v>
      </c>
      <c r="D2034" s="11">
        <v>66.0</v>
      </c>
      <c r="E2034" s="11">
        <v>62.0</v>
      </c>
      <c r="F2034" s="11">
        <v>0.422</v>
      </c>
      <c r="G2034" s="11">
        <v>0.537</v>
      </c>
      <c r="H2034" s="11">
        <v>0.04</v>
      </c>
      <c r="I2034" s="11">
        <v>150842.0</v>
      </c>
      <c r="J2034" s="11">
        <v>0.571</v>
      </c>
      <c r="K2034" s="12" t="s">
        <v>235</v>
      </c>
      <c r="L2034" s="5" t="s">
        <v>77</v>
      </c>
      <c r="M2034" s="9" t="s">
        <v>65</v>
      </c>
    </row>
    <row r="2035">
      <c r="A2035" s="11">
        <v>2034.0</v>
      </c>
      <c r="B2035" s="11">
        <v>0.038</v>
      </c>
      <c r="C2035" s="11">
        <v>0.048</v>
      </c>
      <c r="D2035" s="11">
        <v>66.0</v>
      </c>
      <c r="E2035" s="11">
        <v>63.0</v>
      </c>
      <c r="F2035" s="11">
        <v>0.42</v>
      </c>
      <c r="G2035" s="11">
        <v>0.54</v>
      </c>
      <c r="H2035" s="11">
        <v>0.04</v>
      </c>
      <c r="I2035" s="11">
        <v>154615.0</v>
      </c>
      <c r="J2035" s="11">
        <v>0.58</v>
      </c>
      <c r="K2035" s="12" t="s">
        <v>235</v>
      </c>
      <c r="L2035" s="5" t="s">
        <v>77</v>
      </c>
      <c r="M2035" s="9" t="s">
        <v>66</v>
      </c>
    </row>
    <row r="2036">
      <c r="A2036" s="11">
        <v>2035.0</v>
      </c>
      <c r="B2036" s="11">
        <v>0.038</v>
      </c>
      <c r="C2036" s="11">
        <v>0.046</v>
      </c>
      <c r="D2036" s="11">
        <v>67.0</v>
      </c>
      <c r="E2036" s="11">
        <v>63.0</v>
      </c>
      <c r="F2036" s="11">
        <v>0.418</v>
      </c>
      <c r="G2036" s="11">
        <v>0.542</v>
      </c>
      <c r="H2036" s="11">
        <v>0.039</v>
      </c>
      <c r="I2036" s="11">
        <v>158806.0</v>
      </c>
      <c r="J2036" s="11">
        <v>0.588</v>
      </c>
      <c r="K2036" s="12" t="s">
        <v>235</v>
      </c>
      <c r="L2036" s="5" t="s">
        <v>77</v>
      </c>
      <c r="M2036" s="9" t="s">
        <v>67</v>
      </c>
    </row>
    <row r="2037">
      <c r="A2037" s="11">
        <v>2036.0</v>
      </c>
      <c r="B2037" s="11">
        <v>0.038</v>
      </c>
      <c r="C2037" s="11">
        <v>0.044</v>
      </c>
      <c r="D2037" s="11">
        <v>67.0</v>
      </c>
      <c r="E2037" s="11">
        <v>63.0</v>
      </c>
      <c r="F2037" s="11">
        <v>0.417</v>
      </c>
      <c r="G2037" s="11">
        <v>0.544</v>
      </c>
      <c r="H2037" s="11">
        <v>0.039</v>
      </c>
      <c r="I2037" s="11">
        <v>163390.0</v>
      </c>
      <c r="J2037" s="11">
        <v>0.597</v>
      </c>
      <c r="K2037" s="12" t="s">
        <v>235</v>
      </c>
      <c r="L2037" s="5" t="s">
        <v>77</v>
      </c>
      <c r="M2037" s="9" t="s">
        <v>68</v>
      </c>
    </row>
    <row r="2038">
      <c r="A2038" s="11">
        <v>2037.0</v>
      </c>
      <c r="B2038" s="11">
        <v>0.037</v>
      </c>
      <c r="C2038" s="11">
        <v>0.043</v>
      </c>
      <c r="D2038" s="11">
        <v>67.0</v>
      </c>
      <c r="E2038" s="11">
        <v>64.0</v>
      </c>
      <c r="F2038" s="11">
        <v>0.416</v>
      </c>
      <c r="G2038" s="11">
        <v>0.546</v>
      </c>
      <c r="H2038" s="11">
        <v>0.038</v>
      </c>
      <c r="I2038" s="11">
        <v>168253.0</v>
      </c>
      <c r="J2038" s="11">
        <v>0.604</v>
      </c>
      <c r="K2038" s="12" t="s">
        <v>235</v>
      </c>
      <c r="L2038" s="5" t="s">
        <v>77</v>
      </c>
      <c r="M2038" s="9" t="s">
        <v>69</v>
      </c>
    </row>
    <row r="2039">
      <c r="A2039" s="11">
        <v>2038.0</v>
      </c>
      <c r="B2039" s="11">
        <v>0.037</v>
      </c>
      <c r="C2039" s="11">
        <v>0.041</v>
      </c>
      <c r="D2039" s="11">
        <v>68.0</v>
      </c>
      <c r="E2039" s="11">
        <v>64.0</v>
      </c>
      <c r="F2039" s="11">
        <v>0.416</v>
      </c>
      <c r="G2039" s="11">
        <v>0.547</v>
      </c>
      <c r="H2039" s="11">
        <v>0.037</v>
      </c>
      <c r="I2039" s="11">
        <v>173240.0</v>
      </c>
      <c r="J2039" s="11">
        <v>0.612</v>
      </c>
      <c r="K2039" s="12" t="s">
        <v>235</v>
      </c>
      <c r="L2039" s="5" t="s">
        <v>77</v>
      </c>
      <c r="M2039" s="9" t="s">
        <v>70</v>
      </c>
    </row>
    <row r="2040">
      <c r="A2040" s="11">
        <v>2039.0</v>
      </c>
      <c r="B2040" s="11">
        <v>0.036</v>
      </c>
      <c r="C2040" s="11">
        <v>0.04</v>
      </c>
      <c r="D2040" s="11">
        <v>68.0</v>
      </c>
      <c r="E2040" s="11">
        <v>64.0</v>
      </c>
      <c r="F2040" s="11">
        <v>0.416</v>
      </c>
      <c r="G2040" s="11">
        <v>0.548</v>
      </c>
      <c r="H2040" s="11">
        <v>0.036</v>
      </c>
      <c r="I2040" s="11">
        <v>178228.0</v>
      </c>
      <c r="J2040" s="11">
        <v>0.619</v>
      </c>
      <c r="K2040" s="12" t="s">
        <v>235</v>
      </c>
      <c r="L2040" s="5" t="s">
        <v>77</v>
      </c>
      <c r="M2040" s="9" t="s">
        <v>71</v>
      </c>
    </row>
    <row r="2041">
      <c r="A2041" s="11">
        <v>2040.0</v>
      </c>
      <c r="B2041" s="11">
        <v>0.036</v>
      </c>
      <c r="C2041" s="11">
        <v>0.039</v>
      </c>
      <c r="D2041" s="11">
        <v>68.0</v>
      </c>
      <c r="E2041" s="11">
        <v>64.0</v>
      </c>
      <c r="F2041" s="11">
        <v>0.416</v>
      </c>
      <c r="G2041" s="11">
        <v>0.549</v>
      </c>
      <c r="H2041" s="11">
        <v>0.035</v>
      </c>
      <c r="I2041" s="11">
        <v>183177.0</v>
      </c>
      <c r="J2041" s="11">
        <v>0.626</v>
      </c>
      <c r="K2041" s="12" t="s">
        <v>235</v>
      </c>
      <c r="L2041" s="5" t="s">
        <v>77</v>
      </c>
      <c r="M2041" s="9" t="s">
        <v>72</v>
      </c>
    </row>
    <row r="2042">
      <c r="A2042" s="11">
        <v>2041.0</v>
      </c>
      <c r="B2042" s="11">
        <v>0.035</v>
      </c>
      <c r="C2042" s="11">
        <v>0.038</v>
      </c>
      <c r="D2042" s="11">
        <v>68.0</v>
      </c>
      <c r="E2042" s="11">
        <v>64.0</v>
      </c>
      <c r="F2042" s="11">
        <v>0.416</v>
      </c>
      <c r="G2042" s="11">
        <v>0.55</v>
      </c>
      <c r="H2042" s="11">
        <v>0.034</v>
      </c>
      <c r="I2042" s="11">
        <v>188098.0</v>
      </c>
      <c r="J2042" s="11">
        <v>0.633</v>
      </c>
      <c r="K2042" s="12" t="s">
        <v>235</v>
      </c>
      <c r="L2042" s="5" t="s">
        <v>77</v>
      </c>
      <c r="M2042" s="9" t="s">
        <v>73</v>
      </c>
    </row>
    <row r="2043">
      <c r="A2043" s="11">
        <v>2042.0</v>
      </c>
      <c r="B2043" s="11">
        <v>0.027</v>
      </c>
      <c r="C2043" s="11">
        <v>0.019</v>
      </c>
      <c r="D2043" s="11">
        <v>74.0</v>
      </c>
      <c r="E2043" s="11">
        <v>71.0</v>
      </c>
      <c r="F2043" s="11">
        <v>0.384</v>
      </c>
      <c r="G2043" s="11">
        <v>0.581</v>
      </c>
      <c r="H2043" s="11">
        <v>0.035</v>
      </c>
      <c r="I2043" s="11">
        <v>2.0144584E7</v>
      </c>
      <c r="J2043" s="11">
        <v>0.798</v>
      </c>
      <c r="K2043" s="12" t="s">
        <v>236</v>
      </c>
      <c r="L2043" s="5" t="s">
        <v>93</v>
      </c>
      <c r="M2043" s="9" t="s">
        <v>60</v>
      </c>
    </row>
    <row r="2044">
      <c r="A2044" s="11">
        <v>2043.0</v>
      </c>
      <c r="B2044" s="11">
        <v>0.026</v>
      </c>
      <c r="C2044" s="11">
        <v>0.019</v>
      </c>
      <c r="D2044" s="11">
        <v>75.0</v>
      </c>
      <c r="E2044" s="11">
        <v>71.0</v>
      </c>
      <c r="F2044" s="11">
        <v>0.376</v>
      </c>
      <c r="G2044" s="11">
        <v>0.589</v>
      </c>
      <c r="H2044" s="11">
        <v>0.035</v>
      </c>
      <c r="I2044" s="11">
        <v>2.0891594E7</v>
      </c>
      <c r="J2044" s="11">
        <v>0.801</v>
      </c>
      <c r="K2044" s="12" t="s">
        <v>236</v>
      </c>
      <c r="L2044" s="5" t="s">
        <v>93</v>
      </c>
      <c r="M2044" s="9" t="s">
        <v>62</v>
      </c>
    </row>
    <row r="2045">
      <c r="A2045" s="11">
        <v>2044.0</v>
      </c>
      <c r="B2045" s="11">
        <v>0.025</v>
      </c>
      <c r="C2045" s="11">
        <v>0.018</v>
      </c>
      <c r="D2045" s="11">
        <v>75.0</v>
      </c>
      <c r="E2045" s="11">
        <v>71.0</v>
      </c>
      <c r="F2045" s="11">
        <v>0.368</v>
      </c>
      <c r="G2045" s="11">
        <v>0.598</v>
      </c>
      <c r="H2045" s="11">
        <v>0.034</v>
      </c>
      <c r="I2045" s="11">
        <v>2.1825217E7</v>
      </c>
      <c r="J2045" s="11">
        <v>0.803</v>
      </c>
      <c r="K2045" s="12" t="s">
        <v>236</v>
      </c>
      <c r="L2045" s="5" t="s">
        <v>93</v>
      </c>
      <c r="M2045" s="9" t="s">
        <v>63</v>
      </c>
    </row>
    <row r="2046">
      <c r="A2046" s="11">
        <v>2045.0</v>
      </c>
      <c r="B2046" s="11">
        <v>0.024</v>
      </c>
      <c r="C2046" s="11">
        <v>0.018</v>
      </c>
      <c r="D2046" s="11">
        <v>75.0</v>
      </c>
      <c r="E2046" s="11">
        <v>72.0</v>
      </c>
      <c r="F2046" s="11">
        <v>0.359</v>
      </c>
      <c r="G2046" s="11">
        <v>0.608</v>
      </c>
      <c r="H2046" s="11">
        <v>0.033</v>
      </c>
      <c r="I2046" s="11">
        <v>2.2852333E7</v>
      </c>
      <c r="J2046" s="11">
        <v>0.805</v>
      </c>
      <c r="K2046" s="12" t="s">
        <v>236</v>
      </c>
      <c r="L2046" s="5" t="s">
        <v>93</v>
      </c>
      <c r="M2046" s="9" t="s">
        <v>64</v>
      </c>
    </row>
    <row r="2047">
      <c r="A2047" s="11">
        <v>2046.0</v>
      </c>
      <c r="B2047" s="11">
        <v>0.024</v>
      </c>
      <c r="C2047" s="11">
        <v>0.017</v>
      </c>
      <c r="D2047" s="11">
        <v>76.0</v>
      </c>
      <c r="E2047" s="11">
        <v>72.0</v>
      </c>
      <c r="F2047" s="11">
        <v>0.351</v>
      </c>
      <c r="G2047" s="11">
        <v>0.617</v>
      </c>
      <c r="H2047" s="11">
        <v>0.032</v>
      </c>
      <c r="I2047" s="11">
        <v>2.3839231E7</v>
      </c>
      <c r="J2047" s="11">
        <v>0.808</v>
      </c>
      <c r="K2047" s="12" t="s">
        <v>236</v>
      </c>
      <c r="L2047" s="5" t="s">
        <v>93</v>
      </c>
      <c r="M2047" s="9" t="s">
        <v>65</v>
      </c>
    </row>
    <row r="2048">
      <c r="A2048" s="11">
        <v>2047.0</v>
      </c>
      <c r="B2048" s="11">
        <v>0.023</v>
      </c>
      <c r="C2048" s="11">
        <v>0.017</v>
      </c>
      <c r="D2048" s="11">
        <v>76.0</v>
      </c>
      <c r="E2048" s="11">
        <v>72.0</v>
      </c>
      <c r="F2048" s="11">
        <v>0.343</v>
      </c>
      <c r="G2048" s="11">
        <v>0.626</v>
      </c>
      <c r="H2048" s="11">
        <v>0.031</v>
      </c>
      <c r="I2048" s="11">
        <v>2.4690067E7</v>
      </c>
      <c r="J2048" s="11">
        <v>0.81</v>
      </c>
      <c r="K2048" s="12" t="s">
        <v>236</v>
      </c>
      <c r="L2048" s="5" t="s">
        <v>93</v>
      </c>
      <c r="M2048" s="9" t="s">
        <v>66</v>
      </c>
    </row>
    <row r="2049">
      <c r="A2049" s="11">
        <v>2048.0</v>
      </c>
      <c r="B2049" s="11">
        <v>0.023</v>
      </c>
      <c r="C2049" s="11">
        <v>0.016</v>
      </c>
      <c r="D2049" s="11">
        <v>76.0</v>
      </c>
      <c r="E2049" s="11">
        <v>72.0</v>
      </c>
      <c r="F2049" s="11">
        <v>0.335</v>
      </c>
      <c r="G2049" s="11">
        <v>0.634</v>
      </c>
      <c r="H2049" s="11">
        <v>0.03</v>
      </c>
      <c r="I2049" s="11">
        <v>2.5371936E7</v>
      </c>
      <c r="J2049" s="11">
        <v>0.812</v>
      </c>
      <c r="K2049" s="12" t="s">
        <v>236</v>
      </c>
      <c r="L2049" s="5" t="s">
        <v>93</v>
      </c>
      <c r="M2049" s="9" t="s">
        <v>67</v>
      </c>
    </row>
    <row r="2050">
      <c r="A2050" s="11">
        <v>2049.0</v>
      </c>
      <c r="B2050" s="11">
        <v>0.022</v>
      </c>
      <c r="C2050" s="11">
        <v>0.016</v>
      </c>
      <c r="D2050" s="11">
        <v>76.0</v>
      </c>
      <c r="E2050" s="11">
        <v>73.0</v>
      </c>
      <c r="F2050" s="11">
        <v>0.328</v>
      </c>
      <c r="G2050" s="11">
        <v>0.642</v>
      </c>
      <c r="H2050" s="11">
        <v>0.03</v>
      </c>
      <c r="I2050" s="11">
        <v>2.5915624E7</v>
      </c>
      <c r="J2050" s="11">
        <v>0.814</v>
      </c>
      <c r="K2050" s="12" t="s">
        <v>236</v>
      </c>
      <c r="L2050" s="5" t="s">
        <v>93</v>
      </c>
      <c r="M2050" s="9" t="s">
        <v>68</v>
      </c>
    </row>
    <row r="2051">
      <c r="A2051" s="11">
        <v>2050.0</v>
      </c>
      <c r="B2051" s="11">
        <v>0.022</v>
      </c>
      <c r="C2051" s="11">
        <v>0.016</v>
      </c>
      <c r="D2051" s="11">
        <v>76.0</v>
      </c>
      <c r="E2051" s="11">
        <v>73.0</v>
      </c>
      <c r="F2051" s="11">
        <v>0.32</v>
      </c>
      <c r="G2051" s="11">
        <v>0.65</v>
      </c>
      <c r="H2051" s="11">
        <v>0.03</v>
      </c>
      <c r="I2051" s="11">
        <v>2.6366358E7</v>
      </c>
      <c r="J2051" s="11">
        <v>0.816</v>
      </c>
      <c r="K2051" s="12" t="s">
        <v>236</v>
      </c>
      <c r="L2051" s="5" t="s">
        <v>93</v>
      </c>
      <c r="M2051" s="9" t="s">
        <v>69</v>
      </c>
    </row>
    <row r="2052">
      <c r="A2052" s="11">
        <v>2051.0</v>
      </c>
      <c r="B2052" s="11">
        <v>0.021</v>
      </c>
      <c r="C2052" s="11">
        <v>0.015</v>
      </c>
      <c r="D2052" s="11">
        <v>77.0</v>
      </c>
      <c r="E2052" s="11">
        <v>73.0</v>
      </c>
      <c r="F2052" s="11">
        <v>0.313</v>
      </c>
      <c r="G2052" s="11">
        <v>0.657</v>
      </c>
      <c r="H2052" s="11">
        <v>0.03</v>
      </c>
      <c r="I2052" s="11">
        <v>2.6796375E7</v>
      </c>
      <c r="J2052" s="11">
        <v>0.819</v>
      </c>
      <c r="K2052" s="12" t="s">
        <v>236</v>
      </c>
      <c r="L2052" s="5" t="s">
        <v>93</v>
      </c>
      <c r="M2052" s="9" t="s">
        <v>70</v>
      </c>
    </row>
    <row r="2053">
      <c r="A2053" s="11">
        <v>2052.0</v>
      </c>
      <c r="B2053" s="11">
        <v>0.021</v>
      </c>
      <c r="C2053" s="11">
        <v>0.015</v>
      </c>
      <c r="D2053" s="11">
        <v>77.0</v>
      </c>
      <c r="E2053" s="11">
        <v>73.0</v>
      </c>
      <c r="F2053" s="11">
        <v>0.307</v>
      </c>
      <c r="G2053" s="11">
        <v>0.663</v>
      </c>
      <c r="H2053" s="11">
        <v>0.03</v>
      </c>
      <c r="I2053" s="11">
        <v>2.7258387E7</v>
      </c>
      <c r="J2053" s="11">
        <v>0.821</v>
      </c>
      <c r="K2053" s="12" t="s">
        <v>236</v>
      </c>
      <c r="L2053" s="5" t="s">
        <v>93</v>
      </c>
      <c r="M2053" s="9" t="s">
        <v>71</v>
      </c>
    </row>
    <row r="2054">
      <c r="A2054" s="11">
        <v>2053.0</v>
      </c>
      <c r="B2054" s="11">
        <v>0.02</v>
      </c>
      <c r="C2054" s="11">
        <v>0.014</v>
      </c>
      <c r="D2054" s="11">
        <v>77.0</v>
      </c>
      <c r="E2054" s="11">
        <v>74.0</v>
      </c>
      <c r="F2054" s="11">
        <v>0.302</v>
      </c>
      <c r="G2054" s="11">
        <v>0.669</v>
      </c>
      <c r="H2054" s="11">
        <v>0.029</v>
      </c>
      <c r="I2054" s="11">
        <v>2.7761728E7</v>
      </c>
      <c r="J2054" s="11">
        <v>0.823</v>
      </c>
      <c r="K2054" s="12" t="s">
        <v>236</v>
      </c>
      <c r="L2054" s="5" t="s">
        <v>93</v>
      </c>
      <c r="M2054" s="9" t="s">
        <v>72</v>
      </c>
    </row>
    <row r="2055">
      <c r="A2055" s="11">
        <v>2054.0</v>
      </c>
      <c r="B2055" s="11">
        <v>0.02</v>
      </c>
      <c r="C2055" s="11">
        <v>0.014</v>
      </c>
      <c r="D2055" s="11">
        <v>77.0</v>
      </c>
      <c r="E2055" s="11">
        <v>74.0</v>
      </c>
      <c r="F2055" s="11">
        <v>0.297</v>
      </c>
      <c r="G2055" s="11">
        <v>0.674</v>
      </c>
      <c r="H2055" s="11">
        <v>0.029</v>
      </c>
      <c r="I2055" s="11">
        <v>2.8287855E7</v>
      </c>
      <c r="J2055" s="11">
        <v>0.825</v>
      </c>
      <c r="K2055" s="12" t="s">
        <v>236</v>
      </c>
      <c r="L2055" s="5" t="s">
        <v>93</v>
      </c>
      <c r="M2055" s="9" t="s">
        <v>73</v>
      </c>
    </row>
    <row r="2056">
      <c r="A2056" s="11">
        <v>2055.0</v>
      </c>
      <c r="B2056" s="11">
        <v>0.04</v>
      </c>
      <c r="C2056" s="11">
        <v>0.069</v>
      </c>
      <c r="D2056" s="11">
        <v>59.0</v>
      </c>
      <c r="E2056" s="11">
        <v>56.0</v>
      </c>
      <c r="F2056" s="11">
        <v>0.451</v>
      </c>
      <c r="G2056" s="11">
        <v>0.517</v>
      </c>
      <c r="H2056" s="11">
        <v>0.032</v>
      </c>
      <c r="I2056" s="11">
        <v>9861679.0</v>
      </c>
      <c r="J2056" s="11">
        <v>0.403</v>
      </c>
      <c r="K2056" s="12" t="s">
        <v>237</v>
      </c>
      <c r="L2056" s="5" t="s">
        <v>77</v>
      </c>
      <c r="M2056" s="9" t="s">
        <v>60</v>
      </c>
    </row>
    <row r="2057">
      <c r="A2057" s="11">
        <v>2056.0</v>
      </c>
      <c r="B2057" s="11">
        <v>0.04</v>
      </c>
      <c r="C2057" s="11">
        <v>0.067</v>
      </c>
      <c r="D2057" s="11">
        <v>60.0</v>
      </c>
      <c r="E2057" s="11">
        <v>57.0</v>
      </c>
      <c r="F2057" s="11">
        <v>0.449</v>
      </c>
      <c r="G2057" s="11">
        <v>0.519</v>
      </c>
      <c r="H2057" s="11">
        <v>0.032</v>
      </c>
      <c r="I2057" s="11">
        <v>1.0119118E7</v>
      </c>
      <c r="J2057" s="11">
        <v>0.405</v>
      </c>
      <c r="K2057" s="12" t="s">
        <v>237</v>
      </c>
      <c r="L2057" s="5" t="s">
        <v>77</v>
      </c>
      <c r="M2057" s="9" t="s">
        <v>62</v>
      </c>
    </row>
    <row r="2058">
      <c r="A2058" s="11">
        <v>2057.0</v>
      </c>
      <c r="B2058" s="11">
        <v>0.04</v>
      </c>
      <c r="C2058" s="11">
        <v>0.065</v>
      </c>
      <c r="D2058" s="11">
        <v>60.0</v>
      </c>
      <c r="E2058" s="11">
        <v>57.0</v>
      </c>
      <c r="F2058" s="11">
        <v>0.447</v>
      </c>
      <c r="G2058" s="11">
        <v>0.521</v>
      </c>
      <c r="H2058" s="11">
        <v>0.032</v>
      </c>
      <c r="I2058" s="11">
        <v>1.039005E7</v>
      </c>
      <c r="J2058" s="11">
        <v>0.406</v>
      </c>
      <c r="K2058" s="12" t="s">
        <v>237</v>
      </c>
      <c r="L2058" s="5" t="s">
        <v>77</v>
      </c>
      <c r="M2058" s="9" t="s">
        <v>63</v>
      </c>
    </row>
    <row r="2059">
      <c r="A2059" s="11">
        <v>2058.0</v>
      </c>
      <c r="B2059" s="11">
        <v>0.039</v>
      </c>
      <c r="C2059" s="11">
        <v>0.062</v>
      </c>
      <c r="D2059" s="11">
        <v>61.0</v>
      </c>
      <c r="E2059" s="11">
        <v>58.0</v>
      </c>
      <c r="F2059" s="11">
        <v>0.445</v>
      </c>
      <c r="G2059" s="11">
        <v>0.524</v>
      </c>
      <c r="H2059" s="11">
        <v>0.032</v>
      </c>
      <c r="I2059" s="11">
        <v>1.0673535E7</v>
      </c>
      <c r="J2059" s="11">
        <v>0.408</v>
      </c>
      <c r="K2059" s="12" t="s">
        <v>237</v>
      </c>
      <c r="L2059" s="5" t="s">
        <v>77</v>
      </c>
      <c r="M2059" s="9" t="s">
        <v>64</v>
      </c>
    </row>
    <row r="2060">
      <c r="A2060" s="11">
        <v>2059.0</v>
      </c>
      <c r="B2060" s="11">
        <v>0.039</v>
      </c>
      <c r="C2060" s="11">
        <v>0.059</v>
      </c>
      <c r="D2060" s="11">
        <v>62.0</v>
      </c>
      <c r="E2060" s="11">
        <v>58.0</v>
      </c>
      <c r="F2060" s="11">
        <v>0.443</v>
      </c>
      <c r="G2060" s="11">
        <v>0.526</v>
      </c>
      <c r="H2060" s="11">
        <v>0.032</v>
      </c>
      <c r="I2060" s="11">
        <v>1.0967568E7</v>
      </c>
      <c r="J2060" s="11">
        <v>0.409</v>
      </c>
      <c r="K2060" s="12" t="s">
        <v>237</v>
      </c>
      <c r="L2060" s="5" t="s">
        <v>77</v>
      </c>
      <c r="M2060" s="9" t="s">
        <v>65</v>
      </c>
    </row>
    <row r="2061">
      <c r="A2061" s="11">
        <v>2060.0</v>
      </c>
      <c r="B2061" s="11">
        <v>0.039</v>
      </c>
      <c r="C2061" s="11">
        <v>0.057</v>
      </c>
      <c r="D2061" s="11">
        <v>62.0</v>
      </c>
      <c r="E2061" s="11">
        <v>59.0</v>
      </c>
      <c r="F2061" s="11">
        <v>0.441</v>
      </c>
      <c r="G2061" s="11">
        <v>0.527</v>
      </c>
      <c r="H2061" s="11">
        <v>0.032</v>
      </c>
      <c r="I2061" s="11">
        <v>1.1270826E7</v>
      </c>
      <c r="J2061" s="11">
        <v>0.411</v>
      </c>
      <c r="K2061" s="12" t="s">
        <v>237</v>
      </c>
      <c r="L2061" s="5" t="s">
        <v>77</v>
      </c>
      <c r="M2061" s="9" t="s">
        <v>66</v>
      </c>
    </row>
    <row r="2062">
      <c r="A2062" s="11">
        <v>2061.0</v>
      </c>
      <c r="B2062" s="11">
        <v>0.039</v>
      </c>
      <c r="C2062" s="11">
        <v>0.055</v>
      </c>
      <c r="D2062" s="11">
        <v>63.0</v>
      </c>
      <c r="E2062" s="11">
        <v>60.0</v>
      </c>
      <c r="F2062" s="11">
        <v>0.44</v>
      </c>
      <c r="G2062" s="11">
        <v>0.529</v>
      </c>
      <c r="H2062" s="11">
        <v>0.032</v>
      </c>
      <c r="I2062" s="11">
        <v>1.1582925E7</v>
      </c>
      <c r="J2062" s="11">
        <v>0.413</v>
      </c>
      <c r="K2062" s="12" t="s">
        <v>237</v>
      </c>
      <c r="L2062" s="5" t="s">
        <v>77</v>
      </c>
      <c r="M2062" s="9" t="s">
        <v>67</v>
      </c>
    </row>
    <row r="2063">
      <c r="A2063" s="11">
        <v>2062.0</v>
      </c>
      <c r="B2063" s="11">
        <v>0.039</v>
      </c>
      <c r="C2063" s="11">
        <v>0.052</v>
      </c>
      <c r="D2063" s="11">
        <v>63.0</v>
      </c>
      <c r="E2063" s="11">
        <v>60.0</v>
      </c>
      <c r="F2063" s="11">
        <v>0.439</v>
      </c>
      <c r="G2063" s="11">
        <v>0.53</v>
      </c>
      <c r="H2063" s="11">
        <v>0.031</v>
      </c>
      <c r="I2063" s="11">
        <v>1.1904974E7</v>
      </c>
      <c r="J2063" s="11">
        <v>0.415</v>
      </c>
      <c r="K2063" s="12" t="s">
        <v>237</v>
      </c>
      <c r="L2063" s="5" t="s">
        <v>77</v>
      </c>
      <c r="M2063" s="9" t="s">
        <v>68</v>
      </c>
    </row>
    <row r="2064">
      <c r="A2064" s="11">
        <v>2063.0</v>
      </c>
      <c r="B2064" s="11">
        <v>0.039</v>
      </c>
      <c r="C2064" s="11">
        <v>0.051</v>
      </c>
      <c r="D2064" s="11">
        <v>64.0</v>
      </c>
      <c r="E2064" s="11">
        <v>61.0</v>
      </c>
      <c r="F2064" s="11">
        <v>0.438</v>
      </c>
      <c r="G2064" s="11">
        <v>0.531</v>
      </c>
      <c r="H2064" s="11">
        <v>0.031</v>
      </c>
      <c r="I2064" s="11">
        <v>1.2238791E7</v>
      </c>
      <c r="J2064" s="11">
        <v>0.417</v>
      </c>
      <c r="K2064" s="12" t="s">
        <v>237</v>
      </c>
      <c r="L2064" s="5" t="s">
        <v>77</v>
      </c>
      <c r="M2064" s="9" t="s">
        <v>69</v>
      </c>
    </row>
    <row r="2065">
      <c r="A2065" s="11">
        <v>2064.0</v>
      </c>
      <c r="B2065" s="11">
        <v>0.039</v>
      </c>
      <c r="C2065" s="11">
        <v>0.049</v>
      </c>
      <c r="D2065" s="11">
        <v>64.0</v>
      </c>
      <c r="E2065" s="11">
        <v>61.0</v>
      </c>
      <c r="F2065" s="11">
        <v>0.437</v>
      </c>
      <c r="G2065" s="11">
        <v>0.532</v>
      </c>
      <c r="H2065" s="11">
        <v>0.031</v>
      </c>
      <c r="I2065" s="11">
        <v>1.2586827E7</v>
      </c>
      <c r="J2065" s="11">
        <v>0.42</v>
      </c>
      <c r="K2065" s="12" t="s">
        <v>237</v>
      </c>
      <c r="L2065" s="5" t="s">
        <v>77</v>
      </c>
      <c r="M2065" s="9" t="s">
        <v>70</v>
      </c>
    </row>
    <row r="2066">
      <c r="A2066" s="11">
        <v>2065.0</v>
      </c>
      <c r="B2066" s="11">
        <v>0.039</v>
      </c>
      <c r="C2066" s="11">
        <v>0.047</v>
      </c>
      <c r="D2066" s="11">
        <v>64.0</v>
      </c>
      <c r="E2066" s="11">
        <v>61.0</v>
      </c>
      <c r="F2066" s="11">
        <v>0.436</v>
      </c>
      <c r="G2066" s="11">
        <v>0.533</v>
      </c>
      <c r="H2066" s="11">
        <v>0.031</v>
      </c>
      <c r="I2066" s="11">
        <v>1.2950564E7</v>
      </c>
      <c r="J2066" s="11">
        <v>0.422</v>
      </c>
      <c r="K2066" s="12" t="s">
        <v>237</v>
      </c>
      <c r="L2066" s="5" t="s">
        <v>77</v>
      </c>
      <c r="M2066" s="9" t="s">
        <v>71</v>
      </c>
    </row>
    <row r="2067">
      <c r="A2067" s="11">
        <v>2066.0</v>
      </c>
      <c r="B2067" s="11">
        <v>0.038</v>
      </c>
      <c r="C2067" s="11">
        <v>0.046</v>
      </c>
      <c r="D2067" s="11">
        <v>65.0</v>
      </c>
      <c r="E2067" s="11">
        <v>62.0</v>
      </c>
      <c r="F2067" s="11">
        <v>0.436</v>
      </c>
      <c r="G2067" s="11">
        <v>0.534</v>
      </c>
      <c r="H2067" s="11">
        <v>0.031</v>
      </c>
      <c r="I2067" s="11">
        <v>1.3330737E7</v>
      </c>
      <c r="J2067" s="11">
        <v>0.425</v>
      </c>
      <c r="K2067" s="12" t="s">
        <v>237</v>
      </c>
      <c r="L2067" s="5" t="s">
        <v>77</v>
      </c>
      <c r="M2067" s="9" t="s">
        <v>72</v>
      </c>
    </row>
    <row r="2068">
      <c r="A2068" s="11">
        <v>2067.0</v>
      </c>
      <c r="B2068" s="11">
        <v>0.038</v>
      </c>
      <c r="C2068" s="11">
        <v>0.045</v>
      </c>
      <c r="D2068" s="11">
        <v>65.0</v>
      </c>
      <c r="E2068" s="11">
        <v>62.0</v>
      </c>
      <c r="F2068" s="11">
        <v>0.435</v>
      </c>
      <c r="G2068" s="11">
        <v>0.534</v>
      </c>
      <c r="H2068" s="11">
        <v>0.03</v>
      </c>
      <c r="I2068" s="11">
        <v>1.3726021E7</v>
      </c>
      <c r="J2068" s="11">
        <v>0.428</v>
      </c>
      <c r="K2068" s="12" t="s">
        <v>237</v>
      </c>
      <c r="L2068" s="5" t="s">
        <v>77</v>
      </c>
      <c r="M2068" s="9" t="s">
        <v>73</v>
      </c>
    </row>
    <row r="2069">
      <c r="A2069" s="11">
        <v>2068.0</v>
      </c>
      <c r="B2069" s="11">
        <v>0.01</v>
      </c>
      <c r="C2069" s="11">
        <v>0.011</v>
      </c>
      <c r="D2069" s="11">
        <v>75.0</v>
      </c>
      <c r="E2069" s="11">
        <v>70.0</v>
      </c>
      <c r="F2069" s="11">
        <v>0.202</v>
      </c>
      <c r="G2069" s="11">
        <v>0.669</v>
      </c>
      <c r="H2069" s="11">
        <v>0.129</v>
      </c>
      <c r="I2069" s="11">
        <v>7516346.0</v>
      </c>
      <c r="J2069" s="11">
        <v>0.532</v>
      </c>
      <c r="K2069" s="12" t="s">
        <v>238</v>
      </c>
      <c r="L2069" s="5" t="s">
        <v>75</v>
      </c>
      <c r="M2069" s="9" t="s">
        <v>60</v>
      </c>
    </row>
    <row r="2070">
      <c r="A2070" s="11">
        <v>2069.0</v>
      </c>
      <c r="B2070" s="11">
        <v>0.011</v>
      </c>
      <c r="C2070" s="11">
        <v>0.011</v>
      </c>
      <c r="D2070" s="11">
        <v>75.0</v>
      </c>
      <c r="E2070" s="11">
        <v>70.0</v>
      </c>
      <c r="F2070" s="11">
        <v>0.197</v>
      </c>
      <c r="G2070" s="11">
        <v>0.67</v>
      </c>
      <c r="H2070" s="11">
        <v>0.132</v>
      </c>
      <c r="I2070" s="11">
        <v>7503433.0</v>
      </c>
      <c r="J2070" s="11">
        <v>0.535</v>
      </c>
      <c r="K2070" s="12" t="s">
        <v>238</v>
      </c>
      <c r="L2070" s="5" t="s">
        <v>75</v>
      </c>
      <c r="M2070" s="9" t="s">
        <v>62</v>
      </c>
    </row>
    <row r="2071">
      <c r="A2071" s="11">
        <v>2070.0</v>
      </c>
      <c r="B2071" s="11">
        <v>0.01</v>
      </c>
      <c r="C2071" s="11">
        <v>0.01</v>
      </c>
      <c r="D2071" s="11">
        <v>75.0</v>
      </c>
      <c r="E2071" s="11">
        <v>70.0</v>
      </c>
      <c r="F2071" s="11">
        <v>0.193</v>
      </c>
      <c r="G2071" s="11">
        <v>0.672</v>
      </c>
      <c r="H2071" s="11">
        <v>0.135</v>
      </c>
      <c r="I2071" s="11">
        <v>7500031.0</v>
      </c>
      <c r="J2071" s="11">
        <v>0.537</v>
      </c>
      <c r="K2071" s="12" t="s">
        <v>238</v>
      </c>
      <c r="L2071" s="5" t="s">
        <v>75</v>
      </c>
      <c r="M2071" s="9" t="s">
        <v>63</v>
      </c>
    </row>
    <row r="2072">
      <c r="A2072" s="11">
        <v>2071.0</v>
      </c>
      <c r="B2072" s="11">
        <v>0.011</v>
      </c>
      <c r="C2072" s="11">
        <v>0.009</v>
      </c>
      <c r="D2072" s="11">
        <v>75.0</v>
      </c>
      <c r="E2072" s="11">
        <v>70.0</v>
      </c>
      <c r="F2072" s="11">
        <v>0.189</v>
      </c>
      <c r="G2072" s="11">
        <v>0.674</v>
      </c>
      <c r="H2072" s="11">
        <v>0.137</v>
      </c>
      <c r="I2072" s="11">
        <v>7480591.0</v>
      </c>
      <c r="J2072" s="11">
        <v>0.54</v>
      </c>
      <c r="K2072" s="12" t="s">
        <v>238</v>
      </c>
      <c r="L2072" s="5" t="s">
        <v>75</v>
      </c>
      <c r="M2072" s="9" t="s">
        <v>64</v>
      </c>
    </row>
    <row r="2073">
      <c r="A2073" s="11">
        <v>2072.0</v>
      </c>
      <c r="B2073" s="11">
        <v>0.011</v>
      </c>
      <c r="C2073" s="11">
        <v>0.008</v>
      </c>
      <c r="D2073" s="11">
        <v>75.0</v>
      </c>
      <c r="E2073" s="11">
        <v>70.0</v>
      </c>
      <c r="F2073" s="11">
        <v>0.185</v>
      </c>
      <c r="G2073" s="11">
        <v>0.676</v>
      </c>
      <c r="H2073" s="11">
        <v>0.139</v>
      </c>
      <c r="I2073" s="11">
        <v>7463157.0</v>
      </c>
      <c r="J2073" s="11">
        <v>0.543</v>
      </c>
      <c r="K2073" s="12" t="s">
        <v>238</v>
      </c>
      <c r="L2073" s="5" t="s">
        <v>75</v>
      </c>
      <c r="M2073" s="9" t="s">
        <v>65</v>
      </c>
    </row>
    <row r="2074">
      <c r="A2074" s="11">
        <v>2073.0</v>
      </c>
      <c r="B2074" s="11">
        <v>0.01</v>
      </c>
      <c r="C2074" s="11">
        <v>0.008</v>
      </c>
      <c r="D2074" s="11">
        <v>75.0</v>
      </c>
      <c r="E2074" s="11">
        <v>70.0</v>
      </c>
      <c r="F2074" s="11">
        <v>0.181</v>
      </c>
      <c r="G2074" s="11">
        <v>0.679</v>
      </c>
      <c r="H2074" s="11">
        <v>0.14</v>
      </c>
      <c r="I2074" s="11">
        <v>7440769.0</v>
      </c>
      <c r="J2074" s="11">
        <v>0.545</v>
      </c>
      <c r="K2074" s="12" t="s">
        <v>238</v>
      </c>
      <c r="L2074" s="5" t="s">
        <v>75</v>
      </c>
      <c r="M2074" s="9" t="s">
        <v>66</v>
      </c>
    </row>
    <row r="2075">
      <c r="A2075" s="11">
        <v>2074.0</v>
      </c>
      <c r="B2075" s="11">
        <v>0.01</v>
      </c>
      <c r="C2075" s="11">
        <v>0.007</v>
      </c>
      <c r="D2075" s="11">
        <v>76.0</v>
      </c>
      <c r="E2075" s="11">
        <v>71.0</v>
      </c>
      <c r="F2075" s="11">
        <v>0.178</v>
      </c>
      <c r="G2075" s="11">
        <v>0.682</v>
      </c>
      <c r="H2075" s="11">
        <v>0.14</v>
      </c>
      <c r="I2075" s="11">
        <v>7411569.0</v>
      </c>
      <c r="J2075" s="11">
        <v>0.548</v>
      </c>
      <c r="K2075" s="12" t="s">
        <v>238</v>
      </c>
      <c r="L2075" s="5" t="s">
        <v>75</v>
      </c>
      <c r="M2075" s="9" t="s">
        <v>67</v>
      </c>
    </row>
    <row r="2076">
      <c r="A2076" s="11">
        <v>2075.0</v>
      </c>
      <c r="B2076" s="11">
        <v>0.009</v>
      </c>
      <c r="C2076" s="11">
        <v>0.007</v>
      </c>
      <c r="D2076" s="11">
        <v>76.0</v>
      </c>
      <c r="E2076" s="11">
        <v>71.0</v>
      </c>
      <c r="F2076" s="11">
        <v>0.176</v>
      </c>
      <c r="G2076" s="11">
        <v>0.686</v>
      </c>
      <c r="H2076" s="11">
        <v>0.139</v>
      </c>
      <c r="I2076" s="11">
        <v>7381579.0</v>
      </c>
      <c r="J2076" s="11">
        <v>0.551</v>
      </c>
      <c r="K2076" s="12" t="s">
        <v>238</v>
      </c>
      <c r="L2076" s="5" t="s">
        <v>75</v>
      </c>
      <c r="M2076" s="9" t="s">
        <v>68</v>
      </c>
    </row>
    <row r="2077">
      <c r="A2077" s="11">
        <v>2076.0</v>
      </c>
      <c r="B2077" s="11">
        <v>0.009</v>
      </c>
      <c r="C2077" s="11">
        <v>0.007</v>
      </c>
      <c r="D2077" s="11">
        <v>76.0</v>
      </c>
      <c r="E2077" s="11">
        <v>71.0</v>
      </c>
      <c r="F2077" s="11">
        <v>0.173</v>
      </c>
      <c r="G2077" s="11">
        <v>0.689</v>
      </c>
      <c r="H2077" s="11">
        <v>0.138</v>
      </c>
      <c r="I2077" s="11">
        <v>7350221.0</v>
      </c>
      <c r="J2077" s="11">
        <v>0.551</v>
      </c>
      <c r="K2077" s="12" t="s">
        <v>238</v>
      </c>
      <c r="L2077" s="5" t="s">
        <v>75</v>
      </c>
      <c r="M2077" s="9" t="s">
        <v>69</v>
      </c>
    </row>
    <row r="2078">
      <c r="A2078" s="11">
        <v>2077.0</v>
      </c>
      <c r="B2078" s="11">
        <v>0.01</v>
      </c>
      <c r="C2078" s="11">
        <v>0.007</v>
      </c>
      <c r="D2078" s="11">
        <v>76.0</v>
      </c>
      <c r="E2078" s="11">
        <v>71.0</v>
      </c>
      <c r="F2078" s="11">
        <v>0.171</v>
      </c>
      <c r="G2078" s="11">
        <v>0.692</v>
      </c>
      <c r="H2078" s="11">
        <v>0.137</v>
      </c>
      <c r="I2078" s="11">
        <v>7320807.0</v>
      </c>
      <c r="J2078" s="11">
        <v>0.552</v>
      </c>
      <c r="K2078" s="12" t="s">
        <v>238</v>
      </c>
      <c r="L2078" s="5" t="s">
        <v>75</v>
      </c>
      <c r="M2078" s="9" t="s">
        <v>70</v>
      </c>
    </row>
    <row r="2079">
      <c r="A2079" s="11">
        <v>2078.0</v>
      </c>
      <c r="B2079" s="11">
        <v>0.009</v>
      </c>
      <c r="C2079" s="11">
        <v>0.007</v>
      </c>
      <c r="D2079" s="11">
        <v>77.0</v>
      </c>
      <c r="E2079" s="11">
        <v>71.0</v>
      </c>
      <c r="F2079" s="11">
        <v>0.169</v>
      </c>
      <c r="G2079" s="11">
        <v>0.694</v>
      </c>
      <c r="H2079" s="11">
        <v>0.137</v>
      </c>
      <c r="I2079" s="11">
        <v>7291436.0</v>
      </c>
      <c r="J2079" s="11">
        <v>0.552</v>
      </c>
      <c r="K2079" s="12" t="s">
        <v>238</v>
      </c>
      <c r="L2079" s="5" t="s">
        <v>75</v>
      </c>
      <c r="M2079" s="9" t="s">
        <v>71</v>
      </c>
    </row>
    <row r="2080">
      <c r="A2080" s="11">
        <v>2079.0</v>
      </c>
      <c r="B2080" s="11">
        <v>0.009</v>
      </c>
      <c r="C2080" s="11">
        <v>0.006</v>
      </c>
      <c r="D2080" s="11">
        <v>77.0</v>
      </c>
      <c r="E2080" s="11">
        <v>72.0</v>
      </c>
      <c r="F2080" s="11">
        <v>0.167</v>
      </c>
      <c r="G2080" s="11">
        <v>0.695</v>
      </c>
      <c r="H2080" s="11">
        <v>0.138</v>
      </c>
      <c r="I2080" s="11">
        <v>7234099.0</v>
      </c>
      <c r="J2080" s="11">
        <v>0.553</v>
      </c>
      <c r="K2080" s="12" t="s">
        <v>238</v>
      </c>
      <c r="L2080" s="5" t="s">
        <v>75</v>
      </c>
      <c r="M2080" s="9" t="s">
        <v>72</v>
      </c>
    </row>
    <row r="2081">
      <c r="A2081" s="11">
        <v>2080.0</v>
      </c>
      <c r="B2081" s="11">
        <v>0.009</v>
      </c>
      <c r="C2081" s="11">
        <v>0.006</v>
      </c>
      <c r="D2081" s="11">
        <v>78.0</v>
      </c>
      <c r="E2081" s="11">
        <v>73.0</v>
      </c>
      <c r="F2081" s="11">
        <v>0.165</v>
      </c>
      <c r="G2081" s="11">
        <v>0.695</v>
      </c>
      <c r="H2081" s="11">
        <v>0.14</v>
      </c>
      <c r="I2081" s="11">
        <v>7199077.0</v>
      </c>
      <c r="J2081" s="11">
        <v>0.553</v>
      </c>
      <c r="K2081" s="12" t="s">
        <v>238</v>
      </c>
      <c r="L2081" s="5" t="s">
        <v>75</v>
      </c>
      <c r="M2081" s="9" t="s">
        <v>73</v>
      </c>
    </row>
    <row r="2082">
      <c r="A2082" s="11">
        <v>2081.0</v>
      </c>
      <c r="B2082" s="11">
        <v>0.019</v>
      </c>
      <c r="C2082" s="11">
        <v>0.012</v>
      </c>
      <c r="D2082" s="8"/>
      <c r="E2082" s="8"/>
      <c r="F2082" s="11">
        <v>0.282</v>
      </c>
      <c r="G2082" s="11">
        <v>0.637</v>
      </c>
      <c r="H2082" s="11">
        <v>0.081</v>
      </c>
      <c r="I2082" s="11">
        <v>81131.0</v>
      </c>
      <c r="J2082" s="11">
        <v>0.501</v>
      </c>
      <c r="K2082" s="12" t="s">
        <v>239</v>
      </c>
      <c r="L2082" s="5" t="s">
        <v>77</v>
      </c>
      <c r="M2082" s="9" t="s">
        <v>60</v>
      </c>
    </row>
    <row r="2083">
      <c r="A2083" s="11">
        <v>2082.0</v>
      </c>
      <c r="B2083" s="11">
        <v>0.018</v>
      </c>
      <c r="C2083" s="11">
        <v>0.012</v>
      </c>
      <c r="D2083" s="8"/>
      <c r="E2083" s="8"/>
      <c r="F2083" s="11">
        <v>0.275</v>
      </c>
      <c r="G2083" s="11">
        <v>0.645</v>
      </c>
      <c r="H2083" s="11">
        <v>0.08</v>
      </c>
      <c r="I2083" s="11">
        <v>81202.0</v>
      </c>
      <c r="J2083" s="11">
        <v>0.503</v>
      </c>
      <c r="K2083" s="12" t="s">
        <v>239</v>
      </c>
      <c r="L2083" s="5" t="s">
        <v>77</v>
      </c>
      <c r="M2083" s="9" t="s">
        <v>62</v>
      </c>
    </row>
    <row r="2084">
      <c r="A2084" s="11">
        <v>2083.0</v>
      </c>
      <c r="B2084" s="11">
        <v>0.018</v>
      </c>
      <c r="C2084" s="11">
        <v>0.012</v>
      </c>
      <c r="D2084" s="11">
        <v>77.0</v>
      </c>
      <c r="E2084" s="11">
        <v>69.0</v>
      </c>
      <c r="F2084" s="11">
        <v>0.267</v>
      </c>
      <c r="G2084" s="11">
        <v>0.654</v>
      </c>
      <c r="H2084" s="11">
        <v>0.079</v>
      </c>
      <c r="I2084" s="11">
        <v>83700.0</v>
      </c>
      <c r="J2084" s="11">
        <v>0.505</v>
      </c>
      <c r="K2084" s="12" t="s">
        <v>239</v>
      </c>
      <c r="L2084" s="5" t="s">
        <v>77</v>
      </c>
      <c r="M2084" s="9" t="s">
        <v>63</v>
      </c>
    </row>
    <row r="2085">
      <c r="A2085" s="11">
        <v>2084.0</v>
      </c>
      <c r="B2085" s="11">
        <v>0.018</v>
      </c>
      <c r="C2085" s="11">
        <v>0.012</v>
      </c>
      <c r="D2085" s="11">
        <v>76.0</v>
      </c>
      <c r="E2085" s="11">
        <v>66.0</v>
      </c>
      <c r="F2085" s="11">
        <v>0.258</v>
      </c>
      <c r="G2085" s="11">
        <v>0.664</v>
      </c>
      <c r="H2085" s="11">
        <v>0.078</v>
      </c>
      <c r="I2085" s="11">
        <v>82800.0</v>
      </c>
      <c r="J2085" s="11">
        <v>0.506</v>
      </c>
      <c r="K2085" s="12" t="s">
        <v>239</v>
      </c>
      <c r="L2085" s="5" t="s">
        <v>77</v>
      </c>
      <c r="M2085" s="9" t="s">
        <v>64</v>
      </c>
    </row>
    <row r="2086">
      <c r="A2086" s="11">
        <v>2085.0</v>
      </c>
      <c r="B2086" s="11">
        <v>0.017</v>
      </c>
      <c r="C2086" s="11">
        <v>0.012</v>
      </c>
      <c r="D2086" s="11">
        <v>76.0</v>
      </c>
      <c r="E2086" s="11">
        <v>69.0</v>
      </c>
      <c r="F2086" s="11">
        <v>0.25</v>
      </c>
      <c r="G2086" s="11">
        <v>0.673</v>
      </c>
      <c r="H2086" s="11">
        <v>0.076</v>
      </c>
      <c r="I2086" s="11">
        <v>82500.0</v>
      </c>
      <c r="J2086" s="11">
        <v>0.508</v>
      </c>
      <c r="K2086" s="12" t="s">
        <v>239</v>
      </c>
      <c r="L2086" s="5" t="s">
        <v>77</v>
      </c>
      <c r="M2086" s="9" t="s">
        <v>65</v>
      </c>
    </row>
    <row r="2087">
      <c r="A2087" s="11">
        <v>2086.0</v>
      </c>
      <c r="B2087" s="11">
        <v>0.019</v>
      </c>
      <c r="C2087" s="11">
        <v>0.012</v>
      </c>
      <c r="D2087" s="11">
        <v>77.0</v>
      </c>
      <c r="E2087" s="11">
        <v>67.0</v>
      </c>
      <c r="F2087" s="11">
        <v>0.243</v>
      </c>
      <c r="G2087" s="11">
        <v>0.681</v>
      </c>
      <c r="H2087" s="11">
        <v>0.075</v>
      </c>
      <c r="I2087" s="11">
        <v>82900.0</v>
      </c>
      <c r="J2087" s="11">
        <v>0.511</v>
      </c>
      <c r="K2087" s="12" t="s">
        <v>239</v>
      </c>
      <c r="L2087" s="5" t="s">
        <v>77</v>
      </c>
      <c r="M2087" s="9" t="s">
        <v>66</v>
      </c>
    </row>
    <row r="2088">
      <c r="A2088" s="11">
        <v>2087.0</v>
      </c>
      <c r="B2088" s="11">
        <v>0.017</v>
      </c>
      <c r="C2088" s="11">
        <v>0.012</v>
      </c>
      <c r="D2088" s="11">
        <v>76.0</v>
      </c>
      <c r="E2088" s="11">
        <v>69.0</v>
      </c>
      <c r="F2088" s="11">
        <v>0.238</v>
      </c>
      <c r="G2088" s="11">
        <v>0.688</v>
      </c>
      <c r="H2088" s="11">
        <v>0.075</v>
      </c>
      <c r="I2088" s="11">
        <v>84600.0</v>
      </c>
      <c r="J2088" s="11">
        <v>0.513</v>
      </c>
      <c r="K2088" s="12" t="s">
        <v>239</v>
      </c>
      <c r="L2088" s="5" t="s">
        <v>77</v>
      </c>
      <c r="M2088" s="9" t="s">
        <v>67</v>
      </c>
    </row>
    <row r="2089">
      <c r="A2089" s="11">
        <v>2088.0</v>
      </c>
      <c r="B2089" s="11">
        <v>0.018</v>
      </c>
      <c r="C2089" s="11">
        <v>0.012</v>
      </c>
      <c r="D2089" s="11">
        <v>78.0</v>
      </c>
      <c r="E2089" s="11">
        <v>69.0</v>
      </c>
      <c r="F2089" s="11">
        <v>0.233</v>
      </c>
      <c r="G2089" s="11">
        <v>0.693</v>
      </c>
      <c r="H2089" s="11">
        <v>0.075</v>
      </c>
      <c r="I2089" s="11">
        <v>85033.0</v>
      </c>
      <c r="J2089" s="11">
        <v>0.515</v>
      </c>
      <c r="K2089" s="12" t="s">
        <v>239</v>
      </c>
      <c r="L2089" s="5" t="s">
        <v>77</v>
      </c>
      <c r="M2089" s="9" t="s">
        <v>68</v>
      </c>
    </row>
    <row r="2090">
      <c r="A2090" s="11">
        <v>2089.0</v>
      </c>
      <c r="B2090" s="11">
        <v>0.018</v>
      </c>
      <c r="C2090" s="11">
        <v>0.012</v>
      </c>
      <c r="D2090" s="11">
        <v>79.0</v>
      </c>
      <c r="E2090" s="11">
        <v>68.0</v>
      </c>
      <c r="F2090" s="11">
        <v>0.229</v>
      </c>
      <c r="G2090" s="11">
        <v>0.696</v>
      </c>
      <c r="H2090" s="11">
        <v>0.075</v>
      </c>
      <c r="I2090" s="11">
        <v>86956.0</v>
      </c>
      <c r="J2090" s="11">
        <v>0.518</v>
      </c>
      <c r="K2090" s="12" t="s">
        <v>239</v>
      </c>
      <c r="L2090" s="5" t="s">
        <v>77</v>
      </c>
      <c r="M2090" s="9" t="s">
        <v>69</v>
      </c>
    </row>
    <row r="2091">
      <c r="A2091" s="11">
        <v>2090.0</v>
      </c>
      <c r="B2091" s="11">
        <v>0.018</v>
      </c>
      <c r="C2091" s="11">
        <v>0.012</v>
      </c>
      <c r="D2091" s="11">
        <v>78.0</v>
      </c>
      <c r="E2091" s="11">
        <v>68.0</v>
      </c>
      <c r="F2091" s="11">
        <v>0.225</v>
      </c>
      <c r="G2091" s="11">
        <v>0.699</v>
      </c>
      <c r="H2091" s="11">
        <v>0.076</v>
      </c>
      <c r="I2091" s="11">
        <v>87298.0</v>
      </c>
      <c r="J2091" s="11">
        <v>0.52</v>
      </c>
      <c r="K2091" s="12" t="s">
        <v>239</v>
      </c>
      <c r="L2091" s="5" t="s">
        <v>77</v>
      </c>
      <c r="M2091" s="9" t="s">
        <v>70</v>
      </c>
    </row>
    <row r="2092">
      <c r="A2092" s="11">
        <v>2091.0</v>
      </c>
      <c r="B2092" s="11">
        <v>0.017</v>
      </c>
      <c r="C2092" s="11">
        <v>0.012</v>
      </c>
      <c r="D2092" s="11">
        <v>78.0</v>
      </c>
      <c r="E2092" s="11">
        <v>69.0</v>
      </c>
      <c r="F2092" s="11">
        <v>0.223</v>
      </c>
      <c r="G2092" s="11">
        <v>0.701</v>
      </c>
      <c r="H2092" s="11">
        <v>0.076</v>
      </c>
      <c r="I2092" s="11">
        <v>89770.0</v>
      </c>
      <c r="J2092" s="11">
        <v>0.523</v>
      </c>
      <c r="K2092" s="12" t="s">
        <v>239</v>
      </c>
      <c r="L2092" s="5" t="s">
        <v>77</v>
      </c>
      <c r="M2092" s="9" t="s">
        <v>71</v>
      </c>
    </row>
    <row r="2093">
      <c r="A2093" s="11">
        <v>2092.0</v>
      </c>
      <c r="B2093" s="11">
        <v>0.019</v>
      </c>
      <c r="C2093" s="11">
        <v>0.012</v>
      </c>
      <c r="D2093" s="11">
        <v>78.0</v>
      </c>
      <c r="E2093" s="11">
        <v>68.0</v>
      </c>
      <c r="F2093" s="11">
        <v>0.222</v>
      </c>
      <c r="G2093" s="11">
        <v>0.702</v>
      </c>
      <c r="H2093" s="11">
        <v>0.076</v>
      </c>
      <c r="I2093" s="11">
        <v>87441.0</v>
      </c>
      <c r="J2093" s="11">
        <v>0.526</v>
      </c>
      <c r="K2093" s="12" t="s">
        <v>239</v>
      </c>
      <c r="L2093" s="5" t="s">
        <v>77</v>
      </c>
      <c r="M2093" s="9" t="s">
        <v>72</v>
      </c>
    </row>
    <row r="2094">
      <c r="A2094" s="11">
        <v>2093.0</v>
      </c>
      <c r="B2094" s="11">
        <v>0.019</v>
      </c>
      <c r="C2094" s="11">
        <v>0.012</v>
      </c>
      <c r="D2094" s="11">
        <v>78.0</v>
      </c>
      <c r="E2094" s="11">
        <v>68.0</v>
      </c>
      <c r="F2094" s="11">
        <v>0.221</v>
      </c>
      <c r="G2094" s="11">
        <v>0.702</v>
      </c>
      <c r="H2094" s="11">
        <v>0.077</v>
      </c>
      <c r="I2094" s="11">
        <v>88303.0</v>
      </c>
      <c r="J2094" s="11">
        <v>0.529</v>
      </c>
      <c r="K2094" s="12" t="s">
        <v>239</v>
      </c>
      <c r="L2094" s="5" t="s">
        <v>77</v>
      </c>
      <c r="M2094" s="9" t="s">
        <v>73</v>
      </c>
    </row>
    <row r="2095">
      <c r="A2095" s="11">
        <v>2094.0</v>
      </c>
      <c r="B2095" s="11">
        <v>0.044</v>
      </c>
      <c r="C2095" s="11">
        <v>0.141</v>
      </c>
      <c r="D2095" s="11">
        <v>39.0</v>
      </c>
      <c r="E2095" s="11">
        <v>37.0</v>
      </c>
      <c r="F2095" s="11">
        <v>0.43</v>
      </c>
      <c r="G2095" s="11">
        <v>0.546</v>
      </c>
      <c r="H2095" s="11">
        <v>0.025</v>
      </c>
      <c r="I2095" s="11">
        <v>4139757.0</v>
      </c>
      <c r="J2095" s="11">
        <v>0.356</v>
      </c>
      <c r="K2095" s="12" t="s">
        <v>240</v>
      </c>
      <c r="L2095" s="5" t="s">
        <v>77</v>
      </c>
      <c r="M2095" s="9" t="s">
        <v>60</v>
      </c>
    </row>
    <row r="2096">
      <c r="A2096" s="11">
        <v>2095.0</v>
      </c>
      <c r="B2096" s="11">
        <v>0.044</v>
      </c>
      <c r="C2096" s="11">
        <v>0.139</v>
      </c>
      <c r="D2096" s="11">
        <v>40.0</v>
      </c>
      <c r="E2096" s="11">
        <v>38.0</v>
      </c>
      <c r="F2096" s="11">
        <v>0.429</v>
      </c>
      <c r="G2096" s="11">
        <v>0.547</v>
      </c>
      <c r="H2096" s="11">
        <v>0.024</v>
      </c>
      <c r="I2096" s="11">
        <v>4295667.0</v>
      </c>
      <c r="J2096" s="11">
        <v>0.359</v>
      </c>
      <c r="K2096" s="12" t="s">
        <v>240</v>
      </c>
      <c r="L2096" s="5" t="s">
        <v>77</v>
      </c>
      <c r="M2096" s="9" t="s">
        <v>62</v>
      </c>
    </row>
    <row r="2097">
      <c r="A2097" s="11">
        <v>2096.0</v>
      </c>
      <c r="B2097" s="11">
        <v>0.043</v>
      </c>
      <c r="C2097" s="11">
        <v>0.136</v>
      </c>
      <c r="D2097" s="11">
        <v>40.0</v>
      </c>
      <c r="E2097" s="11">
        <v>39.0</v>
      </c>
      <c r="F2097" s="11">
        <v>0.428</v>
      </c>
      <c r="G2097" s="11">
        <v>0.548</v>
      </c>
      <c r="H2097" s="11">
        <v>0.024</v>
      </c>
      <c r="I2097" s="11">
        <v>4493047.0</v>
      </c>
      <c r="J2097" s="11">
        <v>0.361</v>
      </c>
      <c r="K2097" s="12" t="s">
        <v>240</v>
      </c>
      <c r="L2097" s="5" t="s">
        <v>77</v>
      </c>
      <c r="M2097" s="9" t="s">
        <v>63</v>
      </c>
    </row>
    <row r="2098">
      <c r="A2098" s="11">
        <v>2097.0</v>
      </c>
      <c r="B2098" s="11">
        <v>0.043</v>
      </c>
      <c r="C2098" s="11">
        <v>0.133</v>
      </c>
      <c r="D2098" s="11">
        <v>41.0</v>
      </c>
      <c r="E2098" s="11">
        <v>40.0</v>
      </c>
      <c r="F2098" s="11">
        <v>0.428</v>
      </c>
      <c r="G2098" s="11">
        <v>0.548</v>
      </c>
      <c r="H2098" s="11">
        <v>0.024</v>
      </c>
      <c r="I2098" s="11">
        <v>4712763.0</v>
      </c>
      <c r="J2098" s="11">
        <v>0.364</v>
      </c>
      <c r="K2098" s="12" t="s">
        <v>240</v>
      </c>
      <c r="L2098" s="5" t="s">
        <v>77</v>
      </c>
      <c r="M2098" s="9" t="s">
        <v>64</v>
      </c>
    </row>
    <row r="2099">
      <c r="A2099" s="11">
        <v>2098.0</v>
      </c>
      <c r="B2099" s="11">
        <v>0.042</v>
      </c>
      <c r="C2099" s="11">
        <v>0.13</v>
      </c>
      <c r="D2099" s="11">
        <v>42.0</v>
      </c>
      <c r="E2099" s="11">
        <v>41.0</v>
      </c>
      <c r="F2099" s="11">
        <v>0.427</v>
      </c>
      <c r="G2099" s="11">
        <v>0.549</v>
      </c>
      <c r="H2099" s="11">
        <v>0.024</v>
      </c>
      <c r="I2099" s="11">
        <v>4928175.0</v>
      </c>
      <c r="J2099" s="11">
        <v>0.366</v>
      </c>
      <c r="K2099" s="12" t="s">
        <v>240</v>
      </c>
      <c r="L2099" s="5" t="s">
        <v>77</v>
      </c>
      <c r="M2099" s="9" t="s">
        <v>65</v>
      </c>
    </row>
    <row r="2100">
      <c r="A2100" s="11">
        <v>2099.0</v>
      </c>
      <c r="B2100" s="11">
        <v>0.042</v>
      </c>
      <c r="C2100" s="11">
        <v>0.128</v>
      </c>
      <c r="D2100" s="11">
        <v>42.0</v>
      </c>
      <c r="E2100" s="11">
        <v>42.0</v>
      </c>
      <c r="F2100" s="11">
        <v>0.427</v>
      </c>
      <c r="G2100" s="11">
        <v>0.549</v>
      </c>
      <c r="H2100" s="11">
        <v>0.024</v>
      </c>
      <c r="I2100" s="11">
        <v>5119895.0</v>
      </c>
      <c r="J2100" s="11">
        <v>0.368</v>
      </c>
      <c r="K2100" s="12" t="s">
        <v>240</v>
      </c>
      <c r="L2100" s="5" t="s">
        <v>77</v>
      </c>
      <c r="M2100" s="9" t="s">
        <v>66</v>
      </c>
    </row>
    <row r="2101">
      <c r="A2101" s="11">
        <v>2100.0</v>
      </c>
      <c r="B2101" s="11">
        <v>0.041</v>
      </c>
      <c r="C2101" s="11">
        <v>0.125</v>
      </c>
      <c r="D2101" s="11">
        <v>43.0</v>
      </c>
      <c r="E2101" s="11">
        <v>43.0</v>
      </c>
      <c r="F2101" s="11">
        <v>0.426</v>
      </c>
      <c r="G2101" s="11">
        <v>0.549</v>
      </c>
      <c r="H2101" s="11">
        <v>0.025</v>
      </c>
      <c r="I2101" s="11">
        <v>5280909.0</v>
      </c>
      <c r="J2101" s="11">
        <v>0.371</v>
      </c>
      <c r="K2101" s="12" t="s">
        <v>240</v>
      </c>
      <c r="L2101" s="5" t="s">
        <v>77</v>
      </c>
      <c r="M2101" s="9" t="s">
        <v>67</v>
      </c>
    </row>
    <row r="2102">
      <c r="A2102" s="11">
        <v>2101.0</v>
      </c>
      <c r="B2102" s="11">
        <v>0.04</v>
      </c>
      <c r="C2102" s="11">
        <v>0.122</v>
      </c>
      <c r="D2102" s="11">
        <v>44.0</v>
      </c>
      <c r="E2102" s="11">
        <v>43.0</v>
      </c>
      <c r="F2102" s="11">
        <v>0.425</v>
      </c>
      <c r="G2102" s="11">
        <v>0.55</v>
      </c>
      <c r="H2102" s="11">
        <v>0.025</v>
      </c>
      <c r="I2102" s="11">
        <v>5416015.0</v>
      </c>
      <c r="J2102" s="11">
        <v>0.374</v>
      </c>
      <c r="K2102" s="12" t="s">
        <v>240</v>
      </c>
      <c r="L2102" s="5" t="s">
        <v>77</v>
      </c>
      <c r="M2102" s="9" t="s">
        <v>68</v>
      </c>
    </row>
    <row r="2103">
      <c r="A2103" s="11">
        <v>2102.0</v>
      </c>
      <c r="B2103" s="11">
        <v>0.04</v>
      </c>
      <c r="C2103" s="11">
        <v>0.12</v>
      </c>
      <c r="D2103" s="11">
        <v>44.0</v>
      </c>
      <c r="E2103" s="11">
        <v>44.0</v>
      </c>
      <c r="F2103" s="11">
        <v>0.424</v>
      </c>
      <c r="G2103" s="11">
        <v>0.551</v>
      </c>
      <c r="H2103" s="11">
        <v>0.025</v>
      </c>
      <c r="I2103" s="11">
        <v>5532139.0</v>
      </c>
      <c r="J2103" s="11">
        <v>0.376</v>
      </c>
      <c r="K2103" s="12" t="s">
        <v>240</v>
      </c>
      <c r="L2103" s="5" t="s">
        <v>77</v>
      </c>
      <c r="M2103" s="9" t="s">
        <v>69</v>
      </c>
    </row>
    <row r="2104">
      <c r="A2104" s="11">
        <v>2103.0</v>
      </c>
      <c r="B2104" s="11">
        <v>0.039</v>
      </c>
      <c r="C2104" s="11">
        <v>0.117</v>
      </c>
      <c r="D2104" s="11">
        <v>45.0</v>
      </c>
      <c r="E2104" s="11">
        <v>44.0</v>
      </c>
      <c r="F2104" s="11">
        <v>0.423</v>
      </c>
      <c r="G2104" s="11">
        <v>0.551</v>
      </c>
      <c r="H2104" s="11">
        <v>0.025</v>
      </c>
      <c r="I2104" s="11">
        <v>5641182.0</v>
      </c>
      <c r="J2104" s="11">
        <v>0.379</v>
      </c>
      <c r="K2104" s="12" t="s">
        <v>240</v>
      </c>
      <c r="L2104" s="5" t="s">
        <v>77</v>
      </c>
      <c r="M2104" s="9" t="s">
        <v>70</v>
      </c>
    </row>
    <row r="2105">
      <c r="A2105" s="11">
        <v>2104.0</v>
      </c>
      <c r="B2105" s="11">
        <v>0.038</v>
      </c>
      <c r="C2105" s="11">
        <v>0.114</v>
      </c>
      <c r="D2105" s="11">
        <v>45.0</v>
      </c>
      <c r="E2105" s="11">
        <v>45.0</v>
      </c>
      <c r="F2105" s="11">
        <v>0.422</v>
      </c>
      <c r="G2105" s="11">
        <v>0.553</v>
      </c>
      <c r="H2105" s="11">
        <v>0.026</v>
      </c>
      <c r="I2105" s="11">
        <v>5751976.0</v>
      </c>
      <c r="J2105" s="11">
        <v>0.382</v>
      </c>
      <c r="K2105" s="12" t="s">
        <v>240</v>
      </c>
      <c r="L2105" s="5" t="s">
        <v>77</v>
      </c>
      <c r="M2105" s="9" t="s">
        <v>71</v>
      </c>
    </row>
    <row r="2106">
      <c r="A2106" s="11">
        <v>2105.0</v>
      </c>
      <c r="B2106" s="11">
        <v>0.038</v>
      </c>
      <c r="C2106" s="11">
        <v>0.112</v>
      </c>
      <c r="D2106" s="11">
        <v>45.0</v>
      </c>
      <c r="E2106" s="11">
        <v>45.0</v>
      </c>
      <c r="F2106" s="11">
        <v>0.42</v>
      </c>
      <c r="G2106" s="11">
        <v>0.554</v>
      </c>
      <c r="H2106" s="11">
        <v>0.026</v>
      </c>
      <c r="I2106" s="11">
        <v>5865491.0</v>
      </c>
      <c r="J2106" s="11">
        <v>0.386</v>
      </c>
      <c r="K2106" s="12" t="s">
        <v>240</v>
      </c>
      <c r="L2106" s="5" t="s">
        <v>77</v>
      </c>
      <c r="M2106" s="9" t="s">
        <v>72</v>
      </c>
    </row>
    <row r="2107">
      <c r="A2107" s="11">
        <v>2106.0</v>
      </c>
      <c r="B2107" s="11">
        <v>0.037</v>
      </c>
      <c r="C2107" s="11">
        <v>0.11</v>
      </c>
      <c r="D2107" s="11">
        <v>46.0</v>
      </c>
      <c r="E2107" s="11">
        <v>45.0</v>
      </c>
      <c r="F2107" s="11">
        <v>0.417</v>
      </c>
      <c r="G2107" s="11">
        <v>0.556</v>
      </c>
      <c r="H2107" s="11">
        <v>0.026</v>
      </c>
      <c r="I2107" s="11">
        <v>5978727.0</v>
      </c>
      <c r="J2107" s="11">
        <v>0.389</v>
      </c>
      <c r="K2107" s="12" t="s">
        <v>240</v>
      </c>
      <c r="L2107" s="5" t="s">
        <v>77</v>
      </c>
      <c r="M2107" s="9" t="s">
        <v>73</v>
      </c>
    </row>
    <row r="2108">
      <c r="A2108" s="11">
        <v>2107.0</v>
      </c>
      <c r="B2108" s="11">
        <v>0.012</v>
      </c>
      <c r="C2108" s="11">
        <v>0.003</v>
      </c>
      <c r="D2108" s="11">
        <v>80.0</v>
      </c>
      <c r="E2108" s="11">
        <v>76.0</v>
      </c>
      <c r="F2108" s="11">
        <v>0.215</v>
      </c>
      <c r="G2108" s="11">
        <v>0.712</v>
      </c>
      <c r="H2108" s="11">
        <v>0.073</v>
      </c>
      <c r="I2108" s="11">
        <v>4027900.0</v>
      </c>
      <c r="J2108" s="11">
        <v>1.0</v>
      </c>
      <c r="K2108" s="12" t="s">
        <v>241</v>
      </c>
      <c r="L2108" s="5" t="s">
        <v>61</v>
      </c>
      <c r="M2108" s="9" t="s">
        <v>60</v>
      </c>
    </row>
    <row r="2109">
      <c r="A2109" s="11">
        <v>2108.0</v>
      </c>
      <c r="B2109" s="11">
        <v>0.012</v>
      </c>
      <c r="C2109" s="11">
        <v>0.003</v>
      </c>
      <c r="D2109" s="11">
        <v>80.0</v>
      </c>
      <c r="E2109" s="11">
        <v>76.0</v>
      </c>
      <c r="F2109" s="11">
        <v>0.211</v>
      </c>
      <c r="G2109" s="11">
        <v>0.714</v>
      </c>
      <c r="H2109" s="11">
        <v>0.075</v>
      </c>
      <c r="I2109" s="11">
        <v>4138000.0</v>
      </c>
      <c r="J2109" s="11">
        <v>1.0</v>
      </c>
      <c r="K2109" s="12" t="s">
        <v>241</v>
      </c>
      <c r="L2109" s="5" t="s">
        <v>61</v>
      </c>
      <c r="M2109" s="9" t="s">
        <v>62</v>
      </c>
    </row>
    <row r="2110">
      <c r="A2110" s="11">
        <v>2109.0</v>
      </c>
      <c r="B2110" s="11">
        <v>0.011</v>
      </c>
      <c r="C2110" s="11">
        <v>0.003</v>
      </c>
      <c r="D2110" s="11">
        <v>81.0</v>
      </c>
      <c r="E2110" s="11">
        <v>77.0</v>
      </c>
      <c r="F2110" s="11">
        <v>0.206</v>
      </c>
      <c r="G2110" s="11">
        <v>0.717</v>
      </c>
      <c r="H2110" s="11">
        <v>0.077</v>
      </c>
      <c r="I2110" s="11">
        <v>4176000.0</v>
      </c>
      <c r="J2110" s="11">
        <v>1.0</v>
      </c>
      <c r="K2110" s="12" t="s">
        <v>241</v>
      </c>
      <c r="L2110" s="5" t="s">
        <v>61</v>
      </c>
      <c r="M2110" s="9" t="s">
        <v>63</v>
      </c>
    </row>
    <row r="2111">
      <c r="A2111" s="11">
        <v>2110.0</v>
      </c>
      <c r="B2111" s="11">
        <v>0.011</v>
      </c>
      <c r="C2111" s="11">
        <v>0.003</v>
      </c>
      <c r="D2111" s="11">
        <v>82.0</v>
      </c>
      <c r="E2111" s="11">
        <v>77.0</v>
      </c>
      <c r="F2111" s="11">
        <v>0.201</v>
      </c>
      <c r="G2111" s="11">
        <v>0.72</v>
      </c>
      <c r="H2111" s="11">
        <v>0.079</v>
      </c>
      <c r="I2111" s="11">
        <v>4114800.0</v>
      </c>
      <c r="J2111" s="11">
        <v>1.0</v>
      </c>
      <c r="K2111" s="12" t="s">
        <v>241</v>
      </c>
      <c r="L2111" s="5" t="s">
        <v>61</v>
      </c>
      <c r="M2111" s="9" t="s">
        <v>64</v>
      </c>
    </row>
    <row r="2112">
      <c r="A2112" s="11">
        <v>2111.0</v>
      </c>
      <c r="B2112" s="11">
        <v>0.01</v>
      </c>
      <c r="C2112" s="11">
        <v>0.002</v>
      </c>
      <c r="D2112" s="11">
        <v>82.0</v>
      </c>
      <c r="E2112" s="11">
        <v>77.0</v>
      </c>
      <c r="F2112" s="11">
        <v>0.196</v>
      </c>
      <c r="G2112" s="11">
        <v>0.723</v>
      </c>
      <c r="H2112" s="11">
        <v>0.081</v>
      </c>
      <c r="I2112" s="11">
        <v>4166700.0</v>
      </c>
      <c r="J2112" s="11">
        <v>1.0</v>
      </c>
      <c r="K2112" s="12" t="s">
        <v>241</v>
      </c>
      <c r="L2112" s="5" t="s">
        <v>61</v>
      </c>
      <c r="M2112" s="9" t="s">
        <v>65</v>
      </c>
    </row>
    <row r="2113">
      <c r="A2113" s="11">
        <v>2112.0</v>
      </c>
      <c r="B2113" s="11">
        <v>0.01</v>
      </c>
      <c r="C2113" s="11">
        <v>0.002</v>
      </c>
      <c r="D2113" s="11">
        <v>83.0</v>
      </c>
      <c r="E2113" s="11">
        <v>78.0</v>
      </c>
      <c r="F2113" s="11">
        <v>0.191</v>
      </c>
      <c r="G2113" s="11">
        <v>0.726</v>
      </c>
      <c r="H2113" s="11">
        <v>0.082</v>
      </c>
      <c r="I2113" s="11">
        <v>4265800.0</v>
      </c>
      <c r="J2113" s="11">
        <v>1.0</v>
      </c>
      <c r="K2113" s="12" t="s">
        <v>241</v>
      </c>
      <c r="L2113" s="5" t="s">
        <v>61</v>
      </c>
      <c r="M2113" s="9" t="s">
        <v>66</v>
      </c>
    </row>
    <row r="2114">
      <c r="A2114" s="11">
        <v>2113.0</v>
      </c>
      <c r="B2114" s="11">
        <v>0.01</v>
      </c>
      <c r="C2114" s="11">
        <v>0.002</v>
      </c>
      <c r="D2114" s="11">
        <v>83.0</v>
      </c>
      <c r="E2114" s="11">
        <v>78.0</v>
      </c>
      <c r="F2114" s="11">
        <v>0.188</v>
      </c>
      <c r="G2114" s="11">
        <v>0.729</v>
      </c>
      <c r="H2114" s="11">
        <v>0.083</v>
      </c>
      <c r="I2114" s="11">
        <v>4401400.0</v>
      </c>
      <c r="J2114" s="11">
        <v>1.0</v>
      </c>
      <c r="K2114" s="12" t="s">
        <v>241</v>
      </c>
      <c r="L2114" s="5" t="s">
        <v>61</v>
      </c>
      <c r="M2114" s="9" t="s">
        <v>67</v>
      </c>
    </row>
    <row r="2115">
      <c r="A2115" s="11">
        <v>2114.0</v>
      </c>
      <c r="B2115" s="11">
        <v>0.01</v>
      </c>
      <c r="C2115" s="11">
        <v>0.002</v>
      </c>
      <c r="D2115" s="11">
        <v>83.0</v>
      </c>
      <c r="E2115" s="11">
        <v>78.0</v>
      </c>
      <c r="F2115" s="11">
        <v>0.184</v>
      </c>
      <c r="G2115" s="11">
        <v>0.731</v>
      </c>
      <c r="H2115" s="11">
        <v>0.085</v>
      </c>
      <c r="I2115" s="11">
        <v>4588600.0</v>
      </c>
      <c r="J2115" s="11">
        <v>1.0</v>
      </c>
      <c r="K2115" s="12" t="s">
        <v>241</v>
      </c>
      <c r="L2115" s="5" t="s">
        <v>61</v>
      </c>
      <c r="M2115" s="9" t="s">
        <v>68</v>
      </c>
    </row>
    <row r="2116">
      <c r="A2116" s="11">
        <v>2115.0</v>
      </c>
      <c r="B2116" s="11">
        <v>0.01</v>
      </c>
      <c r="C2116" s="11">
        <v>0.002</v>
      </c>
      <c r="D2116" s="11">
        <v>83.0</v>
      </c>
      <c r="E2116" s="11">
        <v>78.0</v>
      </c>
      <c r="F2116" s="11">
        <v>0.181</v>
      </c>
      <c r="G2116" s="11">
        <v>0.733</v>
      </c>
      <c r="H2116" s="11">
        <v>0.086</v>
      </c>
      <c r="I2116" s="11">
        <v>4839400.0</v>
      </c>
      <c r="J2116" s="11">
        <v>1.0</v>
      </c>
      <c r="K2116" s="12" t="s">
        <v>241</v>
      </c>
      <c r="L2116" s="5" t="s">
        <v>61</v>
      </c>
      <c r="M2116" s="9" t="s">
        <v>69</v>
      </c>
    </row>
    <row r="2117">
      <c r="A2117" s="11">
        <v>2116.0</v>
      </c>
      <c r="B2117" s="11">
        <v>0.01</v>
      </c>
      <c r="C2117" s="11">
        <v>0.002</v>
      </c>
      <c r="D2117" s="11">
        <v>84.0</v>
      </c>
      <c r="E2117" s="11">
        <v>79.0</v>
      </c>
      <c r="F2117" s="11">
        <v>0.177</v>
      </c>
      <c r="G2117" s="11">
        <v>0.735</v>
      </c>
      <c r="H2117" s="11">
        <v>0.088</v>
      </c>
      <c r="I2117" s="11">
        <v>4987600.0</v>
      </c>
      <c r="J2117" s="11">
        <v>1.0</v>
      </c>
      <c r="K2117" s="12" t="s">
        <v>241</v>
      </c>
      <c r="L2117" s="5" t="s">
        <v>61</v>
      </c>
      <c r="M2117" s="9" t="s">
        <v>70</v>
      </c>
    </row>
    <row r="2118">
      <c r="A2118" s="11">
        <v>2117.0</v>
      </c>
      <c r="B2118" s="11">
        <v>0.009</v>
      </c>
      <c r="C2118" s="11">
        <v>0.002</v>
      </c>
      <c r="D2118" s="11">
        <v>84.0</v>
      </c>
      <c r="E2118" s="11">
        <v>79.0</v>
      </c>
      <c r="F2118" s="11">
        <v>0.173</v>
      </c>
      <c r="G2118" s="11">
        <v>0.736</v>
      </c>
      <c r="H2118" s="11">
        <v>0.09</v>
      </c>
      <c r="I2118" s="11">
        <v>5076700.0</v>
      </c>
      <c r="J2118" s="11">
        <v>1.0</v>
      </c>
      <c r="K2118" s="12" t="s">
        <v>241</v>
      </c>
      <c r="L2118" s="5" t="s">
        <v>61</v>
      </c>
      <c r="M2118" s="9" t="s">
        <v>71</v>
      </c>
    </row>
    <row r="2119">
      <c r="A2119" s="11">
        <v>2118.0</v>
      </c>
      <c r="B2119" s="11">
        <v>0.01</v>
      </c>
      <c r="C2119" s="11">
        <v>0.002</v>
      </c>
      <c r="D2119" s="11">
        <v>84.0</v>
      </c>
      <c r="E2119" s="11">
        <v>80.0</v>
      </c>
      <c r="F2119" s="11">
        <v>0.169</v>
      </c>
      <c r="G2119" s="11">
        <v>0.737</v>
      </c>
      <c r="H2119" s="11">
        <v>0.093</v>
      </c>
      <c r="I2119" s="11">
        <v>5183700.0</v>
      </c>
      <c r="J2119" s="11">
        <v>1.0</v>
      </c>
      <c r="K2119" s="12" t="s">
        <v>241</v>
      </c>
      <c r="L2119" s="5" t="s">
        <v>61</v>
      </c>
      <c r="M2119" s="9" t="s">
        <v>72</v>
      </c>
    </row>
    <row r="2120">
      <c r="A2120" s="11">
        <v>2119.0</v>
      </c>
      <c r="B2120" s="11">
        <v>0.01</v>
      </c>
      <c r="C2120" s="11">
        <v>0.002</v>
      </c>
      <c r="D2120" s="11">
        <v>85.0</v>
      </c>
      <c r="E2120" s="11">
        <v>80.0</v>
      </c>
      <c r="F2120" s="11">
        <v>0.165</v>
      </c>
      <c r="G2120" s="11">
        <v>0.738</v>
      </c>
      <c r="H2120" s="11">
        <v>0.097</v>
      </c>
      <c r="I2120" s="11">
        <v>5312400.0</v>
      </c>
      <c r="J2120" s="11">
        <v>1.0</v>
      </c>
      <c r="K2120" s="12" t="s">
        <v>241</v>
      </c>
      <c r="L2120" s="5" t="s">
        <v>61</v>
      </c>
      <c r="M2120" s="9" t="s">
        <v>73</v>
      </c>
    </row>
    <row r="2121">
      <c r="A2121" s="8">
        <v>2120.0</v>
      </c>
      <c r="B2121" s="8"/>
      <c r="C2121" s="8"/>
      <c r="D2121" s="8"/>
      <c r="E2121" s="8"/>
      <c r="F2121" s="8"/>
      <c r="G2121" s="8"/>
      <c r="H2121" s="8"/>
      <c r="I2121" s="11">
        <v>30519.0</v>
      </c>
      <c r="J2121" s="11">
        <v>1.0</v>
      </c>
      <c r="K2121" s="12" t="s">
        <v>242</v>
      </c>
      <c r="L2121" s="5" t="s">
        <v>84</v>
      </c>
      <c r="M2121" s="9" t="s">
        <v>60</v>
      </c>
    </row>
    <row r="2122">
      <c r="A2122" s="8">
        <v>2121.0</v>
      </c>
      <c r="B2122" s="8"/>
      <c r="C2122" s="8"/>
      <c r="D2122" s="8"/>
      <c r="E2122" s="8"/>
      <c r="F2122" s="8"/>
      <c r="G2122" s="8"/>
      <c r="H2122" s="8"/>
      <c r="I2122" s="11">
        <v>31189.0</v>
      </c>
      <c r="J2122" s="11">
        <v>1.0</v>
      </c>
      <c r="K2122" s="12" t="s">
        <v>242</v>
      </c>
      <c r="L2122" s="5" t="s">
        <v>84</v>
      </c>
      <c r="M2122" s="9" t="s">
        <v>62</v>
      </c>
    </row>
    <row r="2123">
      <c r="A2123" s="8">
        <v>2122.0</v>
      </c>
      <c r="B2123" s="8"/>
      <c r="C2123" s="8"/>
      <c r="D2123" s="8"/>
      <c r="E2123" s="8"/>
      <c r="F2123" s="8"/>
      <c r="G2123" s="8"/>
      <c r="H2123" s="8"/>
      <c r="I2123" s="11">
        <v>32566.0</v>
      </c>
      <c r="J2123" s="11">
        <v>1.0</v>
      </c>
      <c r="K2123" s="12" t="s">
        <v>242</v>
      </c>
      <c r="L2123" s="5" t="s">
        <v>84</v>
      </c>
      <c r="M2123" s="9" t="s">
        <v>63</v>
      </c>
    </row>
    <row r="2124">
      <c r="A2124" s="8">
        <v>2123.0</v>
      </c>
      <c r="B2124" s="8"/>
      <c r="C2124" s="8"/>
      <c r="D2124" s="8"/>
      <c r="E2124" s="8"/>
      <c r="F2124" s="8"/>
      <c r="G2124" s="8"/>
      <c r="H2124" s="8"/>
      <c r="I2124" s="11">
        <v>33791.0</v>
      </c>
      <c r="J2124" s="11">
        <v>1.0</v>
      </c>
      <c r="K2124" s="12" t="s">
        <v>242</v>
      </c>
      <c r="L2124" s="5" t="s">
        <v>84</v>
      </c>
      <c r="M2124" s="9" t="s">
        <v>64</v>
      </c>
    </row>
    <row r="2125">
      <c r="A2125" s="8">
        <v>2124.0</v>
      </c>
      <c r="B2125" s="8"/>
      <c r="C2125" s="8"/>
      <c r="D2125" s="8"/>
      <c r="E2125" s="8"/>
      <c r="F2125" s="8"/>
      <c r="G2125" s="8"/>
      <c r="H2125" s="8"/>
      <c r="I2125" s="11">
        <v>35318.0</v>
      </c>
      <c r="J2125" s="11">
        <v>1.0</v>
      </c>
      <c r="K2125" s="12" t="s">
        <v>242</v>
      </c>
      <c r="L2125" s="5" t="s">
        <v>84</v>
      </c>
      <c r="M2125" s="9" t="s">
        <v>65</v>
      </c>
    </row>
    <row r="2126">
      <c r="A2126" s="8">
        <v>2125.0</v>
      </c>
      <c r="B2126" s="8"/>
      <c r="C2126" s="8"/>
      <c r="D2126" s="8"/>
      <c r="E2126" s="8"/>
      <c r="F2126" s="8"/>
      <c r="G2126" s="8"/>
      <c r="H2126" s="8"/>
      <c r="I2126" s="11">
        <v>36936.0</v>
      </c>
      <c r="J2126" s="11">
        <v>1.0</v>
      </c>
      <c r="K2126" s="12" t="s">
        <v>242</v>
      </c>
      <c r="L2126" s="5" t="s">
        <v>84</v>
      </c>
      <c r="M2126" s="9" t="s">
        <v>66</v>
      </c>
    </row>
    <row r="2127">
      <c r="A2127" s="8">
        <v>2126.0</v>
      </c>
      <c r="B2127" s="8"/>
      <c r="C2127" s="8"/>
      <c r="D2127" s="8"/>
      <c r="E2127" s="8"/>
      <c r="F2127" s="8"/>
      <c r="G2127" s="8"/>
      <c r="H2127" s="8"/>
      <c r="I2127" s="11">
        <v>38272.0</v>
      </c>
      <c r="J2127" s="11">
        <v>1.0</v>
      </c>
      <c r="K2127" s="12" t="s">
        <v>242</v>
      </c>
      <c r="L2127" s="5" t="s">
        <v>84</v>
      </c>
      <c r="M2127" s="9" t="s">
        <v>67</v>
      </c>
    </row>
    <row r="2128">
      <c r="A2128" s="8">
        <v>2127.0</v>
      </c>
      <c r="B2128" s="8"/>
      <c r="C2128" s="8"/>
      <c r="D2128" s="11">
        <v>77.0</v>
      </c>
      <c r="E2128" s="11">
        <v>72.0</v>
      </c>
      <c r="F2128" s="8"/>
      <c r="G2128" s="8"/>
      <c r="H2128" s="8"/>
      <c r="I2128" s="11">
        <v>39464.0</v>
      </c>
      <c r="J2128" s="11">
        <v>1.0</v>
      </c>
      <c r="K2128" s="12" t="s">
        <v>242</v>
      </c>
      <c r="L2128" s="5" t="s">
        <v>84</v>
      </c>
      <c r="M2128" s="9" t="s">
        <v>68</v>
      </c>
    </row>
    <row r="2129">
      <c r="A2129" s="11">
        <v>2128.0</v>
      </c>
      <c r="B2129" s="11">
        <v>0.013</v>
      </c>
      <c r="C2129" s="8"/>
      <c r="D2129" s="11">
        <v>77.0</v>
      </c>
      <c r="E2129" s="11">
        <v>72.0</v>
      </c>
      <c r="F2129" s="8"/>
      <c r="G2129" s="8"/>
      <c r="H2129" s="8"/>
      <c r="I2129" s="11">
        <v>40459.0</v>
      </c>
      <c r="J2129" s="11">
        <v>1.0</v>
      </c>
      <c r="K2129" s="12" t="s">
        <v>242</v>
      </c>
      <c r="L2129" s="5" t="s">
        <v>84</v>
      </c>
      <c r="M2129" s="9" t="s">
        <v>69</v>
      </c>
    </row>
    <row r="2130">
      <c r="A2130" s="8">
        <v>2129.0</v>
      </c>
      <c r="B2130" s="8"/>
      <c r="C2130" s="8"/>
      <c r="D2130" s="11">
        <v>78.0</v>
      </c>
      <c r="E2130" s="11">
        <v>73.0</v>
      </c>
      <c r="F2130" s="8"/>
      <c r="G2130" s="8"/>
      <c r="H2130" s="8"/>
      <c r="I2130" s="11">
        <v>39133.0</v>
      </c>
      <c r="J2130" s="11">
        <v>1.0</v>
      </c>
      <c r="K2130" s="12" t="s">
        <v>242</v>
      </c>
      <c r="L2130" s="5" t="s">
        <v>84</v>
      </c>
      <c r="M2130" s="9" t="s">
        <v>70</v>
      </c>
    </row>
    <row r="2131">
      <c r="A2131" s="8">
        <v>2130.0</v>
      </c>
      <c r="B2131" s="8"/>
      <c r="C2131" s="8"/>
      <c r="D2131" s="8"/>
      <c r="E2131" s="8"/>
      <c r="F2131" s="8"/>
      <c r="G2131" s="8"/>
      <c r="H2131" s="8"/>
      <c r="I2131" s="11">
        <v>37850.0</v>
      </c>
      <c r="J2131" s="11">
        <v>1.0</v>
      </c>
      <c r="K2131" s="12" t="s">
        <v>242</v>
      </c>
      <c r="L2131" s="5" t="s">
        <v>84</v>
      </c>
      <c r="M2131" s="9" t="s">
        <v>71</v>
      </c>
    </row>
    <row r="2132">
      <c r="A2132" s="8">
        <v>2131.0</v>
      </c>
      <c r="B2132" s="8"/>
      <c r="C2132" s="8"/>
      <c r="D2132" s="8"/>
      <c r="E2132" s="8"/>
      <c r="F2132" s="8"/>
      <c r="G2132" s="8"/>
      <c r="H2132" s="8"/>
      <c r="I2132" s="11">
        <v>38486.0</v>
      </c>
      <c r="J2132" s="11">
        <v>1.0</v>
      </c>
      <c r="K2132" s="12" t="s">
        <v>242</v>
      </c>
      <c r="L2132" s="5" t="s">
        <v>84</v>
      </c>
      <c r="M2132" s="9" t="s">
        <v>72</v>
      </c>
    </row>
    <row r="2133">
      <c r="A2133" s="8">
        <v>2132.0</v>
      </c>
      <c r="B2133" s="8"/>
      <c r="C2133" s="8"/>
      <c r="D2133" s="8"/>
      <c r="E2133" s="8"/>
      <c r="F2133" s="8"/>
      <c r="G2133" s="8"/>
      <c r="H2133" s="8"/>
      <c r="I2133" s="11">
        <v>39088.0</v>
      </c>
      <c r="J2133" s="11">
        <v>1.0</v>
      </c>
      <c r="K2133" s="12" t="s">
        <v>242</v>
      </c>
      <c r="L2133" s="5" t="s">
        <v>84</v>
      </c>
      <c r="M2133" s="9" t="s">
        <v>73</v>
      </c>
    </row>
    <row r="2134">
      <c r="A2134" s="11">
        <v>2133.0</v>
      </c>
      <c r="B2134" s="11">
        <v>0.01</v>
      </c>
      <c r="C2134" s="11">
        <v>0.01</v>
      </c>
      <c r="D2134" s="11">
        <v>77.0</v>
      </c>
      <c r="E2134" s="11">
        <v>69.0</v>
      </c>
      <c r="F2134" s="11">
        <v>0.197</v>
      </c>
      <c r="G2134" s="11">
        <v>0.689</v>
      </c>
      <c r="H2134" s="11">
        <v>0.114</v>
      </c>
      <c r="I2134" s="11">
        <v>5388720.0</v>
      </c>
      <c r="J2134" s="11">
        <v>0.562</v>
      </c>
      <c r="K2134" s="12" t="s">
        <v>243</v>
      </c>
      <c r="L2134" s="5" t="s">
        <v>75</v>
      </c>
      <c r="M2134" s="9" t="s">
        <v>60</v>
      </c>
    </row>
    <row r="2135">
      <c r="A2135" s="11">
        <v>2134.0</v>
      </c>
      <c r="B2135" s="11">
        <v>0.01</v>
      </c>
      <c r="C2135" s="11">
        <v>0.01</v>
      </c>
      <c r="D2135" s="11">
        <v>78.0</v>
      </c>
      <c r="E2135" s="11">
        <v>70.0</v>
      </c>
      <c r="F2135" s="11">
        <v>0.191</v>
      </c>
      <c r="G2135" s="11">
        <v>0.695</v>
      </c>
      <c r="H2135" s="11">
        <v>0.114</v>
      </c>
      <c r="I2135" s="11">
        <v>5378867.0</v>
      </c>
      <c r="J2135" s="11">
        <v>0.562</v>
      </c>
      <c r="K2135" s="12" t="s">
        <v>243</v>
      </c>
      <c r="L2135" s="5" t="s">
        <v>75</v>
      </c>
      <c r="M2135" s="9" t="s">
        <v>62</v>
      </c>
    </row>
    <row r="2136">
      <c r="A2136" s="11">
        <v>2135.0</v>
      </c>
      <c r="B2136" s="11">
        <v>0.01</v>
      </c>
      <c r="C2136" s="11">
        <v>0.009</v>
      </c>
      <c r="D2136" s="11">
        <v>78.0</v>
      </c>
      <c r="E2136" s="11">
        <v>70.0</v>
      </c>
      <c r="F2136" s="11">
        <v>0.185</v>
      </c>
      <c r="G2136" s="11">
        <v>0.7</v>
      </c>
      <c r="H2136" s="11">
        <v>0.115</v>
      </c>
      <c r="I2136" s="11">
        <v>5376912.0</v>
      </c>
      <c r="J2136" s="11">
        <v>0.56</v>
      </c>
      <c r="K2136" s="12" t="s">
        <v>243</v>
      </c>
      <c r="L2136" s="5" t="s">
        <v>75</v>
      </c>
      <c r="M2136" s="9" t="s">
        <v>63</v>
      </c>
    </row>
    <row r="2137">
      <c r="A2137" s="11">
        <v>2136.0</v>
      </c>
      <c r="B2137" s="11">
        <v>0.01</v>
      </c>
      <c r="C2137" s="11">
        <v>0.009</v>
      </c>
      <c r="D2137" s="11">
        <v>78.0</v>
      </c>
      <c r="E2137" s="11">
        <v>70.0</v>
      </c>
      <c r="F2137" s="11">
        <v>0.179</v>
      </c>
      <c r="G2137" s="11">
        <v>0.706</v>
      </c>
      <c r="H2137" s="11">
        <v>0.116</v>
      </c>
      <c r="I2137" s="11">
        <v>5373374.0</v>
      </c>
      <c r="J2137" s="11">
        <v>0.559</v>
      </c>
      <c r="K2137" s="12" t="s">
        <v>243</v>
      </c>
      <c r="L2137" s="5" t="s">
        <v>75</v>
      </c>
      <c r="M2137" s="9" t="s">
        <v>64</v>
      </c>
    </row>
    <row r="2138">
      <c r="A2138" s="11">
        <v>2137.0</v>
      </c>
      <c r="B2138" s="11">
        <v>0.01</v>
      </c>
      <c r="C2138" s="11">
        <v>0.009</v>
      </c>
      <c r="D2138" s="11">
        <v>78.0</v>
      </c>
      <c r="E2138" s="11">
        <v>70.0</v>
      </c>
      <c r="F2138" s="11">
        <v>0.173</v>
      </c>
      <c r="G2138" s="11">
        <v>0.711</v>
      </c>
      <c r="H2138" s="11">
        <v>0.116</v>
      </c>
      <c r="I2138" s="11">
        <v>5372280.0</v>
      </c>
      <c r="J2138" s="11">
        <v>0.557</v>
      </c>
      <c r="K2138" s="12" t="s">
        <v>243</v>
      </c>
      <c r="L2138" s="5" t="s">
        <v>75</v>
      </c>
      <c r="M2138" s="9" t="s">
        <v>65</v>
      </c>
    </row>
    <row r="2139">
      <c r="A2139" s="11">
        <v>2138.0</v>
      </c>
      <c r="B2139" s="11">
        <v>0.01</v>
      </c>
      <c r="C2139" s="11">
        <v>0.008</v>
      </c>
      <c r="D2139" s="11">
        <v>78.0</v>
      </c>
      <c r="E2139" s="11">
        <v>70.0</v>
      </c>
      <c r="F2139" s="11">
        <v>0.168</v>
      </c>
      <c r="G2139" s="11">
        <v>0.716</v>
      </c>
      <c r="H2139" s="11">
        <v>0.117</v>
      </c>
      <c r="I2139" s="11">
        <v>5372807.0</v>
      </c>
      <c r="J2139" s="11">
        <v>0.556</v>
      </c>
      <c r="K2139" s="12" t="s">
        <v>243</v>
      </c>
      <c r="L2139" s="5" t="s">
        <v>75</v>
      </c>
      <c r="M2139" s="9" t="s">
        <v>66</v>
      </c>
    </row>
    <row r="2140">
      <c r="A2140" s="11">
        <v>2139.0</v>
      </c>
      <c r="B2140" s="11">
        <v>0.01</v>
      </c>
      <c r="C2140" s="11">
        <v>0.008</v>
      </c>
      <c r="D2140" s="11">
        <v>78.0</v>
      </c>
      <c r="E2140" s="11">
        <v>70.0</v>
      </c>
      <c r="F2140" s="11">
        <v>0.163</v>
      </c>
      <c r="G2140" s="11">
        <v>0.719</v>
      </c>
      <c r="H2140" s="11">
        <v>0.118</v>
      </c>
      <c r="I2140" s="11">
        <v>5373054.0</v>
      </c>
      <c r="J2140" s="11">
        <v>0.554</v>
      </c>
      <c r="K2140" s="12" t="s">
        <v>243</v>
      </c>
      <c r="L2140" s="5" t="s">
        <v>75</v>
      </c>
      <c r="M2140" s="9" t="s">
        <v>67</v>
      </c>
    </row>
    <row r="2141">
      <c r="A2141" s="11">
        <v>2140.0</v>
      </c>
      <c r="B2141" s="11">
        <v>0.01</v>
      </c>
      <c r="C2141" s="11">
        <v>0.008</v>
      </c>
      <c r="D2141" s="11">
        <v>78.0</v>
      </c>
      <c r="E2141" s="11">
        <v>71.0</v>
      </c>
      <c r="F2141" s="11">
        <v>0.159</v>
      </c>
      <c r="G2141" s="11">
        <v>0.722</v>
      </c>
      <c r="H2141" s="11">
        <v>0.119</v>
      </c>
      <c r="I2141" s="11">
        <v>5374622.0</v>
      </c>
      <c r="J2141" s="11">
        <v>0.553</v>
      </c>
      <c r="K2141" s="12" t="s">
        <v>243</v>
      </c>
      <c r="L2141" s="5" t="s">
        <v>75</v>
      </c>
      <c r="M2141" s="9" t="s">
        <v>68</v>
      </c>
    </row>
    <row r="2142">
      <c r="A2142" s="11">
        <v>2141.0</v>
      </c>
      <c r="B2142" s="11">
        <v>0.011</v>
      </c>
      <c r="C2142" s="11">
        <v>0.007</v>
      </c>
      <c r="D2142" s="11">
        <v>79.0</v>
      </c>
      <c r="E2142" s="11">
        <v>71.0</v>
      </c>
      <c r="F2142" s="11">
        <v>0.156</v>
      </c>
      <c r="G2142" s="11">
        <v>0.724</v>
      </c>
      <c r="H2142" s="11">
        <v>0.12</v>
      </c>
      <c r="I2142" s="11">
        <v>5379233.0</v>
      </c>
      <c r="J2142" s="11">
        <v>0.551</v>
      </c>
      <c r="K2142" s="12" t="s">
        <v>243</v>
      </c>
      <c r="L2142" s="5" t="s">
        <v>75</v>
      </c>
      <c r="M2142" s="9" t="s">
        <v>69</v>
      </c>
    </row>
    <row r="2143">
      <c r="A2143" s="11">
        <v>2142.0</v>
      </c>
      <c r="B2143" s="11">
        <v>0.011</v>
      </c>
      <c r="C2143" s="11">
        <v>0.007</v>
      </c>
      <c r="D2143" s="11">
        <v>79.0</v>
      </c>
      <c r="E2143" s="11">
        <v>71.0</v>
      </c>
      <c r="F2143" s="11">
        <v>0.153</v>
      </c>
      <c r="G2143" s="11">
        <v>0.726</v>
      </c>
      <c r="H2143" s="11">
        <v>0.121</v>
      </c>
      <c r="I2143" s="11">
        <v>5386406.0</v>
      </c>
      <c r="J2143" s="11">
        <v>0.55</v>
      </c>
      <c r="K2143" s="12" t="s">
        <v>243</v>
      </c>
      <c r="L2143" s="5" t="s">
        <v>75</v>
      </c>
      <c r="M2143" s="9" t="s">
        <v>70</v>
      </c>
    </row>
    <row r="2144">
      <c r="A2144" s="11">
        <v>2143.0</v>
      </c>
      <c r="B2144" s="11">
        <v>0.011</v>
      </c>
      <c r="C2144" s="11">
        <v>0.007</v>
      </c>
      <c r="D2144" s="11">
        <v>79.0</v>
      </c>
      <c r="E2144" s="11">
        <v>72.0</v>
      </c>
      <c r="F2144" s="11">
        <v>0.151</v>
      </c>
      <c r="G2144" s="11">
        <v>0.726</v>
      </c>
      <c r="H2144" s="11">
        <v>0.123</v>
      </c>
      <c r="I2144" s="11">
        <v>5391428.0</v>
      </c>
      <c r="J2144" s="11">
        <v>0.547</v>
      </c>
      <c r="K2144" s="12" t="s">
        <v>243</v>
      </c>
      <c r="L2144" s="5" t="s">
        <v>75</v>
      </c>
      <c r="M2144" s="9" t="s">
        <v>71</v>
      </c>
    </row>
    <row r="2145">
      <c r="A2145" s="11">
        <v>2144.0</v>
      </c>
      <c r="B2145" s="11">
        <v>0.011</v>
      </c>
      <c r="C2145" s="11">
        <v>0.007</v>
      </c>
      <c r="D2145" s="11">
        <v>80.0</v>
      </c>
      <c r="E2145" s="11">
        <v>72.0</v>
      </c>
      <c r="F2145" s="11">
        <v>0.15</v>
      </c>
      <c r="G2145" s="11">
        <v>0.725</v>
      </c>
      <c r="H2145" s="11">
        <v>0.125</v>
      </c>
      <c r="I2145" s="11">
        <v>5398384.0</v>
      </c>
      <c r="J2145" s="11">
        <v>0.544</v>
      </c>
      <c r="K2145" s="12" t="s">
        <v>243</v>
      </c>
      <c r="L2145" s="5" t="s">
        <v>75</v>
      </c>
      <c r="M2145" s="9" t="s">
        <v>72</v>
      </c>
    </row>
    <row r="2146">
      <c r="A2146" s="11">
        <v>2145.0</v>
      </c>
      <c r="B2146" s="11">
        <v>0.01</v>
      </c>
      <c r="C2146" s="11">
        <v>0.006</v>
      </c>
      <c r="D2146" s="11">
        <v>80.0</v>
      </c>
      <c r="E2146" s="11">
        <v>73.0</v>
      </c>
      <c r="F2146" s="11">
        <v>0.15</v>
      </c>
      <c r="G2146" s="11">
        <v>0.723</v>
      </c>
      <c r="H2146" s="11">
        <v>0.127</v>
      </c>
      <c r="I2146" s="11">
        <v>5407579.0</v>
      </c>
      <c r="J2146" s="11">
        <v>0.542</v>
      </c>
      <c r="K2146" s="12" t="s">
        <v>243</v>
      </c>
      <c r="L2146" s="5" t="s">
        <v>75</v>
      </c>
      <c r="M2146" s="9" t="s">
        <v>73</v>
      </c>
    </row>
    <row r="2147">
      <c r="A2147" s="11">
        <v>2146.0</v>
      </c>
      <c r="B2147" s="11">
        <v>0.009</v>
      </c>
      <c r="C2147" s="11">
        <v>0.005</v>
      </c>
      <c r="D2147" s="11">
        <v>79.0</v>
      </c>
      <c r="E2147" s="11">
        <v>72.0</v>
      </c>
      <c r="F2147" s="11">
        <v>0.159</v>
      </c>
      <c r="G2147" s="11">
        <v>0.7</v>
      </c>
      <c r="H2147" s="11">
        <v>0.141</v>
      </c>
      <c r="I2147" s="11">
        <v>1988925.0</v>
      </c>
      <c r="J2147" s="11">
        <v>0.508</v>
      </c>
      <c r="K2147" s="12" t="s">
        <v>244</v>
      </c>
      <c r="L2147" s="5" t="s">
        <v>75</v>
      </c>
      <c r="M2147" s="9" t="s">
        <v>60</v>
      </c>
    </row>
    <row r="2148">
      <c r="A2148" s="11">
        <v>2147.0</v>
      </c>
      <c r="B2148" s="11">
        <v>0.009</v>
      </c>
      <c r="C2148" s="11">
        <v>0.004</v>
      </c>
      <c r="D2148" s="11">
        <v>80.0</v>
      </c>
      <c r="E2148" s="11">
        <v>72.0</v>
      </c>
      <c r="F2148" s="11">
        <v>0.155</v>
      </c>
      <c r="G2148" s="11">
        <v>0.701</v>
      </c>
      <c r="H2148" s="11">
        <v>0.144</v>
      </c>
      <c r="I2148" s="11">
        <v>1992060.0</v>
      </c>
      <c r="J2148" s="11">
        <v>0.508</v>
      </c>
      <c r="K2148" s="12" t="s">
        <v>244</v>
      </c>
      <c r="L2148" s="5" t="s">
        <v>75</v>
      </c>
      <c r="M2148" s="9" t="s">
        <v>62</v>
      </c>
    </row>
    <row r="2149">
      <c r="A2149" s="11">
        <v>2148.0</v>
      </c>
      <c r="B2149" s="11">
        <v>0.009</v>
      </c>
      <c r="C2149" s="11">
        <v>0.004</v>
      </c>
      <c r="D2149" s="11">
        <v>80.0</v>
      </c>
      <c r="E2149" s="11">
        <v>72.0</v>
      </c>
      <c r="F2149" s="11">
        <v>0.151</v>
      </c>
      <c r="G2149" s="11">
        <v>0.702</v>
      </c>
      <c r="H2149" s="11">
        <v>0.147</v>
      </c>
      <c r="I2149" s="11">
        <v>1994530.0</v>
      </c>
      <c r="J2149" s="11">
        <v>0.508</v>
      </c>
      <c r="K2149" s="12" t="s">
        <v>244</v>
      </c>
      <c r="L2149" s="5" t="s">
        <v>75</v>
      </c>
      <c r="M2149" s="9" t="s">
        <v>63</v>
      </c>
    </row>
    <row r="2150">
      <c r="A2150" s="11">
        <v>2149.0</v>
      </c>
      <c r="B2150" s="11">
        <v>0.009</v>
      </c>
      <c r="C2150" s="11">
        <v>0.004</v>
      </c>
      <c r="D2150" s="11">
        <v>81.0</v>
      </c>
      <c r="E2150" s="11">
        <v>73.0</v>
      </c>
      <c r="F2150" s="11">
        <v>0.147</v>
      </c>
      <c r="G2150" s="11">
        <v>0.703</v>
      </c>
      <c r="H2150" s="11">
        <v>0.15</v>
      </c>
      <c r="I2150" s="11">
        <v>1995733.0</v>
      </c>
      <c r="J2150" s="11">
        <v>0.507</v>
      </c>
      <c r="K2150" s="12" t="s">
        <v>244</v>
      </c>
      <c r="L2150" s="5" t="s">
        <v>75</v>
      </c>
      <c r="M2150" s="9" t="s">
        <v>64</v>
      </c>
    </row>
    <row r="2151">
      <c r="A2151" s="11">
        <v>2150.0</v>
      </c>
      <c r="B2151" s="11">
        <v>0.009</v>
      </c>
      <c r="C2151" s="11">
        <v>0.004</v>
      </c>
      <c r="D2151" s="11">
        <v>81.0</v>
      </c>
      <c r="E2151" s="11">
        <v>74.0</v>
      </c>
      <c r="F2151" s="11">
        <v>0.144</v>
      </c>
      <c r="G2151" s="11">
        <v>0.703</v>
      </c>
      <c r="H2151" s="11">
        <v>0.153</v>
      </c>
      <c r="I2151" s="11">
        <v>1997012.0</v>
      </c>
      <c r="J2151" s="11">
        <v>0.506</v>
      </c>
      <c r="K2151" s="12" t="s">
        <v>244</v>
      </c>
      <c r="L2151" s="5" t="s">
        <v>75</v>
      </c>
      <c r="M2151" s="9" t="s">
        <v>65</v>
      </c>
    </row>
    <row r="2152">
      <c r="A2152" s="11">
        <v>2151.0</v>
      </c>
      <c r="B2152" s="11">
        <v>0.009</v>
      </c>
      <c r="C2152" s="11">
        <v>0.004</v>
      </c>
      <c r="D2152" s="11">
        <v>81.0</v>
      </c>
      <c r="E2152" s="11">
        <v>74.0</v>
      </c>
      <c r="F2152" s="11">
        <v>0.142</v>
      </c>
      <c r="G2152" s="11">
        <v>0.703</v>
      </c>
      <c r="H2152" s="11">
        <v>0.155</v>
      </c>
      <c r="I2152" s="11">
        <v>2000474.0</v>
      </c>
      <c r="J2152" s="11">
        <v>0.505</v>
      </c>
      <c r="K2152" s="12" t="s">
        <v>244</v>
      </c>
      <c r="L2152" s="5" t="s">
        <v>75</v>
      </c>
      <c r="M2152" s="9" t="s">
        <v>66</v>
      </c>
    </row>
    <row r="2153">
      <c r="A2153" s="11">
        <v>2152.0</v>
      </c>
      <c r="B2153" s="11">
        <v>0.009</v>
      </c>
      <c r="C2153" s="11">
        <v>0.003</v>
      </c>
      <c r="D2153" s="11">
        <v>82.0</v>
      </c>
      <c r="E2153" s="11">
        <v>75.0</v>
      </c>
      <c r="F2153" s="11">
        <v>0.14</v>
      </c>
      <c r="G2153" s="11">
        <v>0.702</v>
      </c>
      <c r="H2153" s="11">
        <v>0.158</v>
      </c>
      <c r="I2153" s="11">
        <v>2006868.0</v>
      </c>
      <c r="J2153" s="11">
        <v>0.504</v>
      </c>
      <c r="K2153" s="12" t="s">
        <v>244</v>
      </c>
      <c r="L2153" s="5" t="s">
        <v>75</v>
      </c>
      <c r="M2153" s="9" t="s">
        <v>67</v>
      </c>
    </row>
    <row r="2154">
      <c r="A2154" s="11">
        <v>2153.0</v>
      </c>
      <c r="B2154" s="11">
        <v>0.01</v>
      </c>
      <c r="C2154" s="11">
        <v>0.003</v>
      </c>
      <c r="D2154" s="11">
        <v>82.0</v>
      </c>
      <c r="E2154" s="11">
        <v>75.0</v>
      </c>
      <c r="F2154" s="11">
        <v>0.14</v>
      </c>
      <c r="G2154" s="11">
        <v>0.7</v>
      </c>
      <c r="H2154" s="11">
        <v>0.16</v>
      </c>
      <c r="I2154" s="11">
        <v>2018122.0</v>
      </c>
      <c r="J2154" s="11">
        <v>0.503</v>
      </c>
      <c r="K2154" s="12" t="s">
        <v>244</v>
      </c>
      <c r="L2154" s="5" t="s">
        <v>75</v>
      </c>
      <c r="M2154" s="9" t="s">
        <v>68</v>
      </c>
    </row>
    <row r="2155">
      <c r="A2155" s="11">
        <v>2154.0</v>
      </c>
      <c r="B2155" s="11">
        <v>0.011</v>
      </c>
      <c r="C2155" s="11">
        <v>0.003</v>
      </c>
      <c r="D2155" s="11">
        <v>82.0</v>
      </c>
      <c r="E2155" s="11">
        <v>75.0</v>
      </c>
      <c r="F2155" s="11">
        <v>0.139</v>
      </c>
      <c r="G2155" s="11">
        <v>0.698</v>
      </c>
      <c r="H2155" s="11">
        <v>0.162</v>
      </c>
      <c r="I2155" s="11">
        <v>2021316.0</v>
      </c>
      <c r="J2155" s="11">
        <v>0.502</v>
      </c>
      <c r="K2155" s="12" t="s">
        <v>244</v>
      </c>
      <c r="L2155" s="5" t="s">
        <v>75</v>
      </c>
      <c r="M2155" s="9" t="s">
        <v>69</v>
      </c>
    </row>
    <row r="2156">
      <c r="A2156" s="11">
        <v>2155.0</v>
      </c>
      <c r="B2156" s="11">
        <v>0.011</v>
      </c>
      <c r="C2156" s="11">
        <v>0.003</v>
      </c>
      <c r="D2156" s="11">
        <v>82.0</v>
      </c>
      <c r="E2156" s="11">
        <v>76.0</v>
      </c>
      <c r="F2156" s="11">
        <v>0.14</v>
      </c>
      <c r="G2156" s="11">
        <v>0.696</v>
      </c>
      <c r="H2156" s="11">
        <v>0.165</v>
      </c>
      <c r="I2156" s="11">
        <v>2039669.0</v>
      </c>
      <c r="J2156" s="11">
        <v>0.501</v>
      </c>
      <c r="K2156" s="12" t="s">
        <v>244</v>
      </c>
      <c r="L2156" s="5" t="s">
        <v>75</v>
      </c>
      <c r="M2156" s="9" t="s">
        <v>70</v>
      </c>
    </row>
    <row r="2157">
      <c r="A2157" s="11">
        <v>2156.0</v>
      </c>
      <c r="B2157" s="11">
        <v>0.011</v>
      </c>
      <c r="C2157" s="11">
        <v>0.003</v>
      </c>
      <c r="D2157" s="11">
        <v>83.0</v>
      </c>
      <c r="E2157" s="11">
        <v>76.0</v>
      </c>
      <c r="F2157" s="11">
        <v>0.14</v>
      </c>
      <c r="G2157" s="11">
        <v>0.693</v>
      </c>
      <c r="H2157" s="11">
        <v>0.167</v>
      </c>
      <c r="I2157" s="11">
        <v>2048583.0</v>
      </c>
      <c r="J2157" s="11">
        <v>0.5</v>
      </c>
      <c r="K2157" s="12" t="s">
        <v>244</v>
      </c>
      <c r="L2157" s="5" t="s">
        <v>75</v>
      </c>
      <c r="M2157" s="9" t="s">
        <v>71</v>
      </c>
    </row>
    <row r="2158">
      <c r="A2158" s="11">
        <v>2157.0</v>
      </c>
      <c r="B2158" s="11">
        <v>0.011</v>
      </c>
      <c r="C2158" s="11">
        <v>0.003</v>
      </c>
      <c r="D2158" s="11">
        <v>83.0</v>
      </c>
      <c r="E2158" s="11">
        <v>77.0</v>
      </c>
      <c r="F2158" s="11">
        <v>0.141</v>
      </c>
      <c r="G2158" s="11">
        <v>0.691</v>
      </c>
      <c r="H2158" s="11">
        <v>0.169</v>
      </c>
      <c r="I2158" s="11">
        <v>2052843.0</v>
      </c>
      <c r="J2158" s="11">
        <v>0.499</v>
      </c>
      <c r="K2158" s="12" t="s">
        <v>244</v>
      </c>
      <c r="L2158" s="5" t="s">
        <v>75</v>
      </c>
      <c r="M2158" s="9" t="s">
        <v>72</v>
      </c>
    </row>
    <row r="2159">
      <c r="A2159" s="11">
        <v>2158.0</v>
      </c>
      <c r="B2159" s="11">
        <v>0.011</v>
      </c>
      <c r="C2159" s="11">
        <v>0.002</v>
      </c>
      <c r="D2159" s="11">
        <v>83.0</v>
      </c>
      <c r="E2159" s="11">
        <v>77.0</v>
      </c>
      <c r="F2159" s="11">
        <v>0.142</v>
      </c>
      <c r="G2159" s="11">
        <v>0.688</v>
      </c>
      <c r="H2159" s="11">
        <v>0.171</v>
      </c>
      <c r="I2159" s="11">
        <v>2057159.0</v>
      </c>
      <c r="J2159" s="11">
        <v>0.499</v>
      </c>
      <c r="K2159" s="12" t="s">
        <v>244</v>
      </c>
      <c r="L2159" s="5" t="s">
        <v>75</v>
      </c>
      <c r="M2159" s="9" t="s">
        <v>73</v>
      </c>
    </row>
    <row r="2160">
      <c r="A2160" s="11">
        <v>2159.0</v>
      </c>
      <c r="B2160" s="11">
        <v>0.036</v>
      </c>
      <c r="C2160" s="11">
        <v>0.028</v>
      </c>
      <c r="D2160" s="11">
        <v>64.0</v>
      </c>
      <c r="E2160" s="11">
        <v>62.0</v>
      </c>
      <c r="F2160" s="11">
        <v>0.419</v>
      </c>
      <c r="G2160" s="11">
        <v>0.553</v>
      </c>
      <c r="H2160" s="11">
        <v>0.028</v>
      </c>
      <c r="I2160" s="11">
        <v>412336.0</v>
      </c>
      <c r="J2160" s="11">
        <v>0.158</v>
      </c>
      <c r="K2160" s="12" t="s">
        <v>245</v>
      </c>
      <c r="L2160" s="5" t="s">
        <v>80</v>
      </c>
      <c r="M2160" s="9" t="s">
        <v>60</v>
      </c>
    </row>
    <row r="2161">
      <c r="A2161" s="11">
        <v>2160.0</v>
      </c>
      <c r="B2161" s="11">
        <v>0.035</v>
      </c>
      <c r="C2161" s="11">
        <v>0.029</v>
      </c>
      <c r="D2161" s="11">
        <v>65.0</v>
      </c>
      <c r="E2161" s="11">
        <v>62.0</v>
      </c>
      <c r="F2161" s="11">
        <v>0.418</v>
      </c>
      <c r="G2161" s="11">
        <v>0.554</v>
      </c>
      <c r="H2161" s="11">
        <v>0.029</v>
      </c>
      <c r="I2161" s="11">
        <v>423529.0</v>
      </c>
      <c r="J2161" s="11">
        <v>0.162</v>
      </c>
      <c r="K2161" s="12" t="s">
        <v>245</v>
      </c>
      <c r="L2161" s="5" t="s">
        <v>80</v>
      </c>
      <c r="M2161" s="9" t="s">
        <v>62</v>
      </c>
    </row>
    <row r="2162">
      <c r="A2162" s="11">
        <v>2161.0</v>
      </c>
      <c r="B2162" s="11">
        <v>0.035</v>
      </c>
      <c r="C2162" s="11">
        <v>0.029</v>
      </c>
      <c r="D2162" s="11">
        <v>66.0</v>
      </c>
      <c r="E2162" s="11">
        <v>63.0</v>
      </c>
      <c r="F2162" s="11">
        <v>0.416</v>
      </c>
      <c r="G2162" s="11">
        <v>0.555</v>
      </c>
      <c r="H2162" s="11">
        <v>0.029</v>
      </c>
      <c r="I2162" s="11">
        <v>434880.0</v>
      </c>
      <c r="J2162" s="11">
        <v>0.166</v>
      </c>
      <c r="K2162" s="12" t="s">
        <v>245</v>
      </c>
      <c r="L2162" s="5" t="s">
        <v>80</v>
      </c>
      <c r="M2162" s="9" t="s">
        <v>63</v>
      </c>
    </row>
    <row r="2163">
      <c r="A2163" s="11">
        <v>2162.0</v>
      </c>
      <c r="B2163" s="11">
        <v>0.035</v>
      </c>
      <c r="C2163" s="11">
        <v>0.029</v>
      </c>
      <c r="D2163" s="11">
        <v>66.0</v>
      </c>
      <c r="E2163" s="11">
        <v>63.0</v>
      </c>
      <c r="F2163" s="11">
        <v>0.415</v>
      </c>
      <c r="G2163" s="11">
        <v>0.556</v>
      </c>
      <c r="H2163" s="11">
        <v>0.029</v>
      </c>
      <c r="I2163" s="11">
        <v>446335.0</v>
      </c>
      <c r="J2163" s="11">
        <v>0.17</v>
      </c>
      <c r="K2163" s="12" t="s">
        <v>245</v>
      </c>
      <c r="L2163" s="5" t="s">
        <v>80</v>
      </c>
      <c r="M2163" s="9" t="s">
        <v>64</v>
      </c>
    </row>
    <row r="2164">
      <c r="A2164" s="11">
        <v>2163.0</v>
      </c>
      <c r="B2164" s="11">
        <v>0.035</v>
      </c>
      <c r="C2164" s="11">
        <v>0.029</v>
      </c>
      <c r="D2164" s="11">
        <v>67.0</v>
      </c>
      <c r="E2164" s="11">
        <v>64.0</v>
      </c>
      <c r="F2164" s="11">
        <v>0.414</v>
      </c>
      <c r="G2164" s="11">
        <v>0.557</v>
      </c>
      <c r="H2164" s="11">
        <v>0.029</v>
      </c>
      <c r="I2164" s="11">
        <v>457827.0</v>
      </c>
      <c r="J2164" s="11">
        <v>0.174</v>
      </c>
      <c r="K2164" s="12" t="s">
        <v>245</v>
      </c>
      <c r="L2164" s="5" t="s">
        <v>80</v>
      </c>
      <c r="M2164" s="9" t="s">
        <v>65</v>
      </c>
    </row>
    <row r="2165">
      <c r="A2165" s="11">
        <v>2164.0</v>
      </c>
      <c r="B2165" s="11">
        <v>0.035</v>
      </c>
      <c r="C2165" s="11">
        <v>0.029</v>
      </c>
      <c r="D2165" s="11">
        <v>67.0</v>
      </c>
      <c r="E2165" s="11">
        <v>64.0</v>
      </c>
      <c r="F2165" s="11">
        <v>0.413</v>
      </c>
      <c r="G2165" s="11">
        <v>0.557</v>
      </c>
      <c r="H2165" s="11">
        <v>0.03</v>
      </c>
      <c r="I2165" s="11">
        <v>469306.0</v>
      </c>
      <c r="J2165" s="11">
        <v>0.178</v>
      </c>
      <c r="K2165" s="12" t="s">
        <v>245</v>
      </c>
      <c r="L2165" s="5" t="s">
        <v>80</v>
      </c>
      <c r="M2165" s="9" t="s">
        <v>66</v>
      </c>
    </row>
    <row r="2166">
      <c r="A2166" s="11">
        <v>2165.0</v>
      </c>
      <c r="B2166" s="11">
        <v>0.034</v>
      </c>
      <c r="C2166" s="11">
        <v>0.029</v>
      </c>
      <c r="D2166" s="11">
        <v>67.0</v>
      </c>
      <c r="E2166" s="11">
        <v>65.0</v>
      </c>
      <c r="F2166" s="11">
        <v>0.412</v>
      </c>
      <c r="G2166" s="11">
        <v>0.557</v>
      </c>
      <c r="H2166" s="11">
        <v>0.03</v>
      </c>
      <c r="I2166" s="11">
        <v>480745.0</v>
      </c>
      <c r="J2166" s="11">
        <v>0.183</v>
      </c>
      <c r="K2166" s="12" t="s">
        <v>245</v>
      </c>
      <c r="L2166" s="5" t="s">
        <v>80</v>
      </c>
      <c r="M2166" s="9" t="s">
        <v>67</v>
      </c>
    </row>
    <row r="2167">
      <c r="A2167" s="11">
        <v>2166.0</v>
      </c>
      <c r="B2167" s="11">
        <v>0.034</v>
      </c>
      <c r="C2167" s="11">
        <v>0.029</v>
      </c>
      <c r="D2167" s="11">
        <v>68.0</v>
      </c>
      <c r="E2167" s="11">
        <v>65.0</v>
      </c>
      <c r="F2167" s="11">
        <v>0.411</v>
      </c>
      <c r="G2167" s="11">
        <v>0.558</v>
      </c>
      <c r="H2167" s="11">
        <v>0.031</v>
      </c>
      <c r="I2167" s="11">
        <v>492148.0</v>
      </c>
      <c r="J2167" s="11">
        <v>0.187</v>
      </c>
      <c r="K2167" s="12" t="s">
        <v>245</v>
      </c>
      <c r="L2167" s="5" t="s">
        <v>80</v>
      </c>
      <c r="M2167" s="9" t="s">
        <v>68</v>
      </c>
    </row>
    <row r="2168">
      <c r="A2168" s="11">
        <v>2167.0</v>
      </c>
      <c r="B2168" s="11">
        <v>0.034</v>
      </c>
      <c r="C2168" s="11">
        <v>0.028</v>
      </c>
      <c r="D2168" s="11">
        <v>68.0</v>
      </c>
      <c r="E2168" s="11">
        <v>65.0</v>
      </c>
      <c r="F2168" s="11">
        <v>0.41</v>
      </c>
      <c r="G2168" s="11">
        <v>0.558</v>
      </c>
      <c r="H2168" s="11">
        <v>0.032</v>
      </c>
      <c r="I2168" s="11">
        <v>503541.0</v>
      </c>
      <c r="J2168" s="11">
        <v>0.191</v>
      </c>
      <c r="K2168" s="12" t="s">
        <v>245</v>
      </c>
      <c r="L2168" s="5" t="s">
        <v>80</v>
      </c>
      <c r="M2168" s="9" t="s">
        <v>69</v>
      </c>
    </row>
    <row r="2169">
      <c r="A2169" s="11">
        <v>2168.0</v>
      </c>
      <c r="B2169" s="11">
        <v>0.033</v>
      </c>
      <c r="C2169" s="11">
        <v>0.028</v>
      </c>
      <c r="D2169" s="11">
        <v>68.0</v>
      </c>
      <c r="E2169" s="11">
        <v>66.0</v>
      </c>
      <c r="F2169" s="11">
        <v>0.409</v>
      </c>
      <c r="G2169" s="11">
        <v>0.559</v>
      </c>
      <c r="H2169" s="11">
        <v>0.032</v>
      </c>
      <c r="I2169" s="11">
        <v>514964.0</v>
      </c>
      <c r="J2169" s="11">
        <v>0.196</v>
      </c>
      <c r="K2169" s="12" t="s">
        <v>245</v>
      </c>
      <c r="L2169" s="5" t="s">
        <v>80</v>
      </c>
      <c r="M2169" s="9" t="s">
        <v>70</v>
      </c>
    </row>
    <row r="2170">
      <c r="A2170" s="11">
        <v>2169.0</v>
      </c>
      <c r="B2170" s="11">
        <v>0.033</v>
      </c>
      <c r="C2170" s="11">
        <v>0.027</v>
      </c>
      <c r="D2170" s="11">
        <v>68.0</v>
      </c>
      <c r="E2170" s="11">
        <v>66.0</v>
      </c>
      <c r="F2170" s="11">
        <v>0.408</v>
      </c>
      <c r="G2170" s="11">
        <v>0.56</v>
      </c>
      <c r="H2170" s="11">
        <v>0.033</v>
      </c>
      <c r="I2170" s="11">
        <v>526447.0</v>
      </c>
      <c r="J2170" s="11">
        <v>0.2</v>
      </c>
      <c r="K2170" s="12" t="s">
        <v>245</v>
      </c>
      <c r="L2170" s="5" t="s">
        <v>80</v>
      </c>
      <c r="M2170" s="9" t="s">
        <v>71</v>
      </c>
    </row>
    <row r="2171">
      <c r="A2171" s="11">
        <v>2170.0</v>
      </c>
      <c r="B2171" s="11">
        <v>0.032</v>
      </c>
      <c r="C2171" s="11">
        <v>0.026</v>
      </c>
      <c r="D2171" s="11">
        <v>69.0</v>
      </c>
      <c r="E2171" s="11">
        <v>66.0</v>
      </c>
      <c r="F2171" s="11">
        <v>0.406</v>
      </c>
      <c r="G2171" s="11">
        <v>0.561</v>
      </c>
      <c r="H2171" s="11">
        <v>0.033</v>
      </c>
      <c r="I2171" s="11">
        <v>537997.0</v>
      </c>
      <c r="J2171" s="11">
        <v>0.205</v>
      </c>
      <c r="K2171" s="12" t="s">
        <v>245</v>
      </c>
      <c r="L2171" s="5" t="s">
        <v>80</v>
      </c>
      <c r="M2171" s="9" t="s">
        <v>72</v>
      </c>
    </row>
    <row r="2172">
      <c r="A2172" s="11">
        <v>2171.0</v>
      </c>
      <c r="B2172" s="11">
        <v>0.031</v>
      </c>
      <c r="C2172" s="11">
        <v>0.026</v>
      </c>
      <c r="D2172" s="11">
        <v>69.0</v>
      </c>
      <c r="E2172" s="11">
        <v>66.0</v>
      </c>
      <c r="F2172" s="11">
        <v>0.404</v>
      </c>
      <c r="G2172" s="11">
        <v>0.563</v>
      </c>
      <c r="H2172" s="11">
        <v>0.033</v>
      </c>
      <c r="I2172" s="11">
        <v>549598.0</v>
      </c>
      <c r="J2172" s="11">
        <v>0.21</v>
      </c>
      <c r="K2172" s="12" t="s">
        <v>245</v>
      </c>
      <c r="L2172" s="5" t="s">
        <v>80</v>
      </c>
      <c r="M2172" s="9" t="s">
        <v>73</v>
      </c>
    </row>
    <row r="2173">
      <c r="A2173" s="11">
        <v>2172.0</v>
      </c>
      <c r="B2173" s="11">
        <v>0.049</v>
      </c>
      <c r="C2173" s="11">
        <v>0.105</v>
      </c>
      <c r="D2173" s="11">
        <v>52.0</v>
      </c>
      <c r="E2173" s="11">
        <v>49.0</v>
      </c>
      <c r="F2173" s="11">
        <v>0.472</v>
      </c>
      <c r="G2173" s="11">
        <v>0.499</v>
      </c>
      <c r="H2173" s="11">
        <v>0.029</v>
      </c>
      <c r="I2173" s="11">
        <v>7385416.0</v>
      </c>
      <c r="J2173" s="11">
        <v>0.332</v>
      </c>
      <c r="K2173" s="12" t="s">
        <v>246</v>
      </c>
      <c r="L2173" s="5" t="s">
        <v>77</v>
      </c>
      <c r="M2173" s="9" t="s">
        <v>60</v>
      </c>
    </row>
    <row r="2174">
      <c r="A2174" s="11">
        <v>2173.0</v>
      </c>
      <c r="B2174" s="11">
        <v>0.048</v>
      </c>
      <c r="C2174" s="11">
        <v>0.105</v>
      </c>
      <c r="D2174" s="11">
        <v>53.0</v>
      </c>
      <c r="E2174" s="11">
        <v>50.0</v>
      </c>
      <c r="F2174" s="11">
        <v>0.473</v>
      </c>
      <c r="G2174" s="11">
        <v>0.497</v>
      </c>
      <c r="H2174" s="11">
        <v>0.029</v>
      </c>
      <c r="I2174" s="11">
        <v>7609265.0</v>
      </c>
      <c r="J2174" s="11">
        <v>0.336</v>
      </c>
      <c r="K2174" s="12" t="s">
        <v>246</v>
      </c>
      <c r="L2174" s="5" t="s">
        <v>77</v>
      </c>
      <c r="M2174" s="9" t="s">
        <v>62</v>
      </c>
    </row>
    <row r="2175">
      <c r="A2175" s="11">
        <v>2174.0</v>
      </c>
      <c r="B2175" s="11">
        <v>0.048</v>
      </c>
      <c r="C2175" s="11">
        <v>0.105</v>
      </c>
      <c r="D2175" s="11">
        <v>53.0</v>
      </c>
      <c r="E2175" s="11">
        <v>50.0</v>
      </c>
      <c r="F2175" s="11">
        <v>0.475</v>
      </c>
      <c r="G2175" s="11">
        <v>0.496</v>
      </c>
      <c r="H2175" s="11">
        <v>0.029</v>
      </c>
      <c r="I2175" s="11">
        <v>7825924.0</v>
      </c>
      <c r="J2175" s="11">
        <v>0.34</v>
      </c>
      <c r="K2175" s="12" t="s">
        <v>246</v>
      </c>
      <c r="L2175" s="5" t="s">
        <v>77</v>
      </c>
      <c r="M2175" s="9" t="s">
        <v>63</v>
      </c>
    </row>
    <row r="2176">
      <c r="A2176" s="11">
        <v>2175.0</v>
      </c>
      <c r="B2176" s="11">
        <v>0.047</v>
      </c>
      <c r="C2176" s="11">
        <v>0.105</v>
      </c>
      <c r="D2176" s="11">
        <v>53.0</v>
      </c>
      <c r="E2176" s="11">
        <v>50.0</v>
      </c>
      <c r="F2176" s="11">
        <v>0.476</v>
      </c>
      <c r="G2176" s="11">
        <v>0.495</v>
      </c>
      <c r="H2176" s="11">
        <v>0.029</v>
      </c>
      <c r="I2176" s="11">
        <v>8037706.0</v>
      </c>
      <c r="J2176" s="11">
        <v>0.344</v>
      </c>
      <c r="K2176" s="12" t="s">
        <v>246</v>
      </c>
      <c r="L2176" s="5" t="s">
        <v>77</v>
      </c>
      <c r="M2176" s="9" t="s">
        <v>64</v>
      </c>
    </row>
    <row r="2177">
      <c r="A2177" s="11">
        <v>2176.0</v>
      </c>
      <c r="B2177" s="11">
        <v>0.047</v>
      </c>
      <c r="C2177" s="11">
        <v>0.105</v>
      </c>
      <c r="D2177" s="11">
        <v>54.0</v>
      </c>
      <c r="E2177" s="11">
        <v>51.0</v>
      </c>
      <c r="F2177" s="11">
        <v>0.477</v>
      </c>
      <c r="G2177" s="11">
        <v>0.494</v>
      </c>
      <c r="H2177" s="11">
        <v>0.029</v>
      </c>
      <c r="I2177" s="11">
        <v>8249965.0</v>
      </c>
      <c r="J2177" s="11">
        <v>0.348</v>
      </c>
      <c r="K2177" s="12" t="s">
        <v>246</v>
      </c>
      <c r="L2177" s="5" t="s">
        <v>77</v>
      </c>
      <c r="M2177" s="9" t="s">
        <v>65</v>
      </c>
    </row>
    <row r="2178">
      <c r="A2178" s="11">
        <v>2177.0</v>
      </c>
      <c r="B2178" s="11">
        <v>0.047</v>
      </c>
      <c r="C2178" s="11">
        <v>0.105</v>
      </c>
      <c r="D2178" s="11">
        <v>54.0</v>
      </c>
      <c r="E2178" s="11">
        <v>51.0</v>
      </c>
      <c r="F2178" s="11">
        <v>0.477</v>
      </c>
      <c r="G2178" s="11">
        <v>0.494</v>
      </c>
      <c r="H2178" s="11">
        <v>0.029</v>
      </c>
      <c r="I2178" s="11">
        <v>8466938.0</v>
      </c>
      <c r="J2178" s="11">
        <v>0.352</v>
      </c>
      <c r="K2178" s="12" t="s">
        <v>246</v>
      </c>
      <c r="L2178" s="5" t="s">
        <v>77</v>
      </c>
      <c r="M2178" s="9" t="s">
        <v>66</v>
      </c>
    </row>
    <row r="2179">
      <c r="A2179" s="11">
        <v>2178.0</v>
      </c>
      <c r="B2179" s="11">
        <v>0.047</v>
      </c>
      <c r="C2179" s="11">
        <v>0.105</v>
      </c>
      <c r="D2179" s="11">
        <v>54.0</v>
      </c>
      <c r="E2179" s="11">
        <v>51.0</v>
      </c>
      <c r="F2179" s="11">
        <v>0.478</v>
      </c>
      <c r="G2179" s="11">
        <v>0.493</v>
      </c>
      <c r="H2179" s="11">
        <v>0.029</v>
      </c>
      <c r="I2179" s="11">
        <v>8687671.0</v>
      </c>
      <c r="J2179" s="11">
        <v>0.356</v>
      </c>
      <c r="K2179" s="12" t="s">
        <v>246</v>
      </c>
      <c r="L2179" s="5" t="s">
        <v>77</v>
      </c>
      <c r="M2179" s="9" t="s">
        <v>67</v>
      </c>
    </row>
    <row r="2180">
      <c r="A2180" s="11">
        <v>2179.0</v>
      </c>
      <c r="B2180" s="11">
        <v>0.046</v>
      </c>
      <c r="C2180" s="11">
        <v>0.104</v>
      </c>
      <c r="D2180" s="11">
        <v>55.0</v>
      </c>
      <c r="E2180" s="11">
        <v>51.0</v>
      </c>
      <c r="F2180" s="11">
        <v>0.478</v>
      </c>
      <c r="G2180" s="11">
        <v>0.493</v>
      </c>
      <c r="H2180" s="11">
        <v>0.029</v>
      </c>
      <c r="I2180" s="11">
        <v>8910851.0</v>
      </c>
      <c r="J2180" s="11">
        <v>0.36</v>
      </c>
      <c r="K2180" s="12" t="s">
        <v>246</v>
      </c>
      <c r="L2180" s="5" t="s">
        <v>77</v>
      </c>
      <c r="M2180" s="9" t="s">
        <v>68</v>
      </c>
    </row>
    <row r="2181">
      <c r="A2181" s="11">
        <v>2180.0</v>
      </c>
      <c r="B2181" s="11">
        <v>0.046</v>
      </c>
      <c r="C2181" s="11">
        <v>0.102</v>
      </c>
      <c r="D2181" s="11">
        <v>55.0</v>
      </c>
      <c r="E2181" s="11">
        <v>52.0</v>
      </c>
      <c r="F2181" s="11">
        <v>0.478</v>
      </c>
      <c r="G2181" s="11">
        <v>0.493</v>
      </c>
      <c r="H2181" s="11">
        <v>0.029</v>
      </c>
      <c r="I2181" s="11">
        <v>9140259.0</v>
      </c>
      <c r="J2181" s="11">
        <v>0.364</v>
      </c>
      <c r="K2181" s="12" t="s">
        <v>246</v>
      </c>
      <c r="L2181" s="5" t="s">
        <v>77</v>
      </c>
      <c r="M2181" s="9" t="s">
        <v>69</v>
      </c>
    </row>
    <row r="2182">
      <c r="A2182" s="11">
        <v>2181.0</v>
      </c>
      <c r="B2182" s="11">
        <v>0.046</v>
      </c>
      <c r="C2182" s="11">
        <v>0.1</v>
      </c>
      <c r="D2182" s="11">
        <v>55.0</v>
      </c>
      <c r="E2182" s="11">
        <v>52.0</v>
      </c>
      <c r="F2182" s="11">
        <v>0.478</v>
      </c>
      <c r="G2182" s="11">
        <v>0.494</v>
      </c>
      <c r="H2182" s="11">
        <v>0.028</v>
      </c>
      <c r="I2182" s="11">
        <v>9380854.0</v>
      </c>
      <c r="J2182" s="11">
        <v>0.368</v>
      </c>
      <c r="K2182" s="12" t="s">
        <v>246</v>
      </c>
      <c r="L2182" s="5" t="s">
        <v>77</v>
      </c>
      <c r="M2182" s="9" t="s">
        <v>70</v>
      </c>
    </row>
    <row r="2183">
      <c r="A2183" s="11">
        <v>2182.0</v>
      </c>
      <c r="B2183" s="11">
        <v>0.045</v>
      </c>
      <c r="C2183" s="11">
        <v>0.097</v>
      </c>
      <c r="D2183" s="11">
        <v>56.0</v>
      </c>
      <c r="E2183" s="11">
        <v>52.0</v>
      </c>
      <c r="F2183" s="11">
        <v>0.477</v>
      </c>
      <c r="G2183" s="11">
        <v>0.495</v>
      </c>
      <c r="H2183" s="11">
        <v>0.028</v>
      </c>
      <c r="I2183" s="11">
        <v>9636173.0</v>
      </c>
      <c r="J2183" s="11">
        <v>0.373</v>
      </c>
      <c r="K2183" s="12" t="s">
        <v>246</v>
      </c>
      <c r="L2183" s="5" t="s">
        <v>77</v>
      </c>
      <c r="M2183" s="9" t="s">
        <v>71</v>
      </c>
    </row>
    <row r="2184">
      <c r="A2184" s="11">
        <v>2183.0</v>
      </c>
      <c r="B2184" s="11">
        <v>0.045</v>
      </c>
      <c r="C2184" s="11">
        <v>0.095</v>
      </c>
      <c r="D2184" s="11">
        <v>56.0</v>
      </c>
      <c r="E2184" s="11">
        <v>53.0</v>
      </c>
      <c r="F2184" s="11">
        <v>0.475</v>
      </c>
      <c r="G2184" s="11">
        <v>0.496</v>
      </c>
      <c r="H2184" s="11">
        <v>0.028</v>
      </c>
      <c r="I2184" s="11">
        <v>9907903.0</v>
      </c>
      <c r="J2184" s="11">
        <v>0.377</v>
      </c>
      <c r="K2184" s="12" t="s">
        <v>246</v>
      </c>
      <c r="L2184" s="5" t="s">
        <v>77</v>
      </c>
      <c r="M2184" s="9" t="s">
        <v>72</v>
      </c>
    </row>
    <row r="2185">
      <c r="A2185" s="11">
        <v>2184.0</v>
      </c>
      <c r="B2185" s="11">
        <v>0.044</v>
      </c>
      <c r="C2185" s="11">
        <v>0.092</v>
      </c>
      <c r="D2185" s="11">
        <v>56.0</v>
      </c>
      <c r="E2185" s="11">
        <v>53.0</v>
      </c>
      <c r="F2185" s="11">
        <v>0.473</v>
      </c>
      <c r="G2185" s="11">
        <v>0.498</v>
      </c>
      <c r="H2185" s="11">
        <v>0.028</v>
      </c>
      <c r="I2185" s="11">
        <v>1.0195134E7</v>
      </c>
      <c r="J2185" s="11">
        <v>0.382</v>
      </c>
      <c r="K2185" s="12" t="s">
        <v>246</v>
      </c>
      <c r="L2185" s="5" t="s">
        <v>77</v>
      </c>
      <c r="M2185" s="9" t="s">
        <v>73</v>
      </c>
    </row>
    <row r="2186">
      <c r="A2186" s="11">
        <v>2185.0</v>
      </c>
      <c r="B2186" s="11">
        <v>0.024</v>
      </c>
      <c r="C2186" s="11">
        <v>0.052</v>
      </c>
      <c r="D2186" s="11">
        <v>58.0</v>
      </c>
      <c r="E2186" s="11">
        <v>54.0</v>
      </c>
      <c r="F2186" s="11">
        <v>0.33</v>
      </c>
      <c r="G2186" s="11">
        <v>0.636</v>
      </c>
      <c r="H2186" s="11">
        <v>0.034</v>
      </c>
      <c r="I2186" s="11">
        <v>4.4E7</v>
      </c>
      <c r="J2186" s="11">
        <v>0.569</v>
      </c>
      <c r="K2186" s="12" t="s">
        <v>247</v>
      </c>
      <c r="L2186" s="5" t="s">
        <v>77</v>
      </c>
      <c r="M2186" s="9" t="s">
        <v>60</v>
      </c>
    </row>
    <row r="2187">
      <c r="A2187" s="11">
        <v>2186.0</v>
      </c>
      <c r="B2187" s="11">
        <v>0.024</v>
      </c>
      <c r="C2187" s="11">
        <v>0.053</v>
      </c>
      <c r="D2187" s="11">
        <v>57.0</v>
      </c>
      <c r="E2187" s="11">
        <v>53.0</v>
      </c>
      <c r="F2187" s="11">
        <v>0.325</v>
      </c>
      <c r="G2187" s="11">
        <v>0.64</v>
      </c>
      <c r="H2187" s="11">
        <v>0.036</v>
      </c>
      <c r="I2187" s="11">
        <v>4.4909738E7</v>
      </c>
      <c r="J2187" s="11">
        <v>0.574</v>
      </c>
      <c r="K2187" s="12" t="s">
        <v>247</v>
      </c>
      <c r="L2187" s="5" t="s">
        <v>77</v>
      </c>
      <c r="M2187" s="9" t="s">
        <v>62</v>
      </c>
    </row>
    <row r="2188">
      <c r="A2188" s="11">
        <v>2187.0</v>
      </c>
      <c r="B2188" s="11">
        <v>0.024</v>
      </c>
      <c r="C2188" s="11">
        <v>0.053</v>
      </c>
      <c r="D2188" s="11">
        <v>55.0</v>
      </c>
      <c r="E2188" s="11">
        <v>52.0</v>
      </c>
      <c r="F2188" s="11">
        <v>0.32</v>
      </c>
      <c r="G2188" s="11">
        <v>0.643</v>
      </c>
      <c r="H2188" s="11">
        <v>0.037</v>
      </c>
      <c r="I2188" s="11">
        <v>4.5808736E7</v>
      </c>
      <c r="J2188" s="11">
        <v>0.579</v>
      </c>
      <c r="K2188" s="12" t="s">
        <v>247</v>
      </c>
      <c r="L2188" s="5" t="s">
        <v>77</v>
      </c>
      <c r="M2188" s="9" t="s">
        <v>63</v>
      </c>
    </row>
    <row r="2189">
      <c r="A2189" s="11">
        <v>2188.0</v>
      </c>
      <c r="B2189" s="11">
        <v>0.023</v>
      </c>
      <c r="C2189" s="11">
        <v>0.053</v>
      </c>
      <c r="D2189" s="11">
        <v>54.0</v>
      </c>
      <c r="E2189" s="11">
        <v>51.0</v>
      </c>
      <c r="F2189" s="11">
        <v>0.316</v>
      </c>
      <c r="G2189" s="11">
        <v>0.645</v>
      </c>
      <c r="H2189" s="11">
        <v>0.039</v>
      </c>
      <c r="I2189" s="11">
        <v>4.6409243E7</v>
      </c>
      <c r="J2189" s="11">
        <v>0.584</v>
      </c>
      <c r="K2189" s="12" t="s">
        <v>247</v>
      </c>
      <c r="L2189" s="5" t="s">
        <v>77</v>
      </c>
      <c r="M2189" s="9" t="s">
        <v>64</v>
      </c>
    </row>
    <row r="2190">
      <c r="A2190" s="11">
        <v>2189.0</v>
      </c>
      <c r="B2190" s="11">
        <v>0.023</v>
      </c>
      <c r="C2190" s="11">
        <v>0.052</v>
      </c>
      <c r="D2190" s="11">
        <v>53.0</v>
      </c>
      <c r="E2190" s="11">
        <v>51.0</v>
      </c>
      <c r="F2190" s="11">
        <v>0.312</v>
      </c>
      <c r="G2190" s="11">
        <v>0.647</v>
      </c>
      <c r="H2190" s="11">
        <v>0.042</v>
      </c>
      <c r="I2190" s="11">
        <v>4.7019452E7</v>
      </c>
      <c r="J2190" s="11">
        <v>0.59</v>
      </c>
      <c r="K2190" s="12" t="s">
        <v>247</v>
      </c>
      <c r="L2190" s="5" t="s">
        <v>77</v>
      </c>
      <c r="M2190" s="9" t="s">
        <v>65</v>
      </c>
    </row>
    <row r="2191">
      <c r="A2191" s="11">
        <v>2190.0</v>
      </c>
      <c r="B2191" s="11">
        <v>0.023</v>
      </c>
      <c r="C2191" s="11">
        <v>0.051</v>
      </c>
      <c r="D2191" s="11">
        <v>53.0</v>
      </c>
      <c r="E2191" s="11">
        <v>50.0</v>
      </c>
      <c r="F2191" s="11">
        <v>0.308</v>
      </c>
      <c r="G2191" s="11">
        <v>0.648</v>
      </c>
      <c r="H2191" s="11">
        <v>0.044</v>
      </c>
      <c r="I2191" s="11">
        <v>4.7639556E7</v>
      </c>
      <c r="J2191" s="11">
        <v>0.595</v>
      </c>
      <c r="K2191" s="12" t="s">
        <v>247</v>
      </c>
      <c r="L2191" s="5" t="s">
        <v>77</v>
      </c>
      <c r="M2191" s="9" t="s">
        <v>66</v>
      </c>
    </row>
    <row r="2192">
      <c r="A2192" s="11">
        <v>2191.0</v>
      </c>
      <c r="B2192" s="11">
        <v>0.023</v>
      </c>
      <c r="C2192" s="11">
        <v>0.05</v>
      </c>
      <c r="D2192" s="11">
        <v>53.0</v>
      </c>
      <c r="E2192" s="11">
        <v>50.0</v>
      </c>
      <c r="F2192" s="11">
        <v>0.305</v>
      </c>
      <c r="G2192" s="11">
        <v>0.649</v>
      </c>
      <c r="H2192" s="11">
        <v>0.046</v>
      </c>
      <c r="I2192" s="11">
        <v>4.8269753E7</v>
      </c>
      <c r="J2192" s="11">
        <v>0.601</v>
      </c>
      <c r="K2192" s="12" t="s">
        <v>247</v>
      </c>
      <c r="L2192" s="5" t="s">
        <v>77</v>
      </c>
      <c r="M2192" s="9" t="s">
        <v>67</v>
      </c>
    </row>
    <row r="2193">
      <c r="A2193" s="11">
        <v>2192.0</v>
      </c>
      <c r="B2193" s="11">
        <v>0.022</v>
      </c>
      <c r="C2193" s="11">
        <v>0.047</v>
      </c>
      <c r="D2193" s="11">
        <v>53.0</v>
      </c>
      <c r="E2193" s="11">
        <v>51.0</v>
      </c>
      <c r="F2193" s="11">
        <v>0.303</v>
      </c>
      <c r="G2193" s="11">
        <v>0.65</v>
      </c>
      <c r="H2193" s="11">
        <v>0.048</v>
      </c>
      <c r="I2193" s="11">
        <v>4.8910248E7</v>
      </c>
      <c r="J2193" s="11">
        <v>0.606</v>
      </c>
      <c r="K2193" s="12" t="s">
        <v>247</v>
      </c>
      <c r="L2193" s="5" t="s">
        <v>77</v>
      </c>
      <c r="M2193" s="9" t="s">
        <v>68</v>
      </c>
    </row>
    <row r="2194">
      <c r="A2194" s="11">
        <v>2193.0</v>
      </c>
      <c r="B2194" s="11">
        <v>0.022</v>
      </c>
      <c r="C2194" s="11">
        <v>0.046</v>
      </c>
      <c r="D2194" s="11">
        <v>54.0</v>
      </c>
      <c r="E2194" s="11">
        <v>51.0</v>
      </c>
      <c r="F2194" s="11">
        <v>0.3</v>
      </c>
      <c r="G2194" s="11">
        <v>0.65</v>
      </c>
      <c r="H2194" s="11">
        <v>0.049</v>
      </c>
      <c r="I2194" s="11">
        <v>4.9561256E7</v>
      </c>
      <c r="J2194" s="11">
        <v>0.612</v>
      </c>
      <c r="K2194" s="12" t="s">
        <v>247</v>
      </c>
      <c r="L2194" s="5" t="s">
        <v>77</v>
      </c>
      <c r="M2194" s="9" t="s">
        <v>69</v>
      </c>
    </row>
    <row r="2195">
      <c r="A2195" s="11">
        <v>2194.0</v>
      </c>
      <c r="B2195" s="11">
        <v>0.022</v>
      </c>
      <c r="C2195" s="11">
        <v>0.04</v>
      </c>
      <c r="D2195" s="11">
        <v>55.0</v>
      </c>
      <c r="E2195" s="11">
        <v>52.0</v>
      </c>
      <c r="F2195" s="11">
        <v>0.299</v>
      </c>
      <c r="G2195" s="11">
        <v>0.651</v>
      </c>
      <c r="H2195" s="11">
        <v>0.051</v>
      </c>
      <c r="I2195" s="11">
        <v>5.0222996E7</v>
      </c>
      <c r="J2195" s="11">
        <v>0.617</v>
      </c>
      <c r="K2195" s="12" t="s">
        <v>247</v>
      </c>
      <c r="L2195" s="5" t="s">
        <v>77</v>
      </c>
      <c r="M2195" s="9" t="s">
        <v>70</v>
      </c>
    </row>
    <row r="2196">
      <c r="A2196" s="11">
        <v>2195.0</v>
      </c>
      <c r="B2196" s="11">
        <v>0.022</v>
      </c>
      <c r="C2196" s="11">
        <v>0.035</v>
      </c>
      <c r="D2196" s="11">
        <v>56.0</v>
      </c>
      <c r="E2196" s="11">
        <v>53.0</v>
      </c>
      <c r="F2196" s="11">
        <v>0.297</v>
      </c>
      <c r="G2196" s="11">
        <v>0.651</v>
      </c>
      <c r="H2196" s="11">
        <v>0.052</v>
      </c>
      <c r="I2196" s="11">
        <v>5.0895698E7</v>
      </c>
      <c r="J2196" s="11">
        <v>0.622</v>
      </c>
      <c r="K2196" s="12" t="s">
        <v>247</v>
      </c>
      <c r="L2196" s="5" t="s">
        <v>77</v>
      </c>
      <c r="M2196" s="9" t="s">
        <v>71</v>
      </c>
    </row>
    <row r="2197">
      <c r="A2197" s="11">
        <v>2196.0</v>
      </c>
      <c r="B2197" s="11">
        <v>0.021</v>
      </c>
      <c r="C2197" s="11">
        <v>0.034</v>
      </c>
      <c r="D2197" s="11">
        <v>57.0</v>
      </c>
      <c r="E2197" s="11">
        <v>53.0</v>
      </c>
      <c r="F2197" s="11">
        <v>0.296</v>
      </c>
      <c r="G2197" s="11">
        <v>0.651</v>
      </c>
      <c r="H2197" s="11">
        <v>0.053</v>
      </c>
      <c r="I2197" s="11">
        <v>5.1579599E7</v>
      </c>
      <c r="J2197" s="11">
        <v>0.627</v>
      </c>
      <c r="K2197" s="12" t="s">
        <v>247</v>
      </c>
      <c r="L2197" s="5" t="s">
        <v>77</v>
      </c>
      <c r="M2197" s="9" t="s">
        <v>72</v>
      </c>
    </row>
    <row r="2198">
      <c r="A2198" s="11">
        <v>2197.0</v>
      </c>
      <c r="B2198" s="11">
        <v>0.021</v>
      </c>
      <c r="C2198" s="11">
        <v>0.034</v>
      </c>
      <c r="D2198" s="11">
        <v>58.0</v>
      </c>
      <c r="E2198" s="11">
        <v>54.0</v>
      </c>
      <c r="F2198" s="11">
        <v>0.295</v>
      </c>
      <c r="G2198" s="11">
        <v>0.65</v>
      </c>
      <c r="H2198" s="11">
        <v>0.054</v>
      </c>
      <c r="I2198" s="11">
        <v>5.2274945E7</v>
      </c>
      <c r="J2198" s="11">
        <v>0.633</v>
      </c>
      <c r="K2198" s="12" t="s">
        <v>247</v>
      </c>
      <c r="L2198" s="5" t="s">
        <v>77</v>
      </c>
      <c r="M2198" s="9" t="s">
        <v>73</v>
      </c>
    </row>
    <row r="2199">
      <c r="A2199" s="11">
        <v>2198.0</v>
      </c>
      <c r="B2199" s="11">
        <v>0.013</v>
      </c>
      <c r="C2199" s="11">
        <v>0.005</v>
      </c>
      <c r="D2199" s="11">
        <v>80.0</v>
      </c>
      <c r="E2199" s="11">
        <v>72.0</v>
      </c>
      <c r="F2199" s="11">
        <v>0.21</v>
      </c>
      <c r="G2199" s="11">
        <v>0.717</v>
      </c>
      <c r="H2199" s="11">
        <v>0.073</v>
      </c>
      <c r="I2199" s="11">
        <v>4.7008111E7</v>
      </c>
      <c r="J2199" s="11">
        <v>0.796</v>
      </c>
      <c r="K2199" s="12" t="s">
        <v>248</v>
      </c>
      <c r="L2199" s="5" t="s">
        <v>61</v>
      </c>
      <c r="M2199" s="9" t="s">
        <v>60</v>
      </c>
    </row>
    <row r="2200">
      <c r="A2200" s="11">
        <v>2199.0</v>
      </c>
      <c r="B2200" s="11">
        <v>0.012</v>
      </c>
      <c r="C2200" s="11">
        <v>0.006</v>
      </c>
      <c r="D2200" s="11">
        <v>80.0</v>
      </c>
      <c r="E2200" s="11">
        <v>73.0</v>
      </c>
      <c r="F2200" s="11">
        <v>0.206</v>
      </c>
      <c r="G2200" s="11">
        <v>0.717</v>
      </c>
      <c r="H2200" s="11">
        <v>0.077</v>
      </c>
      <c r="I2200" s="11">
        <v>4.7357362E7</v>
      </c>
      <c r="J2200" s="11">
        <v>0.799</v>
      </c>
      <c r="K2200" s="12" t="s">
        <v>248</v>
      </c>
      <c r="L2200" s="5" t="s">
        <v>61</v>
      </c>
      <c r="M2200" s="9" t="s">
        <v>62</v>
      </c>
    </row>
    <row r="2201">
      <c r="A2201" s="11">
        <v>2200.0</v>
      </c>
      <c r="B2201" s="11">
        <v>0.01</v>
      </c>
      <c r="C2201" s="11">
        <v>0.006</v>
      </c>
      <c r="D2201" s="11">
        <v>80.0</v>
      </c>
      <c r="E2201" s="11">
        <v>73.0</v>
      </c>
      <c r="F2201" s="11">
        <v>0.203</v>
      </c>
      <c r="G2201" s="11">
        <v>0.716</v>
      </c>
      <c r="H2201" s="11">
        <v>0.081</v>
      </c>
      <c r="I2201" s="11">
        <v>4.7622179E7</v>
      </c>
      <c r="J2201" s="11">
        <v>0.803</v>
      </c>
      <c r="K2201" s="12" t="s">
        <v>248</v>
      </c>
      <c r="L2201" s="5" t="s">
        <v>61</v>
      </c>
      <c r="M2201" s="9" t="s">
        <v>63</v>
      </c>
    </row>
    <row r="2202">
      <c r="A2202" s="11">
        <v>2201.0</v>
      </c>
      <c r="B2202" s="11">
        <v>0.01</v>
      </c>
      <c r="C2202" s="11">
        <v>0.005</v>
      </c>
      <c r="D2202" s="11">
        <v>81.0</v>
      </c>
      <c r="E2202" s="11">
        <v>74.0</v>
      </c>
      <c r="F2202" s="11">
        <v>0.199</v>
      </c>
      <c r="G2202" s="11">
        <v>0.716</v>
      </c>
      <c r="H2202" s="11">
        <v>0.085</v>
      </c>
      <c r="I2202" s="11">
        <v>4.7859311E7</v>
      </c>
      <c r="J2202" s="11">
        <v>0.807</v>
      </c>
      <c r="K2202" s="12" t="s">
        <v>248</v>
      </c>
      <c r="L2202" s="5" t="s">
        <v>61</v>
      </c>
      <c r="M2202" s="9" t="s">
        <v>64</v>
      </c>
    </row>
    <row r="2203">
      <c r="A2203" s="11">
        <v>2202.0</v>
      </c>
      <c r="B2203" s="11">
        <v>0.01</v>
      </c>
      <c r="C2203" s="11">
        <v>0.005</v>
      </c>
      <c r="D2203" s="11">
        <v>81.0</v>
      </c>
      <c r="E2203" s="11">
        <v>75.0</v>
      </c>
      <c r="F2203" s="11">
        <v>0.196</v>
      </c>
      <c r="G2203" s="11">
        <v>0.716</v>
      </c>
      <c r="H2203" s="11">
        <v>0.089</v>
      </c>
      <c r="I2203" s="11">
        <v>4.8039415E7</v>
      </c>
      <c r="J2203" s="11">
        <v>0.81</v>
      </c>
      <c r="K2203" s="12" t="s">
        <v>248</v>
      </c>
      <c r="L2203" s="5" t="s">
        <v>61</v>
      </c>
      <c r="M2203" s="9" t="s">
        <v>65</v>
      </c>
    </row>
    <row r="2204">
      <c r="A2204" s="11">
        <v>2203.0</v>
      </c>
      <c r="B2204" s="11">
        <v>0.009</v>
      </c>
      <c r="C2204" s="11">
        <v>0.005</v>
      </c>
      <c r="D2204" s="11">
        <v>82.0</v>
      </c>
      <c r="E2204" s="11">
        <v>75.0</v>
      </c>
      <c r="F2204" s="11">
        <v>0.191</v>
      </c>
      <c r="G2204" s="11">
        <v>0.716</v>
      </c>
      <c r="H2204" s="11">
        <v>0.093</v>
      </c>
      <c r="I2204" s="11">
        <v>4.8138077E7</v>
      </c>
      <c r="J2204" s="11">
        <v>0.813</v>
      </c>
      <c r="K2204" s="12" t="s">
        <v>248</v>
      </c>
      <c r="L2204" s="5" t="s">
        <v>61</v>
      </c>
      <c r="M2204" s="9" t="s">
        <v>66</v>
      </c>
    </row>
    <row r="2205">
      <c r="A2205" s="11">
        <v>2204.0</v>
      </c>
      <c r="B2205" s="11">
        <v>0.009</v>
      </c>
      <c r="C2205" s="11">
        <v>0.005</v>
      </c>
      <c r="D2205" s="11">
        <v>82.0</v>
      </c>
      <c r="E2205" s="11">
        <v>76.0</v>
      </c>
      <c r="F2205" s="11">
        <v>0.186</v>
      </c>
      <c r="G2205" s="11">
        <v>0.718</v>
      </c>
      <c r="H2205" s="11">
        <v>0.097</v>
      </c>
      <c r="I2205" s="11">
        <v>4.8371946E7</v>
      </c>
      <c r="J2205" s="11">
        <v>0.815</v>
      </c>
      <c r="K2205" s="12" t="s">
        <v>248</v>
      </c>
      <c r="L2205" s="5" t="s">
        <v>61</v>
      </c>
      <c r="M2205" s="9" t="s">
        <v>67</v>
      </c>
    </row>
    <row r="2206">
      <c r="A2206" s="11">
        <v>2205.0</v>
      </c>
      <c r="B2206" s="11">
        <v>0.01</v>
      </c>
      <c r="C2206" s="11">
        <v>0.004</v>
      </c>
      <c r="D2206" s="11">
        <v>83.0</v>
      </c>
      <c r="E2206" s="11">
        <v>76.0</v>
      </c>
      <c r="F2206" s="11">
        <v>0.18</v>
      </c>
      <c r="G2206" s="11">
        <v>0.72</v>
      </c>
      <c r="H2206" s="11">
        <v>0.1</v>
      </c>
      <c r="I2206" s="11">
        <v>4.8597652E7</v>
      </c>
      <c r="J2206" s="11">
        <v>0.816</v>
      </c>
      <c r="K2206" s="12" t="s">
        <v>248</v>
      </c>
      <c r="L2206" s="5" t="s">
        <v>61</v>
      </c>
      <c r="M2206" s="9" t="s">
        <v>68</v>
      </c>
    </row>
    <row r="2207">
      <c r="A2207" s="11">
        <v>2206.0</v>
      </c>
      <c r="B2207" s="11">
        <v>0.009</v>
      </c>
      <c r="C2207" s="11">
        <v>0.004</v>
      </c>
      <c r="D2207" s="11">
        <v>83.0</v>
      </c>
      <c r="E2207" s="11">
        <v>77.0</v>
      </c>
      <c r="F2207" s="11">
        <v>0.174</v>
      </c>
      <c r="G2207" s="11">
        <v>0.722</v>
      </c>
      <c r="H2207" s="11">
        <v>0.104</v>
      </c>
      <c r="I2207" s="11">
        <v>4.8948698E7</v>
      </c>
      <c r="J2207" s="11">
        <v>0.817</v>
      </c>
      <c r="K2207" s="12" t="s">
        <v>248</v>
      </c>
      <c r="L2207" s="5" t="s">
        <v>61</v>
      </c>
      <c r="M2207" s="9" t="s">
        <v>69</v>
      </c>
    </row>
    <row r="2208">
      <c r="A2208" s="11">
        <v>2207.0</v>
      </c>
      <c r="B2208" s="11">
        <v>0.009</v>
      </c>
      <c r="C2208" s="11">
        <v>0.004</v>
      </c>
      <c r="D2208" s="11">
        <v>84.0</v>
      </c>
      <c r="E2208" s="11">
        <v>77.0</v>
      </c>
      <c r="F2208" s="11">
        <v>0.168</v>
      </c>
      <c r="G2208" s="11">
        <v>0.725</v>
      </c>
      <c r="H2208" s="11">
        <v>0.107</v>
      </c>
      <c r="I2208" s="11">
        <v>4.9182038E7</v>
      </c>
      <c r="J2208" s="11">
        <v>0.818</v>
      </c>
      <c r="K2208" s="12" t="s">
        <v>248</v>
      </c>
      <c r="L2208" s="5" t="s">
        <v>61</v>
      </c>
      <c r="M2208" s="9" t="s">
        <v>70</v>
      </c>
    </row>
    <row r="2209">
      <c r="A2209" s="11">
        <v>2208.0</v>
      </c>
      <c r="B2209" s="11">
        <v>0.009</v>
      </c>
      <c r="C2209" s="11">
        <v>0.004</v>
      </c>
      <c r="D2209" s="11">
        <v>84.0</v>
      </c>
      <c r="E2209" s="11">
        <v>77.0</v>
      </c>
      <c r="F2209" s="11">
        <v>0.162</v>
      </c>
      <c r="G2209" s="11">
        <v>0.727</v>
      </c>
      <c r="H2209" s="11">
        <v>0.111</v>
      </c>
      <c r="I2209" s="11">
        <v>4.9410366E7</v>
      </c>
      <c r="J2209" s="11">
        <v>0.819</v>
      </c>
      <c r="K2209" s="12" t="s">
        <v>248</v>
      </c>
      <c r="L2209" s="5" t="s">
        <v>61</v>
      </c>
      <c r="M2209" s="9" t="s">
        <v>71</v>
      </c>
    </row>
    <row r="2210">
      <c r="A2210" s="11">
        <v>2209.0</v>
      </c>
      <c r="B2210" s="11">
        <v>0.009</v>
      </c>
      <c r="C2210" s="11">
        <v>0.003</v>
      </c>
      <c r="D2210" s="11">
        <v>84.0</v>
      </c>
      <c r="E2210" s="11">
        <v>78.0</v>
      </c>
      <c r="F2210" s="11">
        <v>0.157</v>
      </c>
      <c r="G2210" s="11">
        <v>0.728</v>
      </c>
      <c r="H2210" s="11">
        <v>0.114</v>
      </c>
      <c r="I2210" s="11">
        <v>4.977944E7</v>
      </c>
      <c r="J2210" s="11">
        <v>0.82</v>
      </c>
      <c r="K2210" s="12" t="s">
        <v>248</v>
      </c>
      <c r="L2210" s="5" t="s">
        <v>61</v>
      </c>
      <c r="M2210" s="9" t="s">
        <v>72</v>
      </c>
    </row>
    <row r="2211">
      <c r="A2211" s="11">
        <v>2210.0</v>
      </c>
      <c r="B2211" s="11">
        <v>0.01</v>
      </c>
      <c r="C2211" s="11">
        <v>0.003</v>
      </c>
      <c r="D2211" s="11">
        <v>85.0</v>
      </c>
      <c r="E2211" s="11">
        <v>78.0</v>
      </c>
      <c r="F2211" s="11">
        <v>0.153</v>
      </c>
      <c r="G2211" s="11">
        <v>0.729</v>
      </c>
      <c r="H2211" s="11">
        <v>0.118</v>
      </c>
      <c r="I2211" s="11">
        <v>5.0004441E7</v>
      </c>
      <c r="J2211" s="11">
        <v>0.821</v>
      </c>
      <c r="K2211" s="12" t="s">
        <v>248</v>
      </c>
      <c r="L2211" s="5" t="s">
        <v>61</v>
      </c>
      <c r="M2211" s="9" t="s">
        <v>73</v>
      </c>
    </row>
    <row r="2212">
      <c r="A2212" s="11">
        <v>2211.0</v>
      </c>
      <c r="B2212" s="11">
        <v>0.043</v>
      </c>
      <c r="C2212" s="11">
        <v>0.11</v>
      </c>
      <c r="D2212" s="11">
        <v>50.0</v>
      </c>
      <c r="E2212" s="11">
        <v>48.0</v>
      </c>
      <c r="F2212" s="11">
        <v>0.447</v>
      </c>
      <c r="G2212" s="11">
        <v>0.523</v>
      </c>
      <c r="H2212" s="11">
        <v>0.03</v>
      </c>
      <c r="I2212" s="11">
        <v>6652984.0</v>
      </c>
      <c r="J2212" s="11">
        <v>0.165</v>
      </c>
      <c r="K2212" s="12" t="s">
        <v>249</v>
      </c>
      <c r="L2212" s="5" t="s">
        <v>77</v>
      </c>
      <c r="M2212" s="9" t="s">
        <v>60</v>
      </c>
    </row>
    <row r="2213">
      <c r="A2213" s="11">
        <v>2212.0</v>
      </c>
      <c r="B2213" s="11">
        <v>0.042</v>
      </c>
      <c r="C2213" s="11">
        <v>0.105</v>
      </c>
      <c r="D2213" s="11">
        <v>51.0</v>
      </c>
      <c r="E2213" s="11">
        <v>48.0</v>
      </c>
      <c r="F2213" s="11">
        <v>0.446</v>
      </c>
      <c r="G2213" s="11">
        <v>0.523</v>
      </c>
      <c r="H2213" s="11">
        <v>0.031</v>
      </c>
      <c r="I2213" s="11">
        <v>6924455.0</v>
      </c>
      <c r="J2213" s="11">
        <v>0.166</v>
      </c>
      <c r="K2213" s="12" t="s">
        <v>249</v>
      </c>
      <c r="L2213" s="5" t="s">
        <v>77</v>
      </c>
      <c r="M2213" s="9" t="s">
        <v>62</v>
      </c>
    </row>
    <row r="2214">
      <c r="A2214" s="11">
        <v>2213.0</v>
      </c>
      <c r="B2214" s="11">
        <v>0.041</v>
      </c>
      <c r="C2214" s="11">
        <v>0.1</v>
      </c>
      <c r="D2214" s="11">
        <v>51.0</v>
      </c>
      <c r="E2214" s="11">
        <v>49.0</v>
      </c>
      <c r="F2214" s="11">
        <v>0.445</v>
      </c>
      <c r="G2214" s="11">
        <v>0.524</v>
      </c>
      <c r="H2214" s="11">
        <v>0.031</v>
      </c>
      <c r="I2214" s="11">
        <v>7186820.0</v>
      </c>
      <c r="J2214" s="11">
        <v>0.168</v>
      </c>
      <c r="K2214" s="12" t="s">
        <v>249</v>
      </c>
      <c r="L2214" s="5" t="s">
        <v>77</v>
      </c>
      <c r="M2214" s="9" t="s">
        <v>63</v>
      </c>
    </row>
    <row r="2215">
      <c r="A2215" s="11">
        <v>2214.0</v>
      </c>
      <c r="B2215" s="11">
        <v>0.041</v>
      </c>
      <c r="C2215" s="11">
        <v>0.095</v>
      </c>
      <c r="D2215" s="11">
        <v>51.0</v>
      </c>
      <c r="E2215" s="11">
        <v>49.0</v>
      </c>
      <c r="F2215" s="11">
        <v>0.444</v>
      </c>
      <c r="G2215" s="11">
        <v>0.525</v>
      </c>
      <c r="H2215" s="11">
        <v>0.031</v>
      </c>
      <c r="I2215" s="11">
        <v>7449905.0</v>
      </c>
      <c r="J2215" s="11">
        <v>0.169</v>
      </c>
      <c r="K2215" s="12" t="s">
        <v>249</v>
      </c>
      <c r="L2215" s="5" t="s">
        <v>77</v>
      </c>
      <c r="M2215" s="9" t="s">
        <v>64</v>
      </c>
    </row>
    <row r="2216">
      <c r="A2216" s="11">
        <v>2215.0</v>
      </c>
      <c r="B2216" s="11">
        <v>0.04</v>
      </c>
      <c r="C2216" s="11">
        <v>0.091</v>
      </c>
      <c r="D2216" s="11">
        <v>52.0</v>
      </c>
      <c r="E2216" s="11">
        <v>50.0</v>
      </c>
      <c r="F2216" s="11">
        <v>0.442</v>
      </c>
      <c r="G2216" s="11">
        <v>0.526</v>
      </c>
      <c r="H2216" s="11">
        <v>0.032</v>
      </c>
      <c r="I2216" s="11">
        <v>7730180.0</v>
      </c>
      <c r="J2216" s="11">
        <v>0.17</v>
      </c>
      <c r="K2216" s="12" t="s">
        <v>249</v>
      </c>
      <c r="L2216" s="5" t="s">
        <v>77</v>
      </c>
      <c r="M2216" s="9" t="s">
        <v>65</v>
      </c>
    </row>
    <row r="2217">
      <c r="A2217" s="11">
        <v>2216.0</v>
      </c>
      <c r="B2217" s="11">
        <v>0.04</v>
      </c>
      <c r="C2217" s="11">
        <v>0.087</v>
      </c>
      <c r="D2217" s="11">
        <v>52.0</v>
      </c>
      <c r="E2217" s="11">
        <v>50.0</v>
      </c>
      <c r="F2217" s="11">
        <v>0.44</v>
      </c>
      <c r="G2217" s="11">
        <v>0.527</v>
      </c>
      <c r="H2217" s="11">
        <v>0.032</v>
      </c>
      <c r="I2217" s="11">
        <v>8039351.0</v>
      </c>
      <c r="J2217" s="11">
        <v>0.172</v>
      </c>
      <c r="K2217" s="12" t="s">
        <v>249</v>
      </c>
      <c r="L2217" s="5" t="s">
        <v>77</v>
      </c>
      <c r="M2217" s="9" t="s">
        <v>66</v>
      </c>
    </row>
    <row r="2218">
      <c r="A2218" s="11">
        <v>2217.0</v>
      </c>
      <c r="B2218" s="11">
        <v>0.039</v>
      </c>
      <c r="C2218" s="11">
        <v>0.083</v>
      </c>
      <c r="D2218" s="11">
        <v>53.0</v>
      </c>
      <c r="E2218" s="11">
        <v>50.0</v>
      </c>
      <c r="F2218" s="11">
        <v>0.438</v>
      </c>
      <c r="G2218" s="11">
        <v>0.529</v>
      </c>
      <c r="H2218" s="11">
        <v>0.033</v>
      </c>
      <c r="I2218" s="11">
        <v>8376893.0</v>
      </c>
      <c r="J2218" s="11">
        <v>0.173</v>
      </c>
      <c r="K2218" s="12" t="s">
        <v>249</v>
      </c>
      <c r="L2218" s="5" t="s">
        <v>77</v>
      </c>
      <c r="M2218" s="9" t="s">
        <v>67</v>
      </c>
    </row>
    <row r="2219">
      <c r="A2219" s="11">
        <v>2218.0</v>
      </c>
      <c r="B2219" s="11">
        <v>0.039</v>
      </c>
      <c r="C2219" s="11">
        <v>0.079</v>
      </c>
      <c r="D2219" s="11">
        <v>53.0</v>
      </c>
      <c r="E2219" s="11">
        <v>51.0</v>
      </c>
      <c r="F2219" s="11">
        <v>0.436</v>
      </c>
      <c r="G2219" s="11">
        <v>0.531</v>
      </c>
      <c r="H2219" s="11">
        <v>0.033</v>
      </c>
      <c r="I2219" s="11">
        <v>8736736.0</v>
      </c>
      <c r="J2219" s="11">
        <v>0.174</v>
      </c>
      <c r="K2219" s="12" t="s">
        <v>249</v>
      </c>
      <c r="L2219" s="5" t="s">
        <v>77</v>
      </c>
      <c r="M2219" s="9" t="s">
        <v>68</v>
      </c>
    </row>
    <row r="2220">
      <c r="A2220" s="11">
        <v>2219.0</v>
      </c>
      <c r="B2220" s="11">
        <v>0.038</v>
      </c>
      <c r="C2220" s="11">
        <v>0.076</v>
      </c>
      <c r="D2220" s="11">
        <v>53.0</v>
      </c>
      <c r="E2220" s="11">
        <v>51.0</v>
      </c>
      <c r="F2220" s="11">
        <v>0.434</v>
      </c>
      <c r="G2220" s="11">
        <v>0.533</v>
      </c>
      <c r="H2220" s="11">
        <v>0.033</v>
      </c>
      <c r="I2220" s="11">
        <v>9118386.0</v>
      </c>
      <c r="J2220" s="11">
        <v>0.176</v>
      </c>
      <c r="K2220" s="12" t="s">
        <v>249</v>
      </c>
      <c r="L2220" s="5" t="s">
        <v>77</v>
      </c>
      <c r="M2220" s="9" t="s">
        <v>69</v>
      </c>
    </row>
    <row r="2221">
      <c r="A2221" s="11">
        <v>2220.0</v>
      </c>
      <c r="B2221" s="11">
        <v>0.038</v>
      </c>
      <c r="C2221" s="11">
        <v>0.073</v>
      </c>
      <c r="D2221" s="11">
        <v>54.0</v>
      </c>
      <c r="E2221" s="11">
        <v>52.0</v>
      </c>
      <c r="F2221" s="11">
        <v>0.431</v>
      </c>
      <c r="G2221" s="11">
        <v>0.535</v>
      </c>
      <c r="H2221" s="11">
        <v>0.034</v>
      </c>
      <c r="I2221" s="11">
        <v>9520571.0</v>
      </c>
      <c r="J2221" s="11">
        <v>0.177</v>
      </c>
      <c r="K2221" s="12" t="s">
        <v>249</v>
      </c>
      <c r="L2221" s="5" t="s">
        <v>77</v>
      </c>
      <c r="M2221" s="9" t="s">
        <v>70</v>
      </c>
    </row>
    <row r="2222">
      <c r="A2222" s="11">
        <v>2221.0</v>
      </c>
      <c r="B2222" s="11">
        <v>0.037</v>
      </c>
      <c r="C2222" s="11">
        <v>0.071</v>
      </c>
      <c r="D2222" s="11">
        <v>54.0</v>
      </c>
      <c r="E2222" s="11">
        <v>52.0</v>
      </c>
      <c r="F2222" s="11">
        <v>0.428</v>
      </c>
      <c r="G2222" s="11">
        <v>0.538</v>
      </c>
      <c r="H2222" s="11">
        <v>0.034</v>
      </c>
      <c r="I2222" s="11">
        <v>9940929.0</v>
      </c>
      <c r="J2222" s="11">
        <v>0.179</v>
      </c>
      <c r="K2222" s="12" t="s">
        <v>249</v>
      </c>
      <c r="L2222" s="5" t="s">
        <v>77</v>
      </c>
      <c r="M2222" s="9" t="s">
        <v>71</v>
      </c>
    </row>
    <row r="2223">
      <c r="A2223" s="11">
        <v>2222.0</v>
      </c>
      <c r="B2223" s="11">
        <v>0.037</v>
      </c>
      <c r="C2223" s="11">
        <v>0.068</v>
      </c>
      <c r="D2223" s="11">
        <v>55.0</v>
      </c>
      <c r="E2223" s="11">
        <v>53.0</v>
      </c>
      <c r="F2223" s="11">
        <v>0.426</v>
      </c>
      <c r="G2223" s="11">
        <v>0.54</v>
      </c>
      <c r="H2223" s="11">
        <v>0.034</v>
      </c>
      <c r="I2223" s="11">
        <v>1.038111E7</v>
      </c>
      <c r="J2223" s="11">
        <v>0.18</v>
      </c>
      <c r="K2223" s="12" t="s">
        <v>249</v>
      </c>
      <c r="L2223" s="5" t="s">
        <v>77</v>
      </c>
      <c r="M2223" s="9" t="s">
        <v>72</v>
      </c>
    </row>
    <row r="2224">
      <c r="A2224" s="11">
        <v>2223.0</v>
      </c>
      <c r="B2224" s="11">
        <v>0.037</v>
      </c>
      <c r="C2224" s="11">
        <v>0.066</v>
      </c>
      <c r="D2224" s="11">
        <v>56.0</v>
      </c>
      <c r="E2224" s="11">
        <v>54.0</v>
      </c>
      <c r="F2224" s="11">
        <v>0.423</v>
      </c>
      <c r="G2224" s="11">
        <v>0.543</v>
      </c>
      <c r="H2224" s="11">
        <v>0.035</v>
      </c>
      <c r="I2224" s="11">
        <v>1.0837527E7</v>
      </c>
      <c r="J2224" s="11">
        <v>0.182</v>
      </c>
      <c r="K2224" s="12" t="s">
        <v>249</v>
      </c>
      <c r="L2224" s="5" t="s">
        <v>77</v>
      </c>
      <c r="M2224" s="9" t="s">
        <v>73</v>
      </c>
    </row>
    <row r="2225">
      <c r="A2225" s="11">
        <v>2224.0</v>
      </c>
      <c r="B2225" s="11">
        <v>0.01</v>
      </c>
      <c r="C2225" s="11">
        <v>0.005</v>
      </c>
      <c r="D2225" s="11">
        <v>83.0</v>
      </c>
      <c r="E2225" s="11">
        <v>76.0</v>
      </c>
      <c r="F2225" s="11">
        <v>0.148</v>
      </c>
      <c r="G2225" s="11">
        <v>0.684</v>
      </c>
      <c r="H2225" s="11">
        <v>0.169</v>
      </c>
      <c r="I2225" s="11">
        <v>4.0263216E7</v>
      </c>
      <c r="J2225" s="11">
        <v>0.763</v>
      </c>
      <c r="K2225" s="12" t="s">
        <v>250</v>
      </c>
      <c r="L2225" s="5" t="s">
        <v>75</v>
      </c>
      <c r="M2225" s="9" t="s">
        <v>60</v>
      </c>
    </row>
    <row r="2226">
      <c r="A2226" s="11">
        <v>2225.0</v>
      </c>
      <c r="B2226" s="11">
        <v>0.01</v>
      </c>
      <c r="C2226" s="11">
        <v>0.005</v>
      </c>
      <c r="D2226" s="11">
        <v>83.0</v>
      </c>
      <c r="E2226" s="11">
        <v>76.0</v>
      </c>
      <c r="F2226" s="11">
        <v>0.146</v>
      </c>
      <c r="G2226" s="11">
        <v>0.685</v>
      </c>
      <c r="H2226" s="11">
        <v>0.169</v>
      </c>
      <c r="I2226" s="11">
        <v>4.0756001E7</v>
      </c>
      <c r="J2226" s="11">
        <v>0.763</v>
      </c>
      <c r="K2226" s="12" t="s">
        <v>250</v>
      </c>
      <c r="L2226" s="5" t="s">
        <v>75</v>
      </c>
      <c r="M2226" s="9" t="s">
        <v>62</v>
      </c>
    </row>
    <row r="2227">
      <c r="A2227" s="11">
        <v>2226.0</v>
      </c>
      <c r="B2227" s="11">
        <v>0.01</v>
      </c>
      <c r="C2227" s="11">
        <v>0.005</v>
      </c>
      <c r="D2227" s="11">
        <v>83.0</v>
      </c>
      <c r="E2227" s="11">
        <v>76.0</v>
      </c>
      <c r="F2227" s="11">
        <v>0.145</v>
      </c>
      <c r="G2227" s="11">
        <v>0.686</v>
      </c>
      <c r="H2227" s="11">
        <v>0.169</v>
      </c>
      <c r="I2227" s="11">
        <v>4.1431558E7</v>
      </c>
      <c r="J2227" s="11">
        <v>0.765</v>
      </c>
      <c r="K2227" s="12" t="s">
        <v>250</v>
      </c>
      <c r="L2227" s="5" t="s">
        <v>75</v>
      </c>
      <c r="M2227" s="9" t="s">
        <v>63</v>
      </c>
    </row>
    <row r="2228">
      <c r="A2228" s="11">
        <v>2227.0</v>
      </c>
      <c r="B2228" s="11">
        <v>0.01</v>
      </c>
      <c r="C2228" s="11">
        <v>0.005</v>
      </c>
      <c r="D2228" s="11">
        <v>83.0</v>
      </c>
      <c r="E2228" s="11">
        <v>76.0</v>
      </c>
      <c r="F2228" s="11">
        <v>0.145</v>
      </c>
      <c r="G2228" s="11">
        <v>0.687</v>
      </c>
      <c r="H2228" s="11">
        <v>0.169</v>
      </c>
      <c r="I2228" s="11">
        <v>4.2187645E7</v>
      </c>
      <c r="J2228" s="11">
        <v>0.768</v>
      </c>
      <c r="K2228" s="12" t="s">
        <v>250</v>
      </c>
      <c r="L2228" s="5" t="s">
        <v>75</v>
      </c>
      <c r="M2228" s="9" t="s">
        <v>64</v>
      </c>
    </row>
    <row r="2229">
      <c r="A2229" s="11">
        <v>2228.0</v>
      </c>
      <c r="B2229" s="11">
        <v>0.011</v>
      </c>
      <c r="C2229" s="11">
        <v>0.005</v>
      </c>
      <c r="D2229" s="11">
        <v>83.0</v>
      </c>
      <c r="E2229" s="11">
        <v>77.0</v>
      </c>
      <c r="F2229" s="11">
        <v>0.145</v>
      </c>
      <c r="G2229" s="11">
        <v>0.687</v>
      </c>
      <c r="H2229" s="11">
        <v>0.168</v>
      </c>
      <c r="I2229" s="11">
        <v>4.2921895E7</v>
      </c>
      <c r="J2229" s="11">
        <v>0.77</v>
      </c>
      <c r="K2229" s="12" t="s">
        <v>250</v>
      </c>
      <c r="L2229" s="5" t="s">
        <v>75</v>
      </c>
      <c r="M2229" s="9" t="s">
        <v>65</v>
      </c>
    </row>
    <row r="2230">
      <c r="A2230" s="11">
        <v>2229.0</v>
      </c>
      <c r="B2230" s="11">
        <v>0.011</v>
      </c>
      <c r="C2230" s="11">
        <v>0.005</v>
      </c>
      <c r="D2230" s="11">
        <v>84.0</v>
      </c>
      <c r="E2230" s="11">
        <v>77.0</v>
      </c>
      <c r="F2230" s="11">
        <v>0.145</v>
      </c>
      <c r="G2230" s="11">
        <v>0.688</v>
      </c>
      <c r="H2230" s="11">
        <v>0.168</v>
      </c>
      <c r="I2230" s="11">
        <v>4.3653155E7</v>
      </c>
      <c r="J2230" s="11">
        <v>0.773</v>
      </c>
      <c r="K2230" s="12" t="s">
        <v>250</v>
      </c>
      <c r="L2230" s="5" t="s">
        <v>75</v>
      </c>
      <c r="M2230" s="9" t="s">
        <v>66</v>
      </c>
    </row>
    <row r="2231">
      <c r="A2231" s="11">
        <v>2230.0</v>
      </c>
      <c r="B2231" s="11">
        <v>0.011</v>
      </c>
      <c r="C2231" s="11">
        <v>0.005</v>
      </c>
      <c r="D2231" s="11">
        <v>84.0</v>
      </c>
      <c r="E2231" s="11">
        <v>78.0</v>
      </c>
      <c r="F2231" s="11">
        <v>0.145</v>
      </c>
      <c r="G2231" s="11">
        <v>0.687</v>
      </c>
      <c r="H2231" s="11">
        <v>0.168</v>
      </c>
      <c r="I2231" s="11">
        <v>4.4397319E7</v>
      </c>
      <c r="J2231" s="11">
        <v>0.775</v>
      </c>
      <c r="K2231" s="12" t="s">
        <v>250</v>
      </c>
      <c r="L2231" s="5" t="s">
        <v>75</v>
      </c>
      <c r="M2231" s="9" t="s">
        <v>67</v>
      </c>
    </row>
    <row r="2232">
      <c r="A2232" s="11">
        <v>2231.0</v>
      </c>
      <c r="B2232" s="11">
        <v>0.011</v>
      </c>
      <c r="C2232" s="11">
        <v>0.004</v>
      </c>
      <c r="D2232" s="11">
        <v>84.0</v>
      </c>
      <c r="E2232" s="11">
        <v>78.0</v>
      </c>
      <c r="F2232" s="11">
        <v>0.146</v>
      </c>
      <c r="G2232" s="11">
        <v>0.686</v>
      </c>
      <c r="H2232" s="11">
        <v>0.168</v>
      </c>
      <c r="I2232" s="11">
        <v>4.5226803E7</v>
      </c>
      <c r="J2232" s="11">
        <v>0.777</v>
      </c>
      <c r="K2232" s="12" t="s">
        <v>250</v>
      </c>
      <c r="L2232" s="5" t="s">
        <v>75</v>
      </c>
      <c r="M2232" s="9" t="s">
        <v>68</v>
      </c>
    </row>
    <row r="2233">
      <c r="A2233" s="11">
        <v>2232.0</v>
      </c>
      <c r="B2233" s="11">
        <v>0.011</v>
      </c>
      <c r="C2233" s="11">
        <v>0.004</v>
      </c>
      <c r="D2233" s="11">
        <v>84.0</v>
      </c>
      <c r="E2233" s="11">
        <v>78.0</v>
      </c>
      <c r="F2233" s="11">
        <v>0.147</v>
      </c>
      <c r="G2233" s="11">
        <v>0.684</v>
      </c>
      <c r="H2233" s="11">
        <v>0.169</v>
      </c>
      <c r="I2233" s="11">
        <v>4.5954106E7</v>
      </c>
      <c r="J2233" s="11">
        <v>0.78</v>
      </c>
      <c r="K2233" s="12" t="s">
        <v>250</v>
      </c>
      <c r="L2233" s="5" t="s">
        <v>75</v>
      </c>
      <c r="M2233" s="9" t="s">
        <v>69</v>
      </c>
    </row>
    <row r="2234">
      <c r="A2234" s="11">
        <v>2233.0</v>
      </c>
      <c r="B2234" s="11">
        <v>0.011</v>
      </c>
      <c r="C2234" s="11">
        <v>0.004</v>
      </c>
      <c r="D2234" s="11">
        <v>85.0</v>
      </c>
      <c r="E2234" s="11">
        <v>79.0</v>
      </c>
      <c r="F2234" s="11">
        <v>0.148</v>
      </c>
      <c r="G2234" s="11">
        <v>0.682</v>
      </c>
      <c r="H2234" s="11">
        <v>0.17</v>
      </c>
      <c r="I2234" s="11">
        <v>4.6362946E7</v>
      </c>
      <c r="J2234" s="11">
        <v>0.782</v>
      </c>
      <c r="K2234" s="12" t="s">
        <v>250</v>
      </c>
      <c r="L2234" s="5" t="s">
        <v>75</v>
      </c>
      <c r="M2234" s="9" t="s">
        <v>70</v>
      </c>
    </row>
    <row r="2235">
      <c r="A2235" s="11">
        <v>2234.0</v>
      </c>
      <c r="B2235" s="11">
        <v>0.01</v>
      </c>
      <c r="C2235" s="11">
        <v>0.004</v>
      </c>
      <c r="D2235" s="11">
        <v>85.0</v>
      </c>
      <c r="E2235" s="11">
        <v>79.0</v>
      </c>
      <c r="F2235" s="11">
        <v>0.149</v>
      </c>
      <c r="G2235" s="11">
        <v>0.68</v>
      </c>
      <c r="H2235" s="11">
        <v>0.171</v>
      </c>
      <c r="I2235" s="11">
        <v>4.6576897E7</v>
      </c>
      <c r="J2235" s="11">
        <v>0.784</v>
      </c>
      <c r="K2235" s="12" t="s">
        <v>250</v>
      </c>
      <c r="L2235" s="5" t="s">
        <v>75</v>
      </c>
      <c r="M2235" s="9" t="s">
        <v>71</v>
      </c>
    </row>
    <row r="2236">
      <c r="A2236" s="11">
        <v>2235.0</v>
      </c>
      <c r="B2236" s="11">
        <v>0.01</v>
      </c>
      <c r="C2236" s="11">
        <v>0.004</v>
      </c>
      <c r="D2236" s="11">
        <v>86.0</v>
      </c>
      <c r="E2236" s="11">
        <v>80.0</v>
      </c>
      <c r="F2236" s="11">
        <v>0.151</v>
      </c>
      <c r="G2236" s="11">
        <v>0.677</v>
      </c>
      <c r="H2236" s="11">
        <v>0.173</v>
      </c>
      <c r="I2236" s="11">
        <v>4.6742697E7</v>
      </c>
      <c r="J2236" s="11">
        <v>0.787</v>
      </c>
      <c r="K2236" s="12" t="s">
        <v>250</v>
      </c>
      <c r="L2236" s="5" t="s">
        <v>75</v>
      </c>
      <c r="M2236" s="9" t="s">
        <v>72</v>
      </c>
    </row>
    <row r="2237">
      <c r="A2237" s="11">
        <v>2236.0</v>
      </c>
      <c r="B2237" s="11">
        <v>0.01</v>
      </c>
      <c r="C2237" s="11">
        <v>0.004</v>
      </c>
      <c r="D2237" s="11">
        <v>85.0</v>
      </c>
      <c r="E2237" s="11">
        <v>80.0</v>
      </c>
      <c r="F2237" s="11">
        <v>0.152</v>
      </c>
      <c r="G2237" s="11">
        <v>0.673</v>
      </c>
      <c r="H2237" s="11">
        <v>0.175</v>
      </c>
      <c r="I2237" s="11">
        <v>4.6761264E7</v>
      </c>
      <c r="J2237" s="11">
        <v>0.789</v>
      </c>
      <c r="K2237" s="12" t="s">
        <v>250</v>
      </c>
      <c r="L2237" s="5" t="s">
        <v>75</v>
      </c>
      <c r="M2237" s="9" t="s">
        <v>73</v>
      </c>
    </row>
    <row r="2238">
      <c r="A2238" s="11">
        <v>2237.0</v>
      </c>
      <c r="B2238" s="11">
        <v>0.018</v>
      </c>
      <c r="C2238" s="11">
        <v>0.014</v>
      </c>
      <c r="D2238" s="11">
        <v>75.0</v>
      </c>
      <c r="E2238" s="11">
        <v>68.0</v>
      </c>
      <c r="F2238" s="11">
        <v>0.269</v>
      </c>
      <c r="G2238" s="11">
        <v>0.669</v>
      </c>
      <c r="H2238" s="11">
        <v>0.063</v>
      </c>
      <c r="I2238" s="11">
        <v>1.9102E7</v>
      </c>
      <c r="J2238" s="11">
        <v>0.184</v>
      </c>
      <c r="K2238" s="12" t="s">
        <v>251</v>
      </c>
      <c r="L2238" s="5" t="s">
        <v>61</v>
      </c>
      <c r="M2238" s="9" t="s">
        <v>60</v>
      </c>
    </row>
    <row r="2239">
      <c r="A2239" s="11">
        <v>2238.0</v>
      </c>
      <c r="B2239" s="11">
        <v>0.018</v>
      </c>
      <c r="C2239" s="11">
        <v>0.013</v>
      </c>
      <c r="D2239" s="11">
        <v>76.0</v>
      </c>
      <c r="E2239" s="11">
        <v>68.0</v>
      </c>
      <c r="F2239" s="11">
        <v>0.265</v>
      </c>
      <c r="G2239" s="11">
        <v>0.672</v>
      </c>
      <c r="H2239" s="11">
        <v>0.064</v>
      </c>
      <c r="I2239" s="11">
        <v>1.8797E7</v>
      </c>
      <c r="J2239" s="11">
        <v>0.184</v>
      </c>
      <c r="K2239" s="12" t="s">
        <v>251</v>
      </c>
      <c r="L2239" s="5" t="s">
        <v>61</v>
      </c>
      <c r="M2239" s="9" t="s">
        <v>62</v>
      </c>
    </row>
    <row r="2240">
      <c r="A2240" s="11">
        <v>2239.0</v>
      </c>
      <c r="B2240" s="11">
        <v>0.019</v>
      </c>
      <c r="C2240" s="11">
        <v>0.013</v>
      </c>
      <c r="D2240" s="11">
        <v>76.0</v>
      </c>
      <c r="E2240" s="11">
        <v>69.0</v>
      </c>
      <c r="F2240" s="11">
        <v>0.261</v>
      </c>
      <c r="G2240" s="11">
        <v>0.673</v>
      </c>
      <c r="H2240" s="11">
        <v>0.065</v>
      </c>
      <c r="I2240" s="11">
        <v>1.8921E7</v>
      </c>
      <c r="J2240" s="11">
        <v>0.184</v>
      </c>
      <c r="K2240" s="12" t="s">
        <v>251</v>
      </c>
      <c r="L2240" s="5" t="s">
        <v>61</v>
      </c>
      <c r="M2240" s="9" t="s">
        <v>63</v>
      </c>
    </row>
    <row r="2241">
      <c r="A2241" s="11">
        <v>2240.0</v>
      </c>
      <c r="B2241" s="11">
        <v>0.019</v>
      </c>
      <c r="C2241" s="11">
        <v>0.013</v>
      </c>
      <c r="D2241" s="11">
        <v>77.0</v>
      </c>
      <c r="E2241" s="11">
        <v>70.0</v>
      </c>
      <c r="F2241" s="11">
        <v>0.258</v>
      </c>
      <c r="G2241" s="11">
        <v>0.675</v>
      </c>
      <c r="H2241" s="11">
        <v>0.067</v>
      </c>
      <c r="I2241" s="11">
        <v>1.9173E7</v>
      </c>
      <c r="J2241" s="11">
        <v>0.184</v>
      </c>
      <c r="K2241" s="12" t="s">
        <v>251</v>
      </c>
      <c r="L2241" s="5" t="s">
        <v>61</v>
      </c>
      <c r="M2241" s="9" t="s">
        <v>64</v>
      </c>
    </row>
    <row r="2242">
      <c r="A2242" s="11">
        <v>2241.0</v>
      </c>
      <c r="B2242" s="11">
        <v>0.019</v>
      </c>
      <c r="C2242" s="11">
        <v>0.012</v>
      </c>
      <c r="D2242" s="11">
        <v>77.0</v>
      </c>
      <c r="E2242" s="11">
        <v>70.0</v>
      </c>
      <c r="F2242" s="11">
        <v>0.256</v>
      </c>
      <c r="G2242" s="11">
        <v>0.675</v>
      </c>
      <c r="H2242" s="11">
        <v>0.069</v>
      </c>
      <c r="I2242" s="11">
        <v>1.9435E7</v>
      </c>
      <c r="J2242" s="11">
        <v>0.184</v>
      </c>
      <c r="K2242" s="12" t="s">
        <v>251</v>
      </c>
      <c r="L2242" s="5" t="s">
        <v>61</v>
      </c>
      <c r="M2242" s="9" t="s">
        <v>65</v>
      </c>
    </row>
    <row r="2243">
      <c r="A2243" s="11">
        <v>2242.0</v>
      </c>
      <c r="B2243" s="11">
        <v>0.019</v>
      </c>
      <c r="C2243" s="11">
        <v>0.012</v>
      </c>
      <c r="D2243" s="11">
        <v>77.0</v>
      </c>
      <c r="E2243" s="11">
        <v>70.0</v>
      </c>
      <c r="F2243" s="11">
        <v>0.254</v>
      </c>
      <c r="G2243" s="11">
        <v>0.675</v>
      </c>
      <c r="H2243" s="11">
        <v>0.07</v>
      </c>
      <c r="I2243" s="11">
        <v>1.9644E7</v>
      </c>
      <c r="J2243" s="11">
        <v>0.184</v>
      </c>
      <c r="K2243" s="12" t="s">
        <v>251</v>
      </c>
      <c r="L2243" s="5" t="s">
        <v>61</v>
      </c>
      <c r="M2243" s="9" t="s">
        <v>66</v>
      </c>
    </row>
    <row r="2244">
      <c r="A2244" s="11">
        <v>2243.0</v>
      </c>
      <c r="B2244" s="11">
        <v>0.019</v>
      </c>
      <c r="C2244" s="11">
        <v>0.011</v>
      </c>
      <c r="D2244" s="11">
        <v>77.0</v>
      </c>
      <c r="E2244" s="11">
        <v>70.0</v>
      </c>
      <c r="F2244" s="11">
        <v>0.253</v>
      </c>
      <c r="G2244" s="11">
        <v>0.675</v>
      </c>
      <c r="H2244" s="11">
        <v>0.072</v>
      </c>
      <c r="I2244" s="11">
        <v>1.9858E7</v>
      </c>
      <c r="J2244" s="11">
        <v>0.184</v>
      </c>
      <c r="K2244" s="12" t="s">
        <v>251</v>
      </c>
      <c r="L2244" s="5" t="s">
        <v>61</v>
      </c>
      <c r="M2244" s="9" t="s">
        <v>67</v>
      </c>
    </row>
    <row r="2245">
      <c r="A2245" s="11">
        <v>2244.0</v>
      </c>
      <c r="B2245" s="11">
        <v>0.019</v>
      </c>
      <c r="C2245" s="11">
        <v>0.011</v>
      </c>
      <c r="D2245" s="11">
        <v>77.0</v>
      </c>
      <c r="E2245" s="11">
        <v>70.0</v>
      </c>
      <c r="F2245" s="11">
        <v>0.252</v>
      </c>
      <c r="G2245" s="11">
        <v>0.675</v>
      </c>
      <c r="H2245" s="11">
        <v>0.073</v>
      </c>
      <c r="I2245" s="11">
        <v>2.0039E7</v>
      </c>
      <c r="J2245" s="11">
        <v>0.184</v>
      </c>
      <c r="K2245" s="12" t="s">
        <v>251</v>
      </c>
      <c r="L2245" s="5" t="s">
        <v>61</v>
      </c>
      <c r="M2245" s="9" t="s">
        <v>68</v>
      </c>
    </row>
    <row r="2246">
      <c r="A2246" s="11">
        <v>2245.0</v>
      </c>
      <c r="B2246" s="11">
        <v>0.019</v>
      </c>
      <c r="C2246" s="11">
        <v>0.01</v>
      </c>
      <c r="D2246" s="11">
        <v>77.0</v>
      </c>
      <c r="E2246" s="11">
        <v>71.0</v>
      </c>
      <c r="F2246" s="11">
        <v>0.252</v>
      </c>
      <c r="G2246" s="11">
        <v>0.674</v>
      </c>
      <c r="H2246" s="11">
        <v>0.074</v>
      </c>
      <c r="I2246" s="11">
        <v>2.0217E7</v>
      </c>
      <c r="J2246" s="11">
        <v>0.183</v>
      </c>
      <c r="K2246" s="12" t="s">
        <v>251</v>
      </c>
      <c r="L2246" s="5" t="s">
        <v>61</v>
      </c>
      <c r="M2246" s="9" t="s">
        <v>69</v>
      </c>
    </row>
    <row r="2247">
      <c r="A2247" s="11">
        <v>2246.0</v>
      </c>
      <c r="B2247" s="11">
        <v>0.019</v>
      </c>
      <c r="C2247" s="11">
        <v>0.01</v>
      </c>
      <c r="D2247" s="11">
        <v>77.0</v>
      </c>
      <c r="E2247" s="11">
        <v>71.0</v>
      </c>
      <c r="F2247" s="11">
        <v>0.251</v>
      </c>
      <c r="G2247" s="11">
        <v>0.673</v>
      </c>
      <c r="H2247" s="11">
        <v>0.076</v>
      </c>
      <c r="I2247" s="11">
        <v>2.045E7</v>
      </c>
      <c r="J2247" s="11">
        <v>0.183</v>
      </c>
      <c r="K2247" s="12" t="s">
        <v>251</v>
      </c>
      <c r="L2247" s="5" t="s">
        <v>61</v>
      </c>
      <c r="M2247" s="9" t="s">
        <v>70</v>
      </c>
    </row>
    <row r="2248">
      <c r="A2248" s="11">
        <v>2247.0</v>
      </c>
      <c r="B2248" s="11">
        <v>0.018</v>
      </c>
      <c r="C2248" s="11">
        <v>0.009</v>
      </c>
      <c r="D2248" s="11">
        <v>77.0</v>
      </c>
      <c r="E2248" s="11">
        <v>71.0</v>
      </c>
      <c r="F2248" s="11">
        <v>0.251</v>
      </c>
      <c r="G2248" s="11">
        <v>0.671</v>
      </c>
      <c r="H2248" s="11">
        <v>0.078</v>
      </c>
      <c r="I2248" s="11">
        <v>2.0653E7</v>
      </c>
      <c r="J2248" s="11">
        <v>0.183</v>
      </c>
      <c r="K2248" s="12" t="s">
        <v>251</v>
      </c>
      <c r="L2248" s="5" t="s">
        <v>61</v>
      </c>
      <c r="M2248" s="9" t="s">
        <v>71</v>
      </c>
    </row>
    <row r="2249">
      <c r="A2249" s="11">
        <v>2248.0</v>
      </c>
      <c r="B2249" s="11">
        <v>0.018</v>
      </c>
      <c r="C2249" s="11">
        <v>0.009</v>
      </c>
      <c r="D2249" s="11">
        <v>77.0</v>
      </c>
      <c r="E2249" s="11">
        <v>71.0</v>
      </c>
      <c r="F2249" s="11">
        <v>0.251</v>
      </c>
      <c r="G2249" s="11">
        <v>0.669</v>
      </c>
      <c r="H2249" s="11">
        <v>0.08</v>
      </c>
      <c r="I2249" s="11">
        <v>2.0869E7</v>
      </c>
      <c r="J2249" s="11">
        <v>0.183</v>
      </c>
      <c r="K2249" s="12" t="s">
        <v>251</v>
      </c>
      <c r="L2249" s="5" t="s">
        <v>61</v>
      </c>
      <c r="M2249" s="9" t="s">
        <v>72</v>
      </c>
    </row>
    <row r="2250">
      <c r="A2250" s="11">
        <v>2249.0</v>
      </c>
      <c r="B2250" s="11">
        <v>0.018</v>
      </c>
      <c r="C2250" s="11">
        <v>0.009</v>
      </c>
      <c r="D2250" s="11">
        <v>77.0</v>
      </c>
      <c r="E2250" s="11">
        <v>71.0</v>
      </c>
      <c r="F2250" s="11">
        <v>0.252</v>
      </c>
      <c r="G2250" s="11">
        <v>0.666</v>
      </c>
      <c r="H2250" s="11">
        <v>0.082</v>
      </c>
      <c r="I2250" s="11">
        <v>2.0328E7</v>
      </c>
      <c r="J2250" s="11">
        <v>0.183</v>
      </c>
      <c r="K2250" s="12" t="s">
        <v>251</v>
      </c>
      <c r="L2250" s="5" t="s">
        <v>61</v>
      </c>
      <c r="M2250" s="9" t="s">
        <v>73</v>
      </c>
    </row>
    <row r="2251">
      <c r="A2251" s="8">
        <v>2250.0</v>
      </c>
      <c r="B2251" s="8"/>
      <c r="C2251" s="11">
        <v>0.014</v>
      </c>
      <c r="D2251" s="8"/>
      <c r="E2251" s="8"/>
      <c r="F2251" s="8"/>
      <c r="G2251" s="8"/>
      <c r="H2251" s="8"/>
      <c r="I2251" s="11">
        <v>45544.0</v>
      </c>
      <c r="J2251" s="11">
        <v>0.328</v>
      </c>
      <c r="K2251" s="12" t="s">
        <v>252</v>
      </c>
      <c r="L2251" s="5" t="s">
        <v>84</v>
      </c>
      <c r="M2251" s="9" t="s">
        <v>60</v>
      </c>
    </row>
    <row r="2252">
      <c r="A2252" s="11">
        <v>2251.0</v>
      </c>
      <c r="B2252" s="11">
        <v>0.017</v>
      </c>
      <c r="C2252" s="11">
        <v>0.013</v>
      </c>
      <c r="D2252" s="8"/>
      <c r="E2252" s="8"/>
      <c r="F2252" s="8"/>
      <c r="G2252" s="8"/>
      <c r="H2252" s="8"/>
      <c r="I2252" s="11">
        <v>46214.0</v>
      </c>
      <c r="J2252" s="11">
        <v>0.326</v>
      </c>
      <c r="K2252" s="12" t="s">
        <v>252</v>
      </c>
      <c r="L2252" s="5" t="s">
        <v>84</v>
      </c>
      <c r="M2252" s="9" t="s">
        <v>62</v>
      </c>
    </row>
    <row r="2253">
      <c r="A2253" s="11">
        <v>2252.0</v>
      </c>
      <c r="B2253" s="11">
        <v>0.017</v>
      </c>
      <c r="C2253" s="11">
        <v>0.012</v>
      </c>
      <c r="D2253" s="11">
        <v>74.0</v>
      </c>
      <c r="E2253" s="11">
        <v>69.0</v>
      </c>
      <c r="F2253" s="8"/>
      <c r="G2253" s="8"/>
      <c r="H2253" s="8"/>
      <c r="I2253" s="11">
        <v>46934.0</v>
      </c>
      <c r="J2253" s="11">
        <v>0.324</v>
      </c>
      <c r="K2253" s="12" t="s">
        <v>252</v>
      </c>
      <c r="L2253" s="5" t="s">
        <v>84</v>
      </c>
      <c r="M2253" s="9" t="s">
        <v>63</v>
      </c>
    </row>
    <row r="2254">
      <c r="A2254" s="8">
        <v>2253.0</v>
      </c>
      <c r="B2254" s="8"/>
      <c r="C2254" s="11">
        <v>0.012</v>
      </c>
      <c r="D2254" s="8"/>
      <c r="E2254" s="8"/>
      <c r="F2254" s="8"/>
      <c r="G2254" s="8"/>
      <c r="H2254" s="8"/>
      <c r="I2254" s="11">
        <v>47679.0</v>
      </c>
      <c r="J2254" s="11">
        <v>0.323</v>
      </c>
      <c r="K2254" s="12" t="s">
        <v>252</v>
      </c>
      <c r="L2254" s="5" t="s">
        <v>84</v>
      </c>
      <c r="M2254" s="9" t="s">
        <v>64</v>
      </c>
    </row>
    <row r="2255">
      <c r="A2255" s="8">
        <v>2254.0</v>
      </c>
      <c r="B2255" s="8"/>
      <c r="C2255" s="11">
        <v>0.011</v>
      </c>
      <c r="D2255" s="8"/>
      <c r="E2255" s="8"/>
      <c r="F2255" s="8"/>
      <c r="G2255" s="8"/>
      <c r="H2255" s="8"/>
      <c r="I2255" s="11">
        <v>48421.0</v>
      </c>
      <c r="J2255" s="11">
        <v>0.322</v>
      </c>
      <c r="K2255" s="12" t="s">
        <v>252</v>
      </c>
      <c r="L2255" s="5" t="s">
        <v>84</v>
      </c>
      <c r="M2255" s="9" t="s">
        <v>65</v>
      </c>
    </row>
    <row r="2256">
      <c r="A2256" s="8">
        <v>2255.0</v>
      </c>
      <c r="B2256" s="8"/>
      <c r="C2256" s="11">
        <v>0.011</v>
      </c>
      <c r="D2256" s="8"/>
      <c r="E2256" s="8"/>
      <c r="F2256" s="8"/>
      <c r="G2256" s="8"/>
      <c r="H2256" s="8"/>
      <c r="I2256" s="11">
        <v>49139.0</v>
      </c>
      <c r="J2256" s="11">
        <v>0.32</v>
      </c>
      <c r="K2256" s="12" t="s">
        <v>252</v>
      </c>
      <c r="L2256" s="5" t="s">
        <v>84</v>
      </c>
      <c r="M2256" s="9" t="s">
        <v>66</v>
      </c>
    </row>
    <row r="2257">
      <c r="A2257" s="8">
        <v>2256.0</v>
      </c>
      <c r="B2257" s="8"/>
      <c r="C2257" s="11">
        <v>0.01</v>
      </c>
      <c r="D2257" s="8"/>
      <c r="E2257" s="8"/>
      <c r="F2257" s="8"/>
      <c r="G2257" s="8"/>
      <c r="H2257" s="8"/>
      <c r="I2257" s="11">
        <v>49823.0</v>
      </c>
      <c r="J2257" s="11">
        <v>0.32</v>
      </c>
      <c r="K2257" s="12" t="s">
        <v>252</v>
      </c>
      <c r="L2257" s="5" t="s">
        <v>84</v>
      </c>
      <c r="M2257" s="9" t="s">
        <v>67</v>
      </c>
    </row>
    <row r="2258">
      <c r="A2258" s="8">
        <v>2257.0</v>
      </c>
      <c r="B2258" s="8"/>
      <c r="C2258" s="11">
        <v>0.01</v>
      </c>
      <c r="D2258" s="8"/>
      <c r="E2258" s="8"/>
      <c r="F2258" s="8"/>
      <c r="G2258" s="8"/>
      <c r="H2258" s="8"/>
      <c r="I2258" s="11">
        <v>50478.0</v>
      </c>
      <c r="J2258" s="11">
        <v>0.319</v>
      </c>
      <c r="K2258" s="12" t="s">
        <v>252</v>
      </c>
      <c r="L2258" s="5" t="s">
        <v>84</v>
      </c>
      <c r="M2258" s="9" t="s">
        <v>68</v>
      </c>
    </row>
    <row r="2259">
      <c r="A2259" s="8">
        <v>2258.0</v>
      </c>
      <c r="B2259" s="8"/>
      <c r="C2259" s="11">
        <v>0.009</v>
      </c>
      <c r="D2259" s="8"/>
      <c r="E2259" s="8"/>
      <c r="F2259" s="8"/>
      <c r="G2259" s="8"/>
      <c r="H2259" s="8"/>
      <c r="I2259" s="11">
        <v>51110.0</v>
      </c>
      <c r="J2259" s="11">
        <v>0.318</v>
      </c>
      <c r="K2259" s="12" t="s">
        <v>252</v>
      </c>
      <c r="L2259" s="5" t="s">
        <v>84</v>
      </c>
      <c r="M2259" s="9" t="s">
        <v>69</v>
      </c>
    </row>
    <row r="2260">
      <c r="A2260" s="8">
        <v>2259.0</v>
      </c>
      <c r="B2260" s="8"/>
      <c r="C2260" s="11">
        <v>0.009</v>
      </c>
      <c r="D2260" s="8"/>
      <c r="E2260" s="8"/>
      <c r="F2260" s="8"/>
      <c r="G2260" s="8"/>
      <c r="H2260" s="8"/>
      <c r="I2260" s="11">
        <v>51731.0</v>
      </c>
      <c r="J2260" s="11">
        <v>0.318</v>
      </c>
      <c r="K2260" s="12" t="s">
        <v>252</v>
      </c>
      <c r="L2260" s="5" t="s">
        <v>84</v>
      </c>
      <c r="M2260" s="9" t="s">
        <v>70</v>
      </c>
    </row>
    <row r="2261">
      <c r="A2261" s="8">
        <v>2260.0</v>
      </c>
      <c r="B2261" s="8"/>
      <c r="C2261" s="11">
        <v>0.009</v>
      </c>
      <c r="D2261" s="8"/>
      <c r="E2261" s="8"/>
      <c r="F2261" s="8"/>
      <c r="G2261" s="8"/>
      <c r="H2261" s="8"/>
      <c r="I2261" s="11">
        <v>52352.0</v>
      </c>
      <c r="J2261" s="11">
        <v>0.318</v>
      </c>
      <c r="K2261" s="12" t="s">
        <v>252</v>
      </c>
      <c r="L2261" s="5" t="s">
        <v>84</v>
      </c>
      <c r="M2261" s="9" t="s">
        <v>71</v>
      </c>
    </row>
    <row r="2262">
      <c r="A2262" s="8">
        <v>2261.0</v>
      </c>
      <c r="B2262" s="8"/>
      <c r="C2262" s="11">
        <v>0.008</v>
      </c>
      <c r="D2262" s="8"/>
      <c r="E2262" s="8"/>
      <c r="F2262" s="8"/>
      <c r="G2262" s="8"/>
      <c r="H2262" s="8"/>
      <c r="I2262" s="11">
        <v>52971.0</v>
      </c>
      <c r="J2262" s="11">
        <v>0.318</v>
      </c>
      <c r="K2262" s="12" t="s">
        <v>252</v>
      </c>
      <c r="L2262" s="5" t="s">
        <v>84</v>
      </c>
      <c r="M2262" s="9" t="s">
        <v>72</v>
      </c>
    </row>
    <row r="2263">
      <c r="A2263" s="8">
        <v>2262.0</v>
      </c>
      <c r="B2263" s="8"/>
      <c r="C2263" s="11">
        <v>0.008</v>
      </c>
      <c r="D2263" s="8"/>
      <c r="E2263" s="8"/>
      <c r="F2263" s="8"/>
      <c r="G2263" s="8"/>
      <c r="H2263" s="8"/>
      <c r="I2263" s="11">
        <v>53584.0</v>
      </c>
      <c r="J2263" s="11">
        <v>0.318</v>
      </c>
      <c r="K2263" s="12" t="s">
        <v>252</v>
      </c>
      <c r="L2263" s="5" t="s">
        <v>84</v>
      </c>
      <c r="M2263" s="9" t="s">
        <v>73</v>
      </c>
    </row>
    <row r="2264">
      <c r="A2264" s="11">
        <v>2263.0</v>
      </c>
      <c r="B2264" s="11">
        <v>0.02</v>
      </c>
      <c r="C2264" s="11">
        <v>0.015</v>
      </c>
      <c r="D2264" s="11">
        <v>73.0</v>
      </c>
      <c r="E2264" s="11">
        <v>70.0</v>
      </c>
      <c r="F2264" s="11">
        <v>0.322</v>
      </c>
      <c r="G2264" s="11">
        <v>0.602</v>
      </c>
      <c r="H2264" s="11">
        <v>0.076</v>
      </c>
      <c r="I2264" s="11">
        <v>156949.0</v>
      </c>
      <c r="J2264" s="11">
        <v>0.278</v>
      </c>
      <c r="K2264" s="12" t="s">
        <v>253</v>
      </c>
      <c r="L2264" s="5" t="s">
        <v>84</v>
      </c>
      <c r="M2264" s="9" t="s">
        <v>60</v>
      </c>
    </row>
    <row r="2265">
      <c r="A2265" s="11">
        <v>2264.0</v>
      </c>
      <c r="B2265" s="11">
        <v>0.019</v>
      </c>
      <c r="C2265" s="11">
        <v>0.015</v>
      </c>
      <c r="D2265" s="11">
        <v>74.0</v>
      </c>
      <c r="E2265" s="11">
        <v>70.0</v>
      </c>
      <c r="F2265" s="11">
        <v>0.315</v>
      </c>
      <c r="G2265" s="11">
        <v>0.61</v>
      </c>
      <c r="H2265" s="11">
        <v>0.075</v>
      </c>
      <c r="I2265" s="11">
        <v>158650.0</v>
      </c>
      <c r="J2265" s="11">
        <v>0.275</v>
      </c>
      <c r="K2265" s="12" t="s">
        <v>253</v>
      </c>
      <c r="L2265" s="5" t="s">
        <v>84</v>
      </c>
      <c r="M2265" s="9" t="s">
        <v>62</v>
      </c>
    </row>
    <row r="2266">
      <c r="A2266" s="11">
        <v>2265.0</v>
      </c>
      <c r="B2266" s="11">
        <v>0.018</v>
      </c>
      <c r="C2266" s="11">
        <v>0.015</v>
      </c>
      <c r="D2266" s="11">
        <v>74.0</v>
      </c>
      <c r="E2266" s="11">
        <v>70.0</v>
      </c>
      <c r="F2266" s="11">
        <v>0.308</v>
      </c>
      <c r="G2266" s="11">
        <v>0.619</v>
      </c>
      <c r="H2266" s="11">
        <v>0.073</v>
      </c>
      <c r="I2266" s="11">
        <v>160217.0</v>
      </c>
      <c r="J2266" s="11">
        <v>0.263</v>
      </c>
      <c r="K2266" s="12" t="s">
        <v>253</v>
      </c>
      <c r="L2266" s="5" t="s">
        <v>84</v>
      </c>
      <c r="M2266" s="9" t="s">
        <v>63</v>
      </c>
    </row>
    <row r="2267">
      <c r="A2267" s="11">
        <v>2266.0</v>
      </c>
      <c r="B2267" s="11">
        <v>0.018</v>
      </c>
      <c r="C2267" s="11">
        <v>0.015</v>
      </c>
      <c r="D2267" s="11">
        <v>74.0</v>
      </c>
      <c r="E2267" s="11">
        <v>70.0</v>
      </c>
      <c r="F2267" s="11">
        <v>0.3</v>
      </c>
      <c r="G2267" s="11">
        <v>0.628</v>
      </c>
      <c r="H2267" s="11">
        <v>0.072</v>
      </c>
      <c r="I2267" s="11">
        <v>161766.0</v>
      </c>
      <c r="J2267" s="11">
        <v>0.252</v>
      </c>
      <c r="K2267" s="12" t="s">
        <v>253</v>
      </c>
      <c r="L2267" s="5" t="s">
        <v>84</v>
      </c>
      <c r="M2267" s="9" t="s">
        <v>64</v>
      </c>
    </row>
    <row r="2268">
      <c r="A2268" s="11">
        <v>2267.0</v>
      </c>
      <c r="B2268" s="11">
        <v>0.018</v>
      </c>
      <c r="C2268" s="11">
        <v>0.015</v>
      </c>
      <c r="D2268" s="11">
        <v>75.0</v>
      </c>
      <c r="E2268" s="11">
        <v>71.0</v>
      </c>
      <c r="F2268" s="11">
        <v>0.292</v>
      </c>
      <c r="G2268" s="11">
        <v>0.636</v>
      </c>
      <c r="H2268" s="11">
        <v>0.072</v>
      </c>
      <c r="I2268" s="11">
        <v>163460.0</v>
      </c>
      <c r="J2268" s="11">
        <v>0.241</v>
      </c>
      <c r="K2268" s="12" t="s">
        <v>253</v>
      </c>
      <c r="L2268" s="5" t="s">
        <v>84</v>
      </c>
      <c r="M2268" s="9" t="s">
        <v>65</v>
      </c>
    </row>
    <row r="2269">
      <c r="A2269" s="11">
        <v>2268.0</v>
      </c>
      <c r="B2269" s="11">
        <v>0.017</v>
      </c>
      <c r="C2269" s="11">
        <v>0.015</v>
      </c>
      <c r="D2269" s="11">
        <v>75.0</v>
      </c>
      <c r="E2269" s="11">
        <v>71.0</v>
      </c>
      <c r="F2269" s="11">
        <v>0.285</v>
      </c>
      <c r="G2269" s="11">
        <v>0.643</v>
      </c>
      <c r="H2269" s="11">
        <v>0.072</v>
      </c>
      <c r="I2269" s="11">
        <v>165407.0</v>
      </c>
      <c r="J2269" s="11">
        <v>0.231</v>
      </c>
      <c r="K2269" s="12" t="s">
        <v>253</v>
      </c>
      <c r="L2269" s="5" t="s">
        <v>84</v>
      </c>
      <c r="M2269" s="9" t="s">
        <v>66</v>
      </c>
    </row>
    <row r="2270">
      <c r="A2270" s="11">
        <v>2269.0</v>
      </c>
      <c r="B2270" s="11">
        <v>0.017</v>
      </c>
      <c r="C2270" s="11">
        <v>0.015</v>
      </c>
      <c r="D2270" s="11">
        <v>76.0</v>
      </c>
      <c r="E2270" s="11">
        <v>71.0</v>
      </c>
      <c r="F2270" s="11">
        <v>0.277</v>
      </c>
      <c r="G2270" s="11">
        <v>0.649</v>
      </c>
      <c r="H2270" s="11">
        <v>0.074</v>
      </c>
      <c r="I2270" s="11">
        <v>167658.0</v>
      </c>
      <c r="J2270" s="11">
        <v>0.221</v>
      </c>
      <c r="K2270" s="12" t="s">
        <v>253</v>
      </c>
      <c r="L2270" s="5" t="s">
        <v>84</v>
      </c>
      <c r="M2270" s="9" t="s">
        <v>67</v>
      </c>
    </row>
    <row r="2271">
      <c r="A2271" s="11">
        <v>2270.0</v>
      </c>
      <c r="B2271" s="11">
        <v>0.017</v>
      </c>
      <c r="C2271" s="11">
        <v>0.014</v>
      </c>
      <c r="D2271" s="11">
        <v>76.0</v>
      </c>
      <c r="E2271" s="11">
        <v>71.0</v>
      </c>
      <c r="F2271" s="11">
        <v>0.27</v>
      </c>
      <c r="G2271" s="11">
        <v>0.653</v>
      </c>
      <c r="H2271" s="11">
        <v>0.077</v>
      </c>
      <c r="I2271" s="11">
        <v>170149.0</v>
      </c>
      <c r="J2271" s="11">
        <v>0.211</v>
      </c>
      <c r="K2271" s="12" t="s">
        <v>253</v>
      </c>
      <c r="L2271" s="5" t="s">
        <v>84</v>
      </c>
      <c r="M2271" s="9" t="s">
        <v>68</v>
      </c>
    </row>
    <row r="2272">
      <c r="A2272" s="11">
        <v>2271.0</v>
      </c>
      <c r="B2272" s="11">
        <v>0.017</v>
      </c>
      <c r="C2272" s="11">
        <v>0.014</v>
      </c>
      <c r="D2272" s="11">
        <v>77.0</v>
      </c>
      <c r="E2272" s="11">
        <v>71.0</v>
      </c>
      <c r="F2272" s="11">
        <v>0.264</v>
      </c>
      <c r="G2272" s="11">
        <v>0.656</v>
      </c>
      <c r="H2272" s="11">
        <v>0.08</v>
      </c>
      <c r="I2272" s="11">
        <v>172734.0</v>
      </c>
      <c r="J2272" s="11">
        <v>0.201</v>
      </c>
      <c r="K2272" s="12" t="s">
        <v>253</v>
      </c>
      <c r="L2272" s="5" t="s">
        <v>84</v>
      </c>
      <c r="M2272" s="9" t="s">
        <v>69</v>
      </c>
    </row>
    <row r="2273">
      <c r="A2273" s="11">
        <v>2272.0</v>
      </c>
      <c r="B2273" s="11">
        <v>0.017</v>
      </c>
      <c r="C2273" s="11">
        <v>0.014</v>
      </c>
      <c r="D2273" s="11">
        <v>77.0</v>
      </c>
      <c r="E2273" s="11">
        <v>72.0</v>
      </c>
      <c r="F2273" s="11">
        <v>0.258</v>
      </c>
      <c r="G2273" s="11">
        <v>0.66</v>
      </c>
      <c r="H2273" s="11">
        <v>0.083</v>
      </c>
      <c r="I2273" s="11">
        <v>175200.0</v>
      </c>
      <c r="J2273" s="11">
        <v>0.192</v>
      </c>
      <c r="K2273" s="12" t="s">
        <v>253</v>
      </c>
      <c r="L2273" s="5" t="s">
        <v>84</v>
      </c>
      <c r="M2273" s="9" t="s">
        <v>70</v>
      </c>
    </row>
    <row r="2274">
      <c r="A2274" s="11">
        <v>2273.0</v>
      </c>
      <c r="B2274" s="11">
        <v>0.016</v>
      </c>
      <c r="C2274" s="11">
        <v>0.014</v>
      </c>
      <c r="D2274" s="11">
        <v>77.0</v>
      </c>
      <c r="E2274" s="11">
        <v>72.0</v>
      </c>
      <c r="F2274" s="11">
        <v>0.253</v>
      </c>
      <c r="G2274" s="11">
        <v>0.663</v>
      </c>
      <c r="H2274" s="11">
        <v>0.085</v>
      </c>
      <c r="I2274" s="11">
        <v>177397.0</v>
      </c>
      <c r="J2274" s="11">
        <v>0.185</v>
      </c>
      <c r="K2274" s="12" t="s">
        <v>253</v>
      </c>
      <c r="L2274" s="5" t="s">
        <v>84</v>
      </c>
      <c r="M2274" s="9" t="s">
        <v>71</v>
      </c>
    </row>
    <row r="2275">
      <c r="A2275" s="11">
        <v>2274.0</v>
      </c>
      <c r="B2275" s="11">
        <v>0.016</v>
      </c>
      <c r="C2275" s="11">
        <v>0.013</v>
      </c>
      <c r="D2275" s="11">
        <v>77.0</v>
      </c>
      <c r="E2275" s="11">
        <v>72.0</v>
      </c>
      <c r="F2275" s="11">
        <v>0.248</v>
      </c>
      <c r="G2275" s="11">
        <v>0.666</v>
      </c>
      <c r="H2275" s="11">
        <v>0.086</v>
      </c>
      <c r="I2275" s="11">
        <v>179271.0</v>
      </c>
      <c r="J2275" s="11">
        <v>0.185</v>
      </c>
      <c r="K2275" s="12" t="s">
        <v>253</v>
      </c>
      <c r="L2275" s="5" t="s">
        <v>84</v>
      </c>
      <c r="M2275" s="9" t="s">
        <v>72</v>
      </c>
    </row>
    <row r="2276">
      <c r="A2276" s="11">
        <v>2275.0</v>
      </c>
      <c r="B2276" s="11">
        <v>0.016</v>
      </c>
      <c r="C2276" s="11">
        <v>0.013</v>
      </c>
      <c r="D2276" s="11">
        <v>77.0</v>
      </c>
      <c r="E2276" s="11">
        <v>72.0</v>
      </c>
      <c r="F2276" s="11">
        <v>0.243</v>
      </c>
      <c r="G2276" s="11">
        <v>0.67</v>
      </c>
      <c r="H2276" s="11">
        <v>0.087</v>
      </c>
      <c r="I2276" s="11">
        <v>180870.0</v>
      </c>
      <c r="J2276" s="11">
        <v>0.185</v>
      </c>
      <c r="K2276" s="12" t="s">
        <v>253</v>
      </c>
      <c r="L2276" s="5" t="s">
        <v>84</v>
      </c>
      <c r="M2276" s="9" t="s">
        <v>73</v>
      </c>
    </row>
    <row r="2277">
      <c r="A2277" s="11">
        <v>2276.0</v>
      </c>
      <c r="B2277" s="11">
        <v>0.017</v>
      </c>
      <c r="C2277" s="8"/>
      <c r="D2277" s="11">
        <v>80.0</v>
      </c>
      <c r="E2277" s="11">
        <v>74.0</v>
      </c>
      <c r="F2277" s="8"/>
      <c r="G2277" s="8"/>
      <c r="H2277" s="8"/>
      <c r="I2277" s="11">
        <v>28384.0</v>
      </c>
      <c r="J2277" s="8"/>
      <c r="K2277" s="12" t="s">
        <v>254</v>
      </c>
      <c r="L2277" s="5" t="s">
        <v>84</v>
      </c>
      <c r="M2277" s="9" t="s">
        <v>60</v>
      </c>
    </row>
    <row r="2278">
      <c r="A2278" s="11">
        <v>2277.0</v>
      </c>
      <c r="B2278" s="11">
        <v>0.017</v>
      </c>
      <c r="C2278" s="8"/>
      <c r="D2278" s="11">
        <v>81.0</v>
      </c>
      <c r="E2278" s="11">
        <v>74.0</v>
      </c>
      <c r="F2278" s="8"/>
      <c r="G2278" s="8"/>
      <c r="H2278" s="8"/>
      <c r="I2278" s="11">
        <v>27782.0</v>
      </c>
      <c r="J2278" s="8"/>
      <c r="K2278" s="12" t="s">
        <v>254</v>
      </c>
      <c r="L2278" s="5" t="s">
        <v>84</v>
      </c>
      <c r="M2278" s="9" t="s">
        <v>62</v>
      </c>
    </row>
    <row r="2279">
      <c r="A2279" s="11">
        <v>2278.0</v>
      </c>
      <c r="B2279" s="11">
        <v>0.017</v>
      </c>
      <c r="C2279" s="8"/>
      <c r="D2279" s="11">
        <v>81.0</v>
      </c>
      <c r="E2279" s="11">
        <v>74.0</v>
      </c>
      <c r="F2279" s="8"/>
      <c r="G2279" s="8"/>
      <c r="H2279" s="8"/>
      <c r="I2279" s="11">
        <v>27450.0</v>
      </c>
      <c r="J2279" s="8"/>
      <c r="K2279" s="12" t="s">
        <v>254</v>
      </c>
      <c r="L2279" s="5" t="s">
        <v>84</v>
      </c>
      <c r="M2279" s="9" t="s">
        <v>63</v>
      </c>
    </row>
    <row r="2280">
      <c r="A2280" s="11">
        <v>2279.0</v>
      </c>
      <c r="B2280" s="11">
        <v>0.017</v>
      </c>
      <c r="C2280" s="8"/>
      <c r="D2280" s="11">
        <v>81.0</v>
      </c>
      <c r="E2280" s="11">
        <v>74.0</v>
      </c>
      <c r="F2280" s="8"/>
      <c r="G2280" s="8"/>
      <c r="H2280" s="8"/>
      <c r="I2280" s="11">
        <v>27363.0</v>
      </c>
      <c r="J2280" s="8"/>
      <c r="K2280" s="12" t="s">
        <v>254</v>
      </c>
      <c r="L2280" s="5" t="s">
        <v>84</v>
      </c>
      <c r="M2280" s="9" t="s">
        <v>64</v>
      </c>
    </row>
    <row r="2281">
      <c r="A2281" s="11">
        <v>2280.0</v>
      </c>
      <c r="B2281" s="11">
        <v>0.017</v>
      </c>
      <c r="C2281" s="8"/>
      <c r="D2281" s="11">
        <v>81.0</v>
      </c>
      <c r="E2281" s="11">
        <v>75.0</v>
      </c>
      <c r="F2281" s="8"/>
      <c r="G2281" s="8"/>
      <c r="H2281" s="8"/>
      <c r="I2281" s="11">
        <v>27514.0</v>
      </c>
      <c r="J2281" s="8"/>
      <c r="K2281" s="12" t="s">
        <v>254</v>
      </c>
      <c r="L2281" s="5" t="s">
        <v>84</v>
      </c>
      <c r="M2281" s="9" t="s">
        <v>65</v>
      </c>
    </row>
    <row r="2282">
      <c r="A2282" s="11">
        <v>2281.0</v>
      </c>
      <c r="B2282" s="11">
        <v>0.018</v>
      </c>
      <c r="C2282" s="8"/>
      <c r="D2282" s="11">
        <v>81.0</v>
      </c>
      <c r="E2282" s="11">
        <v>75.0</v>
      </c>
      <c r="F2282" s="8"/>
      <c r="G2282" s="8"/>
      <c r="H2282" s="8"/>
      <c r="I2282" s="11">
        <v>27906.0</v>
      </c>
      <c r="J2282" s="8"/>
      <c r="K2282" s="12" t="s">
        <v>254</v>
      </c>
      <c r="L2282" s="5" t="s">
        <v>84</v>
      </c>
      <c r="M2282" s="9" t="s">
        <v>66</v>
      </c>
    </row>
    <row r="2283">
      <c r="A2283" s="11">
        <v>2282.0</v>
      </c>
      <c r="B2283" s="11">
        <v>0.018</v>
      </c>
      <c r="C2283" s="8"/>
      <c r="D2283" s="11">
        <v>81.0</v>
      </c>
      <c r="E2283" s="11">
        <v>75.0</v>
      </c>
      <c r="F2283" s="8"/>
      <c r="G2283" s="8"/>
      <c r="H2283" s="8"/>
      <c r="I2283" s="11">
        <v>28414.0</v>
      </c>
      <c r="J2283" s="8"/>
      <c r="K2283" s="12" t="s">
        <v>254</v>
      </c>
      <c r="L2283" s="5" t="s">
        <v>84</v>
      </c>
      <c r="M2283" s="9" t="s">
        <v>67</v>
      </c>
    </row>
    <row r="2284">
      <c r="A2284" s="11">
        <v>2283.0</v>
      </c>
      <c r="B2284" s="11">
        <v>0.017</v>
      </c>
      <c r="C2284" s="8"/>
      <c r="D2284" s="11">
        <v>82.0</v>
      </c>
      <c r="E2284" s="11">
        <v>75.0</v>
      </c>
      <c r="F2284" s="8"/>
      <c r="G2284" s="8"/>
      <c r="H2284" s="8"/>
      <c r="I2284" s="11">
        <v>28905.0</v>
      </c>
      <c r="J2284" s="8"/>
      <c r="K2284" s="12" t="s">
        <v>254</v>
      </c>
      <c r="L2284" s="5" t="s">
        <v>84</v>
      </c>
      <c r="M2284" s="9" t="s">
        <v>68</v>
      </c>
    </row>
    <row r="2285">
      <c r="A2285" s="11">
        <v>2284.0</v>
      </c>
      <c r="B2285" s="11">
        <v>0.017</v>
      </c>
      <c r="C2285" s="8"/>
      <c r="D2285" s="11">
        <v>82.0</v>
      </c>
      <c r="E2285" s="11">
        <v>75.0</v>
      </c>
      <c r="F2285" s="8"/>
      <c r="G2285" s="8"/>
      <c r="H2285" s="8"/>
      <c r="I2285" s="11">
        <v>29376.0</v>
      </c>
      <c r="J2285" s="8"/>
      <c r="K2285" s="12" t="s">
        <v>254</v>
      </c>
      <c r="L2285" s="5" t="s">
        <v>84</v>
      </c>
      <c r="M2285" s="9" t="s">
        <v>69</v>
      </c>
    </row>
    <row r="2286">
      <c r="A2286" s="11">
        <v>2285.0</v>
      </c>
      <c r="B2286" s="11">
        <v>0.017</v>
      </c>
      <c r="C2286" s="8"/>
      <c r="D2286" s="11">
        <v>82.0</v>
      </c>
      <c r="E2286" s="11">
        <v>75.0</v>
      </c>
      <c r="F2286" s="8"/>
      <c r="G2286" s="8"/>
      <c r="H2286" s="8"/>
      <c r="I2286" s="11">
        <v>29820.0</v>
      </c>
      <c r="J2286" s="8"/>
      <c r="K2286" s="12" t="s">
        <v>254</v>
      </c>
      <c r="L2286" s="5" t="s">
        <v>84</v>
      </c>
      <c r="M2286" s="9" t="s">
        <v>70</v>
      </c>
    </row>
    <row r="2287">
      <c r="A2287" s="11">
        <v>2286.0</v>
      </c>
      <c r="B2287" s="11">
        <v>0.017</v>
      </c>
      <c r="C2287" s="8"/>
      <c r="D2287" s="11">
        <v>82.0</v>
      </c>
      <c r="E2287" s="11">
        <v>76.0</v>
      </c>
      <c r="F2287" s="8"/>
      <c r="G2287" s="8"/>
      <c r="H2287" s="8"/>
      <c r="I2287" s="11">
        <v>30235.0</v>
      </c>
      <c r="J2287" s="8"/>
      <c r="K2287" s="12" t="s">
        <v>254</v>
      </c>
      <c r="L2287" s="5" t="s">
        <v>84</v>
      </c>
      <c r="M2287" s="9" t="s">
        <v>71</v>
      </c>
    </row>
    <row r="2288">
      <c r="A2288" s="11">
        <v>2287.0</v>
      </c>
      <c r="B2288" s="11">
        <v>0.017</v>
      </c>
      <c r="C2288" s="8"/>
      <c r="D2288" s="11">
        <v>82.0</v>
      </c>
      <c r="E2288" s="11">
        <v>76.0</v>
      </c>
      <c r="F2288" s="8"/>
      <c r="G2288" s="8"/>
      <c r="H2288" s="8"/>
      <c r="I2288" s="11">
        <v>30615.0</v>
      </c>
      <c r="J2288" s="8"/>
      <c r="K2288" s="12" t="s">
        <v>254</v>
      </c>
      <c r="L2288" s="5" t="s">
        <v>84</v>
      </c>
      <c r="M2288" s="9" t="s">
        <v>72</v>
      </c>
    </row>
    <row r="2289">
      <c r="A2289" s="11">
        <v>2288.0</v>
      </c>
      <c r="B2289" s="11">
        <v>0.016</v>
      </c>
      <c r="C2289" s="8"/>
      <c r="D2289" s="11">
        <v>82.0</v>
      </c>
      <c r="E2289" s="11">
        <v>76.0</v>
      </c>
      <c r="F2289" s="8"/>
      <c r="G2289" s="8"/>
      <c r="H2289" s="8"/>
      <c r="I2289" s="11">
        <v>30959.0</v>
      </c>
      <c r="J2289" s="8"/>
      <c r="K2289" s="12" t="s">
        <v>254</v>
      </c>
      <c r="L2289" s="5" t="s">
        <v>84</v>
      </c>
      <c r="M2289" s="9" t="s">
        <v>73</v>
      </c>
    </row>
    <row r="2290">
      <c r="A2290" s="11">
        <v>2289.0</v>
      </c>
      <c r="B2290" s="11">
        <v>0.02</v>
      </c>
      <c r="C2290" s="11">
        <v>0.019</v>
      </c>
      <c r="D2290" s="11">
        <v>73.0</v>
      </c>
      <c r="E2290" s="11">
        <v>68.0</v>
      </c>
      <c r="F2290" s="11">
        <v>0.314</v>
      </c>
      <c r="G2290" s="11">
        <v>0.616</v>
      </c>
      <c r="H2290" s="11">
        <v>0.069</v>
      </c>
      <c r="I2290" s="11">
        <v>107897.0</v>
      </c>
      <c r="J2290" s="11">
        <v>0.452</v>
      </c>
      <c r="K2290" s="12" t="s">
        <v>255</v>
      </c>
      <c r="L2290" s="5" t="s">
        <v>84</v>
      </c>
      <c r="M2290" s="9" t="s">
        <v>60</v>
      </c>
    </row>
    <row r="2291">
      <c r="A2291" s="11">
        <v>2290.0</v>
      </c>
      <c r="B2291" s="11">
        <v>0.019</v>
      </c>
      <c r="C2291" s="11">
        <v>0.019</v>
      </c>
      <c r="D2291" s="11">
        <v>73.0</v>
      </c>
      <c r="E2291" s="11">
        <v>68.0</v>
      </c>
      <c r="F2291" s="11">
        <v>0.308</v>
      </c>
      <c r="G2291" s="11">
        <v>0.622</v>
      </c>
      <c r="H2291" s="11">
        <v>0.07</v>
      </c>
      <c r="I2291" s="11">
        <v>107989.0</v>
      </c>
      <c r="J2291" s="11">
        <v>0.455</v>
      </c>
      <c r="K2291" s="12" t="s">
        <v>255</v>
      </c>
      <c r="L2291" s="5" t="s">
        <v>84</v>
      </c>
      <c r="M2291" s="9" t="s">
        <v>62</v>
      </c>
    </row>
    <row r="2292">
      <c r="A2292" s="11">
        <v>2291.0</v>
      </c>
      <c r="B2292" s="11">
        <v>0.019</v>
      </c>
      <c r="C2292" s="11">
        <v>0.019</v>
      </c>
      <c r="D2292" s="11">
        <v>73.0</v>
      </c>
      <c r="E2292" s="11">
        <v>68.0</v>
      </c>
      <c r="F2292" s="11">
        <v>0.302</v>
      </c>
      <c r="G2292" s="11">
        <v>0.627</v>
      </c>
      <c r="H2292" s="11">
        <v>0.071</v>
      </c>
      <c r="I2292" s="11">
        <v>108150.0</v>
      </c>
      <c r="J2292" s="11">
        <v>0.459</v>
      </c>
      <c r="K2292" s="12" t="s">
        <v>255</v>
      </c>
      <c r="L2292" s="5" t="s">
        <v>84</v>
      </c>
      <c r="M2292" s="9" t="s">
        <v>63</v>
      </c>
    </row>
    <row r="2293">
      <c r="A2293" s="11">
        <v>2292.0</v>
      </c>
      <c r="B2293" s="11">
        <v>0.019</v>
      </c>
      <c r="C2293" s="11">
        <v>0.019</v>
      </c>
      <c r="D2293" s="11">
        <v>73.0</v>
      </c>
      <c r="E2293" s="11">
        <v>69.0</v>
      </c>
      <c r="F2293" s="11">
        <v>0.296</v>
      </c>
      <c r="G2293" s="11">
        <v>0.632</v>
      </c>
      <c r="H2293" s="11">
        <v>0.072</v>
      </c>
      <c r="I2293" s="11">
        <v>108353.0</v>
      </c>
      <c r="J2293" s="11">
        <v>0.463</v>
      </c>
      <c r="K2293" s="12" t="s">
        <v>255</v>
      </c>
      <c r="L2293" s="5" t="s">
        <v>84</v>
      </c>
      <c r="M2293" s="9" t="s">
        <v>64</v>
      </c>
    </row>
    <row r="2294">
      <c r="A2294" s="11">
        <v>2293.0</v>
      </c>
      <c r="B2294" s="11">
        <v>0.018</v>
      </c>
      <c r="C2294" s="11">
        <v>0.019</v>
      </c>
      <c r="D2294" s="11">
        <v>73.0</v>
      </c>
      <c r="E2294" s="11">
        <v>69.0</v>
      </c>
      <c r="F2294" s="11">
        <v>0.29</v>
      </c>
      <c r="G2294" s="11">
        <v>0.638</v>
      </c>
      <c r="H2294" s="11">
        <v>0.072</v>
      </c>
      <c r="I2294" s="11">
        <v>108562.0</v>
      </c>
      <c r="J2294" s="11">
        <v>0.466</v>
      </c>
      <c r="K2294" s="12" t="s">
        <v>255</v>
      </c>
      <c r="L2294" s="5" t="s">
        <v>84</v>
      </c>
      <c r="M2294" s="9" t="s">
        <v>65</v>
      </c>
    </row>
    <row r="2295">
      <c r="A2295" s="11">
        <v>2294.0</v>
      </c>
      <c r="B2295" s="11">
        <v>0.018</v>
      </c>
      <c r="C2295" s="11">
        <v>0.019</v>
      </c>
      <c r="D2295" s="11">
        <v>74.0</v>
      </c>
      <c r="E2295" s="11">
        <v>69.0</v>
      </c>
      <c r="F2295" s="11">
        <v>0.285</v>
      </c>
      <c r="G2295" s="11">
        <v>0.643</v>
      </c>
      <c r="H2295" s="11">
        <v>0.072</v>
      </c>
      <c r="I2295" s="11">
        <v>108749.0</v>
      </c>
      <c r="J2295" s="11">
        <v>0.47</v>
      </c>
      <c r="K2295" s="12" t="s">
        <v>255</v>
      </c>
      <c r="L2295" s="5" t="s">
        <v>84</v>
      </c>
      <c r="M2295" s="9" t="s">
        <v>66</v>
      </c>
    </row>
    <row r="2296">
      <c r="A2296" s="11">
        <v>2295.0</v>
      </c>
      <c r="B2296" s="11">
        <v>0.018</v>
      </c>
      <c r="C2296" s="11">
        <v>0.019</v>
      </c>
      <c r="D2296" s="11">
        <v>74.0</v>
      </c>
      <c r="E2296" s="11">
        <v>69.0</v>
      </c>
      <c r="F2296" s="11">
        <v>0.281</v>
      </c>
      <c r="G2296" s="11">
        <v>0.648</v>
      </c>
      <c r="H2296" s="11">
        <v>0.071</v>
      </c>
      <c r="I2296" s="11">
        <v>108908.0</v>
      </c>
      <c r="J2296" s="11">
        <v>0.474</v>
      </c>
      <c r="K2296" s="12" t="s">
        <v>255</v>
      </c>
      <c r="L2296" s="5" t="s">
        <v>84</v>
      </c>
      <c r="M2296" s="9" t="s">
        <v>67</v>
      </c>
    </row>
    <row r="2297">
      <c r="A2297" s="11">
        <v>2296.0</v>
      </c>
      <c r="B2297" s="11">
        <v>0.018</v>
      </c>
      <c r="C2297" s="11">
        <v>0.019</v>
      </c>
      <c r="D2297" s="11">
        <v>74.0</v>
      </c>
      <c r="E2297" s="11">
        <v>70.0</v>
      </c>
      <c r="F2297" s="11">
        <v>0.276</v>
      </c>
      <c r="G2297" s="11">
        <v>0.653</v>
      </c>
      <c r="H2297" s="11">
        <v>0.07</v>
      </c>
      <c r="I2297" s="11">
        <v>109045.0</v>
      </c>
      <c r="J2297" s="11">
        <v>0.477</v>
      </c>
      <c r="K2297" s="12" t="s">
        <v>255</v>
      </c>
      <c r="L2297" s="5" t="s">
        <v>84</v>
      </c>
      <c r="M2297" s="9" t="s">
        <v>68</v>
      </c>
    </row>
    <row r="2298">
      <c r="A2298" s="11">
        <v>2297.0</v>
      </c>
      <c r="B2298" s="11">
        <v>0.018</v>
      </c>
      <c r="C2298" s="11">
        <v>0.019</v>
      </c>
      <c r="D2298" s="11">
        <v>74.0</v>
      </c>
      <c r="E2298" s="11">
        <v>70.0</v>
      </c>
      <c r="F2298" s="11">
        <v>0.273</v>
      </c>
      <c r="G2298" s="11">
        <v>0.659</v>
      </c>
      <c r="H2298" s="11">
        <v>0.069</v>
      </c>
      <c r="I2298" s="11">
        <v>109158.0</v>
      </c>
      <c r="J2298" s="11">
        <v>0.481</v>
      </c>
      <c r="K2298" s="12" t="s">
        <v>255</v>
      </c>
      <c r="L2298" s="5" t="s">
        <v>84</v>
      </c>
      <c r="M2298" s="9" t="s">
        <v>69</v>
      </c>
    </row>
    <row r="2299">
      <c r="A2299" s="11">
        <v>2298.0</v>
      </c>
      <c r="B2299" s="11">
        <v>0.017</v>
      </c>
      <c r="C2299" s="11">
        <v>0.019</v>
      </c>
      <c r="D2299" s="11">
        <v>74.0</v>
      </c>
      <c r="E2299" s="11">
        <v>70.0</v>
      </c>
      <c r="F2299" s="11">
        <v>0.269</v>
      </c>
      <c r="G2299" s="11">
        <v>0.663</v>
      </c>
      <c r="H2299" s="11">
        <v>0.068</v>
      </c>
      <c r="I2299" s="11">
        <v>109249.0</v>
      </c>
      <c r="J2299" s="11">
        <v>0.484</v>
      </c>
      <c r="K2299" s="12" t="s">
        <v>255</v>
      </c>
      <c r="L2299" s="5" t="s">
        <v>84</v>
      </c>
      <c r="M2299" s="9" t="s">
        <v>70</v>
      </c>
    </row>
    <row r="2300">
      <c r="A2300" s="11">
        <v>2299.0</v>
      </c>
      <c r="B2300" s="11">
        <v>0.017</v>
      </c>
      <c r="C2300" s="11">
        <v>0.019</v>
      </c>
      <c r="D2300" s="11">
        <v>74.0</v>
      </c>
      <c r="E2300" s="11">
        <v>70.0</v>
      </c>
      <c r="F2300" s="11">
        <v>0.265</v>
      </c>
      <c r="G2300" s="11">
        <v>0.668</v>
      </c>
      <c r="H2300" s="11">
        <v>0.067</v>
      </c>
      <c r="I2300" s="11">
        <v>109316.0</v>
      </c>
      <c r="J2300" s="11">
        <v>0.488</v>
      </c>
      <c r="K2300" s="12" t="s">
        <v>255</v>
      </c>
      <c r="L2300" s="5" t="s">
        <v>84</v>
      </c>
      <c r="M2300" s="9" t="s">
        <v>71</v>
      </c>
    </row>
    <row r="2301">
      <c r="A2301" s="11">
        <v>2300.0</v>
      </c>
      <c r="B2301" s="11">
        <v>0.017</v>
      </c>
      <c r="C2301" s="11">
        <v>0.018</v>
      </c>
      <c r="D2301" s="11">
        <v>74.0</v>
      </c>
      <c r="E2301" s="11">
        <v>70.0</v>
      </c>
      <c r="F2301" s="11">
        <v>0.261</v>
      </c>
      <c r="G2301" s="11">
        <v>0.671</v>
      </c>
      <c r="H2301" s="11">
        <v>0.068</v>
      </c>
      <c r="I2301" s="11">
        <v>109357.0</v>
      </c>
      <c r="J2301" s="11">
        <v>0.491</v>
      </c>
      <c r="K2301" s="12" t="s">
        <v>255</v>
      </c>
      <c r="L2301" s="5" t="s">
        <v>84</v>
      </c>
      <c r="M2301" s="9" t="s">
        <v>72</v>
      </c>
    </row>
    <row r="2302">
      <c r="A2302" s="11">
        <v>2301.0</v>
      </c>
      <c r="B2302" s="11">
        <v>0.017</v>
      </c>
      <c r="C2302" s="11">
        <v>0.018</v>
      </c>
      <c r="D2302" s="11">
        <v>75.0</v>
      </c>
      <c r="E2302" s="11">
        <v>70.0</v>
      </c>
      <c r="F2302" s="11">
        <v>0.257</v>
      </c>
      <c r="G2302" s="11">
        <v>0.675</v>
      </c>
      <c r="H2302" s="11">
        <v>0.068</v>
      </c>
      <c r="I2302" s="11">
        <v>109373.0</v>
      </c>
      <c r="J2302" s="11">
        <v>0.495</v>
      </c>
      <c r="K2302" s="12" t="s">
        <v>255</v>
      </c>
      <c r="L2302" s="5" t="s">
        <v>84</v>
      </c>
      <c r="M2302" s="9" t="s">
        <v>73</v>
      </c>
    </row>
    <row r="2303">
      <c r="A2303" s="11">
        <v>2302.0</v>
      </c>
      <c r="B2303" s="11">
        <v>0.04</v>
      </c>
      <c r="C2303" s="11">
        <v>0.069</v>
      </c>
      <c r="D2303" s="11">
        <v>60.0</v>
      </c>
      <c r="E2303" s="11">
        <v>56.0</v>
      </c>
      <c r="F2303" s="11">
        <v>0.437</v>
      </c>
      <c r="G2303" s="11">
        <v>0.533</v>
      </c>
      <c r="H2303" s="11">
        <v>0.03</v>
      </c>
      <c r="I2303" s="11">
        <v>2.7729798E7</v>
      </c>
      <c r="J2303" s="11">
        <v>0.325</v>
      </c>
      <c r="K2303" s="12" t="s">
        <v>256</v>
      </c>
      <c r="L2303" s="5" t="s">
        <v>77</v>
      </c>
      <c r="M2303" s="9" t="s">
        <v>60</v>
      </c>
    </row>
    <row r="2304">
      <c r="A2304" s="11">
        <v>2303.0</v>
      </c>
      <c r="B2304" s="11">
        <v>0.039</v>
      </c>
      <c r="C2304" s="11">
        <v>0.067</v>
      </c>
      <c r="D2304" s="11">
        <v>60.0</v>
      </c>
      <c r="E2304" s="11">
        <v>57.0</v>
      </c>
      <c r="F2304" s="11">
        <v>0.436</v>
      </c>
      <c r="G2304" s="11">
        <v>0.534</v>
      </c>
      <c r="H2304" s="11">
        <v>0.03</v>
      </c>
      <c r="I2304" s="11">
        <v>2.843481E7</v>
      </c>
      <c r="J2304" s="11">
        <v>0.325</v>
      </c>
      <c r="K2304" s="12" t="s">
        <v>256</v>
      </c>
      <c r="L2304" s="5" t="s">
        <v>77</v>
      </c>
      <c r="M2304" s="9" t="s">
        <v>62</v>
      </c>
    </row>
    <row r="2305">
      <c r="A2305" s="11">
        <v>2304.0</v>
      </c>
      <c r="B2305" s="11">
        <v>0.039</v>
      </c>
      <c r="C2305" s="11">
        <v>0.066</v>
      </c>
      <c r="D2305" s="11">
        <v>61.0</v>
      </c>
      <c r="E2305" s="11">
        <v>57.0</v>
      </c>
      <c r="F2305" s="11">
        <v>0.435</v>
      </c>
      <c r="G2305" s="11">
        <v>0.535</v>
      </c>
      <c r="H2305" s="11">
        <v>0.03</v>
      </c>
      <c r="I2305" s="11">
        <v>2.9186427E7</v>
      </c>
      <c r="J2305" s="11">
        <v>0.326</v>
      </c>
      <c r="K2305" s="12" t="s">
        <v>256</v>
      </c>
      <c r="L2305" s="5" t="s">
        <v>77</v>
      </c>
      <c r="M2305" s="9" t="s">
        <v>63</v>
      </c>
    </row>
    <row r="2306">
      <c r="A2306" s="11">
        <v>2305.0</v>
      </c>
      <c r="B2306" s="11">
        <v>0.039</v>
      </c>
      <c r="C2306" s="11">
        <v>0.064</v>
      </c>
      <c r="D2306" s="11">
        <v>61.0</v>
      </c>
      <c r="E2306" s="11">
        <v>57.0</v>
      </c>
      <c r="F2306" s="11">
        <v>0.435</v>
      </c>
      <c r="G2306" s="11">
        <v>0.535</v>
      </c>
      <c r="H2306" s="11">
        <v>0.03</v>
      </c>
      <c r="I2306" s="11">
        <v>2.9973979E7</v>
      </c>
      <c r="J2306" s="11">
        <v>0.327</v>
      </c>
      <c r="K2306" s="12" t="s">
        <v>256</v>
      </c>
      <c r="L2306" s="5" t="s">
        <v>77</v>
      </c>
      <c r="M2306" s="9" t="s">
        <v>64</v>
      </c>
    </row>
    <row r="2307">
      <c r="A2307" s="11">
        <v>2306.0</v>
      </c>
      <c r="B2307" s="11">
        <v>0.038</v>
      </c>
      <c r="C2307" s="11">
        <v>0.063</v>
      </c>
      <c r="D2307" s="11">
        <v>61.0</v>
      </c>
      <c r="E2307" s="11">
        <v>58.0</v>
      </c>
      <c r="F2307" s="11">
        <v>0.433</v>
      </c>
      <c r="G2307" s="11">
        <v>0.536</v>
      </c>
      <c r="H2307" s="11">
        <v>0.03</v>
      </c>
      <c r="I2307" s="11">
        <v>3.0778572E7</v>
      </c>
      <c r="J2307" s="11">
        <v>0.327</v>
      </c>
      <c r="K2307" s="12" t="s">
        <v>256</v>
      </c>
      <c r="L2307" s="5" t="s">
        <v>77</v>
      </c>
      <c r="M2307" s="9" t="s">
        <v>65</v>
      </c>
    </row>
    <row r="2308">
      <c r="A2308" s="11">
        <v>2307.0</v>
      </c>
      <c r="B2308" s="11">
        <v>0.038</v>
      </c>
      <c r="C2308" s="11">
        <v>0.061</v>
      </c>
      <c r="D2308" s="11">
        <v>62.0</v>
      </c>
      <c r="E2308" s="11">
        <v>58.0</v>
      </c>
      <c r="F2308" s="11">
        <v>0.432</v>
      </c>
      <c r="G2308" s="11">
        <v>0.538</v>
      </c>
      <c r="H2308" s="11">
        <v>0.03</v>
      </c>
      <c r="I2308" s="11">
        <v>3.1585871E7</v>
      </c>
      <c r="J2308" s="11">
        <v>0.328</v>
      </c>
      <c r="K2308" s="12" t="s">
        <v>256</v>
      </c>
      <c r="L2308" s="5" t="s">
        <v>77</v>
      </c>
      <c r="M2308" s="9" t="s">
        <v>66</v>
      </c>
    </row>
    <row r="2309">
      <c r="A2309" s="11">
        <v>2308.0</v>
      </c>
      <c r="B2309" s="11">
        <v>0.037</v>
      </c>
      <c r="C2309" s="11">
        <v>0.06</v>
      </c>
      <c r="D2309" s="11">
        <v>62.0</v>
      </c>
      <c r="E2309" s="11">
        <v>59.0</v>
      </c>
      <c r="F2309" s="11">
        <v>0.43</v>
      </c>
      <c r="G2309" s="11">
        <v>0.539</v>
      </c>
      <c r="H2309" s="11">
        <v>0.031</v>
      </c>
      <c r="I2309" s="11">
        <v>3.2397535E7</v>
      </c>
      <c r="J2309" s="11">
        <v>0.328</v>
      </c>
      <c r="K2309" s="12" t="s">
        <v>256</v>
      </c>
      <c r="L2309" s="5" t="s">
        <v>77</v>
      </c>
      <c r="M2309" s="9" t="s">
        <v>67</v>
      </c>
    </row>
    <row r="2310">
      <c r="A2310" s="11">
        <v>2309.0</v>
      </c>
      <c r="B2310" s="11">
        <v>0.036</v>
      </c>
      <c r="C2310" s="11">
        <v>0.059</v>
      </c>
      <c r="D2310" s="11">
        <v>62.0</v>
      </c>
      <c r="E2310" s="11">
        <v>59.0</v>
      </c>
      <c r="F2310" s="11">
        <v>0.428</v>
      </c>
      <c r="G2310" s="11">
        <v>0.541</v>
      </c>
      <c r="H2310" s="11">
        <v>0.031</v>
      </c>
      <c r="I2310" s="11">
        <v>3.321825E7</v>
      </c>
      <c r="J2310" s="11">
        <v>0.329</v>
      </c>
      <c r="K2310" s="12" t="s">
        <v>256</v>
      </c>
      <c r="L2310" s="5" t="s">
        <v>77</v>
      </c>
      <c r="M2310" s="9" t="s">
        <v>68</v>
      </c>
    </row>
    <row r="2311">
      <c r="A2311" s="11">
        <v>2310.0</v>
      </c>
      <c r="B2311" s="11">
        <v>0.036</v>
      </c>
      <c r="C2311" s="11">
        <v>0.058</v>
      </c>
      <c r="D2311" s="11">
        <v>63.0</v>
      </c>
      <c r="E2311" s="11">
        <v>59.0</v>
      </c>
      <c r="F2311" s="11">
        <v>0.426</v>
      </c>
      <c r="G2311" s="11">
        <v>0.543</v>
      </c>
      <c r="H2311" s="11">
        <v>0.031</v>
      </c>
      <c r="I2311" s="11">
        <v>3.4040065E7</v>
      </c>
      <c r="J2311" s="11">
        <v>0.329</v>
      </c>
      <c r="K2311" s="12" t="s">
        <v>256</v>
      </c>
      <c r="L2311" s="5" t="s">
        <v>77</v>
      </c>
      <c r="M2311" s="9" t="s">
        <v>69</v>
      </c>
    </row>
    <row r="2312">
      <c r="A2312" s="11">
        <v>2311.0</v>
      </c>
      <c r="B2312" s="11">
        <v>0.035</v>
      </c>
      <c r="C2312" s="11">
        <v>0.056</v>
      </c>
      <c r="D2312" s="11">
        <v>63.0</v>
      </c>
      <c r="E2312" s="11">
        <v>60.0</v>
      </c>
      <c r="F2312" s="11">
        <v>0.423</v>
      </c>
      <c r="G2312" s="11">
        <v>0.546</v>
      </c>
      <c r="H2312" s="11">
        <v>0.031</v>
      </c>
      <c r="I2312" s="11">
        <v>3.4853178E7</v>
      </c>
      <c r="J2312" s="11">
        <v>0.33</v>
      </c>
      <c r="K2312" s="12" t="s">
        <v>256</v>
      </c>
      <c r="L2312" s="5" t="s">
        <v>77</v>
      </c>
      <c r="M2312" s="9" t="s">
        <v>70</v>
      </c>
    </row>
    <row r="2313">
      <c r="A2313" s="11">
        <v>2312.0</v>
      </c>
      <c r="B2313" s="11">
        <v>0.035</v>
      </c>
      <c r="C2313" s="11">
        <v>0.055</v>
      </c>
      <c r="D2313" s="11">
        <v>63.0</v>
      </c>
      <c r="E2313" s="11">
        <v>60.0</v>
      </c>
      <c r="F2313" s="11">
        <v>0.421</v>
      </c>
      <c r="G2313" s="11">
        <v>0.548</v>
      </c>
      <c r="H2313" s="11">
        <v>0.031</v>
      </c>
      <c r="I2313" s="11">
        <v>3.5652002E7</v>
      </c>
      <c r="J2313" s="11">
        <v>0.331</v>
      </c>
      <c r="K2313" s="12" t="s">
        <v>256</v>
      </c>
      <c r="L2313" s="5" t="s">
        <v>77</v>
      </c>
      <c r="M2313" s="9" t="s">
        <v>71</v>
      </c>
    </row>
    <row r="2314">
      <c r="A2314" s="11">
        <v>2313.0</v>
      </c>
      <c r="B2314" s="11">
        <v>0.034</v>
      </c>
      <c r="C2314" s="11">
        <v>0.054</v>
      </c>
      <c r="D2314" s="11">
        <v>63.0</v>
      </c>
      <c r="E2314" s="11">
        <v>60.0</v>
      </c>
      <c r="F2314" s="11">
        <v>0.418</v>
      </c>
      <c r="G2314" s="11">
        <v>0.551</v>
      </c>
      <c r="H2314" s="11">
        <v>0.032</v>
      </c>
      <c r="I2314" s="11">
        <v>3.6430923E7</v>
      </c>
      <c r="J2314" s="11">
        <v>0.332</v>
      </c>
      <c r="K2314" s="12" t="s">
        <v>256</v>
      </c>
      <c r="L2314" s="5" t="s">
        <v>77</v>
      </c>
      <c r="M2314" s="9" t="s">
        <v>72</v>
      </c>
    </row>
    <row r="2315">
      <c r="A2315" s="11">
        <v>2314.0</v>
      </c>
      <c r="B2315" s="11">
        <v>0.034</v>
      </c>
      <c r="C2315" s="11">
        <v>0.053</v>
      </c>
      <c r="D2315" s="11">
        <v>64.0</v>
      </c>
      <c r="E2315" s="11">
        <v>60.0</v>
      </c>
      <c r="F2315" s="11">
        <v>0.415</v>
      </c>
      <c r="G2315" s="11">
        <v>0.553</v>
      </c>
      <c r="H2315" s="11">
        <v>0.032</v>
      </c>
      <c r="I2315" s="11">
        <v>3.7195349E7</v>
      </c>
      <c r="J2315" s="11">
        <v>0.333</v>
      </c>
      <c r="K2315" s="12" t="s">
        <v>256</v>
      </c>
      <c r="L2315" s="5" t="s">
        <v>77</v>
      </c>
      <c r="M2315" s="9" t="s">
        <v>73</v>
      </c>
    </row>
    <row r="2316">
      <c r="A2316" s="11">
        <v>2315.0</v>
      </c>
      <c r="B2316" s="11">
        <v>0.023</v>
      </c>
      <c r="C2316" s="11">
        <v>0.03</v>
      </c>
      <c r="D2316" s="11">
        <v>71.0</v>
      </c>
      <c r="E2316" s="11">
        <v>65.0</v>
      </c>
      <c r="F2316" s="11">
        <v>0.306</v>
      </c>
      <c r="G2316" s="11">
        <v>0.637</v>
      </c>
      <c r="H2316" s="11">
        <v>0.057</v>
      </c>
      <c r="I2316" s="11">
        <v>466668.0</v>
      </c>
      <c r="J2316" s="11">
        <v>0.664</v>
      </c>
      <c r="K2316" s="12" t="s">
        <v>257</v>
      </c>
      <c r="L2316" s="5" t="s">
        <v>84</v>
      </c>
      <c r="M2316" s="9" t="s">
        <v>60</v>
      </c>
    </row>
    <row r="2317">
      <c r="A2317" s="11">
        <v>2316.0</v>
      </c>
      <c r="B2317" s="11">
        <v>0.022</v>
      </c>
      <c r="C2317" s="11">
        <v>0.029</v>
      </c>
      <c r="D2317" s="11">
        <v>72.0</v>
      </c>
      <c r="E2317" s="11">
        <v>65.0</v>
      </c>
      <c r="F2317" s="11">
        <v>0.304</v>
      </c>
      <c r="G2317" s="11">
        <v>0.638</v>
      </c>
      <c r="H2317" s="11">
        <v>0.058</v>
      </c>
      <c r="I2317" s="11">
        <v>473312.0</v>
      </c>
      <c r="J2317" s="11">
        <v>0.665</v>
      </c>
      <c r="K2317" s="12" t="s">
        <v>257</v>
      </c>
      <c r="L2317" s="5" t="s">
        <v>84</v>
      </c>
      <c r="M2317" s="9" t="s">
        <v>62</v>
      </c>
    </row>
    <row r="2318">
      <c r="A2318" s="11">
        <v>2317.0</v>
      </c>
      <c r="B2318" s="11">
        <v>0.022</v>
      </c>
      <c r="C2318" s="11">
        <v>0.029</v>
      </c>
      <c r="D2318" s="11">
        <v>72.0</v>
      </c>
      <c r="E2318" s="11">
        <v>65.0</v>
      </c>
      <c r="F2318" s="11">
        <v>0.303</v>
      </c>
      <c r="G2318" s="11">
        <v>0.639</v>
      </c>
      <c r="H2318" s="11">
        <v>0.059</v>
      </c>
      <c r="I2318" s="11">
        <v>480099.0</v>
      </c>
      <c r="J2318" s="11">
        <v>0.666</v>
      </c>
      <c r="K2318" s="12" t="s">
        <v>257</v>
      </c>
      <c r="L2318" s="5" t="s">
        <v>84</v>
      </c>
      <c r="M2318" s="9" t="s">
        <v>63</v>
      </c>
    </row>
    <row r="2319">
      <c r="A2319" s="11">
        <v>2318.0</v>
      </c>
      <c r="B2319" s="11">
        <v>0.021</v>
      </c>
      <c r="C2319" s="11">
        <v>0.028</v>
      </c>
      <c r="D2319" s="11">
        <v>72.0</v>
      </c>
      <c r="E2319" s="11">
        <v>65.0</v>
      </c>
      <c r="F2319" s="11">
        <v>0.301</v>
      </c>
      <c r="G2319" s="11">
        <v>0.639</v>
      </c>
      <c r="H2319" s="11">
        <v>0.059</v>
      </c>
      <c r="I2319" s="11">
        <v>486867.0</v>
      </c>
      <c r="J2319" s="11">
        <v>0.667</v>
      </c>
      <c r="K2319" s="12" t="s">
        <v>257</v>
      </c>
      <c r="L2319" s="5" t="s">
        <v>84</v>
      </c>
      <c r="M2319" s="9" t="s">
        <v>64</v>
      </c>
    </row>
    <row r="2320">
      <c r="A2320" s="11">
        <v>2319.0</v>
      </c>
      <c r="B2320" s="11">
        <v>0.021</v>
      </c>
      <c r="C2320" s="11">
        <v>0.027</v>
      </c>
      <c r="D2320" s="11">
        <v>72.0</v>
      </c>
      <c r="E2320" s="11">
        <v>65.0</v>
      </c>
      <c r="F2320" s="11">
        <v>0.3</v>
      </c>
      <c r="G2320" s="11">
        <v>0.64</v>
      </c>
      <c r="H2320" s="11">
        <v>0.06</v>
      </c>
      <c r="I2320" s="11">
        <v>493394.0</v>
      </c>
      <c r="J2320" s="11">
        <v>0.667</v>
      </c>
      <c r="K2320" s="12" t="s">
        <v>257</v>
      </c>
      <c r="L2320" s="5" t="s">
        <v>84</v>
      </c>
      <c r="M2320" s="9" t="s">
        <v>65</v>
      </c>
    </row>
    <row r="2321">
      <c r="A2321" s="11">
        <v>2320.0</v>
      </c>
      <c r="B2321" s="11">
        <v>0.02</v>
      </c>
      <c r="C2321" s="11">
        <v>0.026</v>
      </c>
      <c r="D2321" s="11">
        <v>72.0</v>
      </c>
      <c r="E2321" s="11">
        <v>66.0</v>
      </c>
      <c r="F2321" s="11">
        <v>0.299</v>
      </c>
      <c r="G2321" s="11">
        <v>0.64</v>
      </c>
      <c r="H2321" s="11">
        <v>0.061</v>
      </c>
      <c r="I2321" s="11">
        <v>499523.0</v>
      </c>
      <c r="J2321" s="11">
        <v>0.667</v>
      </c>
      <c r="K2321" s="12" t="s">
        <v>257</v>
      </c>
      <c r="L2321" s="5" t="s">
        <v>84</v>
      </c>
      <c r="M2321" s="9" t="s">
        <v>66</v>
      </c>
    </row>
    <row r="2322">
      <c r="A2322" s="11">
        <v>2321.0</v>
      </c>
      <c r="B2322" s="11">
        <v>0.02</v>
      </c>
      <c r="C2322" s="11">
        <v>0.025</v>
      </c>
      <c r="D2322" s="11">
        <v>73.0</v>
      </c>
      <c r="E2322" s="11">
        <v>66.0</v>
      </c>
      <c r="F2322" s="11">
        <v>0.297</v>
      </c>
      <c r="G2322" s="11">
        <v>0.641</v>
      </c>
      <c r="H2322" s="11">
        <v>0.062</v>
      </c>
      <c r="I2322" s="11">
        <v>505186.0</v>
      </c>
      <c r="J2322" s="11">
        <v>0.666</v>
      </c>
      <c r="K2322" s="12" t="s">
        <v>257</v>
      </c>
      <c r="L2322" s="5" t="s">
        <v>84</v>
      </c>
      <c r="M2322" s="9" t="s">
        <v>67</v>
      </c>
    </row>
    <row r="2323">
      <c r="A2323" s="11">
        <v>2322.0</v>
      </c>
      <c r="B2323" s="11">
        <v>0.019</v>
      </c>
      <c r="C2323" s="11">
        <v>0.024</v>
      </c>
      <c r="D2323" s="11">
        <v>73.0</v>
      </c>
      <c r="E2323" s="11">
        <v>66.0</v>
      </c>
      <c r="F2323" s="11">
        <v>0.295</v>
      </c>
      <c r="G2323" s="11">
        <v>0.643</v>
      </c>
      <c r="H2323" s="11">
        <v>0.062</v>
      </c>
      <c r="I2323" s="11">
        <v>510433.0</v>
      </c>
      <c r="J2323" s="11">
        <v>0.665</v>
      </c>
      <c r="K2323" s="12" t="s">
        <v>257</v>
      </c>
      <c r="L2323" s="5" t="s">
        <v>84</v>
      </c>
      <c r="M2323" s="9" t="s">
        <v>68</v>
      </c>
    </row>
    <row r="2324">
      <c r="A2324" s="11">
        <v>2323.0</v>
      </c>
      <c r="B2324" s="11">
        <v>0.019</v>
      </c>
      <c r="C2324" s="11">
        <v>0.024</v>
      </c>
      <c r="D2324" s="11">
        <v>73.0</v>
      </c>
      <c r="E2324" s="11">
        <v>67.0</v>
      </c>
      <c r="F2324" s="11">
        <v>0.293</v>
      </c>
      <c r="G2324" s="11">
        <v>0.644</v>
      </c>
      <c r="H2324" s="11">
        <v>0.063</v>
      </c>
      <c r="I2324" s="11">
        <v>515372.0</v>
      </c>
      <c r="J2324" s="11">
        <v>0.665</v>
      </c>
      <c r="K2324" s="12" t="s">
        <v>257</v>
      </c>
      <c r="L2324" s="5" t="s">
        <v>84</v>
      </c>
      <c r="M2324" s="9" t="s">
        <v>69</v>
      </c>
    </row>
    <row r="2325">
      <c r="A2325" s="11">
        <v>2324.0</v>
      </c>
      <c r="B2325" s="11">
        <v>0.019</v>
      </c>
      <c r="C2325" s="11">
        <v>0.023</v>
      </c>
      <c r="D2325" s="11">
        <v>73.0</v>
      </c>
      <c r="E2325" s="11">
        <v>67.0</v>
      </c>
      <c r="F2325" s="11">
        <v>0.29</v>
      </c>
      <c r="G2325" s="11">
        <v>0.647</v>
      </c>
      <c r="H2325" s="11">
        <v>0.064</v>
      </c>
      <c r="I2325" s="11">
        <v>520173.0</v>
      </c>
      <c r="J2325" s="11">
        <v>0.664</v>
      </c>
      <c r="K2325" s="12" t="s">
        <v>257</v>
      </c>
      <c r="L2325" s="5" t="s">
        <v>84</v>
      </c>
      <c r="M2325" s="9" t="s">
        <v>70</v>
      </c>
    </row>
    <row r="2326">
      <c r="A2326" s="11">
        <v>2325.0</v>
      </c>
      <c r="B2326" s="11">
        <v>0.018</v>
      </c>
      <c r="C2326" s="11">
        <v>0.022</v>
      </c>
      <c r="D2326" s="11">
        <v>74.0</v>
      </c>
      <c r="E2326" s="11">
        <v>67.0</v>
      </c>
      <c r="F2326" s="11">
        <v>0.286</v>
      </c>
      <c r="G2326" s="11">
        <v>0.649</v>
      </c>
      <c r="H2326" s="11">
        <v>0.064</v>
      </c>
      <c r="I2326" s="11">
        <v>524960.0</v>
      </c>
      <c r="J2326" s="11">
        <v>0.663</v>
      </c>
      <c r="K2326" s="12" t="s">
        <v>257</v>
      </c>
      <c r="L2326" s="5" t="s">
        <v>84</v>
      </c>
      <c r="M2326" s="9" t="s">
        <v>71</v>
      </c>
    </row>
    <row r="2327">
      <c r="A2327" s="11">
        <v>2326.0</v>
      </c>
      <c r="B2327" s="11">
        <v>0.018</v>
      </c>
      <c r="C2327" s="11">
        <v>0.022</v>
      </c>
      <c r="D2327" s="11">
        <v>74.0</v>
      </c>
      <c r="E2327" s="11">
        <v>67.0</v>
      </c>
      <c r="F2327" s="11">
        <v>0.283</v>
      </c>
      <c r="G2327" s="11">
        <v>0.652</v>
      </c>
      <c r="H2327" s="11">
        <v>0.065</v>
      </c>
      <c r="I2327" s="11">
        <v>529761.0</v>
      </c>
      <c r="J2327" s="11">
        <v>0.663</v>
      </c>
      <c r="K2327" s="12" t="s">
        <v>257</v>
      </c>
      <c r="L2327" s="5" t="s">
        <v>84</v>
      </c>
      <c r="M2327" s="9" t="s">
        <v>72</v>
      </c>
    </row>
    <row r="2328">
      <c r="A2328" s="11">
        <v>2327.0</v>
      </c>
      <c r="B2328" s="11">
        <v>0.018</v>
      </c>
      <c r="C2328" s="11">
        <v>0.021</v>
      </c>
      <c r="D2328" s="11">
        <v>74.0</v>
      </c>
      <c r="E2328" s="11">
        <v>68.0</v>
      </c>
      <c r="F2328" s="11">
        <v>0.278</v>
      </c>
      <c r="G2328" s="11">
        <v>0.656</v>
      </c>
      <c r="H2328" s="11">
        <v>0.066</v>
      </c>
      <c r="I2328" s="11">
        <v>534541.0</v>
      </c>
      <c r="J2328" s="11">
        <v>0.662</v>
      </c>
      <c r="K2328" s="12" t="s">
        <v>257</v>
      </c>
      <c r="L2328" s="5" t="s">
        <v>84</v>
      </c>
      <c r="M2328" s="9" t="s">
        <v>73</v>
      </c>
    </row>
    <row r="2329">
      <c r="A2329" s="11">
        <v>2328.0</v>
      </c>
      <c r="B2329" s="11">
        <v>0.033</v>
      </c>
      <c r="C2329" s="11">
        <v>0.08</v>
      </c>
      <c r="D2329" s="11">
        <v>49.0</v>
      </c>
      <c r="E2329" s="11">
        <v>48.0</v>
      </c>
      <c r="F2329" s="11">
        <v>0.446</v>
      </c>
      <c r="G2329" s="11">
        <v>0.524</v>
      </c>
      <c r="H2329" s="11">
        <v>0.029</v>
      </c>
      <c r="I2329" s="11">
        <v>1063715.0</v>
      </c>
      <c r="J2329" s="11">
        <v>0.227</v>
      </c>
      <c r="K2329" s="12" t="s">
        <v>258</v>
      </c>
      <c r="L2329" s="5" t="s">
        <v>77</v>
      </c>
      <c r="M2329" s="9" t="s">
        <v>60</v>
      </c>
    </row>
    <row r="2330">
      <c r="A2330" s="11">
        <v>2329.0</v>
      </c>
      <c r="B2330" s="11">
        <v>0.032</v>
      </c>
      <c r="C2330" s="11">
        <v>0.081</v>
      </c>
      <c r="D2330" s="11">
        <v>48.0</v>
      </c>
      <c r="E2330" s="11">
        <v>47.0</v>
      </c>
      <c r="F2330" s="11">
        <v>0.44</v>
      </c>
      <c r="G2330" s="11">
        <v>0.53</v>
      </c>
      <c r="H2330" s="11">
        <v>0.03</v>
      </c>
      <c r="I2330" s="11">
        <v>1074761.0</v>
      </c>
      <c r="J2330" s="11">
        <v>0.226</v>
      </c>
      <c r="K2330" s="12" t="s">
        <v>258</v>
      </c>
      <c r="L2330" s="5" t="s">
        <v>77</v>
      </c>
      <c r="M2330" s="9" t="s">
        <v>62</v>
      </c>
    </row>
    <row r="2331">
      <c r="A2331" s="11">
        <v>2330.0</v>
      </c>
      <c r="B2331" s="11">
        <v>0.032</v>
      </c>
      <c r="C2331" s="11">
        <v>0.082</v>
      </c>
      <c r="D2331" s="11">
        <v>47.0</v>
      </c>
      <c r="E2331" s="11">
        <v>46.0</v>
      </c>
      <c r="F2331" s="11">
        <v>0.435</v>
      </c>
      <c r="G2331" s="11">
        <v>0.535</v>
      </c>
      <c r="H2331" s="11">
        <v>0.03</v>
      </c>
      <c r="I2331" s="11">
        <v>1082183.0</v>
      </c>
      <c r="J2331" s="11">
        <v>0.224</v>
      </c>
      <c r="K2331" s="12" t="s">
        <v>258</v>
      </c>
      <c r="L2331" s="5" t="s">
        <v>77</v>
      </c>
      <c r="M2331" s="9" t="s">
        <v>63</v>
      </c>
    </row>
    <row r="2332">
      <c r="A2332" s="11">
        <v>2331.0</v>
      </c>
      <c r="B2332" s="11">
        <v>0.032</v>
      </c>
      <c r="C2332" s="11">
        <v>0.082</v>
      </c>
      <c r="D2332" s="11">
        <v>46.0</v>
      </c>
      <c r="E2332" s="11">
        <v>46.0</v>
      </c>
      <c r="F2332" s="11">
        <v>0.43</v>
      </c>
      <c r="G2332" s="11">
        <v>0.539</v>
      </c>
      <c r="H2332" s="11">
        <v>0.031</v>
      </c>
      <c r="I2332" s="11">
        <v>1087929.0</v>
      </c>
      <c r="J2332" s="11">
        <v>0.223</v>
      </c>
      <c r="K2332" s="12" t="s">
        <v>258</v>
      </c>
      <c r="L2332" s="5" t="s">
        <v>77</v>
      </c>
      <c r="M2332" s="9" t="s">
        <v>64</v>
      </c>
    </row>
    <row r="2333">
      <c r="A2333" s="11">
        <v>2332.0</v>
      </c>
      <c r="B2333" s="11">
        <v>0.032</v>
      </c>
      <c r="C2333" s="11">
        <v>0.082</v>
      </c>
      <c r="D2333" s="11">
        <v>46.0</v>
      </c>
      <c r="E2333" s="11">
        <v>46.0</v>
      </c>
      <c r="F2333" s="11">
        <v>0.424</v>
      </c>
      <c r="G2333" s="11">
        <v>0.545</v>
      </c>
      <c r="H2333" s="11">
        <v>0.031</v>
      </c>
      <c r="I2333" s="11">
        <v>1094758.0</v>
      </c>
      <c r="J2333" s="11">
        <v>0.222</v>
      </c>
      <c r="K2333" s="12" t="s">
        <v>258</v>
      </c>
      <c r="L2333" s="5" t="s">
        <v>77</v>
      </c>
      <c r="M2333" s="9" t="s">
        <v>65</v>
      </c>
    </row>
    <row r="2334">
      <c r="A2334" s="11">
        <v>2333.0</v>
      </c>
      <c r="B2334" s="11">
        <v>0.032</v>
      </c>
      <c r="C2334" s="11">
        <v>0.081</v>
      </c>
      <c r="D2334" s="11">
        <v>46.0</v>
      </c>
      <c r="E2334" s="11">
        <v>46.0</v>
      </c>
      <c r="F2334" s="11">
        <v>0.418</v>
      </c>
      <c r="G2334" s="11">
        <v>0.55</v>
      </c>
      <c r="H2334" s="11">
        <v>0.032</v>
      </c>
      <c r="I2334" s="11">
        <v>1104642.0</v>
      </c>
      <c r="J2334" s="11">
        <v>0.22</v>
      </c>
      <c r="K2334" s="12" t="s">
        <v>258</v>
      </c>
      <c r="L2334" s="5" t="s">
        <v>77</v>
      </c>
      <c r="M2334" s="9" t="s">
        <v>66</v>
      </c>
    </row>
    <row r="2335">
      <c r="A2335" s="11">
        <v>2334.0</v>
      </c>
      <c r="B2335" s="11">
        <v>0.031</v>
      </c>
      <c r="C2335" s="11">
        <v>0.076</v>
      </c>
      <c r="D2335" s="11">
        <v>46.0</v>
      </c>
      <c r="E2335" s="11">
        <v>46.0</v>
      </c>
      <c r="F2335" s="11">
        <v>0.412</v>
      </c>
      <c r="G2335" s="11">
        <v>0.556</v>
      </c>
      <c r="H2335" s="11">
        <v>0.032</v>
      </c>
      <c r="I2335" s="11">
        <v>1118253.0</v>
      </c>
      <c r="J2335" s="11">
        <v>0.219</v>
      </c>
      <c r="K2335" s="12" t="s">
        <v>258</v>
      </c>
      <c r="L2335" s="5" t="s">
        <v>77</v>
      </c>
      <c r="M2335" s="9" t="s">
        <v>67</v>
      </c>
    </row>
    <row r="2336">
      <c r="A2336" s="11">
        <v>2335.0</v>
      </c>
      <c r="B2336" s="11">
        <v>0.031</v>
      </c>
      <c r="C2336" s="11">
        <v>0.075</v>
      </c>
      <c r="D2336" s="11">
        <v>47.0</v>
      </c>
      <c r="E2336" s="11">
        <v>47.0</v>
      </c>
      <c r="F2336" s="11">
        <v>0.406</v>
      </c>
      <c r="G2336" s="11">
        <v>0.562</v>
      </c>
      <c r="H2336" s="11">
        <v>0.032</v>
      </c>
      <c r="I2336" s="11">
        <v>1134977.0</v>
      </c>
      <c r="J2336" s="11">
        <v>0.218</v>
      </c>
      <c r="K2336" s="12" t="s">
        <v>258</v>
      </c>
      <c r="L2336" s="5" t="s">
        <v>77</v>
      </c>
      <c r="M2336" s="9" t="s">
        <v>68</v>
      </c>
    </row>
    <row r="2337">
      <c r="A2337" s="11">
        <v>2336.0</v>
      </c>
      <c r="B2337" s="11">
        <v>0.031</v>
      </c>
      <c r="C2337" s="11">
        <v>0.074</v>
      </c>
      <c r="D2337" s="11">
        <v>47.0</v>
      </c>
      <c r="E2337" s="11">
        <v>48.0</v>
      </c>
      <c r="F2337" s="11">
        <v>0.399</v>
      </c>
      <c r="G2337" s="11">
        <v>0.568</v>
      </c>
      <c r="H2337" s="11">
        <v>0.033</v>
      </c>
      <c r="I2337" s="11">
        <v>1153929.0</v>
      </c>
      <c r="J2337" s="11">
        <v>0.217</v>
      </c>
      <c r="K2337" s="12" t="s">
        <v>258</v>
      </c>
      <c r="L2337" s="5" t="s">
        <v>77</v>
      </c>
      <c r="M2337" s="9" t="s">
        <v>69</v>
      </c>
    </row>
    <row r="2338">
      <c r="A2338" s="11">
        <v>2337.0</v>
      </c>
      <c r="B2338" s="11">
        <v>0.031</v>
      </c>
      <c r="C2338" s="11">
        <v>0.068</v>
      </c>
      <c r="D2338" s="11">
        <v>48.0</v>
      </c>
      <c r="E2338" s="11">
        <v>48.0</v>
      </c>
      <c r="F2338" s="11">
        <v>0.393</v>
      </c>
      <c r="G2338" s="11">
        <v>0.574</v>
      </c>
      <c r="H2338" s="11">
        <v>0.033</v>
      </c>
      <c r="I2338" s="11">
        <v>1173678.0</v>
      </c>
      <c r="J2338" s="11">
        <v>0.216</v>
      </c>
      <c r="K2338" s="12" t="s">
        <v>258</v>
      </c>
      <c r="L2338" s="5" t="s">
        <v>77</v>
      </c>
      <c r="M2338" s="9" t="s">
        <v>70</v>
      </c>
    </row>
    <row r="2339">
      <c r="A2339" s="11">
        <v>2338.0</v>
      </c>
      <c r="B2339" s="11">
        <v>0.031</v>
      </c>
      <c r="C2339" s="11">
        <v>0.063</v>
      </c>
      <c r="D2339" s="11">
        <v>48.0</v>
      </c>
      <c r="E2339" s="11">
        <v>49.0</v>
      </c>
      <c r="F2339" s="11">
        <v>0.388</v>
      </c>
      <c r="G2339" s="11">
        <v>0.578</v>
      </c>
      <c r="H2339" s="11">
        <v>0.033</v>
      </c>
      <c r="I2339" s="11">
        <v>1193148.0</v>
      </c>
      <c r="J2339" s="11">
        <v>0.215</v>
      </c>
      <c r="K2339" s="12" t="s">
        <v>258</v>
      </c>
      <c r="L2339" s="5" t="s">
        <v>77</v>
      </c>
      <c r="M2339" s="9" t="s">
        <v>71</v>
      </c>
    </row>
    <row r="2340">
      <c r="A2340" s="11">
        <v>2339.0</v>
      </c>
      <c r="B2340" s="11">
        <v>0.031</v>
      </c>
      <c r="C2340" s="11">
        <v>0.058</v>
      </c>
      <c r="D2340" s="11">
        <v>48.0</v>
      </c>
      <c r="E2340" s="11">
        <v>49.0</v>
      </c>
      <c r="F2340" s="11">
        <v>0.384</v>
      </c>
      <c r="G2340" s="11">
        <v>0.582</v>
      </c>
      <c r="H2340" s="11">
        <v>0.034</v>
      </c>
      <c r="I2340" s="11">
        <v>1212159.0</v>
      </c>
      <c r="J2340" s="11">
        <v>0.214</v>
      </c>
      <c r="K2340" s="12" t="s">
        <v>258</v>
      </c>
      <c r="L2340" s="5" t="s">
        <v>77</v>
      </c>
      <c r="M2340" s="9" t="s">
        <v>72</v>
      </c>
    </row>
    <row r="2341">
      <c r="A2341" s="11">
        <v>2340.0</v>
      </c>
      <c r="B2341" s="11">
        <v>0.03</v>
      </c>
      <c r="C2341" s="11">
        <v>0.057</v>
      </c>
      <c r="D2341" s="11">
        <v>48.0</v>
      </c>
      <c r="E2341" s="11">
        <v>49.0</v>
      </c>
      <c r="F2341" s="11">
        <v>0.38</v>
      </c>
      <c r="G2341" s="11">
        <v>0.585</v>
      </c>
      <c r="H2341" s="11">
        <v>0.034</v>
      </c>
      <c r="I2341" s="11">
        <v>1230985.0</v>
      </c>
      <c r="J2341" s="11">
        <v>0.214</v>
      </c>
      <c r="K2341" s="12" t="s">
        <v>258</v>
      </c>
      <c r="L2341" s="5" t="s">
        <v>77</v>
      </c>
      <c r="M2341" s="9" t="s">
        <v>73</v>
      </c>
    </row>
    <row r="2342">
      <c r="A2342" s="11">
        <v>2341.0</v>
      </c>
      <c r="B2342" s="11">
        <v>0.01</v>
      </c>
      <c r="C2342" s="11">
        <v>0.003</v>
      </c>
      <c r="D2342" s="11">
        <v>82.0</v>
      </c>
      <c r="E2342" s="11">
        <v>77.0</v>
      </c>
      <c r="F2342" s="11">
        <v>0.184</v>
      </c>
      <c r="G2342" s="11">
        <v>0.643</v>
      </c>
      <c r="H2342" s="11">
        <v>0.173</v>
      </c>
      <c r="I2342" s="11">
        <v>8872109.0</v>
      </c>
      <c r="J2342" s="11">
        <v>0.84</v>
      </c>
      <c r="K2342" s="12" t="s">
        <v>259</v>
      </c>
      <c r="L2342" s="5" t="s">
        <v>75</v>
      </c>
      <c r="M2342" s="9" t="s">
        <v>60</v>
      </c>
    </row>
    <row r="2343">
      <c r="A2343" s="11">
        <v>2342.0</v>
      </c>
      <c r="B2343" s="11">
        <v>0.01</v>
      </c>
      <c r="C2343" s="11">
        <v>0.003</v>
      </c>
      <c r="D2343" s="11">
        <v>82.0</v>
      </c>
      <c r="E2343" s="11">
        <v>78.0</v>
      </c>
      <c r="F2343" s="11">
        <v>0.183</v>
      </c>
      <c r="G2343" s="11">
        <v>0.645</v>
      </c>
      <c r="H2343" s="11">
        <v>0.172</v>
      </c>
      <c r="I2343" s="11">
        <v>8895960.0</v>
      </c>
      <c r="J2343" s="11">
        <v>0.841</v>
      </c>
      <c r="K2343" s="12" t="s">
        <v>259</v>
      </c>
      <c r="L2343" s="5" t="s">
        <v>75</v>
      </c>
      <c r="M2343" s="9" t="s">
        <v>62</v>
      </c>
    </row>
    <row r="2344">
      <c r="A2344" s="11">
        <v>2343.0</v>
      </c>
      <c r="B2344" s="11">
        <v>0.011</v>
      </c>
      <c r="C2344" s="11">
        <v>0.003</v>
      </c>
      <c r="D2344" s="11">
        <v>82.0</v>
      </c>
      <c r="E2344" s="11">
        <v>78.0</v>
      </c>
      <c r="F2344" s="11">
        <v>0.181</v>
      </c>
      <c r="G2344" s="11">
        <v>0.647</v>
      </c>
      <c r="H2344" s="11">
        <v>0.172</v>
      </c>
      <c r="I2344" s="11">
        <v>8924958.0</v>
      </c>
      <c r="J2344" s="11">
        <v>0.841</v>
      </c>
      <c r="K2344" s="12" t="s">
        <v>259</v>
      </c>
      <c r="L2344" s="5" t="s">
        <v>75</v>
      </c>
      <c r="M2344" s="9" t="s">
        <v>63</v>
      </c>
    </row>
    <row r="2345">
      <c r="A2345" s="11">
        <v>2344.0</v>
      </c>
      <c r="B2345" s="11">
        <v>0.011</v>
      </c>
      <c r="C2345" s="11">
        <v>0.003</v>
      </c>
      <c r="D2345" s="11">
        <v>82.0</v>
      </c>
      <c r="E2345" s="11">
        <v>78.0</v>
      </c>
      <c r="F2345" s="11">
        <v>0.179</v>
      </c>
      <c r="G2345" s="11">
        <v>0.649</v>
      </c>
      <c r="H2345" s="11">
        <v>0.172</v>
      </c>
      <c r="I2345" s="11">
        <v>8958229.0</v>
      </c>
      <c r="J2345" s="11">
        <v>0.842</v>
      </c>
      <c r="K2345" s="12" t="s">
        <v>259</v>
      </c>
      <c r="L2345" s="5" t="s">
        <v>75</v>
      </c>
      <c r="M2345" s="9" t="s">
        <v>64</v>
      </c>
    </row>
    <row r="2346">
      <c r="A2346" s="11">
        <v>2345.0</v>
      </c>
      <c r="B2346" s="11">
        <v>0.011</v>
      </c>
      <c r="C2346" s="11">
        <v>0.003</v>
      </c>
      <c r="D2346" s="11">
        <v>83.0</v>
      </c>
      <c r="E2346" s="11">
        <v>78.0</v>
      </c>
      <c r="F2346" s="11">
        <v>0.176</v>
      </c>
      <c r="G2346" s="11">
        <v>0.651</v>
      </c>
      <c r="H2346" s="11">
        <v>0.172</v>
      </c>
      <c r="I2346" s="11">
        <v>8993531.0</v>
      </c>
      <c r="J2346" s="11">
        <v>0.843</v>
      </c>
      <c r="K2346" s="12" t="s">
        <v>259</v>
      </c>
      <c r="L2346" s="5" t="s">
        <v>75</v>
      </c>
      <c r="M2346" s="9" t="s">
        <v>65</v>
      </c>
    </row>
    <row r="2347">
      <c r="A2347" s="11">
        <v>2346.0</v>
      </c>
      <c r="B2347" s="11">
        <v>0.011</v>
      </c>
      <c r="C2347" s="11">
        <v>0.003</v>
      </c>
      <c r="D2347" s="11">
        <v>83.0</v>
      </c>
      <c r="E2347" s="11">
        <v>78.0</v>
      </c>
      <c r="F2347" s="11">
        <v>0.174</v>
      </c>
      <c r="G2347" s="11">
        <v>0.653</v>
      </c>
      <c r="H2347" s="11">
        <v>0.173</v>
      </c>
      <c r="I2347" s="11">
        <v>9029572.0</v>
      </c>
      <c r="J2347" s="11">
        <v>0.843</v>
      </c>
      <c r="K2347" s="12" t="s">
        <v>259</v>
      </c>
      <c r="L2347" s="5" t="s">
        <v>75</v>
      </c>
      <c r="M2347" s="9" t="s">
        <v>66</v>
      </c>
    </row>
    <row r="2348">
      <c r="A2348" s="11">
        <v>2347.0</v>
      </c>
      <c r="B2348" s="11">
        <v>0.012</v>
      </c>
      <c r="C2348" s="11">
        <v>0.003</v>
      </c>
      <c r="D2348" s="11">
        <v>83.0</v>
      </c>
      <c r="E2348" s="11">
        <v>79.0</v>
      </c>
      <c r="F2348" s="11">
        <v>0.172</v>
      </c>
      <c r="G2348" s="11">
        <v>0.655</v>
      </c>
      <c r="H2348" s="11">
        <v>0.174</v>
      </c>
      <c r="I2348" s="11">
        <v>9080505.0</v>
      </c>
      <c r="J2348" s="11">
        <v>0.844</v>
      </c>
      <c r="K2348" s="12" t="s">
        <v>259</v>
      </c>
      <c r="L2348" s="5" t="s">
        <v>75</v>
      </c>
      <c r="M2348" s="9" t="s">
        <v>67</v>
      </c>
    </row>
    <row r="2349">
      <c r="A2349" s="11">
        <v>2348.0</v>
      </c>
      <c r="B2349" s="11">
        <v>0.012</v>
      </c>
      <c r="C2349" s="11">
        <v>0.003</v>
      </c>
      <c r="D2349" s="11">
        <v>83.0</v>
      </c>
      <c r="E2349" s="11">
        <v>79.0</v>
      </c>
      <c r="F2349" s="11">
        <v>0.169</v>
      </c>
      <c r="G2349" s="11">
        <v>0.656</v>
      </c>
      <c r="H2349" s="11">
        <v>0.175</v>
      </c>
      <c r="I2349" s="11">
        <v>9148092.0</v>
      </c>
      <c r="J2349" s="11">
        <v>0.846</v>
      </c>
      <c r="K2349" s="12" t="s">
        <v>259</v>
      </c>
      <c r="L2349" s="5" t="s">
        <v>75</v>
      </c>
      <c r="M2349" s="9" t="s">
        <v>68</v>
      </c>
    </row>
    <row r="2350">
      <c r="A2350" s="11">
        <v>2349.0</v>
      </c>
      <c r="B2350" s="11">
        <v>0.012</v>
      </c>
      <c r="C2350" s="11">
        <v>0.003</v>
      </c>
      <c r="D2350" s="11">
        <v>83.0</v>
      </c>
      <c r="E2350" s="11">
        <v>79.0</v>
      </c>
      <c r="F2350" s="11">
        <v>0.167</v>
      </c>
      <c r="G2350" s="11">
        <v>0.656</v>
      </c>
      <c r="H2350" s="11">
        <v>0.177</v>
      </c>
      <c r="I2350" s="11">
        <v>9219637.0</v>
      </c>
      <c r="J2350" s="11">
        <v>0.847</v>
      </c>
      <c r="K2350" s="12" t="s">
        <v>259</v>
      </c>
      <c r="L2350" s="5" t="s">
        <v>75</v>
      </c>
      <c r="M2350" s="9" t="s">
        <v>69</v>
      </c>
    </row>
    <row r="2351">
      <c r="A2351" s="11">
        <v>2350.0</v>
      </c>
      <c r="B2351" s="11">
        <v>0.012</v>
      </c>
      <c r="C2351" s="11">
        <v>0.003</v>
      </c>
      <c r="D2351" s="11">
        <v>83.0</v>
      </c>
      <c r="E2351" s="11">
        <v>79.0</v>
      </c>
      <c r="F2351" s="11">
        <v>0.166</v>
      </c>
      <c r="G2351" s="11">
        <v>0.655</v>
      </c>
      <c r="H2351" s="11">
        <v>0.179</v>
      </c>
      <c r="I2351" s="11">
        <v>9298515.0</v>
      </c>
      <c r="J2351" s="11">
        <v>0.849</v>
      </c>
      <c r="K2351" s="12" t="s">
        <v>259</v>
      </c>
      <c r="L2351" s="5" t="s">
        <v>75</v>
      </c>
      <c r="M2351" s="9" t="s">
        <v>70</v>
      </c>
    </row>
    <row r="2352">
      <c r="A2352" s="11">
        <v>2351.0</v>
      </c>
      <c r="B2352" s="11">
        <v>0.012</v>
      </c>
      <c r="C2352" s="11">
        <v>0.003</v>
      </c>
      <c r="D2352" s="11">
        <v>84.0</v>
      </c>
      <c r="E2352" s="11">
        <v>80.0</v>
      </c>
      <c r="F2352" s="11">
        <v>0.165</v>
      </c>
      <c r="G2352" s="11">
        <v>0.653</v>
      </c>
      <c r="H2352" s="11">
        <v>0.182</v>
      </c>
      <c r="I2352" s="11">
        <v>9378126.0</v>
      </c>
      <c r="J2352" s="11">
        <v>0.851</v>
      </c>
      <c r="K2352" s="12" t="s">
        <v>259</v>
      </c>
      <c r="L2352" s="5" t="s">
        <v>75</v>
      </c>
      <c r="M2352" s="9" t="s">
        <v>71</v>
      </c>
    </row>
    <row r="2353">
      <c r="A2353" s="11">
        <v>2352.0</v>
      </c>
      <c r="B2353" s="11">
        <v>0.012</v>
      </c>
      <c r="C2353" s="11">
        <v>0.002</v>
      </c>
      <c r="D2353" s="11">
        <v>84.0</v>
      </c>
      <c r="E2353" s="11">
        <v>80.0</v>
      </c>
      <c r="F2353" s="11">
        <v>0.166</v>
      </c>
      <c r="G2353" s="11">
        <v>0.649</v>
      </c>
      <c r="H2353" s="11">
        <v>0.185</v>
      </c>
      <c r="I2353" s="11">
        <v>9449213.0</v>
      </c>
      <c r="J2353" s="11">
        <v>0.852</v>
      </c>
      <c r="K2353" s="12" t="s">
        <v>259</v>
      </c>
      <c r="L2353" s="5" t="s">
        <v>75</v>
      </c>
      <c r="M2353" s="9" t="s">
        <v>72</v>
      </c>
    </row>
    <row r="2354">
      <c r="A2354" s="11">
        <v>2353.0</v>
      </c>
      <c r="B2354" s="11">
        <v>0.012</v>
      </c>
      <c r="C2354" s="11">
        <v>0.002</v>
      </c>
      <c r="D2354" s="11">
        <v>84.0</v>
      </c>
      <c r="E2354" s="11">
        <v>80.0</v>
      </c>
      <c r="F2354" s="11">
        <v>0.167</v>
      </c>
      <c r="G2354" s="11">
        <v>0.644</v>
      </c>
      <c r="H2354" s="11">
        <v>0.189</v>
      </c>
      <c r="I2354" s="11">
        <v>9519374.0</v>
      </c>
      <c r="J2354" s="11">
        <v>0.854</v>
      </c>
      <c r="K2354" s="12" t="s">
        <v>259</v>
      </c>
      <c r="L2354" s="5" t="s">
        <v>75</v>
      </c>
      <c r="M2354" s="9" t="s">
        <v>73</v>
      </c>
    </row>
    <row r="2355">
      <c r="A2355" s="11">
        <v>2354.0</v>
      </c>
      <c r="B2355" s="11">
        <v>0.011</v>
      </c>
      <c r="C2355" s="11">
        <v>0.005</v>
      </c>
      <c r="D2355" s="11">
        <v>83.0</v>
      </c>
      <c r="E2355" s="11">
        <v>77.0</v>
      </c>
      <c r="F2355" s="11">
        <v>0.174</v>
      </c>
      <c r="G2355" s="11">
        <v>0.673</v>
      </c>
      <c r="H2355" s="11">
        <v>0.153</v>
      </c>
      <c r="I2355" s="11">
        <v>7184250.0</v>
      </c>
      <c r="J2355" s="11">
        <v>0.733</v>
      </c>
      <c r="K2355" s="12" t="s">
        <v>260</v>
      </c>
      <c r="L2355" s="5" t="s">
        <v>75</v>
      </c>
      <c r="M2355" s="9" t="s">
        <v>60</v>
      </c>
    </row>
    <row r="2356">
      <c r="A2356" s="11">
        <v>2355.0</v>
      </c>
      <c r="B2356" s="11">
        <v>0.01</v>
      </c>
      <c r="C2356" s="11">
        <v>0.005</v>
      </c>
      <c r="D2356" s="11">
        <v>83.0</v>
      </c>
      <c r="E2356" s="11">
        <v>77.0</v>
      </c>
      <c r="F2356" s="11">
        <v>0.173</v>
      </c>
      <c r="G2356" s="11">
        <v>0.673</v>
      </c>
      <c r="H2356" s="11">
        <v>0.154</v>
      </c>
      <c r="I2356" s="11">
        <v>7229854.0</v>
      </c>
      <c r="J2356" s="11">
        <v>0.733</v>
      </c>
      <c r="K2356" s="12" t="s">
        <v>260</v>
      </c>
      <c r="L2356" s="5" t="s">
        <v>75</v>
      </c>
      <c r="M2356" s="9" t="s">
        <v>62</v>
      </c>
    </row>
    <row r="2357">
      <c r="A2357" s="11">
        <v>2356.0</v>
      </c>
      <c r="B2357" s="11">
        <v>0.01</v>
      </c>
      <c r="C2357" s="11">
        <v>0.005</v>
      </c>
      <c r="D2357" s="11">
        <v>83.0</v>
      </c>
      <c r="E2357" s="11">
        <v>78.0</v>
      </c>
      <c r="F2357" s="11">
        <v>0.171</v>
      </c>
      <c r="G2357" s="11">
        <v>0.675</v>
      </c>
      <c r="H2357" s="11">
        <v>0.155</v>
      </c>
      <c r="I2357" s="11">
        <v>7284753.0</v>
      </c>
      <c r="J2357" s="11">
        <v>0.734</v>
      </c>
      <c r="K2357" s="12" t="s">
        <v>260</v>
      </c>
      <c r="L2357" s="5" t="s">
        <v>75</v>
      </c>
      <c r="M2357" s="9" t="s">
        <v>63</v>
      </c>
    </row>
    <row r="2358">
      <c r="A2358" s="11">
        <v>2357.0</v>
      </c>
      <c r="B2358" s="11">
        <v>0.01</v>
      </c>
      <c r="C2358" s="11">
        <v>0.004</v>
      </c>
      <c r="D2358" s="11">
        <v>83.0</v>
      </c>
      <c r="E2358" s="11">
        <v>78.0</v>
      </c>
      <c r="F2358" s="11">
        <v>0.168</v>
      </c>
      <c r="G2358" s="11">
        <v>0.676</v>
      </c>
      <c r="H2358" s="11">
        <v>0.156</v>
      </c>
      <c r="I2358" s="11">
        <v>7339001.0</v>
      </c>
      <c r="J2358" s="11">
        <v>0.734</v>
      </c>
      <c r="K2358" s="12" t="s">
        <v>260</v>
      </c>
      <c r="L2358" s="5" t="s">
        <v>75</v>
      </c>
      <c r="M2358" s="9" t="s">
        <v>64</v>
      </c>
    </row>
    <row r="2359">
      <c r="A2359" s="11">
        <v>2358.0</v>
      </c>
      <c r="B2359" s="11">
        <v>0.01</v>
      </c>
      <c r="C2359" s="11">
        <v>0.004</v>
      </c>
      <c r="D2359" s="11">
        <v>84.0</v>
      </c>
      <c r="E2359" s="11">
        <v>79.0</v>
      </c>
      <c r="F2359" s="11">
        <v>0.166</v>
      </c>
      <c r="G2359" s="11">
        <v>0.678</v>
      </c>
      <c r="H2359" s="11">
        <v>0.157</v>
      </c>
      <c r="I2359" s="11">
        <v>7389625.0</v>
      </c>
      <c r="J2359" s="11">
        <v>0.734</v>
      </c>
      <c r="K2359" s="12" t="s">
        <v>260</v>
      </c>
      <c r="L2359" s="5" t="s">
        <v>75</v>
      </c>
      <c r="M2359" s="9" t="s">
        <v>65</v>
      </c>
    </row>
    <row r="2360">
      <c r="A2360" s="11">
        <v>2359.0</v>
      </c>
      <c r="B2360" s="11">
        <v>0.01</v>
      </c>
      <c r="C2360" s="11">
        <v>0.004</v>
      </c>
      <c r="D2360" s="11">
        <v>84.0</v>
      </c>
      <c r="E2360" s="11">
        <v>79.0</v>
      </c>
      <c r="F2360" s="11">
        <v>0.163</v>
      </c>
      <c r="G2360" s="11">
        <v>0.679</v>
      </c>
      <c r="H2360" s="11">
        <v>0.158</v>
      </c>
      <c r="I2360" s="11">
        <v>7437115.0</v>
      </c>
      <c r="J2360" s="11">
        <v>0.735</v>
      </c>
      <c r="K2360" s="12" t="s">
        <v>260</v>
      </c>
      <c r="L2360" s="5" t="s">
        <v>75</v>
      </c>
      <c r="M2360" s="9" t="s">
        <v>66</v>
      </c>
    </row>
    <row r="2361">
      <c r="A2361" s="11">
        <v>2360.0</v>
      </c>
      <c r="B2361" s="11">
        <v>0.01</v>
      </c>
      <c r="C2361" s="11">
        <v>0.004</v>
      </c>
      <c r="D2361" s="11">
        <v>84.0</v>
      </c>
      <c r="E2361" s="11">
        <v>79.0</v>
      </c>
      <c r="F2361" s="11">
        <v>0.16</v>
      </c>
      <c r="G2361" s="11">
        <v>0.68</v>
      </c>
      <c r="H2361" s="11">
        <v>0.16</v>
      </c>
      <c r="I2361" s="11">
        <v>7483934.0</v>
      </c>
      <c r="J2361" s="11">
        <v>0.735</v>
      </c>
      <c r="K2361" s="12" t="s">
        <v>260</v>
      </c>
      <c r="L2361" s="5" t="s">
        <v>75</v>
      </c>
      <c r="M2361" s="9" t="s">
        <v>67</v>
      </c>
    </row>
    <row r="2362">
      <c r="A2362" s="11">
        <v>2361.0</v>
      </c>
      <c r="B2362" s="11">
        <v>0.01</v>
      </c>
      <c r="C2362" s="11">
        <v>0.004</v>
      </c>
      <c r="D2362" s="11">
        <v>84.0</v>
      </c>
      <c r="E2362" s="11">
        <v>79.0</v>
      </c>
      <c r="F2362" s="11">
        <v>0.157</v>
      </c>
      <c r="G2362" s="11">
        <v>0.681</v>
      </c>
      <c r="H2362" s="11">
        <v>0.162</v>
      </c>
      <c r="I2362" s="11">
        <v>7551117.0</v>
      </c>
      <c r="J2362" s="11">
        <v>0.736</v>
      </c>
      <c r="K2362" s="12" t="s">
        <v>260</v>
      </c>
      <c r="L2362" s="5" t="s">
        <v>75</v>
      </c>
      <c r="M2362" s="9" t="s">
        <v>68</v>
      </c>
    </row>
    <row r="2363">
      <c r="A2363" s="11">
        <v>2362.0</v>
      </c>
      <c r="B2363" s="11">
        <v>0.01</v>
      </c>
      <c r="C2363" s="11">
        <v>0.004</v>
      </c>
      <c r="D2363" s="11">
        <v>84.0</v>
      </c>
      <c r="E2363" s="11">
        <v>80.0</v>
      </c>
      <c r="F2363" s="11">
        <v>0.155</v>
      </c>
      <c r="G2363" s="11">
        <v>0.681</v>
      </c>
      <c r="H2363" s="11">
        <v>0.164</v>
      </c>
      <c r="I2363" s="11">
        <v>7647675.0</v>
      </c>
      <c r="J2363" s="11">
        <v>0.736</v>
      </c>
      <c r="K2363" s="12" t="s">
        <v>260</v>
      </c>
      <c r="L2363" s="5" t="s">
        <v>75</v>
      </c>
      <c r="M2363" s="9" t="s">
        <v>69</v>
      </c>
    </row>
    <row r="2364">
      <c r="A2364" s="11">
        <v>2363.0</v>
      </c>
      <c r="B2364" s="11">
        <v>0.01</v>
      </c>
      <c r="C2364" s="11">
        <v>0.004</v>
      </c>
      <c r="D2364" s="11">
        <v>84.0</v>
      </c>
      <c r="E2364" s="11">
        <v>80.0</v>
      </c>
      <c r="F2364" s="11">
        <v>0.152</v>
      </c>
      <c r="G2364" s="11">
        <v>0.681</v>
      </c>
      <c r="H2364" s="11">
        <v>0.167</v>
      </c>
      <c r="I2364" s="11">
        <v>7743831.0</v>
      </c>
      <c r="J2364" s="11">
        <v>0.736</v>
      </c>
      <c r="K2364" s="12" t="s">
        <v>260</v>
      </c>
      <c r="L2364" s="5" t="s">
        <v>75</v>
      </c>
      <c r="M2364" s="9" t="s">
        <v>70</v>
      </c>
    </row>
    <row r="2365">
      <c r="A2365" s="11">
        <v>2364.0</v>
      </c>
      <c r="B2365" s="11">
        <v>0.01</v>
      </c>
      <c r="C2365" s="11">
        <v>0.004</v>
      </c>
      <c r="D2365" s="11">
        <v>85.0</v>
      </c>
      <c r="E2365" s="11">
        <v>80.0</v>
      </c>
      <c r="F2365" s="11">
        <v>0.151</v>
      </c>
      <c r="G2365" s="11">
        <v>0.68</v>
      </c>
      <c r="H2365" s="11">
        <v>0.169</v>
      </c>
      <c r="I2365" s="11">
        <v>7824909.0</v>
      </c>
      <c r="J2365" s="11">
        <v>0.737</v>
      </c>
      <c r="K2365" s="12" t="s">
        <v>260</v>
      </c>
      <c r="L2365" s="5" t="s">
        <v>75</v>
      </c>
      <c r="M2365" s="9" t="s">
        <v>71</v>
      </c>
    </row>
    <row r="2366">
      <c r="A2366" s="11">
        <v>2365.0</v>
      </c>
      <c r="B2366" s="11">
        <v>0.01</v>
      </c>
      <c r="C2366" s="11">
        <v>0.004</v>
      </c>
      <c r="D2366" s="11">
        <v>85.0</v>
      </c>
      <c r="E2366" s="11">
        <v>81.0</v>
      </c>
      <c r="F2366" s="11">
        <v>0.149</v>
      </c>
      <c r="G2366" s="11">
        <v>0.679</v>
      </c>
      <c r="H2366" s="11">
        <v>0.172</v>
      </c>
      <c r="I2366" s="11">
        <v>7912398.0</v>
      </c>
      <c r="J2366" s="11">
        <v>0.737</v>
      </c>
      <c r="K2366" s="12" t="s">
        <v>260</v>
      </c>
      <c r="L2366" s="5" t="s">
        <v>75</v>
      </c>
      <c r="M2366" s="9" t="s">
        <v>72</v>
      </c>
    </row>
    <row r="2367">
      <c r="A2367" s="11">
        <v>2366.0</v>
      </c>
      <c r="B2367" s="11">
        <v>0.01</v>
      </c>
      <c r="C2367" s="11">
        <v>0.004</v>
      </c>
      <c r="D2367" s="11">
        <v>85.0</v>
      </c>
      <c r="E2367" s="11">
        <v>81.0</v>
      </c>
      <c r="F2367" s="11">
        <v>0.148</v>
      </c>
      <c r="G2367" s="11">
        <v>0.678</v>
      </c>
      <c r="H2367" s="11">
        <v>0.174</v>
      </c>
      <c r="I2367" s="11">
        <v>7996861.0</v>
      </c>
      <c r="J2367" s="11">
        <v>0.737</v>
      </c>
      <c r="K2367" s="12" t="s">
        <v>260</v>
      </c>
      <c r="L2367" s="5" t="s">
        <v>75</v>
      </c>
      <c r="M2367" s="9" t="s">
        <v>73</v>
      </c>
    </row>
    <row r="2368">
      <c r="A2368" s="11">
        <v>2367.0</v>
      </c>
      <c r="B2368" s="11">
        <v>0.03</v>
      </c>
      <c r="C2368" s="11">
        <v>0.02</v>
      </c>
      <c r="D2368" s="11">
        <v>75.0</v>
      </c>
      <c r="E2368" s="11">
        <v>72.0</v>
      </c>
      <c r="F2368" s="11">
        <v>0.408</v>
      </c>
      <c r="G2368" s="11">
        <v>0.558</v>
      </c>
      <c r="H2368" s="11">
        <v>0.034</v>
      </c>
      <c r="I2368" s="11">
        <v>1.6371208E7</v>
      </c>
      <c r="J2368" s="11">
        <v>0.519</v>
      </c>
      <c r="K2368" s="12" t="s">
        <v>261</v>
      </c>
      <c r="L2368" s="5" t="s">
        <v>93</v>
      </c>
      <c r="M2368" s="9" t="s">
        <v>60</v>
      </c>
    </row>
    <row r="2369">
      <c r="A2369" s="11">
        <v>2368.0</v>
      </c>
      <c r="B2369" s="11">
        <v>0.03</v>
      </c>
      <c r="C2369" s="11">
        <v>0.019</v>
      </c>
      <c r="D2369" s="11">
        <v>75.0</v>
      </c>
      <c r="E2369" s="11">
        <v>72.0</v>
      </c>
      <c r="F2369" s="11">
        <v>0.404</v>
      </c>
      <c r="G2369" s="11">
        <v>0.563</v>
      </c>
      <c r="H2369" s="11">
        <v>0.034</v>
      </c>
      <c r="I2369" s="11">
        <v>1.6700984E7</v>
      </c>
      <c r="J2369" s="11">
        <v>0.523</v>
      </c>
      <c r="K2369" s="12" t="s">
        <v>261</v>
      </c>
      <c r="L2369" s="5" t="s">
        <v>93</v>
      </c>
      <c r="M2369" s="9" t="s">
        <v>62</v>
      </c>
    </row>
    <row r="2370">
      <c r="A2370" s="11">
        <v>2369.0</v>
      </c>
      <c r="B2370" s="11">
        <v>0.029</v>
      </c>
      <c r="C2370" s="11">
        <v>0.018</v>
      </c>
      <c r="D2370" s="11">
        <v>76.0</v>
      </c>
      <c r="E2370" s="11">
        <v>72.0</v>
      </c>
      <c r="F2370" s="11">
        <v>0.4</v>
      </c>
      <c r="G2370" s="11">
        <v>0.567</v>
      </c>
      <c r="H2370" s="11">
        <v>0.034</v>
      </c>
      <c r="I2370" s="11">
        <v>1.6994676E7</v>
      </c>
      <c r="J2370" s="11">
        <v>0.527</v>
      </c>
      <c r="K2370" s="12" t="s">
        <v>261</v>
      </c>
      <c r="L2370" s="5" t="s">
        <v>93</v>
      </c>
      <c r="M2370" s="9" t="s">
        <v>63</v>
      </c>
    </row>
    <row r="2371">
      <c r="A2371" s="11">
        <v>2370.0</v>
      </c>
      <c r="B2371" s="11">
        <v>0.028</v>
      </c>
      <c r="C2371" s="11">
        <v>0.018</v>
      </c>
      <c r="D2371" s="11">
        <v>76.0</v>
      </c>
      <c r="E2371" s="11">
        <v>72.0</v>
      </c>
      <c r="F2371" s="11">
        <v>0.396</v>
      </c>
      <c r="G2371" s="11">
        <v>0.57</v>
      </c>
      <c r="H2371" s="11">
        <v>0.034</v>
      </c>
      <c r="I2371" s="11">
        <v>1.7298476E7</v>
      </c>
      <c r="J2371" s="11">
        <v>0.53</v>
      </c>
      <c r="K2371" s="12" t="s">
        <v>261</v>
      </c>
      <c r="L2371" s="5" t="s">
        <v>93</v>
      </c>
      <c r="M2371" s="9" t="s">
        <v>64</v>
      </c>
    </row>
    <row r="2372">
      <c r="A2372" s="11">
        <v>2371.0</v>
      </c>
      <c r="B2372" s="11">
        <v>0.028</v>
      </c>
      <c r="C2372" s="11">
        <v>0.017</v>
      </c>
      <c r="D2372" s="11">
        <v>76.0</v>
      </c>
      <c r="E2372" s="11">
        <v>73.0</v>
      </c>
      <c r="F2372" s="11">
        <v>0.392</v>
      </c>
      <c r="G2372" s="11">
        <v>0.575</v>
      </c>
      <c r="H2372" s="11">
        <v>0.034</v>
      </c>
      <c r="I2372" s="11">
        <v>1.7676012E7</v>
      </c>
      <c r="J2372" s="11">
        <v>0.534</v>
      </c>
      <c r="K2372" s="12" t="s">
        <v>261</v>
      </c>
      <c r="L2372" s="5" t="s">
        <v>93</v>
      </c>
      <c r="M2372" s="9" t="s">
        <v>65</v>
      </c>
    </row>
    <row r="2373">
      <c r="A2373" s="11">
        <v>2372.0</v>
      </c>
      <c r="B2373" s="11">
        <v>0.027</v>
      </c>
      <c r="C2373" s="11">
        <v>0.016</v>
      </c>
      <c r="D2373" s="11">
        <v>77.0</v>
      </c>
      <c r="E2373" s="11">
        <v>73.0</v>
      </c>
      <c r="F2373" s="11">
        <v>0.386</v>
      </c>
      <c r="G2373" s="11">
        <v>0.58</v>
      </c>
      <c r="H2373" s="11">
        <v>0.034</v>
      </c>
      <c r="I2373" s="11">
        <v>1.8167367E7</v>
      </c>
      <c r="J2373" s="11">
        <v>0.538</v>
      </c>
      <c r="K2373" s="12" t="s">
        <v>261</v>
      </c>
      <c r="L2373" s="5" t="s">
        <v>93</v>
      </c>
      <c r="M2373" s="9" t="s">
        <v>66</v>
      </c>
    </row>
    <row r="2374">
      <c r="A2374" s="11">
        <v>2373.0</v>
      </c>
      <c r="B2374" s="11">
        <v>0.027</v>
      </c>
      <c r="C2374" s="11">
        <v>0.015</v>
      </c>
      <c r="D2374" s="11">
        <v>77.0</v>
      </c>
      <c r="E2374" s="11">
        <v>73.0</v>
      </c>
      <c r="F2374" s="11">
        <v>0.38</v>
      </c>
      <c r="G2374" s="11">
        <v>0.585</v>
      </c>
      <c r="H2374" s="11">
        <v>0.034</v>
      </c>
      <c r="I2374" s="11">
        <v>1.8804914E7</v>
      </c>
      <c r="J2374" s="11">
        <v>0.542</v>
      </c>
      <c r="K2374" s="12" t="s">
        <v>261</v>
      </c>
      <c r="L2374" s="5" t="s">
        <v>93</v>
      </c>
      <c r="M2374" s="9" t="s">
        <v>67</v>
      </c>
    </row>
    <row r="2375">
      <c r="A2375" s="11">
        <v>2374.0</v>
      </c>
      <c r="B2375" s="11">
        <v>0.026</v>
      </c>
      <c r="C2375" s="11">
        <v>0.015</v>
      </c>
      <c r="D2375" s="11">
        <v>77.0</v>
      </c>
      <c r="E2375" s="11">
        <v>73.0</v>
      </c>
      <c r="F2375" s="11">
        <v>0.373</v>
      </c>
      <c r="G2375" s="11">
        <v>0.592</v>
      </c>
      <c r="H2375" s="11">
        <v>0.035</v>
      </c>
      <c r="I2375" s="11">
        <v>1.9561477E7</v>
      </c>
      <c r="J2375" s="11">
        <v>0.545</v>
      </c>
      <c r="K2375" s="12" t="s">
        <v>261</v>
      </c>
      <c r="L2375" s="5" t="s">
        <v>93</v>
      </c>
      <c r="M2375" s="9" t="s">
        <v>68</v>
      </c>
    </row>
    <row r="2376">
      <c r="A2376" s="11">
        <v>2375.0</v>
      </c>
      <c r="B2376" s="11">
        <v>0.026</v>
      </c>
      <c r="C2376" s="11">
        <v>0.014</v>
      </c>
      <c r="D2376" s="11">
        <v>77.0</v>
      </c>
      <c r="E2376" s="11">
        <v>73.0</v>
      </c>
      <c r="F2376" s="11">
        <v>0.367</v>
      </c>
      <c r="G2376" s="11">
        <v>0.598</v>
      </c>
      <c r="H2376" s="11">
        <v>0.036</v>
      </c>
      <c r="I2376" s="11">
        <v>2.0346056E7</v>
      </c>
      <c r="J2376" s="11">
        <v>0.549</v>
      </c>
      <c r="K2376" s="12" t="s">
        <v>261</v>
      </c>
      <c r="L2376" s="5" t="s">
        <v>93</v>
      </c>
      <c r="M2376" s="9" t="s">
        <v>69</v>
      </c>
    </row>
    <row r="2377">
      <c r="A2377" s="11">
        <v>2376.0</v>
      </c>
      <c r="B2377" s="11">
        <v>0.025</v>
      </c>
      <c r="C2377" s="11">
        <v>0.014</v>
      </c>
      <c r="D2377" s="11">
        <v>77.0</v>
      </c>
      <c r="E2377" s="11">
        <v>73.0</v>
      </c>
      <c r="F2377" s="11">
        <v>0.361</v>
      </c>
      <c r="G2377" s="11">
        <v>0.602</v>
      </c>
      <c r="H2377" s="11">
        <v>0.036</v>
      </c>
      <c r="I2377" s="11">
        <v>2.1031546E7</v>
      </c>
      <c r="J2377" s="11">
        <v>0.553</v>
      </c>
      <c r="K2377" s="12" t="s">
        <v>261</v>
      </c>
      <c r="L2377" s="5" t="s">
        <v>93</v>
      </c>
      <c r="M2377" s="9" t="s">
        <v>70</v>
      </c>
    </row>
    <row r="2378">
      <c r="A2378" s="11">
        <v>2377.0</v>
      </c>
      <c r="B2378" s="11">
        <v>0.025</v>
      </c>
      <c r="C2378" s="11">
        <v>0.013</v>
      </c>
      <c r="D2378" s="11">
        <v>78.0</v>
      </c>
      <c r="E2378" s="11">
        <v>72.0</v>
      </c>
      <c r="F2378" s="11">
        <v>0.357</v>
      </c>
      <c r="G2378" s="11">
        <v>0.605</v>
      </c>
      <c r="H2378" s="11">
        <v>0.037</v>
      </c>
      <c r="I2378" s="11">
        <v>2.1532647E7</v>
      </c>
      <c r="J2378" s="11">
        <v>0.557</v>
      </c>
      <c r="K2378" s="12" t="s">
        <v>261</v>
      </c>
      <c r="L2378" s="5" t="s">
        <v>93</v>
      </c>
      <c r="M2378" s="9" t="s">
        <v>71</v>
      </c>
    </row>
    <row r="2379">
      <c r="A2379" s="11">
        <v>2378.0</v>
      </c>
      <c r="B2379" s="11">
        <v>0.025</v>
      </c>
      <c r="C2379" s="11">
        <v>0.013</v>
      </c>
      <c r="D2379" s="11">
        <v>78.0</v>
      </c>
      <c r="E2379" s="11">
        <v>72.0</v>
      </c>
      <c r="F2379" s="11">
        <v>0.355</v>
      </c>
      <c r="G2379" s="11">
        <v>0.607</v>
      </c>
      <c r="H2379" s="11">
        <v>0.038</v>
      </c>
      <c r="I2379" s="11">
        <v>2.1961676E7</v>
      </c>
      <c r="J2379" s="11">
        <v>0.561</v>
      </c>
      <c r="K2379" s="12" t="s">
        <v>261</v>
      </c>
      <c r="L2379" s="5" t="s">
        <v>93</v>
      </c>
      <c r="M2379" s="9" t="s">
        <v>72</v>
      </c>
    </row>
    <row r="2380">
      <c r="A2380" s="11">
        <v>2379.0</v>
      </c>
      <c r="B2380" s="11">
        <v>0.024</v>
      </c>
      <c r="C2380" s="11">
        <v>0.012</v>
      </c>
      <c r="D2380" s="11">
        <v>78.0</v>
      </c>
      <c r="E2380" s="11">
        <v>72.0</v>
      </c>
      <c r="F2380" s="11">
        <v>0.354</v>
      </c>
      <c r="G2380" s="11">
        <v>0.607</v>
      </c>
      <c r="H2380" s="11">
        <v>0.039</v>
      </c>
      <c r="I2380" s="11">
        <v>2.2399254E7</v>
      </c>
      <c r="J2380" s="11">
        <v>0.565</v>
      </c>
      <c r="K2380" s="12" t="s">
        <v>261</v>
      </c>
      <c r="L2380" s="5" t="s">
        <v>93</v>
      </c>
      <c r="M2380" s="9" t="s">
        <v>73</v>
      </c>
    </row>
    <row r="2381">
      <c r="A2381" s="11">
        <v>2380.0</v>
      </c>
      <c r="B2381" s="11">
        <v>0.03</v>
      </c>
      <c r="C2381" s="11">
        <v>0.075</v>
      </c>
      <c r="D2381" s="11">
        <v>68.0</v>
      </c>
      <c r="E2381" s="11">
        <v>60.0</v>
      </c>
      <c r="F2381" s="11">
        <v>0.429</v>
      </c>
      <c r="G2381" s="11">
        <v>0.536</v>
      </c>
      <c r="H2381" s="11">
        <v>0.035</v>
      </c>
      <c r="I2381" s="11">
        <v>6186152.0</v>
      </c>
      <c r="J2381" s="11">
        <v>0.265</v>
      </c>
      <c r="K2381" s="12" t="s">
        <v>262</v>
      </c>
      <c r="L2381" s="5" t="s">
        <v>61</v>
      </c>
      <c r="M2381" s="9" t="s">
        <v>60</v>
      </c>
    </row>
    <row r="2382">
      <c r="A2382" s="11">
        <v>2381.0</v>
      </c>
      <c r="B2382" s="11">
        <v>0.03</v>
      </c>
      <c r="C2382" s="11">
        <v>0.07</v>
      </c>
      <c r="D2382" s="11">
        <v>68.0</v>
      </c>
      <c r="E2382" s="11">
        <v>60.0</v>
      </c>
      <c r="F2382" s="11">
        <v>0.421</v>
      </c>
      <c r="G2382" s="11">
        <v>0.543</v>
      </c>
      <c r="H2382" s="11">
        <v>0.036</v>
      </c>
      <c r="I2382" s="11">
        <v>6289340.0</v>
      </c>
      <c r="J2382" s="11">
        <v>0.265</v>
      </c>
      <c r="K2382" s="12" t="s">
        <v>262</v>
      </c>
      <c r="L2382" s="5" t="s">
        <v>61</v>
      </c>
      <c r="M2382" s="9" t="s">
        <v>62</v>
      </c>
    </row>
    <row r="2383">
      <c r="A2383" s="11">
        <v>2382.0</v>
      </c>
      <c r="B2383" s="11">
        <v>0.029</v>
      </c>
      <c r="C2383" s="11">
        <v>0.066</v>
      </c>
      <c r="D2383" s="11">
        <v>68.0</v>
      </c>
      <c r="E2383" s="11">
        <v>61.0</v>
      </c>
      <c r="F2383" s="11">
        <v>0.412</v>
      </c>
      <c r="G2383" s="11">
        <v>0.552</v>
      </c>
      <c r="H2383" s="11">
        <v>0.036</v>
      </c>
      <c r="I2383" s="11">
        <v>6404118.0</v>
      </c>
      <c r="J2383" s="11">
        <v>0.264</v>
      </c>
      <c r="K2383" s="12" t="s">
        <v>262</v>
      </c>
      <c r="L2383" s="5" t="s">
        <v>61</v>
      </c>
      <c r="M2383" s="9" t="s">
        <v>63</v>
      </c>
    </row>
    <row r="2384">
      <c r="A2384" s="11">
        <v>2383.0</v>
      </c>
      <c r="B2384" s="11">
        <v>0.029</v>
      </c>
      <c r="C2384" s="11">
        <v>0.061</v>
      </c>
      <c r="D2384" s="11">
        <v>69.0</v>
      </c>
      <c r="E2384" s="11">
        <v>61.0</v>
      </c>
      <c r="F2384" s="11">
        <v>0.402</v>
      </c>
      <c r="G2384" s="11">
        <v>0.561</v>
      </c>
      <c r="H2384" s="11">
        <v>0.037</v>
      </c>
      <c r="I2384" s="11">
        <v>6529609.0</v>
      </c>
      <c r="J2384" s="11">
        <v>0.264</v>
      </c>
      <c r="K2384" s="12" t="s">
        <v>262</v>
      </c>
      <c r="L2384" s="5" t="s">
        <v>61</v>
      </c>
      <c r="M2384" s="9" t="s">
        <v>64</v>
      </c>
    </row>
    <row r="2385">
      <c r="A2385" s="11">
        <v>2384.0</v>
      </c>
      <c r="B2385" s="11">
        <v>0.029</v>
      </c>
      <c r="C2385" s="11">
        <v>0.058</v>
      </c>
      <c r="D2385" s="11">
        <v>69.0</v>
      </c>
      <c r="E2385" s="11">
        <v>62.0</v>
      </c>
      <c r="F2385" s="11">
        <v>0.392</v>
      </c>
      <c r="G2385" s="11">
        <v>0.57</v>
      </c>
      <c r="H2385" s="11">
        <v>0.037</v>
      </c>
      <c r="I2385" s="11">
        <v>6663929.0</v>
      </c>
      <c r="J2385" s="11">
        <v>0.264</v>
      </c>
      <c r="K2385" s="12" t="s">
        <v>262</v>
      </c>
      <c r="L2385" s="5" t="s">
        <v>61</v>
      </c>
      <c r="M2385" s="9" t="s">
        <v>65</v>
      </c>
    </row>
    <row r="2386">
      <c r="A2386" s="11">
        <v>2385.0</v>
      </c>
      <c r="B2386" s="11">
        <v>0.03</v>
      </c>
      <c r="C2386" s="11">
        <v>0.054</v>
      </c>
      <c r="D2386" s="11">
        <v>69.0</v>
      </c>
      <c r="E2386" s="11">
        <v>62.0</v>
      </c>
      <c r="F2386" s="11">
        <v>0.384</v>
      </c>
      <c r="G2386" s="11">
        <v>0.579</v>
      </c>
      <c r="H2386" s="11">
        <v>0.037</v>
      </c>
      <c r="I2386" s="11">
        <v>6805655.0</v>
      </c>
      <c r="J2386" s="11">
        <v>0.264</v>
      </c>
      <c r="K2386" s="12" t="s">
        <v>262</v>
      </c>
      <c r="L2386" s="5" t="s">
        <v>61</v>
      </c>
      <c r="M2386" s="9" t="s">
        <v>66</v>
      </c>
    </row>
    <row r="2387">
      <c r="A2387" s="11">
        <v>2386.0</v>
      </c>
      <c r="B2387" s="11">
        <v>0.03</v>
      </c>
      <c r="C2387" s="11">
        <v>0.052</v>
      </c>
      <c r="D2387" s="11">
        <v>70.0</v>
      </c>
      <c r="E2387" s="11">
        <v>63.0</v>
      </c>
      <c r="F2387" s="11">
        <v>0.376</v>
      </c>
      <c r="G2387" s="11">
        <v>0.587</v>
      </c>
      <c r="H2387" s="11">
        <v>0.037</v>
      </c>
      <c r="I2387" s="11">
        <v>6954522.0</v>
      </c>
      <c r="J2387" s="11">
        <v>0.265</v>
      </c>
      <c r="K2387" s="12" t="s">
        <v>262</v>
      </c>
      <c r="L2387" s="5" t="s">
        <v>61</v>
      </c>
      <c r="M2387" s="9" t="s">
        <v>67</v>
      </c>
    </row>
    <row r="2388">
      <c r="A2388" s="11">
        <v>2387.0</v>
      </c>
      <c r="B2388" s="11">
        <v>0.031</v>
      </c>
      <c r="C2388" s="11">
        <v>0.05</v>
      </c>
      <c r="D2388" s="11">
        <v>70.0</v>
      </c>
      <c r="E2388" s="11">
        <v>63.0</v>
      </c>
      <c r="F2388" s="11">
        <v>0.37</v>
      </c>
      <c r="G2388" s="11">
        <v>0.594</v>
      </c>
      <c r="H2388" s="11">
        <v>0.036</v>
      </c>
      <c r="I2388" s="11">
        <v>7111025.0</v>
      </c>
      <c r="J2388" s="11">
        <v>0.265</v>
      </c>
      <c r="K2388" s="12" t="s">
        <v>262</v>
      </c>
      <c r="L2388" s="5" t="s">
        <v>61</v>
      </c>
      <c r="M2388" s="9" t="s">
        <v>68</v>
      </c>
    </row>
    <row r="2389">
      <c r="A2389" s="11">
        <v>2388.0</v>
      </c>
      <c r="B2389" s="11">
        <v>0.031</v>
      </c>
      <c r="C2389" s="11">
        <v>0.048</v>
      </c>
      <c r="D2389" s="11">
        <v>70.0</v>
      </c>
      <c r="E2389" s="11">
        <v>63.0</v>
      </c>
      <c r="F2389" s="11">
        <v>0.365</v>
      </c>
      <c r="G2389" s="11">
        <v>0.6</v>
      </c>
      <c r="H2389" s="11">
        <v>0.035</v>
      </c>
      <c r="I2389" s="11">
        <v>7275252.0</v>
      </c>
      <c r="J2389" s="11">
        <v>0.265</v>
      </c>
      <c r="K2389" s="12" t="s">
        <v>262</v>
      </c>
      <c r="L2389" s="5" t="s">
        <v>61</v>
      </c>
      <c r="M2389" s="9" t="s">
        <v>69</v>
      </c>
    </row>
    <row r="2390">
      <c r="A2390" s="11">
        <v>2389.0</v>
      </c>
      <c r="B2390" s="11">
        <v>0.032</v>
      </c>
      <c r="C2390" s="11">
        <v>0.046</v>
      </c>
      <c r="D2390" s="11">
        <v>70.0</v>
      </c>
      <c r="E2390" s="11">
        <v>64.0</v>
      </c>
      <c r="F2390" s="11">
        <v>0.362</v>
      </c>
      <c r="G2390" s="11">
        <v>0.604</v>
      </c>
      <c r="H2390" s="11">
        <v>0.034</v>
      </c>
      <c r="I2390" s="11">
        <v>7447396.0</v>
      </c>
      <c r="J2390" s="11">
        <v>0.265</v>
      </c>
      <c r="K2390" s="12" t="s">
        <v>262</v>
      </c>
      <c r="L2390" s="5" t="s">
        <v>61</v>
      </c>
      <c r="M2390" s="9" t="s">
        <v>70</v>
      </c>
    </row>
    <row r="2391">
      <c r="A2391" s="11">
        <v>2390.0</v>
      </c>
      <c r="B2391" s="11">
        <v>0.033</v>
      </c>
      <c r="C2391" s="11">
        <v>0.045</v>
      </c>
      <c r="D2391" s="11">
        <v>70.0</v>
      </c>
      <c r="E2391" s="11">
        <v>64.0</v>
      </c>
      <c r="F2391" s="11">
        <v>0.359</v>
      </c>
      <c r="G2391" s="11">
        <v>0.608</v>
      </c>
      <c r="H2391" s="11">
        <v>0.033</v>
      </c>
      <c r="I2391" s="11">
        <v>7627326.0</v>
      </c>
      <c r="J2391" s="11">
        <v>0.265</v>
      </c>
      <c r="K2391" s="12" t="s">
        <v>262</v>
      </c>
      <c r="L2391" s="5" t="s">
        <v>61</v>
      </c>
      <c r="M2391" s="9" t="s">
        <v>71</v>
      </c>
    </row>
    <row r="2392">
      <c r="A2392" s="11">
        <v>2391.0</v>
      </c>
      <c r="B2392" s="11">
        <v>0.033</v>
      </c>
      <c r="C2392" s="11">
        <v>0.043</v>
      </c>
      <c r="D2392" s="11">
        <v>71.0</v>
      </c>
      <c r="E2392" s="11">
        <v>64.0</v>
      </c>
      <c r="F2392" s="11">
        <v>0.358</v>
      </c>
      <c r="G2392" s="11">
        <v>0.61</v>
      </c>
      <c r="H2392" s="11">
        <v>0.032</v>
      </c>
      <c r="I2392" s="11">
        <v>7814850.0</v>
      </c>
      <c r="J2392" s="11">
        <v>0.265</v>
      </c>
      <c r="K2392" s="12" t="s">
        <v>262</v>
      </c>
      <c r="L2392" s="5" t="s">
        <v>61</v>
      </c>
      <c r="M2392" s="9" t="s">
        <v>72</v>
      </c>
    </row>
    <row r="2393">
      <c r="A2393" s="11">
        <v>2392.0</v>
      </c>
      <c r="B2393" s="11">
        <v>0.033</v>
      </c>
      <c r="C2393" s="11">
        <v>0.042</v>
      </c>
      <c r="D2393" s="11">
        <v>71.0</v>
      </c>
      <c r="E2393" s="11">
        <v>64.0</v>
      </c>
      <c r="F2393" s="11">
        <v>0.358</v>
      </c>
      <c r="G2393" s="11">
        <v>0.61</v>
      </c>
      <c r="H2393" s="11">
        <v>0.032</v>
      </c>
      <c r="I2393" s="11">
        <v>8008990.0</v>
      </c>
      <c r="J2393" s="11">
        <v>0.266</v>
      </c>
      <c r="K2393" s="12" t="s">
        <v>262</v>
      </c>
      <c r="L2393" s="5" t="s">
        <v>61</v>
      </c>
      <c r="M2393" s="9" t="s">
        <v>73</v>
      </c>
    </row>
    <row r="2394">
      <c r="A2394" s="11">
        <v>2393.0</v>
      </c>
      <c r="B2394" s="11">
        <v>0.042</v>
      </c>
      <c r="C2394" s="11">
        <v>0.08</v>
      </c>
      <c r="D2394" s="11">
        <v>51.0</v>
      </c>
      <c r="E2394" s="11">
        <v>49.0</v>
      </c>
      <c r="F2394" s="11">
        <v>0.448</v>
      </c>
      <c r="G2394" s="11">
        <v>0.523</v>
      </c>
      <c r="H2394" s="11">
        <v>0.029</v>
      </c>
      <c r="I2394" s="11">
        <v>3.4020512E7</v>
      </c>
      <c r="J2394" s="11">
        <v>0.223</v>
      </c>
      <c r="K2394" s="12" t="s">
        <v>263</v>
      </c>
      <c r="L2394" s="5" t="s">
        <v>77</v>
      </c>
      <c r="M2394" s="9" t="s">
        <v>60</v>
      </c>
    </row>
    <row r="2395">
      <c r="A2395" s="11">
        <v>2394.0</v>
      </c>
      <c r="B2395" s="11">
        <v>0.042</v>
      </c>
      <c r="C2395" s="11">
        <v>0.076</v>
      </c>
      <c r="D2395" s="11">
        <v>51.0</v>
      </c>
      <c r="E2395" s="11">
        <v>50.0</v>
      </c>
      <c r="F2395" s="11">
        <v>0.447</v>
      </c>
      <c r="G2395" s="11">
        <v>0.524</v>
      </c>
      <c r="H2395" s="11">
        <v>0.029</v>
      </c>
      <c r="I2395" s="11">
        <v>3.4895398E7</v>
      </c>
      <c r="J2395" s="11">
        <v>0.227</v>
      </c>
      <c r="K2395" s="12" t="s">
        <v>263</v>
      </c>
      <c r="L2395" s="5" t="s">
        <v>77</v>
      </c>
      <c r="M2395" s="9" t="s">
        <v>62</v>
      </c>
    </row>
    <row r="2396">
      <c r="A2396" s="11">
        <v>2395.0</v>
      </c>
      <c r="B2396" s="11">
        <v>0.042</v>
      </c>
      <c r="C2396" s="11">
        <v>0.071</v>
      </c>
      <c r="D2396" s="11">
        <v>52.0</v>
      </c>
      <c r="E2396" s="11">
        <v>51.0</v>
      </c>
      <c r="F2396" s="11">
        <v>0.447</v>
      </c>
      <c r="G2396" s="11">
        <v>0.524</v>
      </c>
      <c r="H2396" s="11">
        <v>0.029</v>
      </c>
      <c r="I2396" s="11">
        <v>3.5806497E7</v>
      </c>
      <c r="J2396" s="11">
        <v>0.23</v>
      </c>
      <c r="K2396" s="12" t="s">
        <v>263</v>
      </c>
      <c r="L2396" s="5" t="s">
        <v>77</v>
      </c>
      <c r="M2396" s="9" t="s">
        <v>63</v>
      </c>
    </row>
    <row r="2397">
      <c r="A2397" s="11">
        <v>2396.0</v>
      </c>
      <c r="B2397" s="11">
        <v>0.042</v>
      </c>
      <c r="C2397" s="11">
        <v>0.066</v>
      </c>
      <c r="D2397" s="11">
        <v>53.0</v>
      </c>
      <c r="E2397" s="11">
        <v>51.0</v>
      </c>
      <c r="F2397" s="11">
        <v>0.446</v>
      </c>
      <c r="G2397" s="11">
        <v>0.524</v>
      </c>
      <c r="H2397" s="11">
        <v>0.03</v>
      </c>
      <c r="I2397" s="11">
        <v>3.6760831E7</v>
      </c>
      <c r="J2397" s="11">
        <v>0.236</v>
      </c>
      <c r="K2397" s="12" t="s">
        <v>263</v>
      </c>
      <c r="L2397" s="5" t="s">
        <v>77</v>
      </c>
      <c r="M2397" s="9" t="s">
        <v>64</v>
      </c>
    </row>
    <row r="2398">
      <c r="A2398" s="11">
        <v>2397.0</v>
      </c>
      <c r="B2398" s="11">
        <v>0.042</v>
      </c>
      <c r="C2398" s="11">
        <v>0.061</v>
      </c>
      <c r="D2398" s="11">
        <v>53.0</v>
      </c>
      <c r="E2398" s="11">
        <v>52.0</v>
      </c>
      <c r="F2398" s="11">
        <v>0.446</v>
      </c>
      <c r="G2398" s="11">
        <v>0.524</v>
      </c>
      <c r="H2398" s="11">
        <v>0.03</v>
      </c>
      <c r="I2398" s="11">
        <v>3.7765139E7</v>
      </c>
      <c r="J2398" s="11">
        <v>0.242</v>
      </c>
      <c r="K2398" s="12" t="s">
        <v>263</v>
      </c>
      <c r="L2398" s="5" t="s">
        <v>77</v>
      </c>
      <c r="M2398" s="9" t="s">
        <v>65</v>
      </c>
    </row>
    <row r="2399">
      <c r="A2399" s="11">
        <v>2398.0</v>
      </c>
      <c r="B2399" s="11">
        <v>0.042</v>
      </c>
      <c r="C2399" s="11">
        <v>0.057</v>
      </c>
      <c r="D2399" s="11">
        <v>54.0</v>
      </c>
      <c r="E2399" s="11">
        <v>53.0</v>
      </c>
      <c r="F2399" s="11">
        <v>0.446</v>
      </c>
      <c r="G2399" s="11">
        <v>0.524</v>
      </c>
      <c r="H2399" s="11">
        <v>0.03</v>
      </c>
      <c r="I2399" s="11">
        <v>3.8824384E7</v>
      </c>
      <c r="J2399" s="11">
        <v>0.248</v>
      </c>
      <c r="K2399" s="12" t="s">
        <v>263</v>
      </c>
      <c r="L2399" s="5" t="s">
        <v>77</v>
      </c>
      <c r="M2399" s="9" t="s">
        <v>66</v>
      </c>
    </row>
    <row r="2400">
      <c r="A2400" s="11">
        <v>2399.0</v>
      </c>
      <c r="B2400" s="11">
        <v>0.042</v>
      </c>
      <c r="C2400" s="11">
        <v>0.054</v>
      </c>
      <c r="D2400" s="11">
        <v>56.0</v>
      </c>
      <c r="E2400" s="11">
        <v>54.0</v>
      </c>
      <c r="F2400" s="11">
        <v>0.447</v>
      </c>
      <c r="G2400" s="11">
        <v>0.523</v>
      </c>
      <c r="H2400" s="11">
        <v>0.03</v>
      </c>
      <c r="I2400" s="11">
        <v>3.9942347E7</v>
      </c>
      <c r="J2400" s="11">
        <v>0.255</v>
      </c>
      <c r="K2400" s="12" t="s">
        <v>263</v>
      </c>
      <c r="L2400" s="5" t="s">
        <v>77</v>
      </c>
      <c r="M2400" s="9" t="s">
        <v>67</v>
      </c>
    </row>
    <row r="2401">
      <c r="A2401" s="11">
        <v>2400.0</v>
      </c>
      <c r="B2401" s="11">
        <v>0.042</v>
      </c>
      <c r="C2401" s="11">
        <v>0.05</v>
      </c>
      <c r="D2401" s="11">
        <v>57.0</v>
      </c>
      <c r="E2401" s="11">
        <v>55.0</v>
      </c>
      <c r="F2401" s="11">
        <v>0.447</v>
      </c>
      <c r="G2401" s="11">
        <v>0.522</v>
      </c>
      <c r="H2401" s="11">
        <v>0.03</v>
      </c>
      <c r="I2401" s="11">
        <v>4.1119693E7</v>
      </c>
      <c r="J2401" s="11">
        <v>0.261</v>
      </c>
      <c r="K2401" s="12" t="s">
        <v>263</v>
      </c>
      <c r="L2401" s="5" t="s">
        <v>77</v>
      </c>
      <c r="M2401" s="9" t="s">
        <v>68</v>
      </c>
    </row>
    <row r="2402">
      <c r="A2402" s="11">
        <v>2401.0</v>
      </c>
      <c r="B2402" s="11">
        <v>0.041</v>
      </c>
      <c r="C2402" s="11">
        <v>0.047</v>
      </c>
      <c r="D2402" s="11">
        <v>58.0</v>
      </c>
      <c r="E2402" s="11">
        <v>56.0</v>
      </c>
      <c r="F2402" s="11">
        <v>0.448</v>
      </c>
      <c r="G2402" s="11">
        <v>0.522</v>
      </c>
      <c r="H2402" s="11">
        <v>0.031</v>
      </c>
      <c r="I2402" s="11">
        <v>4.235379E7</v>
      </c>
      <c r="J2402" s="11">
        <v>0.268</v>
      </c>
      <c r="K2402" s="12" t="s">
        <v>263</v>
      </c>
      <c r="L2402" s="5" t="s">
        <v>77</v>
      </c>
      <c r="M2402" s="9" t="s">
        <v>69</v>
      </c>
    </row>
    <row r="2403">
      <c r="A2403" s="11">
        <v>2402.0</v>
      </c>
      <c r="B2403" s="11">
        <v>0.041</v>
      </c>
      <c r="C2403" s="11">
        <v>0.044</v>
      </c>
      <c r="D2403" s="11">
        <v>59.0</v>
      </c>
      <c r="E2403" s="11">
        <v>57.0</v>
      </c>
      <c r="F2403" s="11">
        <v>0.448</v>
      </c>
      <c r="G2403" s="11">
        <v>0.521</v>
      </c>
      <c r="H2403" s="11">
        <v>0.031</v>
      </c>
      <c r="I2403" s="11">
        <v>4.3639752E7</v>
      </c>
      <c r="J2403" s="11">
        <v>0.274</v>
      </c>
      <c r="K2403" s="12" t="s">
        <v>263</v>
      </c>
      <c r="L2403" s="5" t="s">
        <v>77</v>
      </c>
      <c r="M2403" s="9" t="s">
        <v>70</v>
      </c>
    </row>
    <row r="2404">
      <c r="A2404" s="11">
        <v>2403.0</v>
      </c>
      <c r="B2404" s="11">
        <v>0.041</v>
      </c>
      <c r="C2404" s="11">
        <v>0.041</v>
      </c>
      <c r="D2404" s="11">
        <v>60.0</v>
      </c>
      <c r="E2404" s="11">
        <v>58.0</v>
      </c>
      <c r="F2404" s="11">
        <v>0.448</v>
      </c>
      <c r="G2404" s="11">
        <v>0.52</v>
      </c>
      <c r="H2404" s="11">
        <v>0.031</v>
      </c>
      <c r="I2404" s="11">
        <v>4.497333E7</v>
      </c>
      <c r="J2404" s="11">
        <v>0.281</v>
      </c>
      <c r="K2404" s="12" t="s">
        <v>263</v>
      </c>
      <c r="L2404" s="5" t="s">
        <v>77</v>
      </c>
      <c r="M2404" s="9" t="s">
        <v>71</v>
      </c>
    </row>
    <row r="2405">
      <c r="A2405" s="11">
        <v>2404.0</v>
      </c>
      <c r="B2405" s="11">
        <v>0.04</v>
      </c>
      <c r="C2405" s="11">
        <v>0.039</v>
      </c>
      <c r="D2405" s="11">
        <v>61.0</v>
      </c>
      <c r="E2405" s="11">
        <v>59.0</v>
      </c>
      <c r="F2405" s="11">
        <v>0.449</v>
      </c>
      <c r="G2405" s="11">
        <v>0.52</v>
      </c>
      <c r="H2405" s="11">
        <v>0.031</v>
      </c>
      <c r="I2405" s="11">
        <v>4.6354607E7</v>
      </c>
      <c r="J2405" s="11">
        <v>0.288</v>
      </c>
      <c r="K2405" s="12" t="s">
        <v>263</v>
      </c>
      <c r="L2405" s="5" t="s">
        <v>77</v>
      </c>
      <c r="M2405" s="9" t="s">
        <v>72</v>
      </c>
    </row>
    <row r="2406">
      <c r="A2406" s="11">
        <v>2405.0</v>
      </c>
      <c r="B2406" s="11">
        <v>0.04</v>
      </c>
      <c r="C2406" s="11">
        <v>0.038</v>
      </c>
      <c r="D2406" s="11">
        <v>62.0</v>
      </c>
      <c r="E2406" s="11">
        <v>60.0</v>
      </c>
      <c r="F2406" s="11">
        <v>0.449</v>
      </c>
      <c r="G2406" s="11">
        <v>0.52</v>
      </c>
      <c r="H2406" s="11">
        <v>0.032</v>
      </c>
      <c r="I2406" s="11">
        <v>4.7783107E7</v>
      </c>
      <c r="J2406" s="11">
        <v>0.295</v>
      </c>
      <c r="K2406" s="12" t="s">
        <v>263</v>
      </c>
      <c r="L2406" s="5" t="s">
        <v>77</v>
      </c>
      <c r="M2406" s="9" t="s">
        <v>73</v>
      </c>
    </row>
    <row r="2407">
      <c r="A2407" s="11">
        <v>2406.0</v>
      </c>
      <c r="B2407" s="11">
        <v>0.015</v>
      </c>
      <c r="C2407" s="11">
        <v>0.019</v>
      </c>
      <c r="D2407" s="11">
        <v>75.0</v>
      </c>
      <c r="E2407" s="11">
        <v>67.0</v>
      </c>
      <c r="F2407" s="11">
        <v>0.242</v>
      </c>
      <c r="G2407" s="11">
        <v>0.693</v>
      </c>
      <c r="H2407" s="11">
        <v>0.066</v>
      </c>
      <c r="I2407" s="11">
        <v>6.2343379E7</v>
      </c>
      <c r="J2407" s="11">
        <v>0.314</v>
      </c>
      <c r="K2407" s="12" t="s">
        <v>264</v>
      </c>
      <c r="L2407" s="5" t="s">
        <v>61</v>
      </c>
      <c r="M2407" s="9" t="s">
        <v>60</v>
      </c>
    </row>
    <row r="2408">
      <c r="A2408" s="11">
        <v>2407.0</v>
      </c>
      <c r="B2408" s="11">
        <v>0.014</v>
      </c>
      <c r="C2408" s="11">
        <v>0.018</v>
      </c>
      <c r="D2408" s="11">
        <v>75.0</v>
      </c>
      <c r="E2408" s="11">
        <v>67.0</v>
      </c>
      <c r="F2408" s="11">
        <v>0.238</v>
      </c>
      <c r="G2408" s="11">
        <v>0.694</v>
      </c>
      <c r="H2408" s="11">
        <v>0.068</v>
      </c>
      <c r="I2408" s="11">
        <v>6.306907E7</v>
      </c>
      <c r="J2408" s="11">
        <v>0.326</v>
      </c>
      <c r="K2408" s="12" t="s">
        <v>264</v>
      </c>
      <c r="L2408" s="5" t="s">
        <v>61</v>
      </c>
      <c r="M2408" s="9" t="s">
        <v>62</v>
      </c>
    </row>
    <row r="2409">
      <c r="A2409" s="11">
        <v>2408.0</v>
      </c>
      <c r="B2409" s="11">
        <v>0.014</v>
      </c>
      <c r="C2409" s="11">
        <v>0.018</v>
      </c>
      <c r="D2409" s="11">
        <v>75.0</v>
      </c>
      <c r="E2409" s="11">
        <v>68.0</v>
      </c>
      <c r="F2409" s="11">
        <v>0.234</v>
      </c>
      <c r="G2409" s="11">
        <v>0.696</v>
      </c>
      <c r="H2409" s="11">
        <v>0.07</v>
      </c>
      <c r="I2409" s="11">
        <v>6.3797841E7</v>
      </c>
      <c r="J2409" s="11">
        <v>0.338</v>
      </c>
      <c r="K2409" s="12" t="s">
        <v>264</v>
      </c>
      <c r="L2409" s="5" t="s">
        <v>61</v>
      </c>
      <c r="M2409" s="9" t="s">
        <v>63</v>
      </c>
    </row>
    <row r="2410">
      <c r="A2410" s="11">
        <v>2409.0</v>
      </c>
      <c r="B2410" s="11">
        <v>0.013</v>
      </c>
      <c r="C2410" s="11">
        <v>0.017</v>
      </c>
      <c r="D2410" s="11">
        <v>75.0</v>
      </c>
      <c r="E2410" s="11">
        <v>68.0</v>
      </c>
      <c r="F2410" s="11">
        <v>0.231</v>
      </c>
      <c r="G2410" s="11">
        <v>0.696</v>
      </c>
      <c r="H2410" s="11">
        <v>0.073</v>
      </c>
      <c r="I2410" s="11">
        <v>6.4488338E7</v>
      </c>
      <c r="J2410" s="11">
        <v>0.35</v>
      </c>
      <c r="K2410" s="12" t="s">
        <v>264</v>
      </c>
      <c r="L2410" s="5" t="s">
        <v>61</v>
      </c>
      <c r="M2410" s="9" t="s">
        <v>64</v>
      </c>
    </row>
    <row r="2411">
      <c r="A2411" s="11">
        <v>2410.0</v>
      </c>
      <c r="B2411" s="11">
        <v>0.013</v>
      </c>
      <c r="C2411" s="11">
        <v>0.016</v>
      </c>
      <c r="D2411" s="11">
        <v>76.0</v>
      </c>
      <c r="E2411" s="11">
        <v>69.0</v>
      </c>
      <c r="F2411" s="11">
        <v>0.228</v>
      </c>
      <c r="G2411" s="11">
        <v>0.697</v>
      </c>
      <c r="H2411" s="11">
        <v>0.075</v>
      </c>
      <c r="I2411" s="11">
        <v>6.50874E7</v>
      </c>
      <c r="J2411" s="11">
        <v>0.363</v>
      </c>
      <c r="K2411" s="12" t="s">
        <v>264</v>
      </c>
      <c r="L2411" s="5" t="s">
        <v>61</v>
      </c>
      <c r="M2411" s="9" t="s">
        <v>65</v>
      </c>
    </row>
    <row r="2412">
      <c r="A2412" s="11">
        <v>2411.0</v>
      </c>
      <c r="B2412" s="11">
        <v>0.013</v>
      </c>
      <c r="C2412" s="11">
        <v>0.015</v>
      </c>
      <c r="D2412" s="11">
        <v>76.0</v>
      </c>
      <c r="E2412" s="11">
        <v>69.0</v>
      </c>
      <c r="F2412" s="11">
        <v>0.223</v>
      </c>
      <c r="G2412" s="11">
        <v>0.7</v>
      </c>
      <c r="H2412" s="11">
        <v>0.077</v>
      </c>
      <c r="I2412" s="11">
        <v>6.5559487E7</v>
      </c>
      <c r="J2412" s="11">
        <v>0.375</v>
      </c>
      <c r="K2412" s="12" t="s">
        <v>264</v>
      </c>
      <c r="L2412" s="5" t="s">
        <v>61</v>
      </c>
      <c r="M2412" s="9" t="s">
        <v>66</v>
      </c>
    </row>
    <row r="2413">
      <c r="A2413" s="11">
        <v>2412.0</v>
      </c>
      <c r="B2413" s="11">
        <v>0.012</v>
      </c>
      <c r="C2413" s="11">
        <v>0.015</v>
      </c>
      <c r="D2413" s="11">
        <v>76.0</v>
      </c>
      <c r="E2413" s="11">
        <v>69.0</v>
      </c>
      <c r="F2413" s="11">
        <v>0.218</v>
      </c>
      <c r="G2413" s="11">
        <v>0.703</v>
      </c>
      <c r="H2413" s="11">
        <v>0.079</v>
      </c>
      <c r="I2413" s="11">
        <v>6.5883961E7</v>
      </c>
      <c r="J2413" s="11">
        <v>0.388</v>
      </c>
      <c r="K2413" s="12" t="s">
        <v>264</v>
      </c>
      <c r="L2413" s="5" t="s">
        <v>61</v>
      </c>
      <c r="M2413" s="9" t="s">
        <v>67</v>
      </c>
    </row>
    <row r="2414">
      <c r="A2414" s="11">
        <v>2413.0</v>
      </c>
      <c r="B2414" s="11">
        <v>0.012</v>
      </c>
      <c r="C2414" s="11">
        <v>0.014</v>
      </c>
      <c r="D2414" s="11">
        <v>76.0</v>
      </c>
      <c r="E2414" s="11">
        <v>70.0</v>
      </c>
      <c r="F2414" s="11">
        <v>0.212</v>
      </c>
      <c r="G2414" s="11">
        <v>0.707</v>
      </c>
      <c r="H2414" s="11">
        <v>0.082</v>
      </c>
      <c r="I2414" s="11">
        <v>6.6076927E7</v>
      </c>
      <c r="J2414" s="11">
        <v>0.401</v>
      </c>
      <c r="K2414" s="12" t="s">
        <v>264</v>
      </c>
      <c r="L2414" s="5" t="s">
        <v>61</v>
      </c>
      <c r="M2414" s="9" t="s">
        <v>68</v>
      </c>
    </row>
    <row r="2415">
      <c r="A2415" s="11">
        <v>2414.0</v>
      </c>
      <c r="B2415" s="11">
        <v>0.012</v>
      </c>
      <c r="C2415" s="11">
        <v>0.013</v>
      </c>
      <c r="D2415" s="11">
        <v>77.0</v>
      </c>
      <c r="E2415" s="11">
        <v>70.0</v>
      </c>
      <c r="F2415" s="11">
        <v>0.205</v>
      </c>
      <c r="G2415" s="11">
        <v>0.711</v>
      </c>
      <c r="H2415" s="11">
        <v>0.084</v>
      </c>
      <c r="I2415" s="11">
        <v>6.618534E7</v>
      </c>
      <c r="J2415" s="11">
        <v>0.414</v>
      </c>
      <c r="K2415" s="12" t="s">
        <v>264</v>
      </c>
      <c r="L2415" s="5" t="s">
        <v>61</v>
      </c>
      <c r="M2415" s="9" t="s">
        <v>69</v>
      </c>
    </row>
    <row r="2416">
      <c r="A2416" s="11">
        <v>2415.0</v>
      </c>
      <c r="B2416" s="11">
        <v>0.011</v>
      </c>
      <c r="C2416" s="11">
        <v>0.013</v>
      </c>
      <c r="D2416" s="11">
        <v>77.0</v>
      </c>
      <c r="E2416" s="11">
        <v>70.0</v>
      </c>
      <c r="F2416" s="11">
        <v>0.199</v>
      </c>
      <c r="G2416" s="11">
        <v>0.715</v>
      </c>
      <c r="H2416" s="11">
        <v>0.086</v>
      </c>
      <c r="I2416" s="11">
        <v>6.6277335E7</v>
      </c>
      <c r="J2416" s="11">
        <v>0.427</v>
      </c>
      <c r="K2416" s="12" t="s">
        <v>264</v>
      </c>
      <c r="L2416" s="5" t="s">
        <v>61</v>
      </c>
      <c r="M2416" s="9" t="s">
        <v>70</v>
      </c>
    </row>
    <row r="2417">
      <c r="A2417" s="11">
        <v>2416.0</v>
      </c>
      <c r="B2417" s="11">
        <v>0.011</v>
      </c>
      <c r="C2417" s="11">
        <v>0.013</v>
      </c>
      <c r="D2417" s="11">
        <v>77.0</v>
      </c>
      <c r="E2417" s="11">
        <v>71.0</v>
      </c>
      <c r="F2417" s="11">
        <v>0.193</v>
      </c>
      <c r="G2417" s="11">
        <v>0.718</v>
      </c>
      <c r="H2417" s="11">
        <v>0.089</v>
      </c>
      <c r="I2417" s="11">
        <v>6.6402316E7</v>
      </c>
      <c r="J2417" s="11">
        <v>0.441</v>
      </c>
      <c r="K2417" s="12" t="s">
        <v>264</v>
      </c>
      <c r="L2417" s="5" t="s">
        <v>61</v>
      </c>
      <c r="M2417" s="9" t="s">
        <v>71</v>
      </c>
    </row>
    <row r="2418">
      <c r="A2418" s="11">
        <v>2417.0</v>
      </c>
      <c r="B2418" s="11">
        <v>0.011</v>
      </c>
      <c r="C2418" s="11">
        <v>0.012</v>
      </c>
      <c r="D2418" s="11">
        <v>77.0</v>
      </c>
      <c r="E2418" s="11">
        <v>71.0</v>
      </c>
      <c r="F2418" s="11">
        <v>0.189</v>
      </c>
      <c r="G2418" s="11">
        <v>0.72</v>
      </c>
      <c r="H2418" s="11">
        <v>0.091</v>
      </c>
      <c r="I2418" s="11">
        <v>6.6576332E7</v>
      </c>
      <c r="J2418" s="11">
        <v>0.454</v>
      </c>
      <c r="K2418" s="12" t="s">
        <v>264</v>
      </c>
      <c r="L2418" s="5" t="s">
        <v>61</v>
      </c>
      <c r="M2418" s="9" t="s">
        <v>72</v>
      </c>
    </row>
    <row r="2419">
      <c r="A2419" s="11">
        <v>2418.0</v>
      </c>
      <c r="B2419" s="11">
        <v>0.01</v>
      </c>
      <c r="C2419" s="11">
        <v>0.012</v>
      </c>
      <c r="D2419" s="11">
        <v>78.0</v>
      </c>
      <c r="E2419" s="11">
        <v>71.0</v>
      </c>
      <c r="F2419" s="11">
        <v>0.185</v>
      </c>
      <c r="G2419" s="11">
        <v>0.721</v>
      </c>
      <c r="H2419" s="11">
        <v>0.094</v>
      </c>
      <c r="I2419" s="11">
        <v>6.6785001E7</v>
      </c>
      <c r="J2419" s="11">
        <v>0.467</v>
      </c>
      <c r="K2419" s="12" t="s">
        <v>264</v>
      </c>
      <c r="L2419" s="5" t="s">
        <v>61</v>
      </c>
      <c r="M2419" s="9" t="s">
        <v>73</v>
      </c>
    </row>
    <row r="2420">
      <c r="A2420" s="11">
        <v>2419.0</v>
      </c>
      <c r="B2420" s="11">
        <v>0.043</v>
      </c>
      <c r="C2420" s="11">
        <v>0.084</v>
      </c>
      <c r="D2420" s="11">
        <v>61.0</v>
      </c>
      <c r="E2420" s="11">
        <v>58.0</v>
      </c>
      <c r="F2420" s="11">
        <v>0.498</v>
      </c>
      <c r="G2420" s="11">
        <v>0.479</v>
      </c>
      <c r="H2420" s="11">
        <v>0.024</v>
      </c>
      <c r="I2420" s="11">
        <v>853585.0</v>
      </c>
      <c r="J2420" s="11">
        <v>0.243</v>
      </c>
      <c r="K2420" s="12" t="s">
        <v>265</v>
      </c>
      <c r="L2420" s="5" t="s">
        <v>61</v>
      </c>
      <c r="M2420" s="9" t="s">
        <v>60</v>
      </c>
    </row>
    <row r="2421">
      <c r="A2421" s="11">
        <v>2420.0</v>
      </c>
      <c r="B2421" s="11">
        <v>0.041</v>
      </c>
      <c r="C2421" s="11">
        <v>0.08</v>
      </c>
      <c r="D2421" s="11">
        <v>62.0</v>
      </c>
      <c r="E2421" s="11">
        <v>59.0</v>
      </c>
      <c r="F2421" s="11">
        <v>0.5</v>
      </c>
      <c r="G2421" s="11">
        <v>0.475</v>
      </c>
      <c r="H2421" s="11">
        <v>0.024</v>
      </c>
      <c r="I2421" s="11">
        <v>871353.0</v>
      </c>
      <c r="J2421" s="11">
        <v>0.246</v>
      </c>
      <c r="K2421" s="12" t="s">
        <v>265</v>
      </c>
      <c r="L2421" s="5" t="s">
        <v>61</v>
      </c>
      <c r="M2421" s="9" t="s">
        <v>62</v>
      </c>
    </row>
    <row r="2422">
      <c r="A2422" s="11">
        <v>2421.0</v>
      </c>
      <c r="B2422" s="11">
        <v>0.04</v>
      </c>
      <c r="C2422" s="11">
        <v>0.076</v>
      </c>
      <c r="D2422" s="11">
        <v>63.0</v>
      </c>
      <c r="E2422" s="11">
        <v>60.0</v>
      </c>
      <c r="F2422" s="11">
        <v>0.497</v>
      </c>
      <c r="G2422" s="11">
        <v>0.478</v>
      </c>
      <c r="H2422" s="11">
        <v>0.025</v>
      </c>
      <c r="I2422" s="11">
        <v>899367.0</v>
      </c>
      <c r="J2422" s="11">
        <v>0.25</v>
      </c>
      <c r="K2422" s="12" t="s">
        <v>265</v>
      </c>
      <c r="L2422" s="5" t="s">
        <v>61</v>
      </c>
      <c r="M2422" s="9" t="s">
        <v>63</v>
      </c>
    </row>
    <row r="2423">
      <c r="A2423" s="11">
        <v>2422.0</v>
      </c>
      <c r="B2423" s="11">
        <v>0.039</v>
      </c>
      <c r="C2423" s="11">
        <v>0.072</v>
      </c>
      <c r="D2423" s="11">
        <v>63.0</v>
      </c>
      <c r="E2423" s="11">
        <v>60.0</v>
      </c>
      <c r="F2423" s="11">
        <v>0.491</v>
      </c>
      <c r="G2423" s="11">
        <v>0.483</v>
      </c>
      <c r="H2423" s="11">
        <v>0.026</v>
      </c>
      <c r="I2423" s="11">
        <v>933369.0</v>
      </c>
      <c r="J2423" s="11">
        <v>0.253</v>
      </c>
      <c r="K2423" s="12" t="s">
        <v>265</v>
      </c>
      <c r="L2423" s="5" t="s">
        <v>61</v>
      </c>
      <c r="M2423" s="9" t="s">
        <v>64</v>
      </c>
    </row>
    <row r="2424">
      <c r="A2424" s="11">
        <v>2423.0</v>
      </c>
      <c r="B2424" s="11">
        <v>0.038</v>
      </c>
      <c r="C2424" s="11">
        <v>0.069</v>
      </c>
      <c r="D2424" s="11">
        <v>64.0</v>
      </c>
      <c r="E2424" s="11">
        <v>61.0</v>
      </c>
      <c r="F2424" s="11">
        <v>0.484</v>
      </c>
      <c r="G2424" s="11">
        <v>0.489</v>
      </c>
      <c r="H2424" s="11">
        <v>0.027</v>
      </c>
      <c r="I2424" s="11">
        <v>966987.0</v>
      </c>
      <c r="J2424" s="11">
        <v>0.257</v>
      </c>
      <c r="K2424" s="12" t="s">
        <v>265</v>
      </c>
      <c r="L2424" s="5" t="s">
        <v>61</v>
      </c>
      <c r="M2424" s="9" t="s">
        <v>65</v>
      </c>
    </row>
    <row r="2425">
      <c r="A2425" s="11">
        <v>2424.0</v>
      </c>
      <c r="B2425" s="11">
        <v>0.038</v>
      </c>
      <c r="C2425" s="11">
        <v>0.065</v>
      </c>
      <c r="D2425" s="11">
        <v>65.0</v>
      </c>
      <c r="E2425" s="11">
        <v>62.0</v>
      </c>
      <c r="F2425" s="11">
        <v>0.48</v>
      </c>
      <c r="G2425" s="11">
        <v>0.493</v>
      </c>
      <c r="H2425" s="11">
        <v>0.027</v>
      </c>
      <c r="I2425" s="11">
        <v>982889.0</v>
      </c>
      <c r="J2425" s="11">
        <v>0.263</v>
      </c>
      <c r="K2425" s="12" t="s">
        <v>265</v>
      </c>
      <c r="L2425" s="5" t="s">
        <v>61</v>
      </c>
      <c r="M2425" s="9" t="s">
        <v>66</v>
      </c>
    </row>
    <row r="2426">
      <c r="A2426" s="11">
        <v>2425.0</v>
      </c>
      <c r="B2426" s="11">
        <v>0.038</v>
      </c>
      <c r="C2426" s="11">
        <v>0.062</v>
      </c>
      <c r="D2426" s="11">
        <v>65.0</v>
      </c>
      <c r="E2426" s="11">
        <v>62.0</v>
      </c>
      <c r="F2426" s="11">
        <v>0.478</v>
      </c>
      <c r="G2426" s="11">
        <v>0.494</v>
      </c>
      <c r="H2426" s="11">
        <v>0.028</v>
      </c>
      <c r="I2426" s="11">
        <v>999053.0</v>
      </c>
      <c r="J2426" s="11">
        <v>0.269</v>
      </c>
      <c r="K2426" s="12" t="s">
        <v>265</v>
      </c>
      <c r="L2426" s="5" t="s">
        <v>61</v>
      </c>
      <c r="M2426" s="9" t="s">
        <v>67</v>
      </c>
    </row>
    <row r="2427">
      <c r="A2427" s="11">
        <v>2426.0</v>
      </c>
      <c r="B2427" s="11">
        <v>0.037</v>
      </c>
      <c r="C2427" s="11">
        <v>0.059</v>
      </c>
      <c r="D2427" s="11">
        <v>66.0</v>
      </c>
      <c r="E2427" s="11">
        <v>63.0</v>
      </c>
      <c r="F2427" s="11">
        <v>0.477</v>
      </c>
      <c r="G2427" s="11">
        <v>0.494</v>
      </c>
      <c r="H2427" s="11">
        <v>0.029</v>
      </c>
      <c r="I2427" s="11">
        <v>1015482.0</v>
      </c>
      <c r="J2427" s="11">
        <v>0.276</v>
      </c>
      <c r="K2427" s="12" t="s">
        <v>265</v>
      </c>
      <c r="L2427" s="5" t="s">
        <v>61</v>
      </c>
      <c r="M2427" s="9" t="s">
        <v>68</v>
      </c>
    </row>
    <row r="2428">
      <c r="A2428" s="11">
        <v>2427.0</v>
      </c>
      <c r="B2428" s="11">
        <v>0.037</v>
      </c>
      <c r="C2428" s="11">
        <v>0.056</v>
      </c>
      <c r="D2428" s="11">
        <v>66.0</v>
      </c>
      <c r="E2428" s="11">
        <v>63.0</v>
      </c>
      <c r="F2428" s="11">
        <v>0.477</v>
      </c>
      <c r="G2428" s="11">
        <v>0.494</v>
      </c>
      <c r="H2428" s="11">
        <v>0.03</v>
      </c>
      <c r="I2428" s="11">
        <v>1032182.0</v>
      </c>
      <c r="J2428" s="11">
        <v>0.282</v>
      </c>
      <c r="K2428" s="12" t="s">
        <v>265</v>
      </c>
      <c r="L2428" s="5" t="s">
        <v>61</v>
      </c>
      <c r="M2428" s="9" t="s">
        <v>69</v>
      </c>
    </row>
    <row r="2429">
      <c r="A2429" s="11">
        <v>2428.0</v>
      </c>
      <c r="B2429" s="11">
        <v>0.037</v>
      </c>
      <c r="C2429" s="11">
        <v>0.054</v>
      </c>
      <c r="D2429" s="11">
        <v>67.0</v>
      </c>
      <c r="E2429" s="11">
        <v>64.0</v>
      </c>
      <c r="F2429" s="11">
        <v>0.476</v>
      </c>
      <c r="G2429" s="11">
        <v>0.494</v>
      </c>
      <c r="H2429" s="11">
        <v>0.03</v>
      </c>
      <c r="I2429" s="11">
        <v>1049156.0</v>
      </c>
      <c r="J2429" s="11">
        <v>0.289</v>
      </c>
      <c r="K2429" s="12" t="s">
        <v>265</v>
      </c>
      <c r="L2429" s="5" t="s">
        <v>61</v>
      </c>
      <c r="M2429" s="9" t="s">
        <v>70</v>
      </c>
    </row>
    <row r="2430">
      <c r="A2430" s="11">
        <v>2429.0</v>
      </c>
      <c r="B2430" s="11">
        <v>0.036</v>
      </c>
      <c r="C2430" s="11">
        <v>0.052</v>
      </c>
      <c r="D2430" s="11">
        <v>68.0</v>
      </c>
      <c r="E2430" s="11">
        <v>64.0</v>
      </c>
      <c r="F2430" s="11">
        <v>0.473</v>
      </c>
      <c r="G2430" s="11">
        <v>0.496</v>
      </c>
      <c r="H2430" s="11">
        <v>0.031</v>
      </c>
      <c r="I2430" s="11">
        <v>1066409.0</v>
      </c>
      <c r="J2430" s="11">
        <v>0.295</v>
      </c>
      <c r="K2430" s="12" t="s">
        <v>265</v>
      </c>
      <c r="L2430" s="5" t="s">
        <v>61</v>
      </c>
      <c r="M2430" s="9" t="s">
        <v>71</v>
      </c>
    </row>
    <row r="2431">
      <c r="A2431" s="11">
        <v>2430.0</v>
      </c>
      <c r="B2431" s="11">
        <v>0.036</v>
      </c>
      <c r="C2431" s="11">
        <v>0.05</v>
      </c>
      <c r="D2431" s="11">
        <v>68.0</v>
      </c>
      <c r="E2431" s="11">
        <v>65.0</v>
      </c>
      <c r="F2431" s="11">
        <v>0.469</v>
      </c>
      <c r="G2431" s="11">
        <v>0.5</v>
      </c>
      <c r="H2431" s="11">
        <v>0.032</v>
      </c>
      <c r="I2431" s="11">
        <v>1120392.0</v>
      </c>
      <c r="J2431" s="11">
        <v>0.302</v>
      </c>
      <c r="K2431" s="12" t="s">
        <v>265</v>
      </c>
      <c r="L2431" s="5" t="s">
        <v>61</v>
      </c>
      <c r="M2431" s="9" t="s">
        <v>72</v>
      </c>
    </row>
    <row r="2432">
      <c r="A2432" s="11">
        <v>2431.0</v>
      </c>
      <c r="B2432" s="11">
        <v>0.036</v>
      </c>
      <c r="C2432" s="11">
        <v>0.048</v>
      </c>
      <c r="D2432" s="11">
        <v>69.0</v>
      </c>
      <c r="E2432" s="11">
        <v>66.0</v>
      </c>
      <c r="F2432" s="11">
        <v>0.463</v>
      </c>
      <c r="G2432" s="11">
        <v>0.505</v>
      </c>
      <c r="H2432" s="11">
        <v>0.032</v>
      </c>
      <c r="I2432" s="11">
        <v>1148958.0</v>
      </c>
      <c r="J2432" s="11">
        <v>0.308</v>
      </c>
      <c r="K2432" s="12" t="s">
        <v>265</v>
      </c>
      <c r="L2432" s="5" t="s">
        <v>61</v>
      </c>
      <c r="M2432" s="9" t="s">
        <v>73</v>
      </c>
    </row>
    <row r="2433">
      <c r="A2433" s="11">
        <v>2432.0</v>
      </c>
      <c r="B2433" s="11">
        <v>0.039</v>
      </c>
      <c r="C2433" s="11">
        <v>0.077</v>
      </c>
      <c r="D2433" s="11">
        <v>54.0</v>
      </c>
      <c r="E2433" s="11">
        <v>53.0</v>
      </c>
      <c r="F2433" s="11">
        <v>0.442</v>
      </c>
      <c r="G2433" s="11">
        <v>0.529</v>
      </c>
      <c r="H2433" s="11">
        <v>0.029</v>
      </c>
      <c r="I2433" s="11">
        <v>4864753.0</v>
      </c>
      <c r="J2433" s="11">
        <v>0.329</v>
      </c>
      <c r="K2433" s="12" t="s">
        <v>266</v>
      </c>
      <c r="L2433" s="5" t="s">
        <v>77</v>
      </c>
      <c r="M2433" s="9" t="s">
        <v>60</v>
      </c>
    </row>
    <row r="2434">
      <c r="A2434" s="11">
        <v>2433.0</v>
      </c>
      <c r="B2434" s="11">
        <v>0.039</v>
      </c>
      <c r="C2434" s="11">
        <v>0.075</v>
      </c>
      <c r="D2434" s="11">
        <v>54.0</v>
      </c>
      <c r="E2434" s="11">
        <v>53.0</v>
      </c>
      <c r="F2434" s="11">
        <v>0.439</v>
      </c>
      <c r="G2434" s="11">
        <v>0.532</v>
      </c>
      <c r="H2434" s="11">
        <v>0.028</v>
      </c>
      <c r="I2434" s="11">
        <v>4992225.0</v>
      </c>
      <c r="J2434" s="11">
        <v>0.334</v>
      </c>
      <c r="K2434" s="12" t="s">
        <v>266</v>
      </c>
      <c r="L2434" s="5" t="s">
        <v>77</v>
      </c>
      <c r="M2434" s="9" t="s">
        <v>62</v>
      </c>
    </row>
    <row r="2435">
      <c r="A2435" s="11">
        <v>2434.0</v>
      </c>
      <c r="B2435" s="11">
        <v>0.039</v>
      </c>
      <c r="C2435" s="11">
        <v>0.073</v>
      </c>
      <c r="D2435" s="11">
        <v>55.0</v>
      </c>
      <c r="E2435" s="11">
        <v>53.0</v>
      </c>
      <c r="F2435" s="11">
        <v>0.436</v>
      </c>
      <c r="G2435" s="11">
        <v>0.536</v>
      </c>
      <c r="H2435" s="11">
        <v>0.028</v>
      </c>
      <c r="I2435" s="11">
        <v>5123674.0</v>
      </c>
      <c r="J2435" s="11">
        <v>0.338</v>
      </c>
      <c r="K2435" s="12" t="s">
        <v>266</v>
      </c>
      <c r="L2435" s="5" t="s">
        <v>77</v>
      </c>
      <c r="M2435" s="9" t="s">
        <v>63</v>
      </c>
    </row>
    <row r="2436">
      <c r="A2436" s="11">
        <v>2435.0</v>
      </c>
      <c r="B2436" s="11">
        <v>0.039</v>
      </c>
      <c r="C2436" s="11">
        <v>0.072</v>
      </c>
      <c r="D2436" s="11">
        <v>55.0</v>
      </c>
      <c r="E2436" s="11">
        <v>53.0</v>
      </c>
      <c r="F2436" s="11">
        <v>0.433</v>
      </c>
      <c r="G2436" s="11">
        <v>0.539</v>
      </c>
      <c r="H2436" s="11">
        <v>0.028</v>
      </c>
      <c r="I2436" s="11">
        <v>5258956.0</v>
      </c>
      <c r="J2436" s="11">
        <v>0.343</v>
      </c>
      <c r="K2436" s="12" t="s">
        <v>266</v>
      </c>
      <c r="L2436" s="5" t="s">
        <v>77</v>
      </c>
      <c r="M2436" s="9" t="s">
        <v>64</v>
      </c>
    </row>
    <row r="2437">
      <c r="A2437" s="11">
        <v>2436.0</v>
      </c>
      <c r="B2437" s="11">
        <v>0.038</v>
      </c>
      <c r="C2437" s="11">
        <v>0.07</v>
      </c>
      <c r="D2437" s="11">
        <v>55.0</v>
      </c>
      <c r="E2437" s="11">
        <v>53.0</v>
      </c>
      <c r="F2437" s="11">
        <v>0.431</v>
      </c>
      <c r="G2437" s="11">
        <v>0.541</v>
      </c>
      <c r="H2437" s="11">
        <v>0.028</v>
      </c>
      <c r="I2437" s="11">
        <v>5397851.0</v>
      </c>
      <c r="J2437" s="11">
        <v>0.347</v>
      </c>
      <c r="K2437" s="12" t="s">
        <v>266</v>
      </c>
      <c r="L2437" s="5" t="s">
        <v>77</v>
      </c>
      <c r="M2437" s="9" t="s">
        <v>65</v>
      </c>
    </row>
    <row r="2438">
      <c r="A2438" s="11">
        <v>2437.0</v>
      </c>
      <c r="B2438" s="11">
        <v>0.038</v>
      </c>
      <c r="C2438" s="11">
        <v>0.068</v>
      </c>
      <c r="D2438" s="11">
        <v>55.0</v>
      </c>
      <c r="E2438" s="11">
        <v>53.0</v>
      </c>
      <c r="F2438" s="11">
        <v>0.428</v>
      </c>
      <c r="G2438" s="11">
        <v>0.544</v>
      </c>
      <c r="H2438" s="11">
        <v>0.028</v>
      </c>
      <c r="I2438" s="11">
        <v>5540214.0</v>
      </c>
      <c r="J2438" s="11">
        <v>0.352</v>
      </c>
      <c r="K2438" s="12" t="s">
        <v>266</v>
      </c>
      <c r="L2438" s="5" t="s">
        <v>77</v>
      </c>
      <c r="M2438" s="9" t="s">
        <v>66</v>
      </c>
    </row>
    <row r="2439">
      <c r="A2439" s="11">
        <v>2438.0</v>
      </c>
      <c r="B2439" s="11">
        <v>0.038</v>
      </c>
      <c r="C2439" s="11">
        <v>0.067</v>
      </c>
      <c r="D2439" s="11">
        <v>55.0</v>
      </c>
      <c r="E2439" s="11">
        <v>54.0</v>
      </c>
      <c r="F2439" s="11">
        <v>0.426</v>
      </c>
      <c r="G2439" s="11">
        <v>0.546</v>
      </c>
      <c r="H2439" s="11">
        <v>0.028</v>
      </c>
      <c r="I2439" s="11">
        <v>5685845.0</v>
      </c>
      <c r="J2439" s="11">
        <v>0.356</v>
      </c>
      <c r="K2439" s="12" t="s">
        <v>266</v>
      </c>
      <c r="L2439" s="5" t="s">
        <v>77</v>
      </c>
      <c r="M2439" s="9" t="s">
        <v>67</v>
      </c>
    </row>
    <row r="2440">
      <c r="A2440" s="11">
        <v>2439.0</v>
      </c>
      <c r="B2440" s="11">
        <v>0.038</v>
      </c>
      <c r="C2440" s="11">
        <v>0.065</v>
      </c>
      <c r="D2440" s="11">
        <v>55.0</v>
      </c>
      <c r="E2440" s="11">
        <v>54.0</v>
      </c>
      <c r="F2440" s="11">
        <v>0.425</v>
      </c>
      <c r="G2440" s="11">
        <v>0.548</v>
      </c>
      <c r="H2440" s="11">
        <v>0.028</v>
      </c>
      <c r="I2440" s="11">
        <v>5834806.0</v>
      </c>
      <c r="J2440" s="11">
        <v>0.361</v>
      </c>
      <c r="K2440" s="12" t="s">
        <v>266</v>
      </c>
      <c r="L2440" s="5" t="s">
        <v>77</v>
      </c>
      <c r="M2440" s="9" t="s">
        <v>68</v>
      </c>
    </row>
    <row r="2441">
      <c r="A2441" s="11">
        <v>2440.0</v>
      </c>
      <c r="B2441" s="11">
        <v>0.038</v>
      </c>
      <c r="C2441" s="11">
        <v>0.064</v>
      </c>
      <c r="D2441" s="11">
        <v>56.0</v>
      </c>
      <c r="E2441" s="11">
        <v>54.0</v>
      </c>
      <c r="F2441" s="11">
        <v>0.423</v>
      </c>
      <c r="G2441" s="11">
        <v>0.549</v>
      </c>
      <c r="H2441" s="11">
        <v>0.028</v>
      </c>
      <c r="I2441" s="11">
        <v>5987491.0</v>
      </c>
      <c r="J2441" s="11">
        <v>0.366</v>
      </c>
      <c r="K2441" s="12" t="s">
        <v>266</v>
      </c>
      <c r="L2441" s="5" t="s">
        <v>77</v>
      </c>
      <c r="M2441" s="9" t="s">
        <v>69</v>
      </c>
    </row>
    <row r="2442">
      <c r="A2442" s="11">
        <v>2441.0</v>
      </c>
      <c r="B2442" s="11">
        <v>0.038</v>
      </c>
      <c r="C2442" s="11">
        <v>0.062</v>
      </c>
      <c r="D2442" s="11">
        <v>56.0</v>
      </c>
      <c r="E2442" s="11">
        <v>54.0</v>
      </c>
      <c r="F2442" s="11">
        <v>0.422</v>
      </c>
      <c r="G2442" s="11">
        <v>0.551</v>
      </c>
      <c r="H2442" s="11">
        <v>0.027</v>
      </c>
      <c r="I2442" s="11">
        <v>6144457.0</v>
      </c>
      <c r="J2442" s="11">
        <v>0.371</v>
      </c>
      <c r="K2442" s="12" t="s">
        <v>266</v>
      </c>
      <c r="L2442" s="5" t="s">
        <v>77</v>
      </c>
      <c r="M2442" s="9" t="s">
        <v>70</v>
      </c>
    </row>
    <row r="2443">
      <c r="A2443" s="11">
        <v>2442.0</v>
      </c>
      <c r="B2443" s="11">
        <v>0.037</v>
      </c>
      <c r="C2443" s="11">
        <v>0.061</v>
      </c>
      <c r="D2443" s="11">
        <v>56.0</v>
      </c>
      <c r="E2443" s="11">
        <v>55.0</v>
      </c>
      <c r="F2443" s="11">
        <v>0.421</v>
      </c>
      <c r="G2443" s="11">
        <v>0.552</v>
      </c>
      <c r="H2443" s="11">
        <v>0.027</v>
      </c>
      <c r="I2443" s="11">
        <v>6306014.0</v>
      </c>
      <c r="J2443" s="11">
        <v>0.375</v>
      </c>
      <c r="K2443" s="12" t="s">
        <v>266</v>
      </c>
      <c r="L2443" s="5" t="s">
        <v>77</v>
      </c>
      <c r="M2443" s="9" t="s">
        <v>71</v>
      </c>
    </row>
    <row r="2444">
      <c r="A2444" s="11">
        <v>2443.0</v>
      </c>
      <c r="B2444" s="11">
        <v>0.037</v>
      </c>
      <c r="C2444" s="11">
        <v>0.059</v>
      </c>
      <c r="D2444" s="11">
        <v>57.0</v>
      </c>
      <c r="E2444" s="11">
        <v>55.0</v>
      </c>
      <c r="F2444" s="11">
        <v>0.42</v>
      </c>
      <c r="G2444" s="11">
        <v>0.553</v>
      </c>
      <c r="H2444" s="11">
        <v>0.027</v>
      </c>
      <c r="I2444" s="11">
        <v>6472304.0</v>
      </c>
      <c r="J2444" s="11">
        <v>0.38</v>
      </c>
      <c r="K2444" s="12" t="s">
        <v>266</v>
      </c>
      <c r="L2444" s="5" t="s">
        <v>77</v>
      </c>
      <c r="M2444" s="9" t="s">
        <v>72</v>
      </c>
    </row>
    <row r="2445">
      <c r="A2445" s="11">
        <v>2444.0</v>
      </c>
      <c r="B2445" s="11">
        <v>0.037</v>
      </c>
      <c r="C2445" s="11">
        <v>0.057</v>
      </c>
      <c r="D2445" s="11">
        <v>57.0</v>
      </c>
      <c r="E2445" s="11">
        <v>55.0</v>
      </c>
      <c r="F2445" s="11">
        <v>0.419</v>
      </c>
      <c r="G2445" s="11">
        <v>0.554</v>
      </c>
      <c r="H2445" s="11">
        <v>0.027</v>
      </c>
      <c r="I2445" s="11">
        <v>6642928.0</v>
      </c>
      <c r="J2445" s="11">
        <v>0.385</v>
      </c>
      <c r="K2445" s="12" t="s">
        <v>266</v>
      </c>
      <c r="L2445" s="5" t="s">
        <v>77</v>
      </c>
      <c r="M2445" s="9" t="s">
        <v>73</v>
      </c>
    </row>
    <row r="2446">
      <c r="A2446" s="11">
        <v>2445.0</v>
      </c>
      <c r="B2446" s="11">
        <v>0.028</v>
      </c>
      <c r="C2446" s="11">
        <v>0.015</v>
      </c>
      <c r="D2446" s="11">
        <v>73.0</v>
      </c>
      <c r="E2446" s="11">
        <v>69.0</v>
      </c>
      <c r="F2446" s="11">
        <v>0.384</v>
      </c>
      <c r="G2446" s="11">
        <v>0.559</v>
      </c>
      <c r="H2446" s="11">
        <v>0.057</v>
      </c>
      <c r="I2446" s="11">
        <v>97962.0</v>
      </c>
      <c r="J2446" s="11">
        <v>0.23</v>
      </c>
      <c r="K2446" s="12" t="s">
        <v>267</v>
      </c>
      <c r="L2446" s="5" t="s">
        <v>80</v>
      </c>
      <c r="M2446" s="9" t="s">
        <v>60</v>
      </c>
    </row>
    <row r="2447">
      <c r="A2447" s="11">
        <v>2446.0</v>
      </c>
      <c r="B2447" s="11">
        <v>0.028</v>
      </c>
      <c r="C2447" s="11">
        <v>0.015</v>
      </c>
      <c r="D2447" s="11">
        <v>73.0</v>
      </c>
      <c r="E2447" s="11">
        <v>69.0</v>
      </c>
      <c r="F2447" s="11">
        <v>0.382</v>
      </c>
      <c r="G2447" s="11">
        <v>0.56</v>
      </c>
      <c r="H2447" s="11">
        <v>0.058</v>
      </c>
      <c r="I2447" s="11">
        <v>98504.0</v>
      </c>
      <c r="J2447" s="11">
        <v>0.23</v>
      </c>
      <c r="K2447" s="12" t="s">
        <v>267</v>
      </c>
      <c r="L2447" s="5" t="s">
        <v>80</v>
      </c>
      <c r="M2447" s="9" t="s">
        <v>62</v>
      </c>
    </row>
    <row r="2448">
      <c r="A2448" s="11">
        <v>2447.0</v>
      </c>
      <c r="B2448" s="11">
        <v>0.029</v>
      </c>
      <c r="C2448" s="11">
        <v>0.015</v>
      </c>
      <c r="D2448" s="11">
        <v>73.0</v>
      </c>
      <c r="E2448" s="11">
        <v>69.0</v>
      </c>
      <c r="F2448" s="11">
        <v>0.382</v>
      </c>
      <c r="G2448" s="11">
        <v>0.559</v>
      </c>
      <c r="H2448" s="11">
        <v>0.059</v>
      </c>
      <c r="I2448" s="11">
        <v>99083.0</v>
      </c>
      <c r="J2448" s="11">
        <v>0.231</v>
      </c>
      <c r="K2448" s="12" t="s">
        <v>267</v>
      </c>
      <c r="L2448" s="5" t="s">
        <v>80</v>
      </c>
      <c r="M2448" s="9" t="s">
        <v>63</v>
      </c>
    </row>
    <row r="2449">
      <c r="A2449" s="11">
        <v>2448.0</v>
      </c>
      <c r="B2449" s="11">
        <v>0.029</v>
      </c>
      <c r="C2449" s="11">
        <v>0.014</v>
      </c>
      <c r="D2449" s="11">
        <v>74.0</v>
      </c>
      <c r="E2449" s="11">
        <v>69.0</v>
      </c>
      <c r="F2449" s="11">
        <v>0.382</v>
      </c>
      <c r="G2449" s="11">
        <v>0.559</v>
      </c>
      <c r="H2449" s="11">
        <v>0.06</v>
      </c>
      <c r="I2449" s="11">
        <v>99691.0</v>
      </c>
      <c r="J2449" s="11">
        <v>0.231</v>
      </c>
      <c r="K2449" s="12" t="s">
        <v>267</v>
      </c>
      <c r="L2449" s="5" t="s">
        <v>80</v>
      </c>
      <c r="M2449" s="9" t="s">
        <v>64</v>
      </c>
    </row>
    <row r="2450">
      <c r="A2450" s="11">
        <v>2449.0</v>
      </c>
      <c r="B2450" s="11">
        <v>0.029</v>
      </c>
      <c r="C2450" s="11">
        <v>0.014</v>
      </c>
      <c r="D2450" s="11">
        <v>74.0</v>
      </c>
      <c r="E2450" s="11">
        <v>69.0</v>
      </c>
      <c r="F2450" s="11">
        <v>0.381</v>
      </c>
      <c r="G2450" s="11">
        <v>0.558</v>
      </c>
      <c r="H2450" s="11">
        <v>0.06</v>
      </c>
      <c r="I2450" s="11">
        <v>100319.0</v>
      </c>
      <c r="J2450" s="11">
        <v>0.231</v>
      </c>
      <c r="K2450" s="12" t="s">
        <v>267</v>
      </c>
      <c r="L2450" s="5" t="s">
        <v>80</v>
      </c>
      <c r="M2450" s="9" t="s">
        <v>65</v>
      </c>
    </row>
    <row r="2451">
      <c r="A2451" s="11">
        <v>2450.0</v>
      </c>
      <c r="B2451" s="11">
        <v>0.029</v>
      </c>
      <c r="C2451" s="11">
        <v>0.013</v>
      </c>
      <c r="D2451" s="11">
        <v>74.0</v>
      </c>
      <c r="E2451" s="11">
        <v>69.0</v>
      </c>
      <c r="F2451" s="11">
        <v>0.381</v>
      </c>
      <c r="G2451" s="11">
        <v>0.559</v>
      </c>
      <c r="H2451" s="11">
        <v>0.06</v>
      </c>
      <c r="I2451" s="11">
        <v>100960.0</v>
      </c>
      <c r="J2451" s="11">
        <v>0.232</v>
      </c>
      <c r="K2451" s="12" t="s">
        <v>267</v>
      </c>
      <c r="L2451" s="5" t="s">
        <v>80</v>
      </c>
      <c r="M2451" s="9" t="s">
        <v>66</v>
      </c>
    </row>
    <row r="2452">
      <c r="A2452" s="11">
        <v>2451.0</v>
      </c>
      <c r="B2452" s="11">
        <v>0.029</v>
      </c>
      <c r="C2452" s="11">
        <v>0.013</v>
      </c>
      <c r="D2452" s="11">
        <v>74.0</v>
      </c>
      <c r="E2452" s="11">
        <v>69.0</v>
      </c>
      <c r="F2452" s="11">
        <v>0.38</v>
      </c>
      <c r="G2452" s="11">
        <v>0.56</v>
      </c>
      <c r="H2452" s="11">
        <v>0.06</v>
      </c>
      <c r="I2452" s="11">
        <v>101617.0</v>
      </c>
      <c r="J2452" s="11">
        <v>0.232</v>
      </c>
      <c r="K2452" s="12" t="s">
        <v>267</v>
      </c>
      <c r="L2452" s="5" t="s">
        <v>80</v>
      </c>
      <c r="M2452" s="9" t="s">
        <v>67</v>
      </c>
    </row>
    <row r="2453">
      <c r="A2453" s="11">
        <v>2452.0</v>
      </c>
      <c r="B2453" s="11">
        <v>0.028</v>
      </c>
      <c r="C2453" s="11">
        <v>0.013</v>
      </c>
      <c r="D2453" s="11">
        <v>75.0</v>
      </c>
      <c r="E2453" s="11">
        <v>69.0</v>
      </c>
      <c r="F2453" s="11">
        <v>0.379</v>
      </c>
      <c r="G2453" s="11">
        <v>0.561</v>
      </c>
      <c r="H2453" s="11">
        <v>0.06</v>
      </c>
      <c r="I2453" s="11">
        <v>102289.0</v>
      </c>
      <c r="J2453" s="11">
        <v>0.232</v>
      </c>
      <c r="K2453" s="12" t="s">
        <v>267</v>
      </c>
      <c r="L2453" s="5" t="s">
        <v>80</v>
      </c>
      <c r="M2453" s="9" t="s">
        <v>68</v>
      </c>
    </row>
    <row r="2454">
      <c r="A2454" s="11">
        <v>2453.0</v>
      </c>
      <c r="B2454" s="11">
        <v>0.028</v>
      </c>
      <c r="C2454" s="11">
        <v>0.012</v>
      </c>
      <c r="D2454" s="11">
        <v>75.0</v>
      </c>
      <c r="E2454" s="11">
        <v>69.0</v>
      </c>
      <c r="F2454" s="11">
        <v>0.377</v>
      </c>
      <c r="G2454" s="11">
        <v>0.563</v>
      </c>
      <c r="H2454" s="11">
        <v>0.059</v>
      </c>
      <c r="I2454" s="11">
        <v>102947.0</v>
      </c>
      <c r="J2454" s="11">
        <v>0.233</v>
      </c>
      <c r="K2454" s="12" t="s">
        <v>267</v>
      </c>
      <c r="L2454" s="5" t="s">
        <v>80</v>
      </c>
      <c r="M2454" s="9" t="s">
        <v>69</v>
      </c>
    </row>
    <row r="2455">
      <c r="A2455" s="11">
        <v>2454.0</v>
      </c>
      <c r="B2455" s="11">
        <v>0.028</v>
      </c>
      <c r="C2455" s="11">
        <v>0.012</v>
      </c>
      <c r="D2455" s="11">
        <v>75.0</v>
      </c>
      <c r="E2455" s="11">
        <v>69.0</v>
      </c>
      <c r="F2455" s="11">
        <v>0.376</v>
      </c>
      <c r="G2455" s="11">
        <v>0.565</v>
      </c>
      <c r="H2455" s="11">
        <v>0.059</v>
      </c>
      <c r="I2455" s="11">
        <v>103557.0</v>
      </c>
      <c r="J2455" s="11">
        <v>0.233</v>
      </c>
      <c r="K2455" s="12" t="s">
        <v>267</v>
      </c>
      <c r="L2455" s="5" t="s">
        <v>80</v>
      </c>
      <c r="M2455" s="9" t="s">
        <v>70</v>
      </c>
    </row>
    <row r="2456">
      <c r="A2456" s="11">
        <v>2455.0</v>
      </c>
      <c r="B2456" s="11">
        <v>0.027</v>
      </c>
      <c r="C2456" s="11">
        <v>0.012</v>
      </c>
      <c r="D2456" s="11">
        <v>75.0</v>
      </c>
      <c r="E2456" s="11">
        <v>69.0</v>
      </c>
      <c r="F2456" s="11">
        <v>0.375</v>
      </c>
      <c r="G2456" s="11">
        <v>0.567</v>
      </c>
      <c r="H2456" s="11">
        <v>0.059</v>
      </c>
      <c r="I2456" s="11">
        <v>104098.0</v>
      </c>
      <c r="J2456" s="11">
        <v>0.234</v>
      </c>
      <c r="K2456" s="12" t="s">
        <v>267</v>
      </c>
      <c r="L2456" s="5" t="s">
        <v>80</v>
      </c>
      <c r="M2456" s="9" t="s">
        <v>71</v>
      </c>
    </row>
    <row r="2457">
      <c r="A2457" s="11">
        <v>2456.0</v>
      </c>
      <c r="B2457" s="11">
        <v>0.027</v>
      </c>
      <c r="C2457" s="11">
        <v>0.011</v>
      </c>
      <c r="D2457" s="11">
        <v>75.0</v>
      </c>
      <c r="E2457" s="11">
        <v>69.0</v>
      </c>
      <c r="F2457" s="11">
        <v>0.374</v>
      </c>
      <c r="G2457" s="11">
        <v>0.568</v>
      </c>
      <c r="H2457" s="11">
        <v>0.058</v>
      </c>
      <c r="I2457" s="11">
        <v>104554.0</v>
      </c>
      <c r="J2457" s="11">
        <v>0.234</v>
      </c>
      <c r="K2457" s="12" t="s">
        <v>267</v>
      </c>
      <c r="L2457" s="5" t="s">
        <v>80</v>
      </c>
      <c r="M2457" s="9" t="s">
        <v>72</v>
      </c>
    </row>
    <row r="2458">
      <c r="A2458" s="11">
        <v>2457.0</v>
      </c>
      <c r="B2458" s="11">
        <v>0.026</v>
      </c>
      <c r="C2458" s="11">
        <v>0.011</v>
      </c>
      <c r="D2458" s="11">
        <v>75.0</v>
      </c>
      <c r="E2458" s="11">
        <v>70.0</v>
      </c>
      <c r="F2458" s="11">
        <v>0.373</v>
      </c>
      <c r="G2458" s="11">
        <v>0.568</v>
      </c>
      <c r="H2458" s="11">
        <v>0.058</v>
      </c>
      <c r="I2458" s="11">
        <v>104941.0</v>
      </c>
      <c r="J2458" s="11">
        <v>0.235</v>
      </c>
      <c r="K2458" s="12" t="s">
        <v>267</v>
      </c>
      <c r="L2458" s="5" t="s">
        <v>80</v>
      </c>
      <c r="M2458" s="9" t="s">
        <v>73</v>
      </c>
    </row>
    <row r="2459">
      <c r="A2459" s="11">
        <v>2458.0</v>
      </c>
      <c r="B2459" s="11">
        <v>0.015</v>
      </c>
      <c r="C2459" s="11">
        <v>0.025</v>
      </c>
      <c r="D2459" s="11">
        <v>72.0</v>
      </c>
      <c r="E2459" s="11">
        <v>65.0</v>
      </c>
      <c r="F2459" s="11">
        <v>0.256</v>
      </c>
      <c r="G2459" s="11">
        <v>0.679</v>
      </c>
      <c r="H2459" s="11">
        <v>0.065</v>
      </c>
      <c r="I2459" s="11">
        <v>1267980.0</v>
      </c>
      <c r="J2459" s="11">
        <v>0.108</v>
      </c>
      <c r="K2459" s="12" t="s">
        <v>268</v>
      </c>
      <c r="L2459" s="5" t="s">
        <v>84</v>
      </c>
      <c r="M2459" s="9" t="s">
        <v>60</v>
      </c>
    </row>
    <row r="2460">
      <c r="A2460" s="11">
        <v>2459.0</v>
      </c>
      <c r="B2460" s="11">
        <v>0.015</v>
      </c>
      <c r="C2460" s="11">
        <v>0.025</v>
      </c>
      <c r="D2460" s="11">
        <v>72.0</v>
      </c>
      <c r="E2460" s="11">
        <v>65.0</v>
      </c>
      <c r="F2460" s="11">
        <v>0.246</v>
      </c>
      <c r="G2460" s="11">
        <v>0.687</v>
      </c>
      <c r="H2460" s="11">
        <v>0.067</v>
      </c>
      <c r="I2460" s="11">
        <v>1272347.0</v>
      </c>
      <c r="J2460" s="11">
        <v>0.106</v>
      </c>
      <c r="K2460" s="12" t="s">
        <v>268</v>
      </c>
      <c r="L2460" s="5" t="s">
        <v>84</v>
      </c>
      <c r="M2460" s="9" t="s">
        <v>62</v>
      </c>
    </row>
    <row r="2461">
      <c r="A2461" s="11">
        <v>2460.0</v>
      </c>
      <c r="B2461" s="11">
        <v>0.015</v>
      </c>
      <c r="C2461" s="11">
        <v>0.025</v>
      </c>
      <c r="D2461" s="11">
        <v>73.0</v>
      </c>
      <c r="E2461" s="11">
        <v>65.0</v>
      </c>
      <c r="F2461" s="11">
        <v>0.238</v>
      </c>
      <c r="G2461" s="11">
        <v>0.694</v>
      </c>
      <c r="H2461" s="11">
        <v>0.068</v>
      </c>
      <c r="I2461" s="11">
        <v>1277723.0</v>
      </c>
      <c r="J2461" s="11">
        <v>0.104</v>
      </c>
      <c r="K2461" s="12" t="s">
        <v>268</v>
      </c>
      <c r="L2461" s="5" t="s">
        <v>84</v>
      </c>
      <c r="M2461" s="9" t="s">
        <v>63</v>
      </c>
    </row>
    <row r="2462">
      <c r="A2462" s="11">
        <v>2461.0</v>
      </c>
      <c r="B2462" s="11">
        <v>0.015</v>
      </c>
      <c r="C2462" s="11">
        <v>0.025</v>
      </c>
      <c r="D2462" s="11">
        <v>73.0</v>
      </c>
      <c r="E2462" s="11">
        <v>65.0</v>
      </c>
      <c r="F2462" s="11">
        <v>0.23</v>
      </c>
      <c r="G2462" s="11">
        <v>0.701</v>
      </c>
      <c r="H2462" s="11">
        <v>0.069</v>
      </c>
      <c r="I2462" s="11">
        <v>1283868.0</v>
      </c>
      <c r="J2462" s="11">
        <v>0.102</v>
      </c>
      <c r="K2462" s="12" t="s">
        <v>268</v>
      </c>
      <c r="L2462" s="5" t="s">
        <v>84</v>
      </c>
      <c r="M2462" s="9" t="s">
        <v>64</v>
      </c>
    </row>
    <row r="2463">
      <c r="A2463" s="11">
        <v>2462.0</v>
      </c>
      <c r="B2463" s="11">
        <v>0.015</v>
      </c>
      <c r="C2463" s="11">
        <v>0.024</v>
      </c>
      <c r="D2463" s="11">
        <v>73.0</v>
      </c>
      <c r="E2463" s="11">
        <v>65.0</v>
      </c>
      <c r="F2463" s="11">
        <v>0.224</v>
      </c>
      <c r="G2463" s="11">
        <v>0.706</v>
      </c>
      <c r="H2463" s="11">
        <v>0.071</v>
      </c>
      <c r="I2463" s="11">
        <v>1290379.0</v>
      </c>
      <c r="J2463" s="11">
        <v>0.101</v>
      </c>
      <c r="K2463" s="12" t="s">
        <v>268</v>
      </c>
      <c r="L2463" s="5" t="s">
        <v>84</v>
      </c>
      <c r="M2463" s="9" t="s">
        <v>65</v>
      </c>
    </row>
    <row r="2464">
      <c r="A2464" s="11">
        <v>2463.0</v>
      </c>
      <c r="B2464" s="11">
        <v>0.015</v>
      </c>
      <c r="C2464" s="11">
        <v>0.024</v>
      </c>
      <c r="D2464" s="11">
        <v>73.0</v>
      </c>
      <c r="E2464" s="11">
        <v>65.0</v>
      </c>
      <c r="F2464" s="11">
        <v>0.218</v>
      </c>
      <c r="G2464" s="11">
        <v>0.709</v>
      </c>
      <c r="H2464" s="11">
        <v>0.072</v>
      </c>
      <c r="I2464" s="11">
        <v>1296933.0</v>
      </c>
      <c r="J2464" s="11">
        <v>0.099</v>
      </c>
      <c r="K2464" s="12" t="s">
        <v>268</v>
      </c>
      <c r="L2464" s="5" t="s">
        <v>84</v>
      </c>
      <c r="M2464" s="9" t="s">
        <v>66</v>
      </c>
    </row>
    <row r="2465">
      <c r="A2465" s="11">
        <v>2464.0</v>
      </c>
      <c r="B2465" s="11">
        <v>0.015</v>
      </c>
      <c r="C2465" s="11">
        <v>0.023</v>
      </c>
      <c r="D2465" s="11">
        <v>73.0</v>
      </c>
      <c r="E2465" s="11">
        <v>66.0</v>
      </c>
      <c r="F2465" s="11">
        <v>0.214</v>
      </c>
      <c r="G2465" s="11">
        <v>0.712</v>
      </c>
      <c r="H2465" s="11">
        <v>0.074</v>
      </c>
      <c r="I2465" s="11">
        <v>1303478.0</v>
      </c>
      <c r="J2465" s="11">
        <v>0.097</v>
      </c>
      <c r="K2465" s="12" t="s">
        <v>268</v>
      </c>
      <c r="L2465" s="5" t="s">
        <v>84</v>
      </c>
      <c r="M2465" s="9" t="s">
        <v>67</v>
      </c>
    </row>
    <row r="2466">
      <c r="A2466" s="11">
        <v>2465.0</v>
      </c>
      <c r="B2466" s="11">
        <v>0.015</v>
      </c>
      <c r="C2466" s="11">
        <v>0.023</v>
      </c>
      <c r="D2466" s="11">
        <v>73.0</v>
      </c>
      <c r="E2466" s="11">
        <v>66.0</v>
      </c>
      <c r="F2466" s="11">
        <v>0.211</v>
      </c>
      <c r="G2466" s="11">
        <v>0.713</v>
      </c>
      <c r="H2466" s="11">
        <v>0.076</v>
      </c>
      <c r="I2466" s="11">
        <v>1310040.0</v>
      </c>
      <c r="J2466" s="11">
        <v>0.096</v>
      </c>
      <c r="K2466" s="12" t="s">
        <v>268</v>
      </c>
      <c r="L2466" s="5" t="s">
        <v>84</v>
      </c>
      <c r="M2466" s="9" t="s">
        <v>68</v>
      </c>
    </row>
    <row r="2467">
      <c r="A2467" s="11">
        <v>2466.0</v>
      </c>
      <c r="B2467" s="11">
        <v>0.015</v>
      </c>
      <c r="C2467" s="11">
        <v>0.022</v>
      </c>
      <c r="D2467" s="11">
        <v>73.0</v>
      </c>
      <c r="E2467" s="11">
        <v>66.0</v>
      </c>
      <c r="F2467" s="11">
        <v>0.209</v>
      </c>
      <c r="G2467" s="11">
        <v>0.712</v>
      </c>
      <c r="H2467" s="11">
        <v>0.078</v>
      </c>
      <c r="I2467" s="11">
        <v>1316449.0</v>
      </c>
      <c r="J2467" s="11">
        <v>0.094</v>
      </c>
      <c r="K2467" s="12" t="s">
        <v>268</v>
      </c>
      <c r="L2467" s="5" t="s">
        <v>84</v>
      </c>
      <c r="M2467" s="9" t="s">
        <v>69</v>
      </c>
    </row>
    <row r="2468">
      <c r="A2468" s="11">
        <v>2467.0</v>
      </c>
      <c r="B2468" s="11">
        <v>0.015</v>
      </c>
      <c r="C2468" s="11">
        <v>0.021</v>
      </c>
      <c r="D2468" s="11">
        <v>73.0</v>
      </c>
      <c r="E2468" s="11">
        <v>66.0</v>
      </c>
      <c r="F2468" s="11">
        <v>0.208</v>
      </c>
      <c r="G2468" s="11">
        <v>0.711</v>
      </c>
      <c r="H2468" s="11">
        <v>0.081</v>
      </c>
      <c r="I2468" s="11">
        <v>1322518.0</v>
      </c>
      <c r="J2468" s="11">
        <v>0.092</v>
      </c>
      <c r="K2468" s="12" t="s">
        <v>268</v>
      </c>
      <c r="L2468" s="5" t="s">
        <v>84</v>
      </c>
      <c r="M2468" s="9" t="s">
        <v>70</v>
      </c>
    </row>
    <row r="2469">
      <c r="A2469" s="11">
        <v>2468.0</v>
      </c>
      <c r="B2469" s="11">
        <v>0.015</v>
      </c>
      <c r="C2469" s="11">
        <v>0.021</v>
      </c>
      <c r="D2469" s="11">
        <v>73.0</v>
      </c>
      <c r="E2469" s="11">
        <v>66.0</v>
      </c>
      <c r="F2469" s="11">
        <v>0.207</v>
      </c>
      <c r="G2469" s="11">
        <v>0.71</v>
      </c>
      <c r="H2469" s="11">
        <v>0.083</v>
      </c>
      <c r="I2469" s="11">
        <v>1328095.0</v>
      </c>
      <c r="J2469" s="11">
        <v>0.091</v>
      </c>
      <c r="K2469" s="12" t="s">
        <v>268</v>
      </c>
      <c r="L2469" s="5" t="s">
        <v>84</v>
      </c>
      <c r="M2469" s="9" t="s">
        <v>71</v>
      </c>
    </row>
    <row r="2470">
      <c r="A2470" s="11">
        <v>2469.0</v>
      </c>
      <c r="B2470" s="11">
        <v>0.015</v>
      </c>
      <c r="C2470" s="11">
        <v>0.02</v>
      </c>
      <c r="D2470" s="11">
        <v>73.0</v>
      </c>
      <c r="E2470" s="11">
        <v>66.0</v>
      </c>
      <c r="F2470" s="11">
        <v>0.207</v>
      </c>
      <c r="G2470" s="11">
        <v>0.708</v>
      </c>
      <c r="H2470" s="11">
        <v>0.085</v>
      </c>
      <c r="I2470" s="11">
        <v>1333082.0</v>
      </c>
      <c r="J2470" s="11">
        <v>0.089</v>
      </c>
      <c r="K2470" s="12" t="s">
        <v>268</v>
      </c>
      <c r="L2470" s="5" t="s">
        <v>84</v>
      </c>
      <c r="M2470" s="9" t="s">
        <v>72</v>
      </c>
    </row>
    <row r="2471">
      <c r="A2471" s="11">
        <v>2470.0</v>
      </c>
      <c r="B2471" s="11">
        <v>0.015</v>
      </c>
      <c r="C2471" s="11">
        <v>0.02</v>
      </c>
      <c r="D2471" s="11">
        <v>74.0</v>
      </c>
      <c r="E2471" s="11">
        <v>66.0</v>
      </c>
      <c r="F2471" s="11">
        <v>0.207</v>
      </c>
      <c r="G2471" s="11">
        <v>0.705</v>
      </c>
      <c r="H2471" s="11">
        <v>0.088</v>
      </c>
      <c r="I2471" s="11">
        <v>1337439.0</v>
      </c>
      <c r="J2471" s="11">
        <v>0.088</v>
      </c>
      <c r="K2471" s="12" t="s">
        <v>268</v>
      </c>
      <c r="L2471" s="5" t="s">
        <v>84</v>
      </c>
      <c r="M2471" s="9" t="s">
        <v>73</v>
      </c>
    </row>
    <row r="2472">
      <c r="A2472" s="11">
        <v>2471.0</v>
      </c>
      <c r="B2472" s="11">
        <v>0.017</v>
      </c>
      <c r="C2472" s="11">
        <v>0.026</v>
      </c>
      <c r="D2472" s="11">
        <v>75.0</v>
      </c>
      <c r="E2472" s="11">
        <v>71.0</v>
      </c>
      <c r="F2472" s="11">
        <v>0.298</v>
      </c>
      <c r="G2472" s="11">
        <v>0.641</v>
      </c>
      <c r="H2472" s="11">
        <v>0.06</v>
      </c>
      <c r="I2472" s="11">
        <v>9563500.0</v>
      </c>
      <c r="J2472" s="11">
        <v>0.634</v>
      </c>
      <c r="K2472" s="12" t="s">
        <v>269</v>
      </c>
      <c r="L2472" s="5" t="s">
        <v>77</v>
      </c>
      <c r="M2472" s="9" t="s">
        <v>60</v>
      </c>
    </row>
    <row r="2473">
      <c r="A2473" s="11">
        <v>2472.0</v>
      </c>
      <c r="B2473" s="11">
        <v>0.017</v>
      </c>
      <c r="C2473" s="11">
        <v>0.024</v>
      </c>
      <c r="D2473" s="11">
        <v>75.0</v>
      </c>
      <c r="E2473" s="11">
        <v>71.0</v>
      </c>
      <c r="F2473" s="11">
        <v>0.289</v>
      </c>
      <c r="G2473" s="11">
        <v>0.649</v>
      </c>
      <c r="H2473" s="11">
        <v>0.062</v>
      </c>
      <c r="I2473" s="11">
        <v>9673600.0</v>
      </c>
      <c r="J2473" s="11">
        <v>0.638</v>
      </c>
      <c r="K2473" s="12" t="s">
        <v>269</v>
      </c>
      <c r="L2473" s="5" t="s">
        <v>77</v>
      </c>
      <c r="M2473" s="9" t="s">
        <v>62</v>
      </c>
    </row>
    <row r="2474">
      <c r="A2474" s="11">
        <v>2473.0</v>
      </c>
      <c r="B2474" s="11">
        <v>0.017</v>
      </c>
      <c r="C2474" s="11">
        <v>0.023</v>
      </c>
      <c r="D2474" s="11">
        <v>75.0</v>
      </c>
      <c r="E2474" s="11">
        <v>71.0</v>
      </c>
      <c r="F2474" s="11">
        <v>0.281</v>
      </c>
      <c r="G2474" s="11">
        <v>0.656</v>
      </c>
      <c r="H2474" s="11">
        <v>0.064</v>
      </c>
      <c r="I2474" s="11">
        <v>9781900.0</v>
      </c>
      <c r="J2474" s="11">
        <v>0.642</v>
      </c>
      <c r="K2474" s="12" t="s">
        <v>269</v>
      </c>
      <c r="L2474" s="5" t="s">
        <v>77</v>
      </c>
      <c r="M2474" s="9" t="s">
        <v>63</v>
      </c>
    </row>
    <row r="2475">
      <c r="A2475" s="11">
        <v>2474.0</v>
      </c>
      <c r="B2475" s="11">
        <v>0.017</v>
      </c>
      <c r="C2475" s="11">
        <v>0.022</v>
      </c>
      <c r="D2475" s="11">
        <v>75.0</v>
      </c>
      <c r="E2475" s="11">
        <v>71.0</v>
      </c>
      <c r="F2475" s="11">
        <v>0.272</v>
      </c>
      <c r="G2475" s="11">
        <v>0.663</v>
      </c>
      <c r="H2475" s="11">
        <v>0.065</v>
      </c>
      <c r="I2475" s="11">
        <v>9839800.0</v>
      </c>
      <c r="J2475" s="11">
        <v>0.646</v>
      </c>
      <c r="K2475" s="12" t="s">
        <v>269</v>
      </c>
      <c r="L2475" s="5" t="s">
        <v>77</v>
      </c>
      <c r="M2475" s="9" t="s">
        <v>64</v>
      </c>
    </row>
    <row r="2476">
      <c r="A2476" s="11">
        <v>2475.0</v>
      </c>
      <c r="B2476" s="11">
        <v>0.017</v>
      </c>
      <c r="C2476" s="11">
        <v>0.021</v>
      </c>
      <c r="D2476" s="11">
        <v>75.0</v>
      </c>
      <c r="E2476" s="11">
        <v>71.0</v>
      </c>
      <c r="F2476" s="11">
        <v>0.265</v>
      </c>
      <c r="G2476" s="11">
        <v>0.669</v>
      </c>
      <c r="H2476" s="11">
        <v>0.066</v>
      </c>
      <c r="I2476" s="11">
        <v>9932400.0</v>
      </c>
      <c r="J2476" s="11">
        <v>0.649</v>
      </c>
      <c r="K2476" s="12" t="s">
        <v>269</v>
      </c>
      <c r="L2476" s="5" t="s">
        <v>77</v>
      </c>
      <c r="M2476" s="9" t="s">
        <v>65</v>
      </c>
    </row>
    <row r="2477">
      <c r="A2477" s="11">
        <v>2476.0</v>
      </c>
      <c r="B2477" s="11">
        <v>0.017</v>
      </c>
      <c r="C2477" s="11">
        <v>0.02</v>
      </c>
      <c r="D2477" s="11">
        <v>76.0</v>
      </c>
      <c r="E2477" s="11">
        <v>72.0</v>
      </c>
      <c r="F2477" s="11">
        <v>0.258</v>
      </c>
      <c r="G2477" s="11">
        <v>0.675</v>
      </c>
      <c r="H2477" s="11">
        <v>0.067</v>
      </c>
      <c r="I2477" s="11">
        <v>1.0029E7</v>
      </c>
      <c r="J2477" s="11">
        <v>0.651</v>
      </c>
      <c r="K2477" s="12" t="s">
        <v>269</v>
      </c>
      <c r="L2477" s="5" t="s">
        <v>77</v>
      </c>
      <c r="M2477" s="9" t="s">
        <v>66</v>
      </c>
    </row>
    <row r="2478">
      <c r="A2478" s="11">
        <v>2477.0</v>
      </c>
      <c r="B2478" s="11">
        <v>0.017</v>
      </c>
      <c r="C2478" s="11">
        <v>0.019</v>
      </c>
      <c r="D2478" s="11">
        <v>76.0</v>
      </c>
      <c r="E2478" s="11">
        <v>72.0</v>
      </c>
      <c r="F2478" s="11">
        <v>0.252</v>
      </c>
      <c r="G2478" s="11">
        <v>0.681</v>
      </c>
      <c r="H2478" s="11">
        <v>0.068</v>
      </c>
      <c r="I2478" s="11">
        <v>1.01279E7</v>
      </c>
      <c r="J2478" s="11">
        <v>0.653</v>
      </c>
      <c r="K2478" s="12" t="s">
        <v>269</v>
      </c>
      <c r="L2478" s="5" t="s">
        <v>77</v>
      </c>
      <c r="M2478" s="9" t="s">
        <v>67</v>
      </c>
    </row>
    <row r="2479">
      <c r="A2479" s="11">
        <v>2478.0</v>
      </c>
      <c r="B2479" s="11">
        <v>0.017</v>
      </c>
      <c r="C2479" s="11">
        <v>0.018</v>
      </c>
      <c r="D2479" s="11">
        <v>76.0</v>
      </c>
      <c r="E2479" s="11">
        <v>72.0</v>
      </c>
      <c r="F2479" s="11">
        <v>0.246</v>
      </c>
      <c r="G2479" s="11">
        <v>0.686</v>
      </c>
      <c r="H2479" s="11">
        <v>0.068</v>
      </c>
      <c r="I2479" s="11">
        <v>1.02251E7</v>
      </c>
      <c r="J2479" s="11">
        <v>0.654</v>
      </c>
      <c r="K2479" s="12" t="s">
        <v>269</v>
      </c>
      <c r="L2479" s="5" t="s">
        <v>77</v>
      </c>
      <c r="M2479" s="9" t="s">
        <v>68</v>
      </c>
    </row>
    <row r="2480">
      <c r="A2480" s="11">
        <v>2479.0</v>
      </c>
      <c r="B2480" s="11">
        <v>0.018</v>
      </c>
      <c r="C2480" s="11">
        <v>0.017</v>
      </c>
      <c r="D2480" s="11">
        <v>76.0</v>
      </c>
      <c r="E2480" s="11">
        <v>72.0</v>
      </c>
      <c r="F2480" s="11">
        <v>0.241</v>
      </c>
      <c r="G2480" s="11">
        <v>0.69</v>
      </c>
      <c r="H2480" s="11">
        <v>0.069</v>
      </c>
      <c r="I2480" s="11">
        <v>1.03289E7</v>
      </c>
      <c r="J2480" s="11">
        <v>0.656</v>
      </c>
      <c r="K2480" s="12" t="s">
        <v>269</v>
      </c>
      <c r="L2480" s="5" t="s">
        <v>77</v>
      </c>
      <c r="M2480" s="9" t="s">
        <v>69</v>
      </c>
    </row>
    <row r="2481">
      <c r="A2481" s="11">
        <v>2480.0</v>
      </c>
      <c r="B2481" s="11">
        <v>0.018</v>
      </c>
      <c r="C2481" s="11">
        <v>0.016</v>
      </c>
      <c r="D2481" s="11">
        <v>77.0</v>
      </c>
      <c r="E2481" s="11">
        <v>73.0</v>
      </c>
      <c r="F2481" s="11">
        <v>0.238</v>
      </c>
      <c r="G2481" s="11">
        <v>0.693</v>
      </c>
      <c r="H2481" s="11">
        <v>0.069</v>
      </c>
      <c r="I2481" s="11">
        <v>1.04396E7</v>
      </c>
      <c r="J2481" s="11">
        <v>0.658</v>
      </c>
      <c r="K2481" s="12" t="s">
        <v>269</v>
      </c>
      <c r="L2481" s="5" t="s">
        <v>77</v>
      </c>
      <c r="M2481" s="9" t="s">
        <v>70</v>
      </c>
    </row>
    <row r="2482">
      <c r="A2482" s="11">
        <v>2481.0</v>
      </c>
      <c r="B2482" s="11">
        <v>0.019</v>
      </c>
      <c r="C2482" s="11">
        <v>0.015</v>
      </c>
      <c r="D2482" s="11">
        <v>77.0</v>
      </c>
      <c r="E2482" s="11">
        <v>73.0</v>
      </c>
      <c r="F2482" s="11">
        <v>0.235</v>
      </c>
      <c r="G2482" s="11">
        <v>0.696</v>
      </c>
      <c r="H2482" s="11">
        <v>0.069</v>
      </c>
      <c r="I2482" s="11">
        <v>1.05491E7</v>
      </c>
      <c r="J2482" s="11">
        <v>0.659</v>
      </c>
      <c r="K2482" s="12" t="s">
        <v>269</v>
      </c>
      <c r="L2482" s="5" t="s">
        <v>77</v>
      </c>
      <c r="M2482" s="9" t="s">
        <v>71</v>
      </c>
    </row>
    <row r="2483">
      <c r="A2483" s="11">
        <v>2482.0</v>
      </c>
      <c r="B2483" s="11">
        <v>0.019</v>
      </c>
      <c r="C2483" s="11">
        <v>0.014</v>
      </c>
      <c r="D2483" s="11">
        <v>77.0</v>
      </c>
      <c r="E2483" s="11">
        <v>73.0</v>
      </c>
      <c r="F2483" s="11">
        <v>0.233</v>
      </c>
      <c r="G2483" s="11">
        <v>0.697</v>
      </c>
      <c r="H2483" s="11">
        <v>0.07</v>
      </c>
      <c r="I2483" s="11">
        <v>1.06738E7</v>
      </c>
      <c r="J2483" s="11">
        <v>0.661</v>
      </c>
      <c r="K2483" s="12" t="s">
        <v>269</v>
      </c>
      <c r="L2483" s="5" t="s">
        <v>77</v>
      </c>
      <c r="M2483" s="9" t="s">
        <v>72</v>
      </c>
    </row>
    <row r="2484">
      <c r="A2484" s="11">
        <v>2483.0</v>
      </c>
      <c r="B2484" s="11">
        <v>0.019</v>
      </c>
      <c r="C2484" s="11">
        <v>0.014</v>
      </c>
      <c r="D2484" s="11">
        <v>77.0</v>
      </c>
      <c r="E2484" s="11">
        <v>73.0</v>
      </c>
      <c r="F2484" s="11">
        <v>0.232</v>
      </c>
      <c r="G2484" s="11">
        <v>0.697</v>
      </c>
      <c r="H2484" s="11">
        <v>0.071</v>
      </c>
      <c r="I2484" s="11">
        <v>1.07775E7</v>
      </c>
      <c r="J2484" s="11">
        <v>0.663</v>
      </c>
      <c r="K2484" s="12" t="s">
        <v>269</v>
      </c>
      <c r="L2484" s="5" t="s">
        <v>77</v>
      </c>
      <c r="M2484" s="9" t="s">
        <v>73</v>
      </c>
    </row>
    <row r="2485">
      <c r="A2485" s="11">
        <v>2484.0</v>
      </c>
      <c r="B2485" s="11">
        <v>0.021</v>
      </c>
      <c r="C2485" s="11">
        <v>0.034</v>
      </c>
      <c r="D2485" s="11">
        <v>74.0</v>
      </c>
      <c r="E2485" s="11">
        <v>66.0</v>
      </c>
      <c r="F2485" s="11">
        <v>0.307</v>
      </c>
      <c r="G2485" s="11">
        <v>0.634</v>
      </c>
      <c r="H2485" s="11">
        <v>0.06</v>
      </c>
      <c r="I2485" s="11">
        <v>6.3174483E7</v>
      </c>
      <c r="J2485" s="11">
        <v>0.647</v>
      </c>
      <c r="K2485" s="12" t="s">
        <v>270</v>
      </c>
      <c r="L2485" s="5" t="s">
        <v>75</v>
      </c>
      <c r="M2485" s="9" t="s">
        <v>60</v>
      </c>
    </row>
    <row r="2486">
      <c r="A2486" s="11">
        <v>2485.0</v>
      </c>
      <c r="B2486" s="11">
        <v>0.021</v>
      </c>
      <c r="C2486" s="11">
        <v>0.032</v>
      </c>
      <c r="D2486" s="11">
        <v>74.0</v>
      </c>
      <c r="E2486" s="11">
        <v>67.0</v>
      </c>
      <c r="F2486" s="11">
        <v>0.302</v>
      </c>
      <c r="G2486" s="11">
        <v>0.637</v>
      </c>
      <c r="H2486" s="11">
        <v>0.061</v>
      </c>
      <c r="I2486" s="11">
        <v>6.4100297E7</v>
      </c>
      <c r="J2486" s="11">
        <v>0.653</v>
      </c>
      <c r="K2486" s="12" t="s">
        <v>270</v>
      </c>
      <c r="L2486" s="5" t="s">
        <v>75</v>
      </c>
      <c r="M2486" s="9" t="s">
        <v>62</v>
      </c>
    </row>
    <row r="2487">
      <c r="A2487" s="11">
        <v>2486.0</v>
      </c>
      <c r="B2487" s="11">
        <v>0.021</v>
      </c>
      <c r="C2487" s="11">
        <v>0.03</v>
      </c>
      <c r="D2487" s="11">
        <v>75.0</v>
      </c>
      <c r="E2487" s="11">
        <v>68.0</v>
      </c>
      <c r="F2487" s="11">
        <v>0.297</v>
      </c>
      <c r="G2487" s="11">
        <v>0.64</v>
      </c>
      <c r="H2487" s="11">
        <v>0.063</v>
      </c>
      <c r="I2487" s="11">
        <v>6.50223E7</v>
      </c>
      <c r="J2487" s="11">
        <v>0.66</v>
      </c>
      <c r="K2487" s="12" t="s">
        <v>270</v>
      </c>
      <c r="L2487" s="5" t="s">
        <v>75</v>
      </c>
      <c r="M2487" s="9" t="s">
        <v>63</v>
      </c>
    </row>
    <row r="2488">
      <c r="A2488" s="11">
        <v>2487.0</v>
      </c>
      <c r="B2488" s="11">
        <v>0.02</v>
      </c>
      <c r="C2488" s="11">
        <v>0.029</v>
      </c>
      <c r="D2488" s="11">
        <v>75.0</v>
      </c>
      <c r="E2488" s="11">
        <v>68.0</v>
      </c>
      <c r="F2488" s="11">
        <v>0.293</v>
      </c>
      <c r="G2488" s="11">
        <v>0.643</v>
      </c>
      <c r="H2488" s="11">
        <v>0.064</v>
      </c>
      <c r="I2488" s="11">
        <v>6.5938265E7</v>
      </c>
      <c r="J2488" s="11">
        <v>0.666</v>
      </c>
      <c r="K2488" s="12" t="s">
        <v>270</v>
      </c>
      <c r="L2488" s="5" t="s">
        <v>75</v>
      </c>
      <c r="M2488" s="9" t="s">
        <v>64</v>
      </c>
    </row>
    <row r="2489">
      <c r="A2489" s="11">
        <v>2488.0</v>
      </c>
      <c r="B2489" s="11">
        <v>0.02</v>
      </c>
      <c r="C2489" s="11">
        <v>0.027</v>
      </c>
      <c r="D2489" s="11">
        <v>76.0</v>
      </c>
      <c r="E2489" s="11">
        <v>69.0</v>
      </c>
      <c r="F2489" s="11">
        <v>0.289</v>
      </c>
      <c r="G2489" s="11">
        <v>0.646</v>
      </c>
      <c r="H2489" s="11">
        <v>0.065</v>
      </c>
      <c r="I2489" s="11">
        <v>6.6845635E7</v>
      </c>
      <c r="J2489" s="11">
        <v>0.672</v>
      </c>
      <c r="K2489" s="12" t="s">
        <v>270</v>
      </c>
      <c r="L2489" s="5" t="s">
        <v>75</v>
      </c>
      <c r="M2489" s="9" t="s">
        <v>65</v>
      </c>
    </row>
    <row r="2490">
      <c r="A2490" s="11">
        <v>2489.0</v>
      </c>
      <c r="B2490" s="11">
        <v>0.019</v>
      </c>
      <c r="C2490" s="11">
        <v>0.026</v>
      </c>
      <c r="D2490" s="11">
        <v>76.0</v>
      </c>
      <c r="E2490" s="11">
        <v>69.0</v>
      </c>
      <c r="F2490" s="11">
        <v>0.285</v>
      </c>
      <c r="G2490" s="11">
        <v>0.649</v>
      </c>
      <c r="H2490" s="11">
        <v>0.066</v>
      </c>
      <c r="I2490" s="11">
        <v>6.7743052E7</v>
      </c>
      <c r="J2490" s="11">
        <v>0.678</v>
      </c>
      <c r="K2490" s="12" t="s">
        <v>270</v>
      </c>
      <c r="L2490" s="5" t="s">
        <v>75</v>
      </c>
      <c r="M2490" s="9" t="s">
        <v>66</v>
      </c>
    </row>
    <row r="2491">
      <c r="A2491" s="11">
        <v>2490.0</v>
      </c>
      <c r="B2491" s="11">
        <v>0.019</v>
      </c>
      <c r="C2491" s="11">
        <v>0.024</v>
      </c>
      <c r="D2491" s="11">
        <v>76.0</v>
      </c>
      <c r="E2491" s="11">
        <v>69.0</v>
      </c>
      <c r="F2491" s="11">
        <v>0.281</v>
      </c>
      <c r="G2491" s="11">
        <v>0.652</v>
      </c>
      <c r="H2491" s="11">
        <v>0.067</v>
      </c>
      <c r="I2491" s="11">
        <v>6.8626337E7</v>
      </c>
      <c r="J2491" s="11">
        <v>0.684</v>
      </c>
      <c r="K2491" s="12" t="s">
        <v>270</v>
      </c>
      <c r="L2491" s="5" t="s">
        <v>75</v>
      </c>
      <c r="M2491" s="9" t="s">
        <v>67</v>
      </c>
    </row>
    <row r="2492">
      <c r="A2492" s="11">
        <v>2491.0</v>
      </c>
      <c r="B2492" s="11">
        <v>0.019</v>
      </c>
      <c r="C2492" s="11">
        <v>0.023</v>
      </c>
      <c r="D2492" s="11">
        <v>77.0</v>
      </c>
      <c r="E2492" s="11">
        <v>70.0</v>
      </c>
      <c r="F2492" s="11">
        <v>0.278</v>
      </c>
      <c r="G2492" s="11">
        <v>0.655</v>
      </c>
      <c r="H2492" s="11">
        <v>0.068</v>
      </c>
      <c r="I2492" s="11">
        <v>6.9496513E7</v>
      </c>
      <c r="J2492" s="11">
        <v>0.69</v>
      </c>
      <c r="K2492" s="12" t="s">
        <v>270</v>
      </c>
      <c r="L2492" s="5" t="s">
        <v>75</v>
      </c>
      <c r="M2492" s="9" t="s">
        <v>68</v>
      </c>
    </row>
    <row r="2493">
      <c r="A2493" s="11">
        <v>2492.0</v>
      </c>
      <c r="B2493" s="11">
        <v>0.018</v>
      </c>
      <c r="C2493" s="11">
        <v>0.022</v>
      </c>
      <c r="D2493" s="11">
        <v>77.0</v>
      </c>
      <c r="E2493" s="11">
        <v>70.0</v>
      </c>
      <c r="F2493" s="11">
        <v>0.274</v>
      </c>
      <c r="G2493" s="11">
        <v>0.657</v>
      </c>
      <c r="H2493" s="11">
        <v>0.069</v>
      </c>
      <c r="I2493" s="11">
        <v>7.0363511E7</v>
      </c>
      <c r="J2493" s="11">
        <v>0.696</v>
      </c>
      <c r="K2493" s="12" t="s">
        <v>270</v>
      </c>
      <c r="L2493" s="5" t="s">
        <v>75</v>
      </c>
      <c r="M2493" s="9" t="s">
        <v>69</v>
      </c>
    </row>
    <row r="2494">
      <c r="A2494" s="11">
        <v>2493.0</v>
      </c>
      <c r="B2494" s="11">
        <v>0.018</v>
      </c>
      <c r="C2494" s="11">
        <v>0.021</v>
      </c>
      <c r="D2494" s="11">
        <v>77.0</v>
      </c>
      <c r="E2494" s="11">
        <v>70.0</v>
      </c>
      <c r="F2494" s="11">
        <v>0.271</v>
      </c>
      <c r="G2494" s="11">
        <v>0.66</v>
      </c>
      <c r="H2494" s="11">
        <v>0.069</v>
      </c>
      <c r="I2494" s="11">
        <v>7.124108E7</v>
      </c>
      <c r="J2494" s="11">
        <v>0.701</v>
      </c>
      <c r="K2494" s="12" t="s">
        <v>270</v>
      </c>
      <c r="L2494" s="5" t="s">
        <v>75</v>
      </c>
      <c r="M2494" s="9" t="s">
        <v>70</v>
      </c>
    </row>
    <row r="2495">
      <c r="A2495" s="11">
        <v>2494.0</v>
      </c>
      <c r="B2495" s="11">
        <v>0.018</v>
      </c>
      <c r="C2495" s="11">
        <v>0.02</v>
      </c>
      <c r="D2495" s="11">
        <v>78.0</v>
      </c>
      <c r="E2495" s="11">
        <v>71.0</v>
      </c>
      <c r="F2495" s="11">
        <v>0.267</v>
      </c>
      <c r="G2495" s="11">
        <v>0.662</v>
      </c>
      <c r="H2495" s="11">
        <v>0.071</v>
      </c>
      <c r="I2495" s="11">
        <v>7.2137546E7</v>
      </c>
      <c r="J2495" s="11">
        <v>0.707</v>
      </c>
      <c r="K2495" s="12" t="s">
        <v>270</v>
      </c>
      <c r="L2495" s="5" t="s">
        <v>75</v>
      </c>
      <c r="M2495" s="9" t="s">
        <v>71</v>
      </c>
    </row>
    <row r="2496">
      <c r="A2496" s="11">
        <v>2495.0</v>
      </c>
      <c r="B2496" s="11">
        <v>0.017</v>
      </c>
      <c r="C2496" s="11">
        <v>0.019</v>
      </c>
      <c r="D2496" s="11">
        <v>78.0</v>
      </c>
      <c r="E2496" s="11">
        <v>71.0</v>
      </c>
      <c r="F2496" s="11">
        <v>0.264</v>
      </c>
      <c r="G2496" s="11">
        <v>0.665</v>
      </c>
      <c r="H2496" s="11">
        <v>0.072</v>
      </c>
      <c r="I2496" s="11">
        <v>7.3058638E7</v>
      </c>
      <c r="J2496" s="11">
        <v>0.713</v>
      </c>
      <c r="K2496" s="12" t="s">
        <v>270</v>
      </c>
      <c r="L2496" s="5" t="s">
        <v>75</v>
      </c>
      <c r="M2496" s="9" t="s">
        <v>72</v>
      </c>
    </row>
    <row r="2497">
      <c r="A2497" s="11">
        <v>2496.0</v>
      </c>
      <c r="B2497" s="11">
        <v>0.017</v>
      </c>
      <c r="C2497" s="11">
        <v>0.017</v>
      </c>
      <c r="D2497" s="11">
        <v>78.0</v>
      </c>
      <c r="E2497" s="11">
        <v>72.0</v>
      </c>
      <c r="F2497" s="11">
        <v>0.26</v>
      </c>
      <c r="G2497" s="11">
        <v>0.667</v>
      </c>
      <c r="H2497" s="11">
        <v>0.073</v>
      </c>
      <c r="I2497" s="11">
        <v>7.3997128E7</v>
      </c>
      <c r="J2497" s="11">
        <v>0.718</v>
      </c>
      <c r="K2497" s="12" t="s">
        <v>270</v>
      </c>
      <c r="L2497" s="5" t="s">
        <v>75</v>
      </c>
      <c r="M2497" s="9" t="s">
        <v>73</v>
      </c>
    </row>
    <row r="2498">
      <c r="A2498" s="11">
        <v>2497.0</v>
      </c>
      <c r="B2498" s="11">
        <v>0.024</v>
      </c>
      <c r="C2498" s="11">
        <v>0.066</v>
      </c>
      <c r="D2498" s="11">
        <v>68.0</v>
      </c>
      <c r="E2498" s="11">
        <v>60.0</v>
      </c>
      <c r="F2498" s="11">
        <v>0.363</v>
      </c>
      <c r="G2498" s="11">
        <v>0.594</v>
      </c>
      <c r="H2498" s="11">
        <v>0.043</v>
      </c>
      <c r="I2498" s="11">
        <v>4501419.0</v>
      </c>
      <c r="J2498" s="11">
        <v>0.459</v>
      </c>
      <c r="K2498" s="12" t="s">
        <v>271</v>
      </c>
      <c r="L2498" s="5" t="s">
        <v>61</v>
      </c>
      <c r="M2498" s="9" t="s">
        <v>60</v>
      </c>
    </row>
    <row r="2499">
      <c r="A2499" s="11">
        <v>2498.0</v>
      </c>
      <c r="B2499" s="11">
        <v>0.023</v>
      </c>
      <c r="C2499" s="11">
        <v>0.065</v>
      </c>
      <c r="D2499" s="11">
        <v>68.0</v>
      </c>
      <c r="E2499" s="11">
        <v>60.0</v>
      </c>
      <c r="F2499" s="11">
        <v>0.356</v>
      </c>
      <c r="G2499" s="11">
        <v>0.6</v>
      </c>
      <c r="H2499" s="11">
        <v>0.044</v>
      </c>
      <c r="I2499" s="11">
        <v>4551762.0</v>
      </c>
      <c r="J2499" s="11">
        <v>0.461</v>
      </c>
      <c r="K2499" s="12" t="s">
        <v>271</v>
      </c>
      <c r="L2499" s="5" t="s">
        <v>61</v>
      </c>
      <c r="M2499" s="9" t="s">
        <v>62</v>
      </c>
    </row>
    <row r="2500">
      <c r="A2500" s="11">
        <v>2499.0</v>
      </c>
      <c r="B2500" s="11">
        <v>0.023</v>
      </c>
      <c r="C2500" s="11">
        <v>0.063</v>
      </c>
      <c r="D2500" s="11">
        <v>68.0</v>
      </c>
      <c r="E2500" s="11">
        <v>60.0</v>
      </c>
      <c r="F2500" s="11">
        <v>0.349</v>
      </c>
      <c r="G2500" s="11">
        <v>0.607</v>
      </c>
      <c r="H2500" s="11">
        <v>0.044</v>
      </c>
      <c r="I2500" s="11">
        <v>4600171.0</v>
      </c>
      <c r="J2500" s="11">
        <v>0.464</v>
      </c>
      <c r="K2500" s="12" t="s">
        <v>271</v>
      </c>
      <c r="L2500" s="5" t="s">
        <v>61</v>
      </c>
      <c r="M2500" s="9" t="s">
        <v>63</v>
      </c>
    </row>
    <row r="2501">
      <c r="A2501" s="11">
        <v>2500.0</v>
      </c>
      <c r="B2501" s="11">
        <v>0.023</v>
      </c>
      <c r="C2501" s="11">
        <v>0.062</v>
      </c>
      <c r="D2501" s="11">
        <v>68.0</v>
      </c>
      <c r="E2501" s="11">
        <v>60.0</v>
      </c>
      <c r="F2501" s="11">
        <v>0.342</v>
      </c>
      <c r="G2501" s="11">
        <v>0.613</v>
      </c>
      <c r="H2501" s="11">
        <v>0.045</v>
      </c>
      <c r="I2501" s="11">
        <v>4648037.0</v>
      </c>
      <c r="J2501" s="11">
        <v>0.466</v>
      </c>
      <c r="K2501" s="12" t="s">
        <v>271</v>
      </c>
      <c r="L2501" s="5" t="s">
        <v>61</v>
      </c>
      <c r="M2501" s="9" t="s">
        <v>64</v>
      </c>
    </row>
    <row r="2502">
      <c r="A2502" s="11">
        <v>2501.0</v>
      </c>
      <c r="B2502" s="11">
        <v>0.023</v>
      </c>
      <c r="C2502" s="11">
        <v>0.06</v>
      </c>
      <c r="D2502" s="11">
        <v>68.0</v>
      </c>
      <c r="E2502" s="11">
        <v>60.0</v>
      </c>
      <c r="F2502" s="11">
        <v>0.334</v>
      </c>
      <c r="G2502" s="11">
        <v>0.62</v>
      </c>
      <c r="H2502" s="11">
        <v>0.046</v>
      </c>
      <c r="I2502" s="11">
        <v>4696876.0</v>
      </c>
      <c r="J2502" s="11">
        <v>0.468</v>
      </c>
      <c r="K2502" s="12" t="s">
        <v>271</v>
      </c>
      <c r="L2502" s="5" t="s">
        <v>61</v>
      </c>
      <c r="M2502" s="9" t="s">
        <v>65</v>
      </c>
    </row>
    <row r="2503">
      <c r="A2503" s="11">
        <v>2502.0</v>
      </c>
      <c r="B2503" s="11">
        <v>0.023</v>
      </c>
      <c r="C2503" s="11">
        <v>0.058</v>
      </c>
      <c r="D2503" s="11">
        <v>69.0</v>
      </c>
      <c r="E2503" s="11">
        <v>60.0</v>
      </c>
      <c r="F2503" s="11">
        <v>0.327</v>
      </c>
      <c r="G2503" s="11">
        <v>0.627</v>
      </c>
      <c r="H2503" s="11">
        <v>0.046</v>
      </c>
      <c r="I2503" s="11">
        <v>4747839.0</v>
      </c>
      <c r="J2503" s="11">
        <v>0.47</v>
      </c>
      <c r="K2503" s="12" t="s">
        <v>271</v>
      </c>
      <c r="L2503" s="5" t="s">
        <v>61</v>
      </c>
      <c r="M2503" s="9" t="s">
        <v>66</v>
      </c>
    </row>
    <row r="2504">
      <c r="A2504" s="11">
        <v>2503.0</v>
      </c>
      <c r="B2504" s="11">
        <v>0.022</v>
      </c>
      <c r="C2504" s="11">
        <v>0.057</v>
      </c>
      <c r="D2504" s="11">
        <v>69.0</v>
      </c>
      <c r="E2504" s="11">
        <v>61.0</v>
      </c>
      <c r="F2504" s="11">
        <v>0.319</v>
      </c>
      <c r="G2504" s="11">
        <v>0.636</v>
      </c>
      <c r="H2504" s="11">
        <v>0.045</v>
      </c>
      <c r="I2504" s="11">
        <v>4801595.0</v>
      </c>
      <c r="J2504" s="11">
        <v>0.473</v>
      </c>
      <c r="K2504" s="12" t="s">
        <v>271</v>
      </c>
      <c r="L2504" s="5" t="s">
        <v>61</v>
      </c>
      <c r="M2504" s="9" t="s">
        <v>67</v>
      </c>
    </row>
    <row r="2505">
      <c r="A2505" s="11">
        <v>2504.0</v>
      </c>
      <c r="B2505" s="11">
        <v>0.022</v>
      </c>
      <c r="C2505" s="11">
        <v>0.055</v>
      </c>
      <c r="D2505" s="11">
        <v>69.0</v>
      </c>
      <c r="E2505" s="11">
        <v>61.0</v>
      </c>
      <c r="F2505" s="11">
        <v>0.311</v>
      </c>
      <c r="G2505" s="11">
        <v>0.645</v>
      </c>
      <c r="H2505" s="11">
        <v>0.044</v>
      </c>
      <c r="I2505" s="11">
        <v>4858236.0</v>
      </c>
      <c r="J2505" s="11">
        <v>0.476</v>
      </c>
      <c r="K2505" s="12" t="s">
        <v>271</v>
      </c>
      <c r="L2505" s="5" t="s">
        <v>61</v>
      </c>
      <c r="M2505" s="9" t="s">
        <v>68</v>
      </c>
    </row>
    <row r="2506">
      <c r="A2506" s="11">
        <v>2505.0</v>
      </c>
      <c r="B2506" s="11">
        <v>0.022</v>
      </c>
      <c r="C2506" s="11">
        <v>0.054</v>
      </c>
      <c r="D2506" s="11">
        <v>69.0</v>
      </c>
      <c r="E2506" s="11">
        <v>61.0</v>
      </c>
      <c r="F2506" s="11">
        <v>0.304</v>
      </c>
      <c r="G2506" s="11">
        <v>0.653</v>
      </c>
      <c r="H2506" s="11">
        <v>0.043</v>
      </c>
      <c r="I2506" s="11">
        <v>4917543.0</v>
      </c>
      <c r="J2506" s="11">
        <v>0.478</v>
      </c>
      <c r="K2506" s="12" t="s">
        <v>271</v>
      </c>
      <c r="L2506" s="5" t="s">
        <v>61</v>
      </c>
      <c r="M2506" s="9" t="s">
        <v>69</v>
      </c>
    </row>
    <row r="2507">
      <c r="A2507" s="11">
        <v>2506.0</v>
      </c>
      <c r="B2507" s="11">
        <v>0.022</v>
      </c>
      <c r="C2507" s="11">
        <v>0.052</v>
      </c>
      <c r="D2507" s="11">
        <v>69.0</v>
      </c>
      <c r="E2507" s="11">
        <v>61.0</v>
      </c>
      <c r="F2507" s="11">
        <v>0.297</v>
      </c>
      <c r="G2507" s="11">
        <v>0.661</v>
      </c>
      <c r="H2507" s="11">
        <v>0.042</v>
      </c>
      <c r="I2507" s="11">
        <v>4978962.0</v>
      </c>
      <c r="J2507" s="11">
        <v>0.481</v>
      </c>
      <c r="K2507" s="12" t="s">
        <v>271</v>
      </c>
      <c r="L2507" s="5" t="s">
        <v>61</v>
      </c>
      <c r="M2507" s="9" t="s">
        <v>70</v>
      </c>
    </row>
    <row r="2508">
      <c r="A2508" s="11">
        <v>2507.0</v>
      </c>
      <c r="B2508" s="11">
        <v>0.022</v>
      </c>
      <c r="C2508" s="11">
        <v>0.051</v>
      </c>
      <c r="D2508" s="11">
        <v>69.0</v>
      </c>
      <c r="E2508" s="11">
        <v>61.0</v>
      </c>
      <c r="F2508" s="11">
        <v>0.292</v>
      </c>
      <c r="G2508" s="11">
        <v>0.666</v>
      </c>
      <c r="H2508" s="11">
        <v>0.041</v>
      </c>
      <c r="I2508" s="11">
        <v>5041995.0</v>
      </c>
      <c r="J2508" s="11">
        <v>0.484</v>
      </c>
      <c r="K2508" s="12" t="s">
        <v>271</v>
      </c>
      <c r="L2508" s="5" t="s">
        <v>61</v>
      </c>
      <c r="M2508" s="9" t="s">
        <v>71</v>
      </c>
    </row>
    <row r="2509">
      <c r="A2509" s="11">
        <v>2508.0</v>
      </c>
      <c r="B2509" s="11">
        <v>0.022</v>
      </c>
      <c r="C2509" s="11">
        <v>0.05</v>
      </c>
      <c r="D2509" s="11">
        <v>69.0</v>
      </c>
      <c r="E2509" s="11">
        <v>61.0</v>
      </c>
      <c r="F2509" s="11">
        <v>0.289</v>
      </c>
      <c r="G2509" s="11">
        <v>0.671</v>
      </c>
      <c r="H2509" s="11">
        <v>0.041</v>
      </c>
      <c r="I2509" s="11">
        <v>5106668.0</v>
      </c>
      <c r="J2509" s="11">
        <v>0.487</v>
      </c>
      <c r="K2509" s="12" t="s">
        <v>271</v>
      </c>
      <c r="L2509" s="5" t="s">
        <v>61</v>
      </c>
      <c r="M2509" s="9" t="s">
        <v>72</v>
      </c>
    </row>
    <row r="2510">
      <c r="A2510" s="11">
        <v>2509.0</v>
      </c>
      <c r="B2510" s="11">
        <v>0.022</v>
      </c>
      <c r="C2510" s="11">
        <v>0.048</v>
      </c>
      <c r="D2510" s="11">
        <v>70.0</v>
      </c>
      <c r="E2510" s="11">
        <v>61.0</v>
      </c>
      <c r="F2510" s="11">
        <v>0.286</v>
      </c>
      <c r="G2510" s="11">
        <v>0.673</v>
      </c>
      <c r="H2510" s="11">
        <v>0.041</v>
      </c>
      <c r="I2510" s="11">
        <v>5172931.0</v>
      </c>
      <c r="J2510" s="11">
        <v>0.49</v>
      </c>
      <c r="K2510" s="12" t="s">
        <v>271</v>
      </c>
      <c r="L2510" s="5" t="s">
        <v>61</v>
      </c>
      <c r="M2510" s="9" t="s">
        <v>73</v>
      </c>
    </row>
    <row r="2511">
      <c r="A2511" s="8">
        <v>2510.0</v>
      </c>
      <c r="B2511" s="8"/>
      <c r="C2511" s="8"/>
      <c r="D2511" s="8"/>
      <c r="E2511" s="8"/>
      <c r="F2511" s="8"/>
      <c r="G2511" s="8"/>
      <c r="H2511" s="8"/>
      <c r="I2511" s="11">
        <v>18876.0</v>
      </c>
      <c r="J2511" s="11">
        <v>0.846</v>
      </c>
      <c r="K2511" s="12" t="s">
        <v>272</v>
      </c>
      <c r="L2511" s="5" t="s">
        <v>84</v>
      </c>
      <c r="M2511" s="9" t="s">
        <v>60</v>
      </c>
    </row>
    <row r="2512">
      <c r="A2512" s="8">
        <v>2511.0</v>
      </c>
      <c r="B2512" s="8"/>
      <c r="C2512" s="8"/>
      <c r="D2512" s="8"/>
      <c r="E2512" s="8"/>
      <c r="F2512" s="8"/>
      <c r="G2512" s="8"/>
      <c r="H2512" s="8"/>
      <c r="I2512" s="11">
        <v>20186.0</v>
      </c>
      <c r="J2512" s="11">
        <v>0.854</v>
      </c>
      <c r="K2512" s="12" t="s">
        <v>272</v>
      </c>
      <c r="L2512" s="5" t="s">
        <v>84</v>
      </c>
      <c r="M2512" s="9" t="s">
        <v>62</v>
      </c>
    </row>
    <row r="2513">
      <c r="A2513" s="8">
        <v>2512.0</v>
      </c>
      <c r="B2513" s="8"/>
      <c r="C2513" s="8"/>
      <c r="D2513" s="8"/>
      <c r="E2513" s="8"/>
      <c r="F2513" s="8"/>
      <c r="G2513" s="8"/>
      <c r="H2513" s="8"/>
      <c r="I2513" s="11">
        <v>21740.0</v>
      </c>
      <c r="J2513" s="11">
        <v>0.86</v>
      </c>
      <c r="K2513" s="12" t="s">
        <v>272</v>
      </c>
      <c r="L2513" s="5" t="s">
        <v>84</v>
      </c>
      <c r="M2513" s="9" t="s">
        <v>63</v>
      </c>
    </row>
    <row r="2514">
      <c r="A2514" s="8">
        <v>2513.0</v>
      </c>
      <c r="B2514" s="8"/>
      <c r="C2514" s="8"/>
      <c r="D2514" s="8"/>
      <c r="E2514" s="8"/>
      <c r="F2514" s="8"/>
      <c r="G2514" s="8"/>
      <c r="H2514" s="8"/>
      <c r="I2514" s="11">
        <v>23412.0</v>
      </c>
      <c r="J2514" s="11">
        <v>0.866</v>
      </c>
      <c r="K2514" s="12" t="s">
        <v>272</v>
      </c>
      <c r="L2514" s="5" t="s">
        <v>84</v>
      </c>
      <c r="M2514" s="9" t="s">
        <v>64</v>
      </c>
    </row>
    <row r="2515">
      <c r="A2515" s="8">
        <v>2514.0</v>
      </c>
      <c r="B2515" s="8"/>
      <c r="C2515" s="8"/>
      <c r="D2515" s="8"/>
      <c r="E2515" s="8"/>
      <c r="F2515" s="8"/>
      <c r="G2515" s="8"/>
      <c r="H2515" s="8"/>
      <c r="I2515" s="11">
        <v>25025.0</v>
      </c>
      <c r="J2515" s="11">
        <v>0.872</v>
      </c>
      <c r="K2515" s="12" t="s">
        <v>272</v>
      </c>
      <c r="L2515" s="5" t="s">
        <v>84</v>
      </c>
      <c r="M2515" s="9" t="s">
        <v>65</v>
      </c>
    </row>
    <row r="2516">
      <c r="A2516" s="8">
        <v>2515.0</v>
      </c>
      <c r="B2516" s="8"/>
      <c r="C2516" s="8"/>
      <c r="D2516" s="8"/>
      <c r="E2516" s="8"/>
      <c r="F2516" s="8"/>
      <c r="G2516" s="8"/>
      <c r="H2516" s="8"/>
      <c r="I2516" s="11">
        <v>26450.0</v>
      </c>
      <c r="J2516" s="11">
        <v>0.877</v>
      </c>
      <c r="K2516" s="12" t="s">
        <v>272</v>
      </c>
      <c r="L2516" s="5" t="s">
        <v>84</v>
      </c>
      <c r="M2516" s="9" t="s">
        <v>66</v>
      </c>
    </row>
    <row r="2517">
      <c r="A2517" s="8">
        <v>2516.0</v>
      </c>
      <c r="B2517" s="8"/>
      <c r="C2517" s="8"/>
      <c r="D2517" s="8"/>
      <c r="E2517" s="8"/>
      <c r="F2517" s="8"/>
      <c r="G2517" s="8"/>
      <c r="H2517" s="8"/>
      <c r="I2517" s="11">
        <v>27642.0</v>
      </c>
      <c r="J2517" s="11">
        <v>0.883</v>
      </c>
      <c r="K2517" s="12" t="s">
        <v>272</v>
      </c>
      <c r="L2517" s="5" t="s">
        <v>84</v>
      </c>
      <c r="M2517" s="9" t="s">
        <v>67</v>
      </c>
    </row>
    <row r="2518">
      <c r="A2518" s="8">
        <v>2517.0</v>
      </c>
      <c r="B2518" s="8"/>
      <c r="C2518" s="8"/>
      <c r="D2518" s="8"/>
      <c r="E2518" s="8"/>
      <c r="F2518" s="8"/>
      <c r="G2518" s="8"/>
      <c r="H2518" s="8"/>
      <c r="I2518" s="11">
        <v>28638.0</v>
      </c>
      <c r="J2518" s="11">
        <v>0.888</v>
      </c>
      <c r="K2518" s="12" t="s">
        <v>272</v>
      </c>
      <c r="L2518" s="5" t="s">
        <v>84</v>
      </c>
      <c r="M2518" s="9" t="s">
        <v>68</v>
      </c>
    </row>
    <row r="2519">
      <c r="A2519" s="8">
        <v>2518.0</v>
      </c>
      <c r="B2519" s="8"/>
      <c r="C2519" s="8"/>
      <c r="D2519" s="8"/>
      <c r="E2519" s="8"/>
      <c r="F2519" s="8"/>
      <c r="G2519" s="8"/>
      <c r="H2519" s="8"/>
      <c r="I2519" s="11">
        <v>29481.0</v>
      </c>
      <c r="J2519" s="11">
        <v>0.893</v>
      </c>
      <c r="K2519" s="12" t="s">
        <v>272</v>
      </c>
      <c r="L2519" s="5" t="s">
        <v>84</v>
      </c>
      <c r="M2519" s="9" t="s">
        <v>69</v>
      </c>
    </row>
    <row r="2520">
      <c r="A2520" s="8">
        <v>2519.0</v>
      </c>
      <c r="B2520" s="8"/>
      <c r="C2520" s="8"/>
      <c r="D2520" s="8"/>
      <c r="E2520" s="8"/>
      <c r="F2520" s="8"/>
      <c r="G2520" s="8"/>
      <c r="H2520" s="8"/>
      <c r="I2520" s="11">
        <v>30247.0</v>
      </c>
      <c r="J2520" s="11">
        <v>0.898</v>
      </c>
      <c r="K2520" s="12" t="s">
        <v>272</v>
      </c>
      <c r="L2520" s="5" t="s">
        <v>84</v>
      </c>
      <c r="M2520" s="9" t="s">
        <v>70</v>
      </c>
    </row>
    <row r="2521">
      <c r="A2521" s="8">
        <v>2520.0</v>
      </c>
      <c r="B2521" s="8"/>
      <c r="C2521" s="8"/>
      <c r="D2521" s="8"/>
      <c r="E2521" s="8"/>
      <c r="F2521" s="8"/>
      <c r="G2521" s="8"/>
      <c r="H2521" s="8"/>
      <c r="I2521" s="11">
        <v>30993.0</v>
      </c>
      <c r="J2521" s="11">
        <v>0.902</v>
      </c>
      <c r="K2521" s="12" t="s">
        <v>272</v>
      </c>
      <c r="L2521" s="5" t="s">
        <v>84</v>
      </c>
      <c r="M2521" s="9" t="s">
        <v>71</v>
      </c>
    </row>
    <row r="2522">
      <c r="A2522" s="8">
        <v>2521.0</v>
      </c>
      <c r="B2522" s="8"/>
      <c r="C2522" s="8"/>
      <c r="D2522" s="8"/>
      <c r="E2522" s="8"/>
      <c r="F2522" s="8"/>
      <c r="G2522" s="8"/>
      <c r="H2522" s="8"/>
      <c r="I2522" s="11">
        <v>31726.0</v>
      </c>
      <c r="J2522" s="11">
        <v>0.907</v>
      </c>
      <c r="K2522" s="12" t="s">
        <v>272</v>
      </c>
      <c r="L2522" s="5" t="s">
        <v>84</v>
      </c>
      <c r="M2522" s="9" t="s">
        <v>72</v>
      </c>
    </row>
    <row r="2523">
      <c r="A2523" s="8">
        <v>2522.0</v>
      </c>
      <c r="B2523" s="8"/>
      <c r="C2523" s="8"/>
      <c r="D2523" s="8"/>
      <c r="E2523" s="8"/>
      <c r="F2523" s="8"/>
      <c r="G2523" s="8"/>
      <c r="H2523" s="8"/>
      <c r="I2523" s="11">
        <v>32427.0</v>
      </c>
      <c r="J2523" s="11">
        <v>0.911</v>
      </c>
      <c r="K2523" s="12" t="s">
        <v>272</v>
      </c>
      <c r="L2523" s="5" t="s">
        <v>84</v>
      </c>
      <c r="M2523" s="9" t="s">
        <v>73</v>
      </c>
    </row>
    <row r="2524">
      <c r="A2524" s="11">
        <v>2523.0</v>
      </c>
      <c r="B2524" s="11">
        <v>0.048</v>
      </c>
      <c r="C2524" s="11">
        <v>0.089</v>
      </c>
      <c r="D2524" s="11">
        <v>48.0</v>
      </c>
      <c r="E2524" s="11">
        <v>48.0</v>
      </c>
      <c r="F2524" s="11">
        <v>0.493</v>
      </c>
      <c r="G2524" s="11">
        <v>0.481</v>
      </c>
      <c r="H2524" s="11">
        <v>0.027</v>
      </c>
      <c r="I2524" s="11">
        <v>2.4275641E7</v>
      </c>
      <c r="J2524" s="11">
        <v>0.121</v>
      </c>
      <c r="K2524" s="12" t="s">
        <v>273</v>
      </c>
      <c r="L2524" s="5" t="s">
        <v>77</v>
      </c>
      <c r="M2524" s="9" t="s">
        <v>60</v>
      </c>
    </row>
    <row r="2525">
      <c r="A2525" s="11">
        <v>2524.0</v>
      </c>
      <c r="B2525" s="11">
        <v>0.048</v>
      </c>
      <c r="C2525" s="11">
        <v>0.085</v>
      </c>
      <c r="D2525" s="11">
        <v>49.0</v>
      </c>
      <c r="E2525" s="11">
        <v>49.0</v>
      </c>
      <c r="F2525" s="11">
        <v>0.493</v>
      </c>
      <c r="G2525" s="11">
        <v>0.48</v>
      </c>
      <c r="H2525" s="11">
        <v>0.027</v>
      </c>
      <c r="I2525" s="11">
        <v>2.5088033E7</v>
      </c>
      <c r="J2525" s="11">
        <v>0.122</v>
      </c>
      <c r="K2525" s="12" t="s">
        <v>273</v>
      </c>
      <c r="L2525" s="5" t="s">
        <v>77</v>
      </c>
      <c r="M2525" s="9" t="s">
        <v>62</v>
      </c>
    </row>
    <row r="2526">
      <c r="A2526" s="11">
        <v>2525.0</v>
      </c>
      <c r="B2526" s="11">
        <v>0.048</v>
      </c>
      <c r="C2526" s="11">
        <v>0.081</v>
      </c>
      <c r="D2526" s="11">
        <v>50.0</v>
      </c>
      <c r="E2526" s="11">
        <v>50.0</v>
      </c>
      <c r="F2526" s="11">
        <v>0.494</v>
      </c>
      <c r="G2526" s="11">
        <v>0.48</v>
      </c>
      <c r="H2526" s="11">
        <v>0.026</v>
      </c>
      <c r="I2526" s="11">
        <v>2.5943441E7</v>
      </c>
      <c r="J2526" s="11">
        <v>0.123</v>
      </c>
      <c r="K2526" s="12" t="s">
        <v>273</v>
      </c>
      <c r="L2526" s="5" t="s">
        <v>77</v>
      </c>
      <c r="M2526" s="9" t="s">
        <v>63</v>
      </c>
    </row>
    <row r="2527">
      <c r="A2527" s="11">
        <v>2526.0</v>
      </c>
      <c r="B2527" s="11">
        <v>0.047</v>
      </c>
      <c r="C2527" s="11">
        <v>0.077</v>
      </c>
      <c r="D2527" s="11">
        <v>51.0</v>
      </c>
      <c r="E2527" s="11">
        <v>51.0</v>
      </c>
      <c r="F2527" s="11">
        <v>0.494</v>
      </c>
      <c r="G2527" s="11">
        <v>0.481</v>
      </c>
      <c r="H2527" s="11">
        <v>0.026</v>
      </c>
      <c r="I2527" s="11">
        <v>2.6838428E7</v>
      </c>
      <c r="J2527" s="11">
        <v>0.125</v>
      </c>
      <c r="K2527" s="12" t="s">
        <v>273</v>
      </c>
      <c r="L2527" s="5" t="s">
        <v>77</v>
      </c>
      <c r="M2527" s="9" t="s">
        <v>64</v>
      </c>
    </row>
    <row r="2528">
      <c r="A2528" s="11">
        <v>2527.0</v>
      </c>
      <c r="B2528" s="11">
        <v>0.047</v>
      </c>
      <c r="C2528" s="11">
        <v>0.073</v>
      </c>
      <c r="D2528" s="11">
        <v>52.0</v>
      </c>
      <c r="E2528" s="11">
        <v>52.0</v>
      </c>
      <c r="F2528" s="11">
        <v>0.494</v>
      </c>
      <c r="G2528" s="11">
        <v>0.481</v>
      </c>
      <c r="H2528" s="11">
        <v>0.025</v>
      </c>
      <c r="I2528" s="11">
        <v>2.7766986E7</v>
      </c>
      <c r="J2528" s="11">
        <v>0.128</v>
      </c>
      <c r="K2528" s="12" t="s">
        <v>273</v>
      </c>
      <c r="L2528" s="5" t="s">
        <v>77</v>
      </c>
      <c r="M2528" s="9" t="s">
        <v>65</v>
      </c>
    </row>
    <row r="2529">
      <c r="A2529" s="11">
        <v>2528.0</v>
      </c>
      <c r="B2529" s="11">
        <v>0.047</v>
      </c>
      <c r="C2529" s="11">
        <v>0.068</v>
      </c>
      <c r="D2529" s="11">
        <v>53.0</v>
      </c>
      <c r="E2529" s="11">
        <v>52.0</v>
      </c>
      <c r="F2529" s="11">
        <v>0.494</v>
      </c>
      <c r="G2529" s="11">
        <v>0.481</v>
      </c>
      <c r="H2529" s="11">
        <v>0.025</v>
      </c>
      <c r="I2529" s="11">
        <v>2.8724869E7</v>
      </c>
      <c r="J2529" s="11">
        <v>0.13</v>
      </c>
      <c r="K2529" s="12" t="s">
        <v>273</v>
      </c>
      <c r="L2529" s="5" t="s">
        <v>77</v>
      </c>
      <c r="M2529" s="9" t="s">
        <v>66</v>
      </c>
    </row>
    <row r="2530">
      <c r="A2530" s="11">
        <v>2529.0</v>
      </c>
      <c r="B2530" s="11">
        <v>0.046</v>
      </c>
      <c r="C2530" s="11">
        <v>0.064</v>
      </c>
      <c r="D2530" s="11">
        <v>54.0</v>
      </c>
      <c r="E2530" s="11">
        <v>53.0</v>
      </c>
      <c r="F2530" s="11">
        <v>0.493</v>
      </c>
      <c r="G2530" s="11">
        <v>0.482</v>
      </c>
      <c r="H2530" s="11">
        <v>0.025</v>
      </c>
      <c r="I2530" s="11">
        <v>2.9711397E7</v>
      </c>
      <c r="J2530" s="11">
        <v>0.133</v>
      </c>
      <c r="K2530" s="12" t="s">
        <v>273</v>
      </c>
      <c r="L2530" s="5" t="s">
        <v>77</v>
      </c>
      <c r="M2530" s="9" t="s">
        <v>67</v>
      </c>
    </row>
    <row r="2531">
      <c r="A2531" s="11">
        <v>2530.0</v>
      </c>
      <c r="B2531" s="11">
        <v>0.046</v>
      </c>
      <c r="C2531" s="11">
        <v>0.061</v>
      </c>
      <c r="D2531" s="11">
        <v>55.0</v>
      </c>
      <c r="E2531" s="11">
        <v>54.0</v>
      </c>
      <c r="F2531" s="11">
        <v>0.492</v>
      </c>
      <c r="G2531" s="11">
        <v>0.483</v>
      </c>
      <c r="H2531" s="11">
        <v>0.025</v>
      </c>
      <c r="I2531" s="11">
        <v>3.0728747E7</v>
      </c>
      <c r="J2531" s="11">
        <v>0.136</v>
      </c>
      <c r="K2531" s="12" t="s">
        <v>273</v>
      </c>
      <c r="L2531" s="5" t="s">
        <v>77</v>
      </c>
      <c r="M2531" s="9" t="s">
        <v>68</v>
      </c>
    </row>
    <row r="2532">
      <c r="A2532" s="11">
        <v>2531.0</v>
      </c>
      <c r="B2532" s="11">
        <v>0.046</v>
      </c>
      <c r="C2532" s="11">
        <v>0.057</v>
      </c>
      <c r="D2532" s="11">
        <v>56.0</v>
      </c>
      <c r="E2532" s="11">
        <v>55.0</v>
      </c>
      <c r="F2532" s="11">
        <v>0.491</v>
      </c>
      <c r="G2532" s="11">
        <v>0.484</v>
      </c>
      <c r="H2532" s="11">
        <v>0.025</v>
      </c>
      <c r="I2532" s="11">
        <v>3.1778799E7</v>
      </c>
      <c r="J2532" s="11">
        <v>0.139</v>
      </c>
      <c r="K2532" s="12" t="s">
        <v>273</v>
      </c>
      <c r="L2532" s="5" t="s">
        <v>77</v>
      </c>
      <c r="M2532" s="9" t="s">
        <v>69</v>
      </c>
    </row>
    <row r="2533">
      <c r="A2533" s="11">
        <v>2532.0</v>
      </c>
      <c r="B2533" s="11">
        <v>0.045</v>
      </c>
      <c r="C2533" s="11">
        <v>0.054</v>
      </c>
      <c r="D2533" s="11">
        <v>57.0</v>
      </c>
      <c r="E2533" s="11">
        <v>56.0</v>
      </c>
      <c r="F2533" s="11">
        <v>0.49</v>
      </c>
      <c r="G2533" s="11">
        <v>0.486</v>
      </c>
      <c r="H2533" s="11">
        <v>0.025</v>
      </c>
      <c r="I2533" s="11">
        <v>3.2864328E7</v>
      </c>
      <c r="J2533" s="11">
        <v>0.142</v>
      </c>
      <c r="K2533" s="12" t="s">
        <v>273</v>
      </c>
      <c r="L2533" s="5" t="s">
        <v>77</v>
      </c>
      <c r="M2533" s="9" t="s">
        <v>70</v>
      </c>
    </row>
    <row r="2534">
      <c r="A2534" s="11">
        <v>2533.0</v>
      </c>
      <c r="B2534" s="11">
        <v>0.045</v>
      </c>
      <c r="C2534" s="11">
        <v>0.051</v>
      </c>
      <c r="D2534" s="11">
        <v>58.0</v>
      </c>
      <c r="E2534" s="11">
        <v>56.0</v>
      </c>
      <c r="F2534" s="11">
        <v>0.489</v>
      </c>
      <c r="G2534" s="11">
        <v>0.487</v>
      </c>
      <c r="H2534" s="11">
        <v>0.024</v>
      </c>
      <c r="I2534" s="11">
        <v>3.3987213E7</v>
      </c>
      <c r="J2534" s="11">
        <v>0.145</v>
      </c>
      <c r="K2534" s="12" t="s">
        <v>273</v>
      </c>
      <c r="L2534" s="5" t="s">
        <v>77</v>
      </c>
      <c r="M2534" s="9" t="s">
        <v>71</v>
      </c>
    </row>
    <row r="2535">
      <c r="A2535" s="11">
        <v>2534.0</v>
      </c>
      <c r="B2535" s="11">
        <v>0.044</v>
      </c>
      <c r="C2535" s="11">
        <v>0.049</v>
      </c>
      <c r="D2535" s="11">
        <v>59.0</v>
      </c>
      <c r="E2535" s="11">
        <v>57.0</v>
      </c>
      <c r="F2535" s="11">
        <v>0.487</v>
      </c>
      <c r="G2535" s="11">
        <v>0.489</v>
      </c>
      <c r="H2535" s="11">
        <v>0.024</v>
      </c>
      <c r="I2535" s="11">
        <v>3.5148064E7</v>
      </c>
      <c r="J2535" s="11">
        <v>0.148</v>
      </c>
      <c r="K2535" s="12" t="s">
        <v>273</v>
      </c>
      <c r="L2535" s="5" t="s">
        <v>77</v>
      </c>
      <c r="M2535" s="9" t="s">
        <v>72</v>
      </c>
    </row>
    <row r="2536">
      <c r="A2536" s="11">
        <v>2535.0</v>
      </c>
      <c r="B2536" s="11">
        <v>0.044</v>
      </c>
      <c r="C2536" s="11">
        <v>0.045</v>
      </c>
      <c r="D2536" s="11">
        <v>60.0</v>
      </c>
      <c r="E2536" s="11">
        <v>58.0</v>
      </c>
      <c r="F2536" s="11">
        <v>0.485</v>
      </c>
      <c r="G2536" s="11">
        <v>0.49</v>
      </c>
      <c r="H2536" s="11">
        <v>0.024</v>
      </c>
      <c r="I2536" s="11">
        <v>3.634586E7</v>
      </c>
      <c r="J2536" s="11">
        <v>0.151</v>
      </c>
      <c r="K2536" s="12" t="s">
        <v>273</v>
      </c>
      <c r="L2536" s="5" t="s">
        <v>77</v>
      </c>
      <c r="M2536" s="9" t="s">
        <v>73</v>
      </c>
    </row>
    <row r="2537">
      <c r="A2537" s="11">
        <v>2536.0</v>
      </c>
      <c r="B2537" s="11">
        <v>0.008</v>
      </c>
      <c r="C2537" s="11">
        <v>0.016</v>
      </c>
      <c r="D2537" s="11">
        <v>74.0</v>
      </c>
      <c r="E2537" s="11">
        <v>62.0</v>
      </c>
      <c r="F2537" s="11">
        <v>0.175</v>
      </c>
      <c r="G2537" s="11">
        <v>0.688</v>
      </c>
      <c r="H2537" s="11">
        <v>0.138</v>
      </c>
      <c r="I2537" s="11">
        <v>4.9175848E7</v>
      </c>
      <c r="J2537" s="11">
        <v>0.671</v>
      </c>
      <c r="K2537" s="12" t="s">
        <v>274</v>
      </c>
      <c r="L2537" s="5" t="s">
        <v>75</v>
      </c>
      <c r="M2537" s="9" t="s">
        <v>60</v>
      </c>
    </row>
    <row r="2538">
      <c r="A2538" s="11">
        <v>2537.0</v>
      </c>
      <c r="B2538" s="11">
        <v>0.008</v>
      </c>
      <c r="C2538" s="11">
        <v>0.015</v>
      </c>
      <c r="D2538" s="11">
        <v>74.0</v>
      </c>
      <c r="E2538" s="11">
        <v>63.0</v>
      </c>
      <c r="F2538" s="11">
        <v>0.168</v>
      </c>
      <c r="G2538" s="11">
        <v>0.691</v>
      </c>
      <c r="H2538" s="11">
        <v>0.141</v>
      </c>
      <c r="I2538" s="11">
        <v>4.8683865E7</v>
      </c>
      <c r="J2538" s="11">
        <v>0.672</v>
      </c>
      <c r="K2538" s="12" t="s">
        <v>274</v>
      </c>
      <c r="L2538" s="5" t="s">
        <v>75</v>
      </c>
      <c r="M2538" s="9" t="s">
        <v>62</v>
      </c>
    </row>
    <row r="2539">
      <c r="A2539" s="11">
        <v>2538.0</v>
      </c>
      <c r="B2539" s="11">
        <v>0.009</v>
      </c>
      <c r="C2539" s="11">
        <v>0.014</v>
      </c>
      <c r="D2539" s="11">
        <v>74.0</v>
      </c>
      <c r="E2539" s="11">
        <v>63.0</v>
      </c>
      <c r="F2539" s="11">
        <v>0.162</v>
      </c>
      <c r="G2539" s="11">
        <v>0.692</v>
      </c>
      <c r="H2539" s="11">
        <v>0.145</v>
      </c>
      <c r="I2539" s="11">
        <v>4.82025E7</v>
      </c>
      <c r="J2539" s="11">
        <v>0.673</v>
      </c>
      <c r="K2539" s="12" t="s">
        <v>274</v>
      </c>
      <c r="L2539" s="5" t="s">
        <v>75</v>
      </c>
      <c r="M2539" s="9" t="s">
        <v>63</v>
      </c>
    </row>
    <row r="2540">
      <c r="A2540" s="11">
        <v>2539.0</v>
      </c>
      <c r="B2540" s="11">
        <v>0.009</v>
      </c>
      <c r="C2540" s="11">
        <v>0.014</v>
      </c>
      <c r="D2540" s="11">
        <v>74.0</v>
      </c>
      <c r="E2540" s="11">
        <v>63.0</v>
      </c>
      <c r="F2540" s="11">
        <v>0.156</v>
      </c>
      <c r="G2540" s="11">
        <v>0.693</v>
      </c>
      <c r="H2540" s="11">
        <v>0.15</v>
      </c>
      <c r="I2540" s="11">
        <v>4.781295E7</v>
      </c>
      <c r="J2540" s="11">
        <v>0.674</v>
      </c>
      <c r="K2540" s="12" t="s">
        <v>274</v>
      </c>
      <c r="L2540" s="5" t="s">
        <v>75</v>
      </c>
      <c r="M2540" s="9" t="s">
        <v>64</v>
      </c>
    </row>
    <row r="2541">
      <c r="A2541" s="11">
        <v>2540.0</v>
      </c>
      <c r="B2541" s="11">
        <v>0.009</v>
      </c>
      <c r="C2541" s="11">
        <v>0.013</v>
      </c>
      <c r="D2541" s="11">
        <v>74.0</v>
      </c>
      <c r="E2541" s="11">
        <v>63.0</v>
      </c>
      <c r="F2541" s="11">
        <v>0.151</v>
      </c>
      <c r="G2541" s="11">
        <v>0.694</v>
      </c>
      <c r="H2541" s="11">
        <v>0.155</v>
      </c>
      <c r="I2541" s="11">
        <v>4.74516E7</v>
      </c>
      <c r="J2541" s="11">
        <v>0.676</v>
      </c>
      <c r="K2541" s="12" t="s">
        <v>274</v>
      </c>
      <c r="L2541" s="5" t="s">
        <v>75</v>
      </c>
      <c r="M2541" s="9" t="s">
        <v>65</v>
      </c>
    </row>
    <row r="2542">
      <c r="A2542" s="11">
        <v>2541.0</v>
      </c>
      <c r="B2542" s="11">
        <v>0.009</v>
      </c>
      <c r="C2542" s="11">
        <v>0.013</v>
      </c>
      <c r="D2542" s="11">
        <v>74.0</v>
      </c>
      <c r="E2542" s="11">
        <v>62.0</v>
      </c>
      <c r="F2542" s="11">
        <v>0.147</v>
      </c>
      <c r="G2542" s="11">
        <v>0.695</v>
      </c>
      <c r="H2542" s="11">
        <v>0.158</v>
      </c>
      <c r="I2542" s="11">
        <v>4.710515E7</v>
      </c>
      <c r="J2542" s="11">
        <v>0.678</v>
      </c>
      <c r="K2542" s="12" t="s">
        <v>274</v>
      </c>
      <c r="L2542" s="5" t="s">
        <v>75</v>
      </c>
      <c r="M2542" s="9" t="s">
        <v>66</v>
      </c>
    </row>
    <row r="2543">
      <c r="A2543" s="11">
        <v>2542.0</v>
      </c>
      <c r="B2543" s="11">
        <v>0.01</v>
      </c>
      <c r="C2543" s="11">
        <v>0.012</v>
      </c>
      <c r="D2543" s="11">
        <v>74.0</v>
      </c>
      <c r="E2543" s="11">
        <v>62.0</v>
      </c>
      <c r="F2543" s="11">
        <v>0.143</v>
      </c>
      <c r="G2543" s="11">
        <v>0.697</v>
      </c>
      <c r="H2543" s="11">
        <v>0.16</v>
      </c>
      <c r="I2543" s="11">
        <v>4.678775E7</v>
      </c>
      <c r="J2543" s="11">
        <v>0.68</v>
      </c>
      <c r="K2543" s="12" t="s">
        <v>274</v>
      </c>
      <c r="L2543" s="5" t="s">
        <v>75</v>
      </c>
      <c r="M2543" s="9" t="s">
        <v>67</v>
      </c>
    </row>
    <row r="2544">
      <c r="A2544" s="11">
        <v>2543.0</v>
      </c>
      <c r="B2544" s="11">
        <v>0.01</v>
      </c>
      <c r="C2544" s="11">
        <v>0.012</v>
      </c>
      <c r="D2544" s="11">
        <v>74.0</v>
      </c>
      <c r="E2544" s="11">
        <v>63.0</v>
      </c>
      <c r="F2544" s="11">
        <v>0.141</v>
      </c>
      <c r="G2544" s="11">
        <v>0.698</v>
      </c>
      <c r="H2544" s="11">
        <v>0.161</v>
      </c>
      <c r="I2544" s="11">
        <v>4.650935E7</v>
      </c>
      <c r="J2544" s="11">
        <v>0.681</v>
      </c>
      <c r="K2544" s="12" t="s">
        <v>274</v>
      </c>
      <c r="L2544" s="5" t="s">
        <v>75</v>
      </c>
      <c r="M2544" s="9" t="s">
        <v>68</v>
      </c>
    </row>
    <row r="2545">
      <c r="A2545" s="11">
        <v>2544.0</v>
      </c>
      <c r="B2545" s="11">
        <v>0.011</v>
      </c>
      <c r="C2545" s="11">
        <v>0.011</v>
      </c>
      <c r="D2545" s="11">
        <v>74.0</v>
      </c>
      <c r="E2545" s="11">
        <v>63.0</v>
      </c>
      <c r="F2545" s="11">
        <v>0.139</v>
      </c>
      <c r="G2545" s="11">
        <v>0.7</v>
      </c>
      <c r="H2545" s="11">
        <v>0.16</v>
      </c>
      <c r="I2545" s="11">
        <v>4.62582E7</v>
      </c>
      <c r="J2545" s="11">
        <v>0.683</v>
      </c>
      <c r="K2545" s="12" t="s">
        <v>274</v>
      </c>
      <c r="L2545" s="5" t="s">
        <v>75</v>
      </c>
      <c r="M2545" s="9" t="s">
        <v>69</v>
      </c>
    </row>
    <row r="2546">
      <c r="A2546" s="11">
        <v>2545.0</v>
      </c>
      <c r="B2546" s="11">
        <v>0.011</v>
      </c>
      <c r="C2546" s="11">
        <v>0.011</v>
      </c>
      <c r="D2546" s="11">
        <v>75.0</v>
      </c>
      <c r="E2546" s="11">
        <v>64.0</v>
      </c>
      <c r="F2546" s="11">
        <v>0.139</v>
      </c>
      <c r="G2546" s="11">
        <v>0.702</v>
      </c>
      <c r="H2546" s="11">
        <v>0.159</v>
      </c>
      <c r="I2546" s="11">
        <v>4.60533E7</v>
      </c>
      <c r="J2546" s="11">
        <v>0.685</v>
      </c>
      <c r="K2546" s="12" t="s">
        <v>274</v>
      </c>
      <c r="L2546" s="5" t="s">
        <v>75</v>
      </c>
      <c r="M2546" s="9" t="s">
        <v>70</v>
      </c>
    </row>
    <row r="2547">
      <c r="A2547" s="11">
        <v>2546.0</v>
      </c>
      <c r="B2547" s="11">
        <v>0.011</v>
      </c>
      <c r="C2547" s="11">
        <v>0.01</v>
      </c>
      <c r="D2547" s="11">
        <v>76.0</v>
      </c>
      <c r="E2547" s="11">
        <v>65.0</v>
      </c>
      <c r="F2547" s="11">
        <v>0.139</v>
      </c>
      <c r="G2547" s="11">
        <v>0.703</v>
      </c>
      <c r="H2547" s="11">
        <v>0.158</v>
      </c>
      <c r="I2547" s="11">
        <v>4.58707E7</v>
      </c>
      <c r="J2547" s="11">
        <v>0.687</v>
      </c>
      <c r="K2547" s="12" t="s">
        <v>274</v>
      </c>
      <c r="L2547" s="5" t="s">
        <v>75</v>
      </c>
      <c r="M2547" s="9" t="s">
        <v>71</v>
      </c>
    </row>
    <row r="2548">
      <c r="A2548" s="11">
        <v>2547.0</v>
      </c>
      <c r="B2548" s="11">
        <v>0.011</v>
      </c>
      <c r="C2548" s="11">
        <v>0.01</v>
      </c>
      <c r="D2548" s="11">
        <v>76.0</v>
      </c>
      <c r="E2548" s="11">
        <v>66.0</v>
      </c>
      <c r="F2548" s="11">
        <v>0.14</v>
      </c>
      <c r="G2548" s="11">
        <v>0.704</v>
      </c>
      <c r="H2548" s="11">
        <v>0.156</v>
      </c>
      <c r="I2548" s="11">
        <v>4.57061E7</v>
      </c>
      <c r="J2548" s="11">
        <v>0.689</v>
      </c>
      <c r="K2548" s="12" t="s">
        <v>274</v>
      </c>
      <c r="L2548" s="5" t="s">
        <v>75</v>
      </c>
      <c r="M2548" s="9" t="s">
        <v>72</v>
      </c>
    </row>
    <row r="2549">
      <c r="A2549" s="11">
        <v>2548.0</v>
      </c>
      <c r="B2549" s="11">
        <v>0.011</v>
      </c>
      <c r="C2549" s="11">
        <v>0.009</v>
      </c>
      <c r="D2549" s="11">
        <v>76.0</v>
      </c>
      <c r="E2549" s="11">
        <v>66.0</v>
      </c>
      <c r="F2549" s="11">
        <v>0.142</v>
      </c>
      <c r="G2549" s="11">
        <v>0.705</v>
      </c>
      <c r="H2549" s="11">
        <v>0.153</v>
      </c>
      <c r="I2549" s="11">
        <v>4.55933E7</v>
      </c>
      <c r="J2549" s="11">
        <v>0.691</v>
      </c>
      <c r="K2549" s="12" t="s">
        <v>274</v>
      </c>
      <c r="L2549" s="5" t="s">
        <v>75</v>
      </c>
      <c r="M2549" s="9" t="s">
        <v>73</v>
      </c>
    </row>
    <row r="2550">
      <c r="A2550" s="11">
        <v>2549.0</v>
      </c>
      <c r="B2550" s="11">
        <v>0.017</v>
      </c>
      <c r="C2550" s="11">
        <v>0.01</v>
      </c>
      <c r="D2550" s="11">
        <v>75.0</v>
      </c>
      <c r="E2550" s="11">
        <v>73.0</v>
      </c>
      <c r="F2550" s="11">
        <v>0.254</v>
      </c>
      <c r="G2550" s="11">
        <v>0.736</v>
      </c>
      <c r="H2550" s="11">
        <v>0.01</v>
      </c>
      <c r="I2550" s="11">
        <v>3026352.0</v>
      </c>
      <c r="J2550" s="11">
        <v>0.802</v>
      </c>
      <c r="K2550" s="12" t="s">
        <v>275</v>
      </c>
      <c r="L2550" s="5" t="s">
        <v>93</v>
      </c>
      <c r="M2550" s="9" t="s">
        <v>60</v>
      </c>
    </row>
    <row r="2551">
      <c r="A2551" s="11">
        <v>2550.0</v>
      </c>
      <c r="B2551" s="11">
        <v>0.016</v>
      </c>
      <c r="C2551" s="11">
        <v>0.009</v>
      </c>
      <c r="D2551" s="11">
        <v>76.0</v>
      </c>
      <c r="E2551" s="11">
        <v>74.0</v>
      </c>
      <c r="F2551" s="11">
        <v>0.249</v>
      </c>
      <c r="G2551" s="11">
        <v>0.741</v>
      </c>
      <c r="H2551" s="11">
        <v>0.01</v>
      </c>
      <c r="I2551" s="11">
        <v>3132104.0</v>
      </c>
      <c r="J2551" s="11">
        <v>0.807</v>
      </c>
      <c r="K2551" s="12" t="s">
        <v>275</v>
      </c>
      <c r="L2551" s="5" t="s">
        <v>93</v>
      </c>
      <c r="M2551" s="9" t="s">
        <v>62</v>
      </c>
    </row>
    <row r="2552">
      <c r="A2552" s="11">
        <v>2551.0</v>
      </c>
      <c r="B2552" s="11">
        <v>0.016</v>
      </c>
      <c r="C2552" s="11">
        <v>0.009</v>
      </c>
      <c r="D2552" s="11">
        <v>76.0</v>
      </c>
      <c r="E2552" s="11">
        <v>74.0</v>
      </c>
      <c r="F2552" s="11">
        <v>0.243</v>
      </c>
      <c r="G2552" s="11">
        <v>0.746</v>
      </c>
      <c r="H2552" s="11">
        <v>0.01</v>
      </c>
      <c r="I2552" s="11">
        <v>3223969.0</v>
      </c>
      <c r="J2552" s="11">
        <v>0.811</v>
      </c>
      <c r="K2552" s="12" t="s">
        <v>275</v>
      </c>
      <c r="L2552" s="5" t="s">
        <v>93</v>
      </c>
      <c r="M2552" s="9" t="s">
        <v>63</v>
      </c>
    </row>
    <row r="2553">
      <c r="A2553" s="11">
        <v>2552.0</v>
      </c>
      <c r="B2553" s="11">
        <v>0.016</v>
      </c>
      <c r="C2553" s="11">
        <v>0.009</v>
      </c>
      <c r="D2553" s="11">
        <v>76.0</v>
      </c>
      <c r="E2553" s="11">
        <v>74.0</v>
      </c>
      <c r="F2553" s="11">
        <v>0.234</v>
      </c>
      <c r="G2553" s="11">
        <v>0.756</v>
      </c>
      <c r="H2553" s="11">
        <v>0.01</v>
      </c>
      <c r="I2553" s="11">
        <v>3369254.0</v>
      </c>
      <c r="J2553" s="11">
        <v>0.815</v>
      </c>
      <c r="K2553" s="12" t="s">
        <v>275</v>
      </c>
      <c r="L2553" s="5" t="s">
        <v>93</v>
      </c>
      <c r="M2553" s="9" t="s">
        <v>64</v>
      </c>
    </row>
    <row r="2554">
      <c r="A2554" s="11">
        <v>2553.0</v>
      </c>
      <c r="B2554" s="11">
        <v>0.016</v>
      </c>
      <c r="C2554" s="11">
        <v>0.009</v>
      </c>
      <c r="D2554" s="11">
        <v>76.0</v>
      </c>
      <c r="E2554" s="11">
        <v>74.0</v>
      </c>
      <c r="F2554" s="11">
        <v>0.219</v>
      </c>
      <c r="G2554" s="11">
        <v>0.771</v>
      </c>
      <c r="H2554" s="11">
        <v>0.009</v>
      </c>
      <c r="I2554" s="11">
        <v>3658658.0</v>
      </c>
      <c r="J2554" s="11">
        <v>0.819</v>
      </c>
      <c r="K2554" s="12" t="s">
        <v>275</v>
      </c>
      <c r="L2554" s="5" t="s">
        <v>93</v>
      </c>
      <c r="M2554" s="9" t="s">
        <v>65</v>
      </c>
    </row>
    <row r="2555">
      <c r="A2555" s="11">
        <v>2554.0</v>
      </c>
      <c r="B2555" s="11">
        <v>0.016</v>
      </c>
      <c r="C2555" s="11">
        <v>0.008</v>
      </c>
      <c r="D2555" s="11">
        <v>77.0</v>
      </c>
      <c r="E2555" s="11">
        <v>75.0</v>
      </c>
      <c r="F2555" s="11">
        <v>0.2</v>
      </c>
      <c r="G2555" s="11">
        <v>0.791</v>
      </c>
      <c r="H2555" s="11">
        <v>0.008</v>
      </c>
      <c r="I2555" s="11">
        <v>4148883.0</v>
      </c>
      <c r="J2555" s="11">
        <v>0.823</v>
      </c>
      <c r="K2555" s="12" t="s">
        <v>275</v>
      </c>
      <c r="L2555" s="5" t="s">
        <v>93</v>
      </c>
      <c r="M2555" s="9" t="s">
        <v>66</v>
      </c>
    </row>
    <row r="2556">
      <c r="A2556" s="11">
        <v>2555.0</v>
      </c>
      <c r="B2556" s="11">
        <v>0.016</v>
      </c>
      <c r="C2556" s="11">
        <v>0.008</v>
      </c>
      <c r="D2556" s="11">
        <v>77.0</v>
      </c>
      <c r="E2556" s="11">
        <v>75.0</v>
      </c>
      <c r="F2556" s="11">
        <v>0.18</v>
      </c>
      <c r="G2556" s="11">
        <v>0.813</v>
      </c>
      <c r="H2556" s="11">
        <v>0.007</v>
      </c>
      <c r="I2556" s="11">
        <v>4875639.0</v>
      </c>
      <c r="J2556" s="11">
        <v>0.826</v>
      </c>
      <c r="K2556" s="12" t="s">
        <v>275</v>
      </c>
      <c r="L2556" s="5" t="s">
        <v>93</v>
      </c>
      <c r="M2556" s="9" t="s">
        <v>67</v>
      </c>
    </row>
    <row r="2557">
      <c r="A2557" s="11">
        <v>2556.0</v>
      </c>
      <c r="B2557" s="11">
        <v>0.016</v>
      </c>
      <c r="C2557" s="11">
        <v>0.008</v>
      </c>
      <c r="D2557" s="11">
        <v>77.0</v>
      </c>
      <c r="E2557" s="11">
        <v>75.0</v>
      </c>
      <c r="F2557" s="11">
        <v>0.162</v>
      </c>
      <c r="G2557" s="11">
        <v>0.833</v>
      </c>
      <c r="H2557" s="11">
        <v>0.005</v>
      </c>
      <c r="I2557" s="11">
        <v>5797347.0</v>
      </c>
      <c r="J2557" s="11">
        <v>0.83</v>
      </c>
      <c r="K2557" s="12" t="s">
        <v>275</v>
      </c>
      <c r="L2557" s="5" t="s">
        <v>93</v>
      </c>
      <c r="M2557" s="9" t="s">
        <v>68</v>
      </c>
    </row>
    <row r="2558">
      <c r="A2558" s="11">
        <v>2557.0</v>
      </c>
      <c r="B2558" s="11">
        <v>0.016</v>
      </c>
      <c r="C2558" s="11">
        <v>0.008</v>
      </c>
      <c r="D2558" s="11">
        <v>77.0</v>
      </c>
      <c r="E2558" s="11">
        <v>75.0</v>
      </c>
      <c r="F2558" s="11">
        <v>0.149</v>
      </c>
      <c r="G2558" s="11">
        <v>0.847</v>
      </c>
      <c r="H2558" s="11">
        <v>0.004</v>
      </c>
      <c r="I2558" s="11">
        <v>6798635.0</v>
      </c>
      <c r="J2558" s="11">
        <v>0.834</v>
      </c>
      <c r="K2558" s="12" t="s">
        <v>275</v>
      </c>
      <c r="L2558" s="5" t="s">
        <v>93</v>
      </c>
      <c r="M2558" s="9" t="s">
        <v>69</v>
      </c>
    </row>
    <row r="2559">
      <c r="A2559" s="11">
        <v>2558.0</v>
      </c>
      <c r="B2559" s="11">
        <v>0.016</v>
      </c>
      <c r="C2559" s="11">
        <v>0.008</v>
      </c>
      <c r="D2559" s="11">
        <v>77.0</v>
      </c>
      <c r="E2559" s="11">
        <v>75.0</v>
      </c>
      <c r="F2559" s="11">
        <v>0.141</v>
      </c>
      <c r="G2559" s="11">
        <v>0.855</v>
      </c>
      <c r="H2559" s="11">
        <v>0.004</v>
      </c>
      <c r="I2559" s="11">
        <v>7718319.0</v>
      </c>
      <c r="J2559" s="11">
        <v>0.837</v>
      </c>
      <c r="K2559" s="12" t="s">
        <v>275</v>
      </c>
      <c r="L2559" s="5" t="s">
        <v>93</v>
      </c>
      <c r="M2559" s="9" t="s">
        <v>70</v>
      </c>
    </row>
    <row r="2560">
      <c r="A2560" s="11">
        <v>2559.0</v>
      </c>
      <c r="B2560" s="11">
        <v>0.016</v>
      </c>
      <c r="C2560" s="11">
        <v>0.008</v>
      </c>
      <c r="D2560" s="11">
        <v>78.0</v>
      </c>
      <c r="E2560" s="11">
        <v>76.0</v>
      </c>
      <c r="F2560" s="11">
        <v>0.139</v>
      </c>
      <c r="G2560" s="11">
        <v>0.858</v>
      </c>
      <c r="H2560" s="11">
        <v>0.003</v>
      </c>
      <c r="I2560" s="11">
        <v>8441537.0</v>
      </c>
      <c r="J2560" s="11">
        <v>0.841</v>
      </c>
      <c r="K2560" s="12" t="s">
        <v>275</v>
      </c>
      <c r="L2560" s="5" t="s">
        <v>93</v>
      </c>
      <c r="M2560" s="9" t="s">
        <v>71</v>
      </c>
    </row>
    <row r="2561">
      <c r="A2561" s="11">
        <v>2560.0</v>
      </c>
      <c r="B2561" s="11">
        <v>0.016</v>
      </c>
      <c r="C2561" s="11">
        <v>0.007</v>
      </c>
      <c r="D2561" s="11">
        <v>78.0</v>
      </c>
      <c r="E2561" s="11">
        <v>76.0</v>
      </c>
      <c r="F2561" s="11">
        <v>0.14</v>
      </c>
      <c r="G2561" s="11">
        <v>0.857</v>
      </c>
      <c r="H2561" s="11">
        <v>0.003</v>
      </c>
      <c r="I2561" s="11">
        <v>8925096.0</v>
      </c>
      <c r="J2561" s="11">
        <v>0.844</v>
      </c>
      <c r="K2561" s="12" t="s">
        <v>275</v>
      </c>
      <c r="L2561" s="5" t="s">
        <v>93</v>
      </c>
      <c r="M2561" s="9" t="s">
        <v>72</v>
      </c>
    </row>
    <row r="2562">
      <c r="A2562" s="11">
        <v>2561.0</v>
      </c>
      <c r="B2562" s="11">
        <v>0.015</v>
      </c>
      <c r="C2562" s="11">
        <v>0.007</v>
      </c>
      <c r="D2562" s="11">
        <v>78.0</v>
      </c>
      <c r="E2562" s="11">
        <v>76.0</v>
      </c>
      <c r="F2562" s="11">
        <v>0.144</v>
      </c>
      <c r="G2562" s="11">
        <v>0.852</v>
      </c>
      <c r="H2562" s="11">
        <v>0.004</v>
      </c>
      <c r="I2562" s="11">
        <v>9205651.0</v>
      </c>
      <c r="J2562" s="11">
        <v>0.847</v>
      </c>
      <c r="K2562" s="12" t="s">
        <v>275</v>
      </c>
      <c r="L2562" s="5" t="s">
        <v>93</v>
      </c>
      <c r="M2562" s="9" t="s">
        <v>73</v>
      </c>
    </row>
    <row r="2563">
      <c r="A2563" s="11">
        <v>2562.0</v>
      </c>
      <c r="B2563" s="11">
        <v>0.012</v>
      </c>
      <c r="C2563" s="11">
        <v>0.006</v>
      </c>
      <c r="D2563" s="11">
        <v>80.0</v>
      </c>
      <c r="E2563" s="11">
        <v>75.0</v>
      </c>
      <c r="F2563" s="11">
        <v>0.19</v>
      </c>
      <c r="G2563" s="11">
        <v>0.652</v>
      </c>
      <c r="H2563" s="11">
        <v>0.158</v>
      </c>
      <c r="I2563" s="11">
        <v>5.8892514E7</v>
      </c>
      <c r="J2563" s="11">
        <v>0.787</v>
      </c>
      <c r="K2563" s="12" t="s">
        <v>276</v>
      </c>
      <c r="L2563" s="5" t="s">
        <v>75</v>
      </c>
      <c r="M2563" s="9" t="s">
        <v>60</v>
      </c>
    </row>
    <row r="2564">
      <c r="A2564" s="11">
        <v>2563.0</v>
      </c>
      <c r="B2564" s="11">
        <v>0.011</v>
      </c>
      <c r="C2564" s="11">
        <v>0.006</v>
      </c>
      <c r="D2564" s="11">
        <v>80.0</v>
      </c>
      <c r="E2564" s="11">
        <v>76.0</v>
      </c>
      <c r="F2564" s="11">
        <v>0.188</v>
      </c>
      <c r="G2564" s="11">
        <v>0.654</v>
      </c>
      <c r="H2564" s="11">
        <v>0.158</v>
      </c>
      <c r="I2564" s="11">
        <v>5.9119673E7</v>
      </c>
      <c r="J2564" s="11">
        <v>0.788</v>
      </c>
      <c r="K2564" s="12" t="s">
        <v>276</v>
      </c>
      <c r="L2564" s="5" t="s">
        <v>75</v>
      </c>
      <c r="M2564" s="9" t="s">
        <v>62</v>
      </c>
    </row>
    <row r="2565">
      <c r="A2565" s="11">
        <v>2564.0</v>
      </c>
      <c r="B2565" s="11">
        <v>0.011</v>
      </c>
      <c r="C2565" s="11">
        <v>0.005</v>
      </c>
      <c r="D2565" s="11">
        <v>81.0</v>
      </c>
      <c r="E2565" s="11">
        <v>76.0</v>
      </c>
      <c r="F2565" s="11">
        <v>0.186</v>
      </c>
      <c r="G2565" s="11">
        <v>0.656</v>
      </c>
      <c r="H2565" s="11">
        <v>0.158</v>
      </c>
      <c r="I2565" s="11">
        <v>5.9370479E7</v>
      </c>
      <c r="J2565" s="11">
        <v>0.79</v>
      </c>
      <c r="K2565" s="12" t="s">
        <v>276</v>
      </c>
      <c r="L2565" s="5" t="s">
        <v>75</v>
      </c>
      <c r="M2565" s="9" t="s">
        <v>63</v>
      </c>
    </row>
    <row r="2566">
      <c r="A2566" s="11">
        <v>2565.0</v>
      </c>
      <c r="B2566" s="11">
        <v>0.012</v>
      </c>
      <c r="C2566" s="11">
        <v>0.005</v>
      </c>
      <c r="D2566" s="11">
        <v>81.0</v>
      </c>
      <c r="E2566" s="11">
        <v>76.0</v>
      </c>
      <c r="F2566" s="11">
        <v>0.183</v>
      </c>
      <c r="G2566" s="11">
        <v>0.658</v>
      </c>
      <c r="H2566" s="11">
        <v>0.159</v>
      </c>
      <c r="I2566" s="11">
        <v>5.9647577E7</v>
      </c>
      <c r="J2566" s="11">
        <v>0.793</v>
      </c>
      <c r="K2566" s="12" t="s">
        <v>276</v>
      </c>
      <c r="L2566" s="5" t="s">
        <v>75</v>
      </c>
      <c r="M2566" s="9" t="s">
        <v>64</v>
      </c>
    </row>
    <row r="2567">
      <c r="A2567" s="11">
        <v>2566.0</v>
      </c>
      <c r="B2567" s="11">
        <v>0.012</v>
      </c>
      <c r="C2567" s="11">
        <v>0.005</v>
      </c>
      <c r="D2567" s="11">
        <v>81.0</v>
      </c>
      <c r="E2567" s="11">
        <v>77.0</v>
      </c>
      <c r="F2567" s="11">
        <v>0.181</v>
      </c>
      <c r="G2567" s="11">
        <v>0.66</v>
      </c>
      <c r="H2567" s="11">
        <v>0.159</v>
      </c>
      <c r="I2567" s="11">
        <v>5.9987905E7</v>
      </c>
      <c r="J2567" s="11">
        <v>0.796</v>
      </c>
      <c r="K2567" s="12" t="s">
        <v>276</v>
      </c>
      <c r="L2567" s="5" t="s">
        <v>75</v>
      </c>
      <c r="M2567" s="9" t="s">
        <v>65</v>
      </c>
    </row>
    <row r="2568">
      <c r="A2568" s="11">
        <v>2567.0</v>
      </c>
      <c r="B2568" s="11">
        <v>0.012</v>
      </c>
      <c r="C2568" s="11">
        <v>0.005</v>
      </c>
      <c r="D2568" s="11">
        <v>81.0</v>
      </c>
      <c r="E2568" s="11">
        <v>77.0</v>
      </c>
      <c r="F2568" s="11">
        <v>0.179</v>
      </c>
      <c r="G2568" s="11">
        <v>0.661</v>
      </c>
      <c r="H2568" s="11">
        <v>0.16</v>
      </c>
      <c r="I2568" s="11">
        <v>6.0401206E7</v>
      </c>
      <c r="J2568" s="11">
        <v>0.799</v>
      </c>
      <c r="K2568" s="12" t="s">
        <v>276</v>
      </c>
      <c r="L2568" s="5" t="s">
        <v>75</v>
      </c>
      <c r="M2568" s="9" t="s">
        <v>66</v>
      </c>
    </row>
    <row r="2569">
      <c r="A2569" s="11">
        <v>2568.0</v>
      </c>
      <c r="B2569" s="11">
        <v>0.012</v>
      </c>
      <c r="C2569" s="11">
        <v>0.005</v>
      </c>
      <c r="D2569" s="11">
        <v>81.0</v>
      </c>
      <c r="E2569" s="11">
        <v>77.0</v>
      </c>
      <c r="F2569" s="11">
        <v>0.178</v>
      </c>
      <c r="G2569" s="11">
        <v>0.662</v>
      </c>
      <c r="H2569" s="11">
        <v>0.16</v>
      </c>
      <c r="I2569" s="11">
        <v>6.084682E7</v>
      </c>
      <c r="J2569" s="11">
        <v>0.802</v>
      </c>
      <c r="K2569" s="12" t="s">
        <v>276</v>
      </c>
      <c r="L2569" s="5" t="s">
        <v>75</v>
      </c>
      <c r="M2569" s="9" t="s">
        <v>67</v>
      </c>
    </row>
    <row r="2570">
      <c r="A2570" s="11">
        <v>2569.0</v>
      </c>
      <c r="B2570" s="11">
        <v>0.013</v>
      </c>
      <c r="C2570" s="11">
        <v>0.005</v>
      </c>
      <c r="D2570" s="11">
        <v>82.0</v>
      </c>
      <c r="E2570" s="11">
        <v>77.0</v>
      </c>
      <c r="F2570" s="11">
        <v>0.177</v>
      </c>
      <c r="G2570" s="11">
        <v>0.662</v>
      </c>
      <c r="H2570" s="11">
        <v>0.161</v>
      </c>
      <c r="I2570" s="11">
        <v>6.1322463E7</v>
      </c>
      <c r="J2570" s="11">
        <v>0.805</v>
      </c>
      <c r="K2570" s="12" t="s">
        <v>276</v>
      </c>
      <c r="L2570" s="5" t="s">
        <v>75</v>
      </c>
      <c r="M2570" s="9" t="s">
        <v>68</v>
      </c>
    </row>
    <row r="2571">
      <c r="A2571" s="11">
        <v>2570.0</v>
      </c>
      <c r="B2571" s="11">
        <v>0.013</v>
      </c>
      <c r="C2571" s="11">
        <v>0.005</v>
      </c>
      <c r="D2571" s="11">
        <v>82.0</v>
      </c>
      <c r="E2571" s="11">
        <v>78.0</v>
      </c>
      <c r="F2571" s="11">
        <v>0.176</v>
      </c>
      <c r="G2571" s="11">
        <v>0.661</v>
      </c>
      <c r="H2571" s="11">
        <v>0.162</v>
      </c>
      <c r="I2571" s="11">
        <v>6.1806995E7</v>
      </c>
      <c r="J2571" s="11">
        <v>0.808</v>
      </c>
      <c r="K2571" s="12" t="s">
        <v>276</v>
      </c>
      <c r="L2571" s="5" t="s">
        <v>75</v>
      </c>
      <c r="M2571" s="9" t="s">
        <v>69</v>
      </c>
    </row>
    <row r="2572">
      <c r="A2572" s="11">
        <v>2571.0</v>
      </c>
      <c r="B2572" s="11">
        <v>0.013</v>
      </c>
      <c r="C2572" s="11">
        <v>0.005</v>
      </c>
      <c r="D2572" s="11">
        <v>82.0</v>
      </c>
      <c r="E2572" s="11">
        <v>78.0</v>
      </c>
      <c r="F2572" s="11">
        <v>0.176</v>
      </c>
      <c r="G2572" s="11">
        <v>0.66</v>
      </c>
      <c r="H2572" s="11">
        <v>0.164</v>
      </c>
      <c r="I2572" s="11">
        <v>6.227627E7</v>
      </c>
      <c r="J2572" s="11">
        <v>0.81</v>
      </c>
      <c r="K2572" s="12" t="s">
        <v>276</v>
      </c>
      <c r="L2572" s="5" t="s">
        <v>75</v>
      </c>
      <c r="M2572" s="9" t="s">
        <v>70</v>
      </c>
    </row>
    <row r="2573">
      <c r="A2573" s="11">
        <v>2572.0</v>
      </c>
      <c r="B2573" s="11">
        <v>0.013</v>
      </c>
      <c r="C2573" s="11">
        <v>0.004</v>
      </c>
      <c r="D2573" s="11">
        <v>82.0</v>
      </c>
      <c r="E2573" s="11">
        <v>79.0</v>
      </c>
      <c r="F2573" s="11">
        <v>0.176</v>
      </c>
      <c r="G2573" s="11">
        <v>0.659</v>
      </c>
      <c r="H2573" s="11">
        <v>0.166</v>
      </c>
      <c r="I2573" s="11">
        <v>6.2766365E7</v>
      </c>
      <c r="J2573" s="11">
        <v>0.813</v>
      </c>
      <c r="K2573" s="12" t="s">
        <v>276</v>
      </c>
      <c r="L2573" s="5" t="s">
        <v>75</v>
      </c>
      <c r="M2573" s="9" t="s">
        <v>71</v>
      </c>
    </row>
    <row r="2574">
      <c r="A2574" s="11">
        <v>2573.0</v>
      </c>
      <c r="B2574" s="11">
        <v>0.013</v>
      </c>
      <c r="C2574" s="11">
        <v>0.004</v>
      </c>
      <c r="D2574" s="11">
        <v>83.0</v>
      </c>
      <c r="E2574" s="11">
        <v>79.0</v>
      </c>
      <c r="F2574" s="11">
        <v>0.175</v>
      </c>
      <c r="G2574" s="11">
        <v>0.656</v>
      </c>
      <c r="H2574" s="11">
        <v>0.169</v>
      </c>
      <c r="I2574" s="11">
        <v>6.3258918E7</v>
      </c>
      <c r="J2574" s="11">
        <v>0.816</v>
      </c>
      <c r="K2574" s="12" t="s">
        <v>276</v>
      </c>
      <c r="L2574" s="5" t="s">
        <v>75</v>
      </c>
      <c r="M2574" s="9" t="s">
        <v>72</v>
      </c>
    </row>
    <row r="2575">
      <c r="A2575" s="11">
        <v>2574.0</v>
      </c>
      <c r="B2575" s="11">
        <v>0.013</v>
      </c>
      <c r="C2575" s="11">
        <v>0.004</v>
      </c>
      <c r="D2575" s="11">
        <v>84.0</v>
      </c>
      <c r="E2575" s="11">
        <v>80.0</v>
      </c>
      <c r="F2575" s="11">
        <v>0.175</v>
      </c>
      <c r="G2575" s="11">
        <v>0.653</v>
      </c>
      <c r="H2575" s="11">
        <v>0.172</v>
      </c>
      <c r="I2575" s="11">
        <v>6.3695687E7</v>
      </c>
      <c r="J2575" s="11">
        <v>0.818</v>
      </c>
      <c r="K2575" s="12" t="s">
        <v>276</v>
      </c>
      <c r="L2575" s="5" t="s">
        <v>75</v>
      </c>
      <c r="M2575" s="9" t="s">
        <v>73</v>
      </c>
    </row>
    <row r="2576">
      <c r="A2576" s="11">
        <v>2575.0</v>
      </c>
      <c r="B2576" s="11">
        <v>0.014</v>
      </c>
      <c r="C2576" s="11">
        <v>0.007</v>
      </c>
      <c r="D2576" s="11">
        <v>79.0</v>
      </c>
      <c r="E2576" s="11">
        <v>74.0</v>
      </c>
      <c r="F2576" s="11">
        <v>0.213</v>
      </c>
      <c r="G2576" s="11">
        <v>0.663</v>
      </c>
      <c r="H2576" s="11">
        <v>0.124</v>
      </c>
      <c r="I2576" s="11">
        <v>2.82162411E8</v>
      </c>
      <c r="J2576" s="11">
        <v>0.791</v>
      </c>
      <c r="K2576" s="12" t="s">
        <v>277</v>
      </c>
      <c r="L2576" s="5" t="s">
        <v>84</v>
      </c>
      <c r="M2576" s="9" t="s">
        <v>60</v>
      </c>
    </row>
    <row r="2577">
      <c r="A2577" s="11">
        <v>2576.0</v>
      </c>
      <c r="B2577" s="11">
        <v>0.014</v>
      </c>
      <c r="C2577" s="11">
        <v>0.007</v>
      </c>
      <c r="D2577" s="11">
        <v>79.0</v>
      </c>
      <c r="E2577" s="11">
        <v>74.0</v>
      </c>
      <c r="F2577" s="11">
        <v>0.212</v>
      </c>
      <c r="G2577" s="11">
        <v>0.665</v>
      </c>
      <c r="H2577" s="11">
        <v>0.123</v>
      </c>
      <c r="I2577" s="11">
        <v>2.84968955E8</v>
      </c>
      <c r="J2577" s="11">
        <v>0.792</v>
      </c>
      <c r="K2577" s="12" t="s">
        <v>277</v>
      </c>
      <c r="L2577" s="5" t="s">
        <v>84</v>
      </c>
      <c r="M2577" s="9" t="s">
        <v>62</v>
      </c>
    </row>
    <row r="2578">
      <c r="A2578" s="11">
        <v>2577.0</v>
      </c>
      <c r="B2578" s="11">
        <v>0.014</v>
      </c>
      <c r="C2578" s="11">
        <v>0.007</v>
      </c>
      <c r="D2578" s="11">
        <v>80.0</v>
      </c>
      <c r="E2578" s="11">
        <v>74.0</v>
      </c>
      <c r="F2578" s="11">
        <v>0.21</v>
      </c>
      <c r="G2578" s="11">
        <v>0.667</v>
      </c>
      <c r="H2578" s="11">
        <v>0.123</v>
      </c>
      <c r="I2578" s="11">
        <v>2.87625193E8</v>
      </c>
      <c r="J2578" s="11">
        <v>0.794</v>
      </c>
      <c r="K2578" s="12" t="s">
        <v>277</v>
      </c>
      <c r="L2578" s="5" t="s">
        <v>84</v>
      </c>
      <c r="M2578" s="9" t="s">
        <v>63</v>
      </c>
    </row>
    <row r="2579">
      <c r="A2579" s="11">
        <v>2578.0</v>
      </c>
      <c r="B2579" s="11">
        <v>0.014</v>
      </c>
      <c r="C2579" s="11">
        <v>0.007</v>
      </c>
      <c r="D2579" s="11">
        <v>80.0</v>
      </c>
      <c r="E2579" s="11">
        <v>75.0</v>
      </c>
      <c r="F2579" s="11">
        <v>0.209</v>
      </c>
      <c r="G2579" s="11">
        <v>0.669</v>
      </c>
      <c r="H2579" s="11">
        <v>0.123</v>
      </c>
      <c r="I2579" s="11">
        <v>2.90107933E8</v>
      </c>
      <c r="J2579" s="11">
        <v>0.796</v>
      </c>
      <c r="K2579" s="12" t="s">
        <v>277</v>
      </c>
      <c r="L2579" s="5" t="s">
        <v>84</v>
      </c>
      <c r="M2579" s="9" t="s">
        <v>64</v>
      </c>
    </row>
    <row r="2580">
      <c r="A2580" s="11">
        <v>2579.0</v>
      </c>
      <c r="B2580" s="11">
        <v>0.014</v>
      </c>
      <c r="C2580" s="11">
        <v>0.007</v>
      </c>
      <c r="D2580" s="11">
        <v>80.0</v>
      </c>
      <c r="E2580" s="11">
        <v>75.0</v>
      </c>
      <c r="F2580" s="11">
        <v>0.207</v>
      </c>
      <c r="G2580" s="11">
        <v>0.67</v>
      </c>
      <c r="H2580" s="11">
        <v>0.123</v>
      </c>
      <c r="I2580" s="11">
        <v>2.92805298E8</v>
      </c>
      <c r="J2580" s="11">
        <v>0.798</v>
      </c>
      <c r="K2580" s="12" t="s">
        <v>277</v>
      </c>
      <c r="L2580" s="5" t="s">
        <v>84</v>
      </c>
      <c r="M2580" s="9" t="s">
        <v>65</v>
      </c>
    </row>
    <row r="2581">
      <c r="A2581" s="11">
        <v>2580.0</v>
      </c>
      <c r="B2581" s="11">
        <v>0.014</v>
      </c>
      <c r="C2581" s="11">
        <v>0.007</v>
      </c>
      <c r="D2581" s="11">
        <v>80.0</v>
      </c>
      <c r="E2581" s="11">
        <v>75.0</v>
      </c>
      <c r="F2581" s="11">
        <v>0.205</v>
      </c>
      <c r="G2581" s="11">
        <v>0.671</v>
      </c>
      <c r="H2581" s="11">
        <v>0.123</v>
      </c>
      <c r="I2581" s="11">
        <v>2.95516599E8</v>
      </c>
      <c r="J2581" s="11">
        <v>0.799</v>
      </c>
      <c r="K2581" s="12" t="s">
        <v>277</v>
      </c>
      <c r="L2581" s="5" t="s">
        <v>84</v>
      </c>
      <c r="M2581" s="9" t="s">
        <v>66</v>
      </c>
    </row>
    <row r="2582">
      <c r="A2582" s="11">
        <v>2581.0</v>
      </c>
      <c r="B2582" s="11">
        <v>0.014</v>
      </c>
      <c r="C2582" s="11">
        <v>0.007</v>
      </c>
      <c r="D2582" s="11">
        <v>80.0</v>
      </c>
      <c r="E2582" s="11">
        <v>75.0</v>
      </c>
      <c r="F2582" s="11">
        <v>0.204</v>
      </c>
      <c r="G2582" s="11">
        <v>0.672</v>
      </c>
      <c r="H2582" s="11">
        <v>0.124</v>
      </c>
      <c r="I2582" s="11">
        <v>2.98379912E8</v>
      </c>
      <c r="J2582" s="11">
        <v>0.801</v>
      </c>
      <c r="K2582" s="12" t="s">
        <v>277</v>
      </c>
      <c r="L2582" s="5" t="s">
        <v>84</v>
      </c>
      <c r="M2582" s="9" t="s">
        <v>67</v>
      </c>
    </row>
    <row r="2583">
      <c r="A2583" s="11">
        <v>2582.0</v>
      </c>
      <c r="B2583" s="11">
        <v>0.014</v>
      </c>
      <c r="C2583" s="11">
        <v>0.007</v>
      </c>
      <c r="D2583" s="11">
        <v>80.0</v>
      </c>
      <c r="E2583" s="11">
        <v>75.0</v>
      </c>
      <c r="F2583" s="11">
        <v>0.202</v>
      </c>
      <c r="G2583" s="11">
        <v>0.673</v>
      </c>
      <c r="H2583" s="11">
        <v>0.125</v>
      </c>
      <c r="I2583" s="11">
        <v>3.01231207E8</v>
      </c>
      <c r="J2583" s="11">
        <v>0.803</v>
      </c>
      <c r="K2583" s="12" t="s">
        <v>277</v>
      </c>
      <c r="L2583" s="5" t="s">
        <v>84</v>
      </c>
      <c r="M2583" s="9" t="s">
        <v>68</v>
      </c>
    </row>
    <row r="2584">
      <c r="A2584" s="11">
        <v>2583.0</v>
      </c>
      <c r="B2584" s="11">
        <v>0.014</v>
      </c>
      <c r="C2584" s="11">
        <v>0.007</v>
      </c>
      <c r="D2584" s="11">
        <v>81.0</v>
      </c>
      <c r="E2584" s="11">
        <v>76.0</v>
      </c>
      <c r="F2584" s="11">
        <v>0.201</v>
      </c>
      <c r="G2584" s="11">
        <v>0.673</v>
      </c>
      <c r="H2584" s="11">
        <v>0.127</v>
      </c>
      <c r="I2584" s="11">
        <v>3.04093966E8</v>
      </c>
      <c r="J2584" s="11">
        <v>0.804</v>
      </c>
      <c r="K2584" s="12" t="s">
        <v>277</v>
      </c>
      <c r="L2584" s="5" t="s">
        <v>84</v>
      </c>
      <c r="M2584" s="9" t="s">
        <v>69</v>
      </c>
    </row>
    <row r="2585">
      <c r="A2585" s="11">
        <v>2584.0</v>
      </c>
      <c r="B2585" s="11">
        <v>0.014</v>
      </c>
      <c r="C2585" s="11">
        <v>0.006</v>
      </c>
      <c r="D2585" s="11">
        <v>81.0</v>
      </c>
      <c r="E2585" s="11">
        <v>76.0</v>
      </c>
      <c r="F2585" s="11">
        <v>0.2</v>
      </c>
      <c r="G2585" s="11">
        <v>0.672</v>
      </c>
      <c r="H2585" s="11">
        <v>0.128</v>
      </c>
      <c r="I2585" s="11">
        <v>3.06771529E8</v>
      </c>
      <c r="J2585" s="11">
        <v>0.806</v>
      </c>
      <c r="K2585" s="12" t="s">
        <v>277</v>
      </c>
      <c r="L2585" s="5" t="s">
        <v>84</v>
      </c>
      <c r="M2585" s="9" t="s">
        <v>70</v>
      </c>
    </row>
    <row r="2586">
      <c r="A2586" s="11">
        <v>2585.0</v>
      </c>
      <c r="B2586" s="11">
        <v>0.013</v>
      </c>
      <c r="C2586" s="11">
        <v>0.006</v>
      </c>
      <c r="D2586" s="11">
        <v>81.0</v>
      </c>
      <c r="E2586" s="11">
        <v>76.0</v>
      </c>
      <c r="F2586" s="11">
        <v>0.198</v>
      </c>
      <c r="G2586" s="11">
        <v>0.671</v>
      </c>
      <c r="H2586" s="11">
        <v>0.131</v>
      </c>
      <c r="I2586" s="11">
        <v>3.09326295E8</v>
      </c>
      <c r="J2586" s="11">
        <v>0.808</v>
      </c>
      <c r="K2586" s="12" t="s">
        <v>277</v>
      </c>
      <c r="L2586" s="5" t="s">
        <v>84</v>
      </c>
      <c r="M2586" s="9" t="s">
        <v>71</v>
      </c>
    </row>
    <row r="2587">
      <c r="A2587" s="11">
        <v>2586.0</v>
      </c>
      <c r="B2587" s="11">
        <v>0.013</v>
      </c>
      <c r="C2587" s="11">
        <v>0.006</v>
      </c>
      <c r="D2587" s="11">
        <v>81.0</v>
      </c>
      <c r="E2587" s="11">
        <v>76.0</v>
      </c>
      <c r="F2587" s="11">
        <v>0.197</v>
      </c>
      <c r="G2587" s="11">
        <v>0.669</v>
      </c>
      <c r="H2587" s="11">
        <v>0.133</v>
      </c>
      <c r="I2587" s="11">
        <v>3.11582564E8</v>
      </c>
      <c r="J2587" s="11">
        <v>0.809</v>
      </c>
      <c r="K2587" s="12" t="s">
        <v>277</v>
      </c>
      <c r="L2587" s="5" t="s">
        <v>84</v>
      </c>
      <c r="M2587" s="9" t="s">
        <v>72</v>
      </c>
    </row>
    <row r="2588">
      <c r="A2588" s="11">
        <v>2587.0</v>
      </c>
      <c r="B2588" s="11">
        <v>0.013</v>
      </c>
      <c r="C2588" s="11">
        <v>0.006</v>
      </c>
      <c r="D2588" s="11">
        <v>81.0</v>
      </c>
      <c r="E2588" s="11">
        <v>76.0</v>
      </c>
      <c r="F2588" s="11">
        <v>0.196</v>
      </c>
      <c r="G2588" s="11">
        <v>0.667</v>
      </c>
      <c r="H2588" s="11">
        <v>0.136</v>
      </c>
      <c r="I2588" s="11">
        <v>3.13873685E8</v>
      </c>
      <c r="J2588" s="11">
        <v>0.811</v>
      </c>
      <c r="K2588" s="12" t="s">
        <v>277</v>
      </c>
      <c r="L2588" s="5" t="s">
        <v>84</v>
      </c>
      <c r="M2588" s="9" t="s">
        <v>73</v>
      </c>
    </row>
    <row r="2589">
      <c r="A2589" s="11">
        <v>2588.0</v>
      </c>
      <c r="B2589" s="11">
        <v>0.016</v>
      </c>
      <c r="C2589" s="11">
        <v>0.015</v>
      </c>
      <c r="D2589" s="11">
        <v>78.0</v>
      </c>
      <c r="E2589" s="11">
        <v>71.0</v>
      </c>
      <c r="F2589" s="11">
        <v>0.246</v>
      </c>
      <c r="G2589" s="11">
        <v>0.624</v>
      </c>
      <c r="H2589" s="11">
        <v>0.131</v>
      </c>
      <c r="I2589" s="11">
        <v>3320841.0</v>
      </c>
      <c r="J2589" s="11">
        <v>0.92</v>
      </c>
      <c r="K2589" s="12" t="s">
        <v>278</v>
      </c>
      <c r="L2589" s="5" t="s">
        <v>84</v>
      </c>
      <c r="M2589" s="9" t="s">
        <v>60</v>
      </c>
    </row>
    <row r="2590">
      <c r="A2590" s="11">
        <v>2589.0</v>
      </c>
      <c r="B2590" s="11">
        <v>0.016</v>
      </c>
      <c r="C2590" s="11">
        <v>0.014</v>
      </c>
      <c r="D2590" s="11">
        <v>79.0</v>
      </c>
      <c r="E2590" s="11">
        <v>71.0</v>
      </c>
      <c r="F2590" s="11">
        <v>0.244</v>
      </c>
      <c r="G2590" s="11">
        <v>0.624</v>
      </c>
      <c r="H2590" s="11">
        <v>0.132</v>
      </c>
      <c r="I2590" s="11">
        <v>3326762.0</v>
      </c>
      <c r="J2590" s="11">
        <v>0.923</v>
      </c>
      <c r="K2590" s="12" t="s">
        <v>278</v>
      </c>
      <c r="L2590" s="5" t="s">
        <v>84</v>
      </c>
      <c r="M2590" s="9" t="s">
        <v>62</v>
      </c>
    </row>
    <row r="2591">
      <c r="A2591" s="11">
        <v>2590.0</v>
      </c>
      <c r="B2591" s="11">
        <v>0.016</v>
      </c>
      <c r="C2591" s="11">
        <v>0.014</v>
      </c>
      <c r="D2591" s="11">
        <v>79.0</v>
      </c>
      <c r="E2591" s="11">
        <v>71.0</v>
      </c>
      <c r="F2591" s="11">
        <v>0.243</v>
      </c>
      <c r="G2591" s="11">
        <v>0.624</v>
      </c>
      <c r="H2591" s="11">
        <v>0.133</v>
      </c>
      <c r="I2591" s="11">
        <v>3327500.0</v>
      </c>
      <c r="J2591" s="11">
        <v>0.926</v>
      </c>
      <c r="K2591" s="12" t="s">
        <v>278</v>
      </c>
      <c r="L2591" s="5" t="s">
        <v>84</v>
      </c>
      <c r="M2591" s="9" t="s">
        <v>63</v>
      </c>
    </row>
    <row r="2592">
      <c r="A2592" s="11">
        <v>2591.0</v>
      </c>
      <c r="B2592" s="11">
        <v>0.016</v>
      </c>
      <c r="C2592" s="11">
        <v>0.013</v>
      </c>
      <c r="D2592" s="11">
        <v>79.0</v>
      </c>
      <c r="E2592" s="11">
        <v>72.0</v>
      </c>
      <c r="F2592" s="11">
        <v>0.242</v>
      </c>
      <c r="G2592" s="11">
        <v>0.625</v>
      </c>
      <c r="H2592" s="11">
        <v>0.134</v>
      </c>
      <c r="I2592" s="11">
        <v>3325411.0</v>
      </c>
      <c r="J2592" s="11">
        <v>0.928</v>
      </c>
      <c r="K2592" s="12" t="s">
        <v>278</v>
      </c>
      <c r="L2592" s="5" t="s">
        <v>84</v>
      </c>
      <c r="M2592" s="9" t="s">
        <v>64</v>
      </c>
    </row>
    <row r="2593">
      <c r="A2593" s="11">
        <v>2592.0</v>
      </c>
      <c r="B2593" s="11">
        <v>0.016</v>
      </c>
      <c r="C2593" s="11">
        <v>0.013</v>
      </c>
      <c r="D2593" s="11">
        <v>79.0</v>
      </c>
      <c r="E2593" s="11">
        <v>72.0</v>
      </c>
      <c r="F2593" s="11">
        <v>0.24</v>
      </c>
      <c r="G2593" s="11">
        <v>0.626</v>
      </c>
      <c r="H2593" s="11">
        <v>0.135</v>
      </c>
      <c r="I2593" s="11">
        <v>3323822.0</v>
      </c>
      <c r="J2593" s="11">
        <v>0.931</v>
      </c>
      <c r="K2593" s="12" t="s">
        <v>278</v>
      </c>
      <c r="L2593" s="5" t="s">
        <v>84</v>
      </c>
      <c r="M2593" s="9" t="s">
        <v>65</v>
      </c>
    </row>
    <row r="2594">
      <c r="A2594" s="11">
        <v>2593.0</v>
      </c>
      <c r="B2594" s="11">
        <v>0.015</v>
      </c>
      <c r="C2594" s="11">
        <v>0.012</v>
      </c>
      <c r="D2594" s="11">
        <v>79.0</v>
      </c>
      <c r="E2594" s="11">
        <v>72.0</v>
      </c>
      <c r="F2594" s="11">
        <v>0.238</v>
      </c>
      <c r="G2594" s="11">
        <v>0.627</v>
      </c>
      <c r="H2594" s="11">
        <v>0.135</v>
      </c>
      <c r="I2594" s="11">
        <v>3325155.0</v>
      </c>
      <c r="J2594" s="11">
        <v>0.933</v>
      </c>
      <c r="K2594" s="12" t="s">
        <v>278</v>
      </c>
      <c r="L2594" s="5" t="s">
        <v>84</v>
      </c>
      <c r="M2594" s="9" t="s">
        <v>66</v>
      </c>
    </row>
    <row r="2595">
      <c r="A2595" s="11">
        <v>2594.0</v>
      </c>
      <c r="B2595" s="11">
        <v>0.015</v>
      </c>
      <c r="C2595" s="11">
        <v>0.012</v>
      </c>
      <c r="D2595" s="11">
        <v>80.0</v>
      </c>
      <c r="E2595" s="11">
        <v>72.0</v>
      </c>
      <c r="F2595" s="11">
        <v>0.235</v>
      </c>
      <c r="G2595" s="11">
        <v>0.628</v>
      </c>
      <c r="H2595" s="11">
        <v>0.136</v>
      </c>
      <c r="I2595" s="11">
        <v>3330217.0</v>
      </c>
      <c r="J2595" s="11">
        <v>0.936</v>
      </c>
      <c r="K2595" s="12" t="s">
        <v>278</v>
      </c>
      <c r="L2595" s="5" t="s">
        <v>84</v>
      </c>
      <c r="M2595" s="9" t="s">
        <v>67</v>
      </c>
    </row>
    <row r="2596">
      <c r="A2596" s="11">
        <v>2595.0</v>
      </c>
      <c r="B2596" s="11">
        <v>0.015</v>
      </c>
      <c r="C2596" s="11">
        <v>0.012</v>
      </c>
      <c r="D2596" s="11">
        <v>80.0</v>
      </c>
      <c r="E2596" s="11">
        <v>73.0</v>
      </c>
      <c r="F2596" s="11">
        <v>0.233</v>
      </c>
      <c r="G2596" s="11">
        <v>0.63</v>
      </c>
      <c r="H2596" s="11">
        <v>0.137</v>
      </c>
      <c r="I2596" s="11">
        <v>3338384.0</v>
      </c>
      <c r="J2596" s="11">
        <v>0.938</v>
      </c>
      <c r="K2596" s="12" t="s">
        <v>278</v>
      </c>
      <c r="L2596" s="5" t="s">
        <v>84</v>
      </c>
      <c r="M2596" s="9" t="s">
        <v>68</v>
      </c>
    </row>
    <row r="2597">
      <c r="A2597" s="11">
        <v>2596.0</v>
      </c>
      <c r="B2597" s="11">
        <v>0.015</v>
      </c>
      <c r="C2597" s="11">
        <v>0.011</v>
      </c>
      <c r="D2597" s="11">
        <v>80.0</v>
      </c>
      <c r="E2597" s="11">
        <v>73.0</v>
      </c>
      <c r="F2597" s="11">
        <v>0.23</v>
      </c>
      <c r="G2597" s="11">
        <v>0.632</v>
      </c>
      <c r="H2597" s="11">
        <v>0.137</v>
      </c>
      <c r="I2597" s="11">
        <v>3348898.0</v>
      </c>
      <c r="J2597" s="11">
        <v>0.94</v>
      </c>
      <c r="K2597" s="12" t="s">
        <v>278</v>
      </c>
      <c r="L2597" s="5" t="s">
        <v>84</v>
      </c>
      <c r="M2597" s="9" t="s">
        <v>69</v>
      </c>
    </row>
    <row r="2598">
      <c r="A2598" s="11">
        <v>2597.0</v>
      </c>
      <c r="B2598" s="11">
        <v>0.015</v>
      </c>
      <c r="C2598" s="11">
        <v>0.011</v>
      </c>
      <c r="D2598" s="11">
        <v>80.0</v>
      </c>
      <c r="E2598" s="11">
        <v>73.0</v>
      </c>
      <c r="F2598" s="11">
        <v>0.228</v>
      </c>
      <c r="G2598" s="11">
        <v>0.634</v>
      </c>
      <c r="H2598" s="11">
        <v>0.138</v>
      </c>
      <c r="I2598" s="11">
        <v>3360431.0</v>
      </c>
      <c r="J2598" s="11">
        <v>0.942</v>
      </c>
      <c r="K2598" s="12" t="s">
        <v>278</v>
      </c>
      <c r="L2598" s="5" t="s">
        <v>84</v>
      </c>
      <c r="M2598" s="9" t="s">
        <v>70</v>
      </c>
    </row>
    <row r="2599">
      <c r="A2599" s="11">
        <v>2598.0</v>
      </c>
      <c r="B2599" s="11">
        <v>0.015</v>
      </c>
      <c r="C2599" s="11">
        <v>0.011</v>
      </c>
      <c r="D2599" s="11">
        <v>80.0</v>
      </c>
      <c r="E2599" s="11">
        <v>73.0</v>
      </c>
      <c r="F2599" s="11">
        <v>0.225</v>
      </c>
      <c r="G2599" s="11">
        <v>0.636</v>
      </c>
      <c r="H2599" s="11">
        <v>0.139</v>
      </c>
      <c r="I2599" s="11">
        <v>3371982.0</v>
      </c>
      <c r="J2599" s="11">
        <v>0.944</v>
      </c>
      <c r="K2599" s="12" t="s">
        <v>278</v>
      </c>
      <c r="L2599" s="5" t="s">
        <v>84</v>
      </c>
      <c r="M2599" s="9" t="s">
        <v>71</v>
      </c>
    </row>
    <row r="2600">
      <c r="A2600" s="11">
        <v>2599.0</v>
      </c>
      <c r="B2600" s="11">
        <v>0.015</v>
      </c>
      <c r="C2600" s="11">
        <v>0.01</v>
      </c>
      <c r="D2600" s="11">
        <v>80.0</v>
      </c>
      <c r="E2600" s="11">
        <v>73.0</v>
      </c>
      <c r="F2600" s="11">
        <v>0.223</v>
      </c>
      <c r="G2600" s="11">
        <v>0.638</v>
      </c>
      <c r="H2600" s="11">
        <v>0.139</v>
      </c>
      <c r="I2600" s="11">
        <v>3383486.0</v>
      </c>
      <c r="J2600" s="11">
        <v>0.946</v>
      </c>
      <c r="K2600" s="12" t="s">
        <v>278</v>
      </c>
      <c r="L2600" s="5" t="s">
        <v>84</v>
      </c>
      <c r="M2600" s="9" t="s">
        <v>72</v>
      </c>
    </row>
    <row r="2601">
      <c r="A2601" s="11">
        <v>2600.0</v>
      </c>
      <c r="B2601" s="11">
        <v>0.015</v>
      </c>
      <c r="C2601" s="11">
        <v>0.01</v>
      </c>
      <c r="D2601" s="11">
        <v>80.0</v>
      </c>
      <c r="E2601" s="11">
        <v>74.0</v>
      </c>
      <c r="F2601" s="11">
        <v>0.22</v>
      </c>
      <c r="G2601" s="11">
        <v>0.639</v>
      </c>
      <c r="H2601" s="11">
        <v>0.14</v>
      </c>
      <c r="I2601" s="11">
        <v>3395253.0</v>
      </c>
      <c r="J2601" s="11">
        <v>0.948</v>
      </c>
      <c r="K2601" s="12" t="s">
        <v>278</v>
      </c>
      <c r="L2601" s="5" t="s">
        <v>84</v>
      </c>
      <c r="M2601" s="9" t="s">
        <v>73</v>
      </c>
    </row>
    <row r="2602">
      <c r="A2602" s="11">
        <v>2601.0</v>
      </c>
      <c r="B2602" s="11">
        <v>0.021</v>
      </c>
      <c r="C2602" s="11">
        <v>0.053</v>
      </c>
      <c r="D2602" s="11">
        <v>70.0</v>
      </c>
      <c r="E2602" s="11">
        <v>64.0</v>
      </c>
      <c r="F2602" s="11">
        <v>0.373</v>
      </c>
      <c r="G2602" s="11">
        <v>0.584</v>
      </c>
      <c r="H2602" s="11">
        <v>0.043</v>
      </c>
      <c r="I2602" s="11">
        <v>2.46504E7</v>
      </c>
      <c r="J2602" s="11">
        <v>0.374</v>
      </c>
      <c r="K2602" s="12" t="s">
        <v>279</v>
      </c>
      <c r="L2602" s="5" t="s">
        <v>61</v>
      </c>
      <c r="M2602" s="9" t="s">
        <v>60</v>
      </c>
    </row>
    <row r="2603">
      <c r="A2603" s="11">
        <v>2602.0</v>
      </c>
      <c r="B2603" s="11">
        <v>0.021</v>
      </c>
      <c r="C2603" s="11">
        <v>0.052</v>
      </c>
      <c r="D2603" s="11">
        <v>70.0</v>
      </c>
      <c r="E2603" s="11">
        <v>64.0</v>
      </c>
      <c r="F2603" s="11">
        <v>0.365</v>
      </c>
      <c r="G2603" s="11">
        <v>0.591</v>
      </c>
      <c r="H2603" s="11">
        <v>0.044</v>
      </c>
      <c r="I2603" s="11">
        <v>2.496445E7</v>
      </c>
      <c r="J2603" s="11">
        <v>0.373</v>
      </c>
      <c r="K2603" s="12" t="s">
        <v>279</v>
      </c>
      <c r="L2603" s="5" t="s">
        <v>61</v>
      </c>
      <c r="M2603" s="9" t="s">
        <v>62</v>
      </c>
    </row>
    <row r="2604">
      <c r="A2604" s="11">
        <v>2603.0</v>
      </c>
      <c r="B2604" s="11">
        <v>0.021</v>
      </c>
      <c r="C2604" s="11">
        <v>0.05</v>
      </c>
      <c r="D2604" s="11">
        <v>70.0</v>
      </c>
      <c r="E2604" s="11">
        <v>64.0</v>
      </c>
      <c r="F2604" s="11">
        <v>0.357</v>
      </c>
      <c r="G2604" s="11">
        <v>0.598</v>
      </c>
      <c r="H2604" s="11">
        <v>0.045</v>
      </c>
      <c r="I2604" s="11">
        <v>2.527185E7</v>
      </c>
      <c r="J2604" s="11">
        <v>0.371</v>
      </c>
      <c r="K2604" s="12" t="s">
        <v>279</v>
      </c>
      <c r="L2604" s="5" t="s">
        <v>61</v>
      </c>
      <c r="M2604" s="9" t="s">
        <v>63</v>
      </c>
    </row>
    <row r="2605">
      <c r="A2605" s="11">
        <v>2604.0</v>
      </c>
      <c r="B2605" s="11">
        <v>0.02</v>
      </c>
      <c r="C2605" s="11">
        <v>0.049</v>
      </c>
      <c r="D2605" s="11">
        <v>71.0</v>
      </c>
      <c r="E2605" s="11">
        <v>64.0</v>
      </c>
      <c r="F2605" s="11">
        <v>0.349</v>
      </c>
      <c r="G2605" s="11">
        <v>0.605</v>
      </c>
      <c r="H2605" s="11">
        <v>0.046</v>
      </c>
      <c r="I2605" s="11">
        <v>2.556765E7</v>
      </c>
      <c r="J2605" s="11">
        <v>0.37</v>
      </c>
      <c r="K2605" s="12" t="s">
        <v>279</v>
      </c>
      <c r="L2605" s="5" t="s">
        <v>61</v>
      </c>
      <c r="M2605" s="9" t="s">
        <v>64</v>
      </c>
    </row>
    <row r="2606">
      <c r="A2606" s="11">
        <v>2605.0</v>
      </c>
      <c r="B2606" s="11">
        <v>0.021</v>
      </c>
      <c r="C2606" s="11">
        <v>0.048</v>
      </c>
      <c r="D2606" s="11">
        <v>71.0</v>
      </c>
      <c r="E2606" s="11">
        <v>64.0</v>
      </c>
      <c r="F2606" s="11">
        <v>0.341</v>
      </c>
      <c r="G2606" s="11">
        <v>0.613</v>
      </c>
      <c r="H2606" s="11">
        <v>0.047</v>
      </c>
      <c r="I2606" s="11">
        <v>2.586435E7</v>
      </c>
      <c r="J2606" s="11">
        <v>0.368</v>
      </c>
      <c r="K2606" s="12" t="s">
        <v>279</v>
      </c>
      <c r="L2606" s="5" t="s">
        <v>61</v>
      </c>
      <c r="M2606" s="9" t="s">
        <v>65</v>
      </c>
    </row>
    <row r="2607">
      <c r="A2607" s="11">
        <v>2606.0</v>
      </c>
      <c r="B2607" s="11">
        <v>0.02</v>
      </c>
      <c r="C2607" s="11">
        <v>0.047</v>
      </c>
      <c r="D2607" s="11">
        <v>71.0</v>
      </c>
      <c r="E2607" s="11">
        <v>64.0</v>
      </c>
      <c r="F2607" s="11">
        <v>0.332</v>
      </c>
      <c r="G2607" s="11">
        <v>0.62</v>
      </c>
      <c r="H2607" s="11">
        <v>0.047</v>
      </c>
      <c r="I2607" s="11">
        <v>2.6167E7</v>
      </c>
      <c r="J2607" s="11">
        <v>0.367</v>
      </c>
      <c r="K2607" s="12" t="s">
        <v>279</v>
      </c>
      <c r="L2607" s="5" t="s">
        <v>61</v>
      </c>
      <c r="M2607" s="9" t="s">
        <v>66</v>
      </c>
    </row>
    <row r="2608">
      <c r="A2608" s="11">
        <v>2607.0</v>
      </c>
      <c r="B2608" s="11">
        <v>0.021</v>
      </c>
      <c r="C2608" s="11">
        <v>0.045</v>
      </c>
      <c r="D2608" s="11">
        <v>71.0</v>
      </c>
      <c r="E2608" s="11">
        <v>64.0</v>
      </c>
      <c r="F2608" s="11">
        <v>0.324</v>
      </c>
      <c r="G2608" s="11">
        <v>0.629</v>
      </c>
      <c r="H2608" s="11">
        <v>0.047</v>
      </c>
      <c r="I2608" s="11">
        <v>2.648825E7</v>
      </c>
      <c r="J2608" s="11">
        <v>0.365</v>
      </c>
      <c r="K2608" s="12" t="s">
        <v>279</v>
      </c>
      <c r="L2608" s="5" t="s">
        <v>61</v>
      </c>
      <c r="M2608" s="9" t="s">
        <v>67</v>
      </c>
    </row>
    <row r="2609">
      <c r="A2609" s="11">
        <v>2608.0</v>
      </c>
      <c r="B2609" s="11">
        <v>0.023</v>
      </c>
      <c r="C2609" s="11">
        <v>0.044</v>
      </c>
      <c r="D2609" s="11">
        <v>71.0</v>
      </c>
      <c r="E2609" s="11">
        <v>64.0</v>
      </c>
      <c r="F2609" s="11">
        <v>0.317</v>
      </c>
      <c r="G2609" s="11">
        <v>0.637</v>
      </c>
      <c r="H2609" s="11">
        <v>0.046</v>
      </c>
      <c r="I2609" s="11">
        <v>2.6868E7</v>
      </c>
      <c r="J2609" s="11">
        <v>0.364</v>
      </c>
      <c r="K2609" s="12" t="s">
        <v>279</v>
      </c>
      <c r="L2609" s="5" t="s">
        <v>61</v>
      </c>
      <c r="M2609" s="9" t="s">
        <v>68</v>
      </c>
    </row>
    <row r="2610">
      <c r="A2610" s="11">
        <v>2609.0</v>
      </c>
      <c r="B2610" s="11">
        <v>0.024</v>
      </c>
      <c r="C2610" s="11">
        <v>0.043</v>
      </c>
      <c r="D2610" s="11">
        <v>71.0</v>
      </c>
      <c r="E2610" s="11">
        <v>64.0</v>
      </c>
      <c r="F2610" s="11">
        <v>0.31</v>
      </c>
      <c r="G2610" s="11">
        <v>0.645</v>
      </c>
      <c r="H2610" s="11">
        <v>0.046</v>
      </c>
      <c r="I2610" s="11">
        <v>2.73028E7</v>
      </c>
      <c r="J2610" s="11">
        <v>0.363</v>
      </c>
      <c r="K2610" s="12" t="s">
        <v>279</v>
      </c>
      <c r="L2610" s="5" t="s">
        <v>61</v>
      </c>
      <c r="M2610" s="9" t="s">
        <v>69</v>
      </c>
    </row>
    <row r="2611">
      <c r="A2611" s="11">
        <v>2610.0</v>
      </c>
      <c r="B2611" s="11">
        <v>0.023</v>
      </c>
      <c r="C2611" s="11">
        <v>0.041</v>
      </c>
      <c r="D2611" s="11">
        <v>71.0</v>
      </c>
      <c r="E2611" s="11">
        <v>65.0</v>
      </c>
      <c r="F2611" s="11">
        <v>0.303</v>
      </c>
      <c r="G2611" s="11">
        <v>0.652</v>
      </c>
      <c r="H2611" s="11">
        <v>0.045</v>
      </c>
      <c r="I2611" s="11">
        <v>2.77674E7</v>
      </c>
      <c r="J2611" s="11">
        <v>0.362</v>
      </c>
      <c r="K2611" s="12" t="s">
        <v>279</v>
      </c>
      <c r="L2611" s="5" t="s">
        <v>61</v>
      </c>
      <c r="M2611" s="9" t="s">
        <v>70</v>
      </c>
    </row>
    <row r="2612">
      <c r="A2612" s="11">
        <v>2611.0</v>
      </c>
      <c r="B2612" s="11">
        <v>0.023</v>
      </c>
      <c r="C2612" s="11">
        <v>0.04</v>
      </c>
      <c r="D2612" s="11">
        <v>71.0</v>
      </c>
      <c r="E2612" s="11">
        <v>65.0</v>
      </c>
      <c r="F2612" s="11">
        <v>0.298</v>
      </c>
      <c r="G2612" s="11">
        <v>0.658</v>
      </c>
      <c r="H2612" s="11">
        <v>0.044</v>
      </c>
      <c r="I2612" s="11">
        <v>2.85624E7</v>
      </c>
      <c r="J2612" s="11">
        <v>0.362</v>
      </c>
      <c r="K2612" s="12" t="s">
        <v>279</v>
      </c>
      <c r="L2612" s="5" t="s">
        <v>61</v>
      </c>
      <c r="M2612" s="9" t="s">
        <v>71</v>
      </c>
    </row>
    <row r="2613">
      <c r="A2613" s="11">
        <v>2612.0</v>
      </c>
      <c r="B2613" s="11">
        <v>0.022</v>
      </c>
      <c r="C2613" s="11">
        <v>0.039</v>
      </c>
      <c r="D2613" s="11">
        <v>71.0</v>
      </c>
      <c r="E2613" s="11">
        <v>65.0</v>
      </c>
      <c r="F2613" s="11">
        <v>0.293</v>
      </c>
      <c r="G2613" s="11">
        <v>0.664</v>
      </c>
      <c r="H2613" s="11">
        <v>0.043</v>
      </c>
      <c r="I2613" s="11">
        <v>2.93394E7</v>
      </c>
      <c r="J2613" s="11">
        <v>0.362</v>
      </c>
      <c r="K2613" s="12" t="s">
        <v>279</v>
      </c>
      <c r="L2613" s="5" t="s">
        <v>61</v>
      </c>
      <c r="M2613" s="9" t="s">
        <v>72</v>
      </c>
    </row>
    <row r="2614">
      <c r="A2614" s="11">
        <v>2613.0</v>
      </c>
      <c r="B2614" s="11">
        <v>0.021</v>
      </c>
      <c r="C2614" s="11">
        <v>0.038</v>
      </c>
      <c r="D2614" s="11">
        <v>72.0</v>
      </c>
      <c r="E2614" s="11">
        <v>65.0</v>
      </c>
      <c r="F2614" s="11">
        <v>0.289</v>
      </c>
      <c r="G2614" s="11">
        <v>0.668</v>
      </c>
      <c r="H2614" s="11">
        <v>0.043</v>
      </c>
      <c r="I2614" s="11">
        <v>2.97745E7</v>
      </c>
      <c r="J2614" s="11">
        <v>0.362</v>
      </c>
      <c r="K2614" s="12" t="s">
        <v>279</v>
      </c>
      <c r="L2614" s="5" t="s">
        <v>61</v>
      </c>
      <c r="M2614" s="9" t="s">
        <v>73</v>
      </c>
    </row>
    <row r="2615">
      <c r="A2615" s="11">
        <v>2614.0</v>
      </c>
      <c r="B2615" s="11">
        <v>0.032</v>
      </c>
      <c r="C2615" s="11">
        <v>0.02</v>
      </c>
      <c r="D2615" s="11">
        <v>69.0</v>
      </c>
      <c r="E2615" s="11">
        <v>66.0</v>
      </c>
      <c r="F2615" s="11">
        <v>0.415</v>
      </c>
      <c r="G2615" s="11">
        <v>0.552</v>
      </c>
      <c r="H2615" s="11">
        <v>0.033</v>
      </c>
      <c r="I2615" s="11">
        <v>185058.0</v>
      </c>
      <c r="J2615" s="11">
        <v>0.217</v>
      </c>
      <c r="K2615" s="12" t="s">
        <v>280</v>
      </c>
      <c r="L2615" s="5" t="s">
        <v>80</v>
      </c>
      <c r="M2615" s="9" t="s">
        <v>60</v>
      </c>
    </row>
    <row r="2616">
      <c r="A2616" s="11">
        <v>2615.0</v>
      </c>
      <c r="B2616" s="11">
        <v>0.032</v>
      </c>
      <c r="C2616" s="11">
        <v>0.019</v>
      </c>
      <c r="D2616" s="11">
        <v>70.0</v>
      </c>
      <c r="E2616" s="11">
        <v>66.0</v>
      </c>
      <c r="F2616" s="11">
        <v>0.411</v>
      </c>
      <c r="G2616" s="11">
        <v>0.556</v>
      </c>
      <c r="H2616" s="11">
        <v>0.033</v>
      </c>
      <c r="I2616" s="11">
        <v>189285.0</v>
      </c>
      <c r="J2616" s="11">
        <v>0.22</v>
      </c>
      <c r="K2616" s="12" t="s">
        <v>280</v>
      </c>
      <c r="L2616" s="5" t="s">
        <v>80</v>
      </c>
      <c r="M2616" s="9" t="s">
        <v>62</v>
      </c>
    </row>
    <row r="2617">
      <c r="A2617" s="11">
        <v>2616.0</v>
      </c>
      <c r="B2617" s="11">
        <v>0.031</v>
      </c>
      <c r="C2617" s="11">
        <v>0.019</v>
      </c>
      <c r="D2617" s="11">
        <v>70.0</v>
      </c>
      <c r="E2617" s="11">
        <v>67.0</v>
      </c>
      <c r="F2617" s="11">
        <v>0.408</v>
      </c>
      <c r="G2617" s="11">
        <v>0.56</v>
      </c>
      <c r="H2617" s="11">
        <v>0.033</v>
      </c>
      <c r="I2617" s="11">
        <v>193950.0</v>
      </c>
      <c r="J2617" s="11">
        <v>0.222</v>
      </c>
      <c r="K2617" s="12" t="s">
        <v>280</v>
      </c>
      <c r="L2617" s="5" t="s">
        <v>80</v>
      </c>
      <c r="M2617" s="9" t="s">
        <v>63</v>
      </c>
    </row>
    <row r="2618">
      <c r="A2618" s="11">
        <v>2617.0</v>
      </c>
      <c r="B2618" s="11">
        <v>0.031</v>
      </c>
      <c r="C2618" s="11">
        <v>0.018</v>
      </c>
      <c r="D2618" s="11">
        <v>71.0</v>
      </c>
      <c r="E2618" s="11">
        <v>67.0</v>
      </c>
      <c r="F2618" s="11">
        <v>0.404</v>
      </c>
      <c r="G2618" s="11">
        <v>0.564</v>
      </c>
      <c r="H2618" s="11">
        <v>0.032</v>
      </c>
      <c r="I2618" s="11">
        <v>198952.0</v>
      </c>
      <c r="J2618" s="11">
        <v>0.225</v>
      </c>
      <c r="K2618" s="12" t="s">
        <v>280</v>
      </c>
      <c r="L2618" s="5" t="s">
        <v>80</v>
      </c>
      <c r="M2618" s="9" t="s">
        <v>64</v>
      </c>
    </row>
    <row r="2619">
      <c r="A2619" s="11">
        <v>2618.0</v>
      </c>
      <c r="B2619" s="11">
        <v>0.03</v>
      </c>
      <c r="C2619" s="11">
        <v>0.018</v>
      </c>
      <c r="D2619" s="11">
        <v>71.0</v>
      </c>
      <c r="E2619" s="11">
        <v>67.0</v>
      </c>
      <c r="F2619" s="11">
        <v>0.4</v>
      </c>
      <c r="G2619" s="11">
        <v>0.567</v>
      </c>
      <c r="H2619" s="11">
        <v>0.033</v>
      </c>
      <c r="I2619" s="11">
        <v>204135.0</v>
      </c>
      <c r="J2619" s="11">
        <v>0.228</v>
      </c>
      <c r="K2619" s="12" t="s">
        <v>280</v>
      </c>
      <c r="L2619" s="5" t="s">
        <v>80</v>
      </c>
      <c r="M2619" s="9" t="s">
        <v>65</v>
      </c>
    </row>
    <row r="2620">
      <c r="A2620" s="11">
        <v>2619.0</v>
      </c>
      <c r="B2620" s="11">
        <v>0.029</v>
      </c>
      <c r="C2620" s="11">
        <v>0.018</v>
      </c>
      <c r="D2620" s="11">
        <v>71.0</v>
      </c>
      <c r="E2620" s="11">
        <v>67.0</v>
      </c>
      <c r="F2620" s="11">
        <v>0.397</v>
      </c>
      <c r="G2620" s="11">
        <v>0.57</v>
      </c>
      <c r="H2620" s="11">
        <v>0.033</v>
      </c>
      <c r="I2620" s="11">
        <v>209375.0</v>
      </c>
      <c r="J2620" s="11">
        <v>0.231</v>
      </c>
      <c r="K2620" s="12" t="s">
        <v>280</v>
      </c>
      <c r="L2620" s="5" t="s">
        <v>80</v>
      </c>
      <c r="M2620" s="9" t="s">
        <v>66</v>
      </c>
    </row>
    <row r="2621">
      <c r="A2621" s="11">
        <v>2620.0</v>
      </c>
      <c r="B2621" s="11">
        <v>0.029</v>
      </c>
      <c r="C2621" s="11">
        <v>0.017</v>
      </c>
      <c r="D2621" s="11">
        <v>72.0</v>
      </c>
      <c r="E2621" s="11">
        <v>68.0</v>
      </c>
      <c r="F2621" s="11">
        <v>0.394</v>
      </c>
      <c r="G2621" s="11">
        <v>0.572</v>
      </c>
      <c r="H2621" s="11">
        <v>0.034</v>
      </c>
      <c r="I2621" s="11">
        <v>214654.0</v>
      </c>
      <c r="J2621" s="11">
        <v>0.234</v>
      </c>
      <c r="K2621" s="12" t="s">
        <v>280</v>
      </c>
      <c r="L2621" s="5" t="s">
        <v>80</v>
      </c>
      <c r="M2621" s="9" t="s">
        <v>67</v>
      </c>
    </row>
    <row r="2622">
      <c r="A2622" s="11">
        <v>2621.0</v>
      </c>
      <c r="B2622" s="11">
        <v>0.028</v>
      </c>
      <c r="C2622" s="11">
        <v>0.017</v>
      </c>
      <c r="D2622" s="11">
        <v>72.0</v>
      </c>
      <c r="E2622" s="11">
        <v>68.0</v>
      </c>
      <c r="F2622" s="11">
        <v>0.391</v>
      </c>
      <c r="G2622" s="11">
        <v>0.573</v>
      </c>
      <c r="H2622" s="11">
        <v>0.036</v>
      </c>
      <c r="I2622" s="11">
        <v>220001.0</v>
      </c>
      <c r="J2622" s="11">
        <v>0.237</v>
      </c>
      <c r="K2622" s="12" t="s">
        <v>280</v>
      </c>
      <c r="L2622" s="5" t="s">
        <v>80</v>
      </c>
      <c r="M2622" s="9" t="s">
        <v>68</v>
      </c>
    </row>
    <row r="2623">
      <c r="A2623" s="11">
        <v>2622.0</v>
      </c>
      <c r="B2623" s="11">
        <v>0.028</v>
      </c>
      <c r="C2623" s="11">
        <v>0.017</v>
      </c>
      <c r="D2623" s="11">
        <v>72.0</v>
      </c>
      <c r="E2623" s="11">
        <v>68.0</v>
      </c>
      <c r="F2623" s="11">
        <v>0.388</v>
      </c>
      <c r="G2623" s="11">
        <v>0.574</v>
      </c>
      <c r="H2623" s="11">
        <v>0.037</v>
      </c>
      <c r="I2623" s="11">
        <v>225398.0</v>
      </c>
      <c r="J2623" s="11">
        <v>0.24</v>
      </c>
      <c r="K2623" s="12" t="s">
        <v>280</v>
      </c>
      <c r="L2623" s="5" t="s">
        <v>80</v>
      </c>
      <c r="M2623" s="9" t="s">
        <v>69</v>
      </c>
    </row>
    <row r="2624">
      <c r="A2624" s="11">
        <v>2623.0</v>
      </c>
      <c r="B2624" s="11">
        <v>0.028</v>
      </c>
      <c r="C2624" s="11">
        <v>0.016</v>
      </c>
      <c r="D2624" s="11">
        <v>73.0</v>
      </c>
      <c r="E2624" s="11">
        <v>69.0</v>
      </c>
      <c r="F2624" s="11">
        <v>0.385</v>
      </c>
      <c r="G2624" s="11">
        <v>0.576</v>
      </c>
      <c r="H2624" s="11">
        <v>0.039</v>
      </c>
      <c r="I2624" s="11">
        <v>230833.0</v>
      </c>
      <c r="J2624" s="11">
        <v>0.243</v>
      </c>
      <c r="K2624" s="12" t="s">
        <v>280</v>
      </c>
      <c r="L2624" s="5" t="s">
        <v>80</v>
      </c>
      <c r="M2624" s="9" t="s">
        <v>70</v>
      </c>
    </row>
    <row r="2625">
      <c r="A2625" s="11">
        <v>2624.0</v>
      </c>
      <c r="B2625" s="11">
        <v>0.027</v>
      </c>
      <c r="C2625" s="11">
        <v>0.016</v>
      </c>
      <c r="D2625" s="11">
        <v>73.0</v>
      </c>
      <c r="E2625" s="11">
        <v>69.0</v>
      </c>
      <c r="F2625" s="11">
        <v>0.382</v>
      </c>
      <c r="G2625" s="11">
        <v>0.579</v>
      </c>
      <c r="H2625" s="11">
        <v>0.039</v>
      </c>
      <c r="I2625" s="11">
        <v>236299.0</v>
      </c>
      <c r="J2625" s="11">
        <v>0.246</v>
      </c>
      <c r="K2625" s="12" t="s">
        <v>280</v>
      </c>
      <c r="L2625" s="5" t="s">
        <v>80</v>
      </c>
      <c r="M2625" s="9" t="s">
        <v>71</v>
      </c>
    </row>
    <row r="2626">
      <c r="A2626" s="11">
        <v>2625.0</v>
      </c>
      <c r="B2626" s="11">
        <v>0.027</v>
      </c>
      <c r="C2626" s="11">
        <v>0.015</v>
      </c>
      <c r="D2626" s="11">
        <v>73.0</v>
      </c>
      <c r="E2626" s="11">
        <v>69.0</v>
      </c>
      <c r="F2626" s="11">
        <v>0.378</v>
      </c>
      <c r="G2626" s="11">
        <v>0.582</v>
      </c>
      <c r="H2626" s="11">
        <v>0.04</v>
      </c>
      <c r="I2626" s="11">
        <v>241778.0</v>
      </c>
      <c r="J2626" s="11">
        <v>0.249</v>
      </c>
      <c r="K2626" s="12" t="s">
        <v>280</v>
      </c>
      <c r="L2626" s="5" t="s">
        <v>80</v>
      </c>
      <c r="M2626" s="9" t="s">
        <v>72</v>
      </c>
    </row>
    <row r="2627">
      <c r="A2627" s="11">
        <v>2626.0</v>
      </c>
      <c r="B2627" s="11">
        <v>0.027</v>
      </c>
      <c r="C2627" s="11">
        <v>0.015</v>
      </c>
      <c r="D2627" s="11">
        <v>73.0</v>
      </c>
      <c r="E2627" s="11">
        <v>69.0</v>
      </c>
      <c r="F2627" s="11">
        <v>0.374</v>
      </c>
      <c r="G2627" s="11">
        <v>0.586</v>
      </c>
      <c r="H2627" s="11">
        <v>0.04</v>
      </c>
      <c r="I2627" s="11">
        <v>247262.0</v>
      </c>
      <c r="J2627" s="11">
        <v>0.252</v>
      </c>
      <c r="K2627" s="12" t="s">
        <v>280</v>
      </c>
      <c r="L2627" s="5" t="s">
        <v>80</v>
      </c>
      <c r="M2627" s="9" t="s">
        <v>73</v>
      </c>
    </row>
    <row r="2628">
      <c r="A2628" s="11">
        <v>2627.0</v>
      </c>
      <c r="B2628" s="11">
        <v>0.024</v>
      </c>
      <c r="C2628" s="11">
        <v>0.018</v>
      </c>
      <c r="D2628" s="11">
        <v>75.0</v>
      </c>
      <c r="E2628" s="11">
        <v>70.0</v>
      </c>
      <c r="F2628" s="11">
        <v>0.337</v>
      </c>
      <c r="G2628" s="11">
        <v>0.617</v>
      </c>
      <c r="H2628" s="11">
        <v>0.046</v>
      </c>
      <c r="I2628" s="11">
        <v>2.4407553E7</v>
      </c>
      <c r="J2628" s="11">
        <v>0.88</v>
      </c>
      <c r="K2628" s="12" t="s">
        <v>281</v>
      </c>
      <c r="L2628" s="5" t="s">
        <v>84</v>
      </c>
      <c r="M2628" s="9" t="s">
        <v>60</v>
      </c>
    </row>
    <row r="2629">
      <c r="A2629" s="11">
        <v>2628.0</v>
      </c>
      <c r="B2629" s="11">
        <v>0.023</v>
      </c>
      <c r="C2629" s="11">
        <v>0.018</v>
      </c>
      <c r="D2629" s="11">
        <v>76.0</v>
      </c>
      <c r="E2629" s="11">
        <v>70.0</v>
      </c>
      <c r="F2629" s="11">
        <v>0.332</v>
      </c>
      <c r="G2629" s="11">
        <v>0.621</v>
      </c>
      <c r="H2629" s="11">
        <v>0.046</v>
      </c>
      <c r="I2629" s="11">
        <v>2.4870441E7</v>
      </c>
      <c r="J2629" s="11">
        <v>0.883</v>
      </c>
      <c r="K2629" s="12" t="s">
        <v>281</v>
      </c>
      <c r="L2629" s="5" t="s">
        <v>84</v>
      </c>
      <c r="M2629" s="9" t="s">
        <v>62</v>
      </c>
    </row>
    <row r="2630">
      <c r="A2630" s="11">
        <v>2629.0</v>
      </c>
      <c r="B2630" s="11">
        <v>0.023</v>
      </c>
      <c r="C2630" s="11">
        <v>0.017</v>
      </c>
      <c r="D2630" s="11">
        <v>76.0</v>
      </c>
      <c r="E2630" s="11">
        <v>70.0</v>
      </c>
      <c r="F2630" s="11">
        <v>0.327</v>
      </c>
      <c r="G2630" s="11">
        <v>0.625</v>
      </c>
      <c r="H2630" s="11">
        <v>0.047</v>
      </c>
      <c r="I2630" s="11">
        <v>2.5333622E7</v>
      </c>
      <c r="J2630" s="11">
        <v>0.884</v>
      </c>
      <c r="K2630" s="12" t="s">
        <v>281</v>
      </c>
      <c r="L2630" s="5" t="s">
        <v>84</v>
      </c>
      <c r="M2630" s="9" t="s">
        <v>63</v>
      </c>
    </row>
    <row r="2631">
      <c r="A2631" s="11">
        <v>2630.0</v>
      </c>
      <c r="B2631" s="11">
        <v>0.023</v>
      </c>
      <c r="C2631" s="11">
        <v>0.017</v>
      </c>
      <c r="D2631" s="11">
        <v>76.0</v>
      </c>
      <c r="E2631" s="11">
        <v>70.0</v>
      </c>
      <c r="F2631" s="11">
        <v>0.322</v>
      </c>
      <c r="G2631" s="11">
        <v>0.63</v>
      </c>
      <c r="H2631" s="11">
        <v>0.048</v>
      </c>
      <c r="I2631" s="11">
        <v>2.5797219E7</v>
      </c>
      <c r="J2631" s="11">
        <v>0.885</v>
      </c>
      <c r="K2631" s="12" t="s">
        <v>281</v>
      </c>
      <c r="L2631" s="5" t="s">
        <v>84</v>
      </c>
      <c r="M2631" s="9" t="s">
        <v>64</v>
      </c>
    </row>
    <row r="2632">
      <c r="A2632" s="11">
        <v>2631.0</v>
      </c>
      <c r="B2632" s="11">
        <v>0.022</v>
      </c>
      <c r="C2632" s="11">
        <v>0.016</v>
      </c>
      <c r="D2632" s="11">
        <v>76.0</v>
      </c>
      <c r="E2632" s="11">
        <v>70.0</v>
      </c>
      <c r="F2632" s="11">
        <v>0.318</v>
      </c>
      <c r="G2632" s="11">
        <v>0.633</v>
      </c>
      <c r="H2632" s="11">
        <v>0.049</v>
      </c>
      <c r="I2632" s="11">
        <v>2.6261326E7</v>
      </c>
      <c r="J2632" s="11">
        <v>0.885</v>
      </c>
      <c r="K2632" s="12" t="s">
        <v>281</v>
      </c>
      <c r="L2632" s="5" t="s">
        <v>84</v>
      </c>
      <c r="M2632" s="9" t="s">
        <v>65</v>
      </c>
    </row>
    <row r="2633">
      <c r="A2633" s="11">
        <v>2632.0</v>
      </c>
      <c r="B2633" s="11">
        <v>0.022</v>
      </c>
      <c r="C2633" s="11">
        <v>0.016</v>
      </c>
      <c r="D2633" s="11">
        <v>76.0</v>
      </c>
      <c r="E2633" s="11">
        <v>70.0</v>
      </c>
      <c r="F2633" s="11">
        <v>0.313</v>
      </c>
      <c r="G2633" s="11">
        <v>0.637</v>
      </c>
      <c r="H2633" s="11">
        <v>0.05</v>
      </c>
      <c r="I2633" s="11">
        <v>2.6725897E7</v>
      </c>
      <c r="J2633" s="11">
        <v>0.886</v>
      </c>
      <c r="K2633" s="12" t="s">
        <v>281</v>
      </c>
      <c r="L2633" s="5" t="s">
        <v>84</v>
      </c>
      <c r="M2633" s="9" t="s">
        <v>66</v>
      </c>
    </row>
    <row r="2634">
      <c r="A2634" s="11">
        <v>2633.0</v>
      </c>
      <c r="B2634" s="11">
        <v>0.022</v>
      </c>
      <c r="C2634" s="11">
        <v>0.015</v>
      </c>
      <c r="D2634" s="11">
        <v>76.0</v>
      </c>
      <c r="E2634" s="11">
        <v>71.0</v>
      </c>
      <c r="F2634" s="11">
        <v>0.309</v>
      </c>
      <c r="G2634" s="11">
        <v>0.64</v>
      </c>
      <c r="H2634" s="11">
        <v>0.051</v>
      </c>
      <c r="I2634" s="11">
        <v>2.7190882E7</v>
      </c>
      <c r="J2634" s="11">
        <v>0.886</v>
      </c>
      <c r="K2634" s="12" t="s">
        <v>281</v>
      </c>
      <c r="L2634" s="5" t="s">
        <v>84</v>
      </c>
      <c r="M2634" s="9" t="s">
        <v>67</v>
      </c>
    </row>
    <row r="2635">
      <c r="A2635" s="11">
        <v>2634.0</v>
      </c>
      <c r="B2635" s="11">
        <v>0.022</v>
      </c>
      <c r="C2635" s="11">
        <v>0.015</v>
      </c>
      <c r="D2635" s="11">
        <v>77.0</v>
      </c>
      <c r="E2635" s="11">
        <v>71.0</v>
      </c>
      <c r="F2635" s="11">
        <v>0.305</v>
      </c>
      <c r="G2635" s="11">
        <v>0.643</v>
      </c>
      <c r="H2635" s="11">
        <v>0.052</v>
      </c>
      <c r="I2635" s="11">
        <v>2.7655937E7</v>
      </c>
      <c r="J2635" s="11">
        <v>0.886</v>
      </c>
      <c r="K2635" s="12" t="s">
        <v>281</v>
      </c>
      <c r="L2635" s="5" t="s">
        <v>84</v>
      </c>
      <c r="M2635" s="9" t="s">
        <v>68</v>
      </c>
    </row>
    <row r="2636">
      <c r="A2636" s="11">
        <v>2635.0</v>
      </c>
      <c r="B2636" s="11">
        <v>0.021</v>
      </c>
      <c r="C2636" s="11">
        <v>0.014</v>
      </c>
      <c r="D2636" s="11">
        <v>77.0</v>
      </c>
      <c r="E2636" s="11">
        <v>71.0</v>
      </c>
      <c r="F2636" s="11">
        <v>0.302</v>
      </c>
      <c r="G2636" s="11">
        <v>0.645</v>
      </c>
      <c r="H2636" s="11">
        <v>0.053</v>
      </c>
      <c r="I2636" s="11">
        <v>2.8120312E7</v>
      </c>
      <c r="J2636" s="11">
        <v>0.887</v>
      </c>
      <c r="K2636" s="12" t="s">
        <v>281</v>
      </c>
      <c r="L2636" s="5" t="s">
        <v>84</v>
      </c>
      <c r="M2636" s="9" t="s">
        <v>69</v>
      </c>
    </row>
    <row r="2637">
      <c r="A2637" s="11">
        <v>2636.0</v>
      </c>
      <c r="B2637" s="11">
        <v>0.021</v>
      </c>
      <c r="C2637" s="11">
        <v>0.014</v>
      </c>
      <c r="D2637" s="11">
        <v>77.0</v>
      </c>
      <c r="E2637" s="11">
        <v>71.0</v>
      </c>
      <c r="F2637" s="11">
        <v>0.298</v>
      </c>
      <c r="G2637" s="11">
        <v>0.647</v>
      </c>
      <c r="H2637" s="11">
        <v>0.055</v>
      </c>
      <c r="I2637" s="11">
        <v>2.858304E7</v>
      </c>
      <c r="J2637" s="11">
        <v>0.887</v>
      </c>
      <c r="K2637" s="12" t="s">
        <v>281</v>
      </c>
      <c r="L2637" s="5" t="s">
        <v>84</v>
      </c>
      <c r="M2637" s="9" t="s">
        <v>70</v>
      </c>
    </row>
    <row r="2638">
      <c r="A2638" s="11">
        <v>2637.0</v>
      </c>
      <c r="B2638" s="11">
        <v>0.021</v>
      </c>
      <c r="C2638" s="11">
        <v>0.014</v>
      </c>
      <c r="D2638" s="11">
        <v>77.0</v>
      </c>
      <c r="E2638" s="11">
        <v>71.0</v>
      </c>
      <c r="F2638" s="11">
        <v>0.295</v>
      </c>
      <c r="G2638" s="11">
        <v>0.649</v>
      </c>
      <c r="H2638" s="11">
        <v>0.056</v>
      </c>
      <c r="I2638" s="11">
        <v>2.9043283E7</v>
      </c>
      <c r="J2638" s="11">
        <v>0.888</v>
      </c>
      <c r="K2638" s="12" t="s">
        <v>281</v>
      </c>
      <c r="L2638" s="5" t="s">
        <v>84</v>
      </c>
      <c r="M2638" s="9" t="s">
        <v>71</v>
      </c>
    </row>
    <row r="2639">
      <c r="A2639" s="11">
        <v>2638.0</v>
      </c>
      <c r="B2639" s="11">
        <v>0.02</v>
      </c>
      <c r="C2639" s="11">
        <v>0.014</v>
      </c>
      <c r="D2639" s="11">
        <v>77.0</v>
      </c>
      <c r="E2639" s="11">
        <v>71.0</v>
      </c>
      <c r="F2639" s="11">
        <v>0.291</v>
      </c>
      <c r="G2639" s="11">
        <v>0.651</v>
      </c>
      <c r="H2639" s="11">
        <v>0.058</v>
      </c>
      <c r="I2639" s="11">
        <v>2.9500625E7</v>
      </c>
      <c r="J2639" s="11">
        <v>0.888</v>
      </c>
      <c r="K2639" s="12" t="s">
        <v>281</v>
      </c>
      <c r="L2639" s="5" t="s">
        <v>84</v>
      </c>
      <c r="M2639" s="9" t="s">
        <v>72</v>
      </c>
    </row>
    <row r="2640">
      <c r="A2640" s="11">
        <v>2639.0</v>
      </c>
      <c r="B2640" s="11">
        <v>0.02</v>
      </c>
      <c r="C2640" s="11">
        <v>0.013</v>
      </c>
      <c r="D2640" s="11">
        <v>78.0</v>
      </c>
      <c r="E2640" s="11">
        <v>72.0</v>
      </c>
      <c r="F2640" s="11">
        <v>0.288</v>
      </c>
      <c r="G2640" s="11">
        <v>0.652</v>
      </c>
      <c r="H2640" s="11">
        <v>0.06</v>
      </c>
      <c r="I2640" s="11">
        <v>2.9954782E7</v>
      </c>
      <c r="J2640" s="11">
        <v>0.889</v>
      </c>
      <c r="K2640" s="12" t="s">
        <v>281</v>
      </c>
      <c r="L2640" s="5" t="s">
        <v>84</v>
      </c>
      <c r="M2640" s="9" t="s">
        <v>73</v>
      </c>
    </row>
    <row r="2641">
      <c r="A2641" s="11">
        <v>2640.0</v>
      </c>
      <c r="B2641" s="11">
        <v>0.017</v>
      </c>
      <c r="C2641" s="11">
        <v>0.027</v>
      </c>
      <c r="D2641" s="11">
        <v>78.0</v>
      </c>
      <c r="E2641" s="11">
        <v>69.0</v>
      </c>
      <c r="F2641" s="11">
        <v>0.316</v>
      </c>
      <c r="G2641" s="11">
        <v>0.62</v>
      </c>
      <c r="H2641" s="11">
        <v>0.064</v>
      </c>
      <c r="I2641" s="11">
        <v>7.76309E7</v>
      </c>
      <c r="J2641" s="11">
        <v>0.244</v>
      </c>
      <c r="K2641" s="12" t="s">
        <v>282</v>
      </c>
      <c r="L2641" s="5" t="s">
        <v>61</v>
      </c>
      <c r="M2641" s="9" t="s">
        <v>60</v>
      </c>
    </row>
    <row r="2642">
      <c r="A2642" s="11">
        <v>2641.0</v>
      </c>
      <c r="B2642" s="11">
        <v>0.017</v>
      </c>
      <c r="C2642" s="11">
        <v>0.026</v>
      </c>
      <c r="D2642" s="11">
        <v>79.0</v>
      </c>
      <c r="E2642" s="11">
        <v>69.0</v>
      </c>
      <c r="F2642" s="11">
        <v>0.307</v>
      </c>
      <c r="G2642" s="11">
        <v>0.628</v>
      </c>
      <c r="H2642" s="11">
        <v>0.065</v>
      </c>
      <c r="I2642" s="11">
        <v>7.8621E7</v>
      </c>
      <c r="J2642" s="11">
        <v>0.249</v>
      </c>
      <c r="K2642" s="12" t="s">
        <v>282</v>
      </c>
      <c r="L2642" s="5" t="s">
        <v>61</v>
      </c>
      <c r="M2642" s="9" t="s">
        <v>62</v>
      </c>
    </row>
    <row r="2643">
      <c r="A2643" s="11">
        <v>2642.0</v>
      </c>
      <c r="B2643" s="11">
        <v>0.017</v>
      </c>
      <c r="C2643" s="11">
        <v>0.026</v>
      </c>
      <c r="D2643" s="11">
        <v>79.0</v>
      </c>
      <c r="E2643" s="11">
        <v>69.0</v>
      </c>
      <c r="F2643" s="11">
        <v>0.298</v>
      </c>
      <c r="G2643" s="11">
        <v>0.637</v>
      </c>
      <c r="H2643" s="11">
        <v>0.065</v>
      </c>
      <c r="I2643" s="11">
        <v>7.95387E7</v>
      </c>
      <c r="J2643" s="11">
        <v>0.255</v>
      </c>
      <c r="K2643" s="12" t="s">
        <v>282</v>
      </c>
      <c r="L2643" s="5" t="s">
        <v>61</v>
      </c>
      <c r="M2643" s="9" t="s">
        <v>63</v>
      </c>
    </row>
    <row r="2644">
      <c r="A2644" s="11">
        <v>2643.0</v>
      </c>
      <c r="B2644" s="11">
        <v>0.017</v>
      </c>
      <c r="C2644" s="11">
        <v>0.025</v>
      </c>
      <c r="D2644" s="11">
        <v>79.0</v>
      </c>
      <c r="E2644" s="11">
        <v>70.0</v>
      </c>
      <c r="F2644" s="11">
        <v>0.289</v>
      </c>
      <c r="G2644" s="11">
        <v>0.646</v>
      </c>
      <c r="H2644" s="11">
        <v>0.065</v>
      </c>
      <c r="I2644" s="11">
        <v>8.04684E7</v>
      </c>
      <c r="J2644" s="11">
        <v>0.261</v>
      </c>
      <c r="K2644" s="12" t="s">
        <v>282</v>
      </c>
      <c r="L2644" s="5" t="s">
        <v>61</v>
      </c>
      <c r="M2644" s="9" t="s">
        <v>64</v>
      </c>
    </row>
    <row r="2645">
      <c r="A2645" s="11">
        <v>2644.0</v>
      </c>
      <c r="B2645" s="11">
        <v>0.017</v>
      </c>
      <c r="C2645" s="11">
        <v>0.024</v>
      </c>
      <c r="D2645" s="11">
        <v>79.0</v>
      </c>
      <c r="E2645" s="11">
        <v>70.0</v>
      </c>
      <c r="F2645" s="11">
        <v>0.28</v>
      </c>
      <c r="G2645" s="11">
        <v>0.654</v>
      </c>
      <c r="H2645" s="11">
        <v>0.066</v>
      </c>
      <c r="I2645" s="11">
        <v>8.14377E7</v>
      </c>
      <c r="J2645" s="11">
        <v>0.267</v>
      </c>
      <c r="K2645" s="12" t="s">
        <v>282</v>
      </c>
      <c r="L2645" s="5" t="s">
        <v>61</v>
      </c>
      <c r="M2645" s="9" t="s">
        <v>65</v>
      </c>
    </row>
    <row r="2646">
      <c r="A2646" s="11">
        <v>2645.0</v>
      </c>
      <c r="B2646" s="11">
        <v>0.017</v>
      </c>
      <c r="C2646" s="11">
        <v>0.024</v>
      </c>
      <c r="D2646" s="11">
        <v>80.0</v>
      </c>
      <c r="E2646" s="11">
        <v>70.0</v>
      </c>
      <c r="F2646" s="11">
        <v>0.271</v>
      </c>
      <c r="G2646" s="11">
        <v>0.663</v>
      </c>
      <c r="H2646" s="11">
        <v>0.066</v>
      </c>
      <c r="I2646" s="11">
        <v>8.23935E7</v>
      </c>
      <c r="J2646" s="11">
        <v>0.273</v>
      </c>
      <c r="K2646" s="12" t="s">
        <v>282</v>
      </c>
      <c r="L2646" s="5" t="s">
        <v>61</v>
      </c>
      <c r="M2646" s="9" t="s">
        <v>66</v>
      </c>
    </row>
    <row r="2647">
      <c r="A2647" s="11">
        <v>2646.0</v>
      </c>
      <c r="B2647" s="11">
        <v>0.017</v>
      </c>
      <c r="C2647" s="11">
        <v>0.023</v>
      </c>
      <c r="D2647" s="11">
        <v>80.0</v>
      </c>
      <c r="E2647" s="11">
        <v>70.0</v>
      </c>
      <c r="F2647" s="11">
        <v>0.263</v>
      </c>
      <c r="G2647" s="11">
        <v>0.672</v>
      </c>
      <c r="H2647" s="11">
        <v>0.066</v>
      </c>
      <c r="I2647" s="11">
        <v>8.3313E7</v>
      </c>
      <c r="J2647" s="11">
        <v>0.279</v>
      </c>
      <c r="K2647" s="12" t="s">
        <v>282</v>
      </c>
      <c r="L2647" s="5" t="s">
        <v>61</v>
      </c>
      <c r="M2647" s="9" t="s">
        <v>67</v>
      </c>
    </row>
    <row r="2648">
      <c r="A2648" s="11">
        <v>2647.0</v>
      </c>
      <c r="B2648" s="11">
        <v>0.017</v>
      </c>
      <c r="C2648" s="11">
        <v>0.022</v>
      </c>
      <c r="D2648" s="11">
        <v>80.0</v>
      </c>
      <c r="E2648" s="11">
        <v>70.0</v>
      </c>
      <c r="F2648" s="11">
        <v>0.254</v>
      </c>
      <c r="G2648" s="11">
        <v>0.68</v>
      </c>
      <c r="H2648" s="11">
        <v>0.066</v>
      </c>
      <c r="I2648" s="11">
        <v>8.42211E7</v>
      </c>
      <c r="J2648" s="11">
        <v>0.285</v>
      </c>
      <c r="K2648" s="12" t="s">
        <v>282</v>
      </c>
      <c r="L2648" s="5" t="s">
        <v>61</v>
      </c>
      <c r="M2648" s="9" t="s">
        <v>68</v>
      </c>
    </row>
    <row r="2649">
      <c r="A2649" s="11">
        <v>2648.0</v>
      </c>
      <c r="B2649" s="11">
        <v>0.017</v>
      </c>
      <c r="C2649" s="11">
        <v>0.022</v>
      </c>
      <c r="D2649" s="11">
        <v>80.0</v>
      </c>
      <c r="E2649" s="11">
        <v>70.0</v>
      </c>
      <c r="F2649" s="11">
        <v>0.247</v>
      </c>
      <c r="G2649" s="11">
        <v>0.688</v>
      </c>
      <c r="H2649" s="11">
        <v>0.066</v>
      </c>
      <c r="I2649" s="11">
        <v>8.51223E7</v>
      </c>
      <c r="J2649" s="11">
        <v>0.291</v>
      </c>
      <c r="K2649" s="12" t="s">
        <v>282</v>
      </c>
      <c r="L2649" s="5" t="s">
        <v>61</v>
      </c>
      <c r="M2649" s="9" t="s">
        <v>69</v>
      </c>
    </row>
    <row r="2650">
      <c r="A2650" s="11">
        <v>2649.0</v>
      </c>
      <c r="B2650" s="11">
        <v>0.017</v>
      </c>
      <c r="C2650" s="11">
        <v>0.021</v>
      </c>
      <c r="D2650" s="11">
        <v>80.0</v>
      </c>
      <c r="E2650" s="11">
        <v>71.0</v>
      </c>
      <c r="F2650" s="11">
        <v>0.24</v>
      </c>
      <c r="G2650" s="11">
        <v>0.694</v>
      </c>
      <c r="H2650" s="11">
        <v>0.065</v>
      </c>
      <c r="I2650" s="11">
        <v>8.6025E7</v>
      </c>
      <c r="J2650" s="11">
        <v>0.298</v>
      </c>
      <c r="K2650" s="12" t="s">
        <v>282</v>
      </c>
      <c r="L2650" s="5" t="s">
        <v>61</v>
      </c>
      <c r="M2650" s="9" t="s">
        <v>70</v>
      </c>
    </row>
    <row r="2651">
      <c r="A2651" s="11">
        <v>2650.0</v>
      </c>
      <c r="B2651" s="11">
        <v>0.016</v>
      </c>
      <c r="C2651" s="11">
        <v>0.021</v>
      </c>
      <c r="D2651" s="11">
        <v>80.0</v>
      </c>
      <c r="E2651" s="11">
        <v>71.0</v>
      </c>
      <c r="F2651" s="11">
        <v>0.235</v>
      </c>
      <c r="G2651" s="11">
        <v>0.7</v>
      </c>
      <c r="H2651" s="11">
        <v>0.065</v>
      </c>
      <c r="I2651" s="11">
        <v>8.69325E7</v>
      </c>
      <c r="J2651" s="11">
        <v>0.304</v>
      </c>
      <c r="K2651" s="12" t="s">
        <v>282</v>
      </c>
      <c r="L2651" s="5" t="s">
        <v>61</v>
      </c>
      <c r="M2651" s="9" t="s">
        <v>71</v>
      </c>
    </row>
    <row r="2652">
      <c r="A2652" s="11">
        <v>2651.0</v>
      </c>
      <c r="B2652" s="11">
        <v>0.016</v>
      </c>
      <c r="C2652" s="11">
        <v>0.02</v>
      </c>
      <c r="D2652" s="11">
        <v>80.0</v>
      </c>
      <c r="E2652" s="11">
        <v>71.0</v>
      </c>
      <c r="F2652" s="11">
        <v>0.231</v>
      </c>
      <c r="G2652" s="11">
        <v>0.703</v>
      </c>
      <c r="H2652" s="11">
        <v>0.065</v>
      </c>
      <c r="I2652" s="11">
        <v>8.784E7</v>
      </c>
      <c r="J2652" s="11">
        <v>0.31</v>
      </c>
      <c r="K2652" s="12" t="s">
        <v>282</v>
      </c>
      <c r="L2652" s="5" t="s">
        <v>61</v>
      </c>
      <c r="M2652" s="9" t="s">
        <v>72</v>
      </c>
    </row>
    <row r="2653">
      <c r="A2653" s="11">
        <v>2652.0</v>
      </c>
      <c r="B2653" s="11">
        <v>0.016</v>
      </c>
      <c r="C2653" s="11">
        <v>0.02</v>
      </c>
      <c r="D2653" s="11">
        <v>80.0</v>
      </c>
      <c r="E2653" s="11">
        <v>71.0</v>
      </c>
      <c r="F2653" s="11">
        <v>0.229</v>
      </c>
      <c r="G2653" s="11">
        <v>0.706</v>
      </c>
      <c r="H2653" s="11">
        <v>0.066</v>
      </c>
      <c r="I2653" s="11">
        <v>8.87729E7</v>
      </c>
      <c r="J2653" s="11">
        <v>0.317</v>
      </c>
      <c r="K2653" s="12" t="s">
        <v>282</v>
      </c>
      <c r="L2653" s="5" t="s">
        <v>61</v>
      </c>
      <c r="M2653" s="9" t="s">
        <v>73</v>
      </c>
    </row>
    <row r="2654">
      <c r="A2654" s="11">
        <v>2653.0</v>
      </c>
      <c r="B2654" s="11">
        <v>0.039</v>
      </c>
      <c r="C2654" s="11">
        <v>0.069</v>
      </c>
      <c r="D2654" s="11">
        <v>62.0</v>
      </c>
      <c r="E2654" s="11">
        <v>59.0</v>
      </c>
      <c r="F2654" s="11">
        <v>0.486</v>
      </c>
      <c r="G2654" s="11">
        <v>0.485</v>
      </c>
      <c r="H2654" s="11">
        <v>0.029</v>
      </c>
      <c r="I2654" s="11">
        <v>1.7522537E7</v>
      </c>
      <c r="J2654" s="11">
        <v>0.263</v>
      </c>
      <c r="K2654" s="12" t="s">
        <v>283</v>
      </c>
      <c r="L2654" s="5" t="s">
        <v>93</v>
      </c>
      <c r="M2654" s="9" t="s">
        <v>60</v>
      </c>
    </row>
    <row r="2655">
      <c r="A2655" s="11">
        <v>2654.0</v>
      </c>
      <c r="B2655" s="11">
        <v>0.039</v>
      </c>
      <c r="C2655" s="11">
        <v>0.067</v>
      </c>
      <c r="D2655" s="11">
        <v>62.0</v>
      </c>
      <c r="E2655" s="11">
        <v>59.0</v>
      </c>
      <c r="F2655" s="11">
        <v>0.481</v>
      </c>
      <c r="G2655" s="11">
        <v>0.491</v>
      </c>
      <c r="H2655" s="11">
        <v>0.028</v>
      </c>
      <c r="I2655" s="11">
        <v>1.8029989E7</v>
      </c>
      <c r="J2655" s="11">
        <v>0.268</v>
      </c>
      <c r="K2655" s="12" t="s">
        <v>283</v>
      </c>
      <c r="L2655" s="5" t="s">
        <v>93</v>
      </c>
      <c r="M2655" s="9" t="s">
        <v>62</v>
      </c>
    </row>
    <row r="2656">
      <c r="A2656" s="11">
        <v>2655.0</v>
      </c>
      <c r="B2656" s="11">
        <v>0.038</v>
      </c>
      <c r="C2656" s="11">
        <v>0.064</v>
      </c>
      <c r="D2656" s="11">
        <v>62.0</v>
      </c>
      <c r="E2656" s="11">
        <v>60.0</v>
      </c>
      <c r="F2656" s="11">
        <v>0.476</v>
      </c>
      <c r="G2656" s="11">
        <v>0.497</v>
      </c>
      <c r="H2656" s="11">
        <v>0.028</v>
      </c>
      <c r="I2656" s="11">
        <v>1.8551068E7</v>
      </c>
      <c r="J2656" s="11">
        <v>0.273</v>
      </c>
      <c r="K2656" s="12" t="s">
        <v>283</v>
      </c>
      <c r="L2656" s="5" t="s">
        <v>93</v>
      </c>
      <c r="M2656" s="9" t="s">
        <v>63</v>
      </c>
    </row>
    <row r="2657">
      <c r="A2657" s="11">
        <v>2656.0</v>
      </c>
      <c r="B2657" s="11">
        <v>0.037</v>
      </c>
      <c r="C2657" s="11">
        <v>0.061</v>
      </c>
      <c r="D2657" s="11">
        <v>63.0</v>
      </c>
      <c r="E2657" s="11">
        <v>60.0</v>
      </c>
      <c r="F2657" s="11">
        <v>0.47</v>
      </c>
      <c r="G2657" s="11">
        <v>0.503</v>
      </c>
      <c r="H2657" s="11">
        <v>0.027</v>
      </c>
      <c r="I2657" s="11">
        <v>1.9081306E7</v>
      </c>
      <c r="J2657" s="11">
        <v>0.278</v>
      </c>
      <c r="K2657" s="12" t="s">
        <v>283</v>
      </c>
      <c r="L2657" s="5" t="s">
        <v>93</v>
      </c>
      <c r="M2657" s="9" t="s">
        <v>64</v>
      </c>
    </row>
    <row r="2658">
      <c r="A2658" s="11">
        <v>2657.0</v>
      </c>
      <c r="B2658" s="11">
        <v>0.036</v>
      </c>
      <c r="C2658" s="11">
        <v>0.059</v>
      </c>
      <c r="D2658" s="11">
        <v>63.0</v>
      </c>
      <c r="E2658" s="11">
        <v>60.0</v>
      </c>
      <c r="F2658" s="11">
        <v>0.463</v>
      </c>
      <c r="G2658" s="11">
        <v>0.51</v>
      </c>
      <c r="H2658" s="11">
        <v>0.027</v>
      </c>
      <c r="I2658" s="11">
        <v>1.9612696E7</v>
      </c>
      <c r="J2658" s="11">
        <v>0.284</v>
      </c>
      <c r="K2658" s="12" t="s">
        <v>283</v>
      </c>
      <c r="L2658" s="5" t="s">
        <v>93</v>
      </c>
      <c r="M2658" s="9" t="s">
        <v>65</v>
      </c>
    </row>
    <row r="2659">
      <c r="A2659" s="11">
        <v>2658.0</v>
      </c>
      <c r="B2659" s="11">
        <v>0.035</v>
      </c>
      <c r="C2659" s="11">
        <v>0.056</v>
      </c>
      <c r="D2659" s="11">
        <v>63.0</v>
      </c>
      <c r="E2659" s="11">
        <v>60.0</v>
      </c>
      <c r="F2659" s="11">
        <v>0.457</v>
      </c>
      <c r="G2659" s="11">
        <v>0.517</v>
      </c>
      <c r="H2659" s="11">
        <v>0.026</v>
      </c>
      <c r="I2659" s="11">
        <v>2.0139661E7</v>
      </c>
      <c r="J2659" s="11">
        <v>0.289</v>
      </c>
      <c r="K2659" s="12" t="s">
        <v>283</v>
      </c>
      <c r="L2659" s="5" t="s">
        <v>93</v>
      </c>
      <c r="M2659" s="9" t="s">
        <v>66</v>
      </c>
    </row>
    <row r="2660">
      <c r="A2660" s="11">
        <v>2659.0</v>
      </c>
      <c r="B2660" s="11">
        <v>0.035</v>
      </c>
      <c r="C2660" s="11">
        <v>0.054</v>
      </c>
      <c r="D2660" s="11">
        <v>63.0</v>
      </c>
      <c r="E2660" s="11">
        <v>60.0</v>
      </c>
      <c r="F2660" s="11">
        <v>0.449</v>
      </c>
      <c r="G2660" s="11">
        <v>0.524</v>
      </c>
      <c r="H2660" s="11">
        <v>0.026</v>
      </c>
      <c r="I2660" s="11">
        <v>2.0661714E7</v>
      </c>
      <c r="J2660" s="11">
        <v>0.295</v>
      </c>
      <c r="K2660" s="12" t="s">
        <v>283</v>
      </c>
      <c r="L2660" s="5" t="s">
        <v>93</v>
      </c>
      <c r="M2660" s="9" t="s">
        <v>67</v>
      </c>
    </row>
    <row r="2661">
      <c r="A2661" s="11">
        <v>2660.0</v>
      </c>
      <c r="B2661" s="11">
        <v>0.034</v>
      </c>
      <c r="C2661" s="11">
        <v>0.052</v>
      </c>
      <c r="D2661" s="11">
        <v>63.0</v>
      </c>
      <c r="E2661" s="11">
        <v>61.0</v>
      </c>
      <c r="F2661" s="11">
        <v>0.442</v>
      </c>
      <c r="G2661" s="11">
        <v>0.532</v>
      </c>
      <c r="H2661" s="11">
        <v>0.026</v>
      </c>
      <c r="I2661" s="11">
        <v>2.1182162E7</v>
      </c>
      <c r="J2661" s="11">
        <v>0.3</v>
      </c>
      <c r="K2661" s="12" t="s">
        <v>283</v>
      </c>
      <c r="L2661" s="5" t="s">
        <v>93</v>
      </c>
      <c r="M2661" s="9" t="s">
        <v>68</v>
      </c>
    </row>
    <row r="2662">
      <c r="A2662" s="11">
        <v>2661.0</v>
      </c>
      <c r="B2662" s="11">
        <v>0.033</v>
      </c>
      <c r="C2662" s="11">
        <v>0.05</v>
      </c>
      <c r="D2662" s="11">
        <v>63.0</v>
      </c>
      <c r="E2662" s="11">
        <v>61.0</v>
      </c>
      <c r="F2662" s="11">
        <v>0.434</v>
      </c>
      <c r="G2662" s="11">
        <v>0.539</v>
      </c>
      <c r="H2662" s="11">
        <v>0.027</v>
      </c>
      <c r="I2662" s="11">
        <v>2.1703571E7</v>
      </c>
      <c r="J2662" s="11">
        <v>0.306</v>
      </c>
      <c r="K2662" s="12" t="s">
        <v>283</v>
      </c>
      <c r="L2662" s="5" t="s">
        <v>93</v>
      </c>
      <c r="M2662" s="9" t="s">
        <v>69</v>
      </c>
    </row>
    <row r="2663">
      <c r="A2663" s="11">
        <v>2662.0</v>
      </c>
      <c r="B2663" s="11">
        <v>0.033</v>
      </c>
      <c r="C2663" s="11">
        <v>0.048</v>
      </c>
      <c r="D2663" s="11">
        <v>64.0</v>
      </c>
      <c r="E2663" s="11">
        <v>61.0</v>
      </c>
      <c r="F2663" s="11">
        <v>0.427</v>
      </c>
      <c r="G2663" s="11">
        <v>0.547</v>
      </c>
      <c r="H2663" s="11">
        <v>0.027</v>
      </c>
      <c r="I2663" s="11">
        <v>2.2229625E7</v>
      </c>
      <c r="J2663" s="11">
        <v>0.312</v>
      </c>
      <c r="K2663" s="12" t="s">
        <v>283</v>
      </c>
      <c r="L2663" s="5" t="s">
        <v>93</v>
      </c>
      <c r="M2663" s="9" t="s">
        <v>70</v>
      </c>
    </row>
    <row r="2664">
      <c r="A2664" s="11">
        <v>2663.0</v>
      </c>
      <c r="B2664" s="11">
        <v>0.032</v>
      </c>
      <c r="C2664" s="11">
        <v>0.046</v>
      </c>
      <c r="D2664" s="11">
        <v>64.0</v>
      </c>
      <c r="E2664" s="11">
        <v>61.0</v>
      </c>
      <c r="F2664" s="11">
        <v>0.42</v>
      </c>
      <c r="G2664" s="11">
        <v>0.553</v>
      </c>
      <c r="H2664" s="11">
        <v>0.027</v>
      </c>
      <c r="I2664" s="11">
        <v>2.2763008E7</v>
      </c>
      <c r="J2664" s="11">
        <v>0.317</v>
      </c>
      <c r="K2664" s="12" t="s">
        <v>283</v>
      </c>
      <c r="L2664" s="5" t="s">
        <v>93</v>
      </c>
      <c r="M2664" s="9" t="s">
        <v>71</v>
      </c>
    </row>
    <row r="2665">
      <c r="A2665" s="11">
        <v>2664.0</v>
      </c>
      <c r="B2665" s="11">
        <v>0.032</v>
      </c>
      <c r="C2665" s="11">
        <v>0.044</v>
      </c>
      <c r="D2665" s="11">
        <v>64.0</v>
      </c>
      <c r="E2665" s="11">
        <v>61.0</v>
      </c>
      <c r="F2665" s="11">
        <v>0.413</v>
      </c>
      <c r="G2665" s="11">
        <v>0.559</v>
      </c>
      <c r="H2665" s="11">
        <v>0.028</v>
      </c>
      <c r="I2665" s="11">
        <v>2.3304206E7</v>
      </c>
      <c r="J2665" s="11">
        <v>0.323</v>
      </c>
      <c r="K2665" s="12" t="s">
        <v>283</v>
      </c>
      <c r="L2665" s="5" t="s">
        <v>93</v>
      </c>
      <c r="M2665" s="9" t="s">
        <v>72</v>
      </c>
    </row>
    <row r="2666">
      <c r="A2666" s="11">
        <v>2665.0</v>
      </c>
      <c r="B2666" s="11">
        <v>0.031</v>
      </c>
      <c r="C2666" s="11">
        <v>0.042</v>
      </c>
      <c r="D2666" s="11">
        <v>64.0</v>
      </c>
      <c r="E2666" s="11">
        <v>62.0</v>
      </c>
      <c r="F2666" s="11">
        <v>0.407</v>
      </c>
      <c r="G2666" s="11">
        <v>0.565</v>
      </c>
      <c r="H2666" s="11">
        <v>0.028</v>
      </c>
      <c r="I2666" s="11">
        <v>2.3852409E7</v>
      </c>
      <c r="J2666" s="11">
        <v>0.329</v>
      </c>
      <c r="K2666" s="12" t="s">
        <v>283</v>
      </c>
      <c r="L2666" s="5" t="s">
        <v>93</v>
      </c>
      <c r="M2666" s="9" t="s">
        <v>73</v>
      </c>
    </row>
    <row r="2667">
      <c r="A2667" s="11">
        <v>2666.0</v>
      </c>
      <c r="B2667" s="11">
        <v>0.045</v>
      </c>
      <c r="C2667" s="11">
        <v>0.1</v>
      </c>
      <c r="D2667" s="11">
        <v>42.0</v>
      </c>
      <c r="E2667" s="11">
        <v>42.0</v>
      </c>
      <c r="F2667" s="11">
        <v>0.457</v>
      </c>
      <c r="G2667" s="11">
        <v>0.515</v>
      </c>
      <c r="H2667" s="11">
        <v>0.027</v>
      </c>
      <c r="I2667" s="11">
        <v>1.0100981E7</v>
      </c>
      <c r="J2667" s="11">
        <v>0.348</v>
      </c>
      <c r="K2667" s="12" t="s">
        <v>284</v>
      </c>
      <c r="L2667" s="5" t="s">
        <v>77</v>
      </c>
      <c r="M2667" s="9" t="s">
        <v>60</v>
      </c>
    </row>
    <row r="2668">
      <c r="A2668" s="11">
        <v>2667.0</v>
      </c>
      <c r="B2668" s="11">
        <v>0.045</v>
      </c>
      <c r="C2668" s="11">
        <v>0.095</v>
      </c>
      <c r="D2668" s="11">
        <v>43.0</v>
      </c>
      <c r="E2668" s="11">
        <v>42.0</v>
      </c>
      <c r="F2668" s="11">
        <v>0.459</v>
      </c>
      <c r="G2668" s="11">
        <v>0.514</v>
      </c>
      <c r="H2668" s="11">
        <v>0.027</v>
      </c>
      <c r="I2668" s="11">
        <v>1.0362137E7</v>
      </c>
      <c r="J2668" s="11">
        <v>0.35</v>
      </c>
      <c r="K2668" s="12" t="s">
        <v>284</v>
      </c>
      <c r="L2668" s="5" t="s">
        <v>77</v>
      </c>
      <c r="M2668" s="9" t="s">
        <v>62</v>
      </c>
    </row>
    <row r="2669">
      <c r="A2669" s="11">
        <v>2668.0</v>
      </c>
      <c r="B2669" s="11">
        <v>0.045</v>
      </c>
      <c r="C2669" s="11">
        <v>0.091</v>
      </c>
      <c r="D2669" s="11">
        <v>44.0</v>
      </c>
      <c r="E2669" s="11">
        <v>43.0</v>
      </c>
      <c r="F2669" s="11">
        <v>0.461</v>
      </c>
      <c r="G2669" s="11">
        <v>0.511</v>
      </c>
      <c r="H2669" s="11">
        <v>0.027</v>
      </c>
      <c r="I2669" s="11">
        <v>1.0625423E7</v>
      </c>
      <c r="J2669" s="11">
        <v>0.354</v>
      </c>
      <c r="K2669" s="12" t="s">
        <v>284</v>
      </c>
      <c r="L2669" s="5" t="s">
        <v>77</v>
      </c>
      <c r="M2669" s="9" t="s">
        <v>63</v>
      </c>
    </row>
    <row r="2670">
      <c r="A2670" s="11">
        <v>2669.0</v>
      </c>
      <c r="B2670" s="11">
        <v>0.045</v>
      </c>
      <c r="C2670" s="11">
        <v>0.086</v>
      </c>
      <c r="D2670" s="11">
        <v>45.0</v>
      </c>
      <c r="E2670" s="11">
        <v>44.0</v>
      </c>
      <c r="F2670" s="11">
        <v>0.464</v>
      </c>
      <c r="G2670" s="11">
        <v>0.509</v>
      </c>
      <c r="H2670" s="11">
        <v>0.027</v>
      </c>
      <c r="I2670" s="11">
        <v>1.0894519E7</v>
      </c>
      <c r="J2670" s="11">
        <v>0.358</v>
      </c>
      <c r="K2670" s="12" t="s">
        <v>284</v>
      </c>
      <c r="L2670" s="5" t="s">
        <v>77</v>
      </c>
      <c r="M2670" s="9" t="s">
        <v>64</v>
      </c>
    </row>
    <row r="2671">
      <c r="A2671" s="11">
        <v>2670.0</v>
      </c>
      <c r="B2671" s="11">
        <v>0.044</v>
      </c>
      <c r="C2671" s="11">
        <v>0.081</v>
      </c>
      <c r="D2671" s="11">
        <v>46.0</v>
      </c>
      <c r="E2671" s="11">
        <v>45.0</v>
      </c>
      <c r="F2671" s="11">
        <v>0.466</v>
      </c>
      <c r="G2671" s="11">
        <v>0.507</v>
      </c>
      <c r="H2671" s="11">
        <v>0.027</v>
      </c>
      <c r="I2671" s="11">
        <v>1.117465E7</v>
      </c>
      <c r="J2671" s="11">
        <v>0.362</v>
      </c>
      <c r="K2671" s="12" t="s">
        <v>284</v>
      </c>
      <c r="L2671" s="5" t="s">
        <v>77</v>
      </c>
      <c r="M2671" s="9" t="s">
        <v>65</v>
      </c>
    </row>
    <row r="2672">
      <c r="A2672" s="11">
        <v>2671.0</v>
      </c>
      <c r="B2672" s="11">
        <v>0.044</v>
      </c>
      <c r="C2672" s="11">
        <v>0.076</v>
      </c>
      <c r="D2672" s="11">
        <v>48.0</v>
      </c>
      <c r="E2672" s="11">
        <v>47.0</v>
      </c>
      <c r="F2672" s="11">
        <v>0.467</v>
      </c>
      <c r="G2672" s="11">
        <v>0.506</v>
      </c>
      <c r="H2672" s="11">
        <v>0.027</v>
      </c>
      <c r="I2672" s="11">
        <v>1.1470022E7</v>
      </c>
      <c r="J2672" s="11">
        <v>0.366</v>
      </c>
      <c r="K2672" s="12" t="s">
        <v>284</v>
      </c>
      <c r="L2672" s="5" t="s">
        <v>77</v>
      </c>
      <c r="M2672" s="9" t="s">
        <v>66</v>
      </c>
    </row>
    <row r="2673">
      <c r="A2673" s="11">
        <v>2672.0</v>
      </c>
      <c r="B2673" s="11">
        <v>0.044</v>
      </c>
      <c r="C2673" s="11">
        <v>0.073</v>
      </c>
      <c r="D2673" s="11">
        <v>49.0</v>
      </c>
      <c r="E2673" s="11">
        <v>48.0</v>
      </c>
      <c r="F2673" s="11">
        <v>0.468</v>
      </c>
      <c r="G2673" s="11">
        <v>0.505</v>
      </c>
      <c r="H2673" s="11">
        <v>0.027</v>
      </c>
      <c r="I2673" s="11">
        <v>1.1781612E7</v>
      </c>
      <c r="J2673" s="11">
        <v>0.37</v>
      </c>
      <c r="K2673" s="12" t="s">
        <v>284</v>
      </c>
      <c r="L2673" s="5" t="s">
        <v>77</v>
      </c>
      <c r="M2673" s="9" t="s">
        <v>67</v>
      </c>
    </row>
    <row r="2674">
      <c r="A2674" s="11">
        <v>2673.0</v>
      </c>
      <c r="B2674" s="11">
        <v>0.044</v>
      </c>
      <c r="C2674" s="11">
        <v>0.07</v>
      </c>
      <c r="D2674" s="11">
        <v>51.0</v>
      </c>
      <c r="E2674" s="11">
        <v>49.0</v>
      </c>
      <c r="F2674" s="11">
        <v>0.469</v>
      </c>
      <c r="G2674" s="11">
        <v>0.504</v>
      </c>
      <c r="H2674" s="11">
        <v>0.027</v>
      </c>
      <c r="I2674" s="11">
        <v>1.210962E7</v>
      </c>
      <c r="J2674" s="11">
        <v>0.375</v>
      </c>
      <c r="K2674" s="12" t="s">
        <v>284</v>
      </c>
      <c r="L2674" s="5" t="s">
        <v>77</v>
      </c>
      <c r="M2674" s="9" t="s">
        <v>68</v>
      </c>
    </row>
    <row r="2675">
      <c r="A2675" s="11">
        <v>2674.0</v>
      </c>
      <c r="B2675" s="11">
        <v>0.043</v>
      </c>
      <c r="C2675" s="11">
        <v>0.067</v>
      </c>
      <c r="D2675" s="11">
        <v>52.0</v>
      </c>
      <c r="E2675" s="11">
        <v>51.0</v>
      </c>
      <c r="F2675" s="11">
        <v>0.47</v>
      </c>
      <c r="G2675" s="11">
        <v>0.504</v>
      </c>
      <c r="H2675" s="11">
        <v>0.027</v>
      </c>
      <c r="I2675" s="11">
        <v>1.2456527E7</v>
      </c>
      <c r="J2675" s="11">
        <v>0.379</v>
      </c>
      <c r="K2675" s="12" t="s">
        <v>284</v>
      </c>
      <c r="L2675" s="5" t="s">
        <v>77</v>
      </c>
      <c r="M2675" s="9" t="s">
        <v>69</v>
      </c>
    </row>
    <row r="2676">
      <c r="A2676" s="11">
        <v>2675.0</v>
      </c>
      <c r="B2676" s="11">
        <v>0.043</v>
      </c>
      <c r="C2676" s="11">
        <v>0.065</v>
      </c>
      <c r="D2676" s="11">
        <v>54.0</v>
      </c>
      <c r="E2676" s="11">
        <v>52.0</v>
      </c>
      <c r="F2676" s="11">
        <v>0.47</v>
      </c>
      <c r="G2676" s="11">
        <v>0.504</v>
      </c>
      <c r="H2676" s="11">
        <v>0.027</v>
      </c>
      <c r="I2676" s="11">
        <v>1.2825031E7</v>
      </c>
      <c r="J2676" s="11">
        <v>0.383</v>
      </c>
      <c r="K2676" s="12" t="s">
        <v>284</v>
      </c>
      <c r="L2676" s="5" t="s">
        <v>77</v>
      </c>
      <c r="M2676" s="9" t="s">
        <v>70</v>
      </c>
    </row>
    <row r="2677">
      <c r="A2677" s="11">
        <v>2676.0</v>
      </c>
      <c r="B2677" s="11">
        <v>0.043</v>
      </c>
      <c r="C2677" s="11">
        <v>0.064</v>
      </c>
      <c r="D2677" s="11">
        <v>56.0</v>
      </c>
      <c r="E2677" s="11">
        <v>53.0</v>
      </c>
      <c r="F2677" s="11">
        <v>0.469</v>
      </c>
      <c r="G2677" s="11">
        <v>0.504</v>
      </c>
      <c r="H2677" s="11">
        <v>0.027</v>
      </c>
      <c r="I2677" s="11">
        <v>1.3216985E7</v>
      </c>
      <c r="J2677" s="11">
        <v>0.387</v>
      </c>
      <c r="K2677" s="12" t="s">
        <v>284</v>
      </c>
      <c r="L2677" s="5" t="s">
        <v>77</v>
      </c>
      <c r="M2677" s="9" t="s">
        <v>71</v>
      </c>
    </row>
    <row r="2678">
      <c r="A2678" s="11">
        <v>2677.0</v>
      </c>
      <c r="B2678" s="11">
        <v>0.043</v>
      </c>
      <c r="C2678" s="11">
        <v>0.059</v>
      </c>
      <c r="D2678" s="11">
        <v>57.0</v>
      </c>
      <c r="E2678" s="11">
        <v>54.0</v>
      </c>
      <c r="F2678" s="11">
        <v>0.468</v>
      </c>
      <c r="G2678" s="11">
        <v>0.505</v>
      </c>
      <c r="H2678" s="11">
        <v>0.026</v>
      </c>
      <c r="I2678" s="11">
        <v>1.3633796E7</v>
      </c>
      <c r="J2678" s="11">
        <v>0.392</v>
      </c>
      <c r="K2678" s="12" t="s">
        <v>284</v>
      </c>
      <c r="L2678" s="5" t="s">
        <v>77</v>
      </c>
      <c r="M2678" s="9" t="s">
        <v>72</v>
      </c>
    </row>
    <row r="2679">
      <c r="A2679" s="11">
        <v>2678.0</v>
      </c>
      <c r="B2679" s="11">
        <v>0.043</v>
      </c>
      <c r="C2679" s="11">
        <v>0.057</v>
      </c>
      <c r="D2679" s="11">
        <v>59.0</v>
      </c>
      <c r="E2679" s="11">
        <v>55.0</v>
      </c>
      <c r="F2679" s="11">
        <v>0.467</v>
      </c>
      <c r="G2679" s="11">
        <v>0.506</v>
      </c>
      <c r="H2679" s="11">
        <v>0.026</v>
      </c>
      <c r="I2679" s="11">
        <v>1.4075099E7</v>
      </c>
      <c r="J2679" s="11">
        <v>0.396</v>
      </c>
      <c r="K2679" s="12" t="s">
        <v>284</v>
      </c>
      <c r="L2679" s="5" t="s">
        <v>77</v>
      </c>
      <c r="M2679" s="9" t="s">
        <v>73</v>
      </c>
    </row>
    <row r="2680">
      <c r="A2680" s="11">
        <v>2679.0</v>
      </c>
      <c r="B2680" s="11">
        <v>0.032</v>
      </c>
      <c r="C2680" s="11">
        <v>0.061</v>
      </c>
      <c r="D2680" s="11">
        <v>44.0</v>
      </c>
      <c r="E2680" s="11">
        <v>44.0</v>
      </c>
      <c r="F2680" s="11">
        <v>0.422</v>
      </c>
      <c r="G2680" s="11">
        <v>0.545</v>
      </c>
      <c r="H2680" s="11">
        <v>0.034</v>
      </c>
      <c r="I2680" s="11">
        <v>1.2503652E7</v>
      </c>
      <c r="J2680" s="11">
        <v>0.338</v>
      </c>
      <c r="K2680" s="12" t="s">
        <v>285</v>
      </c>
      <c r="L2680" s="5" t="s">
        <v>77</v>
      </c>
      <c r="M2680" s="9" t="s">
        <v>60</v>
      </c>
    </row>
    <row r="2681">
      <c r="A2681" s="11">
        <v>2680.0</v>
      </c>
      <c r="B2681" s="11">
        <v>0.032</v>
      </c>
      <c r="C2681" s="11">
        <v>0.06</v>
      </c>
      <c r="D2681" s="11">
        <v>43.0</v>
      </c>
      <c r="E2681" s="11">
        <v>43.0</v>
      </c>
      <c r="F2681" s="11">
        <v>0.419</v>
      </c>
      <c r="G2681" s="11">
        <v>0.547</v>
      </c>
      <c r="H2681" s="11">
        <v>0.034</v>
      </c>
      <c r="I2681" s="11">
        <v>1.2586763E7</v>
      </c>
      <c r="J2681" s="11">
        <v>0.342</v>
      </c>
      <c r="K2681" s="12" t="s">
        <v>285</v>
      </c>
      <c r="L2681" s="5" t="s">
        <v>77</v>
      </c>
      <c r="M2681" s="9" t="s">
        <v>62</v>
      </c>
    </row>
    <row r="2682">
      <c r="A2682" s="11">
        <v>2681.0</v>
      </c>
      <c r="B2682" s="11">
        <v>0.032</v>
      </c>
      <c r="C2682" s="11">
        <v>0.059</v>
      </c>
      <c r="D2682" s="11">
        <v>43.0</v>
      </c>
      <c r="E2682" s="11">
        <v>43.0</v>
      </c>
      <c r="F2682" s="11">
        <v>0.417</v>
      </c>
      <c r="G2682" s="11">
        <v>0.548</v>
      </c>
      <c r="H2682" s="11">
        <v>0.035</v>
      </c>
      <c r="I2682" s="11">
        <v>1.2640922E7</v>
      </c>
      <c r="J2682" s="11">
        <v>0.346</v>
      </c>
      <c r="K2682" s="12" t="s">
        <v>285</v>
      </c>
      <c r="L2682" s="5" t="s">
        <v>77</v>
      </c>
      <c r="M2682" s="9" t="s">
        <v>63</v>
      </c>
    </row>
    <row r="2683">
      <c r="A2683" s="11">
        <v>2682.0</v>
      </c>
      <c r="B2683" s="11">
        <v>0.032</v>
      </c>
      <c r="C2683" s="11">
        <v>0.058</v>
      </c>
      <c r="D2683" s="11">
        <v>42.0</v>
      </c>
      <c r="E2683" s="11">
        <v>43.0</v>
      </c>
      <c r="F2683" s="11">
        <v>0.416</v>
      </c>
      <c r="G2683" s="11">
        <v>0.549</v>
      </c>
      <c r="H2683" s="11">
        <v>0.035</v>
      </c>
      <c r="I2683" s="11">
        <v>1.2673103E7</v>
      </c>
      <c r="J2683" s="11">
        <v>0.345</v>
      </c>
      <c r="K2683" s="12" t="s">
        <v>285</v>
      </c>
      <c r="L2683" s="5" t="s">
        <v>77</v>
      </c>
      <c r="M2683" s="9" t="s">
        <v>64</v>
      </c>
    </row>
    <row r="2684">
      <c r="A2684" s="11">
        <v>2683.0</v>
      </c>
      <c r="B2684" s="11">
        <v>0.032</v>
      </c>
      <c r="C2684" s="11">
        <v>0.058</v>
      </c>
      <c r="D2684" s="11">
        <v>43.0</v>
      </c>
      <c r="E2684" s="11">
        <v>44.0</v>
      </c>
      <c r="F2684" s="11">
        <v>0.415</v>
      </c>
      <c r="G2684" s="11">
        <v>0.549</v>
      </c>
      <c r="H2684" s="11">
        <v>0.036</v>
      </c>
      <c r="I2684" s="11">
        <v>1.2693047E7</v>
      </c>
      <c r="J2684" s="11">
        <v>0.343</v>
      </c>
      <c r="K2684" s="12" t="s">
        <v>285</v>
      </c>
      <c r="L2684" s="5" t="s">
        <v>77</v>
      </c>
      <c r="M2684" s="9" t="s">
        <v>65</v>
      </c>
    </row>
    <row r="2685">
      <c r="A2685" s="11">
        <v>2684.0</v>
      </c>
      <c r="B2685" s="11">
        <v>0.032</v>
      </c>
      <c r="C2685" s="11">
        <v>0.057</v>
      </c>
      <c r="D2685" s="11">
        <v>43.0</v>
      </c>
      <c r="E2685" s="11">
        <v>44.0</v>
      </c>
      <c r="F2685" s="11">
        <v>0.415</v>
      </c>
      <c r="G2685" s="11">
        <v>0.548</v>
      </c>
      <c r="H2685" s="11">
        <v>0.037</v>
      </c>
      <c r="I2685" s="11">
        <v>1.2710589E7</v>
      </c>
      <c r="J2685" s="11">
        <v>0.341</v>
      </c>
      <c r="K2685" s="12" t="s">
        <v>285</v>
      </c>
      <c r="L2685" s="5" t="s">
        <v>77</v>
      </c>
      <c r="M2685" s="9" t="s">
        <v>66</v>
      </c>
    </row>
    <row r="2686">
      <c r="A2686" s="11">
        <v>2685.0</v>
      </c>
      <c r="B2686" s="11">
        <v>0.032</v>
      </c>
      <c r="C2686" s="11">
        <v>0.057</v>
      </c>
      <c r="D2686" s="11">
        <v>44.0</v>
      </c>
      <c r="E2686" s="11">
        <v>46.0</v>
      </c>
      <c r="F2686" s="11">
        <v>0.415</v>
      </c>
      <c r="G2686" s="11">
        <v>0.548</v>
      </c>
      <c r="H2686" s="11">
        <v>0.038</v>
      </c>
      <c r="I2686" s="11">
        <v>1.2724308E7</v>
      </c>
      <c r="J2686" s="11">
        <v>0.339</v>
      </c>
      <c r="K2686" s="12" t="s">
        <v>285</v>
      </c>
      <c r="L2686" s="5" t="s">
        <v>77</v>
      </c>
      <c r="M2686" s="9" t="s">
        <v>67</v>
      </c>
    </row>
    <row r="2687">
      <c r="A2687" s="11">
        <v>2686.0</v>
      </c>
      <c r="B2687" s="11">
        <v>0.032</v>
      </c>
      <c r="C2687" s="11">
        <v>0.058</v>
      </c>
      <c r="D2687" s="11">
        <v>46.0</v>
      </c>
      <c r="E2687" s="11">
        <v>47.0</v>
      </c>
      <c r="F2687" s="11">
        <v>0.415</v>
      </c>
      <c r="G2687" s="11">
        <v>0.546</v>
      </c>
      <c r="H2687" s="11">
        <v>0.038</v>
      </c>
      <c r="I2687" s="11">
        <v>1.274016E7</v>
      </c>
      <c r="J2687" s="11">
        <v>0.337</v>
      </c>
      <c r="K2687" s="12" t="s">
        <v>285</v>
      </c>
      <c r="L2687" s="5" t="s">
        <v>77</v>
      </c>
      <c r="M2687" s="9" t="s">
        <v>68</v>
      </c>
    </row>
    <row r="2688">
      <c r="A2688" s="11">
        <v>2687.0</v>
      </c>
      <c r="B2688" s="11">
        <v>0.032</v>
      </c>
      <c r="C2688" s="11">
        <v>0.058</v>
      </c>
      <c r="D2688" s="11">
        <v>49.0</v>
      </c>
      <c r="E2688" s="11">
        <v>49.0</v>
      </c>
      <c r="F2688" s="11">
        <v>0.416</v>
      </c>
      <c r="G2688" s="11">
        <v>0.545</v>
      </c>
      <c r="H2688" s="11">
        <v>0.039</v>
      </c>
      <c r="I2688" s="11">
        <v>1.2784041E7</v>
      </c>
      <c r="J2688" s="11">
        <v>0.336</v>
      </c>
      <c r="K2688" s="12" t="s">
        <v>285</v>
      </c>
      <c r="L2688" s="5" t="s">
        <v>77</v>
      </c>
      <c r="M2688" s="9" t="s">
        <v>69</v>
      </c>
    </row>
    <row r="2689">
      <c r="A2689" s="11">
        <v>2688.0</v>
      </c>
      <c r="B2689" s="11">
        <v>0.032</v>
      </c>
      <c r="C2689" s="11">
        <v>0.059</v>
      </c>
      <c r="D2689" s="11">
        <v>51.0</v>
      </c>
      <c r="E2689" s="11">
        <v>51.0</v>
      </c>
      <c r="F2689" s="11">
        <v>0.415</v>
      </c>
      <c r="G2689" s="11">
        <v>0.546</v>
      </c>
      <c r="H2689" s="11">
        <v>0.04</v>
      </c>
      <c r="I2689" s="11">
        <v>1.2888918E7</v>
      </c>
      <c r="J2689" s="11">
        <v>0.334</v>
      </c>
      <c r="K2689" s="12" t="s">
        <v>285</v>
      </c>
      <c r="L2689" s="5" t="s">
        <v>77</v>
      </c>
      <c r="M2689" s="9" t="s">
        <v>70</v>
      </c>
    </row>
    <row r="2690">
      <c r="A2690" s="11">
        <v>2689.0</v>
      </c>
      <c r="B2690" s="11">
        <v>0.032</v>
      </c>
      <c r="C2690" s="11">
        <v>0.059</v>
      </c>
      <c r="D2690" s="11">
        <v>54.0</v>
      </c>
      <c r="E2690" s="11">
        <v>53.0</v>
      </c>
      <c r="F2690" s="11">
        <v>0.412</v>
      </c>
      <c r="G2690" s="11">
        <v>0.548</v>
      </c>
      <c r="H2690" s="11">
        <v>0.04</v>
      </c>
      <c r="I2690" s="11">
        <v>1.3076978E7</v>
      </c>
      <c r="J2690" s="11">
        <v>0.332</v>
      </c>
      <c r="K2690" s="12" t="s">
        <v>285</v>
      </c>
      <c r="L2690" s="5" t="s">
        <v>77</v>
      </c>
      <c r="M2690" s="9" t="s">
        <v>71</v>
      </c>
    </row>
    <row r="2691">
      <c r="A2691" s="11">
        <v>2690.0</v>
      </c>
      <c r="B2691" s="11">
        <v>0.032</v>
      </c>
      <c r="C2691" s="11">
        <v>0.058</v>
      </c>
      <c r="D2691" s="11">
        <v>56.0</v>
      </c>
      <c r="E2691" s="11">
        <v>55.0</v>
      </c>
      <c r="F2691" s="11">
        <v>0.408</v>
      </c>
      <c r="G2691" s="11">
        <v>0.552</v>
      </c>
      <c r="H2691" s="11">
        <v>0.04</v>
      </c>
      <c r="I2691" s="11">
        <v>1.3358738E7</v>
      </c>
      <c r="J2691" s="11">
        <v>0.33</v>
      </c>
      <c r="K2691" s="12" t="s">
        <v>285</v>
      </c>
      <c r="L2691" s="5" t="s">
        <v>77</v>
      </c>
      <c r="M2691" s="9" t="s">
        <v>72</v>
      </c>
    </row>
    <row r="2692">
      <c r="A2692" s="11">
        <v>2691.0</v>
      </c>
      <c r="B2692" s="11">
        <v>0.032</v>
      </c>
      <c r="C2692" s="11">
        <v>0.055</v>
      </c>
      <c r="D2692" s="11">
        <v>59.0</v>
      </c>
      <c r="E2692" s="11">
        <v>57.0</v>
      </c>
      <c r="F2692" s="11">
        <v>0.402</v>
      </c>
      <c r="G2692" s="11">
        <v>0.558</v>
      </c>
      <c r="H2692" s="11">
        <v>0.039</v>
      </c>
      <c r="I2692" s="11">
        <v>1.3724317E7</v>
      </c>
      <c r="J2692" s="11">
        <v>0.328</v>
      </c>
      <c r="K2692" s="12" t="s">
        <v>285</v>
      </c>
      <c r="L2692" s="5" t="s">
        <v>77</v>
      </c>
      <c r="M2692" s="9" t="s">
        <v>73</v>
      </c>
    </row>
  </sheetData>
  <autoFilter ref="$B$1:$M$2692">
    <sortState ref="B1:M2692">
      <sortCondition ref="K1:K2692"/>
    </sortState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11.0"/>
    <col customWidth="1" min="3" max="3" width="13.5"/>
    <col customWidth="1" min="4" max="4" width="24.75"/>
    <col customWidth="1" min="5" max="5" width="9.5"/>
    <col customWidth="1" min="6" max="6" width="14.88"/>
  </cols>
  <sheetData>
    <row r="1">
      <c r="A1" s="5" t="s">
        <v>286</v>
      </c>
      <c r="B1" s="5" t="s">
        <v>4</v>
      </c>
      <c r="C1" s="5" t="s">
        <v>41</v>
      </c>
      <c r="D1" s="5" t="s">
        <v>5</v>
      </c>
      <c r="E1" s="6" t="s">
        <v>58</v>
      </c>
      <c r="F1" s="5" t="s">
        <v>43</v>
      </c>
    </row>
    <row r="2">
      <c r="A2" s="5">
        <f t="array" ref="A2:A2692">SEQUENCE(2691)</f>
        <v>1</v>
      </c>
      <c r="B2" s="5" t="s">
        <v>61</v>
      </c>
      <c r="C2" s="8"/>
      <c r="D2" s="12" t="s">
        <v>59</v>
      </c>
      <c r="E2" s="9" t="s">
        <v>60</v>
      </c>
      <c r="F2" s="8"/>
    </row>
    <row r="3">
      <c r="A3" s="5">
        <v>2.0</v>
      </c>
      <c r="B3" s="5" t="s">
        <v>61</v>
      </c>
      <c r="C3" s="8"/>
      <c r="D3" s="12" t="s">
        <v>59</v>
      </c>
      <c r="E3" s="9" t="s">
        <v>62</v>
      </c>
      <c r="F3" s="8"/>
    </row>
    <row r="4">
      <c r="A4" s="5">
        <v>3.0</v>
      </c>
      <c r="B4" s="5" t="s">
        <v>61</v>
      </c>
      <c r="C4" s="8"/>
      <c r="D4" s="12" t="s">
        <v>59</v>
      </c>
      <c r="E4" s="9" t="s">
        <v>63</v>
      </c>
      <c r="F4" s="8"/>
    </row>
    <row r="5">
      <c r="A5" s="5">
        <v>4.0</v>
      </c>
      <c r="B5" s="5" t="s">
        <v>61</v>
      </c>
      <c r="C5" s="8"/>
      <c r="D5" s="12" t="s">
        <v>59</v>
      </c>
      <c r="E5" s="9" t="s">
        <v>64</v>
      </c>
      <c r="F5" s="8"/>
    </row>
    <row r="6">
      <c r="A6" s="5">
        <v>5.0</v>
      </c>
      <c r="B6" s="5" t="s">
        <v>61</v>
      </c>
      <c r="C6" s="8"/>
      <c r="D6" s="12" t="s">
        <v>59</v>
      </c>
      <c r="E6" s="9" t="s">
        <v>65</v>
      </c>
      <c r="F6" s="8"/>
    </row>
    <row r="7">
      <c r="A7" s="5">
        <v>6.0</v>
      </c>
      <c r="B7" s="5" t="s">
        <v>61</v>
      </c>
      <c r="C7" s="8"/>
      <c r="D7" s="12" t="s">
        <v>59</v>
      </c>
      <c r="E7" s="9" t="s">
        <v>66</v>
      </c>
      <c r="F7" s="8"/>
    </row>
    <row r="8">
      <c r="A8" s="5">
        <v>7.0</v>
      </c>
      <c r="B8" s="5" t="s">
        <v>61</v>
      </c>
      <c r="C8" s="8"/>
      <c r="D8" s="12" t="s">
        <v>59</v>
      </c>
      <c r="E8" s="9" t="s">
        <v>67</v>
      </c>
      <c r="F8" s="8"/>
    </row>
    <row r="9">
      <c r="A9" s="5">
        <v>8.0</v>
      </c>
      <c r="B9" s="5" t="s">
        <v>61</v>
      </c>
      <c r="C9" s="8"/>
      <c r="D9" s="12" t="s">
        <v>59</v>
      </c>
      <c r="E9" s="9" t="s">
        <v>68</v>
      </c>
      <c r="F9" s="8"/>
    </row>
    <row r="10">
      <c r="A10" s="5">
        <v>9.0</v>
      </c>
      <c r="B10" s="5" t="s">
        <v>61</v>
      </c>
      <c r="C10" s="11">
        <v>4.3E7</v>
      </c>
      <c r="D10" s="12" t="s">
        <v>59</v>
      </c>
      <c r="E10" s="9" t="s">
        <v>69</v>
      </c>
      <c r="F10" s="11">
        <v>5.8E7</v>
      </c>
    </row>
    <row r="11">
      <c r="A11" s="5">
        <v>10.0</v>
      </c>
      <c r="B11" s="5" t="s">
        <v>61</v>
      </c>
      <c r="C11" s="11">
        <v>9.6E7</v>
      </c>
      <c r="D11" s="12" t="s">
        <v>59</v>
      </c>
      <c r="E11" s="9" t="s">
        <v>70</v>
      </c>
      <c r="F11" s="11">
        <v>6.1E7</v>
      </c>
    </row>
    <row r="12">
      <c r="A12" s="5">
        <v>11.0</v>
      </c>
      <c r="B12" s="5" t="s">
        <v>61</v>
      </c>
      <c r="C12" s="11">
        <v>1.38E8</v>
      </c>
      <c r="D12" s="12" t="s">
        <v>59</v>
      </c>
      <c r="E12" s="9" t="s">
        <v>71</v>
      </c>
      <c r="F12" s="11">
        <v>8.6E7</v>
      </c>
    </row>
    <row r="13">
      <c r="A13" s="5">
        <v>12.0</v>
      </c>
      <c r="B13" s="5" t="s">
        <v>61</v>
      </c>
      <c r="C13" s="11">
        <v>1.37E8</v>
      </c>
      <c r="D13" s="12" t="s">
        <v>59</v>
      </c>
      <c r="E13" s="9" t="s">
        <v>72</v>
      </c>
      <c r="F13" s="11">
        <v>1.27E8</v>
      </c>
    </row>
    <row r="14">
      <c r="A14" s="5">
        <v>13.0</v>
      </c>
      <c r="B14" s="5" t="s">
        <v>61</v>
      </c>
      <c r="C14" s="11">
        <v>1.16E8</v>
      </c>
      <c r="D14" s="12" t="s">
        <v>59</v>
      </c>
      <c r="E14" s="9" t="s">
        <v>73</v>
      </c>
      <c r="F14" s="11">
        <v>8.0E7</v>
      </c>
    </row>
    <row r="15">
      <c r="A15" s="5">
        <v>14.0</v>
      </c>
      <c r="B15" s="5" t="s">
        <v>75</v>
      </c>
      <c r="C15" s="11">
        <v>3.98E8</v>
      </c>
      <c r="D15" s="12" t="s">
        <v>74</v>
      </c>
      <c r="E15" s="9" t="s">
        <v>60</v>
      </c>
      <c r="F15" s="11">
        <v>2.9E8</v>
      </c>
    </row>
    <row r="16">
      <c r="A16" s="5">
        <v>15.0</v>
      </c>
      <c r="B16" s="5" t="s">
        <v>75</v>
      </c>
      <c r="C16" s="11">
        <v>4.51E8</v>
      </c>
      <c r="D16" s="12" t="s">
        <v>74</v>
      </c>
      <c r="E16" s="9" t="s">
        <v>62</v>
      </c>
      <c r="F16" s="11">
        <v>2.69E8</v>
      </c>
    </row>
    <row r="17">
      <c r="A17" s="5">
        <v>16.0</v>
      </c>
      <c r="B17" s="5" t="s">
        <v>75</v>
      </c>
      <c r="C17" s="11">
        <v>4.92E8</v>
      </c>
      <c r="D17" s="12" t="s">
        <v>74</v>
      </c>
      <c r="E17" s="9" t="s">
        <v>63</v>
      </c>
      <c r="F17" s="11">
        <v>3.86E8</v>
      </c>
    </row>
    <row r="18">
      <c r="A18" s="5">
        <v>17.0</v>
      </c>
      <c r="B18" s="5" t="s">
        <v>75</v>
      </c>
      <c r="C18" s="11">
        <v>5.37E8</v>
      </c>
      <c r="D18" s="12" t="s">
        <v>74</v>
      </c>
      <c r="E18" s="9" t="s">
        <v>64</v>
      </c>
      <c r="F18" s="11">
        <v>5.07E8</v>
      </c>
    </row>
    <row r="19">
      <c r="A19" s="5">
        <v>18.0</v>
      </c>
      <c r="B19" s="5" t="s">
        <v>75</v>
      </c>
      <c r="C19" s="11">
        <v>7.56E8</v>
      </c>
      <c r="D19" s="12" t="s">
        <v>74</v>
      </c>
      <c r="E19" s="9" t="s">
        <v>65</v>
      </c>
      <c r="F19" s="11">
        <v>6.69E8</v>
      </c>
    </row>
    <row r="20">
      <c r="A20" s="5">
        <v>19.0</v>
      </c>
      <c r="B20" s="5" t="s">
        <v>75</v>
      </c>
      <c r="C20" s="11">
        <v>8.8E8</v>
      </c>
      <c r="D20" s="12" t="s">
        <v>74</v>
      </c>
      <c r="E20" s="9" t="s">
        <v>66</v>
      </c>
      <c r="F20" s="11">
        <v>8.08E8</v>
      </c>
    </row>
    <row r="21">
      <c r="A21" s="5">
        <v>20.0</v>
      </c>
      <c r="B21" s="5" t="s">
        <v>75</v>
      </c>
      <c r="C21" s="11">
        <v>1.057E9</v>
      </c>
      <c r="D21" s="12" t="s">
        <v>74</v>
      </c>
      <c r="E21" s="9" t="s">
        <v>67</v>
      </c>
      <c r="F21" s="11">
        <v>9.89E8</v>
      </c>
    </row>
    <row r="22">
      <c r="A22" s="5">
        <v>21.0</v>
      </c>
      <c r="B22" s="5" t="s">
        <v>75</v>
      </c>
      <c r="C22" s="11">
        <v>1.479E9</v>
      </c>
      <c r="D22" s="12" t="s">
        <v>74</v>
      </c>
      <c r="E22" s="9" t="s">
        <v>68</v>
      </c>
      <c r="F22" s="11">
        <v>1.331E9</v>
      </c>
    </row>
    <row r="23">
      <c r="A23" s="5">
        <v>22.0</v>
      </c>
      <c r="B23" s="5" t="s">
        <v>75</v>
      </c>
      <c r="C23" s="11">
        <v>1.848E9</v>
      </c>
      <c r="D23" s="12" t="s">
        <v>74</v>
      </c>
      <c r="E23" s="9" t="s">
        <v>69</v>
      </c>
      <c r="F23" s="11">
        <v>1.644E9</v>
      </c>
    </row>
    <row r="24">
      <c r="A24" s="5">
        <v>23.0</v>
      </c>
      <c r="B24" s="5" t="s">
        <v>75</v>
      </c>
      <c r="C24" s="11">
        <v>2.014E9</v>
      </c>
      <c r="D24" s="12" t="s">
        <v>74</v>
      </c>
      <c r="E24" s="9" t="s">
        <v>70</v>
      </c>
      <c r="F24" s="11">
        <v>1.693E9</v>
      </c>
    </row>
    <row r="25">
      <c r="A25" s="5">
        <v>24.0</v>
      </c>
      <c r="B25" s="5" t="s">
        <v>75</v>
      </c>
      <c r="C25" s="11">
        <v>1.78E9</v>
      </c>
      <c r="D25" s="12" t="s">
        <v>74</v>
      </c>
      <c r="E25" s="9" t="s">
        <v>71</v>
      </c>
      <c r="F25" s="11">
        <v>1.454E9</v>
      </c>
    </row>
    <row r="26">
      <c r="A26" s="5">
        <v>25.0</v>
      </c>
      <c r="B26" s="5" t="s">
        <v>75</v>
      </c>
      <c r="C26" s="11">
        <v>1.833E9</v>
      </c>
      <c r="D26" s="12" t="s">
        <v>74</v>
      </c>
      <c r="E26" s="9" t="s">
        <v>72</v>
      </c>
      <c r="F26" s="11">
        <v>1.678E9</v>
      </c>
    </row>
    <row r="27">
      <c r="A27" s="5">
        <v>26.0</v>
      </c>
      <c r="B27" s="5" t="s">
        <v>75</v>
      </c>
      <c r="C27" s="11">
        <v>1.623E9</v>
      </c>
      <c r="D27" s="12" t="s">
        <v>74</v>
      </c>
      <c r="E27" s="9" t="s">
        <v>73</v>
      </c>
      <c r="F27" s="11">
        <v>1.374E9</v>
      </c>
    </row>
    <row r="28">
      <c r="A28" s="5">
        <v>27.0</v>
      </c>
      <c r="B28" s="5" t="s">
        <v>77</v>
      </c>
      <c r="C28" s="11">
        <v>1.02E8</v>
      </c>
      <c r="D28" s="12" t="s">
        <v>76</v>
      </c>
      <c r="E28" s="9" t="s">
        <v>60</v>
      </c>
      <c r="F28" s="11">
        <v>1.93E8</v>
      </c>
    </row>
    <row r="29">
      <c r="A29" s="5">
        <v>28.0</v>
      </c>
      <c r="B29" s="5" t="s">
        <v>77</v>
      </c>
      <c r="C29" s="11">
        <v>1.0E8</v>
      </c>
      <c r="D29" s="12" t="s">
        <v>76</v>
      </c>
      <c r="E29" s="9" t="s">
        <v>62</v>
      </c>
      <c r="F29" s="11">
        <v>1.94E8</v>
      </c>
    </row>
    <row r="30">
      <c r="A30" s="5">
        <v>29.0</v>
      </c>
      <c r="B30" s="5" t="s">
        <v>77</v>
      </c>
      <c r="C30" s="11">
        <v>1.11E8</v>
      </c>
      <c r="D30" s="12" t="s">
        <v>76</v>
      </c>
      <c r="E30" s="9" t="s">
        <v>63</v>
      </c>
      <c r="F30" s="11">
        <v>2.48E8</v>
      </c>
    </row>
    <row r="31">
      <c r="A31" s="5">
        <v>30.0</v>
      </c>
      <c r="B31" s="5" t="s">
        <v>77</v>
      </c>
      <c r="C31" s="11">
        <v>1.12E8</v>
      </c>
      <c r="D31" s="12" t="s">
        <v>76</v>
      </c>
      <c r="E31" s="9" t="s">
        <v>64</v>
      </c>
      <c r="F31" s="11">
        <v>2.55E8</v>
      </c>
    </row>
    <row r="32">
      <c r="A32" s="5">
        <v>31.0</v>
      </c>
      <c r="B32" s="5" t="s">
        <v>77</v>
      </c>
      <c r="C32" s="11">
        <v>1.78E8</v>
      </c>
      <c r="D32" s="12" t="s">
        <v>76</v>
      </c>
      <c r="E32" s="9" t="s">
        <v>65</v>
      </c>
      <c r="F32" s="11">
        <v>3.41E8</v>
      </c>
    </row>
    <row r="33">
      <c r="A33" s="5">
        <v>32.0</v>
      </c>
      <c r="B33" s="5" t="s">
        <v>77</v>
      </c>
      <c r="C33" s="11">
        <v>4.77E8</v>
      </c>
      <c r="D33" s="12" t="s">
        <v>76</v>
      </c>
      <c r="E33" s="9" t="s">
        <v>66</v>
      </c>
      <c r="F33" s="11">
        <v>6.6E8</v>
      </c>
    </row>
    <row r="34">
      <c r="A34" s="5">
        <v>33.0</v>
      </c>
      <c r="B34" s="5" t="s">
        <v>77</v>
      </c>
      <c r="C34" s="11">
        <v>3.93E8</v>
      </c>
      <c r="D34" s="12" t="s">
        <v>76</v>
      </c>
      <c r="E34" s="9" t="s">
        <v>67</v>
      </c>
      <c r="F34" s="11">
        <v>4.14E8</v>
      </c>
    </row>
    <row r="35">
      <c r="A35" s="5">
        <v>34.0</v>
      </c>
      <c r="B35" s="5" t="s">
        <v>77</v>
      </c>
      <c r="C35" s="11">
        <v>3.32E8</v>
      </c>
      <c r="D35" s="12" t="s">
        <v>76</v>
      </c>
      <c r="E35" s="9" t="s">
        <v>68</v>
      </c>
      <c r="F35" s="11">
        <v>5.04E8</v>
      </c>
    </row>
    <row r="36">
      <c r="A36" s="5">
        <v>35.0</v>
      </c>
      <c r="B36" s="5" t="s">
        <v>77</v>
      </c>
      <c r="C36" s="11">
        <v>4.74E8</v>
      </c>
      <c r="D36" s="12" t="s">
        <v>76</v>
      </c>
      <c r="E36" s="9" t="s">
        <v>69</v>
      </c>
      <c r="F36" s="11">
        <v>6.17E8</v>
      </c>
    </row>
    <row r="37">
      <c r="A37" s="5">
        <v>36.0</v>
      </c>
      <c r="B37" s="5" t="s">
        <v>77</v>
      </c>
      <c r="C37" s="11">
        <v>3.81E8</v>
      </c>
      <c r="D37" s="12" t="s">
        <v>76</v>
      </c>
      <c r="E37" s="9" t="s">
        <v>70</v>
      </c>
      <c r="F37" s="11">
        <v>5.74E8</v>
      </c>
    </row>
    <row r="38">
      <c r="A38" s="5">
        <v>37.0</v>
      </c>
      <c r="B38" s="5" t="s">
        <v>77</v>
      </c>
      <c r="C38" s="11">
        <v>3.23E8</v>
      </c>
      <c r="D38" s="12" t="s">
        <v>76</v>
      </c>
      <c r="E38" s="9" t="s">
        <v>71</v>
      </c>
      <c r="F38" s="11">
        <v>7.37E8</v>
      </c>
    </row>
    <row r="39">
      <c r="A39" s="5">
        <v>38.0</v>
      </c>
      <c r="B39" s="5" t="s">
        <v>77</v>
      </c>
      <c r="C39" s="11">
        <v>3.0E8</v>
      </c>
      <c r="D39" s="12" t="s">
        <v>76</v>
      </c>
      <c r="E39" s="9" t="s">
        <v>72</v>
      </c>
      <c r="F39" s="11">
        <v>5.71E8</v>
      </c>
    </row>
    <row r="40">
      <c r="A40" s="5">
        <v>39.0</v>
      </c>
      <c r="B40" s="5" t="s">
        <v>77</v>
      </c>
      <c r="C40" s="11">
        <v>2.95E8</v>
      </c>
      <c r="D40" s="12" t="s">
        <v>76</v>
      </c>
      <c r="E40" s="9" t="s">
        <v>73</v>
      </c>
      <c r="F40" s="11">
        <v>5.59E8</v>
      </c>
    </row>
    <row r="41">
      <c r="A41" s="5">
        <v>40.0</v>
      </c>
      <c r="B41" s="5" t="s">
        <v>80</v>
      </c>
      <c r="C41" s="8"/>
      <c r="D41" s="12" t="s">
        <v>79</v>
      </c>
      <c r="E41" s="9" t="s">
        <v>60</v>
      </c>
      <c r="F41" s="8"/>
    </row>
    <row r="42">
      <c r="A42" s="5">
        <v>41.0</v>
      </c>
      <c r="B42" s="5" t="s">
        <v>80</v>
      </c>
      <c r="C42" s="8"/>
      <c r="D42" s="12" t="s">
        <v>79</v>
      </c>
      <c r="E42" s="9" t="s">
        <v>62</v>
      </c>
      <c r="F42" s="8"/>
    </row>
    <row r="43">
      <c r="A43" s="5">
        <v>42.0</v>
      </c>
      <c r="B43" s="5" t="s">
        <v>80</v>
      </c>
      <c r="C43" s="8"/>
      <c r="D43" s="12" t="s">
        <v>79</v>
      </c>
      <c r="E43" s="9" t="s">
        <v>63</v>
      </c>
      <c r="F43" s="8"/>
    </row>
    <row r="44">
      <c r="A44" s="5">
        <v>43.0</v>
      </c>
      <c r="B44" s="5" t="s">
        <v>80</v>
      </c>
      <c r="C44" s="8"/>
      <c r="D44" s="12" t="s">
        <v>79</v>
      </c>
      <c r="E44" s="9" t="s">
        <v>64</v>
      </c>
      <c r="F44" s="8"/>
    </row>
    <row r="45">
      <c r="A45" s="5">
        <v>44.0</v>
      </c>
      <c r="B45" s="5" t="s">
        <v>80</v>
      </c>
      <c r="C45" s="8"/>
      <c r="D45" s="12" t="s">
        <v>79</v>
      </c>
      <c r="E45" s="9" t="s">
        <v>65</v>
      </c>
      <c r="F45" s="8"/>
    </row>
    <row r="46">
      <c r="A46" s="5">
        <v>45.0</v>
      </c>
      <c r="B46" s="5" t="s">
        <v>80</v>
      </c>
      <c r="C46" s="8"/>
      <c r="D46" s="12" t="s">
        <v>79</v>
      </c>
      <c r="E46" s="9" t="s">
        <v>66</v>
      </c>
      <c r="F46" s="8"/>
    </row>
    <row r="47">
      <c r="A47" s="5">
        <v>46.0</v>
      </c>
      <c r="B47" s="5" t="s">
        <v>80</v>
      </c>
      <c r="C47" s="8"/>
      <c r="D47" s="12" t="s">
        <v>79</v>
      </c>
      <c r="E47" s="9" t="s">
        <v>67</v>
      </c>
      <c r="F47" s="8"/>
    </row>
    <row r="48">
      <c r="A48" s="5">
        <v>47.0</v>
      </c>
      <c r="B48" s="5" t="s">
        <v>80</v>
      </c>
      <c r="C48" s="8"/>
      <c r="D48" s="12" t="s">
        <v>79</v>
      </c>
      <c r="E48" s="9" t="s">
        <v>68</v>
      </c>
      <c r="F48" s="8"/>
    </row>
    <row r="49">
      <c r="A49" s="5">
        <v>48.0</v>
      </c>
      <c r="B49" s="5" t="s">
        <v>80</v>
      </c>
      <c r="C49" s="8"/>
      <c r="D49" s="12" t="s">
        <v>79</v>
      </c>
      <c r="E49" s="9" t="s">
        <v>69</v>
      </c>
      <c r="F49" s="8"/>
    </row>
    <row r="50">
      <c r="A50" s="5">
        <v>49.0</v>
      </c>
      <c r="B50" s="5" t="s">
        <v>80</v>
      </c>
      <c r="C50" s="8"/>
      <c r="D50" s="12" t="s">
        <v>79</v>
      </c>
      <c r="E50" s="9" t="s">
        <v>70</v>
      </c>
      <c r="F50" s="8"/>
    </row>
    <row r="51">
      <c r="A51" s="5">
        <v>50.0</v>
      </c>
      <c r="B51" s="5" t="s">
        <v>80</v>
      </c>
      <c r="C51" s="8"/>
      <c r="D51" s="12" t="s">
        <v>79</v>
      </c>
      <c r="E51" s="9" t="s">
        <v>71</v>
      </c>
      <c r="F51" s="8"/>
    </row>
    <row r="52">
      <c r="A52" s="5">
        <v>51.0</v>
      </c>
      <c r="B52" s="5" t="s">
        <v>80</v>
      </c>
      <c r="C52" s="8"/>
      <c r="D52" s="12" t="s">
        <v>79</v>
      </c>
      <c r="E52" s="9" t="s">
        <v>72</v>
      </c>
      <c r="F52" s="8"/>
    </row>
    <row r="53">
      <c r="A53" s="5">
        <v>52.0</v>
      </c>
      <c r="B53" s="5" t="s">
        <v>80</v>
      </c>
      <c r="C53" s="8"/>
      <c r="D53" s="12" t="s">
        <v>79</v>
      </c>
      <c r="E53" s="9" t="s">
        <v>73</v>
      </c>
      <c r="F53" s="8"/>
    </row>
    <row r="54">
      <c r="A54" s="5">
        <v>53.0</v>
      </c>
      <c r="B54" s="5" t="s">
        <v>75</v>
      </c>
      <c r="C54" s="8"/>
      <c r="D54" s="12" t="s">
        <v>81</v>
      </c>
      <c r="E54" s="9" t="s">
        <v>60</v>
      </c>
      <c r="F54" s="8"/>
    </row>
    <row r="55">
      <c r="A55" s="5">
        <v>54.0</v>
      </c>
      <c r="B55" s="5" t="s">
        <v>75</v>
      </c>
      <c r="C55" s="8"/>
      <c r="D55" s="12" t="s">
        <v>81</v>
      </c>
      <c r="E55" s="9" t="s">
        <v>62</v>
      </c>
      <c r="F55" s="8"/>
    </row>
    <row r="56">
      <c r="A56" s="5">
        <v>55.0</v>
      </c>
      <c r="B56" s="5" t="s">
        <v>75</v>
      </c>
      <c r="C56" s="8"/>
      <c r="D56" s="12" t="s">
        <v>81</v>
      </c>
      <c r="E56" s="9" t="s">
        <v>63</v>
      </c>
      <c r="F56" s="8"/>
    </row>
    <row r="57">
      <c r="A57" s="5">
        <v>56.0</v>
      </c>
      <c r="B57" s="5" t="s">
        <v>75</v>
      </c>
      <c r="C57" s="8"/>
      <c r="D57" s="12" t="s">
        <v>81</v>
      </c>
      <c r="E57" s="9" t="s">
        <v>64</v>
      </c>
      <c r="F57" s="8"/>
    </row>
    <row r="58">
      <c r="A58" s="5">
        <v>57.0</v>
      </c>
      <c r="B58" s="5" t="s">
        <v>75</v>
      </c>
      <c r="C58" s="8"/>
      <c r="D58" s="12" t="s">
        <v>81</v>
      </c>
      <c r="E58" s="9" t="s">
        <v>65</v>
      </c>
      <c r="F58" s="8"/>
    </row>
    <row r="59">
      <c r="A59" s="5">
        <v>58.0</v>
      </c>
      <c r="B59" s="5" t="s">
        <v>75</v>
      </c>
      <c r="C59" s="8"/>
      <c r="D59" s="12" t="s">
        <v>81</v>
      </c>
      <c r="E59" s="9" t="s">
        <v>66</v>
      </c>
      <c r="F59" s="8"/>
    </row>
    <row r="60">
      <c r="A60" s="5">
        <v>59.0</v>
      </c>
      <c r="B60" s="5" t="s">
        <v>75</v>
      </c>
      <c r="C60" s="8"/>
      <c r="D60" s="12" t="s">
        <v>81</v>
      </c>
      <c r="E60" s="9" t="s">
        <v>67</v>
      </c>
      <c r="F60" s="8"/>
    </row>
    <row r="61">
      <c r="A61" s="5">
        <v>60.0</v>
      </c>
      <c r="B61" s="5" t="s">
        <v>75</v>
      </c>
      <c r="C61" s="8"/>
      <c r="D61" s="12" t="s">
        <v>81</v>
      </c>
      <c r="E61" s="9" t="s">
        <v>68</v>
      </c>
      <c r="F61" s="8"/>
    </row>
    <row r="62">
      <c r="A62" s="5">
        <v>61.0</v>
      </c>
      <c r="B62" s="5" t="s">
        <v>75</v>
      </c>
      <c r="C62" s="8"/>
      <c r="D62" s="12" t="s">
        <v>81</v>
      </c>
      <c r="E62" s="9" t="s">
        <v>69</v>
      </c>
      <c r="F62" s="8"/>
    </row>
    <row r="63">
      <c r="A63" s="5">
        <v>62.0</v>
      </c>
      <c r="B63" s="5" t="s">
        <v>75</v>
      </c>
      <c r="C63" s="8"/>
      <c r="D63" s="12" t="s">
        <v>81</v>
      </c>
      <c r="E63" s="9" t="s">
        <v>70</v>
      </c>
      <c r="F63" s="8"/>
    </row>
    <row r="64">
      <c r="A64" s="5">
        <v>63.0</v>
      </c>
      <c r="B64" s="5" t="s">
        <v>75</v>
      </c>
      <c r="C64" s="8"/>
      <c r="D64" s="12" t="s">
        <v>81</v>
      </c>
      <c r="E64" s="9" t="s">
        <v>71</v>
      </c>
      <c r="F64" s="8"/>
    </row>
    <row r="65">
      <c r="A65" s="5">
        <v>64.0</v>
      </c>
      <c r="B65" s="5" t="s">
        <v>75</v>
      </c>
      <c r="C65" s="8"/>
      <c r="D65" s="12" t="s">
        <v>81</v>
      </c>
      <c r="E65" s="9" t="s">
        <v>72</v>
      </c>
      <c r="F65" s="8"/>
    </row>
    <row r="66">
      <c r="A66" s="5">
        <v>65.0</v>
      </c>
      <c r="B66" s="5" t="s">
        <v>75</v>
      </c>
      <c r="C66" s="8"/>
      <c r="D66" s="12" t="s">
        <v>81</v>
      </c>
      <c r="E66" s="9" t="s">
        <v>73</v>
      </c>
      <c r="F66" s="8"/>
    </row>
    <row r="67">
      <c r="A67" s="5">
        <v>66.0</v>
      </c>
      <c r="B67" s="5" t="s">
        <v>77</v>
      </c>
      <c r="C67" s="11">
        <v>3.4E7</v>
      </c>
      <c r="D67" s="12" t="s">
        <v>82</v>
      </c>
      <c r="E67" s="9" t="s">
        <v>60</v>
      </c>
      <c r="F67" s="11">
        <v>1.46E8</v>
      </c>
    </row>
    <row r="68">
      <c r="A68" s="5">
        <v>67.0</v>
      </c>
      <c r="B68" s="5" t="s">
        <v>77</v>
      </c>
      <c r="C68" s="11">
        <v>3.5E7</v>
      </c>
      <c r="D68" s="12" t="s">
        <v>82</v>
      </c>
      <c r="E68" s="9" t="s">
        <v>62</v>
      </c>
      <c r="F68" s="11">
        <v>8.0E7</v>
      </c>
    </row>
    <row r="69">
      <c r="A69" s="5">
        <v>68.0</v>
      </c>
      <c r="B69" s="5" t="s">
        <v>77</v>
      </c>
      <c r="C69" s="11">
        <v>5.1E7</v>
      </c>
      <c r="D69" s="12" t="s">
        <v>82</v>
      </c>
      <c r="E69" s="9" t="s">
        <v>63</v>
      </c>
      <c r="F69" s="11">
        <v>5.2E7</v>
      </c>
    </row>
    <row r="70">
      <c r="A70" s="5">
        <v>69.0</v>
      </c>
      <c r="B70" s="5" t="s">
        <v>77</v>
      </c>
      <c r="C70" s="11">
        <v>6.3E7</v>
      </c>
      <c r="D70" s="12" t="s">
        <v>82</v>
      </c>
      <c r="E70" s="9" t="s">
        <v>64</v>
      </c>
      <c r="F70" s="11">
        <v>4.9E7</v>
      </c>
    </row>
    <row r="71">
      <c r="A71" s="5">
        <v>70.0</v>
      </c>
      <c r="B71" s="5" t="s">
        <v>77</v>
      </c>
      <c r="C71" s="11">
        <v>8.2E7</v>
      </c>
      <c r="D71" s="12" t="s">
        <v>82</v>
      </c>
      <c r="E71" s="9" t="s">
        <v>65</v>
      </c>
      <c r="F71" s="11">
        <v>8.6E7</v>
      </c>
    </row>
    <row r="72">
      <c r="A72" s="5">
        <v>71.0</v>
      </c>
      <c r="B72" s="5" t="s">
        <v>77</v>
      </c>
      <c r="C72" s="11">
        <v>1.03E8</v>
      </c>
      <c r="D72" s="12" t="s">
        <v>82</v>
      </c>
      <c r="E72" s="9" t="s">
        <v>66</v>
      </c>
      <c r="F72" s="11">
        <v>1.35E8</v>
      </c>
    </row>
    <row r="73">
      <c r="A73" s="5">
        <v>72.0</v>
      </c>
      <c r="B73" s="5" t="s">
        <v>77</v>
      </c>
      <c r="C73" s="11">
        <v>9.1E7</v>
      </c>
      <c r="D73" s="12" t="s">
        <v>82</v>
      </c>
      <c r="E73" s="9" t="s">
        <v>67</v>
      </c>
      <c r="F73" s="11">
        <v>3.93E8</v>
      </c>
    </row>
    <row r="74">
      <c r="A74" s="5">
        <v>73.0</v>
      </c>
      <c r="B74" s="5" t="s">
        <v>77</v>
      </c>
      <c r="C74" s="11">
        <v>2.36E8</v>
      </c>
      <c r="D74" s="12" t="s">
        <v>82</v>
      </c>
      <c r="E74" s="9" t="s">
        <v>68</v>
      </c>
      <c r="F74" s="11">
        <v>4.73E8</v>
      </c>
    </row>
    <row r="75">
      <c r="A75" s="5">
        <v>74.0</v>
      </c>
      <c r="B75" s="5" t="s">
        <v>77</v>
      </c>
      <c r="C75" s="11">
        <v>2.93E8</v>
      </c>
      <c r="D75" s="12" t="s">
        <v>82</v>
      </c>
      <c r="E75" s="9" t="s">
        <v>69</v>
      </c>
      <c r="F75" s="11">
        <v>4.47E8</v>
      </c>
    </row>
    <row r="76">
      <c r="A76" s="5">
        <v>75.0</v>
      </c>
      <c r="B76" s="5" t="s">
        <v>77</v>
      </c>
      <c r="C76" s="11">
        <v>5.54E8</v>
      </c>
      <c r="D76" s="12" t="s">
        <v>82</v>
      </c>
      <c r="E76" s="9" t="s">
        <v>70</v>
      </c>
      <c r="F76" s="11">
        <v>2.7E8</v>
      </c>
    </row>
    <row r="77">
      <c r="A77" s="5">
        <v>76.0</v>
      </c>
      <c r="B77" s="5" t="s">
        <v>77</v>
      </c>
      <c r="C77" s="11">
        <v>7.26E8</v>
      </c>
      <c r="D77" s="12" t="s">
        <v>82</v>
      </c>
      <c r="E77" s="9" t="s">
        <v>71</v>
      </c>
      <c r="F77" s="11">
        <v>2.75E8</v>
      </c>
    </row>
    <row r="78">
      <c r="A78" s="5">
        <v>77.0</v>
      </c>
      <c r="B78" s="5" t="s">
        <v>77</v>
      </c>
      <c r="C78" s="11">
        <v>6.53E8</v>
      </c>
      <c r="D78" s="12" t="s">
        <v>82</v>
      </c>
      <c r="E78" s="9" t="s">
        <v>72</v>
      </c>
      <c r="F78" s="11">
        <v>3.23E8</v>
      </c>
    </row>
    <row r="79">
      <c r="A79" s="5">
        <v>78.0</v>
      </c>
      <c r="B79" s="5" t="s">
        <v>77</v>
      </c>
      <c r="C79" s="11">
        <v>7.11E8</v>
      </c>
      <c r="D79" s="12" t="s">
        <v>82</v>
      </c>
      <c r="E79" s="9" t="s">
        <v>73</v>
      </c>
      <c r="F79" s="11">
        <v>2.92E8</v>
      </c>
    </row>
    <row r="80">
      <c r="A80" s="5">
        <v>79.0</v>
      </c>
      <c r="B80" s="5" t="s">
        <v>84</v>
      </c>
      <c r="C80" s="11">
        <v>2.91E8</v>
      </c>
      <c r="D80" s="12" t="s">
        <v>83</v>
      </c>
      <c r="E80" s="9" t="s">
        <v>60</v>
      </c>
      <c r="F80" s="11">
        <v>3.1E7</v>
      </c>
    </row>
    <row r="81">
      <c r="A81" s="5">
        <v>80.0</v>
      </c>
      <c r="B81" s="5" t="s">
        <v>84</v>
      </c>
      <c r="C81" s="11">
        <v>2.72E8</v>
      </c>
      <c r="D81" s="12" t="s">
        <v>83</v>
      </c>
      <c r="E81" s="9" t="s">
        <v>62</v>
      </c>
      <c r="F81" s="11">
        <v>3.2E7</v>
      </c>
    </row>
    <row r="82">
      <c r="A82" s="5">
        <v>81.0</v>
      </c>
      <c r="B82" s="5" t="s">
        <v>84</v>
      </c>
      <c r="C82" s="11">
        <v>2.74E8</v>
      </c>
      <c r="D82" s="12" t="s">
        <v>83</v>
      </c>
      <c r="E82" s="9" t="s">
        <v>63</v>
      </c>
      <c r="F82" s="11">
        <v>3.3E7</v>
      </c>
    </row>
    <row r="83">
      <c r="A83" s="5">
        <v>82.0</v>
      </c>
      <c r="B83" s="5" t="s">
        <v>84</v>
      </c>
      <c r="C83" s="11">
        <v>3.0E8</v>
      </c>
      <c r="D83" s="12" t="s">
        <v>83</v>
      </c>
      <c r="E83" s="9" t="s">
        <v>64</v>
      </c>
      <c r="F83" s="11">
        <v>3.5E7</v>
      </c>
    </row>
    <row r="84">
      <c r="A84" s="5">
        <v>83.0</v>
      </c>
      <c r="B84" s="5" t="s">
        <v>84</v>
      </c>
      <c r="C84" s="11">
        <v>3.37E8</v>
      </c>
      <c r="D84" s="12" t="s">
        <v>83</v>
      </c>
      <c r="E84" s="9" t="s">
        <v>65</v>
      </c>
      <c r="F84" s="11">
        <v>3.8E7</v>
      </c>
    </row>
    <row r="85">
      <c r="A85" s="5">
        <v>84.0</v>
      </c>
      <c r="B85" s="5" t="s">
        <v>84</v>
      </c>
      <c r="C85" s="11">
        <v>3.09E8</v>
      </c>
      <c r="D85" s="12" t="s">
        <v>83</v>
      </c>
      <c r="E85" s="9" t="s">
        <v>66</v>
      </c>
      <c r="F85" s="11">
        <v>4.0E7</v>
      </c>
    </row>
    <row r="86">
      <c r="A86" s="5">
        <v>85.0</v>
      </c>
      <c r="B86" s="5" t="s">
        <v>84</v>
      </c>
      <c r="C86" s="11">
        <v>3.27E8</v>
      </c>
      <c r="D86" s="12" t="s">
        <v>83</v>
      </c>
      <c r="E86" s="9" t="s">
        <v>67</v>
      </c>
      <c r="F86" s="11">
        <v>4.5E7</v>
      </c>
    </row>
    <row r="87">
      <c r="A87" s="5">
        <v>86.0</v>
      </c>
      <c r="B87" s="5" t="s">
        <v>84</v>
      </c>
      <c r="C87" s="11">
        <v>3.38E8</v>
      </c>
      <c r="D87" s="12" t="s">
        <v>83</v>
      </c>
      <c r="E87" s="9" t="s">
        <v>68</v>
      </c>
      <c r="F87" s="11">
        <v>5.2E7</v>
      </c>
    </row>
    <row r="88">
      <c r="A88" s="5">
        <v>87.0</v>
      </c>
      <c r="B88" s="5" t="s">
        <v>84</v>
      </c>
      <c r="C88" s="11">
        <v>3.34E8</v>
      </c>
      <c r="D88" s="12" t="s">
        <v>83</v>
      </c>
      <c r="E88" s="9" t="s">
        <v>69</v>
      </c>
      <c r="F88" s="11">
        <v>5.8E7</v>
      </c>
    </row>
    <row r="89">
      <c r="A89" s="5">
        <v>88.0</v>
      </c>
      <c r="B89" s="5" t="s">
        <v>84</v>
      </c>
      <c r="C89" s="11">
        <v>3.05E8</v>
      </c>
      <c r="D89" s="12" t="s">
        <v>83</v>
      </c>
      <c r="E89" s="9" t="s">
        <v>70</v>
      </c>
      <c r="F89" s="11">
        <v>5.4E7</v>
      </c>
    </row>
    <row r="90">
      <c r="A90" s="5">
        <v>89.0</v>
      </c>
      <c r="B90" s="5" t="s">
        <v>84</v>
      </c>
      <c r="C90" s="11">
        <v>2.98E8</v>
      </c>
      <c r="D90" s="12" t="s">
        <v>83</v>
      </c>
      <c r="E90" s="9" t="s">
        <v>71</v>
      </c>
      <c r="F90" s="11">
        <v>5.2E7</v>
      </c>
    </row>
    <row r="91">
      <c r="A91" s="5">
        <v>90.0</v>
      </c>
      <c r="B91" s="5" t="s">
        <v>84</v>
      </c>
      <c r="C91" s="11">
        <v>3.12E8</v>
      </c>
      <c r="D91" s="12" t="s">
        <v>83</v>
      </c>
      <c r="E91" s="9" t="s">
        <v>72</v>
      </c>
      <c r="F91" s="11">
        <v>5.0E7</v>
      </c>
    </row>
    <row r="92">
      <c r="A92" s="5">
        <v>91.0</v>
      </c>
      <c r="B92" s="5" t="s">
        <v>84</v>
      </c>
      <c r="C92" s="8"/>
      <c r="D92" s="12" t="s">
        <v>83</v>
      </c>
      <c r="E92" s="9" t="s">
        <v>73</v>
      </c>
      <c r="F92" s="8"/>
    </row>
    <row r="93">
      <c r="A93" s="5">
        <v>92.0</v>
      </c>
      <c r="B93" s="5" t="s">
        <v>84</v>
      </c>
      <c r="C93" s="11">
        <v>3.195E9</v>
      </c>
      <c r="D93" s="12" t="s">
        <v>85</v>
      </c>
      <c r="E93" s="9" t="s">
        <v>60</v>
      </c>
      <c r="F93" s="11">
        <v>5.46E9</v>
      </c>
    </row>
    <row r="94">
      <c r="A94" s="5">
        <v>93.0</v>
      </c>
      <c r="B94" s="5" t="s">
        <v>84</v>
      </c>
      <c r="C94" s="11">
        <v>2.756E9</v>
      </c>
      <c r="D94" s="12" t="s">
        <v>85</v>
      </c>
      <c r="E94" s="9" t="s">
        <v>62</v>
      </c>
      <c r="F94" s="11">
        <v>4.888E9</v>
      </c>
    </row>
    <row r="95">
      <c r="A95" s="5">
        <v>94.0</v>
      </c>
      <c r="B95" s="5" t="s">
        <v>84</v>
      </c>
      <c r="C95" s="11">
        <v>1.716E9</v>
      </c>
      <c r="D95" s="12" t="s">
        <v>85</v>
      </c>
      <c r="E95" s="9" t="s">
        <v>63</v>
      </c>
      <c r="F95" s="11">
        <v>2.744E9</v>
      </c>
    </row>
    <row r="96">
      <c r="A96" s="5">
        <v>95.0</v>
      </c>
      <c r="B96" s="5" t="s">
        <v>84</v>
      </c>
      <c r="C96" s="11">
        <v>2.306E9</v>
      </c>
      <c r="D96" s="12" t="s">
        <v>85</v>
      </c>
      <c r="E96" s="9" t="s">
        <v>64</v>
      </c>
      <c r="F96" s="11">
        <v>2.997E9</v>
      </c>
    </row>
    <row r="97">
      <c r="A97" s="5">
        <v>96.0</v>
      </c>
      <c r="B97" s="5" t="s">
        <v>84</v>
      </c>
      <c r="C97" s="11">
        <v>2.66E9</v>
      </c>
      <c r="D97" s="12" t="s">
        <v>85</v>
      </c>
      <c r="E97" s="9" t="s">
        <v>65</v>
      </c>
      <c r="F97" s="11">
        <v>3.208E9</v>
      </c>
    </row>
    <row r="98">
      <c r="A98" s="5">
        <v>97.0</v>
      </c>
      <c r="B98" s="5" t="s">
        <v>84</v>
      </c>
      <c r="C98" s="11">
        <v>3.209E9</v>
      </c>
      <c r="D98" s="12" t="s">
        <v>85</v>
      </c>
      <c r="E98" s="9" t="s">
        <v>66</v>
      </c>
      <c r="F98" s="11">
        <v>3.554E9</v>
      </c>
    </row>
    <row r="99">
      <c r="A99" s="5">
        <v>98.0</v>
      </c>
      <c r="B99" s="5" t="s">
        <v>84</v>
      </c>
      <c r="C99" s="11">
        <v>3.899E9</v>
      </c>
      <c r="D99" s="12" t="s">
        <v>85</v>
      </c>
      <c r="E99" s="9" t="s">
        <v>67</v>
      </c>
      <c r="F99" s="11">
        <v>4.038E9</v>
      </c>
    </row>
    <row r="100">
      <c r="A100" s="5">
        <v>99.0</v>
      </c>
      <c r="B100" s="5" t="s">
        <v>84</v>
      </c>
      <c r="C100" s="11">
        <v>4.984E9</v>
      </c>
      <c r="D100" s="12" t="s">
        <v>85</v>
      </c>
      <c r="E100" s="9" t="s">
        <v>68</v>
      </c>
      <c r="F100" s="11">
        <v>5.063E9</v>
      </c>
    </row>
    <row r="101">
      <c r="A101" s="5">
        <v>100.0</v>
      </c>
      <c r="B101" s="5" t="s">
        <v>84</v>
      </c>
      <c r="C101" s="11">
        <v>5.295E9</v>
      </c>
      <c r="D101" s="12" t="s">
        <v>85</v>
      </c>
      <c r="E101" s="9" t="s">
        <v>69</v>
      </c>
      <c r="F101" s="11">
        <v>5.962E9</v>
      </c>
    </row>
    <row r="102">
      <c r="A102" s="5">
        <v>101.0</v>
      </c>
      <c r="B102" s="5" t="s">
        <v>84</v>
      </c>
      <c r="C102" s="11">
        <v>4.476E9</v>
      </c>
      <c r="D102" s="12" t="s">
        <v>85</v>
      </c>
      <c r="E102" s="9" t="s">
        <v>70</v>
      </c>
      <c r="F102" s="11">
        <v>5.766E9</v>
      </c>
    </row>
    <row r="103">
      <c r="A103" s="5">
        <v>102.0</v>
      </c>
      <c r="B103" s="5" t="s">
        <v>84</v>
      </c>
      <c r="C103" s="11">
        <v>5.629E9</v>
      </c>
      <c r="D103" s="12" t="s">
        <v>85</v>
      </c>
      <c r="E103" s="9" t="s">
        <v>71</v>
      </c>
      <c r="F103" s="11">
        <v>6.375E9</v>
      </c>
    </row>
    <row r="104">
      <c r="A104" s="5">
        <v>103.0</v>
      </c>
      <c r="B104" s="5" t="s">
        <v>84</v>
      </c>
      <c r="C104" s="11">
        <v>6.06E9</v>
      </c>
      <c r="D104" s="12" t="s">
        <v>85</v>
      </c>
      <c r="E104" s="9" t="s">
        <v>72</v>
      </c>
      <c r="F104" s="11">
        <v>7.477E9</v>
      </c>
    </row>
    <row r="105">
      <c r="A105" s="5">
        <v>104.0</v>
      </c>
      <c r="B105" s="5" t="s">
        <v>84</v>
      </c>
      <c r="C105" s="11">
        <v>5.655E9</v>
      </c>
      <c r="D105" s="12" t="s">
        <v>85</v>
      </c>
      <c r="E105" s="9" t="s">
        <v>73</v>
      </c>
      <c r="F105" s="11">
        <v>8.213E9</v>
      </c>
    </row>
    <row r="106">
      <c r="A106" s="5">
        <v>105.0</v>
      </c>
      <c r="B106" s="5" t="s">
        <v>61</v>
      </c>
      <c r="C106" s="11">
        <v>5.2E7</v>
      </c>
      <c r="D106" s="12" t="s">
        <v>86</v>
      </c>
      <c r="E106" s="9" t="s">
        <v>60</v>
      </c>
      <c r="F106" s="11">
        <v>5.6E7</v>
      </c>
    </row>
    <row r="107">
      <c r="A107" s="5">
        <v>106.0</v>
      </c>
      <c r="B107" s="5" t="s">
        <v>61</v>
      </c>
      <c r="C107" s="11">
        <v>8.1E7</v>
      </c>
      <c r="D107" s="12" t="s">
        <v>86</v>
      </c>
      <c r="E107" s="9" t="s">
        <v>62</v>
      </c>
      <c r="F107" s="11">
        <v>5.9E7</v>
      </c>
    </row>
    <row r="108">
      <c r="A108" s="5">
        <v>107.0</v>
      </c>
      <c r="B108" s="5" t="s">
        <v>61</v>
      </c>
      <c r="C108" s="11">
        <v>8.1E7</v>
      </c>
      <c r="D108" s="12" t="s">
        <v>86</v>
      </c>
      <c r="E108" s="9" t="s">
        <v>63</v>
      </c>
      <c r="F108" s="11">
        <v>8.5E7</v>
      </c>
    </row>
    <row r="109">
      <c r="A109" s="5">
        <v>108.0</v>
      </c>
      <c r="B109" s="5" t="s">
        <v>61</v>
      </c>
      <c r="C109" s="11">
        <v>9.0E7</v>
      </c>
      <c r="D109" s="12" t="s">
        <v>86</v>
      </c>
      <c r="E109" s="9" t="s">
        <v>64</v>
      </c>
      <c r="F109" s="11">
        <v>9.7E7</v>
      </c>
    </row>
    <row r="110">
      <c r="A110" s="5">
        <v>109.0</v>
      </c>
      <c r="B110" s="5" t="s">
        <v>61</v>
      </c>
      <c r="C110" s="11">
        <v>1.88E8</v>
      </c>
      <c r="D110" s="12" t="s">
        <v>86</v>
      </c>
      <c r="E110" s="9" t="s">
        <v>65</v>
      </c>
      <c r="F110" s="11">
        <v>2.16E8</v>
      </c>
    </row>
    <row r="111">
      <c r="A111" s="5">
        <v>110.0</v>
      </c>
      <c r="B111" s="5" t="s">
        <v>61</v>
      </c>
      <c r="C111" s="11">
        <v>2.4E8</v>
      </c>
      <c r="D111" s="12" t="s">
        <v>86</v>
      </c>
      <c r="E111" s="9" t="s">
        <v>66</v>
      </c>
      <c r="F111" s="11">
        <v>2.84E8</v>
      </c>
    </row>
    <row r="112">
      <c r="A112" s="5">
        <v>111.0</v>
      </c>
      <c r="B112" s="5" t="s">
        <v>61</v>
      </c>
      <c r="C112" s="11">
        <v>3.07E8</v>
      </c>
      <c r="D112" s="12" t="s">
        <v>86</v>
      </c>
      <c r="E112" s="9" t="s">
        <v>67</v>
      </c>
      <c r="F112" s="11">
        <v>3.21E8</v>
      </c>
    </row>
    <row r="113">
      <c r="A113" s="5">
        <v>112.0</v>
      </c>
      <c r="B113" s="5" t="s">
        <v>61</v>
      </c>
      <c r="C113" s="11">
        <v>3.43E8</v>
      </c>
      <c r="D113" s="12" t="s">
        <v>86</v>
      </c>
      <c r="E113" s="9" t="s">
        <v>68</v>
      </c>
      <c r="F113" s="11">
        <v>3.45E8</v>
      </c>
    </row>
    <row r="114">
      <c r="A114" s="5">
        <v>113.0</v>
      </c>
      <c r="B114" s="5" t="s">
        <v>61</v>
      </c>
      <c r="C114" s="11">
        <v>3.77E8</v>
      </c>
      <c r="D114" s="12" t="s">
        <v>86</v>
      </c>
      <c r="E114" s="9" t="s">
        <v>69</v>
      </c>
      <c r="F114" s="11">
        <v>3.83E8</v>
      </c>
    </row>
    <row r="115">
      <c r="A115" s="5">
        <v>114.0</v>
      </c>
      <c r="B115" s="5" t="s">
        <v>61</v>
      </c>
      <c r="C115" s="11">
        <v>3.74E8</v>
      </c>
      <c r="D115" s="12" t="s">
        <v>86</v>
      </c>
      <c r="E115" s="9" t="s">
        <v>70</v>
      </c>
      <c r="F115" s="11">
        <v>3.79E8</v>
      </c>
    </row>
    <row r="116">
      <c r="A116" s="5">
        <v>115.0</v>
      </c>
      <c r="B116" s="5" t="s">
        <v>61</v>
      </c>
      <c r="C116" s="11">
        <v>4.56E8</v>
      </c>
      <c r="D116" s="12" t="s">
        <v>86</v>
      </c>
      <c r="E116" s="9" t="s">
        <v>71</v>
      </c>
      <c r="F116" s="11">
        <v>4.66E8</v>
      </c>
    </row>
    <row r="117">
      <c r="A117" s="5">
        <v>116.0</v>
      </c>
      <c r="B117" s="5" t="s">
        <v>61</v>
      </c>
      <c r="C117" s="11">
        <v>4.86E8</v>
      </c>
      <c r="D117" s="12" t="s">
        <v>86</v>
      </c>
      <c r="E117" s="9" t="s">
        <v>72</v>
      </c>
      <c r="F117" s="11">
        <v>5.46E8</v>
      </c>
    </row>
    <row r="118">
      <c r="A118" s="5">
        <v>117.0</v>
      </c>
      <c r="B118" s="5" t="s">
        <v>61</v>
      </c>
      <c r="C118" s="11">
        <v>4.87E8</v>
      </c>
      <c r="D118" s="12" t="s">
        <v>86</v>
      </c>
      <c r="E118" s="9" t="s">
        <v>73</v>
      </c>
      <c r="F118" s="11">
        <v>5.56E8</v>
      </c>
    </row>
    <row r="119">
      <c r="A119" s="5">
        <v>118.0</v>
      </c>
      <c r="B119" s="5" t="s">
        <v>84</v>
      </c>
      <c r="C119" s="11">
        <v>8.5E8</v>
      </c>
      <c r="D119" s="12" t="s">
        <v>87</v>
      </c>
      <c r="E119" s="9" t="s">
        <v>60</v>
      </c>
      <c r="F119" s="11">
        <v>1.63E8</v>
      </c>
    </row>
    <row r="120">
      <c r="A120" s="5">
        <v>119.0</v>
      </c>
      <c r="B120" s="5" t="s">
        <v>84</v>
      </c>
      <c r="C120" s="11">
        <v>8.25E8</v>
      </c>
      <c r="D120" s="12" t="s">
        <v>87</v>
      </c>
      <c r="E120" s="9" t="s">
        <v>62</v>
      </c>
      <c r="F120" s="11">
        <v>1.56E8</v>
      </c>
    </row>
    <row r="121">
      <c r="A121" s="5">
        <v>120.0</v>
      </c>
      <c r="B121" s="5" t="s">
        <v>84</v>
      </c>
      <c r="C121" s="11">
        <v>8.35E8</v>
      </c>
      <c r="D121" s="12" t="s">
        <v>87</v>
      </c>
      <c r="E121" s="9" t="s">
        <v>63</v>
      </c>
      <c r="F121" s="11">
        <v>1.72E8</v>
      </c>
    </row>
    <row r="122">
      <c r="A122" s="5">
        <v>121.0</v>
      </c>
      <c r="B122" s="5" t="s">
        <v>84</v>
      </c>
      <c r="C122" s="11">
        <v>8.58E8</v>
      </c>
      <c r="D122" s="12" t="s">
        <v>87</v>
      </c>
      <c r="E122" s="9" t="s">
        <v>64</v>
      </c>
      <c r="F122" s="11">
        <v>2.13E8</v>
      </c>
    </row>
    <row r="123">
      <c r="A123" s="5">
        <v>122.0</v>
      </c>
      <c r="B123" s="5" t="s">
        <v>84</v>
      </c>
      <c r="C123" s="11">
        <v>1.056E9</v>
      </c>
      <c r="D123" s="12" t="s">
        <v>87</v>
      </c>
      <c r="E123" s="9" t="s">
        <v>65</v>
      </c>
      <c r="F123" s="11">
        <v>2.48E8</v>
      </c>
    </row>
    <row r="124">
      <c r="A124" s="5">
        <v>123.0</v>
      </c>
      <c r="B124" s="5" t="s">
        <v>84</v>
      </c>
      <c r="C124" s="11">
        <v>1.097E9</v>
      </c>
      <c r="D124" s="12" t="s">
        <v>87</v>
      </c>
      <c r="E124" s="9" t="s">
        <v>66</v>
      </c>
      <c r="F124" s="11">
        <v>2.5E8</v>
      </c>
    </row>
    <row r="125">
      <c r="A125" s="5">
        <v>124.0</v>
      </c>
      <c r="B125" s="5" t="s">
        <v>84</v>
      </c>
      <c r="C125" s="11">
        <v>1.064E9</v>
      </c>
      <c r="D125" s="12" t="s">
        <v>87</v>
      </c>
      <c r="E125" s="9" t="s">
        <v>67</v>
      </c>
      <c r="F125" s="11">
        <v>2.41E8</v>
      </c>
    </row>
    <row r="126">
      <c r="A126" s="5">
        <v>125.0</v>
      </c>
      <c r="B126" s="5" t="s">
        <v>84</v>
      </c>
      <c r="C126" s="11">
        <v>1.213E9</v>
      </c>
      <c r="D126" s="12" t="s">
        <v>87</v>
      </c>
      <c r="E126" s="9" t="s">
        <v>68</v>
      </c>
      <c r="F126" s="11">
        <v>2.7E8</v>
      </c>
    </row>
    <row r="127">
      <c r="A127" s="5">
        <v>126.0</v>
      </c>
      <c r="B127" s="5" t="s">
        <v>84</v>
      </c>
      <c r="C127" s="11">
        <v>1.353E9</v>
      </c>
      <c r="D127" s="12" t="s">
        <v>87</v>
      </c>
      <c r="E127" s="9" t="s">
        <v>69</v>
      </c>
      <c r="F127" s="11">
        <v>2.73E8</v>
      </c>
    </row>
    <row r="128">
      <c r="A128" s="5">
        <v>127.0</v>
      </c>
      <c r="B128" s="5" t="s">
        <v>84</v>
      </c>
      <c r="C128" s="11">
        <v>1.224E9</v>
      </c>
      <c r="D128" s="12" t="s">
        <v>87</v>
      </c>
      <c r="E128" s="9" t="s">
        <v>70</v>
      </c>
      <c r="F128" s="11">
        <v>2.65E8</v>
      </c>
    </row>
    <row r="129">
      <c r="A129" s="5">
        <v>128.0</v>
      </c>
      <c r="B129" s="5" t="s">
        <v>84</v>
      </c>
      <c r="C129" s="11">
        <v>1.256E9</v>
      </c>
      <c r="D129" s="12" t="s">
        <v>87</v>
      </c>
      <c r="E129" s="9" t="s">
        <v>71</v>
      </c>
      <c r="F129" s="11">
        <v>2.64E8</v>
      </c>
    </row>
    <row r="130">
      <c r="A130" s="5">
        <v>129.0</v>
      </c>
      <c r="B130" s="5" t="s">
        <v>84</v>
      </c>
      <c r="C130" s="11">
        <v>1.36E9</v>
      </c>
      <c r="D130" s="12" t="s">
        <v>87</v>
      </c>
      <c r="E130" s="9" t="s">
        <v>72</v>
      </c>
      <c r="F130" s="11">
        <v>2.89E8</v>
      </c>
    </row>
    <row r="131">
      <c r="A131" s="5">
        <v>130.0</v>
      </c>
      <c r="B131" s="5" t="s">
        <v>84</v>
      </c>
      <c r="C131" s="11">
        <v>1.414E9</v>
      </c>
      <c r="D131" s="12" t="s">
        <v>87</v>
      </c>
      <c r="E131" s="9" t="s">
        <v>73</v>
      </c>
      <c r="F131" s="11">
        <v>2.96E8</v>
      </c>
    </row>
    <row r="132">
      <c r="A132" s="5">
        <v>131.0</v>
      </c>
      <c r="B132" s="5" t="s">
        <v>80</v>
      </c>
      <c r="C132" s="11">
        <v>1.3016E10</v>
      </c>
      <c r="D132" s="12" t="s">
        <v>88</v>
      </c>
      <c r="E132" s="9" t="s">
        <v>60</v>
      </c>
      <c r="F132" s="11">
        <v>8.78E9</v>
      </c>
    </row>
    <row r="133">
      <c r="A133" s="5">
        <v>132.0</v>
      </c>
      <c r="B133" s="5" t="s">
        <v>80</v>
      </c>
      <c r="C133" s="11">
        <v>1.2804E10</v>
      </c>
      <c r="D133" s="12" t="s">
        <v>88</v>
      </c>
      <c r="E133" s="9" t="s">
        <v>62</v>
      </c>
      <c r="F133" s="11">
        <v>8.053E9</v>
      </c>
    </row>
    <row r="134">
      <c r="A134" s="5">
        <v>133.0</v>
      </c>
      <c r="B134" s="5" t="s">
        <v>80</v>
      </c>
      <c r="C134" s="11">
        <v>1.3624E10</v>
      </c>
      <c r="D134" s="12" t="s">
        <v>88</v>
      </c>
      <c r="E134" s="9" t="s">
        <v>63</v>
      </c>
      <c r="F134" s="11">
        <v>8.494E9</v>
      </c>
    </row>
    <row r="135">
      <c r="A135" s="5">
        <v>134.0</v>
      </c>
      <c r="B135" s="5" t="s">
        <v>80</v>
      </c>
      <c r="C135" s="11">
        <v>1.6647E10</v>
      </c>
      <c r="D135" s="12" t="s">
        <v>88</v>
      </c>
      <c r="E135" s="9" t="s">
        <v>64</v>
      </c>
      <c r="F135" s="11">
        <v>1.0135E10</v>
      </c>
    </row>
    <row r="136">
      <c r="A136" s="5">
        <v>135.0</v>
      </c>
      <c r="B136" s="5" t="s">
        <v>80</v>
      </c>
      <c r="C136" s="11">
        <v>2.0453E10</v>
      </c>
      <c r="D136" s="12" t="s">
        <v>88</v>
      </c>
      <c r="E136" s="9" t="s">
        <v>65</v>
      </c>
      <c r="F136" s="11">
        <v>1.4224E10</v>
      </c>
    </row>
    <row r="137">
      <c r="A137" s="5">
        <v>136.0</v>
      </c>
      <c r="B137" s="5" t="s">
        <v>80</v>
      </c>
      <c r="C137" s="11">
        <v>1.982E10</v>
      </c>
      <c r="D137" s="12" t="s">
        <v>88</v>
      </c>
      <c r="E137" s="9" t="s">
        <v>66</v>
      </c>
      <c r="F137" s="11">
        <v>1.5656E10</v>
      </c>
    </row>
    <row r="138">
      <c r="A138" s="5">
        <v>137.0</v>
      </c>
      <c r="B138" s="5" t="s">
        <v>80</v>
      </c>
      <c r="C138" s="11">
        <v>2.0726E10</v>
      </c>
      <c r="D138" s="12" t="s">
        <v>88</v>
      </c>
      <c r="E138" s="9" t="s">
        <v>67</v>
      </c>
      <c r="F138" s="11">
        <v>1.6446E10</v>
      </c>
    </row>
    <row r="139">
      <c r="A139" s="5">
        <v>138.0</v>
      </c>
      <c r="B139" s="5" t="s">
        <v>80</v>
      </c>
      <c r="C139" s="11">
        <v>2.5624E10</v>
      </c>
      <c r="D139" s="12" t="s">
        <v>88</v>
      </c>
      <c r="E139" s="9" t="s">
        <v>68</v>
      </c>
      <c r="F139" s="11">
        <v>2.0429E10</v>
      </c>
    </row>
    <row r="140">
      <c r="A140" s="5">
        <v>139.0</v>
      </c>
      <c r="B140" s="5" t="s">
        <v>80</v>
      </c>
      <c r="C140" s="11">
        <v>2.8306E10</v>
      </c>
      <c r="D140" s="12" t="s">
        <v>88</v>
      </c>
      <c r="E140" s="9" t="s">
        <v>69</v>
      </c>
      <c r="F140" s="11">
        <v>2.4689E10</v>
      </c>
    </row>
    <row r="141">
      <c r="A141" s="5">
        <v>140.0</v>
      </c>
      <c r="B141" s="5" t="s">
        <v>80</v>
      </c>
      <c r="C141" s="11">
        <v>2.8022E10</v>
      </c>
      <c r="D141" s="12" t="s">
        <v>88</v>
      </c>
      <c r="E141" s="9" t="s">
        <v>70</v>
      </c>
      <c r="F141" s="11">
        <v>2.1891E10</v>
      </c>
    </row>
    <row r="142">
      <c r="A142" s="5">
        <v>141.0</v>
      </c>
      <c r="B142" s="5" t="s">
        <v>80</v>
      </c>
      <c r="C142" s="11">
        <v>3.2336E10</v>
      </c>
      <c r="D142" s="12" t="s">
        <v>88</v>
      </c>
      <c r="E142" s="9" t="s">
        <v>71</v>
      </c>
      <c r="F142" s="11">
        <v>2.7534E10</v>
      </c>
    </row>
    <row r="143">
      <c r="A143" s="5">
        <v>142.0</v>
      </c>
      <c r="B143" s="5" t="s">
        <v>80</v>
      </c>
      <c r="C143" s="11">
        <v>3.4207E10</v>
      </c>
      <c r="D143" s="12" t="s">
        <v>88</v>
      </c>
      <c r="E143" s="9" t="s">
        <v>72</v>
      </c>
      <c r="F143" s="11">
        <v>3.3328E10</v>
      </c>
    </row>
    <row r="144">
      <c r="A144" s="5">
        <v>143.0</v>
      </c>
      <c r="B144" s="5" t="s">
        <v>80</v>
      </c>
      <c r="C144" s="11">
        <v>3.413E10</v>
      </c>
      <c r="D144" s="12" t="s">
        <v>88</v>
      </c>
      <c r="E144" s="9" t="s">
        <v>73</v>
      </c>
      <c r="F144" s="11">
        <v>3.4704E10</v>
      </c>
    </row>
    <row r="145">
      <c r="A145" s="5">
        <v>144.0</v>
      </c>
      <c r="B145" s="5" t="s">
        <v>75</v>
      </c>
      <c r="C145" s="11">
        <v>1.1382E10</v>
      </c>
      <c r="D145" s="12" t="s">
        <v>89</v>
      </c>
      <c r="E145" s="9" t="s">
        <v>60</v>
      </c>
      <c r="F145" s="11">
        <v>7.001E9</v>
      </c>
    </row>
    <row r="146">
      <c r="A146" s="5">
        <v>145.0</v>
      </c>
      <c r="B146" s="5" t="s">
        <v>75</v>
      </c>
      <c r="C146" s="11">
        <v>1.1511E10</v>
      </c>
      <c r="D146" s="12" t="s">
        <v>89</v>
      </c>
      <c r="E146" s="9" t="s">
        <v>62</v>
      </c>
      <c r="F146" s="11">
        <v>7.408E9</v>
      </c>
    </row>
    <row r="147">
      <c r="A147" s="5">
        <v>146.0</v>
      </c>
      <c r="B147" s="5" t="s">
        <v>75</v>
      </c>
      <c r="C147" s="11">
        <v>1.2334E10</v>
      </c>
      <c r="D147" s="12" t="s">
        <v>89</v>
      </c>
      <c r="E147" s="9" t="s">
        <v>63</v>
      </c>
      <c r="F147" s="11">
        <v>7.743E9</v>
      </c>
    </row>
    <row r="148">
      <c r="A148" s="5">
        <v>147.0</v>
      </c>
      <c r="B148" s="5" t="s">
        <v>75</v>
      </c>
      <c r="C148" s="11">
        <v>1.5128E10</v>
      </c>
      <c r="D148" s="12" t="s">
        <v>89</v>
      </c>
      <c r="E148" s="9" t="s">
        <v>64</v>
      </c>
      <c r="F148" s="11">
        <v>9.761E9</v>
      </c>
    </row>
    <row r="149">
      <c r="A149" s="5">
        <v>148.0</v>
      </c>
      <c r="B149" s="5" t="s">
        <v>75</v>
      </c>
      <c r="C149" s="11">
        <v>1.7251E10</v>
      </c>
      <c r="D149" s="12" t="s">
        <v>89</v>
      </c>
      <c r="E149" s="9" t="s">
        <v>65</v>
      </c>
      <c r="F149" s="11">
        <v>1.0812E10</v>
      </c>
    </row>
    <row r="150">
      <c r="A150" s="5">
        <v>149.0</v>
      </c>
      <c r="B150" s="5" t="s">
        <v>75</v>
      </c>
      <c r="C150" s="11">
        <v>1.8471E10</v>
      </c>
      <c r="D150" s="12" t="s">
        <v>89</v>
      </c>
      <c r="E150" s="9" t="s">
        <v>66</v>
      </c>
      <c r="F150" s="11">
        <v>1.1077E10</v>
      </c>
    </row>
    <row r="151">
      <c r="A151" s="5">
        <v>150.0</v>
      </c>
      <c r="B151" s="5" t="s">
        <v>75</v>
      </c>
      <c r="C151" s="11">
        <v>1.8886E10</v>
      </c>
      <c r="D151" s="12" t="s">
        <v>89</v>
      </c>
      <c r="E151" s="9" t="s">
        <v>67</v>
      </c>
      <c r="F151" s="11">
        <v>1.1721E10</v>
      </c>
    </row>
    <row r="152">
      <c r="A152" s="5">
        <v>151.0</v>
      </c>
      <c r="B152" s="5" t="s">
        <v>75</v>
      </c>
      <c r="C152" s="11">
        <v>2.1088E10</v>
      </c>
      <c r="D152" s="12" t="s">
        <v>89</v>
      </c>
      <c r="E152" s="9" t="s">
        <v>68</v>
      </c>
      <c r="F152" s="11">
        <v>1.2825E10</v>
      </c>
    </row>
    <row r="153">
      <c r="A153" s="5">
        <v>152.0</v>
      </c>
      <c r="B153" s="5" t="s">
        <v>75</v>
      </c>
      <c r="C153" s="11">
        <v>2.4346E10</v>
      </c>
      <c r="D153" s="12" t="s">
        <v>89</v>
      </c>
      <c r="E153" s="9" t="s">
        <v>69</v>
      </c>
      <c r="F153" s="11">
        <v>1.3993E10</v>
      </c>
    </row>
    <row r="154">
      <c r="A154" s="5">
        <v>153.0</v>
      </c>
      <c r="B154" s="5" t="s">
        <v>75</v>
      </c>
      <c r="C154" s="11">
        <v>2.122E10</v>
      </c>
      <c r="D154" s="12" t="s">
        <v>89</v>
      </c>
      <c r="E154" s="9" t="s">
        <v>70</v>
      </c>
      <c r="F154" s="11">
        <v>1.2767E10</v>
      </c>
    </row>
    <row r="155">
      <c r="A155" s="5">
        <v>154.0</v>
      </c>
      <c r="B155" s="5" t="s">
        <v>75</v>
      </c>
      <c r="C155" s="11">
        <v>2.098E10</v>
      </c>
      <c r="D155" s="12" t="s">
        <v>89</v>
      </c>
      <c r="E155" s="9" t="s">
        <v>71</v>
      </c>
      <c r="F155" s="11">
        <v>1.2213E10</v>
      </c>
    </row>
    <row r="156">
      <c r="A156" s="5">
        <v>155.0</v>
      </c>
      <c r="B156" s="5" t="s">
        <v>75</v>
      </c>
      <c r="C156" s="11">
        <v>2.2453E10</v>
      </c>
      <c r="D156" s="12" t="s">
        <v>89</v>
      </c>
      <c r="E156" s="9" t="s">
        <v>72</v>
      </c>
      <c r="F156" s="11">
        <v>1.292E10</v>
      </c>
    </row>
    <row r="157">
      <c r="A157" s="5">
        <v>156.0</v>
      </c>
      <c r="B157" s="5" t="s">
        <v>75</v>
      </c>
      <c r="C157" s="11">
        <v>2.1446E10</v>
      </c>
      <c r="D157" s="12" t="s">
        <v>89</v>
      </c>
      <c r="E157" s="9" t="s">
        <v>73</v>
      </c>
      <c r="F157" s="11">
        <v>1.2352E10</v>
      </c>
    </row>
    <row r="158">
      <c r="A158" s="5">
        <v>157.0</v>
      </c>
      <c r="B158" s="5" t="s">
        <v>61</v>
      </c>
      <c r="C158" s="11">
        <v>6.8E7</v>
      </c>
      <c r="D158" s="12" t="s">
        <v>90</v>
      </c>
      <c r="E158" s="9" t="s">
        <v>60</v>
      </c>
      <c r="F158" s="11">
        <v>1.38E8</v>
      </c>
    </row>
    <row r="159">
      <c r="A159" s="5">
        <v>158.0</v>
      </c>
      <c r="B159" s="5" t="s">
        <v>61</v>
      </c>
      <c r="C159" s="11">
        <v>5.7E7</v>
      </c>
      <c r="D159" s="12" t="s">
        <v>90</v>
      </c>
      <c r="E159" s="9" t="s">
        <v>62</v>
      </c>
      <c r="F159" s="11">
        <v>1.19E8</v>
      </c>
    </row>
    <row r="160">
      <c r="A160" s="5">
        <v>159.0</v>
      </c>
      <c r="B160" s="5" t="s">
        <v>61</v>
      </c>
      <c r="C160" s="11">
        <v>6.3E7</v>
      </c>
      <c r="D160" s="12" t="s">
        <v>90</v>
      </c>
      <c r="E160" s="9" t="s">
        <v>63</v>
      </c>
      <c r="F160" s="11">
        <v>1.1E8</v>
      </c>
    </row>
    <row r="161">
      <c r="A161" s="5">
        <v>160.0</v>
      </c>
      <c r="B161" s="5" t="s">
        <v>61</v>
      </c>
      <c r="C161" s="11">
        <v>7.0E7</v>
      </c>
      <c r="D161" s="12" t="s">
        <v>90</v>
      </c>
      <c r="E161" s="9" t="s">
        <v>64</v>
      </c>
      <c r="F161" s="11">
        <v>1.2E8</v>
      </c>
    </row>
    <row r="162">
      <c r="A162" s="5">
        <v>161.0</v>
      </c>
      <c r="B162" s="5" t="s">
        <v>61</v>
      </c>
      <c r="C162" s="11">
        <v>7.9E7</v>
      </c>
      <c r="D162" s="12" t="s">
        <v>90</v>
      </c>
      <c r="E162" s="9" t="s">
        <v>65</v>
      </c>
      <c r="F162" s="11">
        <v>1.4E8</v>
      </c>
    </row>
    <row r="163">
      <c r="A163" s="5">
        <v>162.0</v>
      </c>
      <c r="B163" s="5" t="s">
        <v>61</v>
      </c>
      <c r="C163" s="11">
        <v>1.0E8</v>
      </c>
      <c r="D163" s="12" t="s">
        <v>90</v>
      </c>
      <c r="E163" s="9" t="s">
        <v>66</v>
      </c>
      <c r="F163" s="11">
        <v>1.88E8</v>
      </c>
    </row>
    <row r="164">
      <c r="A164" s="5">
        <v>163.0</v>
      </c>
      <c r="B164" s="5" t="s">
        <v>61</v>
      </c>
      <c r="C164" s="11">
        <v>2.01E8</v>
      </c>
      <c r="D164" s="12" t="s">
        <v>90</v>
      </c>
      <c r="E164" s="9" t="s">
        <v>67</v>
      </c>
      <c r="F164" s="11">
        <v>2.56E8</v>
      </c>
    </row>
    <row r="165">
      <c r="A165" s="5">
        <v>164.0</v>
      </c>
      <c r="B165" s="5" t="s">
        <v>61</v>
      </c>
      <c r="C165" s="11">
        <v>3.17E8</v>
      </c>
      <c r="D165" s="12" t="s">
        <v>90</v>
      </c>
      <c r="E165" s="9" t="s">
        <v>68</v>
      </c>
      <c r="F165" s="11">
        <v>3.81E8</v>
      </c>
    </row>
    <row r="166">
      <c r="A166" s="5">
        <v>165.0</v>
      </c>
      <c r="B166" s="5" t="s">
        <v>61</v>
      </c>
      <c r="C166" s="11">
        <v>3.82E8</v>
      </c>
      <c r="D166" s="12" t="s">
        <v>90</v>
      </c>
      <c r="E166" s="9" t="s">
        <v>69</v>
      </c>
      <c r="F166" s="11">
        <v>4.56E8</v>
      </c>
    </row>
    <row r="167">
      <c r="A167" s="5">
        <v>166.0</v>
      </c>
      <c r="B167" s="5" t="s">
        <v>61</v>
      </c>
      <c r="C167" s="11">
        <v>5.45E8</v>
      </c>
      <c r="D167" s="12" t="s">
        <v>90</v>
      </c>
      <c r="E167" s="9" t="s">
        <v>70</v>
      </c>
      <c r="F167" s="11">
        <v>4.88E8</v>
      </c>
    </row>
    <row r="168">
      <c r="A168" s="5">
        <v>167.0</v>
      </c>
      <c r="B168" s="5" t="s">
        <v>61</v>
      </c>
      <c r="C168" s="11">
        <v>7.92E8</v>
      </c>
      <c r="D168" s="12" t="s">
        <v>90</v>
      </c>
      <c r="E168" s="9" t="s">
        <v>71</v>
      </c>
      <c r="F168" s="11">
        <v>8.56E8</v>
      </c>
    </row>
    <row r="169">
      <c r="A169" s="5">
        <v>168.0</v>
      </c>
      <c r="B169" s="5" t="s">
        <v>61</v>
      </c>
      <c r="C169" s="11">
        <v>1.5E9</v>
      </c>
      <c r="D169" s="12" t="s">
        <v>90</v>
      </c>
      <c r="E169" s="9" t="s">
        <v>72</v>
      </c>
      <c r="F169" s="11">
        <v>1.778E9</v>
      </c>
    </row>
    <row r="170">
      <c r="A170" s="5">
        <v>169.0</v>
      </c>
      <c r="B170" s="5" t="s">
        <v>61</v>
      </c>
      <c r="C170" s="11">
        <v>2.634E9</v>
      </c>
      <c r="D170" s="12" t="s">
        <v>90</v>
      </c>
      <c r="E170" s="9" t="s">
        <v>73</v>
      </c>
      <c r="F170" s="11">
        <v>2.616E9</v>
      </c>
    </row>
    <row r="171">
      <c r="A171" s="5">
        <v>170.0</v>
      </c>
      <c r="B171" s="5" t="s">
        <v>84</v>
      </c>
      <c r="C171" s="11">
        <v>1.753E9</v>
      </c>
      <c r="D171" s="12" t="s">
        <v>91</v>
      </c>
      <c r="E171" s="9" t="s">
        <v>60</v>
      </c>
      <c r="F171" s="11">
        <v>3.48E8</v>
      </c>
    </row>
    <row r="172">
      <c r="A172" s="5">
        <v>171.0</v>
      </c>
      <c r="B172" s="5" t="s">
        <v>84</v>
      </c>
      <c r="C172" s="11">
        <v>1.665E9</v>
      </c>
      <c r="D172" s="12" t="s">
        <v>91</v>
      </c>
      <c r="E172" s="9" t="s">
        <v>62</v>
      </c>
      <c r="F172" s="11">
        <v>3.42E8</v>
      </c>
    </row>
    <row r="173">
      <c r="A173" s="5">
        <v>172.0</v>
      </c>
      <c r="B173" s="5" t="s">
        <v>84</v>
      </c>
      <c r="C173" s="11">
        <v>1.773E9</v>
      </c>
      <c r="D173" s="12" t="s">
        <v>91</v>
      </c>
      <c r="E173" s="9" t="s">
        <v>63</v>
      </c>
      <c r="F173" s="11">
        <v>3.38E8</v>
      </c>
    </row>
    <row r="174">
      <c r="A174" s="5">
        <v>173.0</v>
      </c>
      <c r="B174" s="5" t="s">
        <v>84</v>
      </c>
      <c r="C174" s="11">
        <v>1.77E9</v>
      </c>
      <c r="D174" s="12" t="s">
        <v>91</v>
      </c>
      <c r="E174" s="9" t="s">
        <v>64</v>
      </c>
      <c r="F174" s="11">
        <v>4.04E8</v>
      </c>
    </row>
    <row r="175">
      <c r="A175" s="5">
        <v>174.0</v>
      </c>
      <c r="B175" s="5" t="s">
        <v>84</v>
      </c>
      <c r="C175" s="11">
        <v>1.897E9</v>
      </c>
      <c r="D175" s="12" t="s">
        <v>91</v>
      </c>
      <c r="E175" s="9" t="s">
        <v>65</v>
      </c>
      <c r="F175" s="11">
        <v>4.69E8</v>
      </c>
    </row>
    <row r="176">
      <c r="A176" s="5">
        <v>175.0</v>
      </c>
      <c r="B176" s="5" t="s">
        <v>84</v>
      </c>
      <c r="C176" s="11">
        <v>2.081E9</v>
      </c>
      <c r="D176" s="12" t="s">
        <v>91</v>
      </c>
      <c r="E176" s="9" t="s">
        <v>66</v>
      </c>
      <c r="F176" s="11">
        <v>5.28E8</v>
      </c>
    </row>
    <row r="177">
      <c r="A177" s="5">
        <v>176.0</v>
      </c>
      <c r="B177" s="5" t="s">
        <v>84</v>
      </c>
      <c r="C177" s="11">
        <v>2.066E9</v>
      </c>
      <c r="D177" s="12" t="s">
        <v>91</v>
      </c>
      <c r="E177" s="9" t="s">
        <v>67</v>
      </c>
      <c r="F177" s="11">
        <v>5.41E8</v>
      </c>
    </row>
    <row r="178">
      <c r="A178" s="5">
        <v>177.0</v>
      </c>
      <c r="B178" s="5" t="s">
        <v>84</v>
      </c>
      <c r="C178" s="11">
        <v>2.198E9</v>
      </c>
      <c r="D178" s="12" t="s">
        <v>91</v>
      </c>
      <c r="E178" s="9" t="s">
        <v>68</v>
      </c>
      <c r="F178" s="11">
        <v>5.38E8</v>
      </c>
    </row>
    <row r="179">
      <c r="A179" s="5">
        <v>178.0</v>
      </c>
      <c r="B179" s="5" t="s">
        <v>84</v>
      </c>
      <c r="C179" s="11">
        <v>2.155E9</v>
      </c>
      <c r="D179" s="12" t="s">
        <v>91</v>
      </c>
      <c r="E179" s="9" t="s">
        <v>69</v>
      </c>
      <c r="F179" s="11">
        <v>4.6E8</v>
      </c>
    </row>
    <row r="180">
      <c r="A180" s="5">
        <v>179.0</v>
      </c>
      <c r="B180" s="5" t="s">
        <v>84</v>
      </c>
      <c r="C180" s="11">
        <v>2.025E9</v>
      </c>
      <c r="D180" s="12" t="s">
        <v>91</v>
      </c>
      <c r="E180" s="9" t="s">
        <v>70</v>
      </c>
      <c r="F180" s="11">
        <v>3.86E8</v>
      </c>
    </row>
    <row r="181">
      <c r="A181" s="5">
        <v>180.0</v>
      </c>
      <c r="B181" s="5" t="s">
        <v>84</v>
      </c>
      <c r="C181" s="11">
        <v>2.159E9</v>
      </c>
      <c r="D181" s="12" t="s">
        <v>91</v>
      </c>
      <c r="E181" s="9" t="s">
        <v>71</v>
      </c>
      <c r="F181" s="11">
        <v>3.69E8</v>
      </c>
    </row>
    <row r="182">
      <c r="A182" s="5">
        <v>181.0</v>
      </c>
      <c r="B182" s="5" t="s">
        <v>84</v>
      </c>
      <c r="C182" s="11">
        <v>2.223E9</v>
      </c>
      <c r="D182" s="12" t="s">
        <v>91</v>
      </c>
      <c r="E182" s="9" t="s">
        <v>72</v>
      </c>
      <c r="F182" s="11">
        <v>3.47E8</v>
      </c>
    </row>
    <row r="183">
      <c r="A183" s="5">
        <v>182.0</v>
      </c>
      <c r="B183" s="5" t="s">
        <v>84</v>
      </c>
      <c r="C183" s="11">
        <v>2.415E9</v>
      </c>
      <c r="D183" s="12" t="s">
        <v>91</v>
      </c>
      <c r="E183" s="9" t="s">
        <v>73</v>
      </c>
      <c r="F183" s="11">
        <v>3.84E8</v>
      </c>
    </row>
    <row r="184">
      <c r="A184" s="5">
        <v>183.0</v>
      </c>
      <c r="B184" s="5" t="s">
        <v>93</v>
      </c>
      <c r="C184" s="11">
        <v>8.54E8</v>
      </c>
      <c r="D184" s="12" t="s">
        <v>92</v>
      </c>
      <c r="E184" s="9" t="s">
        <v>60</v>
      </c>
      <c r="F184" s="11">
        <v>4.25E8</v>
      </c>
    </row>
    <row r="185">
      <c r="A185" s="5">
        <v>184.0</v>
      </c>
      <c r="B185" s="5" t="s">
        <v>93</v>
      </c>
      <c r="C185" s="11">
        <v>8.86E8</v>
      </c>
      <c r="D185" s="12" t="s">
        <v>92</v>
      </c>
      <c r="E185" s="9" t="s">
        <v>62</v>
      </c>
      <c r="F185" s="11">
        <v>4.23E8</v>
      </c>
    </row>
    <row r="186">
      <c r="A186" s="5">
        <v>185.0</v>
      </c>
      <c r="B186" s="5" t="s">
        <v>93</v>
      </c>
      <c r="C186" s="11">
        <v>9.85E8</v>
      </c>
      <c r="D186" s="12" t="s">
        <v>92</v>
      </c>
      <c r="E186" s="9" t="s">
        <v>63</v>
      </c>
      <c r="F186" s="11">
        <v>5.5E8</v>
      </c>
    </row>
    <row r="187">
      <c r="A187" s="5">
        <v>186.0</v>
      </c>
      <c r="B187" s="5" t="s">
        <v>93</v>
      </c>
      <c r="C187" s="11">
        <v>1.206E9</v>
      </c>
      <c r="D187" s="12" t="s">
        <v>92</v>
      </c>
      <c r="E187" s="9" t="s">
        <v>64</v>
      </c>
      <c r="F187" s="11">
        <v>4.92E8</v>
      </c>
    </row>
    <row r="188">
      <c r="A188" s="5">
        <v>187.0</v>
      </c>
      <c r="B188" s="5" t="s">
        <v>93</v>
      </c>
      <c r="C188" s="11">
        <v>1.504E9</v>
      </c>
      <c r="D188" s="12" t="s">
        <v>92</v>
      </c>
      <c r="E188" s="9" t="s">
        <v>65</v>
      </c>
      <c r="F188" s="11">
        <v>5.28E8</v>
      </c>
    </row>
    <row r="189">
      <c r="A189" s="5">
        <v>188.0</v>
      </c>
      <c r="B189" s="5" t="s">
        <v>93</v>
      </c>
      <c r="C189" s="11">
        <v>1.603E9</v>
      </c>
      <c r="D189" s="12" t="s">
        <v>92</v>
      </c>
      <c r="E189" s="9" t="s">
        <v>66</v>
      </c>
      <c r="F189" s="11">
        <v>5.74E8</v>
      </c>
    </row>
    <row r="190">
      <c r="A190" s="5">
        <v>189.0</v>
      </c>
      <c r="B190" s="5" t="s">
        <v>93</v>
      </c>
      <c r="C190" s="11">
        <v>1.786E9</v>
      </c>
      <c r="D190" s="12" t="s">
        <v>92</v>
      </c>
      <c r="E190" s="9" t="s">
        <v>67</v>
      </c>
      <c r="F190" s="11">
        <v>6.39E8</v>
      </c>
    </row>
    <row r="191">
      <c r="A191" s="5">
        <v>190.0</v>
      </c>
      <c r="B191" s="5" t="s">
        <v>93</v>
      </c>
      <c r="C191" s="11">
        <v>1.854E9</v>
      </c>
      <c r="D191" s="12" t="s">
        <v>92</v>
      </c>
      <c r="E191" s="9" t="s">
        <v>68</v>
      </c>
      <c r="F191" s="11">
        <v>6.71E8</v>
      </c>
    </row>
    <row r="192">
      <c r="A192" s="5">
        <v>191.0</v>
      </c>
      <c r="B192" s="5" t="s">
        <v>93</v>
      </c>
      <c r="C192" s="11">
        <v>1.927E9</v>
      </c>
      <c r="D192" s="12" t="s">
        <v>92</v>
      </c>
      <c r="E192" s="9" t="s">
        <v>69</v>
      </c>
      <c r="F192" s="11">
        <v>7.04E8</v>
      </c>
    </row>
    <row r="193">
      <c r="A193" s="5">
        <v>192.0</v>
      </c>
      <c r="B193" s="5" t="s">
        <v>93</v>
      </c>
      <c r="C193" s="11">
        <v>1.873E9</v>
      </c>
      <c r="D193" s="12" t="s">
        <v>92</v>
      </c>
      <c r="E193" s="9" t="s">
        <v>70</v>
      </c>
      <c r="F193" s="11">
        <v>5.97E8</v>
      </c>
    </row>
    <row r="194">
      <c r="A194" s="5">
        <v>193.0</v>
      </c>
      <c r="B194" s="5" t="s">
        <v>93</v>
      </c>
      <c r="C194" s="11">
        <v>2.163E9</v>
      </c>
      <c r="D194" s="12" t="s">
        <v>92</v>
      </c>
      <c r="E194" s="9" t="s">
        <v>71</v>
      </c>
      <c r="F194" s="11">
        <v>6.84E8</v>
      </c>
    </row>
    <row r="195">
      <c r="A195" s="5">
        <v>194.0</v>
      </c>
      <c r="B195" s="5" t="s">
        <v>93</v>
      </c>
      <c r="C195" s="11">
        <v>1.766E9</v>
      </c>
      <c r="D195" s="12" t="s">
        <v>92</v>
      </c>
      <c r="E195" s="9" t="s">
        <v>72</v>
      </c>
      <c r="F195" s="11">
        <v>8.99E8</v>
      </c>
    </row>
    <row r="196">
      <c r="A196" s="5">
        <v>195.0</v>
      </c>
      <c r="B196" s="5" t="s">
        <v>93</v>
      </c>
      <c r="C196" s="11">
        <v>1.742E9</v>
      </c>
      <c r="D196" s="12" t="s">
        <v>92</v>
      </c>
      <c r="E196" s="9" t="s">
        <v>73</v>
      </c>
      <c r="F196" s="11">
        <v>8.89E8</v>
      </c>
    </row>
    <row r="197">
      <c r="A197" s="5">
        <v>196.0</v>
      </c>
      <c r="B197" s="5" t="s">
        <v>61</v>
      </c>
      <c r="C197" s="11">
        <v>5.0E7</v>
      </c>
      <c r="D197" s="12" t="s">
        <v>94</v>
      </c>
      <c r="E197" s="9" t="s">
        <v>60</v>
      </c>
      <c r="F197" s="11">
        <v>4.71E8</v>
      </c>
    </row>
    <row r="198">
      <c r="A198" s="5">
        <v>197.0</v>
      </c>
      <c r="B198" s="5" t="s">
        <v>61</v>
      </c>
      <c r="C198" s="11">
        <v>4.8E7</v>
      </c>
      <c r="D198" s="12" t="s">
        <v>94</v>
      </c>
      <c r="E198" s="9" t="s">
        <v>62</v>
      </c>
      <c r="F198" s="11">
        <v>3.41E8</v>
      </c>
    </row>
    <row r="199">
      <c r="A199" s="5">
        <v>198.0</v>
      </c>
      <c r="B199" s="5" t="s">
        <v>61</v>
      </c>
      <c r="C199" s="11">
        <v>5.9E7</v>
      </c>
      <c r="D199" s="12" t="s">
        <v>94</v>
      </c>
      <c r="E199" s="9" t="s">
        <v>63</v>
      </c>
      <c r="F199" s="11">
        <v>3.09E8</v>
      </c>
    </row>
    <row r="200">
      <c r="A200" s="5">
        <v>199.0</v>
      </c>
      <c r="B200" s="5" t="s">
        <v>61</v>
      </c>
      <c r="C200" s="11">
        <v>5.9E7</v>
      </c>
      <c r="D200" s="12" t="s">
        <v>94</v>
      </c>
      <c r="E200" s="9" t="s">
        <v>64</v>
      </c>
      <c r="F200" s="11">
        <v>3.89E8</v>
      </c>
    </row>
    <row r="201">
      <c r="A201" s="5">
        <v>200.0</v>
      </c>
      <c r="B201" s="5" t="s">
        <v>61</v>
      </c>
      <c r="C201" s="11">
        <v>7.6E7</v>
      </c>
      <c r="D201" s="12" t="s">
        <v>94</v>
      </c>
      <c r="E201" s="9" t="s">
        <v>65</v>
      </c>
      <c r="F201" s="11">
        <v>4.42E8</v>
      </c>
    </row>
    <row r="202">
      <c r="A202" s="5">
        <v>201.0</v>
      </c>
      <c r="B202" s="5" t="s">
        <v>61</v>
      </c>
      <c r="C202" s="11">
        <v>7.9E7</v>
      </c>
      <c r="D202" s="12" t="s">
        <v>94</v>
      </c>
      <c r="E202" s="9" t="s">
        <v>66</v>
      </c>
      <c r="F202" s="11">
        <v>3.75E8</v>
      </c>
    </row>
    <row r="203">
      <c r="A203" s="5">
        <v>202.0</v>
      </c>
      <c r="B203" s="5" t="s">
        <v>61</v>
      </c>
      <c r="C203" s="11">
        <v>8.0E7</v>
      </c>
      <c r="D203" s="12" t="s">
        <v>94</v>
      </c>
      <c r="E203" s="9" t="s">
        <v>67</v>
      </c>
      <c r="F203" s="11">
        <v>4.44E8</v>
      </c>
    </row>
    <row r="204">
      <c r="A204" s="5">
        <v>203.0</v>
      </c>
      <c r="B204" s="5" t="s">
        <v>61</v>
      </c>
      <c r="C204" s="11">
        <v>7.6E7</v>
      </c>
      <c r="D204" s="12" t="s">
        <v>94</v>
      </c>
      <c r="E204" s="9" t="s">
        <v>68</v>
      </c>
      <c r="F204" s="11">
        <v>5.3E8</v>
      </c>
    </row>
    <row r="205">
      <c r="A205" s="5">
        <v>204.0</v>
      </c>
      <c r="B205" s="5" t="s">
        <v>61</v>
      </c>
      <c r="C205" s="11">
        <v>7.5E7</v>
      </c>
      <c r="D205" s="12" t="s">
        <v>94</v>
      </c>
      <c r="E205" s="9" t="s">
        <v>69</v>
      </c>
      <c r="F205" s="11">
        <v>7.35E8</v>
      </c>
    </row>
    <row r="206">
      <c r="A206" s="5">
        <v>205.0</v>
      </c>
      <c r="B206" s="5" t="s">
        <v>61</v>
      </c>
      <c r="C206" s="11">
        <v>7.7E7</v>
      </c>
      <c r="D206" s="12" t="s">
        <v>94</v>
      </c>
      <c r="E206" s="9" t="s">
        <v>70</v>
      </c>
      <c r="F206" s="11">
        <v>6.51E8</v>
      </c>
    </row>
    <row r="207">
      <c r="A207" s="5">
        <v>206.0</v>
      </c>
      <c r="B207" s="5" t="s">
        <v>61</v>
      </c>
      <c r="C207" s="11">
        <v>1.03E8</v>
      </c>
      <c r="D207" s="12" t="s">
        <v>94</v>
      </c>
      <c r="E207" s="9" t="s">
        <v>71</v>
      </c>
      <c r="F207" s="11">
        <v>8.35E8</v>
      </c>
    </row>
    <row r="208">
      <c r="A208" s="5">
        <v>207.0</v>
      </c>
      <c r="B208" s="5" t="s">
        <v>61</v>
      </c>
      <c r="C208" s="11">
        <v>9.7E7</v>
      </c>
      <c r="D208" s="12" t="s">
        <v>94</v>
      </c>
      <c r="E208" s="9" t="s">
        <v>72</v>
      </c>
      <c r="F208" s="11">
        <v>8.19E8</v>
      </c>
    </row>
    <row r="209">
      <c r="A209" s="5">
        <v>208.0</v>
      </c>
      <c r="B209" s="5" t="s">
        <v>61</v>
      </c>
      <c r="C209" s="11">
        <v>1.1E8</v>
      </c>
      <c r="D209" s="12" t="s">
        <v>94</v>
      </c>
      <c r="E209" s="9" t="s">
        <v>73</v>
      </c>
      <c r="F209" s="11">
        <v>8.29E8</v>
      </c>
    </row>
    <row r="210">
      <c r="A210" s="5">
        <v>209.0</v>
      </c>
      <c r="B210" s="5" t="s">
        <v>84</v>
      </c>
      <c r="C210" s="11">
        <v>7.33E8</v>
      </c>
      <c r="D210" s="12" t="s">
        <v>95</v>
      </c>
      <c r="E210" s="9" t="s">
        <v>60</v>
      </c>
      <c r="F210" s="11">
        <v>1.41E8</v>
      </c>
    </row>
    <row r="211">
      <c r="A211" s="5">
        <v>210.0</v>
      </c>
      <c r="B211" s="5" t="s">
        <v>84</v>
      </c>
      <c r="C211" s="11">
        <v>7.06E8</v>
      </c>
      <c r="D211" s="12" t="s">
        <v>95</v>
      </c>
      <c r="E211" s="9" t="s">
        <v>62</v>
      </c>
      <c r="F211" s="11">
        <v>1.49E8</v>
      </c>
    </row>
    <row r="212">
      <c r="A212" s="5">
        <v>211.0</v>
      </c>
      <c r="B212" s="5" t="s">
        <v>84</v>
      </c>
      <c r="C212" s="11">
        <v>6.66E8</v>
      </c>
      <c r="D212" s="12" t="s">
        <v>95</v>
      </c>
      <c r="E212" s="9" t="s">
        <v>63</v>
      </c>
      <c r="F212" s="11">
        <v>1.46E8</v>
      </c>
    </row>
    <row r="213">
      <c r="A213" s="5">
        <v>212.0</v>
      </c>
      <c r="B213" s="5" t="s">
        <v>84</v>
      </c>
      <c r="C213" s="11">
        <v>7.67E8</v>
      </c>
      <c r="D213" s="12" t="s">
        <v>95</v>
      </c>
      <c r="E213" s="9" t="s">
        <v>64</v>
      </c>
      <c r="F213" s="11">
        <v>1.53E8</v>
      </c>
    </row>
    <row r="214">
      <c r="A214" s="5">
        <v>213.0</v>
      </c>
      <c r="B214" s="5" t="s">
        <v>84</v>
      </c>
      <c r="C214" s="11">
        <v>7.84E8</v>
      </c>
      <c r="D214" s="12" t="s">
        <v>95</v>
      </c>
      <c r="E214" s="9" t="s">
        <v>65</v>
      </c>
      <c r="F214" s="11">
        <v>1.63E8</v>
      </c>
    </row>
    <row r="215">
      <c r="A215" s="5">
        <v>214.0</v>
      </c>
      <c r="B215" s="5" t="s">
        <v>84</v>
      </c>
      <c r="C215" s="11">
        <v>1.081E9</v>
      </c>
      <c r="D215" s="12" t="s">
        <v>95</v>
      </c>
      <c r="E215" s="9" t="s">
        <v>66</v>
      </c>
      <c r="F215" s="11">
        <v>2.74E8</v>
      </c>
    </row>
    <row r="216">
      <c r="A216" s="5">
        <v>215.0</v>
      </c>
      <c r="B216" s="5" t="s">
        <v>84</v>
      </c>
      <c r="C216" s="11">
        <v>1.235E9</v>
      </c>
      <c r="D216" s="12" t="s">
        <v>95</v>
      </c>
      <c r="E216" s="9" t="s">
        <v>67</v>
      </c>
      <c r="F216" s="11">
        <v>2.84E8</v>
      </c>
    </row>
    <row r="217">
      <c r="A217" s="5">
        <v>216.0</v>
      </c>
      <c r="B217" s="5" t="s">
        <v>84</v>
      </c>
      <c r="C217" s="11">
        <v>1.224E9</v>
      </c>
      <c r="D217" s="12" t="s">
        <v>95</v>
      </c>
      <c r="E217" s="9" t="s">
        <v>68</v>
      </c>
      <c r="F217" s="11">
        <v>2.9E8</v>
      </c>
    </row>
    <row r="218">
      <c r="A218" s="5">
        <v>217.0</v>
      </c>
      <c r="B218" s="5" t="s">
        <v>84</v>
      </c>
      <c r="C218" s="11">
        <v>1.244E9</v>
      </c>
      <c r="D218" s="12" t="s">
        <v>95</v>
      </c>
      <c r="E218" s="9" t="s">
        <v>69</v>
      </c>
      <c r="F218" s="11">
        <v>2.79E8</v>
      </c>
    </row>
    <row r="219">
      <c r="A219" s="5">
        <v>218.0</v>
      </c>
      <c r="B219" s="5" t="s">
        <v>84</v>
      </c>
      <c r="C219" s="11">
        <v>1.122E9</v>
      </c>
      <c r="D219" s="12" t="s">
        <v>95</v>
      </c>
      <c r="E219" s="9" t="s">
        <v>70</v>
      </c>
      <c r="F219" s="11">
        <v>2.93E8</v>
      </c>
    </row>
    <row r="220">
      <c r="A220" s="5">
        <v>219.0</v>
      </c>
      <c r="B220" s="5" t="s">
        <v>84</v>
      </c>
      <c r="C220" s="11">
        <v>1.074E9</v>
      </c>
      <c r="D220" s="12" t="s">
        <v>95</v>
      </c>
      <c r="E220" s="9" t="s">
        <v>71</v>
      </c>
      <c r="F220" s="11">
        <v>3.51E8</v>
      </c>
    </row>
    <row r="221">
      <c r="A221" s="5">
        <v>220.0</v>
      </c>
      <c r="B221" s="5" t="s">
        <v>84</v>
      </c>
      <c r="C221" s="8"/>
      <c r="D221" s="12" t="s">
        <v>95</v>
      </c>
      <c r="E221" s="9" t="s">
        <v>72</v>
      </c>
      <c r="F221" s="8"/>
    </row>
    <row r="222">
      <c r="A222" s="5">
        <v>221.0</v>
      </c>
      <c r="B222" s="5" t="s">
        <v>84</v>
      </c>
      <c r="C222" s="8"/>
      <c r="D222" s="12" t="s">
        <v>95</v>
      </c>
      <c r="E222" s="9" t="s">
        <v>73</v>
      </c>
      <c r="F222" s="8"/>
    </row>
    <row r="223">
      <c r="A223" s="5">
        <v>222.0</v>
      </c>
      <c r="B223" s="5" t="s">
        <v>75</v>
      </c>
      <c r="C223" s="11">
        <v>1.88E8</v>
      </c>
      <c r="D223" s="12" t="s">
        <v>96</v>
      </c>
      <c r="E223" s="9" t="s">
        <v>60</v>
      </c>
      <c r="F223" s="11">
        <v>2.47E8</v>
      </c>
    </row>
    <row r="224">
      <c r="A224" s="5">
        <v>223.0</v>
      </c>
      <c r="B224" s="5" t="s">
        <v>75</v>
      </c>
      <c r="C224" s="11">
        <v>2.72E8</v>
      </c>
      <c r="D224" s="12" t="s">
        <v>96</v>
      </c>
      <c r="E224" s="9" t="s">
        <v>62</v>
      </c>
      <c r="F224" s="11">
        <v>4.86E8</v>
      </c>
    </row>
    <row r="225">
      <c r="A225" s="5">
        <v>224.0</v>
      </c>
      <c r="B225" s="5" t="s">
        <v>75</v>
      </c>
      <c r="C225" s="11">
        <v>2.95E8</v>
      </c>
      <c r="D225" s="12" t="s">
        <v>96</v>
      </c>
      <c r="E225" s="9" t="s">
        <v>63</v>
      </c>
      <c r="F225" s="11">
        <v>5.27E8</v>
      </c>
    </row>
    <row r="226">
      <c r="A226" s="5">
        <v>225.0</v>
      </c>
      <c r="B226" s="5" t="s">
        <v>75</v>
      </c>
      <c r="C226" s="11">
        <v>3.39E8</v>
      </c>
      <c r="D226" s="12" t="s">
        <v>96</v>
      </c>
      <c r="E226" s="9" t="s">
        <v>64</v>
      </c>
      <c r="F226" s="11">
        <v>4.36E8</v>
      </c>
    </row>
    <row r="227">
      <c r="A227" s="5">
        <v>226.0</v>
      </c>
      <c r="B227" s="5" t="s">
        <v>75</v>
      </c>
      <c r="C227" s="11">
        <v>3.62E8</v>
      </c>
      <c r="D227" s="12" t="s">
        <v>96</v>
      </c>
      <c r="E227" s="9" t="s">
        <v>65</v>
      </c>
      <c r="F227" s="11">
        <v>5.0E8</v>
      </c>
    </row>
    <row r="228">
      <c r="A228" s="5">
        <v>227.0</v>
      </c>
      <c r="B228" s="5" t="s">
        <v>75</v>
      </c>
      <c r="C228" s="11">
        <v>3.46E8</v>
      </c>
      <c r="D228" s="12" t="s">
        <v>96</v>
      </c>
      <c r="E228" s="9" t="s">
        <v>66</v>
      </c>
      <c r="F228" s="11">
        <v>5.16E8</v>
      </c>
    </row>
    <row r="229">
      <c r="A229" s="5">
        <v>228.0</v>
      </c>
      <c r="B229" s="5" t="s">
        <v>75</v>
      </c>
      <c r="C229" s="11">
        <v>4.01E8</v>
      </c>
      <c r="D229" s="12" t="s">
        <v>96</v>
      </c>
      <c r="E229" s="9" t="s">
        <v>67</v>
      </c>
      <c r="F229" s="11">
        <v>6.75E8</v>
      </c>
    </row>
    <row r="230">
      <c r="A230" s="5">
        <v>229.0</v>
      </c>
      <c r="B230" s="5" t="s">
        <v>75</v>
      </c>
      <c r="C230" s="11">
        <v>4.79E8</v>
      </c>
      <c r="D230" s="12" t="s">
        <v>96</v>
      </c>
      <c r="E230" s="9" t="s">
        <v>68</v>
      </c>
      <c r="F230" s="11">
        <v>7.24E8</v>
      </c>
    </row>
    <row r="231">
      <c r="A231" s="5">
        <v>230.0</v>
      </c>
      <c r="B231" s="5" t="s">
        <v>75</v>
      </c>
      <c r="C231" s="11">
        <v>5.85E8</v>
      </c>
      <c r="D231" s="12" t="s">
        <v>96</v>
      </c>
      <c r="E231" s="9" t="s">
        <v>69</v>
      </c>
      <c r="F231" s="11">
        <v>8.6E8</v>
      </c>
    </row>
    <row r="232">
      <c r="A232" s="5">
        <v>231.0</v>
      </c>
      <c r="B232" s="5" t="s">
        <v>75</v>
      </c>
      <c r="C232" s="11">
        <v>5.63E8</v>
      </c>
      <c r="D232" s="12" t="s">
        <v>96</v>
      </c>
      <c r="E232" s="9" t="s">
        <v>70</v>
      </c>
      <c r="F232" s="11">
        <v>7.52E8</v>
      </c>
    </row>
    <row r="233">
      <c r="A233" s="5">
        <v>232.0</v>
      </c>
      <c r="B233" s="5" t="s">
        <v>75</v>
      </c>
      <c r="C233" s="11">
        <v>6.65E8</v>
      </c>
      <c r="D233" s="12" t="s">
        <v>96</v>
      </c>
      <c r="E233" s="9" t="s">
        <v>71</v>
      </c>
      <c r="F233" s="11">
        <v>7.48E8</v>
      </c>
    </row>
    <row r="234">
      <c r="A234" s="5">
        <v>233.0</v>
      </c>
      <c r="B234" s="5" t="s">
        <v>75</v>
      </c>
      <c r="C234" s="11">
        <v>7.47E8</v>
      </c>
      <c r="D234" s="12" t="s">
        <v>96</v>
      </c>
      <c r="E234" s="9" t="s">
        <v>72</v>
      </c>
      <c r="F234" s="11">
        <v>7.29E8</v>
      </c>
    </row>
    <row r="235">
      <c r="A235" s="5">
        <v>234.0</v>
      </c>
      <c r="B235" s="5" t="s">
        <v>75</v>
      </c>
      <c r="C235" s="11">
        <v>9.86E8</v>
      </c>
      <c r="D235" s="12" t="s">
        <v>96</v>
      </c>
      <c r="E235" s="9" t="s">
        <v>73</v>
      </c>
      <c r="F235" s="11">
        <v>7.81E8</v>
      </c>
    </row>
    <row r="236">
      <c r="A236" s="5">
        <v>235.0</v>
      </c>
      <c r="B236" s="5" t="s">
        <v>75</v>
      </c>
      <c r="C236" s="11">
        <v>6.592E9</v>
      </c>
      <c r="D236" s="12" t="s">
        <v>97</v>
      </c>
      <c r="E236" s="9" t="s">
        <v>60</v>
      </c>
      <c r="F236" s="11">
        <v>9.429E9</v>
      </c>
    </row>
    <row r="237">
      <c r="A237" s="5">
        <v>236.0</v>
      </c>
      <c r="B237" s="5" t="s">
        <v>75</v>
      </c>
      <c r="C237" s="11">
        <v>8.304E9</v>
      </c>
      <c r="D237" s="12" t="s">
        <v>97</v>
      </c>
      <c r="E237" s="9" t="s">
        <v>62</v>
      </c>
      <c r="F237" s="11">
        <v>1.0878E10</v>
      </c>
    </row>
    <row r="238">
      <c r="A238" s="5">
        <v>237.0</v>
      </c>
      <c r="B238" s="5" t="s">
        <v>75</v>
      </c>
      <c r="C238" s="11">
        <v>7.598E9</v>
      </c>
      <c r="D238" s="12" t="s">
        <v>97</v>
      </c>
      <c r="E238" s="9" t="s">
        <v>63</v>
      </c>
      <c r="F238" s="11">
        <v>1.127E10</v>
      </c>
    </row>
    <row r="239">
      <c r="A239" s="5">
        <v>238.0</v>
      </c>
      <c r="B239" s="5" t="s">
        <v>75</v>
      </c>
      <c r="C239" s="11">
        <v>8.848E9</v>
      </c>
      <c r="D239" s="12" t="s">
        <v>97</v>
      </c>
      <c r="E239" s="9" t="s">
        <v>64</v>
      </c>
      <c r="F239" s="11">
        <v>1.3402E10</v>
      </c>
    </row>
    <row r="240">
      <c r="A240" s="5">
        <v>239.0</v>
      </c>
      <c r="B240" s="5" t="s">
        <v>75</v>
      </c>
      <c r="C240" s="11">
        <v>1.0089E10</v>
      </c>
      <c r="D240" s="12" t="s">
        <v>97</v>
      </c>
      <c r="E240" s="9" t="s">
        <v>65</v>
      </c>
      <c r="F240" s="11">
        <v>1.5456E10</v>
      </c>
    </row>
    <row r="241">
      <c r="A241" s="5">
        <v>240.0</v>
      </c>
      <c r="B241" s="5" t="s">
        <v>75</v>
      </c>
      <c r="C241" s="11">
        <v>1.0881E10</v>
      </c>
      <c r="D241" s="12" t="s">
        <v>97</v>
      </c>
      <c r="E241" s="9" t="s">
        <v>66</v>
      </c>
      <c r="F241" s="11">
        <v>1.6771E10</v>
      </c>
    </row>
    <row r="242">
      <c r="A242" s="5">
        <v>241.0</v>
      </c>
      <c r="B242" s="5" t="s">
        <v>75</v>
      </c>
      <c r="C242" s="11">
        <v>1.1625E10</v>
      </c>
      <c r="D242" s="12" t="s">
        <v>97</v>
      </c>
      <c r="E242" s="9" t="s">
        <v>67</v>
      </c>
      <c r="F242" s="11">
        <v>1.7891E10</v>
      </c>
    </row>
    <row r="243">
      <c r="A243" s="5">
        <v>242.0</v>
      </c>
      <c r="B243" s="5" t="s">
        <v>75</v>
      </c>
      <c r="C243" s="11">
        <v>1.2371E10</v>
      </c>
      <c r="D243" s="12" t="s">
        <v>97</v>
      </c>
      <c r="E243" s="9" t="s">
        <v>68</v>
      </c>
      <c r="F243" s="11">
        <v>1.9215E10</v>
      </c>
    </row>
    <row r="244">
      <c r="A244" s="5">
        <v>243.0</v>
      </c>
      <c r="B244" s="5" t="s">
        <v>75</v>
      </c>
      <c r="C244" s="11">
        <v>1.3106E10</v>
      </c>
      <c r="D244" s="12" t="s">
        <v>97</v>
      </c>
      <c r="E244" s="9" t="s">
        <v>69</v>
      </c>
      <c r="F244" s="11">
        <v>2.1445E10</v>
      </c>
    </row>
    <row r="245">
      <c r="A245" s="5">
        <v>244.0</v>
      </c>
      <c r="B245" s="5" t="s">
        <v>75</v>
      </c>
      <c r="C245" s="11">
        <v>1.15E10</v>
      </c>
      <c r="D245" s="12" t="s">
        <v>97</v>
      </c>
      <c r="E245" s="9" t="s">
        <v>70</v>
      </c>
      <c r="F245" s="11">
        <v>2.2292E10</v>
      </c>
    </row>
    <row r="246">
      <c r="A246" s="5">
        <v>245.0</v>
      </c>
      <c r="B246" s="5" t="s">
        <v>75</v>
      </c>
      <c r="C246" s="11">
        <v>1.1624E10</v>
      </c>
      <c r="D246" s="12" t="s">
        <v>97</v>
      </c>
      <c r="E246" s="9" t="s">
        <v>71</v>
      </c>
      <c r="F246" s="11">
        <v>2.0876E10</v>
      </c>
    </row>
    <row r="247">
      <c r="A247" s="5">
        <v>246.0</v>
      </c>
      <c r="B247" s="5" t="s">
        <v>75</v>
      </c>
      <c r="C247" s="11">
        <v>1.3008E10</v>
      </c>
      <c r="D247" s="12" t="s">
        <v>97</v>
      </c>
      <c r="E247" s="9" t="s">
        <v>72</v>
      </c>
      <c r="F247" s="11">
        <v>2.4215E10</v>
      </c>
    </row>
    <row r="248">
      <c r="A248" s="5">
        <v>247.0</v>
      </c>
      <c r="B248" s="5" t="s">
        <v>75</v>
      </c>
      <c r="C248" s="11">
        <v>1.2659E10</v>
      </c>
      <c r="D248" s="12" t="s">
        <v>97</v>
      </c>
      <c r="E248" s="9" t="s">
        <v>73</v>
      </c>
      <c r="F248" s="11">
        <v>2.3784E10</v>
      </c>
    </row>
    <row r="249">
      <c r="A249" s="5">
        <v>248.0</v>
      </c>
      <c r="B249" s="5" t="s">
        <v>84</v>
      </c>
      <c r="C249" s="11">
        <v>1.11E8</v>
      </c>
      <c r="D249" s="12" t="s">
        <v>98</v>
      </c>
      <c r="E249" s="9" t="s">
        <v>60</v>
      </c>
      <c r="F249" s="11">
        <v>4.4E7</v>
      </c>
    </row>
    <row r="250">
      <c r="A250" s="5">
        <v>249.0</v>
      </c>
      <c r="B250" s="5" t="s">
        <v>84</v>
      </c>
      <c r="C250" s="11">
        <v>1.11E8</v>
      </c>
      <c r="D250" s="12" t="s">
        <v>98</v>
      </c>
      <c r="E250" s="9" t="s">
        <v>62</v>
      </c>
      <c r="F250" s="11">
        <v>4.5E7</v>
      </c>
    </row>
    <row r="251">
      <c r="A251" s="5">
        <v>250.0</v>
      </c>
      <c r="B251" s="5" t="s">
        <v>84</v>
      </c>
      <c r="C251" s="11">
        <v>1.21E8</v>
      </c>
      <c r="D251" s="12" t="s">
        <v>98</v>
      </c>
      <c r="E251" s="9" t="s">
        <v>63</v>
      </c>
      <c r="F251" s="11">
        <v>4.8E7</v>
      </c>
    </row>
    <row r="252">
      <c r="A252" s="5">
        <v>251.0</v>
      </c>
      <c r="B252" s="5" t="s">
        <v>84</v>
      </c>
      <c r="C252" s="11">
        <v>1.5E8</v>
      </c>
      <c r="D252" s="12" t="s">
        <v>98</v>
      </c>
      <c r="E252" s="9" t="s">
        <v>64</v>
      </c>
      <c r="F252" s="11">
        <v>5.0E7</v>
      </c>
    </row>
    <row r="253">
      <c r="A253" s="5">
        <v>252.0</v>
      </c>
      <c r="B253" s="5" t="s">
        <v>84</v>
      </c>
      <c r="C253" s="11">
        <v>1.68E8</v>
      </c>
      <c r="D253" s="12" t="s">
        <v>98</v>
      </c>
      <c r="E253" s="9" t="s">
        <v>65</v>
      </c>
      <c r="F253" s="11">
        <v>4.7E7</v>
      </c>
    </row>
    <row r="254">
      <c r="A254" s="5">
        <v>253.0</v>
      </c>
      <c r="B254" s="5" t="s">
        <v>84</v>
      </c>
      <c r="C254" s="11">
        <v>2.14E8</v>
      </c>
      <c r="D254" s="12" t="s">
        <v>98</v>
      </c>
      <c r="E254" s="9" t="s">
        <v>66</v>
      </c>
      <c r="F254" s="11">
        <v>4.5E7</v>
      </c>
    </row>
    <row r="255">
      <c r="A255" s="5">
        <v>254.0</v>
      </c>
      <c r="B255" s="5" t="s">
        <v>84</v>
      </c>
      <c r="C255" s="11">
        <v>2.6E8</v>
      </c>
      <c r="D255" s="12" t="s">
        <v>98</v>
      </c>
      <c r="E255" s="9" t="s">
        <v>67</v>
      </c>
      <c r="F255" s="11">
        <v>4.3E7</v>
      </c>
    </row>
    <row r="256">
      <c r="A256" s="5">
        <v>255.0</v>
      </c>
      <c r="B256" s="5" t="s">
        <v>84</v>
      </c>
      <c r="C256" s="11">
        <v>2.89E8</v>
      </c>
      <c r="D256" s="12" t="s">
        <v>98</v>
      </c>
      <c r="E256" s="9" t="s">
        <v>68</v>
      </c>
      <c r="F256" s="11">
        <v>4.6E7</v>
      </c>
    </row>
    <row r="257">
      <c r="A257" s="5">
        <v>256.0</v>
      </c>
      <c r="B257" s="5" t="s">
        <v>84</v>
      </c>
      <c r="C257" s="11">
        <v>2.78E8</v>
      </c>
      <c r="D257" s="12" t="s">
        <v>98</v>
      </c>
      <c r="E257" s="9" t="s">
        <v>69</v>
      </c>
      <c r="F257" s="11">
        <v>4.4E7</v>
      </c>
    </row>
    <row r="258">
      <c r="A258" s="5">
        <v>257.0</v>
      </c>
      <c r="B258" s="5" t="s">
        <v>84</v>
      </c>
      <c r="C258" s="11">
        <v>2.56E8</v>
      </c>
      <c r="D258" s="12" t="s">
        <v>98</v>
      </c>
      <c r="E258" s="9" t="s">
        <v>70</v>
      </c>
      <c r="F258" s="11">
        <v>4.3E7</v>
      </c>
    </row>
    <row r="259">
      <c r="A259" s="5">
        <v>258.0</v>
      </c>
      <c r="B259" s="5" t="s">
        <v>84</v>
      </c>
      <c r="C259" s="11">
        <v>2.64E8</v>
      </c>
      <c r="D259" s="12" t="s">
        <v>98</v>
      </c>
      <c r="E259" s="9" t="s">
        <v>71</v>
      </c>
      <c r="F259" s="11">
        <v>3.9E7</v>
      </c>
    </row>
    <row r="260">
      <c r="A260" s="5">
        <v>259.0</v>
      </c>
      <c r="B260" s="5" t="s">
        <v>84</v>
      </c>
      <c r="C260" s="11">
        <v>2.48E8</v>
      </c>
      <c r="D260" s="12" t="s">
        <v>98</v>
      </c>
      <c r="E260" s="9" t="s">
        <v>72</v>
      </c>
      <c r="F260" s="11">
        <v>3.7E7</v>
      </c>
    </row>
    <row r="261">
      <c r="A261" s="5">
        <v>260.0</v>
      </c>
      <c r="B261" s="5" t="s">
        <v>84</v>
      </c>
      <c r="C261" s="11">
        <v>2.99E8</v>
      </c>
      <c r="D261" s="12" t="s">
        <v>98</v>
      </c>
      <c r="E261" s="9" t="s">
        <v>73</v>
      </c>
      <c r="F261" s="11">
        <v>4.0E7</v>
      </c>
    </row>
    <row r="262">
      <c r="A262" s="5">
        <v>261.0</v>
      </c>
      <c r="B262" s="5" t="s">
        <v>77</v>
      </c>
      <c r="C262" s="11">
        <v>7.7E7</v>
      </c>
      <c r="D262" s="12" t="s">
        <v>99</v>
      </c>
      <c r="E262" s="9" t="s">
        <v>60</v>
      </c>
      <c r="F262" s="11">
        <v>5.0E7</v>
      </c>
    </row>
    <row r="263">
      <c r="A263" s="5">
        <v>262.0</v>
      </c>
      <c r="B263" s="5" t="s">
        <v>77</v>
      </c>
      <c r="C263" s="11">
        <v>8.6E7</v>
      </c>
      <c r="D263" s="12" t="s">
        <v>99</v>
      </c>
      <c r="E263" s="9" t="s">
        <v>62</v>
      </c>
      <c r="F263" s="11">
        <v>4.8E7</v>
      </c>
    </row>
    <row r="264">
      <c r="A264" s="5">
        <v>263.0</v>
      </c>
      <c r="B264" s="5" t="s">
        <v>77</v>
      </c>
      <c r="C264" s="11">
        <v>9.5E7</v>
      </c>
      <c r="D264" s="12" t="s">
        <v>99</v>
      </c>
      <c r="E264" s="9" t="s">
        <v>63</v>
      </c>
      <c r="F264" s="11">
        <v>4.9E7</v>
      </c>
    </row>
    <row r="265">
      <c r="A265" s="5">
        <v>264.0</v>
      </c>
      <c r="B265" s="5" t="s">
        <v>77</v>
      </c>
      <c r="C265" s="11">
        <v>1.08E8</v>
      </c>
      <c r="D265" s="12" t="s">
        <v>99</v>
      </c>
      <c r="E265" s="9" t="s">
        <v>64</v>
      </c>
      <c r="F265" s="11">
        <v>5.3E7</v>
      </c>
    </row>
    <row r="266">
      <c r="A266" s="5">
        <v>265.0</v>
      </c>
      <c r="B266" s="5" t="s">
        <v>77</v>
      </c>
      <c r="C266" s="11">
        <v>1.21E8</v>
      </c>
      <c r="D266" s="12" t="s">
        <v>99</v>
      </c>
      <c r="E266" s="9" t="s">
        <v>65</v>
      </c>
      <c r="F266" s="11">
        <v>5.9E7</v>
      </c>
    </row>
    <row r="267">
      <c r="A267" s="5">
        <v>266.0</v>
      </c>
      <c r="B267" s="5" t="s">
        <v>77</v>
      </c>
      <c r="C267" s="11">
        <v>1.08E8</v>
      </c>
      <c r="D267" s="12" t="s">
        <v>99</v>
      </c>
      <c r="E267" s="9" t="s">
        <v>66</v>
      </c>
      <c r="F267" s="11">
        <v>5.8E7</v>
      </c>
    </row>
    <row r="268">
      <c r="A268" s="5">
        <v>267.0</v>
      </c>
      <c r="B268" s="5" t="s">
        <v>77</v>
      </c>
      <c r="C268" s="11">
        <v>1.22E8</v>
      </c>
      <c r="D268" s="12" t="s">
        <v>99</v>
      </c>
      <c r="E268" s="9" t="s">
        <v>67</v>
      </c>
      <c r="F268" s="11">
        <v>7.1E7</v>
      </c>
    </row>
    <row r="269">
      <c r="A269" s="5">
        <v>268.0</v>
      </c>
      <c r="B269" s="5" t="s">
        <v>77</v>
      </c>
      <c r="C269" s="11">
        <v>2.06E8</v>
      </c>
      <c r="D269" s="12" t="s">
        <v>99</v>
      </c>
      <c r="E269" s="9" t="s">
        <v>68</v>
      </c>
      <c r="F269" s="11">
        <v>1.07E8</v>
      </c>
    </row>
    <row r="270">
      <c r="A270" s="5">
        <v>269.0</v>
      </c>
      <c r="B270" s="5" t="s">
        <v>77</v>
      </c>
      <c r="C270" s="11">
        <v>2.36E8</v>
      </c>
      <c r="D270" s="12" t="s">
        <v>99</v>
      </c>
      <c r="E270" s="9" t="s">
        <v>69</v>
      </c>
      <c r="F270" s="11">
        <v>1.02E8</v>
      </c>
    </row>
    <row r="271">
      <c r="A271" s="5">
        <v>270.0</v>
      </c>
      <c r="B271" s="5" t="s">
        <v>77</v>
      </c>
      <c r="C271" s="11">
        <v>1.31E8</v>
      </c>
      <c r="D271" s="12" t="s">
        <v>99</v>
      </c>
      <c r="E271" s="9" t="s">
        <v>70</v>
      </c>
      <c r="F271" s="11">
        <v>8.8E7</v>
      </c>
    </row>
    <row r="272">
      <c r="A272" s="5">
        <v>271.0</v>
      </c>
      <c r="B272" s="5" t="s">
        <v>77</v>
      </c>
      <c r="C272" s="11">
        <v>1.49E8</v>
      </c>
      <c r="D272" s="12" t="s">
        <v>99</v>
      </c>
      <c r="E272" s="9" t="s">
        <v>71</v>
      </c>
      <c r="F272" s="11">
        <v>9.1E7</v>
      </c>
    </row>
    <row r="273">
      <c r="A273" s="5">
        <v>272.0</v>
      </c>
      <c r="B273" s="5" t="s">
        <v>77</v>
      </c>
      <c r="C273" s="11">
        <v>1.88E8</v>
      </c>
      <c r="D273" s="12" t="s">
        <v>99</v>
      </c>
      <c r="E273" s="9" t="s">
        <v>72</v>
      </c>
      <c r="F273" s="8"/>
    </row>
    <row r="274">
      <c r="A274" s="5">
        <v>273.0</v>
      </c>
      <c r="B274" s="5" t="s">
        <v>77</v>
      </c>
      <c r="C274" s="11">
        <v>1.92E8</v>
      </c>
      <c r="D274" s="12" t="s">
        <v>99</v>
      </c>
      <c r="E274" s="9" t="s">
        <v>73</v>
      </c>
      <c r="F274" s="8"/>
    </row>
    <row r="275">
      <c r="A275" s="5">
        <v>274.0</v>
      </c>
      <c r="B275" s="5" t="s">
        <v>84</v>
      </c>
      <c r="C275" s="11">
        <v>4.31E8</v>
      </c>
      <c r="D275" s="12" t="s">
        <v>100</v>
      </c>
      <c r="E275" s="9" t="s">
        <v>60</v>
      </c>
      <c r="F275" s="8"/>
    </row>
    <row r="276">
      <c r="A276" s="5">
        <v>275.0</v>
      </c>
      <c r="B276" s="5" t="s">
        <v>84</v>
      </c>
      <c r="C276" s="11">
        <v>3.51E8</v>
      </c>
      <c r="D276" s="12" t="s">
        <v>100</v>
      </c>
      <c r="E276" s="9" t="s">
        <v>62</v>
      </c>
      <c r="F276" s="8"/>
    </row>
    <row r="277">
      <c r="A277" s="5">
        <v>276.0</v>
      </c>
      <c r="B277" s="5" t="s">
        <v>84</v>
      </c>
      <c r="C277" s="11">
        <v>3.78E8</v>
      </c>
      <c r="D277" s="12" t="s">
        <v>100</v>
      </c>
      <c r="E277" s="9" t="s">
        <v>63</v>
      </c>
      <c r="F277" s="11">
        <v>2.43E8</v>
      </c>
    </row>
    <row r="278">
      <c r="A278" s="5">
        <v>277.0</v>
      </c>
      <c r="B278" s="5" t="s">
        <v>84</v>
      </c>
      <c r="C278" s="11">
        <v>3.48E8</v>
      </c>
      <c r="D278" s="12" t="s">
        <v>100</v>
      </c>
      <c r="E278" s="9" t="s">
        <v>64</v>
      </c>
      <c r="F278" s="11">
        <v>2.48E8</v>
      </c>
    </row>
    <row r="279">
      <c r="A279" s="5">
        <v>278.0</v>
      </c>
      <c r="B279" s="5" t="s">
        <v>84</v>
      </c>
      <c r="C279" s="11">
        <v>4.26E8</v>
      </c>
      <c r="D279" s="12" t="s">
        <v>100</v>
      </c>
      <c r="E279" s="9" t="s">
        <v>65</v>
      </c>
      <c r="F279" s="11">
        <v>2.17E8</v>
      </c>
    </row>
    <row r="280">
      <c r="A280" s="5">
        <v>279.0</v>
      </c>
      <c r="B280" s="5" t="s">
        <v>84</v>
      </c>
      <c r="C280" s="11">
        <v>4.29E8</v>
      </c>
      <c r="D280" s="12" t="s">
        <v>100</v>
      </c>
      <c r="E280" s="9" t="s">
        <v>66</v>
      </c>
      <c r="F280" s="11">
        <v>2.39E8</v>
      </c>
    </row>
    <row r="281">
      <c r="A281" s="5">
        <v>280.0</v>
      </c>
      <c r="B281" s="5" t="s">
        <v>84</v>
      </c>
      <c r="C281" s="11">
        <v>4.95E8</v>
      </c>
      <c r="D281" s="12" t="s">
        <v>100</v>
      </c>
      <c r="E281" s="9" t="s">
        <v>67</v>
      </c>
      <c r="F281" s="11">
        <v>3.94E8</v>
      </c>
    </row>
    <row r="282">
      <c r="A282" s="5">
        <v>281.0</v>
      </c>
      <c r="B282" s="5" t="s">
        <v>84</v>
      </c>
      <c r="C282" s="11">
        <v>5.69E8</v>
      </c>
      <c r="D282" s="12" t="s">
        <v>100</v>
      </c>
      <c r="E282" s="9" t="s">
        <v>68</v>
      </c>
      <c r="F282" s="11">
        <v>4.53E8</v>
      </c>
    </row>
    <row r="283">
      <c r="A283" s="5">
        <v>282.0</v>
      </c>
      <c r="B283" s="5" t="s">
        <v>84</v>
      </c>
      <c r="C283" s="11">
        <v>4.31E8</v>
      </c>
      <c r="D283" s="12" t="s">
        <v>100</v>
      </c>
      <c r="E283" s="9" t="s">
        <v>69</v>
      </c>
      <c r="F283" s="11">
        <v>4.59E8</v>
      </c>
    </row>
    <row r="284">
      <c r="A284" s="5">
        <v>283.0</v>
      </c>
      <c r="B284" s="5" t="s">
        <v>84</v>
      </c>
      <c r="C284" s="11">
        <v>3.66E8</v>
      </c>
      <c r="D284" s="12" t="s">
        <v>100</v>
      </c>
      <c r="E284" s="9" t="s">
        <v>70</v>
      </c>
      <c r="F284" s="11">
        <v>4.07E8</v>
      </c>
    </row>
    <row r="285">
      <c r="A285" s="5">
        <v>284.0</v>
      </c>
      <c r="B285" s="5" t="s">
        <v>84</v>
      </c>
      <c r="C285" s="11">
        <v>4.42E8</v>
      </c>
      <c r="D285" s="12" t="s">
        <v>100</v>
      </c>
      <c r="E285" s="9" t="s">
        <v>71</v>
      </c>
      <c r="F285" s="11">
        <v>4.17E8</v>
      </c>
    </row>
    <row r="286">
      <c r="A286" s="5">
        <v>285.0</v>
      </c>
      <c r="B286" s="5" t="s">
        <v>84</v>
      </c>
      <c r="C286" s="11">
        <v>4.72E8</v>
      </c>
      <c r="D286" s="12" t="s">
        <v>100</v>
      </c>
      <c r="E286" s="9" t="s">
        <v>72</v>
      </c>
      <c r="F286" s="11">
        <v>4.13E8</v>
      </c>
    </row>
    <row r="287">
      <c r="A287" s="5">
        <v>286.0</v>
      </c>
      <c r="B287" s="5" t="s">
        <v>84</v>
      </c>
      <c r="C287" s="11">
        <v>4.61E8</v>
      </c>
      <c r="D287" s="12" t="s">
        <v>100</v>
      </c>
      <c r="E287" s="9" t="s">
        <v>73</v>
      </c>
      <c r="F287" s="11">
        <v>4.11E8</v>
      </c>
    </row>
    <row r="288">
      <c r="A288" s="5">
        <v>287.0</v>
      </c>
      <c r="B288" s="5" t="s">
        <v>61</v>
      </c>
      <c r="C288" s="11">
        <v>1.0E7</v>
      </c>
      <c r="D288" s="12" t="s">
        <v>101</v>
      </c>
      <c r="E288" s="9" t="s">
        <v>60</v>
      </c>
      <c r="F288" s="8"/>
    </row>
    <row r="289">
      <c r="A289" s="5">
        <v>288.0</v>
      </c>
      <c r="B289" s="5" t="s">
        <v>61</v>
      </c>
      <c r="C289" s="11">
        <v>9000000.0</v>
      </c>
      <c r="D289" s="12" t="s">
        <v>101</v>
      </c>
      <c r="E289" s="9" t="s">
        <v>62</v>
      </c>
      <c r="F289" s="8"/>
    </row>
    <row r="290">
      <c r="A290" s="5">
        <v>289.0</v>
      </c>
      <c r="B290" s="5" t="s">
        <v>61</v>
      </c>
      <c r="C290" s="11">
        <v>8000000.0</v>
      </c>
      <c r="D290" s="12" t="s">
        <v>101</v>
      </c>
      <c r="E290" s="9" t="s">
        <v>63</v>
      </c>
      <c r="F290" s="8"/>
    </row>
    <row r="291">
      <c r="A291" s="5">
        <v>290.0</v>
      </c>
      <c r="B291" s="5" t="s">
        <v>61</v>
      </c>
      <c r="C291" s="11">
        <v>8000000.0</v>
      </c>
      <c r="D291" s="12" t="s">
        <v>101</v>
      </c>
      <c r="E291" s="9" t="s">
        <v>64</v>
      </c>
      <c r="F291" s="8"/>
    </row>
    <row r="292">
      <c r="A292" s="5">
        <v>291.0</v>
      </c>
      <c r="B292" s="5" t="s">
        <v>61</v>
      </c>
      <c r="C292" s="11">
        <v>1.3E7</v>
      </c>
      <c r="D292" s="12" t="s">
        <v>101</v>
      </c>
      <c r="E292" s="9" t="s">
        <v>65</v>
      </c>
      <c r="F292" s="8"/>
    </row>
    <row r="293">
      <c r="A293" s="5">
        <v>292.0</v>
      </c>
      <c r="B293" s="5" t="s">
        <v>61</v>
      </c>
      <c r="C293" s="11">
        <v>1.9E7</v>
      </c>
      <c r="D293" s="12" t="s">
        <v>101</v>
      </c>
      <c r="E293" s="9" t="s">
        <v>66</v>
      </c>
      <c r="F293" s="8"/>
    </row>
    <row r="294">
      <c r="A294" s="5">
        <v>293.0</v>
      </c>
      <c r="B294" s="5" t="s">
        <v>61</v>
      </c>
      <c r="C294" s="11">
        <v>3.6E7</v>
      </c>
      <c r="D294" s="12" t="s">
        <v>101</v>
      </c>
      <c r="E294" s="9" t="s">
        <v>67</v>
      </c>
      <c r="F294" s="11">
        <v>2.2E7</v>
      </c>
    </row>
    <row r="295">
      <c r="A295" s="5">
        <v>294.0</v>
      </c>
      <c r="B295" s="5" t="s">
        <v>61</v>
      </c>
      <c r="C295" s="11">
        <v>4.7E7</v>
      </c>
      <c r="D295" s="12" t="s">
        <v>101</v>
      </c>
      <c r="E295" s="9" t="s">
        <v>68</v>
      </c>
      <c r="F295" s="11">
        <v>2.6E7</v>
      </c>
    </row>
    <row r="296">
      <c r="A296" s="5">
        <v>295.0</v>
      </c>
      <c r="B296" s="5" t="s">
        <v>61</v>
      </c>
      <c r="C296" s="11">
        <v>4.6E7</v>
      </c>
      <c r="D296" s="12" t="s">
        <v>101</v>
      </c>
      <c r="E296" s="9" t="s">
        <v>69</v>
      </c>
      <c r="F296" s="11">
        <v>6.6E7</v>
      </c>
    </row>
    <row r="297">
      <c r="A297" s="5">
        <v>296.0</v>
      </c>
      <c r="B297" s="5" t="s">
        <v>61</v>
      </c>
      <c r="C297" s="11">
        <v>5.1E7</v>
      </c>
      <c r="D297" s="12" t="s">
        <v>101</v>
      </c>
      <c r="E297" s="9" t="s">
        <v>70</v>
      </c>
      <c r="F297" s="11">
        <v>3.4E7</v>
      </c>
    </row>
    <row r="298">
      <c r="A298" s="5">
        <v>297.0</v>
      </c>
      <c r="B298" s="5" t="s">
        <v>61</v>
      </c>
      <c r="C298" s="11">
        <v>6.4E7</v>
      </c>
      <c r="D298" s="12" t="s">
        <v>101</v>
      </c>
      <c r="E298" s="9" t="s">
        <v>71</v>
      </c>
      <c r="F298" s="11">
        <v>4.3E7</v>
      </c>
    </row>
    <row r="299">
      <c r="A299" s="5">
        <v>298.0</v>
      </c>
      <c r="B299" s="5" t="s">
        <v>61</v>
      </c>
      <c r="C299" s="11">
        <v>7.6E7</v>
      </c>
      <c r="D299" s="12" t="s">
        <v>101</v>
      </c>
      <c r="E299" s="9" t="s">
        <v>72</v>
      </c>
      <c r="F299" s="11">
        <v>5.8E7</v>
      </c>
    </row>
    <row r="300">
      <c r="A300" s="5">
        <v>299.0</v>
      </c>
      <c r="B300" s="5" t="s">
        <v>61</v>
      </c>
      <c r="C300" s="11">
        <v>9.4E7</v>
      </c>
      <c r="D300" s="12" t="s">
        <v>101</v>
      </c>
      <c r="E300" s="9" t="s">
        <v>73</v>
      </c>
      <c r="F300" s="11">
        <v>7.1E7</v>
      </c>
    </row>
    <row r="301">
      <c r="A301" s="5">
        <v>300.0</v>
      </c>
      <c r="B301" s="5" t="s">
        <v>84</v>
      </c>
      <c r="C301" s="11">
        <v>1.01E8</v>
      </c>
      <c r="D301" s="12" t="s">
        <v>102</v>
      </c>
      <c r="E301" s="9" t="s">
        <v>60</v>
      </c>
      <c r="F301" s="11">
        <v>1.16E8</v>
      </c>
    </row>
    <row r="302">
      <c r="A302" s="5">
        <v>301.0</v>
      </c>
      <c r="B302" s="5" t="s">
        <v>84</v>
      </c>
      <c r="C302" s="11">
        <v>1.19E8</v>
      </c>
      <c r="D302" s="12" t="s">
        <v>102</v>
      </c>
      <c r="E302" s="9" t="s">
        <v>62</v>
      </c>
      <c r="F302" s="11">
        <v>1.14E8</v>
      </c>
    </row>
    <row r="303">
      <c r="A303" s="5">
        <v>302.0</v>
      </c>
      <c r="B303" s="5" t="s">
        <v>84</v>
      </c>
      <c r="C303" s="11">
        <v>1.43E8</v>
      </c>
      <c r="D303" s="12" t="s">
        <v>102</v>
      </c>
      <c r="E303" s="9" t="s">
        <v>63</v>
      </c>
      <c r="F303" s="11">
        <v>1.14E8</v>
      </c>
    </row>
    <row r="304">
      <c r="A304" s="5">
        <v>303.0</v>
      </c>
      <c r="B304" s="5" t="s">
        <v>84</v>
      </c>
      <c r="C304" s="11">
        <v>2.43E8</v>
      </c>
      <c r="D304" s="12" t="s">
        <v>102</v>
      </c>
      <c r="E304" s="9" t="s">
        <v>64</v>
      </c>
      <c r="F304" s="11">
        <v>1.97E8</v>
      </c>
    </row>
    <row r="305">
      <c r="A305" s="5">
        <v>304.0</v>
      </c>
      <c r="B305" s="5" t="s">
        <v>84</v>
      </c>
      <c r="C305" s="11">
        <v>2.83E8</v>
      </c>
      <c r="D305" s="12" t="s">
        <v>102</v>
      </c>
      <c r="E305" s="9" t="s">
        <v>65</v>
      </c>
      <c r="F305" s="11">
        <v>2.32E8</v>
      </c>
    </row>
    <row r="306">
      <c r="A306" s="5">
        <v>305.0</v>
      </c>
      <c r="B306" s="5" t="s">
        <v>84</v>
      </c>
      <c r="C306" s="11">
        <v>3.45E8</v>
      </c>
      <c r="D306" s="12" t="s">
        <v>102</v>
      </c>
      <c r="E306" s="9" t="s">
        <v>66</v>
      </c>
      <c r="F306" s="11">
        <v>2.57E8</v>
      </c>
    </row>
    <row r="307">
      <c r="A307" s="5">
        <v>306.0</v>
      </c>
      <c r="B307" s="5" t="s">
        <v>84</v>
      </c>
      <c r="C307" s="11">
        <v>3.3E8</v>
      </c>
      <c r="D307" s="12" t="s">
        <v>102</v>
      </c>
      <c r="E307" s="9" t="s">
        <v>67</v>
      </c>
      <c r="F307" s="11">
        <v>3.6E8</v>
      </c>
    </row>
    <row r="308">
      <c r="A308" s="5">
        <v>307.0</v>
      </c>
      <c r="B308" s="5" t="s">
        <v>84</v>
      </c>
      <c r="C308" s="11">
        <v>3.26E8</v>
      </c>
      <c r="D308" s="12" t="s">
        <v>102</v>
      </c>
      <c r="E308" s="9" t="s">
        <v>68</v>
      </c>
      <c r="F308" s="11">
        <v>3.85E8</v>
      </c>
    </row>
    <row r="309">
      <c r="A309" s="5">
        <v>308.0</v>
      </c>
      <c r="B309" s="5" t="s">
        <v>84</v>
      </c>
      <c r="C309" s="11">
        <v>3.02E8</v>
      </c>
      <c r="D309" s="12" t="s">
        <v>102</v>
      </c>
      <c r="E309" s="9" t="s">
        <v>69</v>
      </c>
      <c r="F309" s="11">
        <v>3.81E8</v>
      </c>
    </row>
    <row r="310">
      <c r="A310" s="5">
        <v>309.0</v>
      </c>
      <c r="B310" s="5" t="s">
        <v>84</v>
      </c>
      <c r="C310" s="11">
        <v>3.06E8</v>
      </c>
      <c r="D310" s="12" t="s">
        <v>102</v>
      </c>
      <c r="E310" s="9" t="s">
        <v>70</v>
      </c>
      <c r="F310" s="11">
        <v>3.88E8</v>
      </c>
    </row>
    <row r="311">
      <c r="A311" s="5">
        <v>310.0</v>
      </c>
      <c r="B311" s="5" t="s">
        <v>84</v>
      </c>
      <c r="C311" s="11">
        <v>3.39E8</v>
      </c>
      <c r="D311" s="12" t="s">
        <v>102</v>
      </c>
      <c r="E311" s="9" t="s">
        <v>71</v>
      </c>
      <c r="F311" s="11">
        <v>4.21E8</v>
      </c>
    </row>
    <row r="312">
      <c r="A312" s="5">
        <v>311.0</v>
      </c>
      <c r="B312" s="5" t="s">
        <v>84</v>
      </c>
      <c r="C312" s="11">
        <v>4.99E8</v>
      </c>
      <c r="D312" s="12" t="s">
        <v>102</v>
      </c>
      <c r="E312" s="9" t="s">
        <v>72</v>
      </c>
      <c r="F312" s="11">
        <v>4.1E8</v>
      </c>
    </row>
    <row r="313">
      <c r="A313" s="5">
        <v>312.0</v>
      </c>
      <c r="B313" s="5" t="s">
        <v>84</v>
      </c>
      <c r="C313" s="11">
        <v>5.81E8</v>
      </c>
      <c r="D313" s="12" t="s">
        <v>102</v>
      </c>
      <c r="E313" s="9" t="s">
        <v>73</v>
      </c>
      <c r="F313" s="11">
        <v>5.59E8</v>
      </c>
    </row>
    <row r="314">
      <c r="A314" s="5">
        <v>313.0</v>
      </c>
      <c r="B314" s="5" t="s">
        <v>75</v>
      </c>
      <c r="C314" s="11">
        <v>2.46E8</v>
      </c>
      <c r="D314" s="12" t="s">
        <v>103</v>
      </c>
      <c r="E314" s="9" t="s">
        <v>60</v>
      </c>
      <c r="F314" s="11">
        <v>9.2E7</v>
      </c>
    </row>
    <row r="315">
      <c r="A315" s="5">
        <v>314.0</v>
      </c>
      <c r="B315" s="5" t="s">
        <v>75</v>
      </c>
      <c r="C315" s="11">
        <v>2.79E8</v>
      </c>
      <c r="D315" s="12" t="s">
        <v>103</v>
      </c>
      <c r="E315" s="9" t="s">
        <v>62</v>
      </c>
      <c r="F315" s="11">
        <v>9.6E7</v>
      </c>
    </row>
    <row r="316">
      <c r="A316" s="5">
        <v>315.0</v>
      </c>
      <c r="B316" s="5" t="s">
        <v>75</v>
      </c>
      <c r="C316" s="11">
        <v>3.07E8</v>
      </c>
      <c r="D316" s="12" t="s">
        <v>103</v>
      </c>
      <c r="E316" s="9" t="s">
        <v>63</v>
      </c>
      <c r="F316" s="11">
        <v>1.12E8</v>
      </c>
    </row>
    <row r="317">
      <c r="A317" s="5">
        <v>316.0</v>
      </c>
      <c r="B317" s="5" t="s">
        <v>75</v>
      </c>
      <c r="C317" s="11">
        <v>4.04E8</v>
      </c>
      <c r="D317" s="12" t="s">
        <v>103</v>
      </c>
      <c r="E317" s="9" t="s">
        <v>64</v>
      </c>
      <c r="F317" s="11">
        <v>1.45E8</v>
      </c>
    </row>
    <row r="318">
      <c r="A318" s="5">
        <v>317.0</v>
      </c>
      <c r="B318" s="5" t="s">
        <v>75</v>
      </c>
      <c r="C318" s="11">
        <v>5.07E8</v>
      </c>
      <c r="D318" s="12" t="s">
        <v>103</v>
      </c>
      <c r="E318" s="9" t="s">
        <v>65</v>
      </c>
      <c r="F318" s="11">
        <v>1.62E8</v>
      </c>
    </row>
    <row r="319">
      <c r="A319" s="5">
        <v>318.0</v>
      </c>
      <c r="B319" s="5" t="s">
        <v>75</v>
      </c>
      <c r="C319" s="11">
        <v>5.57E8</v>
      </c>
      <c r="D319" s="12" t="s">
        <v>103</v>
      </c>
      <c r="E319" s="9" t="s">
        <v>66</v>
      </c>
      <c r="F319" s="11">
        <v>1.58E8</v>
      </c>
    </row>
    <row r="320">
      <c r="A320" s="5">
        <v>319.0</v>
      </c>
      <c r="B320" s="5" t="s">
        <v>75</v>
      </c>
      <c r="C320" s="11">
        <v>6.58E8</v>
      </c>
      <c r="D320" s="12" t="s">
        <v>103</v>
      </c>
      <c r="E320" s="9" t="s">
        <v>67</v>
      </c>
      <c r="F320" s="11">
        <v>2.1E8</v>
      </c>
    </row>
    <row r="321">
      <c r="A321" s="5">
        <v>320.0</v>
      </c>
      <c r="B321" s="5" t="s">
        <v>75</v>
      </c>
      <c r="C321" s="11">
        <v>8.04E8</v>
      </c>
      <c r="D321" s="12" t="s">
        <v>103</v>
      </c>
      <c r="E321" s="9" t="s">
        <v>68</v>
      </c>
      <c r="F321" s="11">
        <v>2.64E8</v>
      </c>
    </row>
    <row r="322">
      <c r="A322" s="5">
        <v>321.0</v>
      </c>
      <c r="B322" s="5" t="s">
        <v>75</v>
      </c>
      <c r="C322" s="11">
        <v>9.13E8</v>
      </c>
      <c r="D322" s="12" t="s">
        <v>103</v>
      </c>
      <c r="E322" s="9" t="s">
        <v>69</v>
      </c>
      <c r="F322" s="11">
        <v>3.45E8</v>
      </c>
    </row>
    <row r="323">
      <c r="A323" s="5">
        <v>322.0</v>
      </c>
      <c r="B323" s="5" t="s">
        <v>75</v>
      </c>
      <c r="C323" s="11">
        <v>7.53E8</v>
      </c>
      <c r="D323" s="12" t="s">
        <v>103</v>
      </c>
      <c r="E323" s="9" t="s">
        <v>70</v>
      </c>
      <c r="F323" s="11">
        <v>2.85E8</v>
      </c>
    </row>
    <row r="324">
      <c r="A324" s="5">
        <v>323.0</v>
      </c>
      <c r="B324" s="5" t="s">
        <v>75</v>
      </c>
      <c r="C324" s="11">
        <v>6.62E8</v>
      </c>
      <c r="D324" s="12" t="s">
        <v>103</v>
      </c>
      <c r="E324" s="9" t="s">
        <v>71</v>
      </c>
      <c r="F324" s="11">
        <v>2.47E8</v>
      </c>
    </row>
    <row r="325">
      <c r="A325" s="5">
        <v>324.0</v>
      </c>
      <c r="B325" s="5" t="s">
        <v>75</v>
      </c>
      <c r="C325" s="11">
        <v>7.34E8</v>
      </c>
      <c r="D325" s="12" t="s">
        <v>103</v>
      </c>
      <c r="E325" s="9" t="s">
        <v>72</v>
      </c>
      <c r="F325" s="11">
        <v>2.38E8</v>
      </c>
    </row>
    <row r="326">
      <c r="A326" s="5">
        <v>325.0</v>
      </c>
      <c r="B326" s="5" t="s">
        <v>75</v>
      </c>
      <c r="C326" s="11">
        <v>6.65E8</v>
      </c>
      <c r="D326" s="12" t="s">
        <v>103</v>
      </c>
      <c r="E326" s="9" t="s">
        <v>73</v>
      </c>
      <c r="F326" s="11">
        <v>1.94E8</v>
      </c>
    </row>
    <row r="327">
      <c r="A327" s="5">
        <v>326.0</v>
      </c>
      <c r="B327" s="5" t="s">
        <v>77</v>
      </c>
      <c r="C327" s="11">
        <v>2.27E8</v>
      </c>
      <c r="D327" s="12" t="s">
        <v>104</v>
      </c>
      <c r="E327" s="9" t="s">
        <v>60</v>
      </c>
      <c r="F327" s="11">
        <v>2.09E8</v>
      </c>
    </row>
    <row r="328">
      <c r="A328" s="5">
        <v>327.0</v>
      </c>
      <c r="B328" s="5" t="s">
        <v>77</v>
      </c>
      <c r="C328" s="11">
        <v>2.35E8</v>
      </c>
      <c r="D328" s="12" t="s">
        <v>104</v>
      </c>
      <c r="E328" s="9" t="s">
        <v>62</v>
      </c>
      <c r="F328" s="11">
        <v>2.15E8</v>
      </c>
    </row>
    <row r="329">
      <c r="A329" s="5">
        <v>328.0</v>
      </c>
      <c r="B329" s="5" t="s">
        <v>77</v>
      </c>
      <c r="C329" s="11">
        <v>3.24E8</v>
      </c>
      <c r="D329" s="12" t="s">
        <v>104</v>
      </c>
      <c r="E329" s="9" t="s">
        <v>63</v>
      </c>
      <c r="F329" s="11">
        <v>1.97E8</v>
      </c>
    </row>
    <row r="330">
      <c r="A330" s="5">
        <v>329.0</v>
      </c>
      <c r="B330" s="5" t="s">
        <v>77</v>
      </c>
      <c r="C330" s="11">
        <v>4.59E8</v>
      </c>
      <c r="D330" s="12" t="s">
        <v>104</v>
      </c>
      <c r="E330" s="9" t="s">
        <v>64</v>
      </c>
      <c r="F330" s="11">
        <v>2.35E8</v>
      </c>
    </row>
    <row r="331">
      <c r="A331" s="5">
        <v>330.0</v>
      </c>
      <c r="B331" s="5" t="s">
        <v>77</v>
      </c>
      <c r="C331" s="11">
        <v>5.82E8</v>
      </c>
      <c r="D331" s="12" t="s">
        <v>104</v>
      </c>
      <c r="E331" s="9" t="s">
        <v>65</v>
      </c>
      <c r="F331" s="11">
        <v>2.8E8</v>
      </c>
    </row>
    <row r="332">
      <c r="A332" s="5">
        <v>331.0</v>
      </c>
      <c r="B332" s="5" t="s">
        <v>77</v>
      </c>
      <c r="C332" s="11">
        <v>5.63E8</v>
      </c>
      <c r="D332" s="12" t="s">
        <v>104</v>
      </c>
      <c r="E332" s="9" t="s">
        <v>66</v>
      </c>
      <c r="F332" s="11">
        <v>3.01E8</v>
      </c>
    </row>
    <row r="333">
      <c r="A333" s="5">
        <v>332.0</v>
      </c>
      <c r="B333" s="5" t="s">
        <v>77</v>
      </c>
      <c r="C333" s="11">
        <v>5.39E8</v>
      </c>
      <c r="D333" s="12" t="s">
        <v>104</v>
      </c>
      <c r="E333" s="9" t="s">
        <v>67</v>
      </c>
      <c r="F333" s="11">
        <v>2.85E8</v>
      </c>
    </row>
    <row r="334">
      <c r="A334" s="5">
        <v>333.0</v>
      </c>
      <c r="B334" s="5" t="s">
        <v>77</v>
      </c>
      <c r="C334" s="11">
        <v>5.48E8</v>
      </c>
      <c r="D334" s="12" t="s">
        <v>104</v>
      </c>
      <c r="E334" s="9" t="s">
        <v>68</v>
      </c>
      <c r="F334" s="11">
        <v>2.84E8</v>
      </c>
    </row>
    <row r="335">
      <c r="A335" s="5">
        <v>334.0</v>
      </c>
      <c r="B335" s="5" t="s">
        <v>77</v>
      </c>
      <c r="C335" s="11">
        <v>5.9E7</v>
      </c>
      <c r="D335" s="12" t="s">
        <v>104</v>
      </c>
      <c r="E335" s="9" t="s">
        <v>69</v>
      </c>
      <c r="F335" s="11">
        <v>5.4E7</v>
      </c>
    </row>
    <row r="336">
      <c r="A336" s="5">
        <v>335.0</v>
      </c>
      <c r="B336" s="5" t="s">
        <v>77</v>
      </c>
      <c r="C336" s="11">
        <v>5.3E7</v>
      </c>
      <c r="D336" s="12" t="s">
        <v>104</v>
      </c>
      <c r="E336" s="9" t="s">
        <v>70</v>
      </c>
      <c r="F336" s="11">
        <v>8.0E7</v>
      </c>
    </row>
    <row r="337">
      <c r="A337" s="5">
        <v>336.0</v>
      </c>
      <c r="B337" s="5" t="s">
        <v>77</v>
      </c>
      <c r="C337" s="11">
        <v>8.0E7</v>
      </c>
      <c r="D337" s="12" t="s">
        <v>104</v>
      </c>
      <c r="E337" s="9" t="s">
        <v>71</v>
      </c>
      <c r="F337" s="11">
        <v>8.9E7</v>
      </c>
    </row>
    <row r="338">
      <c r="A338" s="5">
        <v>337.0</v>
      </c>
      <c r="B338" s="5" t="s">
        <v>77</v>
      </c>
      <c r="C338" s="11">
        <v>3.6E7</v>
      </c>
      <c r="D338" s="12" t="s">
        <v>104</v>
      </c>
      <c r="E338" s="9" t="s">
        <v>72</v>
      </c>
      <c r="F338" s="11">
        <v>8.2E7</v>
      </c>
    </row>
    <row r="339">
      <c r="A339" s="5">
        <v>338.0</v>
      </c>
      <c r="B339" s="5" t="s">
        <v>77</v>
      </c>
      <c r="C339" s="11">
        <v>3.0E7</v>
      </c>
      <c r="D339" s="12" t="s">
        <v>104</v>
      </c>
      <c r="E339" s="9" t="s">
        <v>73</v>
      </c>
      <c r="F339" s="11">
        <v>1.0E8</v>
      </c>
    </row>
    <row r="340">
      <c r="A340" s="5">
        <v>339.0</v>
      </c>
      <c r="B340" s="5" t="s">
        <v>84</v>
      </c>
      <c r="C340" s="11">
        <v>1.969E9</v>
      </c>
      <c r="D340" s="12" t="s">
        <v>105</v>
      </c>
      <c r="E340" s="9" t="s">
        <v>60</v>
      </c>
      <c r="F340" s="11">
        <v>4.548E9</v>
      </c>
    </row>
    <row r="341">
      <c r="A341" s="5">
        <v>340.0</v>
      </c>
      <c r="B341" s="5" t="s">
        <v>84</v>
      </c>
      <c r="C341" s="11">
        <v>1.844E9</v>
      </c>
      <c r="D341" s="12" t="s">
        <v>105</v>
      </c>
      <c r="E341" s="9" t="s">
        <v>62</v>
      </c>
      <c r="F341" s="11">
        <v>3.765E9</v>
      </c>
    </row>
    <row r="342">
      <c r="A342" s="5">
        <v>341.0</v>
      </c>
      <c r="B342" s="5" t="s">
        <v>84</v>
      </c>
      <c r="C342" s="11">
        <v>2.142E9</v>
      </c>
      <c r="D342" s="12" t="s">
        <v>105</v>
      </c>
      <c r="E342" s="9" t="s">
        <v>63</v>
      </c>
      <c r="F342" s="11">
        <v>2.929E9</v>
      </c>
    </row>
    <row r="343">
      <c r="A343" s="5">
        <v>342.0</v>
      </c>
      <c r="B343" s="5" t="s">
        <v>84</v>
      </c>
      <c r="C343" s="11">
        <v>2.673E9</v>
      </c>
      <c r="D343" s="12" t="s">
        <v>105</v>
      </c>
      <c r="E343" s="9" t="s">
        <v>64</v>
      </c>
      <c r="F343" s="11">
        <v>2.874E9</v>
      </c>
    </row>
    <row r="344">
      <c r="A344" s="5">
        <v>343.0</v>
      </c>
      <c r="B344" s="5" t="s">
        <v>84</v>
      </c>
      <c r="C344" s="11">
        <v>3.389E9</v>
      </c>
      <c r="D344" s="12" t="s">
        <v>105</v>
      </c>
      <c r="E344" s="9" t="s">
        <v>65</v>
      </c>
      <c r="F344" s="11">
        <v>3.752E9</v>
      </c>
    </row>
    <row r="345">
      <c r="A345" s="5">
        <v>344.0</v>
      </c>
      <c r="B345" s="5" t="s">
        <v>84</v>
      </c>
      <c r="C345" s="11">
        <v>4.168E9</v>
      </c>
      <c r="D345" s="12" t="s">
        <v>105</v>
      </c>
      <c r="E345" s="9" t="s">
        <v>66</v>
      </c>
      <c r="F345" s="11">
        <v>5.905E9</v>
      </c>
    </row>
    <row r="346">
      <c r="A346" s="5">
        <v>345.0</v>
      </c>
      <c r="B346" s="5" t="s">
        <v>84</v>
      </c>
      <c r="C346" s="11">
        <v>4.577E9</v>
      </c>
      <c r="D346" s="12" t="s">
        <v>105</v>
      </c>
      <c r="E346" s="9" t="s">
        <v>67</v>
      </c>
      <c r="F346" s="11">
        <v>7.501E9</v>
      </c>
    </row>
    <row r="347">
      <c r="A347" s="5">
        <v>346.0</v>
      </c>
      <c r="B347" s="5" t="s">
        <v>84</v>
      </c>
      <c r="C347" s="11">
        <v>5.284E9</v>
      </c>
      <c r="D347" s="12" t="s">
        <v>105</v>
      </c>
      <c r="E347" s="9" t="s">
        <v>68</v>
      </c>
      <c r="F347" s="11">
        <v>1.0434E10</v>
      </c>
    </row>
    <row r="348">
      <c r="A348" s="5">
        <v>347.0</v>
      </c>
      <c r="B348" s="5" t="s">
        <v>84</v>
      </c>
      <c r="C348" s="11">
        <v>6.109E9</v>
      </c>
      <c r="D348" s="12" t="s">
        <v>105</v>
      </c>
      <c r="E348" s="9" t="s">
        <v>69</v>
      </c>
      <c r="F348" s="11">
        <v>1.3269E10</v>
      </c>
    </row>
    <row r="349">
      <c r="A349" s="5">
        <v>348.0</v>
      </c>
      <c r="B349" s="5" t="s">
        <v>84</v>
      </c>
      <c r="C349" s="11">
        <v>5.635E9</v>
      </c>
      <c r="D349" s="12" t="s">
        <v>105</v>
      </c>
      <c r="E349" s="9" t="s">
        <v>70</v>
      </c>
      <c r="F349" s="11">
        <v>1.2897E10</v>
      </c>
    </row>
    <row r="350">
      <c r="A350" s="5">
        <v>349.0</v>
      </c>
      <c r="B350" s="5" t="s">
        <v>84</v>
      </c>
      <c r="C350" s="11">
        <v>6.18E9</v>
      </c>
      <c r="D350" s="12" t="s">
        <v>105</v>
      </c>
      <c r="E350" s="9" t="s">
        <v>71</v>
      </c>
      <c r="F350" s="11">
        <v>1.934E10</v>
      </c>
    </row>
    <row r="351">
      <c r="A351" s="5">
        <v>350.0</v>
      </c>
      <c r="B351" s="5" t="s">
        <v>84</v>
      </c>
      <c r="C351" s="11">
        <v>6.83E9</v>
      </c>
      <c r="D351" s="12" t="s">
        <v>105</v>
      </c>
      <c r="E351" s="9" t="s">
        <v>72</v>
      </c>
      <c r="F351" s="11">
        <v>2.507E10</v>
      </c>
    </row>
    <row r="352">
      <c r="A352" s="5">
        <v>351.0</v>
      </c>
      <c r="B352" s="5" t="s">
        <v>84</v>
      </c>
      <c r="C352" s="11">
        <v>6.89E9</v>
      </c>
      <c r="D352" s="12" t="s">
        <v>105</v>
      </c>
      <c r="E352" s="9" t="s">
        <v>73</v>
      </c>
      <c r="F352" s="11">
        <v>2.6202E10</v>
      </c>
    </row>
    <row r="353">
      <c r="A353" s="5">
        <v>352.0</v>
      </c>
      <c r="B353" s="5" t="s">
        <v>61</v>
      </c>
      <c r="C353" s="8"/>
      <c r="D353" s="12" t="s">
        <v>106</v>
      </c>
      <c r="E353" s="9" t="s">
        <v>60</v>
      </c>
      <c r="F353" s="8"/>
    </row>
    <row r="354">
      <c r="A354" s="5">
        <v>353.0</v>
      </c>
      <c r="B354" s="5" t="s">
        <v>61</v>
      </c>
      <c r="C354" s="11">
        <v>1.55E8</v>
      </c>
      <c r="D354" s="12" t="s">
        <v>106</v>
      </c>
      <c r="E354" s="9" t="s">
        <v>62</v>
      </c>
      <c r="F354" s="11">
        <v>4.56E8</v>
      </c>
    </row>
    <row r="355">
      <c r="A355" s="5">
        <v>354.0</v>
      </c>
      <c r="B355" s="5" t="s">
        <v>61</v>
      </c>
      <c r="C355" s="11">
        <v>1.13E8</v>
      </c>
      <c r="D355" s="12" t="s">
        <v>106</v>
      </c>
      <c r="E355" s="9" t="s">
        <v>63</v>
      </c>
      <c r="F355" s="11">
        <v>3.98E8</v>
      </c>
    </row>
    <row r="356">
      <c r="A356" s="5">
        <v>355.0</v>
      </c>
      <c r="B356" s="5" t="s">
        <v>61</v>
      </c>
      <c r="C356" s="11">
        <v>1.24E8</v>
      </c>
      <c r="D356" s="12" t="s">
        <v>106</v>
      </c>
      <c r="E356" s="9" t="s">
        <v>64</v>
      </c>
      <c r="F356" s="11">
        <v>4.69E8</v>
      </c>
    </row>
    <row r="357">
      <c r="A357" s="5">
        <v>356.0</v>
      </c>
      <c r="B357" s="5" t="s">
        <v>61</v>
      </c>
      <c r="C357" s="11">
        <v>1.81E8</v>
      </c>
      <c r="D357" s="12" t="s">
        <v>106</v>
      </c>
      <c r="E357" s="9" t="s">
        <v>65</v>
      </c>
      <c r="F357" s="11">
        <v>3.82E8</v>
      </c>
    </row>
    <row r="358">
      <c r="A358" s="5">
        <v>357.0</v>
      </c>
      <c r="B358" s="5" t="s">
        <v>61</v>
      </c>
      <c r="C358" s="11">
        <v>1.91E8</v>
      </c>
      <c r="D358" s="12" t="s">
        <v>106</v>
      </c>
      <c r="E358" s="9" t="s">
        <v>66</v>
      </c>
      <c r="F358" s="11">
        <v>3.74E8</v>
      </c>
    </row>
    <row r="359">
      <c r="A359" s="5">
        <v>358.0</v>
      </c>
      <c r="B359" s="5" t="s">
        <v>61</v>
      </c>
      <c r="C359" s="11">
        <v>2.24E8</v>
      </c>
      <c r="D359" s="12" t="s">
        <v>106</v>
      </c>
      <c r="E359" s="9" t="s">
        <v>67</v>
      </c>
      <c r="F359" s="11">
        <v>4.08E8</v>
      </c>
    </row>
    <row r="360">
      <c r="A360" s="5">
        <v>359.0</v>
      </c>
      <c r="B360" s="5" t="s">
        <v>61</v>
      </c>
      <c r="C360" s="11">
        <v>2.33E8</v>
      </c>
      <c r="D360" s="12" t="s">
        <v>106</v>
      </c>
      <c r="E360" s="9" t="s">
        <v>68</v>
      </c>
      <c r="F360" s="11">
        <v>4.3E8</v>
      </c>
    </row>
    <row r="361">
      <c r="A361" s="5">
        <v>360.0</v>
      </c>
      <c r="B361" s="5" t="s">
        <v>61</v>
      </c>
      <c r="C361" s="11">
        <v>2.42E8</v>
      </c>
      <c r="D361" s="12" t="s">
        <v>106</v>
      </c>
      <c r="E361" s="9" t="s">
        <v>69</v>
      </c>
      <c r="F361" s="11">
        <v>4.59E8</v>
      </c>
    </row>
    <row r="362">
      <c r="A362" s="5">
        <v>361.0</v>
      </c>
      <c r="B362" s="5" t="s">
        <v>61</v>
      </c>
      <c r="C362" s="11">
        <v>2.54E8</v>
      </c>
      <c r="D362" s="12" t="s">
        <v>106</v>
      </c>
      <c r="E362" s="9" t="s">
        <v>70</v>
      </c>
      <c r="F362" s="11">
        <v>4.77E8</v>
      </c>
    </row>
    <row r="363">
      <c r="A363" s="5">
        <v>362.0</v>
      </c>
      <c r="B363" s="5" t="s">
        <v>61</v>
      </c>
      <c r="C363" s="8"/>
      <c r="D363" s="12" t="s">
        <v>106</v>
      </c>
      <c r="E363" s="9" t="s">
        <v>71</v>
      </c>
      <c r="F363" s="8"/>
    </row>
    <row r="364">
      <c r="A364" s="5">
        <v>363.0</v>
      </c>
      <c r="B364" s="5" t="s">
        <v>61</v>
      </c>
      <c r="C364" s="8"/>
      <c r="D364" s="12" t="s">
        <v>106</v>
      </c>
      <c r="E364" s="9" t="s">
        <v>72</v>
      </c>
      <c r="F364" s="8"/>
    </row>
    <row r="365">
      <c r="A365" s="5">
        <v>364.0</v>
      </c>
      <c r="B365" s="5" t="s">
        <v>61</v>
      </c>
      <c r="C365" s="8"/>
      <c r="D365" s="12" t="s">
        <v>106</v>
      </c>
      <c r="E365" s="9" t="s">
        <v>73</v>
      </c>
      <c r="F365" s="8"/>
    </row>
    <row r="366">
      <c r="A366" s="5">
        <v>365.0</v>
      </c>
      <c r="B366" s="5" t="s">
        <v>75</v>
      </c>
      <c r="C366" s="11">
        <v>1.364E9</v>
      </c>
      <c r="D366" s="12" t="s">
        <v>107</v>
      </c>
      <c r="E366" s="9" t="s">
        <v>60</v>
      </c>
      <c r="F366" s="11">
        <v>7.64E8</v>
      </c>
    </row>
    <row r="367">
      <c r="A367" s="5">
        <v>366.0</v>
      </c>
      <c r="B367" s="5" t="s">
        <v>75</v>
      </c>
      <c r="C367" s="11">
        <v>1.262E9</v>
      </c>
      <c r="D367" s="12" t="s">
        <v>107</v>
      </c>
      <c r="E367" s="9" t="s">
        <v>62</v>
      </c>
      <c r="F367" s="11">
        <v>8.36E8</v>
      </c>
    </row>
    <row r="368">
      <c r="A368" s="5">
        <v>367.0</v>
      </c>
      <c r="B368" s="5" t="s">
        <v>75</v>
      </c>
      <c r="C368" s="11">
        <v>1.392E9</v>
      </c>
      <c r="D368" s="12" t="s">
        <v>107</v>
      </c>
      <c r="E368" s="9" t="s">
        <v>63</v>
      </c>
      <c r="F368" s="11">
        <v>1.018E9</v>
      </c>
    </row>
    <row r="369">
      <c r="A369" s="5">
        <v>368.0</v>
      </c>
      <c r="B369" s="5" t="s">
        <v>75</v>
      </c>
      <c r="C369" s="11">
        <v>2.051E9</v>
      </c>
      <c r="D369" s="12" t="s">
        <v>107</v>
      </c>
      <c r="E369" s="9" t="s">
        <v>64</v>
      </c>
      <c r="F369" s="11">
        <v>1.467E9</v>
      </c>
    </row>
    <row r="370">
      <c r="A370" s="5">
        <v>369.0</v>
      </c>
      <c r="B370" s="5" t="s">
        <v>75</v>
      </c>
      <c r="C370" s="11">
        <v>2.796E9</v>
      </c>
      <c r="D370" s="12" t="s">
        <v>107</v>
      </c>
      <c r="E370" s="9" t="s">
        <v>65</v>
      </c>
      <c r="F370" s="11">
        <v>1.935E9</v>
      </c>
    </row>
    <row r="371">
      <c r="A371" s="5">
        <v>370.0</v>
      </c>
      <c r="B371" s="5" t="s">
        <v>75</v>
      </c>
      <c r="C371" s="11">
        <v>3.063E9</v>
      </c>
      <c r="D371" s="12" t="s">
        <v>107</v>
      </c>
      <c r="E371" s="9" t="s">
        <v>66</v>
      </c>
      <c r="F371" s="11">
        <v>1.858E9</v>
      </c>
    </row>
    <row r="372">
      <c r="A372" s="5">
        <v>371.0</v>
      </c>
      <c r="B372" s="5" t="s">
        <v>75</v>
      </c>
      <c r="C372" s="11">
        <v>3.317E9</v>
      </c>
      <c r="D372" s="12" t="s">
        <v>107</v>
      </c>
      <c r="E372" s="9" t="s">
        <v>67</v>
      </c>
      <c r="F372" s="11">
        <v>2.099E9</v>
      </c>
    </row>
    <row r="373">
      <c r="A373" s="5">
        <v>372.0</v>
      </c>
      <c r="B373" s="5" t="s">
        <v>75</v>
      </c>
      <c r="C373" s="11">
        <v>4.181E9</v>
      </c>
      <c r="D373" s="12" t="s">
        <v>107</v>
      </c>
      <c r="E373" s="9" t="s">
        <v>68</v>
      </c>
      <c r="F373" s="11">
        <v>2.142E9</v>
      </c>
    </row>
    <row r="374">
      <c r="A374" s="5">
        <v>373.0</v>
      </c>
      <c r="B374" s="5" t="s">
        <v>75</v>
      </c>
      <c r="C374" s="11">
        <v>4.852E9</v>
      </c>
      <c r="D374" s="12" t="s">
        <v>107</v>
      </c>
      <c r="E374" s="9" t="s">
        <v>69</v>
      </c>
      <c r="F374" s="11">
        <v>2.602E9</v>
      </c>
    </row>
    <row r="375">
      <c r="A375" s="5">
        <v>374.0</v>
      </c>
      <c r="B375" s="5" t="s">
        <v>75</v>
      </c>
      <c r="C375" s="11">
        <v>4.273E9</v>
      </c>
      <c r="D375" s="12" t="s">
        <v>107</v>
      </c>
      <c r="E375" s="9" t="s">
        <v>70</v>
      </c>
      <c r="F375" s="11">
        <v>1.955E9</v>
      </c>
    </row>
    <row r="376">
      <c r="A376" s="5">
        <v>375.0</v>
      </c>
      <c r="B376" s="5" t="s">
        <v>75</v>
      </c>
      <c r="C376" s="11">
        <v>4.035E9</v>
      </c>
      <c r="D376" s="12" t="s">
        <v>107</v>
      </c>
      <c r="E376" s="9" t="s">
        <v>71</v>
      </c>
      <c r="F376" s="11">
        <v>1.382E9</v>
      </c>
    </row>
    <row r="377">
      <c r="A377" s="5">
        <v>376.0</v>
      </c>
      <c r="B377" s="5" t="s">
        <v>75</v>
      </c>
      <c r="C377" s="11">
        <v>4.554E9</v>
      </c>
      <c r="D377" s="12" t="s">
        <v>107</v>
      </c>
      <c r="E377" s="9" t="s">
        <v>72</v>
      </c>
      <c r="F377" s="11">
        <v>1.498E9</v>
      </c>
    </row>
    <row r="378">
      <c r="A378" s="5">
        <v>377.0</v>
      </c>
      <c r="B378" s="5" t="s">
        <v>75</v>
      </c>
      <c r="C378" s="11">
        <v>4.202E9</v>
      </c>
      <c r="D378" s="12" t="s">
        <v>107</v>
      </c>
      <c r="E378" s="9" t="s">
        <v>73</v>
      </c>
      <c r="F378" s="11">
        <v>1.475E9</v>
      </c>
    </row>
    <row r="379">
      <c r="A379" s="5">
        <v>378.0</v>
      </c>
      <c r="B379" s="5" t="s">
        <v>77</v>
      </c>
      <c r="C379" s="11">
        <v>2.3E7</v>
      </c>
      <c r="D379" s="12" t="s">
        <v>108</v>
      </c>
      <c r="E379" s="9" t="s">
        <v>60</v>
      </c>
      <c r="F379" s="11">
        <v>3.0E7</v>
      </c>
    </row>
    <row r="380">
      <c r="A380" s="5">
        <v>379.0</v>
      </c>
      <c r="B380" s="5" t="s">
        <v>77</v>
      </c>
      <c r="C380" s="11">
        <v>2.5E7</v>
      </c>
      <c r="D380" s="12" t="s">
        <v>108</v>
      </c>
      <c r="E380" s="9" t="s">
        <v>62</v>
      </c>
      <c r="F380" s="11">
        <v>3.5E7</v>
      </c>
    </row>
    <row r="381">
      <c r="A381" s="5">
        <v>380.0</v>
      </c>
      <c r="B381" s="5" t="s">
        <v>77</v>
      </c>
      <c r="C381" s="11">
        <v>3.7E7</v>
      </c>
      <c r="D381" s="12" t="s">
        <v>108</v>
      </c>
      <c r="E381" s="9" t="s">
        <v>63</v>
      </c>
      <c r="F381" s="11">
        <v>3.6E7</v>
      </c>
    </row>
    <row r="382">
      <c r="A382" s="5">
        <v>381.0</v>
      </c>
      <c r="B382" s="5" t="s">
        <v>77</v>
      </c>
      <c r="C382" s="11">
        <v>3.8E7</v>
      </c>
      <c r="D382" s="12" t="s">
        <v>108</v>
      </c>
      <c r="E382" s="9" t="s">
        <v>64</v>
      </c>
      <c r="F382" s="11">
        <v>5.0E7</v>
      </c>
    </row>
    <row r="383">
      <c r="A383" s="5">
        <v>382.0</v>
      </c>
      <c r="B383" s="5" t="s">
        <v>77</v>
      </c>
      <c r="C383" s="11">
        <v>5.2E7</v>
      </c>
      <c r="D383" s="12" t="s">
        <v>108</v>
      </c>
      <c r="E383" s="9" t="s">
        <v>65</v>
      </c>
      <c r="F383" s="11">
        <v>6.7E7</v>
      </c>
    </row>
    <row r="384">
      <c r="A384" s="5">
        <v>383.0</v>
      </c>
      <c r="B384" s="5" t="s">
        <v>77</v>
      </c>
      <c r="C384" s="11">
        <v>4.6E7</v>
      </c>
      <c r="D384" s="12" t="s">
        <v>108</v>
      </c>
      <c r="E384" s="9" t="s">
        <v>66</v>
      </c>
      <c r="F384" s="11">
        <v>7.4E7</v>
      </c>
    </row>
    <row r="385">
      <c r="A385" s="5">
        <v>384.0</v>
      </c>
      <c r="B385" s="5" t="s">
        <v>77</v>
      </c>
      <c r="C385" s="11">
        <v>5.5E7</v>
      </c>
      <c r="D385" s="12" t="s">
        <v>108</v>
      </c>
      <c r="E385" s="9" t="s">
        <v>67</v>
      </c>
      <c r="F385" s="11">
        <v>8.4E7</v>
      </c>
    </row>
    <row r="386">
      <c r="A386" s="5">
        <v>385.0</v>
      </c>
      <c r="B386" s="5" t="s">
        <v>77</v>
      </c>
      <c r="C386" s="11">
        <v>6.1E7</v>
      </c>
      <c r="D386" s="12" t="s">
        <v>108</v>
      </c>
      <c r="E386" s="9" t="s">
        <v>68</v>
      </c>
      <c r="F386" s="11">
        <v>9.3E7</v>
      </c>
    </row>
    <row r="387">
      <c r="A387" s="5">
        <v>386.0</v>
      </c>
      <c r="B387" s="5" t="s">
        <v>77</v>
      </c>
      <c r="C387" s="11">
        <v>8.2E7</v>
      </c>
      <c r="D387" s="12" t="s">
        <v>108</v>
      </c>
      <c r="E387" s="9" t="s">
        <v>69</v>
      </c>
      <c r="F387" s="11">
        <v>1.1E8</v>
      </c>
    </row>
    <row r="388">
      <c r="A388" s="5">
        <v>387.0</v>
      </c>
      <c r="B388" s="5" t="s">
        <v>77</v>
      </c>
      <c r="C388" s="11">
        <v>9.9E7</v>
      </c>
      <c r="D388" s="12" t="s">
        <v>108</v>
      </c>
      <c r="E388" s="9" t="s">
        <v>70</v>
      </c>
      <c r="F388" s="11">
        <v>1.11E8</v>
      </c>
    </row>
    <row r="389">
      <c r="A389" s="5">
        <v>388.0</v>
      </c>
      <c r="B389" s="5" t="s">
        <v>77</v>
      </c>
      <c r="C389" s="11">
        <v>1.05E8</v>
      </c>
      <c r="D389" s="12" t="s">
        <v>108</v>
      </c>
      <c r="E389" s="9" t="s">
        <v>71</v>
      </c>
      <c r="F389" s="11">
        <v>1.1E8</v>
      </c>
    </row>
    <row r="390">
      <c r="A390" s="5">
        <v>389.0</v>
      </c>
      <c r="B390" s="5" t="s">
        <v>77</v>
      </c>
      <c r="C390" s="8"/>
      <c r="D390" s="12" t="s">
        <v>108</v>
      </c>
      <c r="E390" s="9" t="s">
        <v>72</v>
      </c>
      <c r="F390" s="8"/>
    </row>
    <row r="391">
      <c r="A391" s="5">
        <v>390.0</v>
      </c>
      <c r="B391" s="5" t="s">
        <v>77</v>
      </c>
      <c r="C391" s="8"/>
      <c r="D391" s="12" t="s">
        <v>108</v>
      </c>
      <c r="E391" s="9" t="s">
        <v>73</v>
      </c>
      <c r="F391" s="8"/>
    </row>
    <row r="392">
      <c r="A392" s="5">
        <v>391.0</v>
      </c>
      <c r="B392" s="5" t="s">
        <v>77</v>
      </c>
      <c r="C392" s="11">
        <v>1400000.0</v>
      </c>
      <c r="D392" s="12" t="s">
        <v>109</v>
      </c>
      <c r="E392" s="9" t="s">
        <v>60</v>
      </c>
      <c r="F392" s="11">
        <v>1.4E7</v>
      </c>
    </row>
    <row r="393">
      <c r="A393" s="5">
        <v>392.0</v>
      </c>
      <c r="B393" s="5" t="s">
        <v>77</v>
      </c>
      <c r="C393" s="11">
        <v>900000.0</v>
      </c>
      <c r="D393" s="12" t="s">
        <v>109</v>
      </c>
      <c r="E393" s="9" t="s">
        <v>62</v>
      </c>
      <c r="F393" s="11">
        <v>1.2E7</v>
      </c>
    </row>
    <row r="394">
      <c r="A394" s="5">
        <v>393.0</v>
      </c>
      <c r="B394" s="5" t="s">
        <v>77</v>
      </c>
      <c r="C394" s="11">
        <v>1600000.0</v>
      </c>
      <c r="D394" s="12" t="s">
        <v>109</v>
      </c>
      <c r="E394" s="9" t="s">
        <v>63</v>
      </c>
      <c r="F394" s="11">
        <v>1.4E7</v>
      </c>
    </row>
    <row r="395">
      <c r="A395" s="5">
        <v>394.0</v>
      </c>
      <c r="B395" s="5" t="s">
        <v>77</v>
      </c>
      <c r="C395" s="11">
        <v>1200000.0</v>
      </c>
      <c r="D395" s="12" t="s">
        <v>109</v>
      </c>
      <c r="E395" s="9" t="s">
        <v>64</v>
      </c>
      <c r="F395" s="11">
        <v>1.5E7</v>
      </c>
    </row>
    <row r="396">
      <c r="A396" s="5">
        <v>395.0</v>
      </c>
      <c r="B396" s="5" t="s">
        <v>77</v>
      </c>
      <c r="C396" s="11">
        <v>1800000.0</v>
      </c>
      <c r="D396" s="12" t="s">
        <v>109</v>
      </c>
      <c r="E396" s="9" t="s">
        <v>65</v>
      </c>
      <c r="F396" s="11">
        <v>2.9E7</v>
      </c>
    </row>
    <row r="397">
      <c r="A397" s="5">
        <v>396.0</v>
      </c>
      <c r="B397" s="5" t="s">
        <v>77</v>
      </c>
      <c r="C397" s="11">
        <v>1900000.0</v>
      </c>
      <c r="D397" s="12" t="s">
        <v>109</v>
      </c>
      <c r="E397" s="9" t="s">
        <v>66</v>
      </c>
      <c r="F397" s="11">
        <v>6.2E7</v>
      </c>
    </row>
    <row r="398">
      <c r="A398" s="5">
        <v>397.0</v>
      </c>
      <c r="B398" s="5" t="s">
        <v>77</v>
      </c>
      <c r="C398" s="11">
        <v>1600000.0</v>
      </c>
      <c r="D398" s="12" t="s">
        <v>109</v>
      </c>
      <c r="E398" s="9" t="s">
        <v>67</v>
      </c>
      <c r="F398" s="11">
        <v>1.26E8</v>
      </c>
    </row>
    <row r="399">
      <c r="A399" s="5">
        <v>398.0</v>
      </c>
      <c r="B399" s="5" t="s">
        <v>77</v>
      </c>
      <c r="C399" s="11">
        <v>2300000.0</v>
      </c>
      <c r="D399" s="12" t="s">
        <v>109</v>
      </c>
      <c r="E399" s="9" t="s">
        <v>68</v>
      </c>
      <c r="F399" s="11">
        <v>1.06E8</v>
      </c>
    </row>
    <row r="400">
      <c r="A400" s="5">
        <v>399.0</v>
      </c>
      <c r="B400" s="5" t="s">
        <v>77</v>
      </c>
      <c r="C400" s="11">
        <v>1600000.0</v>
      </c>
      <c r="D400" s="12" t="s">
        <v>109</v>
      </c>
      <c r="E400" s="9" t="s">
        <v>69</v>
      </c>
      <c r="F400" s="11">
        <v>1.51E8</v>
      </c>
    </row>
    <row r="401">
      <c r="A401" s="5">
        <v>400.0</v>
      </c>
      <c r="B401" s="5" t="s">
        <v>77</v>
      </c>
      <c r="C401" s="11">
        <v>1700000.0</v>
      </c>
      <c r="D401" s="12" t="s">
        <v>109</v>
      </c>
      <c r="E401" s="9" t="s">
        <v>70</v>
      </c>
      <c r="F401" s="11">
        <v>7.1E7</v>
      </c>
    </row>
    <row r="402">
      <c r="A402" s="5">
        <v>401.0</v>
      </c>
      <c r="B402" s="5" t="s">
        <v>77</v>
      </c>
      <c r="C402" s="11">
        <v>2100000.0</v>
      </c>
      <c r="D402" s="12" t="s">
        <v>109</v>
      </c>
      <c r="E402" s="9" t="s">
        <v>71</v>
      </c>
      <c r="F402" s="11">
        <v>3.5E7</v>
      </c>
    </row>
    <row r="403">
      <c r="A403" s="5">
        <v>402.0</v>
      </c>
      <c r="B403" s="5" t="s">
        <v>77</v>
      </c>
      <c r="C403" s="11">
        <v>3700000.0</v>
      </c>
      <c r="D403" s="12" t="s">
        <v>109</v>
      </c>
      <c r="E403" s="9" t="s">
        <v>72</v>
      </c>
      <c r="F403" s="11">
        <v>4.9E7</v>
      </c>
    </row>
    <row r="404">
      <c r="A404" s="5">
        <v>403.0</v>
      </c>
      <c r="B404" s="5" t="s">
        <v>77</v>
      </c>
      <c r="C404" s="11">
        <v>2700000.0</v>
      </c>
      <c r="D404" s="12" t="s">
        <v>109</v>
      </c>
      <c r="E404" s="9" t="s">
        <v>73</v>
      </c>
      <c r="F404" s="11">
        <v>4.1E7</v>
      </c>
    </row>
    <row r="405">
      <c r="A405" s="5">
        <v>404.0</v>
      </c>
      <c r="B405" s="5" t="s">
        <v>61</v>
      </c>
      <c r="C405" s="11">
        <v>3.45E8</v>
      </c>
      <c r="D405" s="12" t="s">
        <v>110</v>
      </c>
      <c r="E405" s="9" t="s">
        <v>60</v>
      </c>
      <c r="F405" s="11">
        <v>5.2E7</v>
      </c>
    </row>
    <row r="406">
      <c r="A406" s="5">
        <v>405.0</v>
      </c>
      <c r="B406" s="5" t="s">
        <v>61</v>
      </c>
      <c r="C406" s="11">
        <v>4.29E8</v>
      </c>
      <c r="D406" s="12" t="s">
        <v>110</v>
      </c>
      <c r="E406" s="9" t="s">
        <v>62</v>
      </c>
      <c r="F406" s="11">
        <v>5.9E7</v>
      </c>
    </row>
    <row r="407">
      <c r="A407" s="5">
        <v>406.0</v>
      </c>
      <c r="B407" s="5" t="s">
        <v>61</v>
      </c>
      <c r="C407" s="11">
        <v>5.09E8</v>
      </c>
      <c r="D407" s="12" t="s">
        <v>110</v>
      </c>
      <c r="E407" s="9" t="s">
        <v>63</v>
      </c>
      <c r="F407" s="11">
        <v>6.4E7</v>
      </c>
    </row>
    <row r="408">
      <c r="A408" s="5">
        <v>407.0</v>
      </c>
      <c r="B408" s="5" t="s">
        <v>61</v>
      </c>
      <c r="C408" s="11">
        <v>4.41E8</v>
      </c>
      <c r="D408" s="12" t="s">
        <v>110</v>
      </c>
      <c r="E408" s="9" t="s">
        <v>64</v>
      </c>
      <c r="F408" s="11">
        <v>6.0E7</v>
      </c>
    </row>
    <row r="409">
      <c r="A409" s="5">
        <v>408.0</v>
      </c>
      <c r="B409" s="5" t="s">
        <v>61</v>
      </c>
      <c r="C409" s="11">
        <v>6.73E8</v>
      </c>
      <c r="D409" s="12" t="s">
        <v>110</v>
      </c>
      <c r="E409" s="9" t="s">
        <v>65</v>
      </c>
      <c r="F409" s="11">
        <v>8.0E7</v>
      </c>
    </row>
    <row r="410">
      <c r="A410" s="5">
        <v>409.0</v>
      </c>
      <c r="B410" s="5" t="s">
        <v>61</v>
      </c>
      <c r="C410" s="11">
        <v>9.29E8</v>
      </c>
      <c r="D410" s="12" t="s">
        <v>110</v>
      </c>
      <c r="E410" s="9" t="s">
        <v>66</v>
      </c>
      <c r="F410" s="11">
        <v>1.37E8</v>
      </c>
    </row>
    <row r="411">
      <c r="A411" s="5">
        <v>410.0</v>
      </c>
      <c r="B411" s="5" t="s">
        <v>61</v>
      </c>
      <c r="C411" s="11">
        <v>1.109E9</v>
      </c>
      <c r="D411" s="12" t="s">
        <v>110</v>
      </c>
      <c r="E411" s="9" t="s">
        <v>67</v>
      </c>
      <c r="F411" s="11">
        <v>1.76E8</v>
      </c>
    </row>
    <row r="412">
      <c r="A412" s="5">
        <v>411.0</v>
      </c>
      <c r="B412" s="5" t="s">
        <v>61</v>
      </c>
      <c r="C412" s="11">
        <v>1.169E9</v>
      </c>
      <c r="D412" s="12" t="s">
        <v>110</v>
      </c>
      <c r="E412" s="9" t="s">
        <v>68</v>
      </c>
      <c r="F412" s="11">
        <v>1.94E8</v>
      </c>
    </row>
    <row r="413">
      <c r="A413" s="5">
        <v>412.0</v>
      </c>
      <c r="B413" s="5" t="s">
        <v>61</v>
      </c>
      <c r="C413" s="11">
        <v>1.28E9</v>
      </c>
      <c r="D413" s="12" t="s">
        <v>110</v>
      </c>
      <c r="E413" s="9" t="s">
        <v>69</v>
      </c>
      <c r="F413" s="11">
        <v>1.8E8</v>
      </c>
    </row>
    <row r="414">
      <c r="A414" s="5">
        <v>413.0</v>
      </c>
      <c r="B414" s="5" t="s">
        <v>61</v>
      </c>
      <c r="C414" s="11">
        <v>1.208E9</v>
      </c>
      <c r="D414" s="12" t="s">
        <v>110</v>
      </c>
      <c r="E414" s="9" t="s">
        <v>70</v>
      </c>
      <c r="F414" s="11">
        <v>1.63E8</v>
      </c>
    </row>
    <row r="415">
      <c r="A415" s="5">
        <v>414.0</v>
      </c>
      <c r="B415" s="5" t="s">
        <v>61</v>
      </c>
      <c r="C415" s="11">
        <v>1.332E9</v>
      </c>
      <c r="D415" s="12" t="s">
        <v>110</v>
      </c>
      <c r="E415" s="9" t="s">
        <v>71</v>
      </c>
      <c r="F415" s="11">
        <v>2.68E8</v>
      </c>
    </row>
    <row r="416">
      <c r="A416" s="5">
        <v>415.0</v>
      </c>
      <c r="B416" s="5" t="s">
        <v>61</v>
      </c>
      <c r="C416" s="11">
        <v>1.79E9</v>
      </c>
      <c r="D416" s="12" t="s">
        <v>110</v>
      </c>
      <c r="E416" s="9" t="s">
        <v>72</v>
      </c>
      <c r="F416" s="11">
        <v>3.33E8</v>
      </c>
    </row>
    <row r="417">
      <c r="A417" s="5">
        <v>416.0</v>
      </c>
      <c r="B417" s="5" t="s">
        <v>61</v>
      </c>
      <c r="C417" s="11">
        <v>2.0E9</v>
      </c>
      <c r="D417" s="12" t="s">
        <v>110</v>
      </c>
      <c r="E417" s="9" t="s">
        <v>73</v>
      </c>
      <c r="F417" s="11">
        <v>3.82E8</v>
      </c>
    </row>
    <row r="418">
      <c r="A418" s="5">
        <v>417.0</v>
      </c>
      <c r="B418" s="5" t="s">
        <v>77</v>
      </c>
      <c r="C418" s="11">
        <v>1.32E8</v>
      </c>
      <c r="D418" s="12" t="s">
        <v>111</v>
      </c>
      <c r="E418" s="9" t="s">
        <v>60</v>
      </c>
      <c r="F418" s="11">
        <v>2.41E8</v>
      </c>
    </row>
    <row r="419">
      <c r="A419" s="5">
        <v>418.0</v>
      </c>
      <c r="B419" s="5" t="s">
        <v>77</v>
      </c>
      <c r="C419" s="11">
        <v>1.82E8</v>
      </c>
      <c r="D419" s="12" t="s">
        <v>111</v>
      </c>
      <c r="E419" s="9" t="s">
        <v>62</v>
      </c>
      <c r="F419" s="11">
        <v>1.99E8</v>
      </c>
    </row>
    <row r="420">
      <c r="A420" s="5">
        <v>419.0</v>
      </c>
      <c r="B420" s="5" t="s">
        <v>77</v>
      </c>
      <c r="C420" s="11">
        <v>1.24E8</v>
      </c>
      <c r="D420" s="12" t="s">
        <v>111</v>
      </c>
      <c r="E420" s="9" t="s">
        <v>63</v>
      </c>
      <c r="F420" s="11">
        <v>2.05E8</v>
      </c>
    </row>
    <row r="421">
      <c r="A421" s="5">
        <v>420.0</v>
      </c>
      <c r="B421" s="5" t="s">
        <v>77</v>
      </c>
      <c r="C421" s="11">
        <v>2.66E8</v>
      </c>
      <c r="D421" s="12" t="s">
        <v>111</v>
      </c>
      <c r="E421" s="9" t="s">
        <v>64</v>
      </c>
      <c r="F421" s="11">
        <v>2.72E8</v>
      </c>
    </row>
    <row r="422">
      <c r="A422" s="5">
        <v>421.0</v>
      </c>
      <c r="B422" s="5" t="s">
        <v>77</v>
      </c>
      <c r="C422" s="11">
        <v>2.12E8</v>
      </c>
      <c r="D422" s="12" t="s">
        <v>111</v>
      </c>
      <c r="E422" s="9" t="s">
        <v>65</v>
      </c>
      <c r="F422" s="11">
        <v>3.94E8</v>
      </c>
    </row>
    <row r="423">
      <c r="A423" s="5">
        <v>422.0</v>
      </c>
      <c r="B423" s="5" t="s">
        <v>77</v>
      </c>
      <c r="C423" s="11">
        <v>2.29E8</v>
      </c>
      <c r="D423" s="12" t="s">
        <v>111</v>
      </c>
      <c r="E423" s="9" t="s">
        <v>66</v>
      </c>
      <c r="F423" s="11">
        <v>4.8E8</v>
      </c>
    </row>
    <row r="424">
      <c r="A424" s="5">
        <v>423.0</v>
      </c>
      <c r="B424" s="5" t="s">
        <v>77</v>
      </c>
      <c r="C424" s="11">
        <v>2.31E8</v>
      </c>
      <c r="D424" s="12" t="s">
        <v>111</v>
      </c>
      <c r="E424" s="9" t="s">
        <v>67</v>
      </c>
      <c r="F424" s="11">
        <v>5.21E8</v>
      </c>
    </row>
    <row r="425">
      <c r="A425" s="5">
        <v>424.0</v>
      </c>
      <c r="B425" s="5" t="s">
        <v>77</v>
      </c>
      <c r="C425" s="11">
        <v>2.54E8</v>
      </c>
      <c r="D425" s="12" t="s">
        <v>111</v>
      </c>
      <c r="E425" s="9" t="s">
        <v>68</v>
      </c>
      <c r="F425" s="11">
        <v>4.66E8</v>
      </c>
    </row>
    <row r="426">
      <c r="A426" s="5">
        <v>425.0</v>
      </c>
      <c r="B426" s="5" t="s">
        <v>77</v>
      </c>
      <c r="C426" s="11">
        <v>1.67E8</v>
      </c>
      <c r="D426" s="12" t="s">
        <v>111</v>
      </c>
      <c r="E426" s="9" t="s">
        <v>69</v>
      </c>
      <c r="F426" s="11">
        <v>5.63E8</v>
      </c>
    </row>
    <row r="427">
      <c r="A427" s="5">
        <v>426.0</v>
      </c>
      <c r="B427" s="5" t="s">
        <v>77</v>
      </c>
      <c r="C427" s="11">
        <v>2.71E8</v>
      </c>
      <c r="D427" s="12" t="s">
        <v>111</v>
      </c>
      <c r="E427" s="9" t="s">
        <v>70</v>
      </c>
      <c r="F427" s="11">
        <v>4.76E8</v>
      </c>
    </row>
    <row r="428">
      <c r="A428" s="5">
        <v>427.0</v>
      </c>
      <c r="B428" s="5" t="s">
        <v>77</v>
      </c>
      <c r="C428" s="11">
        <v>1.71E8</v>
      </c>
      <c r="D428" s="12" t="s">
        <v>111</v>
      </c>
      <c r="E428" s="9" t="s">
        <v>71</v>
      </c>
      <c r="F428" s="11">
        <v>2.65E8</v>
      </c>
    </row>
    <row r="429">
      <c r="A429" s="5">
        <v>428.0</v>
      </c>
      <c r="B429" s="5" t="s">
        <v>77</v>
      </c>
      <c r="C429" s="11">
        <v>4.23E8</v>
      </c>
      <c r="D429" s="12" t="s">
        <v>111</v>
      </c>
      <c r="E429" s="9" t="s">
        <v>72</v>
      </c>
      <c r="F429" s="11">
        <v>6.22E8</v>
      </c>
    </row>
    <row r="430">
      <c r="A430" s="5">
        <v>429.0</v>
      </c>
      <c r="B430" s="5" t="s">
        <v>77</v>
      </c>
      <c r="C430" s="11">
        <v>3.77E8</v>
      </c>
      <c r="D430" s="12" t="s">
        <v>111</v>
      </c>
      <c r="E430" s="9" t="s">
        <v>73</v>
      </c>
      <c r="F430" s="11">
        <v>6.68E8</v>
      </c>
    </row>
    <row r="431">
      <c r="A431" s="5">
        <v>430.0</v>
      </c>
      <c r="B431" s="5" t="s">
        <v>84</v>
      </c>
      <c r="C431" s="11">
        <v>1.3035E10</v>
      </c>
      <c r="D431" s="12" t="s">
        <v>112</v>
      </c>
      <c r="E431" s="9" t="s">
        <v>60</v>
      </c>
      <c r="F431" s="11">
        <v>1.5125E10</v>
      </c>
    </row>
    <row r="432">
      <c r="A432" s="5">
        <v>431.0</v>
      </c>
      <c r="B432" s="5" t="s">
        <v>84</v>
      </c>
      <c r="C432" s="11">
        <v>1.268E10</v>
      </c>
      <c r="D432" s="12" t="s">
        <v>112</v>
      </c>
      <c r="E432" s="9" t="s">
        <v>62</v>
      </c>
      <c r="F432" s="11">
        <v>1.4634E10</v>
      </c>
    </row>
    <row r="433">
      <c r="A433" s="5">
        <v>432.0</v>
      </c>
      <c r="B433" s="5" t="s">
        <v>84</v>
      </c>
      <c r="C433" s="11">
        <v>1.2744E10</v>
      </c>
      <c r="D433" s="12" t="s">
        <v>112</v>
      </c>
      <c r="E433" s="9" t="s">
        <v>63</v>
      </c>
      <c r="F433" s="11">
        <v>1.4257E10</v>
      </c>
    </row>
    <row r="434">
      <c r="A434" s="5">
        <v>433.0</v>
      </c>
      <c r="B434" s="5" t="s">
        <v>84</v>
      </c>
      <c r="C434" s="11">
        <v>1.2236E10</v>
      </c>
      <c r="D434" s="12" t="s">
        <v>112</v>
      </c>
      <c r="E434" s="9" t="s">
        <v>64</v>
      </c>
      <c r="F434" s="11">
        <v>1.6309E10</v>
      </c>
    </row>
    <row r="435">
      <c r="A435" s="5">
        <v>434.0</v>
      </c>
      <c r="B435" s="5" t="s">
        <v>84</v>
      </c>
      <c r="C435" s="11">
        <v>1.5135E10</v>
      </c>
      <c r="D435" s="12" t="s">
        <v>112</v>
      </c>
      <c r="E435" s="9" t="s">
        <v>65</v>
      </c>
      <c r="F435" s="11">
        <v>1.9267E10</v>
      </c>
    </row>
    <row r="436">
      <c r="A436" s="5">
        <v>435.0</v>
      </c>
      <c r="B436" s="5" t="s">
        <v>84</v>
      </c>
      <c r="C436" s="11">
        <v>1.5887E10</v>
      </c>
      <c r="D436" s="12" t="s">
        <v>112</v>
      </c>
      <c r="E436" s="9" t="s">
        <v>66</v>
      </c>
      <c r="F436" s="11">
        <v>2.2739E10</v>
      </c>
    </row>
    <row r="437">
      <c r="A437" s="5">
        <v>436.0</v>
      </c>
      <c r="B437" s="5" t="s">
        <v>84</v>
      </c>
      <c r="C437" s="11">
        <v>1.6837E10</v>
      </c>
      <c r="D437" s="12" t="s">
        <v>112</v>
      </c>
      <c r="E437" s="9" t="s">
        <v>67</v>
      </c>
      <c r="F437" s="11">
        <v>2.6067E10</v>
      </c>
    </row>
    <row r="438">
      <c r="A438" s="5">
        <v>437.0</v>
      </c>
      <c r="B438" s="5" t="s">
        <v>84</v>
      </c>
      <c r="C438" s="11">
        <v>1.7961E10</v>
      </c>
      <c r="D438" s="12" t="s">
        <v>112</v>
      </c>
      <c r="E438" s="9" t="s">
        <v>68</v>
      </c>
      <c r="F438" s="11">
        <v>3.1099E10</v>
      </c>
    </row>
    <row r="439">
      <c r="A439" s="5">
        <v>438.0</v>
      </c>
      <c r="B439" s="5" t="s">
        <v>84</v>
      </c>
      <c r="C439" s="11">
        <v>1.8191E10</v>
      </c>
      <c r="D439" s="12" t="s">
        <v>112</v>
      </c>
      <c r="E439" s="9" t="s">
        <v>69</v>
      </c>
      <c r="F439" s="11">
        <v>3.3844E10</v>
      </c>
    </row>
    <row r="440">
      <c r="A440" s="5">
        <v>439.0</v>
      </c>
      <c r="B440" s="5" t="s">
        <v>84</v>
      </c>
      <c r="C440" s="11">
        <v>1.5568E10</v>
      </c>
      <c r="D440" s="12" t="s">
        <v>112</v>
      </c>
      <c r="E440" s="9" t="s">
        <v>70</v>
      </c>
      <c r="F440" s="11">
        <v>3.0065E10</v>
      </c>
    </row>
    <row r="441">
      <c r="A441" s="5">
        <v>440.0</v>
      </c>
      <c r="B441" s="5" t="s">
        <v>84</v>
      </c>
      <c r="C441" s="11">
        <v>1.8438E10</v>
      </c>
      <c r="D441" s="12" t="s">
        <v>112</v>
      </c>
      <c r="E441" s="9" t="s">
        <v>71</v>
      </c>
      <c r="F441" s="11">
        <v>3.6975E10</v>
      </c>
    </row>
    <row r="442">
      <c r="A442" s="5">
        <v>441.0</v>
      </c>
      <c r="B442" s="5" t="s">
        <v>84</v>
      </c>
      <c r="C442" s="11">
        <v>1.9989E10</v>
      </c>
      <c r="D442" s="12" t="s">
        <v>112</v>
      </c>
      <c r="E442" s="9" t="s">
        <v>72</v>
      </c>
      <c r="F442" s="11">
        <v>4.1234E10</v>
      </c>
    </row>
    <row r="443">
      <c r="A443" s="5">
        <v>442.0</v>
      </c>
      <c r="B443" s="5" t="s">
        <v>84</v>
      </c>
      <c r="C443" s="11">
        <v>2.0696E10</v>
      </c>
      <c r="D443" s="12" t="s">
        <v>112</v>
      </c>
      <c r="E443" s="9" t="s">
        <v>73</v>
      </c>
      <c r="F443" s="11">
        <v>4.301E10</v>
      </c>
    </row>
    <row r="444">
      <c r="A444" s="5">
        <v>443.0</v>
      </c>
      <c r="B444" s="5" t="s">
        <v>84</v>
      </c>
      <c r="C444" s="11">
        <v>5.59E8</v>
      </c>
      <c r="D444" s="12" t="s">
        <v>113</v>
      </c>
      <c r="E444" s="9" t="s">
        <v>60</v>
      </c>
      <c r="F444" s="8"/>
    </row>
    <row r="445">
      <c r="A445" s="5">
        <v>444.0</v>
      </c>
      <c r="B445" s="5" t="s">
        <v>84</v>
      </c>
      <c r="C445" s="11">
        <v>5.85E8</v>
      </c>
      <c r="D445" s="12" t="s">
        <v>113</v>
      </c>
      <c r="E445" s="9" t="s">
        <v>62</v>
      </c>
      <c r="F445" s="8"/>
    </row>
    <row r="446">
      <c r="A446" s="5">
        <v>445.0</v>
      </c>
      <c r="B446" s="5" t="s">
        <v>84</v>
      </c>
      <c r="C446" s="11">
        <v>6.07E8</v>
      </c>
      <c r="D446" s="12" t="s">
        <v>113</v>
      </c>
      <c r="E446" s="9" t="s">
        <v>63</v>
      </c>
      <c r="F446" s="8"/>
    </row>
    <row r="447">
      <c r="A447" s="5">
        <v>446.0</v>
      </c>
      <c r="B447" s="5" t="s">
        <v>84</v>
      </c>
      <c r="C447" s="11">
        <v>5.18E8</v>
      </c>
      <c r="D447" s="12" t="s">
        <v>113</v>
      </c>
      <c r="E447" s="9" t="s">
        <v>64</v>
      </c>
      <c r="F447" s="8"/>
    </row>
    <row r="448">
      <c r="A448" s="5">
        <v>447.0</v>
      </c>
      <c r="B448" s="5" t="s">
        <v>84</v>
      </c>
      <c r="C448" s="11">
        <v>5.23E8</v>
      </c>
      <c r="D448" s="12" t="s">
        <v>113</v>
      </c>
      <c r="E448" s="9" t="s">
        <v>65</v>
      </c>
      <c r="F448" s="8"/>
    </row>
    <row r="449">
      <c r="A449" s="5">
        <v>448.0</v>
      </c>
      <c r="B449" s="5" t="s">
        <v>84</v>
      </c>
      <c r="C449" s="11">
        <v>3.56E8</v>
      </c>
      <c r="D449" s="12" t="s">
        <v>113</v>
      </c>
      <c r="E449" s="9" t="s">
        <v>66</v>
      </c>
      <c r="F449" s="8"/>
    </row>
    <row r="450">
      <c r="A450" s="5">
        <v>449.0</v>
      </c>
      <c r="B450" s="5" t="s">
        <v>84</v>
      </c>
      <c r="C450" s="11">
        <v>5.09E8</v>
      </c>
      <c r="D450" s="12" t="s">
        <v>113</v>
      </c>
      <c r="E450" s="9" t="s">
        <v>67</v>
      </c>
      <c r="F450" s="11">
        <v>1.64E8</v>
      </c>
    </row>
    <row r="451">
      <c r="A451" s="5">
        <v>450.0</v>
      </c>
      <c r="B451" s="5" t="s">
        <v>84</v>
      </c>
      <c r="C451" s="11">
        <v>4.81E8</v>
      </c>
      <c r="D451" s="12" t="s">
        <v>113</v>
      </c>
      <c r="E451" s="9" t="s">
        <v>68</v>
      </c>
      <c r="F451" s="11">
        <v>1.32E8</v>
      </c>
    </row>
    <row r="452">
      <c r="A452" s="5">
        <v>451.0</v>
      </c>
      <c r="B452" s="5" t="s">
        <v>84</v>
      </c>
      <c r="C452" s="11">
        <v>5.18E8</v>
      </c>
      <c r="D452" s="12" t="s">
        <v>113</v>
      </c>
      <c r="E452" s="9" t="s">
        <v>69</v>
      </c>
      <c r="F452" s="11">
        <v>1.3E8</v>
      </c>
    </row>
    <row r="453">
      <c r="A453" s="5">
        <v>452.0</v>
      </c>
      <c r="B453" s="5" t="s">
        <v>84</v>
      </c>
      <c r="C453" s="11">
        <v>4.58E8</v>
      </c>
      <c r="D453" s="12" t="s">
        <v>113</v>
      </c>
      <c r="E453" s="9" t="s">
        <v>70</v>
      </c>
      <c r="F453" s="11">
        <v>1.2E8</v>
      </c>
    </row>
    <row r="454">
      <c r="A454" s="5">
        <v>453.0</v>
      </c>
      <c r="B454" s="5" t="s">
        <v>84</v>
      </c>
      <c r="C454" s="11">
        <v>4.65E8</v>
      </c>
      <c r="D454" s="12" t="s">
        <v>113</v>
      </c>
      <c r="E454" s="9" t="s">
        <v>71</v>
      </c>
      <c r="F454" s="11">
        <v>1.29E8</v>
      </c>
    </row>
    <row r="455">
      <c r="A455" s="5">
        <v>454.0</v>
      </c>
      <c r="B455" s="5" t="s">
        <v>84</v>
      </c>
      <c r="C455" s="11">
        <v>4.72E8</v>
      </c>
      <c r="D455" s="12" t="s">
        <v>113</v>
      </c>
      <c r="E455" s="9" t="s">
        <v>72</v>
      </c>
      <c r="F455" s="11">
        <v>1.45E8</v>
      </c>
    </row>
    <row r="456">
      <c r="A456" s="5">
        <v>455.0</v>
      </c>
      <c r="B456" s="5" t="s">
        <v>84</v>
      </c>
      <c r="C456" s="8"/>
      <c r="D456" s="12" t="s">
        <v>113</v>
      </c>
      <c r="E456" s="9" t="s">
        <v>73</v>
      </c>
      <c r="F456" s="8"/>
    </row>
    <row r="457">
      <c r="A457" s="5">
        <v>456.0</v>
      </c>
      <c r="B457" s="5" t="s">
        <v>77</v>
      </c>
      <c r="C457" s="11">
        <v>5000000.0</v>
      </c>
      <c r="D457" s="12" t="s">
        <v>114</v>
      </c>
      <c r="E457" s="9" t="s">
        <v>60</v>
      </c>
      <c r="F457" s="11">
        <v>3.3E7</v>
      </c>
    </row>
    <row r="458">
      <c r="A458" s="5">
        <v>457.0</v>
      </c>
      <c r="B458" s="5" t="s">
        <v>77</v>
      </c>
      <c r="C458" s="11">
        <v>5000000.0</v>
      </c>
      <c r="D458" s="12" t="s">
        <v>114</v>
      </c>
      <c r="E458" s="9" t="s">
        <v>62</v>
      </c>
      <c r="F458" s="11">
        <v>2.9E7</v>
      </c>
    </row>
    <row r="459">
      <c r="A459" s="5">
        <v>458.0</v>
      </c>
      <c r="B459" s="5" t="s">
        <v>77</v>
      </c>
      <c r="C459" s="11">
        <v>3000000.0</v>
      </c>
      <c r="D459" s="12" t="s">
        <v>114</v>
      </c>
      <c r="E459" s="9" t="s">
        <v>63</v>
      </c>
      <c r="F459" s="11">
        <v>2.9E7</v>
      </c>
    </row>
    <row r="460">
      <c r="A460" s="5">
        <v>459.0</v>
      </c>
      <c r="B460" s="5" t="s">
        <v>77</v>
      </c>
      <c r="C460" s="11">
        <v>4000000.0</v>
      </c>
      <c r="D460" s="12" t="s">
        <v>114</v>
      </c>
      <c r="E460" s="9" t="s">
        <v>64</v>
      </c>
      <c r="F460" s="11">
        <v>3.1E7</v>
      </c>
    </row>
    <row r="461">
      <c r="A461" s="5">
        <v>460.0</v>
      </c>
      <c r="B461" s="5" t="s">
        <v>77</v>
      </c>
      <c r="C461" s="11">
        <v>7800000.0</v>
      </c>
      <c r="D461" s="12" t="s">
        <v>114</v>
      </c>
      <c r="E461" s="9" t="s">
        <v>65</v>
      </c>
      <c r="F461" s="11">
        <v>3.2E7</v>
      </c>
    </row>
    <row r="462">
      <c r="A462" s="5">
        <v>461.0</v>
      </c>
      <c r="B462" s="5" t="s">
        <v>77</v>
      </c>
      <c r="C462" s="11">
        <v>7200000.0</v>
      </c>
      <c r="D462" s="12" t="s">
        <v>114</v>
      </c>
      <c r="E462" s="9" t="s">
        <v>66</v>
      </c>
      <c r="F462" s="11">
        <v>4.6E7</v>
      </c>
    </row>
    <row r="463">
      <c r="A463" s="5">
        <v>462.0</v>
      </c>
      <c r="B463" s="5" t="s">
        <v>77</v>
      </c>
      <c r="C463" s="11">
        <v>1.02E7</v>
      </c>
      <c r="D463" s="12" t="s">
        <v>114</v>
      </c>
      <c r="E463" s="9" t="s">
        <v>67</v>
      </c>
      <c r="F463" s="11">
        <v>4.7E7</v>
      </c>
    </row>
    <row r="464">
      <c r="A464" s="5">
        <v>463.0</v>
      </c>
      <c r="B464" s="5" t="s">
        <v>77</v>
      </c>
      <c r="C464" s="11">
        <v>1.08E7</v>
      </c>
      <c r="D464" s="12" t="s">
        <v>114</v>
      </c>
      <c r="E464" s="9" t="s">
        <v>68</v>
      </c>
      <c r="F464" s="11">
        <v>5.4E7</v>
      </c>
    </row>
    <row r="465">
      <c r="A465" s="5">
        <v>464.0</v>
      </c>
      <c r="B465" s="5" t="s">
        <v>77</v>
      </c>
      <c r="C465" s="11">
        <v>1.18E7</v>
      </c>
      <c r="D465" s="12" t="s">
        <v>114</v>
      </c>
      <c r="E465" s="9" t="s">
        <v>69</v>
      </c>
      <c r="F465" s="11">
        <v>5.6E7</v>
      </c>
    </row>
    <row r="466">
      <c r="A466" s="5">
        <v>465.0</v>
      </c>
      <c r="B466" s="5" t="s">
        <v>77</v>
      </c>
      <c r="C466" s="11">
        <v>6000000.0</v>
      </c>
      <c r="D466" s="12" t="s">
        <v>114</v>
      </c>
      <c r="E466" s="9" t="s">
        <v>70</v>
      </c>
      <c r="F466" s="11">
        <v>6.1E7</v>
      </c>
    </row>
    <row r="467">
      <c r="A467" s="5">
        <v>466.0</v>
      </c>
      <c r="B467" s="5" t="s">
        <v>77</v>
      </c>
      <c r="C467" s="11">
        <v>7200000.0</v>
      </c>
      <c r="D467" s="12" t="s">
        <v>114</v>
      </c>
      <c r="E467" s="9" t="s">
        <v>71</v>
      </c>
      <c r="F467" s="11">
        <v>6.1E7</v>
      </c>
    </row>
    <row r="468">
      <c r="A468" s="5">
        <v>467.0</v>
      </c>
      <c r="B468" s="5" t="s">
        <v>77</v>
      </c>
      <c r="C468" s="8"/>
      <c r="D468" s="12" t="s">
        <v>114</v>
      </c>
      <c r="E468" s="9" t="s">
        <v>72</v>
      </c>
      <c r="F468" s="8"/>
    </row>
    <row r="469">
      <c r="A469" s="5">
        <v>468.0</v>
      </c>
      <c r="B469" s="5" t="s">
        <v>77</v>
      </c>
      <c r="C469" s="8"/>
      <c r="D469" s="12" t="s">
        <v>114</v>
      </c>
      <c r="E469" s="9" t="s">
        <v>73</v>
      </c>
      <c r="F469" s="8"/>
    </row>
    <row r="470">
      <c r="A470" s="5">
        <v>469.0</v>
      </c>
      <c r="B470" s="5" t="s">
        <v>77</v>
      </c>
      <c r="C470" s="11">
        <v>1.4E7</v>
      </c>
      <c r="D470" s="12" t="s">
        <v>115</v>
      </c>
      <c r="E470" s="9" t="s">
        <v>60</v>
      </c>
      <c r="F470" s="11">
        <v>5.6E7</v>
      </c>
    </row>
    <row r="471">
      <c r="A471" s="5">
        <v>470.0</v>
      </c>
      <c r="B471" s="5" t="s">
        <v>77</v>
      </c>
      <c r="C471" s="11">
        <v>2.3E7</v>
      </c>
      <c r="D471" s="12" t="s">
        <v>115</v>
      </c>
      <c r="E471" s="9" t="s">
        <v>62</v>
      </c>
      <c r="F471" s="11">
        <v>5.6E7</v>
      </c>
    </row>
    <row r="472">
      <c r="A472" s="5">
        <v>471.0</v>
      </c>
      <c r="B472" s="5" t="s">
        <v>77</v>
      </c>
      <c r="C472" s="11">
        <v>2.5E7</v>
      </c>
      <c r="D472" s="12" t="s">
        <v>115</v>
      </c>
      <c r="E472" s="9" t="s">
        <v>63</v>
      </c>
      <c r="F472" s="11">
        <v>8.0E7</v>
      </c>
    </row>
    <row r="473">
      <c r="A473" s="5">
        <v>472.0</v>
      </c>
      <c r="B473" s="5" t="s">
        <v>77</v>
      </c>
      <c r="C473" s="8"/>
      <c r="D473" s="12" t="s">
        <v>115</v>
      </c>
      <c r="E473" s="9" t="s">
        <v>64</v>
      </c>
      <c r="F473" s="8"/>
    </row>
    <row r="474">
      <c r="A474" s="5">
        <v>473.0</v>
      </c>
      <c r="B474" s="5" t="s">
        <v>77</v>
      </c>
      <c r="C474" s="8"/>
      <c r="D474" s="12" t="s">
        <v>115</v>
      </c>
      <c r="E474" s="9" t="s">
        <v>65</v>
      </c>
      <c r="F474" s="8"/>
    </row>
    <row r="475">
      <c r="A475" s="5">
        <v>474.0</v>
      </c>
      <c r="B475" s="5" t="s">
        <v>77</v>
      </c>
      <c r="C475" s="8"/>
      <c r="D475" s="12" t="s">
        <v>115</v>
      </c>
      <c r="E475" s="9" t="s">
        <v>66</v>
      </c>
      <c r="F475" s="8"/>
    </row>
    <row r="476">
      <c r="A476" s="5">
        <v>475.0</v>
      </c>
      <c r="B476" s="5" t="s">
        <v>77</v>
      </c>
      <c r="C476" s="8"/>
      <c r="D476" s="12" t="s">
        <v>115</v>
      </c>
      <c r="E476" s="9" t="s">
        <v>67</v>
      </c>
      <c r="F476" s="8"/>
    </row>
    <row r="477">
      <c r="A477" s="5">
        <v>476.0</v>
      </c>
      <c r="B477" s="5" t="s">
        <v>77</v>
      </c>
      <c r="C477" s="8"/>
      <c r="D477" s="12" t="s">
        <v>115</v>
      </c>
      <c r="E477" s="9" t="s">
        <v>68</v>
      </c>
      <c r="F477" s="8"/>
    </row>
    <row r="478">
      <c r="A478" s="5">
        <v>477.0</v>
      </c>
      <c r="B478" s="5" t="s">
        <v>77</v>
      </c>
      <c r="C478" s="8"/>
      <c r="D478" s="12" t="s">
        <v>115</v>
      </c>
      <c r="E478" s="9" t="s">
        <v>69</v>
      </c>
      <c r="F478" s="8"/>
    </row>
    <row r="479">
      <c r="A479" s="5">
        <v>478.0</v>
      </c>
      <c r="B479" s="5" t="s">
        <v>77</v>
      </c>
      <c r="C479" s="8"/>
      <c r="D479" s="12" t="s">
        <v>115</v>
      </c>
      <c r="E479" s="9" t="s">
        <v>70</v>
      </c>
      <c r="F479" s="8"/>
    </row>
    <row r="480">
      <c r="A480" s="5">
        <v>479.0</v>
      </c>
      <c r="B480" s="5" t="s">
        <v>77</v>
      </c>
      <c r="C480" s="8"/>
      <c r="D480" s="12" t="s">
        <v>115</v>
      </c>
      <c r="E480" s="9" t="s">
        <v>71</v>
      </c>
      <c r="F480" s="8"/>
    </row>
    <row r="481">
      <c r="A481" s="5">
        <v>480.0</v>
      </c>
      <c r="B481" s="5" t="s">
        <v>77</v>
      </c>
      <c r="C481" s="8"/>
      <c r="D481" s="12" t="s">
        <v>115</v>
      </c>
      <c r="E481" s="9" t="s">
        <v>72</v>
      </c>
      <c r="F481" s="8"/>
    </row>
    <row r="482">
      <c r="A482" s="5">
        <v>481.0</v>
      </c>
      <c r="B482" s="5" t="s">
        <v>77</v>
      </c>
      <c r="C482" s="8"/>
      <c r="D482" s="12" t="s">
        <v>115</v>
      </c>
      <c r="E482" s="9" t="s">
        <v>73</v>
      </c>
      <c r="F482" s="8"/>
    </row>
    <row r="483">
      <c r="A483" s="5">
        <v>482.0</v>
      </c>
      <c r="B483" s="5" t="s">
        <v>84</v>
      </c>
      <c r="C483" s="11">
        <v>1.179E9</v>
      </c>
      <c r="D483" s="12" t="s">
        <v>116</v>
      </c>
      <c r="E483" s="9" t="s">
        <v>60</v>
      </c>
      <c r="F483" s="11">
        <v>9.04E8</v>
      </c>
    </row>
    <row r="484">
      <c r="A484" s="5">
        <v>483.0</v>
      </c>
      <c r="B484" s="5" t="s">
        <v>84</v>
      </c>
      <c r="C484" s="11">
        <v>1.184E9</v>
      </c>
      <c r="D484" s="12" t="s">
        <v>116</v>
      </c>
      <c r="E484" s="9" t="s">
        <v>62</v>
      </c>
      <c r="F484" s="11">
        <v>9.39E8</v>
      </c>
    </row>
    <row r="485">
      <c r="A485" s="5">
        <v>484.0</v>
      </c>
      <c r="B485" s="5" t="s">
        <v>84</v>
      </c>
      <c r="C485" s="11">
        <v>1.221E9</v>
      </c>
      <c r="D485" s="12" t="s">
        <v>116</v>
      </c>
      <c r="E485" s="9" t="s">
        <v>63</v>
      </c>
      <c r="F485" s="11">
        <v>9.32E8</v>
      </c>
    </row>
    <row r="486">
      <c r="A486" s="5">
        <v>485.0</v>
      </c>
      <c r="B486" s="5" t="s">
        <v>84</v>
      </c>
      <c r="C486" s="11">
        <v>1.309E9</v>
      </c>
      <c r="D486" s="12" t="s">
        <v>116</v>
      </c>
      <c r="E486" s="9" t="s">
        <v>64</v>
      </c>
      <c r="F486" s="11">
        <v>1.109E9</v>
      </c>
    </row>
    <row r="487">
      <c r="A487" s="5">
        <v>486.0</v>
      </c>
      <c r="B487" s="5" t="s">
        <v>84</v>
      </c>
      <c r="C487" s="11">
        <v>1.571E9</v>
      </c>
      <c r="D487" s="12" t="s">
        <v>116</v>
      </c>
      <c r="E487" s="9" t="s">
        <v>65</v>
      </c>
      <c r="F487" s="11">
        <v>1.251E9</v>
      </c>
    </row>
    <row r="488">
      <c r="A488" s="5">
        <v>487.0</v>
      </c>
      <c r="B488" s="5" t="s">
        <v>84</v>
      </c>
      <c r="C488" s="11">
        <v>1.682E9</v>
      </c>
      <c r="D488" s="12" t="s">
        <v>116</v>
      </c>
      <c r="E488" s="9" t="s">
        <v>66</v>
      </c>
      <c r="F488" s="11">
        <v>1.355E9</v>
      </c>
    </row>
    <row r="489">
      <c r="A489" s="5">
        <v>488.0</v>
      </c>
      <c r="B489" s="5" t="s">
        <v>84</v>
      </c>
      <c r="C489" s="11">
        <v>1.891E9</v>
      </c>
      <c r="D489" s="12" t="s">
        <v>116</v>
      </c>
      <c r="E489" s="9" t="s">
        <v>67</v>
      </c>
      <c r="F489" s="11">
        <v>1.573E9</v>
      </c>
    </row>
    <row r="490">
      <c r="A490" s="5">
        <v>489.0</v>
      </c>
      <c r="B490" s="5" t="s">
        <v>84</v>
      </c>
      <c r="C490" s="11">
        <v>2.226E9</v>
      </c>
      <c r="D490" s="12" t="s">
        <v>116</v>
      </c>
      <c r="E490" s="9" t="s">
        <v>68</v>
      </c>
      <c r="F490" s="11">
        <v>2.042E9</v>
      </c>
    </row>
    <row r="491">
      <c r="A491" s="5">
        <v>490.0</v>
      </c>
      <c r="B491" s="5" t="s">
        <v>84</v>
      </c>
      <c r="C491" s="11">
        <v>2.537E9</v>
      </c>
      <c r="D491" s="12" t="s">
        <v>116</v>
      </c>
      <c r="E491" s="9" t="s">
        <v>69</v>
      </c>
      <c r="F491" s="11">
        <v>1.789E9</v>
      </c>
    </row>
    <row r="492">
      <c r="A492" s="5">
        <v>491.0</v>
      </c>
      <c r="B492" s="5" t="s">
        <v>84</v>
      </c>
      <c r="C492" s="11">
        <v>2.35E9</v>
      </c>
      <c r="D492" s="12" t="s">
        <v>116</v>
      </c>
      <c r="E492" s="9" t="s">
        <v>70</v>
      </c>
      <c r="F492" s="11">
        <v>1.504E9</v>
      </c>
    </row>
    <row r="493">
      <c r="A493" s="5">
        <v>492.0</v>
      </c>
      <c r="B493" s="5" t="s">
        <v>84</v>
      </c>
      <c r="C493" s="11">
        <v>2.422E9</v>
      </c>
      <c r="D493" s="12" t="s">
        <v>116</v>
      </c>
      <c r="E493" s="9" t="s">
        <v>71</v>
      </c>
      <c r="F493" s="11">
        <v>1.808E9</v>
      </c>
    </row>
    <row r="494">
      <c r="A494" s="5">
        <v>493.0</v>
      </c>
      <c r="B494" s="5" t="s">
        <v>84</v>
      </c>
      <c r="C494" s="11">
        <v>2.751E9</v>
      </c>
      <c r="D494" s="12" t="s">
        <v>116</v>
      </c>
      <c r="E494" s="9" t="s">
        <v>72</v>
      </c>
      <c r="F494" s="11">
        <v>2.047E9</v>
      </c>
    </row>
    <row r="495">
      <c r="A495" s="5">
        <v>494.0</v>
      </c>
      <c r="B495" s="5" t="s">
        <v>84</v>
      </c>
      <c r="C495" s="11">
        <v>3.18E9</v>
      </c>
      <c r="D495" s="12" t="s">
        <v>116</v>
      </c>
      <c r="E495" s="9" t="s">
        <v>73</v>
      </c>
      <c r="F495" s="11">
        <v>2.348E9</v>
      </c>
    </row>
    <row r="496">
      <c r="A496" s="5">
        <v>495.0</v>
      </c>
      <c r="B496" s="5" t="s">
        <v>61</v>
      </c>
      <c r="C496" s="11">
        <v>1.7318E10</v>
      </c>
      <c r="D496" s="12" t="s">
        <v>117</v>
      </c>
      <c r="E496" s="9" t="s">
        <v>60</v>
      </c>
      <c r="F496" s="11">
        <v>1.4169E10</v>
      </c>
    </row>
    <row r="497">
      <c r="A497" s="5">
        <v>496.0</v>
      </c>
      <c r="B497" s="5" t="s">
        <v>61</v>
      </c>
      <c r="C497" s="11">
        <v>1.9006E10</v>
      </c>
      <c r="D497" s="12" t="s">
        <v>117</v>
      </c>
      <c r="E497" s="9" t="s">
        <v>62</v>
      </c>
      <c r="F497" s="11">
        <v>1.4992E10</v>
      </c>
    </row>
    <row r="498">
      <c r="A498" s="5">
        <v>497.0</v>
      </c>
      <c r="B498" s="5" t="s">
        <v>61</v>
      </c>
      <c r="C498" s="11">
        <v>2.1742E10</v>
      </c>
      <c r="D498" s="12" t="s">
        <v>117</v>
      </c>
      <c r="E498" s="9" t="s">
        <v>63</v>
      </c>
      <c r="F498" s="11">
        <v>1.6759E10</v>
      </c>
    </row>
    <row r="499">
      <c r="A499" s="5">
        <v>498.0</v>
      </c>
      <c r="B499" s="5" t="s">
        <v>61</v>
      </c>
      <c r="C499" s="11">
        <v>1.8707E10</v>
      </c>
      <c r="D499" s="12" t="s">
        <v>117</v>
      </c>
      <c r="E499" s="9" t="s">
        <v>64</v>
      </c>
      <c r="F499" s="11">
        <v>1.6716E10</v>
      </c>
    </row>
    <row r="500">
      <c r="A500" s="5">
        <v>499.0</v>
      </c>
      <c r="B500" s="5" t="s">
        <v>61</v>
      </c>
      <c r="C500" s="11">
        <v>2.7755E10</v>
      </c>
      <c r="D500" s="12" t="s">
        <v>117</v>
      </c>
      <c r="E500" s="9" t="s">
        <v>65</v>
      </c>
      <c r="F500" s="11">
        <v>2.136E10</v>
      </c>
    </row>
    <row r="501">
      <c r="A501" s="5">
        <v>500.0</v>
      </c>
      <c r="B501" s="5" t="s">
        <v>61</v>
      </c>
      <c r="C501" s="11">
        <v>3.1842E10</v>
      </c>
      <c r="D501" s="12" t="s">
        <v>117</v>
      </c>
      <c r="E501" s="9" t="s">
        <v>66</v>
      </c>
      <c r="F501" s="11">
        <v>2.4721E10</v>
      </c>
    </row>
    <row r="502">
      <c r="A502" s="5">
        <v>501.0</v>
      </c>
      <c r="B502" s="5" t="s">
        <v>61</v>
      </c>
      <c r="C502" s="11">
        <v>3.7132E10</v>
      </c>
      <c r="D502" s="12" t="s">
        <v>117</v>
      </c>
      <c r="E502" s="9" t="s">
        <v>67</v>
      </c>
      <c r="F502" s="11">
        <v>2.8242E10</v>
      </c>
    </row>
    <row r="503">
      <c r="A503" s="5">
        <v>502.0</v>
      </c>
      <c r="B503" s="5" t="s">
        <v>61</v>
      </c>
      <c r="C503" s="11">
        <v>4.1126E10</v>
      </c>
      <c r="D503" s="12" t="s">
        <v>117</v>
      </c>
      <c r="E503" s="9" t="s">
        <v>68</v>
      </c>
      <c r="F503" s="11">
        <v>3.3269E10</v>
      </c>
    </row>
    <row r="504">
      <c r="A504" s="5">
        <v>503.0</v>
      </c>
      <c r="B504" s="5" t="s">
        <v>61</v>
      </c>
      <c r="C504" s="11">
        <v>4.413E10</v>
      </c>
      <c r="D504" s="12" t="s">
        <v>117</v>
      </c>
      <c r="E504" s="9" t="s">
        <v>69</v>
      </c>
      <c r="F504" s="11">
        <v>4.0987E10</v>
      </c>
    </row>
    <row r="505">
      <c r="A505" s="5">
        <v>504.0</v>
      </c>
      <c r="B505" s="5" t="s">
        <v>61</v>
      </c>
      <c r="C505" s="11">
        <v>4.2632E10</v>
      </c>
      <c r="D505" s="12" t="s">
        <v>117</v>
      </c>
      <c r="E505" s="9" t="s">
        <v>70</v>
      </c>
      <c r="F505" s="11">
        <v>4.7108E10</v>
      </c>
    </row>
    <row r="506">
      <c r="A506" s="5">
        <v>505.0</v>
      </c>
      <c r="B506" s="5" t="s">
        <v>61</v>
      </c>
      <c r="C506" s="11">
        <v>5.0154E10</v>
      </c>
      <c r="D506" s="12" t="s">
        <v>117</v>
      </c>
      <c r="E506" s="9" t="s">
        <v>71</v>
      </c>
      <c r="F506" s="11">
        <v>5.984E10</v>
      </c>
    </row>
    <row r="507">
      <c r="A507" s="5">
        <v>506.0</v>
      </c>
      <c r="B507" s="5" t="s">
        <v>61</v>
      </c>
      <c r="C507" s="11">
        <v>5.3313E10</v>
      </c>
      <c r="D507" s="12" t="s">
        <v>117</v>
      </c>
      <c r="E507" s="9" t="s">
        <v>72</v>
      </c>
      <c r="F507" s="11">
        <v>7.901E10</v>
      </c>
    </row>
    <row r="508">
      <c r="A508" s="5">
        <v>507.0</v>
      </c>
      <c r="B508" s="5" t="s">
        <v>61</v>
      </c>
      <c r="C508" s="11">
        <v>5.4937E10</v>
      </c>
      <c r="D508" s="12" t="s">
        <v>117</v>
      </c>
      <c r="E508" s="9" t="s">
        <v>73</v>
      </c>
      <c r="F508" s="8"/>
    </row>
    <row r="509">
      <c r="A509" s="5">
        <v>508.0</v>
      </c>
      <c r="B509" s="5" t="s">
        <v>84</v>
      </c>
      <c r="C509" s="11">
        <v>1.313E9</v>
      </c>
      <c r="D509" s="12" t="s">
        <v>118</v>
      </c>
      <c r="E509" s="9" t="s">
        <v>60</v>
      </c>
      <c r="F509" s="11">
        <v>1.452E9</v>
      </c>
    </row>
    <row r="510">
      <c r="A510" s="5">
        <v>509.0</v>
      </c>
      <c r="B510" s="5" t="s">
        <v>84</v>
      </c>
      <c r="C510" s="11">
        <v>1.483E9</v>
      </c>
      <c r="D510" s="12" t="s">
        <v>118</v>
      </c>
      <c r="E510" s="9" t="s">
        <v>62</v>
      </c>
      <c r="F510" s="11">
        <v>1.556E9</v>
      </c>
    </row>
    <row r="511">
      <c r="A511" s="5">
        <v>510.0</v>
      </c>
      <c r="B511" s="5" t="s">
        <v>84</v>
      </c>
      <c r="C511" s="11">
        <v>1.237E9</v>
      </c>
      <c r="D511" s="12" t="s">
        <v>118</v>
      </c>
      <c r="E511" s="9" t="s">
        <v>63</v>
      </c>
      <c r="F511" s="11">
        <v>1.355E9</v>
      </c>
    </row>
    <row r="512">
      <c r="A512" s="5">
        <v>511.0</v>
      </c>
      <c r="B512" s="5" t="s">
        <v>84</v>
      </c>
      <c r="C512" s="11">
        <v>1.191E9</v>
      </c>
      <c r="D512" s="12" t="s">
        <v>118</v>
      </c>
      <c r="E512" s="9" t="s">
        <v>64</v>
      </c>
      <c r="F512" s="11">
        <v>1.349E9</v>
      </c>
    </row>
    <row r="513">
      <c r="A513" s="5">
        <v>512.0</v>
      </c>
      <c r="B513" s="5" t="s">
        <v>84</v>
      </c>
      <c r="C513" s="11">
        <v>1.369E9</v>
      </c>
      <c r="D513" s="12" t="s">
        <v>118</v>
      </c>
      <c r="E513" s="9" t="s">
        <v>65</v>
      </c>
      <c r="F513" s="11">
        <v>1.469E9</v>
      </c>
    </row>
    <row r="514">
      <c r="A514" s="5">
        <v>513.0</v>
      </c>
      <c r="B514" s="5" t="s">
        <v>84</v>
      </c>
      <c r="C514" s="11">
        <v>1.574E9</v>
      </c>
      <c r="D514" s="12" t="s">
        <v>118</v>
      </c>
      <c r="E514" s="9" t="s">
        <v>66</v>
      </c>
      <c r="F514" s="11">
        <v>1.565E9</v>
      </c>
    </row>
    <row r="515">
      <c r="A515" s="5">
        <v>514.0</v>
      </c>
      <c r="B515" s="5" t="s">
        <v>84</v>
      </c>
      <c r="C515" s="11">
        <v>2.009E9</v>
      </c>
      <c r="D515" s="12" t="s">
        <v>118</v>
      </c>
      <c r="E515" s="9" t="s">
        <v>67</v>
      </c>
      <c r="F515" s="11">
        <v>1.799E9</v>
      </c>
    </row>
    <row r="516">
      <c r="A516" s="5">
        <v>515.0</v>
      </c>
      <c r="B516" s="5" t="s">
        <v>84</v>
      </c>
      <c r="C516" s="11">
        <v>2.262E9</v>
      </c>
      <c r="D516" s="12" t="s">
        <v>118</v>
      </c>
      <c r="E516" s="9" t="s">
        <v>68</v>
      </c>
      <c r="F516" s="11">
        <v>2.093E9</v>
      </c>
    </row>
    <row r="517">
      <c r="A517" s="5">
        <v>516.0</v>
      </c>
      <c r="B517" s="5" t="s">
        <v>84</v>
      </c>
      <c r="C517" s="11">
        <v>2.438E9</v>
      </c>
      <c r="D517" s="12" t="s">
        <v>118</v>
      </c>
      <c r="E517" s="9" t="s">
        <v>69</v>
      </c>
      <c r="F517" s="11">
        <v>2.337E9</v>
      </c>
    </row>
    <row r="518">
      <c r="A518" s="5">
        <v>517.0</v>
      </c>
      <c r="B518" s="5" t="s">
        <v>84</v>
      </c>
      <c r="C518" s="11">
        <v>2.609E9</v>
      </c>
      <c r="D518" s="12" t="s">
        <v>118</v>
      </c>
      <c r="E518" s="9" t="s">
        <v>70</v>
      </c>
      <c r="F518" s="11">
        <v>2.301E9</v>
      </c>
    </row>
    <row r="519">
      <c r="A519" s="5">
        <v>518.0</v>
      </c>
      <c r="B519" s="5" t="s">
        <v>84</v>
      </c>
      <c r="C519" s="11">
        <v>2.727E9</v>
      </c>
      <c r="D519" s="12" t="s">
        <v>118</v>
      </c>
      <c r="E519" s="9" t="s">
        <v>71</v>
      </c>
      <c r="F519" s="11">
        <v>2.373E9</v>
      </c>
    </row>
    <row r="520">
      <c r="A520" s="5">
        <v>519.0</v>
      </c>
      <c r="B520" s="5" t="s">
        <v>84</v>
      </c>
      <c r="C520" s="11">
        <v>2.992E9</v>
      </c>
      <c r="D520" s="12" t="s">
        <v>118</v>
      </c>
      <c r="E520" s="9" t="s">
        <v>72</v>
      </c>
      <c r="F520" s="11">
        <v>2.842E9</v>
      </c>
    </row>
    <row r="521">
      <c r="A521" s="5">
        <v>520.0</v>
      </c>
      <c r="B521" s="5" t="s">
        <v>84</v>
      </c>
      <c r="C521" s="11">
        <v>3.257E9</v>
      </c>
      <c r="D521" s="12" t="s">
        <v>118</v>
      </c>
      <c r="E521" s="9" t="s">
        <v>73</v>
      </c>
      <c r="F521" s="11">
        <v>3.364E9</v>
      </c>
    </row>
    <row r="522">
      <c r="A522" s="5">
        <v>521.0</v>
      </c>
      <c r="B522" s="5" t="s">
        <v>77</v>
      </c>
      <c r="C522" s="11">
        <v>1.5E7</v>
      </c>
      <c r="D522" s="12" t="s">
        <v>119</v>
      </c>
      <c r="E522" s="9" t="s">
        <v>60</v>
      </c>
      <c r="F522" s="8"/>
    </row>
    <row r="523">
      <c r="A523" s="5">
        <v>522.0</v>
      </c>
      <c r="B523" s="5" t="s">
        <v>77</v>
      </c>
      <c r="C523" s="11">
        <v>9000000.0</v>
      </c>
      <c r="D523" s="12" t="s">
        <v>119</v>
      </c>
      <c r="E523" s="9" t="s">
        <v>62</v>
      </c>
      <c r="F523" s="8"/>
    </row>
    <row r="524">
      <c r="A524" s="5">
        <v>523.0</v>
      </c>
      <c r="B524" s="5" t="s">
        <v>77</v>
      </c>
      <c r="C524" s="11">
        <v>1.1E7</v>
      </c>
      <c r="D524" s="12" t="s">
        <v>119</v>
      </c>
      <c r="E524" s="9" t="s">
        <v>63</v>
      </c>
      <c r="F524" s="8"/>
    </row>
    <row r="525">
      <c r="A525" s="5">
        <v>524.0</v>
      </c>
      <c r="B525" s="5" t="s">
        <v>77</v>
      </c>
      <c r="C525" s="11">
        <v>1.6E7</v>
      </c>
      <c r="D525" s="12" t="s">
        <v>119</v>
      </c>
      <c r="E525" s="9" t="s">
        <v>64</v>
      </c>
      <c r="F525" s="11">
        <v>8000000.0</v>
      </c>
    </row>
    <row r="526">
      <c r="A526" s="5">
        <v>525.0</v>
      </c>
      <c r="B526" s="5" t="s">
        <v>77</v>
      </c>
      <c r="C526" s="11">
        <v>2.1E7</v>
      </c>
      <c r="D526" s="12" t="s">
        <v>119</v>
      </c>
      <c r="E526" s="9" t="s">
        <v>65</v>
      </c>
      <c r="F526" s="11">
        <v>9000000.0</v>
      </c>
    </row>
    <row r="527">
      <c r="A527" s="5">
        <v>526.0</v>
      </c>
      <c r="B527" s="5" t="s">
        <v>77</v>
      </c>
      <c r="C527" s="11">
        <v>2.4E7</v>
      </c>
      <c r="D527" s="12" t="s">
        <v>119</v>
      </c>
      <c r="E527" s="9" t="s">
        <v>66</v>
      </c>
      <c r="F527" s="11">
        <v>1.0E7</v>
      </c>
    </row>
    <row r="528">
      <c r="A528" s="5">
        <v>527.0</v>
      </c>
      <c r="B528" s="5" t="s">
        <v>77</v>
      </c>
      <c r="C528" s="11">
        <v>2.7E7</v>
      </c>
      <c r="D528" s="12" t="s">
        <v>119</v>
      </c>
      <c r="E528" s="9" t="s">
        <v>67</v>
      </c>
      <c r="F528" s="11">
        <v>1.1E7</v>
      </c>
    </row>
    <row r="529">
      <c r="A529" s="5">
        <v>528.0</v>
      </c>
      <c r="B529" s="5" t="s">
        <v>77</v>
      </c>
      <c r="C529" s="11">
        <v>3.0E7</v>
      </c>
      <c r="D529" s="12" t="s">
        <v>119</v>
      </c>
      <c r="E529" s="9" t="s">
        <v>68</v>
      </c>
      <c r="F529" s="11">
        <v>1.5E7</v>
      </c>
    </row>
    <row r="530">
      <c r="A530" s="5">
        <v>529.0</v>
      </c>
      <c r="B530" s="5" t="s">
        <v>77</v>
      </c>
      <c r="C530" s="11">
        <v>3.7E7</v>
      </c>
      <c r="D530" s="12" t="s">
        <v>119</v>
      </c>
      <c r="E530" s="9" t="s">
        <v>69</v>
      </c>
      <c r="F530" s="11">
        <v>1.5E7</v>
      </c>
    </row>
    <row r="531">
      <c r="A531" s="5">
        <v>530.0</v>
      </c>
      <c r="B531" s="5" t="s">
        <v>77</v>
      </c>
      <c r="C531" s="11">
        <v>3.2E7</v>
      </c>
      <c r="D531" s="12" t="s">
        <v>119</v>
      </c>
      <c r="E531" s="9" t="s">
        <v>70</v>
      </c>
      <c r="F531" s="11">
        <v>1.7E7</v>
      </c>
    </row>
    <row r="532">
      <c r="A532" s="5">
        <v>531.0</v>
      </c>
      <c r="B532" s="5" t="s">
        <v>77</v>
      </c>
      <c r="C532" s="11">
        <v>3.5E7</v>
      </c>
      <c r="D532" s="12" t="s">
        <v>119</v>
      </c>
      <c r="E532" s="9" t="s">
        <v>71</v>
      </c>
      <c r="F532" s="11">
        <v>1.9E7</v>
      </c>
    </row>
    <row r="533">
      <c r="A533" s="5">
        <v>532.0</v>
      </c>
      <c r="B533" s="5" t="s">
        <v>77</v>
      </c>
      <c r="C533" s="11">
        <v>4.2E7</v>
      </c>
      <c r="D533" s="12" t="s">
        <v>119</v>
      </c>
      <c r="E533" s="9" t="s">
        <v>72</v>
      </c>
      <c r="F533" s="11">
        <v>2.0E7</v>
      </c>
    </row>
    <row r="534">
      <c r="A534" s="5">
        <v>533.0</v>
      </c>
      <c r="B534" s="5" t="s">
        <v>77</v>
      </c>
      <c r="C534" s="8"/>
      <c r="D534" s="12" t="s">
        <v>119</v>
      </c>
      <c r="E534" s="9" t="s">
        <v>73</v>
      </c>
      <c r="F534" s="8"/>
    </row>
    <row r="535">
      <c r="A535" s="5">
        <v>534.0</v>
      </c>
      <c r="B535" s="5" t="s">
        <v>77</v>
      </c>
      <c r="C535" s="11">
        <v>1.24E7</v>
      </c>
      <c r="D535" s="12" t="s">
        <v>120</v>
      </c>
      <c r="E535" s="9" t="s">
        <v>60</v>
      </c>
      <c r="F535" s="11">
        <v>5.9E7</v>
      </c>
    </row>
    <row r="536">
      <c r="A536" s="5">
        <v>535.0</v>
      </c>
      <c r="B536" s="5" t="s">
        <v>77</v>
      </c>
      <c r="C536" s="11">
        <v>2.26E7</v>
      </c>
      <c r="D536" s="12" t="s">
        <v>120</v>
      </c>
      <c r="E536" s="9" t="s">
        <v>62</v>
      </c>
      <c r="F536" s="11">
        <v>8.2E7</v>
      </c>
    </row>
    <row r="537">
      <c r="A537" s="5">
        <v>536.0</v>
      </c>
      <c r="B537" s="5" t="s">
        <v>77</v>
      </c>
      <c r="C537" s="11">
        <v>2.56E7</v>
      </c>
      <c r="D537" s="12" t="s">
        <v>120</v>
      </c>
      <c r="E537" s="9" t="s">
        <v>63</v>
      </c>
      <c r="F537" s="11">
        <v>8.5E7</v>
      </c>
    </row>
    <row r="538">
      <c r="A538" s="5">
        <v>537.0</v>
      </c>
      <c r="B538" s="5" t="s">
        <v>77</v>
      </c>
      <c r="C538" s="11">
        <v>3.0E7</v>
      </c>
      <c r="D538" s="12" t="s">
        <v>120</v>
      </c>
      <c r="E538" s="9" t="s">
        <v>64</v>
      </c>
      <c r="F538" s="11">
        <v>1.18E8</v>
      </c>
    </row>
    <row r="539">
      <c r="A539" s="5">
        <v>538.0</v>
      </c>
      <c r="B539" s="5" t="s">
        <v>77</v>
      </c>
      <c r="C539" s="11">
        <v>2.31E7</v>
      </c>
      <c r="D539" s="12" t="s">
        <v>120</v>
      </c>
      <c r="E539" s="9" t="s">
        <v>65</v>
      </c>
      <c r="F539" s="11">
        <v>1.76E8</v>
      </c>
    </row>
    <row r="540">
      <c r="A540" s="5">
        <v>539.0</v>
      </c>
      <c r="B540" s="5" t="s">
        <v>77</v>
      </c>
      <c r="C540" s="11">
        <v>4.0E7</v>
      </c>
      <c r="D540" s="12" t="s">
        <v>120</v>
      </c>
      <c r="E540" s="9" t="s">
        <v>66</v>
      </c>
      <c r="F540" s="11">
        <v>1.12E8</v>
      </c>
    </row>
    <row r="541">
      <c r="A541" s="5">
        <v>540.0</v>
      </c>
      <c r="B541" s="5" t="s">
        <v>77</v>
      </c>
      <c r="C541" s="11">
        <v>4.5E7</v>
      </c>
      <c r="D541" s="12" t="s">
        <v>120</v>
      </c>
      <c r="E541" s="9" t="s">
        <v>67</v>
      </c>
      <c r="F541" s="11">
        <v>1.32E8</v>
      </c>
    </row>
    <row r="542">
      <c r="A542" s="5">
        <v>541.0</v>
      </c>
      <c r="B542" s="5" t="s">
        <v>77</v>
      </c>
      <c r="C542" s="11">
        <v>5.4E7</v>
      </c>
      <c r="D542" s="12" t="s">
        <v>120</v>
      </c>
      <c r="E542" s="9" t="s">
        <v>68</v>
      </c>
      <c r="F542" s="11">
        <v>1.68E8</v>
      </c>
    </row>
    <row r="543">
      <c r="A543" s="5">
        <v>542.0</v>
      </c>
      <c r="B543" s="5" t="s">
        <v>77</v>
      </c>
      <c r="C543" s="8"/>
      <c r="D543" s="12" t="s">
        <v>120</v>
      </c>
      <c r="E543" s="9" t="s">
        <v>69</v>
      </c>
      <c r="F543" s="8"/>
    </row>
    <row r="544">
      <c r="A544" s="5">
        <v>543.0</v>
      </c>
      <c r="B544" s="5" t="s">
        <v>77</v>
      </c>
      <c r="C544" s="8"/>
      <c r="D544" s="12" t="s">
        <v>120</v>
      </c>
      <c r="E544" s="9" t="s">
        <v>70</v>
      </c>
      <c r="F544" s="8"/>
    </row>
    <row r="545">
      <c r="A545" s="5">
        <v>544.0</v>
      </c>
      <c r="B545" s="5" t="s">
        <v>77</v>
      </c>
      <c r="C545" s="8"/>
      <c r="D545" s="12" t="s">
        <v>120</v>
      </c>
      <c r="E545" s="9" t="s">
        <v>71</v>
      </c>
      <c r="F545" s="8"/>
    </row>
    <row r="546">
      <c r="A546" s="5">
        <v>545.0</v>
      </c>
      <c r="B546" s="5" t="s">
        <v>77</v>
      </c>
      <c r="C546" s="8"/>
      <c r="D546" s="12" t="s">
        <v>120</v>
      </c>
      <c r="E546" s="9" t="s">
        <v>72</v>
      </c>
      <c r="F546" s="8"/>
    </row>
    <row r="547">
      <c r="A547" s="5">
        <v>546.0</v>
      </c>
      <c r="B547" s="5" t="s">
        <v>77</v>
      </c>
      <c r="C547" s="8"/>
      <c r="D547" s="12" t="s">
        <v>120</v>
      </c>
      <c r="E547" s="9" t="s">
        <v>73</v>
      </c>
      <c r="F547" s="8"/>
    </row>
    <row r="548">
      <c r="A548" s="5">
        <v>547.0</v>
      </c>
      <c r="B548" s="5" t="s">
        <v>77</v>
      </c>
      <c r="C548" s="8"/>
      <c r="D548" s="12" t="s">
        <v>121</v>
      </c>
      <c r="E548" s="9" t="s">
        <v>60</v>
      </c>
      <c r="F548" s="8"/>
    </row>
    <row r="549">
      <c r="A549" s="5">
        <v>548.0</v>
      </c>
      <c r="B549" s="5" t="s">
        <v>77</v>
      </c>
      <c r="C549" s="8"/>
      <c r="D549" s="12" t="s">
        <v>121</v>
      </c>
      <c r="E549" s="9" t="s">
        <v>62</v>
      </c>
      <c r="F549" s="8"/>
    </row>
    <row r="550">
      <c r="A550" s="5">
        <v>549.0</v>
      </c>
      <c r="B550" s="5" t="s">
        <v>77</v>
      </c>
      <c r="C550" s="8"/>
      <c r="D550" s="12" t="s">
        <v>121</v>
      </c>
      <c r="E550" s="9" t="s">
        <v>63</v>
      </c>
      <c r="F550" s="8"/>
    </row>
    <row r="551">
      <c r="A551" s="5">
        <v>550.0</v>
      </c>
      <c r="B551" s="5" t="s">
        <v>77</v>
      </c>
      <c r="C551" s="8"/>
      <c r="D551" s="12" t="s">
        <v>121</v>
      </c>
      <c r="E551" s="9" t="s">
        <v>64</v>
      </c>
      <c r="F551" s="8"/>
    </row>
    <row r="552">
      <c r="A552" s="5">
        <v>551.0</v>
      </c>
      <c r="B552" s="5" t="s">
        <v>77</v>
      </c>
      <c r="C552" s="8"/>
      <c r="D552" s="12" t="s">
        <v>121</v>
      </c>
      <c r="E552" s="9" t="s">
        <v>65</v>
      </c>
      <c r="F552" s="8"/>
    </row>
    <row r="553">
      <c r="A553" s="5">
        <v>552.0</v>
      </c>
      <c r="B553" s="5" t="s">
        <v>77</v>
      </c>
      <c r="C553" s="11">
        <v>3200000.0</v>
      </c>
      <c r="D553" s="12" t="s">
        <v>121</v>
      </c>
      <c r="E553" s="9" t="s">
        <v>66</v>
      </c>
      <c r="F553" s="11">
        <v>5.4E7</v>
      </c>
    </row>
    <row r="554">
      <c r="A554" s="5">
        <v>553.0</v>
      </c>
      <c r="B554" s="5" t="s">
        <v>77</v>
      </c>
      <c r="C554" s="11">
        <v>3100000.0</v>
      </c>
      <c r="D554" s="12" t="s">
        <v>121</v>
      </c>
      <c r="E554" s="9" t="s">
        <v>67</v>
      </c>
      <c r="F554" s="11">
        <v>9.3E7</v>
      </c>
    </row>
    <row r="555">
      <c r="A555" s="5">
        <v>554.0</v>
      </c>
      <c r="B555" s="5" t="s">
        <v>77</v>
      </c>
      <c r="C555" s="11">
        <v>700000.0</v>
      </c>
      <c r="D555" s="12" t="s">
        <v>121</v>
      </c>
      <c r="E555" s="9" t="s">
        <v>68</v>
      </c>
      <c r="F555" s="11">
        <v>1.09E8</v>
      </c>
    </row>
    <row r="556">
      <c r="A556" s="5">
        <v>555.0</v>
      </c>
      <c r="B556" s="5" t="s">
        <v>77</v>
      </c>
      <c r="C556" s="11">
        <v>700000.0</v>
      </c>
      <c r="D556" s="12" t="s">
        <v>121</v>
      </c>
      <c r="E556" s="9" t="s">
        <v>69</v>
      </c>
      <c r="F556" s="11">
        <v>1.27E8</v>
      </c>
    </row>
    <row r="557">
      <c r="A557" s="5">
        <v>556.0</v>
      </c>
      <c r="B557" s="5" t="s">
        <v>77</v>
      </c>
      <c r="C557" s="11">
        <v>2.4E7</v>
      </c>
      <c r="D557" s="12" t="s">
        <v>121</v>
      </c>
      <c r="E557" s="9" t="s">
        <v>70</v>
      </c>
      <c r="F557" s="11">
        <v>1.21E8</v>
      </c>
    </row>
    <row r="558">
      <c r="A558" s="5">
        <v>557.0</v>
      </c>
      <c r="B558" s="5" t="s">
        <v>77</v>
      </c>
      <c r="C558" s="11">
        <v>1.07E7</v>
      </c>
      <c r="D558" s="12" t="s">
        <v>121</v>
      </c>
      <c r="E558" s="9" t="s">
        <v>71</v>
      </c>
      <c r="F558" s="11">
        <v>1.5E8</v>
      </c>
    </row>
    <row r="559">
      <c r="A559" s="5">
        <v>558.0</v>
      </c>
      <c r="B559" s="5" t="s">
        <v>77</v>
      </c>
      <c r="C559" s="11">
        <v>1.14E7</v>
      </c>
      <c r="D559" s="12" t="s">
        <v>121</v>
      </c>
      <c r="E559" s="9" t="s">
        <v>72</v>
      </c>
      <c r="F559" s="11">
        <v>2.98E8</v>
      </c>
    </row>
    <row r="560">
      <c r="A560" s="5">
        <v>559.0</v>
      </c>
      <c r="B560" s="5" t="s">
        <v>77</v>
      </c>
      <c r="C560" s="11">
        <v>6900000.0</v>
      </c>
      <c r="D560" s="12" t="s">
        <v>121</v>
      </c>
      <c r="E560" s="9" t="s">
        <v>73</v>
      </c>
      <c r="F560" s="11">
        <v>1.08E8</v>
      </c>
    </row>
    <row r="561">
      <c r="A561" s="5">
        <v>560.0</v>
      </c>
      <c r="B561" s="5" t="s">
        <v>84</v>
      </c>
      <c r="C561" s="11">
        <v>1.477E9</v>
      </c>
      <c r="D561" s="12" t="s">
        <v>122</v>
      </c>
      <c r="E561" s="9" t="s">
        <v>60</v>
      </c>
      <c r="F561" s="11">
        <v>5.51E8</v>
      </c>
    </row>
    <row r="562">
      <c r="A562" s="5">
        <v>561.0</v>
      </c>
      <c r="B562" s="5" t="s">
        <v>84</v>
      </c>
      <c r="C562" s="11">
        <v>1.339E9</v>
      </c>
      <c r="D562" s="12" t="s">
        <v>122</v>
      </c>
      <c r="E562" s="9" t="s">
        <v>62</v>
      </c>
      <c r="F562" s="11">
        <v>4.34E8</v>
      </c>
    </row>
    <row r="563">
      <c r="A563" s="5">
        <v>562.0</v>
      </c>
      <c r="B563" s="5" t="s">
        <v>84</v>
      </c>
      <c r="C563" s="11">
        <v>1.292E9</v>
      </c>
      <c r="D563" s="12" t="s">
        <v>122</v>
      </c>
      <c r="E563" s="9" t="s">
        <v>63</v>
      </c>
      <c r="F563" s="11">
        <v>4.3E8</v>
      </c>
    </row>
    <row r="564">
      <c r="A564" s="5">
        <v>563.0</v>
      </c>
      <c r="B564" s="5" t="s">
        <v>84</v>
      </c>
      <c r="C564" s="11">
        <v>1.424E9</v>
      </c>
      <c r="D564" s="12" t="s">
        <v>122</v>
      </c>
      <c r="E564" s="9" t="s">
        <v>64</v>
      </c>
      <c r="F564" s="11">
        <v>4.34E8</v>
      </c>
    </row>
    <row r="565">
      <c r="A565" s="5">
        <v>564.0</v>
      </c>
      <c r="B565" s="5" t="s">
        <v>84</v>
      </c>
      <c r="C565" s="11">
        <v>1.586E9</v>
      </c>
      <c r="D565" s="12" t="s">
        <v>122</v>
      </c>
      <c r="E565" s="9" t="s">
        <v>65</v>
      </c>
      <c r="F565" s="11">
        <v>4.81E8</v>
      </c>
    </row>
    <row r="566">
      <c r="A566" s="5">
        <v>565.0</v>
      </c>
      <c r="B566" s="5" t="s">
        <v>84</v>
      </c>
      <c r="C566" s="11">
        <v>1.81E9</v>
      </c>
      <c r="D566" s="12" t="s">
        <v>122</v>
      </c>
      <c r="E566" s="9" t="s">
        <v>66</v>
      </c>
      <c r="F566" s="11">
        <v>5.56E8</v>
      </c>
    </row>
    <row r="567">
      <c r="A567" s="5">
        <v>566.0</v>
      </c>
      <c r="B567" s="5" t="s">
        <v>84</v>
      </c>
      <c r="C567" s="11">
        <v>1.865E9</v>
      </c>
      <c r="D567" s="12" t="s">
        <v>122</v>
      </c>
      <c r="E567" s="9" t="s">
        <v>67</v>
      </c>
      <c r="F567" s="11">
        <v>5.77E8</v>
      </c>
    </row>
    <row r="568">
      <c r="A568" s="5">
        <v>567.0</v>
      </c>
      <c r="B568" s="5" t="s">
        <v>84</v>
      </c>
      <c r="C568" s="11">
        <v>2.221E9</v>
      </c>
      <c r="D568" s="12" t="s">
        <v>122</v>
      </c>
      <c r="E568" s="9" t="s">
        <v>68</v>
      </c>
      <c r="F568" s="11">
        <v>7.51E8</v>
      </c>
    </row>
    <row r="569">
      <c r="A569" s="5">
        <v>568.0</v>
      </c>
      <c r="B569" s="5" t="s">
        <v>84</v>
      </c>
      <c r="C569" s="11">
        <v>2.533E9</v>
      </c>
      <c r="D569" s="12" t="s">
        <v>122</v>
      </c>
      <c r="E569" s="9" t="s">
        <v>69</v>
      </c>
      <c r="F569" s="11">
        <v>7.18E8</v>
      </c>
    </row>
    <row r="570">
      <c r="A570" s="5">
        <v>569.0</v>
      </c>
      <c r="B570" s="5" t="s">
        <v>84</v>
      </c>
      <c r="C570" s="11">
        <v>2.001E9</v>
      </c>
      <c r="D570" s="12" t="s">
        <v>122</v>
      </c>
      <c r="E570" s="9" t="s">
        <v>70</v>
      </c>
      <c r="F570" s="11">
        <v>4.62E8</v>
      </c>
    </row>
    <row r="571">
      <c r="A571" s="5">
        <v>570.0</v>
      </c>
      <c r="B571" s="5" t="s">
        <v>84</v>
      </c>
      <c r="C571" s="11">
        <v>2.179E9</v>
      </c>
      <c r="D571" s="12" t="s">
        <v>122</v>
      </c>
      <c r="E571" s="9" t="s">
        <v>71</v>
      </c>
      <c r="F571" s="11">
        <v>5.33E8</v>
      </c>
    </row>
    <row r="572">
      <c r="A572" s="5">
        <v>571.0</v>
      </c>
      <c r="B572" s="5" t="s">
        <v>84</v>
      </c>
      <c r="C572" s="11">
        <v>2.375E9</v>
      </c>
      <c r="D572" s="12" t="s">
        <v>122</v>
      </c>
      <c r="E572" s="9" t="s">
        <v>72</v>
      </c>
      <c r="F572" s="11">
        <v>5.22E8</v>
      </c>
    </row>
    <row r="573">
      <c r="A573" s="5">
        <v>572.0</v>
      </c>
      <c r="B573" s="5" t="s">
        <v>84</v>
      </c>
      <c r="C573" s="11">
        <v>2.544E9</v>
      </c>
      <c r="D573" s="12" t="s">
        <v>122</v>
      </c>
      <c r="E573" s="9" t="s">
        <v>73</v>
      </c>
      <c r="F573" s="11">
        <v>5.67E8</v>
      </c>
    </row>
    <row r="574">
      <c r="A574" s="5">
        <v>573.0</v>
      </c>
      <c r="B574" s="5" t="s">
        <v>77</v>
      </c>
      <c r="C574" s="11">
        <v>5.3E7</v>
      </c>
      <c r="D574" s="12" t="s">
        <v>123</v>
      </c>
      <c r="E574" s="9" t="s">
        <v>60</v>
      </c>
      <c r="F574" s="11">
        <v>2.91E8</v>
      </c>
    </row>
    <row r="575">
      <c r="A575" s="5">
        <v>574.0</v>
      </c>
      <c r="B575" s="5" t="s">
        <v>77</v>
      </c>
      <c r="C575" s="11">
        <v>5.8E7</v>
      </c>
      <c r="D575" s="12" t="s">
        <v>123</v>
      </c>
      <c r="E575" s="9" t="s">
        <v>62</v>
      </c>
      <c r="F575" s="11">
        <v>2.89E8</v>
      </c>
    </row>
    <row r="576">
      <c r="A576" s="5">
        <v>575.0</v>
      </c>
      <c r="B576" s="5" t="s">
        <v>77</v>
      </c>
      <c r="C576" s="11">
        <v>5.6E7</v>
      </c>
      <c r="D576" s="12" t="s">
        <v>123</v>
      </c>
      <c r="E576" s="9" t="s">
        <v>63</v>
      </c>
      <c r="F576" s="11">
        <v>4.9E8</v>
      </c>
    </row>
    <row r="577">
      <c r="A577" s="5">
        <v>576.0</v>
      </c>
      <c r="B577" s="5" t="s">
        <v>77</v>
      </c>
      <c r="C577" s="11">
        <v>7.6E7</v>
      </c>
      <c r="D577" s="12" t="s">
        <v>123</v>
      </c>
      <c r="E577" s="9" t="s">
        <v>64</v>
      </c>
      <c r="F577" s="11">
        <v>5.51E8</v>
      </c>
    </row>
    <row r="578">
      <c r="A578" s="5">
        <v>577.0</v>
      </c>
      <c r="B578" s="5" t="s">
        <v>77</v>
      </c>
      <c r="C578" s="11">
        <v>9.1E7</v>
      </c>
      <c r="D578" s="12" t="s">
        <v>123</v>
      </c>
      <c r="E578" s="9" t="s">
        <v>65</v>
      </c>
      <c r="F578" s="11">
        <v>5.71E8</v>
      </c>
    </row>
    <row r="579">
      <c r="A579" s="5">
        <v>578.0</v>
      </c>
      <c r="B579" s="5" t="s">
        <v>77</v>
      </c>
      <c r="C579" s="11">
        <v>9.3E7</v>
      </c>
      <c r="D579" s="12" t="s">
        <v>123</v>
      </c>
      <c r="E579" s="9" t="s">
        <v>66</v>
      </c>
      <c r="F579" s="11">
        <v>5.49E8</v>
      </c>
    </row>
    <row r="580">
      <c r="A580" s="5">
        <v>579.0</v>
      </c>
      <c r="B580" s="5" t="s">
        <v>77</v>
      </c>
      <c r="C580" s="11">
        <v>1.04E8</v>
      </c>
      <c r="D580" s="12" t="s">
        <v>123</v>
      </c>
      <c r="E580" s="9" t="s">
        <v>67</v>
      </c>
      <c r="F580" s="11">
        <v>5.83E8</v>
      </c>
    </row>
    <row r="581">
      <c r="A581" s="5">
        <v>580.0</v>
      </c>
      <c r="B581" s="5" t="s">
        <v>77</v>
      </c>
      <c r="C581" s="11">
        <v>1.15E8</v>
      </c>
      <c r="D581" s="12" t="s">
        <v>123</v>
      </c>
      <c r="E581" s="9" t="s">
        <v>68</v>
      </c>
      <c r="F581" s="11">
        <v>6.06E8</v>
      </c>
    </row>
    <row r="582">
      <c r="A582" s="5">
        <v>581.0</v>
      </c>
      <c r="B582" s="5" t="s">
        <v>77</v>
      </c>
      <c r="C582" s="11">
        <v>1.29E8</v>
      </c>
      <c r="D582" s="12" t="s">
        <v>123</v>
      </c>
      <c r="E582" s="9" t="s">
        <v>69</v>
      </c>
      <c r="F582" s="11">
        <v>6.12E8</v>
      </c>
    </row>
    <row r="583">
      <c r="A583" s="5">
        <v>582.0</v>
      </c>
      <c r="B583" s="5" t="s">
        <v>77</v>
      </c>
      <c r="C583" s="11">
        <v>1.64E8</v>
      </c>
      <c r="D583" s="12" t="s">
        <v>123</v>
      </c>
      <c r="E583" s="9" t="s">
        <v>70</v>
      </c>
      <c r="F583" s="11">
        <v>5.89E8</v>
      </c>
    </row>
    <row r="584">
      <c r="A584" s="5">
        <v>583.0</v>
      </c>
      <c r="B584" s="5" t="s">
        <v>77</v>
      </c>
      <c r="C584" s="11">
        <v>2.13E8</v>
      </c>
      <c r="D584" s="12" t="s">
        <v>123</v>
      </c>
      <c r="E584" s="9" t="s">
        <v>71</v>
      </c>
      <c r="F584" s="11">
        <v>5.69E8</v>
      </c>
    </row>
    <row r="585">
      <c r="A585" s="5">
        <v>584.0</v>
      </c>
      <c r="B585" s="5" t="s">
        <v>77</v>
      </c>
      <c r="C585" s="8"/>
      <c r="D585" s="12" t="s">
        <v>123</v>
      </c>
      <c r="E585" s="9" t="s">
        <v>72</v>
      </c>
      <c r="F585" s="8"/>
    </row>
    <row r="586">
      <c r="A586" s="5">
        <v>585.0</v>
      </c>
      <c r="B586" s="5" t="s">
        <v>77</v>
      </c>
      <c r="C586" s="8"/>
      <c r="D586" s="12" t="s">
        <v>123</v>
      </c>
      <c r="E586" s="9" t="s">
        <v>73</v>
      </c>
      <c r="F586" s="8"/>
    </row>
    <row r="587">
      <c r="A587" s="5">
        <v>586.0</v>
      </c>
      <c r="B587" s="5" t="s">
        <v>75</v>
      </c>
      <c r="C587" s="11">
        <v>2.871E9</v>
      </c>
      <c r="D587" s="12" t="s">
        <v>124</v>
      </c>
      <c r="E587" s="9" t="s">
        <v>60</v>
      </c>
      <c r="F587" s="11">
        <v>6.34E8</v>
      </c>
    </row>
    <row r="588">
      <c r="A588" s="5">
        <v>587.0</v>
      </c>
      <c r="B588" s="5" t="s">
        <v>75</v>
      </c>
      <c r="C588" s="11">
        <v>3.463E9</v>
      </c>
      <c r="D588" s="12" t="s">
        <v>124</v>
      </c>
      <c r="E588" s="9" t="s">
        <v>62</v>
      </c>
      <c r="F588" s="11">
        <v>6.77E8</v>
      </c>
    </row>
    <row r="589">
      <c r="A589" s="5">
        <v>588.0</v>
      </c>
      <c r="B589" s="5" t="s">
        <v>75</v>
      </c>
      <c r="C589" s="11">
        <v>3.952E9</v>
      </c>
      <c r="D589" s="12" t="s">
        <v>124</v>
      </c>
      <c r="E589" s="9" t="s">
        <v>63</v>
      </c>
      <c r="F589" s="11">
        <v>8.52E8</v>
      </c>
    </row>
    <row r="590">
      <c r="A590" s="5">
        <v>589.0</v>
      </c>
      <c r="B590" s="5" t="s">
        <v>75</v>
      </c>
      <c r="C590" s="11">
        <v>6.513E9</v>
      </c>
      <c r="D590" s="12" t="s">
        <v>124</v>
      </c>
      <c r="E590" s="9" t="s">
        <v>64</v>
      </c>
      <c r="F590" s="11">
        <v>7.09E8</v>
      </c>
    </row>
    <row r="591">
      <c r="A591" s="5">
        <v>590.0</v>
      </c>
      <c r="B591" s="5" t="s">
        <v>75</v>
      </c>
      <c r="C591" s="11">
        <v>6.945E9</v>
      </c>
      <c r="D591" s="12" t="s">
        <v>124</v>
      </c>
      <c r="E591" s="9" t="s">
        <v>65</v>
      </c>
      <c r="F591" s="11">
        <v>8.81E8</v>
      </c>
    </row>
    <row r="592">
      <c r="A592" s="5">
        <v>591.0</v>
      </c>
      <c r="B592" s="5" t="s">
        <v>75</v>
      </c>
      <c r="C592" s="11">
        <v>7.625E9</v>
      </c>
      <c r="D592" s="12" t="s">
        <v>124</v>
      </c>
      <c r="E592" s="9" t="s">
        <v>66</v>
      </c>
      <c r="F592" s="11">
        <v>7.86E8</v>
      </c>
    </row>
    <row r="593">
      <c r="A593" s="5">
        <v>592.0</v>
      </c>
      <c r="B593" s="5" t="s">
        <v>75</v>
      </c>
      <c r="C593" s="11">
        <v>8.296E9</v>
      </c>
      <c r="D593" s="12" t="s">
        <v>124</v>
      </c>
      <c r="E593" s="9" t="s">
        <v>67</v>
      </c>
      <c r="F593" s="11">
        <v>7.7E8</v>
      </c>
    </row>
    <row r="594">
      <c r="A594" s="5">
        <v>593.0</v>
      </c>
      <c r="B594" s="5" t="s">
        <v>75</v>
      </c>
      <c r="C594" s="11">
        <v>9.601E9</v>
      </c>
      <c r="D594" s="12" t="s">
        <v>124</v>
      </c>
      <c r="E594" s="9" t="s">
        <v>68</v>
      </c>
      <c r="F594" s="11">
        <v>1.025E9</v>
      </c>
    </row>
    <row r="595">
      <c r="A595" s="5">
        <v>594.0</v>
      </c>
      <c r="B595" s="5" t="s">
        <v>75</v>
      </c>
      <c r="C595" s="11">
        <v>1.1681E10</v>
      </c>
      <c r="D595" s="12" t="s">
        <v>124</v>
      </c>
      <c r="E595" s="9" t="s">
        <v>69</v>
      </c>
      <c r="F595" s="11">
        <v>1.156E9</v>
      </c>
    </row>
    <row r="596">
      <c r="A596" s="5">
        <v>595.0</v>
      </c>
      <c r="B596" s="5" t="s">
        <v>75</v>
      </c>
      <c r="C596" s="11">
        <v>9.308E9</v>
      </c>
      <c r="D596" s="12" t="s">
        <v>124</v>
      </c>
      <c r="E596" s="9" t="s">
        <v>70</v>
      </c>
      <c r="F596" s="11">
        <v>1.041E9</v>
      </c>
    </row>
    <row r="597">
      <c r="A597" s="5">
        <v>596.0</v>
      </c>
      <c r="B597" s="5" t="s">
        <v>75</v>
      </c>
      <c r="C597" s="11">
        <v>8.255E9</v>
      </c>
      <c r="D597" s="12" t="s">
        <v>124</v>
      </c>
      <c r="E597" s="9" t="s">
        <v>71</v>
      </c>
      <c r="F597" s="11">
        <v>8.59E8</v>
      </c>
    </row>
    <row r="598">
      <c r="A598" s="5">
        <v>597.0</v>
      </c>
      <c r="B598" s="5" t="s">
        <v>75</v>
      </c>
      <c r="C598" s="11">
        <v>9.638E9</v>
      </c>
      <c r="D598" s="12" t="s">
        <v>124</v>
      </c>
      <c r="E598" s="9" t="s">
        <v>72</v>
      </c>
      <c r="F598" s="11">
        <v>9.19E8</v>
      </c>
    </row>
    <row r="599">
      <c r="A599" s="5">
        <v>598.0</v>
      </c>
      <c r="B599" s="5" t="s">
        <v>75</v>
      </c>
      <c r="C599" s="11">
        <v>8.865E9</v>
      </c>
      <c r="D599" s="12" t="s">
        <v>124</v>
      </c>
      <c r="E599" s="9" t="s">
        <v>73</v>
      </c>
      <c r="F599" s="11">
        <v>9.62E8</v>
      </c>
    </row>
    <row r="600">
      <c r="A600" s="5">
        <v>599.0</v>
      </c>
      <c r="B600" s="5" t="s">
        <v>84</v>
      </c>
      <c r="C600" s="11">
        <v>1.948E9</v>
      </c>
      <c r="D600" s="12" t="s">
        <v>125</v>
      </c>
      <c r="E600" s="9" t="s">
        <v>60</v>
      </c>
      <c r="F600" s="8"/>
    </row>
    <row r="601">
      <c r="A601" s="5">
        <v>600.0</v>
      </c>
      <c r="B601" s="5" t="s">
        <v>84</v>
      </c>
      <c r="C601" s="11">
        <v>1.84E9</v>
      </c>
      <c r="D601" s="12" t="s">
        <v>125</v>
      </c>
      <c r="E601" s="9" t="s">
        <v>62</v>
      </c>
      <c r="F601" s="8"/>
    </row>
    <row r="602">
      <c r="A602" s="5">
        <v>601.0</v>
      </c>
      <c r="B602" s="5" t="s">
        <v>84</v>
      </c>
      <c r="C602" s="11">
        <v>1.769E9</v>
      </c>
      <c r="D602" s="12" t="s">
        <v>125</v>
      </c>
      <c r="E602" s="9" t="s">
        <v>63</v>
      </c>
      <c r="F602" s="8"/>
    </row>
    <row r="603">
      <c r="A603" s="5">
        <v>602.0</v>
      </c>
      <c r="B603" s="5" t="s">
        <v>84</v>
      </c>
      <c r="C603" s="11">
        <v>1.999E9</v>
      </c>
      <c r="D603" s="12" t="s">
        <v>125</v>
      </c>
      <c r="E603" s="9" t="s">
        <v>64</v>
      </c>
      <c r="F603" s="8"/>
    </row>
    <row r="604">
      <c r="A604" s="5">
        <v>603.0</v>
      </c>
      <c r="B604" s="5" t="s">
        <v>84</v>
      </c>
      <c r="C604" s="11">
        <v>2.114E9</v>
      </c>
      <c r="D604" s="12" t="s">
        <v>125</v>
      </c>
      <c r="E604" s="9" t="s">
        <v>65</v>
      </c>
      <c r="F604" s="8"/>
    </row>
    <row r="605">
      <c r="A605" s="5">
        <v>604.0</v>
      </c>
      <c r="B605" s="5" t="s">
        <v>84</v>
      </c>
      <c r="C605" s="11">
        <v>2.591E9</v>
      </c>
      <c r="D605" s="12" t="s">
        <v>125</v>
      </c>
      <c r="E605" s="9" t="s">
        <v>66</v>
      </c>
      <c r="F605" s="8"/>
    </row>
    <row r="606">
      <c r="A606" s="5">
        <v>605.0</v>
      </c>
      <c r="B606" s="5" t="s">
        <v>84</v>
      </c>
      <c r="C606" s="11">
        <v>2.414E9</v>
      </c>
      <c r="D606" s="12" t="s">
        <v>125</v>
      </c>
      <c r="E606" s="9" t="s">
        <v>67</v>
      </c>
      <c r="F606" s="8"/>
    </row>
    <row r="607">
      <c r="A607" s="5">
        <v>606.0</v>
      </c>
      <c r="B607" s="5" t="s">
        <v>84</v>
      </c>
      <c r="C607" s="11">
        <v>2.415E9</v>
      </c>
      <c r="D607" s="12" t="s">
        <v>125</v>
      </c>
      <c r="E607" s="9" t="s">
        <v>68</v>
      </c>
      <c r="F607" s="8"/>
    </row>
    <row r="608">
      <c r="A608" s="5">
        <v>607.0</v>
      </c>
      <c r="B608" s="5" t="s">
        <v>84</v>
      </c>
      <c r="C608" s="11">
        <v>2.347E9</v>
      </c>
      <c r="D608" s="12" t="s">
        <v>125</v>
      </c>
      <c r="E608" s="9" t="s">
        <v>69</v>
      </c>
      <c r="F608" s="8"/>
    </row>
    <row r="609">
      <c r="A609" s="5">
        <v>608.0</v>
      </c>
      <c r="B609" s="5" t="s">
        <v>84</v>
      </c>
      <c r="C609" s="11">
        <v>2.082E9</v>
      </c>
      <c r="D609" s="12" t="s">
        <v>125</v>
      </c>
      <c r="E609" s="9" t="s">
        <v>70</v>
      </c>
      <c r="F609" s="8"/>
    </row>
    <row r="610">
      <c r="A610" s="5">
        <v>609.0</v>
      </c>
      <c r="B610" s="5" t="s">
        <v>84</v>
      </c>
      <c r="C610" s="11">
        <v>2.218E9</v>
      </c>
      <c r="D610" s="12" t="s">
        <v>125</v>
      </c>
      <c r="E610" s="9" t="s">
        <v>71</v>
      </c>
      <c r="F610" s="8"/>
    </row>
    <row r="611">
      <c r="A611" s="5">
        <v>610.0</v>
      </c>
      <c r="B611" s="5" t="s">
        <v>84</v>
      </c>
      <c r="C611" s="11">
        <v>2.503E9</v>
      </c>
      <c r="D611" s="12" t="s">
        <v>125</v>
      </c>
      <c r="E611" s="9" t="s">
        <v>72</v>
      </c>
      <c r="F611" s="8"/>
    </row>
    <row r="612">
      <c r="A612" s="5">
        <v>611.0</v>
      </c>
      <c r="B612" s="5" t="s">
        <v>84</v>
      </c>
      <c r="C612" s="11">
        <v>2.614E9</v>
      </c>
      <c r="D612" s="12" t="s">
        <v>125</v>
      </c>
      <c r="E612" s="9" t="s">
        <v>73</v>
      </c>
      <c r="F612" s="8"/>
    </row>
    <row r="613">
      <c r="A613" s="5">
        <v>612.0</v>
      </c>
      <c r="B613" s="5" t="s">
        <v>84</v>
      </c>
      <c r="C613" s="11">
        <v>2.27E8</v>
      </c>
      <c r="D613" s="12" t="s">
        <v>126</v>
      </c>
      <c r="E613" s="9" t="s">
        <v>60</v>
      </c>
      <c r="F613" s="8"/>
    </row>
    <row r="614">
      <c r="A614" s="5">
        <v>613.0</v>
      </c>
      <c r="B614" s="5" t="s">
        <v>84</v>
      </c>
      <c r="C614" s="11">
        <v>2.71E8</v>
      </c>
      <c r="D614" s="12" t="s">
        <v>126</v>
      </c>
      <c r="E614" s="9" t="s">
        <v>62</v>
      </c>
      <c r="F614" s="8"/>
    </row>
    <row r="615">
      <c r="A615" s="5">
        <v>614.0</v>
      </c>
      <c r="B615" s="5" t="s">
        <v>84</v>
      </c>
      <c r="C615" s="11">
        <v>2.17E8</v>
      </c>
      <c r="D615" s="12" t="s">
        <v>126</v>
      </c>
      <c r="E615" s="9" t="s">
        <v>63</v>
      </c>
      <c r="F615" s="11">
        <v>1.37E8</v>
      </c>
    </row>
    <row r="616">
      <c r="A616" s="5">
        <v>615.0</v>
      </c>
      <c r="B616" s="5" t="s">
        <v>84</v>
      </c>
      <c r="C616" s="11">
        <v>2.23E8</v>
      </c>
      <c r="D616" s="12" t="s">
        <v>126</v>
      </c>
      <c r="E616" s="9" t="s">
        <v>64</v>
      </c>
      <c r="F616" s="11">
        <v>1.76E8</v>
      </c>
    </row>
    <row r="617">
      <c r="A617" s="5">
        <v>616.0</v>
      </c>
      <c r="B617" s="5" t="s">
        <v>84</v>
      </c>
      <c r="C617" s="11">
        <v>2.24E8</v>
      </c>
      <c r="D617" s="12" t="s">
        <v>126</v>
      </c>
      <c r="E617" s="9" t="s">
        <v>65</v>
      </c>
      <c r="F617" s="11">
        <v>1.95E8</v>
      </c>
    </row>
    <row r="618">
      <c r="A618" s="5">
        <v>617.0</v>
      </c>
      <c r="B618" s="5" t="s">
        <v>84</v>
      </c>
      <c r="C618" s="11">
        <v>2.44E8</v>
      </c>
      <c r="D618" s="12" t="s">
        <v>126</v>
      </c>
      <c r="E618" s="9" t="s">
        <v>66</v>
      </c>
      <c r="F618" s="11">
        <v>1.64E8</v>
      </c>
    </row>
    <row r="619">
      <c r="A619" s="5">
        <v>618.0</v>
      </c>
      <c r="B619" s="5" t="s">
        <v>84</v>
      </c>
      <c r="C619" s="11">
        <v>2.77E8</v>
      </c>
      <c r="D619" s="12" t="s">
        <v>126</v>
      </c>
      <c r="E619" s="9" t="s">
        <v>67</v>
      </c>
      <c r="F619" s="11">
        <v>1.91E8</v>
      </c>
    </row>
    <row r="620">
      <c r="A620" s="5">
        <v>619.0</v>
      </c>
      <c r="B620" s="5" t="s">
        <v>84</v>
      </c>
      <c r="C620" s="11">
        <v>3.29E8</v>
      </c>
      <c r="D620" s="12" t="s">
        <v>126</v>
      </c>
      <c r="E620" s="9" t="s">
        <v>68</v>
      </c>
      <c r="F620" s="11">
        <v>2.23E8</v>
      </c>
    </row>
    <row r="621">
      <c r="A621" s="5">
        <v>620.0</v>
      </c>
      <c r="B621" s="5" t="s">
        <v>84</v>
      </c>
      <c r="C621" s="11">
        <v>3.83E8</v>
      </c>
      <c r="D621" s="12" t="s">
        <v>126</v>
      </c>
      <c r="E621" s="9" t="s">
        <v>69</v>
      </c>
      <c r="F621" s="11">
        <v>2.29E8</v>
      </c>
    </row>
    <row r="622">
      <c r="A622" s="5">
        <v>621.0</v>
      </c>
      <c r="B622" s="5" t="s">
        <v>84</v>
      </c>
      <c r="C622" s="11">
        <v>3.78E8</v>
      </c>
      <c r="D622" s="12" t="s">
        <v>126</v>
      </c>
      <c r="E622" s="9" t="s">
        <v>70</v>
      </c>
      <c r="F622" s="11">
        <v>2.58E8</v>
      </c>
    </row>
    <row r="623">
      <c r="A623" s="5">
        <v>622.0</v>
      </c>
      <c r="B623" s="5" t="s">
        <v>84</v>
      </c>
      <c r="C623" s="11">
        <v>4.38E8</v>
      </c>
      <c r="D623" s="12" t="s">
        <v>126</v>
      </c>
      <c r="E623" s="9" t="s">
        <v>71</v>
      </c>
      <c r="F623" s="11">
        <v>2.82E8</v>
      </c>
    </row>
    <row r="624">
      <c r="A624" s="5">
        <v>623.0</v>
      </c>
      <c r="B624" s="5" t="s">
        <v>84</v>
      </c>
      <c r="C624" s="11">
        <v>5.4E8</v>
      </c>
      <c r="D624" s="12" t="s">
        <v>126</v>
      </c>
      <c r="E624" s="9" t="s">
        <v>72</v>
      </c>
      <c r="F624" s="11">
        <v>3.21E8</v>
      </c>
    </row>
    <row r="625">
      <c r="A625" s="5">
        <v>624.0</v>
      </c>
      <c r="B625" s="5" t="s">
        <v>84</v>
      </c>
      <c r="C625" s="11">
        <v>6.76E8</v>
      </c>
      <c r="D625" s="12" t="s">
        <v>126</v>
      </c>
      <c r="E625" s="9" t="s">
        <v>73</v>
      </c>
      <c r="F625" s="11">
        <v>3.57E8</v>
      </c>
    </row>
    <row r="626">
      <c r="A626" s="5">
        <v>625.0</v>
      </c>
      <c r="B626" s="5" t="s">
        <v>75</v>
      </c>
      <c r="C626" s="11">
        <v>2.137E9</v>
      </c>
      <c r="D626" s="12" t="s">
        <v>127</v>
      </c>
      <c r="E626" s="9" t="s">
        <v>60</v>
      </c>
      <c r="F626" s="11">
        <v>5.43E8</v>
      </c>
    </row>
    <row r="627">
      <c r="A627" s="5">
        <v>626.0</v>
      </c>
      <c r="B627" s="5" t="s">
        <v>75</v>
      </c>
      <c r="C627" s="11">
        <v>2.203E9</v>
      </c>
      <c r="D627" s="12" t="s">
        <v>127</v>
      </c>
      <c r="E627" s="9" t="s">
        <v>62</v>
      </c>
      <c r="F627" s="11">
        <v>5.68E8</v>
      </c>
    </row>
    <row r="628">
      <c r="A628" s="5">
        <v>627.0</v>
      </c>
      <c r="B628" s="5" t="s">
        <v>75</v>
      </c>
      <c r="C628" s="11">
        <v>2.178E9</v>
      </c>
      <c r="D628" s="12" t="s">
        <v>127</v>
      </c>
      <c r="E628" s="9" t="s">
        <v>63</v>
      </c>
      <c r="F628" s="11">
        <v>5.82E8</v>
      </c>
    </row>
    <row r="629">
      <c r="A629" s="5">
        <v>628.0</v>
      </c>
      <c r="B629" s="5" t="s">
        <v>75</v>
      </c>
      <c r="C629" s="11">
        <v>2.325E9</v>
      </c>
      <c r="D629" s="12" t="s">
        <v>127</v>
      </c>
      <c r="E629" s="9" t="s">
        <v>64</v>
      </c>
      <c r="F629" s="11">
        <v>7.0E8</v>
      </c>
    </row>
    <row r="630">
      <c r="A630" s="5">
        <v>629.0</v>
      </c>
      <c r="B630" s="5" t="s">
        <v>75</v>
      </c>
      <c r="C630" s="11">
        <v>2.552E9</v>
      </c>
      <c r="D630" s="12" t="s">
        <v>127</v>
      </c>
      <c r="E630" s="9" t="s">
        <v>65</v>
      </c>
      <c r="F630" s="11">
        <v>9.07E8</v>
      </c>
    </row>
    <row r="631">
      <c r="A631" s="5">
        <v>630.0</v>
      </c>
      <c r="B631" s="5" t="s">
        <v>75</v>
      </c>
      <c r="C631" s="11">
        <v>2.644E9</v>
      </c>
      <c r="D631" s="12" t="s">
        <v>127</v>
      </c>
      <c r="E631" s="9" t="s">
        <v>66</v>
      </c>
      <c r="F631" s="11">
        <v>1.001E9</v>
      </c>
    </row>
    <row r="632">
      <c r="A632" s="5">
        <v>631.0</v>
      </c>
      <c r="B632" s="5" t="s">
        <v>75</v>
      </c>
      <c r="C632" s="11">
        <v>2.691E9</v>
      </c>
      <c r="D632" s="12" t="s">
        <v>127</v>
      </c>
      <c r="E632" s="9" t="s">
        <v>67</v>
      </c>
      <c r="F632" s="11">
        <v>1.031E9</v>
      </c>
    </row>
    <row r="633">
      <c r="A633" s="5">
        <v>632.0</v>
      </c>
      <c r="B633" s="5" t="s">
        <v>75</v>
      </c>
      <c r="C633" s="11">
        <v>3.108E9</v>
      </c>
      <c r="D633" s="12" t="s">
        <v>127</v>
      </c>
      <c r="E633" s="9" t="s">
        <v>68</v>
      </c>
      <c r="F633" s="11">
        <v>1.554E9</v>
      </c>
    </row>
    <row r="634">
      <c r="A634" s="5">
        <v>633.0</v>
      </c>
      <c r="B634" s="5" t="s">
        <v>75</v>
      </c>
      <c r="C634" s="11">
        <v>3.231E9</v>
      </c>
      <c r="D634" s="12" t="s">
        <v>127</v>
      </c>
      <c r="E634" s="9" t="s">
        <v>69</v>
      </c>
      <c r="F634" s="11">
        <v>1.895E9</v>
      </c>
    </row>
    <row r="635">
      <c r="A635" s="5">
        <v>634.0</v>
      </c>
      <c r="B635" s="5" t="s">
        <v>75</v>
      </c>
      <c r="C635" s="11">
        <v>2.474E9</v>
      </c>
      <c r="D635" s="12" t="s">
        <v>127</v>
      </c>
      <c r="E635" s="9" t="s">
        <v>70</v>
      </c>
      <c r="F635" s="11">
        <v>1.638E9</v>
      </c>
    </row>
    <row r="636">
      <c r="A636" s="5">
        <v>635.0</v>
      </c>
      <c r="B636" s="5" t="s">
        <v>75</v>
      </c>
      <c r="C636" s="11">
        <v>2.371E9</v>
      </c>
      <c r="D636" s="12" t="s">
        <v>127</v>
      </c>
      <c r="E636" s="9" t="s">
        <v>71</v>
      </c>
      <c r="F636" s="11">
        <v>1.457E9</v>
      </c>
    </row>
    <row r="637">
      <c r="A637" s="5">
        <v>636.0</v>
      </c>
      <c r="B637" s="5" t="s">
        <v>75</v>
      </c>
      <c r="C637" s="11">
        <v>2.751E9</v>
      </c>
      <c r="D637" s="12" t="s">
        <v>127</v>
      </c>
      <c r="E637" s="9" t="s">
        <v>72</v>
      </c>
      <c r="F637" s="11">
        <v>1.721E9</v>
      </c>
    </row>
    <row r="638">
      <c r="A638" s="5">
        <v>637.0</v>
      </c>
      <c r="B638" s="5" t="s">
        <v>75</v>
      </c>
      <c r="C638" s="11">
        <v>2.709E9</v>
      </c>
      <c r="D638" s="12" t="s">
        <v>127</v>
      </c>
      <c r="E638" s="9" t="s">
        <v>73</v>
      </c>
      <c r="F638" s="11">
        <v>1.637E9</v>
      </c>
    </row>
    <row r="639">
      <c r="A639" s="5">
        <v>638.0</v>
      </c>
      <c r="B639" s="5" t="s">
        <v>75</v>
      </c>
      <c r="C639" s="11">
        <v>2.973E9</v>
      </c>
      <c r="D639" s="12" t="s">
        <v>128</v>
      </c>
      <c r="E639" s="9" t="s">
        <v>60</v>
      </c>
      <c r="F639" s="11">
        <v>1.276E9</v>
      </c>
    </row>
    <row r="640">
      <c r="A640" s="5">
        <v>639.0</v>
      </c>
      <c r="B640" s="5" t="s">
        <v>75</v>
      </c>
      <c r="C640" s="11">
        <v>3.104E9</v>
      </c>
      <c r="D640" s="12" t="s">
        <v>128</v>
      </c>
      <c r="E640" s="9" t="s">
        <v>62</v>
      </c>
      <c r="F640" s="11">
        <v>1.386E9</v>
      </c>
    </row>
    <row r="641">
      <c r="A641" s="5">
        <v>640.0</v>
      </c>
      <c r="B641" s="5" t="s">
        <v>75</v>
      </c>
      <c r="C641" s="11">
        <v>3.376E9</v>
      </c>
      <c r="D641" s="12" t="s">
        <v>128</v>
      </c>
      <c r="E641" s="9" t="s">
        <v>63</v>
      </c>
      <c r="F641" s="11">
        <v>1.797E9</v>
      </c>
    </row>
    <row r="642">
      <c r="A642" s="5">
        <v>641.0</v>
      </c>
      <c r="B642" s="5" t="s">
        <v>75</v>
      </c>
      <c r="C642" s="11">
        <v>4.069E9</v>
      </c>
      <c r="D642" s="12" t="s">
        <v>128</v>
      </c>
      <c r="E642" s="9" t="s">
        <v>64</v>
      </c>
      <c r="F642" s="11">
        <v>2.177E9</v>
      </c>
    </row>
    <row r="643">
      <c r="A643" s="5">
        <v>642.0</v>
      </c>
      <c r="B643" s="5" t="s">
        <v>75</v>
      </c>
      <c r="C643" s="11">
        <v>4.931E9</v>
      </c>
      <c r="D643" s="12" t="s">
        <v>128</v>
      </c>
      <c r="E643" s="9" t="s">
        <v>65</v>
      </c>
      <c r="F643" s="11">
        <v>2.682E9</v>
      </c>
    </row>
    <row r="644">
      <c r="A644" s="5">
        <v>643.0</v>
      </c>
      <c r="B644" s="5" t="s">
        <v>75</v>
      </c>
      <c r="C644" s="11">
        <v>5.772E9</v>
      </c>
      <c r="D644" s="12" t="s">
        <v>128</v>
      </c>
      <c r="E644" s="9" t="s">
        <v>66</v>
      </c>
      <c r="F644" s="11">
        <v>2.603E9</v>
      </c>
    </row>
    <row r="645">
      <c r="A645" s="5">
        <v>644.0</v>
      </c>
      <c r="B645" s="5" t="s">
        <v>75</v>
      </c>
      <c r="C645" s="11">
        <v>6.702E9</v>
      </c>
      <c r="D645" s="12" t="s">
        <v>128</v>
      </c>
      <c r="E645" s="9" t="s">
        <v>67</v>
      </c>
      <c r="F645" s="11">
        <v>2.874E9</v>
      </c>
    </row>
    <row r="646">
      <c r="A646" s="5">
        <v>645.0</v>
      </c>
      <c r="B646" s="5" t="s">
        <v>75</v>
      </c>
      <c r="C646" s="11">
        <v>7.775E9</v>
      </c>
      <c r="D646" s="12" t="s">
        <v>128</v>
      </c>
      <c r="E646" s="9" t="s">
        <v>68</v>
      </c>
      <c r="F646" s="11">
        <v>3.704E9</v>
      </c>
    </row>
    <row r="647">
      <c r="A647" s="5">
        <v>646.0</v>
      </c>
      <c r="B647" s="5" t="s">
        <v>75</v>
      </c>
      <c r="C647" s="11">
        <v>8.871E9</v>
      </c>
      <c r="D647" s="12" t="s">
        <v>128</v>
      </c>
      <c r="E647" s="9" t="s">
        <v>69</v>
      </c>
      <c r="F647" s="11">
        <v>4.797E9</v>
      </c>
    </row>
    <row r="648">
      <c r="A648" s="5">
        <v>647.0</v>
      </c>
      <c r="B648" s="5" t="s">
        <v>75</v>
      </c>
      <c r="C648" s="11">
        <v>7.936E9</v>
      </c>
      <c r="D648" s="12" t="s">
        <v>128</v>
      </c>
      <c r="E648" s="9" t="s">
        <v>70</v>
      </c>
      <c r="F648" s="11">
        <v>4.158E9</v>
      </c>
    </row>
    <row r="649">
      <c r="A649" s="5">
        <v>648.0</v>
      </c>
      <c r="B649" s="5" t="s">
        <v>75</v>
      </c>
      <c r="C649" s="11">
        <v>8.017E9</v>
      </c>
      <c r="D649" s="12" t="s">
        <v>128</v>
      </c>
      <c r="E649" s="9" t="s">
        <v>71</v>
      </c>
      <c r="F649" s="11">
        <v>4.166E9</v>
      </c>
    </row>
    <row r="650">
      <c r="A650" s="5">
        <v>649.0</v>
      </c>
      <c r="B650" s="5" t="s">
        <v>75</v>
      </c>
      <c r="C650" s="11">
        <v>8.503E9</v>
      </c>
      <c r="D650" s="12" t="s">
        <v>128</v>
      </c>
      <c r="E650" s="9" t="s">
        <v>72</v>
      </c>
      <c r="F650" s="11">
        <v>4.66E9</v>
      </c>
    </row>
    <row r="651">
      <c r="A651" s="5">
        <v>650.0</v>
      </c>
      <c r="B651" s="5" t="s">
        <v>75</v>
      </c>
      <c r="C651" s="11">
        <v>7.758E9</v>
      </c>
      <c r="D651" s="12" t="s">
        <v>128</v>
      </c>
      <c r="E651" s="9" t="s">
        <v>73</v>
      </c>
      <c r="F651" s="11">
        <v>4.379E9</v>
      </c>
    </row>
    <row r="652">
      <c r="A652" s="5">
        <v>651.0</v>
      </c>
      <c r="B652" s="5" t="s">
        <v>75</v>
      </c>
      <c r="C652" s="11">
        <v>3.671E9</v>
      </c>
      <c r="D652" s="12" t="s">
        <v>129</v>
      </c>
      <c r="E652" s="9" t="s">
        <v>60</v>
      </c>
      <c r="F652" s="11">
        <v>4.669E9</v>
      </c>
    </row>
    <row r="653">
      <c r="A653" s="5">
        <v>652.0</v>
      </c>
      <c r="B653" s="5" t="s">
        <v>75</v>
      </c>
      <c r="C653" s="11">
        <v>4.003E9</v>
      </c>
      <c r="D653" s="12" t="s">
        <v>129</v>
      </c>
      <c r="E653" s="9" t="s">
        <v>62</v>
      </c>
      <c r="F653" s="11">
        <v>4.861E9</v>
      </c>
    </row>
    <row r="654">
      <c r="A654" s="5">
        <v>653.0</v>
      </c>
      <c r="B654" s="5" t="s">
        <v>75</v>
      </c>
      <c r="C654" s="11">
        <v>4.791E9</v>
      </c>
      <c r="D654" s="12" t="s">
        <v>129</v>
      </c>
      <c r="E654" s="9" t="s">
        <v>63</v>
      </c>
      <c r="F654" s="11">
        <v>5.838E9</v>
      </c>
    </row>
    <row r="655">
      <c r="A655" s="5">
        <v>654.0</v>
      </c>
      <c r="B655" s="5" t="s">
        <v>75</v>
      </c>
      <c r="C655" s="11">
        <v>5.271E9</v>
      </c>
      <c r="D655" s="12" t="s">
        <v>129</v>
      </c>
      <c r="E655" s="9" t="s">
        <v>64</v>
      </c>
      <c r="F655" s="11">
        <v>6.659E9</v>
      </c>
    </row>
    <row r="656">
      <c r="A656" s="5">
        <v>655.0</v>
      </c>
      <c r="B656" s="5" t="s">
        <v>75</v>
      </c>
      <c r="C656" s="11">
        <v>5.652E9</v>
      </c>
      <c r="D656" s="12" t="s">
        <v>129</v>
      </c>
      <c r="E656" s="9" t="s">
        <v>65</v>
      </c>
      <c r="F656" s="11">
        <v>7.279E9</v>
      </c>
    </row>
    <row r="657">
      <c r="A657" s="5">
        <v>656.0</v>
      </c>
      <c r="B657" s="5" t="s">
        <v>75</v>
      </c>
      <c r="C657" s="11">
        <v>5.293E9</v>
      </c>
      <c r="D657" s="12" t="s">
        <v>129</v>
      </c>
      <c r="E657" s="9" t="s">
        <v>66</v>
      </c>
      <c r="F657" s="11">
        <v>6.85E9</v>
      </c>
    </row>
    <row r="658">
      <c r="A658" s="5">
        <v>657.0</v>
      </c>
      <c r="B658" s="5" t="s">
        <v>75</v>
      </c>
      <c r="C658" s="11">
        <v>5.562E9</v>
      </c>
      <c r="D658" s="12" t="s">
        <v>129</v>
      </c>
      <c r="E658" s="9" t="s">
        <v>67</v>
      </c>
      <c r="F658" s="11">
        <v>7.486E9</v>
      </c>
    </row>
    <row r="659">
      <c r="A659" s="5">
        <v>658.0</v>
      </c>
      <c r="B659" s="5" t="s">
        <v>75</v>
      </c>
      <c r="C659" s="11">
        <v>5.978E9</v>
      </c>
      <c r="D659" s="12" t="s">
        <v>129</v>
      </c>
      <c r="E659" s="9" t="s">
        <v>68</v>
      </c>
      <c r="F659" s="11">
        <v>8.83E9</v>
      </c>
    </row>
    <row r="660">
      <c r="A660" s="5">
        <v>659.0</v>
      </c>
      <c r="B660" s="5" t="s">
        <v>75</v>
      </c>
      <c r="C660" s="11">
        <v>6.281E9</v>
      </c>
      <c r="D660" s="12" t="s">
        <v>129</v>
      </c>
      <c r="E660" s="9" t="s">
        <v>69</v>
      </c>
      <c r="F660" s="11">
        <v>9.698E9</v>
      </c>
    </row>
    <row r="661">
      <c r="A661" s="5">
        <v>660.0</v>
      </c>
      <c r="B661" s="5" t="s">
        <v>75</v>
      </c>
      <c r="C661" s="11">
        <v>5.617E9</v>
      </c>
      <c r="D661" s="12" t="s">
        <v>129</v>
      </c>
      <c r="E661" s="9" t="s">
        <v>70</v>
      </c>
      <c r="F661" s="11">
        <v>8.968E9</v>
      </c>
    </row>
    <row r="662">
      <c r="A662" s="5">
        <v>661.0</v>
      </c>
      <c r="B662" s="5" t="s">
        <v>75</v>
      </c>
      <c r="C662" s="11">
        <v>5.704E9</v>
      </c>
      <c r="D662" s="12" t="s">
        <v>129</v>
      </c>
      <c r="E662" s="9" t="s">
        <v>71</v>
      </c>
      <c r="F662" s="11">
        <v>9.082E9</v>
      </c>
    </row>
    <row r="663">
      <c r="A663" s="5">
        <v>662.0</v>
      </c>
      <c r="B663" s="5" t="s">
        <v>75</v>
      </c>
      <c r="C663" s="11">
        <v>6.366E9</v>
      </c>
      <c r="D663" s="12" t="s">
        <v>129</v>
      </c>
      <c r="E663" s="9" t="s">
        <v>72</v>
      </c>
      <c r="F663" s="11">
        <v>9.84E9</v>
      </c>
    </row>
    <row r="664">
      <c r="A664" s="5">
        <v>663.0</v>
      </c>
      <c r="B664" s="5" t="s">
        <v>75</v>
      </c>
      <c r="C664" s="11">
        <v>6.135E9</v>
      </c>
      <c r="D664" s="12" t="s">
        <v>129</v>
      </c>
      <c r="E664" s="9" t="s">
        <v>73</v>
      </c>
      <c r="F664" s="11">
        <v>9.6E9</v>
      </c>
    </row>
    <row r="665">
      <c r="A665" s="5">
        <v>664.0</v>
      </c>
      <c r="B665" s="5" t="s">
        <v>77</v>
      </c>
      <c r="C665" s="11">
        <v>8100000.0</v>
      </c>
      <c r="D665" s="12" t="s">
        <v>130</v>
      </c>
      <c r="E665" s="9" t="s">
        <v>60</v>
      </c>
      <c r="F665" s="11">
        <v>1.48E7</v>
      </c>
    </row>
    <row r="666">
      <c r="A666" s="5">
        <v>665.0</v>
      </c>
      <c r="B666" s="5" t="s">
        <v>77</v>
      </c>
      <c r="C666" s="11">
        <v>8600000.0</v>
      </c>
      <c r="D666" s="12" t="s">
        <v>130</v>
      </c>
      <c r="E666" s="9" t="s">
        <v>62</v>
      </c>
      <c r="F666" s="11">
        <v>1.29E7</v>
      </c>
    </row>
    <row r="667">
      <c r="A667" s="5">
        <v>666.0</v>
      </c>
      <c r="B667" s="5" t="s">
        <v>77</v>
      </c>
      <c r="C667" s="11">
        <v>8900000.0</v>
      </c>
      <c r="D667" s="12" t="s">
        <v>130</v>
      </c>
      <c r="E667" s="9" t="s">
        <v>63</v>
      </c>
      <c r="F667" s="11">
        <v>7700000.0</v>
      </c>
    </row>
    <row r="668">
      <c r="A668" s="5">
        <v>667.0</v>
      </c>
      <c r="B668" s="5" t="s">
        <v>77</v>
      </c>
      <c r="C668" s="11">
        <v>6900000.0</v>
      </c>
      <c r="D668" s="12" t="s">
        <v>130</v>
      </c>
      <c r="E668" s="9" t="s">
        <v>64</v>
      </c>
      <c r="F668" s="11">
        <v>9900000.0</v>
      </c>
    </row>
    <row r="669">
      <c r="A669" s="5">
        <v>668.0</v>
      </c>
      <c r="B669" s="5" t="s">
        <v>77</v>
      </c>
      <c r="C669" s="11">
        <v>6800000.0</v>
      </c>
      <c r="D669" s="12" t="s">
        <v>130</v>
      </c>
      <c r="E669" s="9" t="s">
        <v>65</v>
      </c>
      <c r="F669" s="11">
        <v>1.4E7</v>
      </c>
    </row>
    <row r="670">
      <c r="A670" s="5">
        <v>669.0</v>
      </c>
      <c r="B670" s="5" t="s">
        <v>77</v>
      </c>
      <c r="C670" s="11">
        <v>7100000.0</v>
      </c>
      <c r="D670" s="12" t="s">
        <v>130</v>
      </c>
      <c r="E670" s="9" t="s">
        <v>66</v>
      </c>
      <c r="F670" s="11">
        <v>1.44E7</v>
      </c>
    </row>
    <row r="671">
      <c r="A671" s="5">
        <v>670.0</v>
      </c>
      <c r="B671" s="5" t="s">
        <v>77</v>
      </c>
      <c r="C671" s="11">
        <v>9800000.0</v>
      </c>
      <c r="D671" s="12" t="s">
        <v>130</v>
      </c>
      <c r="E671" s="9" t="s">
        <v>67</v>
      </c>
      <c r="F671" s="11">
        <v>1.5E7</v>
      </c>
    </row>
    <row r="672">
      <c r="A672" s="5">
        <v>671.0</v>
      </c>
      <c r="B672" s="5" t="s">
        <v>77</v>
      </c>
      <c r="C672" s="11">
        <v>6800000.0</v>
      </c>
      <c r="D672" s="12" t="s">
        <v>130</v>
      </c>
      <c r="E672" s="9" t="s">
        <v>68</v>
      </c>
      <c r="F672" s="11">
        <v>1.42E7</v>
      </c>
    </row>
    <row r="673">
      <c r="A673" s="5">
        <v>672.0</v>
      </c>
      <c r="B673" s="5" t="s">
        <v>77</v>
      </c>
      <c r="C673" s="11">
        <v>7800000.0</v>
      </c>
      <c r="D673" s="12" t="s">
        <v>130</v>
      </c>
      <c r="E673" s="9" t="s">
        <v>69</v>
      </c>
      <c r="F673" s="11">
        <v>1.55E7</v>
      </c>
    </row>
    <row r="674">
      <c r="A674" s="5">
        <v>673.0</v>
      </c>
      <c r="B674" s="5" t="s">
        <v>77</v>
      </c>
      <c r="C674" s="11">
        <v>1.6E7</v>
      </c>
      <c r="D674" s="12" t="s">
        <v>130</v>
      </c>
      <c r="E674" s="9" t="s">
        <v>70</v>
      </c>
      <c r="F674" s="11">
        <v>1.75E7</v>
      </c>
    </row>
    <row r="675">
      <c r="A675" s="5">
        <v>674.0</v>
      </c>
      <c r="B675" s="5" t="s">
        <v>77</v>
      </c>
      <c r="C675" s="11">
        <v>1.8E7</v>
      </c>
      <c r="D675" s="12" t="s">
        <v>130</v>
      </c>
      <c r="E675" s="9" t="s">
        <v>71</v>
      </c>
      <c r="F675" s="11">
        <v>2.05E7</v>
      </c>
    </row>
    <row r="676">
      <c r="A676" s="5">
        <v>675.0</v>
      </c>
      <c r="B676" s="5" t="s">
        <v>77</v>
      </c>
      <c r="C676" s="11">
        <v>1.92E7</v>
      </c>
      <c r="D676" s="12" t="s">
        <v>130</v>
      </c>
      <c r="E676" s="9" t="s">
        <v>72</v>
      </c>
      <c r="F676" s="11">
        <v>3.35E7</v>
      </c>
    </row>
    <row r="677">
      <c r="A677" s="5">
        <v>676.0</v>
      </c>
      <c r="B677" s="5" t="s">
        <v>77</v>
      </c>
      <c r="C677" s="11">
        <v>2.05E7</v>
      </c>
      <c r="D677" s="12" t="s">
        <v>130</v>
      </c>
      <c r="E677" s="9" t="s">
        <v>73</v>
      </c>
      <c r="F677" s="11">
        <v>2.96E7</v>
      </c>
    </row>
    <row r="678">
      <c r="A678" s="5">
        <v>677.0</v>
      </c>
      <c r="B678" s="5" t="s">
        <v>84</v>
      </c>
      <c r="C678" s="11">
        <v>4.8E7</v>
      </c>
      <c r="D678" s="12" t="s">
        <v>131</v>
      </c>
      <c r="E678" s="9" t="s">
        <v>60</v>
      </c>
      <c r="F678" s="11">
        <v>9000000.0</v>
      </c>
    </row>
    <row r="679">
      <c r="A679" s="5">
        <v>678.0</v>
      </c>
      <c r="B679" s="5" t="s">
        <v>84</v>
      </c>
      <c r="C679" s="11">
        <v>4.6E7</v>
      </c>
      <c r="D679" s="12" t="s">
        <v>131</v>
      </c>
      <c r="E679" s="9" t="s">
        <v>62</v>
      </c>
      <c r="F679" s="11">
        <v>9000000.0</v>
      </c>
    </row>
    <row r="680">
      <c r="A680" s="5">
        <v>679.0</v>
      </c>
      <c r="B680" s="5" t="s">
        <v>84</v>
      </c>
      <c r="C680" s="11">
        <v>4.6E7</v>
      </c>
      <c r="D680" s="12" t="s">
        <v>131</v>
      </c>
      <c r="E680" s="9" t="s">
        <v>63</v>
      </c>
      <c r="F680" s="11">
        <v>9000000.0</v>
      </c>
    </row>
    <row r="681">
      <c r="A681" s="5">
        <v>680.0</v>
      </c>
      <c r="B681" s="5" t="s">
        <v>84</v>
      </c>
      <c r="C681" s="11">
        <v>5.2E7</v>
      </c>
      <c r="D681" s="12" t="s">
        <v>131</v>
      </c>
      <c r="E681" s="9" t="s">
        <v>64</v>
      </c>
      <c r="F681" s="11">
        <v>9000000.0</v>
      </c>
    </row>
    <row r="682">
      <c r="A682" s="5">
        <v>681.0</v>
      </c>
      <c r="B682" s="5" t="s">
        <v>84</v>
      </c>
      <c r="C682" s="11">
        <v>6.1E7</v>
      </c>
      <c r="D682" s="12" t="s">
        <v>131</v>
      </c>
      <c r="E682" s="9" t="s">
        <v>65</v>
      </c>
      <c r="F682" s="11">
        <v>9000000.0</v>
      </c>
    </row>
    <row r="683">
      <c r="A683" s="5">
        <v>682.0</v>
      </c>
      <c r="B683" s="5" t="s">
        <v>84</v>
      </c>
      <c r="C683" s="11">
        <v>5.7E7</v>
      </c>
      <c r="D683" s="12" t="s">
        <v>131</v>
      </c>
      <c r="E683" s="9" t="s">
        <v>66</v>
      </c>
      <c r="F683" s="11">
        <v>1.0E7</v>
      </c>
    </row>
    <row r="684">
      <c r="A684" s="5">
        <v>683.0</v>
      </c>
      <c r="B684" s="5" t="s">
        <v>84</v>
      </c>
      <c r="C684" s="11">
        <v>7.2E7</v>
      </c>
      <c r="D684" s="12" t="s">
        <v>131</v>
      </c>
      <c r="E684" s="9" t="s">
        <v>67</v>
      </c>
      <c r="F684" s="11">
        <v>1.0E7</v>
      </c>
    </row>
    <row r="685">
      <c r="A685" s="5">
        <v>684.0</v>
      </c>
      <c r="B685" s="5" t="s">
        <v>84</v>
      </c>
      <c r="C685" s="11">
        <v>7.4E7</v>
      </c>
      <c r="D685" s="12" t="s">
        <v>131</v>
      </c>
      <c r="E685" s="9" t="s">
        <v>68</v>
      </c>
      <c r="F685" s="11">
        <v>1.1E7</v>
      </c>
    </row>
    <row r="686">
      <c r="A686" s="5">
        <v>685.0</v>
      </c>
      <c r="B686" s="5" t="s">
        <v>84</v>
      </c>
      <c r="C686" s="11">
        <v>7.6E7</v>
      </c>
      <c r="D686" s="12" t="s">
        <v>131</v>
      </c>
      <c r="E686" s="9" t="s">
        <v>69</v>
      </c>
      <c r="F686" s="11">
        <v>1.1E7</v>
      </c>
    </row>
    <row r="687">
      <c r="A687" s="5">
        <v>686.0</v>
      </c>
      <c r="B687" s="5" t="s">
        <v>84</v>
      </c>
      <c r="C687" s="11">
        <v>7.9E7</v>
      </c>
      <c r="D687" s="12" t="s">
        <v>131</v>
      </c>
      <c r="E687" s="9" t="s">
        <v>70</v>
      </c>
      <c r="F687" s="11">
        <v>1.3E7</v>
      </c>
    </row>
    <row r="688">
      <c r="A688" s="5">
        <v>687.0</v>
      </c>
      <c r="B688" s="5" t="s">
        <v>84</v>
      </c>
      <c r="C688" s="11">
        <v>9.5E7</v>
      </c>
      <c r="D688" s="12" t="s">
        <v>131</v>
      </c>
      <c r="E688" s="9" t="s">
        <v>71</v>
      </c>
      <c r="F688" s="11">
        <v>1.3E7</v>
      </c>
    </row>
    <row r="689">
      <c r="A689" s="5">
        <v>688.0</v>
      </c>
      <c r="B689" s="5" t="s">
        <v>84</v>
      </c>
      <c r="C689" s="11">
        <v>1.13E8</v>
      </c>
      <c r="D689" s="12" t="s">
        <v>131</v>
      </c>
      <c r="E689" s="9" t="s">
        <v>72</v>
      </c>
      <c r="F689" s="11">
        <v>1.2E7</v>
      </c>
    </row>
    <row r="690">
      <c r="A690" s="5">
        <v>689.0</v>
      </c>
      <c r="B690" s="5" t="s">
        <v>84</v>
      </c>
      <c r="C690" s="11">
        <v>1.1E8</v>
      </c>
      <c r="D690" s="12" t="s">
        <v>131</v>
      </c>
      <c r="E690" s="9" t="s">
        <v>73</v>
      </c>
      <c r="F690" s="11">
        <v>1.3E7</v>
      </c>
    </row>
    <row r="691">
      <c r="A691" s="5">
        <v>690.0</v>
      </c>
      <c r="B691" s="5" t="s">
        <v>84</v>
      </c>
      <c r="C691" s="11">
        <v>2.86E9</v>
      </c>
      <c r="D691" s="12" t="s">
        <v>132</v>
      </c>
      <c r="E691" s="9" t="s">
        <v>60</v>
      </c>
      <c r="F691" s="11">
        <v>4.4E8</v>
      </c>
    </row>
    <row r="692">
      <c r="A692" s="5">
        <v>691.0</v>
      </c>
      <c r="B692" s="5" t="s">
        <v>84</v>
      </c>
      <c r="C692" s="11">
        <v>2.798E9</v>
      </c>
      <c r="D692" s="12" t="s">
        <v>132</v>
      </c>
      <c r="E692" s="9" t="s">
        <v>62</v>
      </c>
      <c r="F692" s="11">
        <v>4.25E8</v>
      </c>
    </row>
    <row r="693">
      <c r="A693" s="5">
        <v>692.0</v>
      </c>
      <c r="B693" s="5" t="s">
        <v>84</v>
      </c>
      <c r="C693" s="11">
        <v>2.73E9</v>
      </c>
      <c r="D693" s="12" t="s">
        <v>132</v>
      </c>
      <c r="E693" s="9" t="s">
        <v>63</v>
      </c>
      <c r="F693" s="11">
        <v>4.29E8</v>
      </c>
    </row>
    <row r="694">
      <c r="A694" s="5">
        <v>693.0</v>
      </c>
      <c r="B694" s="5" t="s">
        <v>84</v>
      </c>
      <c r="C694" s="11">
        <v>3.128E9</v>
      </c>
      <c r="D694" s="12" t="s">
        <v>132</v>
      </c>
      <c r="E694" s="9" t="s">
        <v>64</v>
      </c>
      <c r="F694" s="11">
        <v>4.08E8</v>
      </c>
    </row>
    <row r="695">
      <c r="A695" s="5">
        <v>694.0</v>
      </c>
      <c r="B695" s="5" t="s">
        <v>84</v>
      </c>
      <c r="C695" s="11">
        <v>3.152E9</v>
      </c>
      <c r="D695" s="12" t="s">
        <v>132</v>
      </c>
      <c r="E695" s="9" t="s">
        <v>65</v>
      </c>
      <c r="F695" s="11">
        <v>4.48E8</v>
      </c>
    </row>
    <row r="696">
      <c r="A696" s="5">
        <v>695.0</v>
      </c>
      <c r="B696" s="5" t="s">
        <v>84</v>
      </c>
      <c r="C696" s="11">
        <v>3.518E9</v>
      </c>
      <c r="D696" s="12" t="s">
        <v>132</v>
      </c>
      <c r="E696" s="9" t="s">
        <v>66</v>
      </c>
      <c r="F696" s="11">
        <v>5.11E8</v>
      </c>
    </row>
    <row r="697">
      <c r="A697" s="5">
        <v>696.0</v>
      </c>
      <c r="B697" s="5" t="s">
        <v>84</v>
      </c>
      <c r="C697" s="11">
        <v>3.917E9</v>
      </c>
      <c r="D697" s="12" t="s">
        <v>132</v>
      </c>
      <c r="E697" s="9" t="s">
        <v>67</v>
      </c>
      <c r="F697" s="11">
        <v>4.95E8</v>
      </c>
    </row>
    <row r="698">
      <c r="A698" s="5">
        <v>697.0</v>
      </c>
      <c r="B698" s="5" t="s">
        <v>84</v>
      </c>
      <c r="C698" s="11">
        <v>4.064E9</v>
      </c>
      <c r="D698" s="12" t="s">
        <v>132</v>
      </c>
      <c r="E698" s="9" t="s">
        <v>68</v>
      </c>
      <c r="F698" s="11">
        <v>5.31E8</v>
      </c>
    </row>
    <row r="699">
      <c r="A699" s="5">
        <v>698.0</v>
      </c>
      <c r="B699" s="5" t="s">
        <v>84</v>
      </c>
      <c r="C699" s="11">
        <v>4.166E9</v>
      </c>
      <c r="D699" s="12" t="s">
        <v>132</v>
      </c>
      <c r="E699" s="9" t="s">
        <v>69</v>
      </c>
      <c r="F699" s="11">
        <v>5.32E8</v>
      </c>
    </row>
    <row r="700">
      <c r="A700" s="5">
        <v>699.0</v>
      </c>
      <c r="B700" s="5" t="s">
        <v>84</v>
      </c>
      <c r="C700" s="11">
        <v>4.049E9</v>
      </c>
      <c r="D700" s="12" t="s">
        <v>132</v>
      </c>
      <c r="E700" s="9" t="s">
        <v>70</v>
      </c>
      <c r="F700" s="11">
        <v>5.23E8</v>
      </c>
    </row>
    <row r="701">
      <c r="A701" s="5">
        <v>700.0</v>
      </c>
      <c r="B701" s="5" t="s">
        <v>84</v>
      </c>
      <c r="C701" s="11">
        <v>4.209E9</v>
      </c>
      <c r="D701" s="12" t="s">
        <v>132</v>
      </c>
      <c r="E701" s="9" t="s">
        <v>71</v>
      </c>
      <c r="F701" s="11">
        <v>5.54E8</v>
      </c>
    </row>
    <row r="702">
      <c r="A702" s="5">
        <v>701.0</v>
      </c>
      <c r="B702" s="5" t="s">
        <v>84</v>
      </c>
      <c r="C702" s="11">
        <v>4.436E9</v>
      </c>
      <c r="D702" s="12" t="s">
        <v>132</v>
      </c>
      <c r="E702" s="9" t="s">
        <v>72</v>
      </c>
      <c r="F702" s="11">
        <v>5.45E8</v>
      </c>
    </row>
    <row r="703">
      <c r="A703" s="5">
        <v>702.0</v>
      </c>
      <c r="B703" s="5" t="s">
        <v>84</v>
      </c>
      <c r="C703" s="11">
        <v>4.736E9</v>
      </c>
      <c r="D703" s="12" t="s">
        <v>132</v>
      </c>
      <c r="E703" s="9" t="s">
        <v>73</v>
      </c>
      <c r="F703" s="11">
        <v>5.45E8</v>
      </c>
    </row>
    <row r="704">
      <c r="A704" s="5">
        <v>703.0</v>
      </c>
      <c r="B704" s="5" t="s">
        <v>84</v>
      </c>
      <c r="C704" s="11">
        <v>4.51E8</v>
      </c>
      <c r="D704" s="12" t="s">
        <v>133</v>
      </c>
      <c r="E704" s="9" t="s">
        <v>60</v>
      </c>
      <c r="F704" s="11">
        <v>4.16E8</v>
      </c>
    </row>
    <row r="705">
      <c r="A705" s="5">
        <v>704.0</v>
      </c>
      <c r="B705" s="5" t="s">
        <v>84</v>
      </c>
      <c r="C705" s="11">
        <v>4.38E8</v>
      </c>
      <c r="D705" s="12" t="s">
        <v>133</v>
      </c>
      <c r="E705" s="9" t="s">
        <v>62</v>
      </c>
      <c r="F705" s="11">
        <v>4.65E8</v>
      </c>
    </row>
    <row r="706">
      <c r="A706" s="5">
        <v>705.0</v>
      </c>
      <c r="B706" s="5" t="s">
        <v>84</v>
      </c>
      <c r="C706" s="11">
        <v>4.49E8</v>
      </c>
      <c r="D706" s="12" t="s">
        <v>133</v>
      </c>
      <c r="E706" s="9" t="s">
        <v>63</v>
      </c>
      <c r="F706" s="11">
        <v>5.07E8</v>
      </c>
    </row>
    <row r="707">
      <c r="A707" s="5">
        <v>706.0</v>
      </c>
      <c r="B707" s="5" t="s">
        <v>84</v>
      </c>
      <c r="C707" s="11">
        <v>4.08E8</v>
      </c>
      <c r="D707" s="12" t="s">
        <v>133</v>
      </c>
      <c r="E707" s="9" t="s">
        <v>64</v>
      </c>
      <c r="F707" s="11">
        <v>5.0E8</v>
      </c>
    </row>
    <row r="708">
      <c r="A708" s="5">
        <v>707.0</v>
      </c>
      <c r="B708" s="5" t="s">
        <v>84</v>
      </c>
      <c r="C708" s="11">
        <v>4.64E8</v>
      </c>
      <c r="D708" s="12" t="s">
        <v>133</v>
      </c>
      <c r="E708" s="9" t="s">
        <v>65</v>
      </c>
      <c r="F708" s="11">
        <v>5.77E8</v>
      </c>
    </row>
    <row r="709">
      <c r="A709" s="5">
        <v>708.0</v>
      </c>
      <c r="B709" s="5" t="s">
        <v>84</v>
      </c>
      <c r="C709" s="11">
        <v>4.88E8</v>
      </c>
      <c r="D709" s="12" t="s">
        <v>133</v>
      </c>
      <c r="E709" s="9" t="s">
        <v>66</v>
      </c>
      <c r="F709" s="11">
        <v>6.44E8</v>
      </c>
    </row>
    <row r="710">
      <c r="A710" s="5">
        <v>709.0</v>
      </c>
      <c r="B710" s="5" t="s">
        <v>84</v>
      </c>
      <c r="C710" s="11">
        <v>4.92E8</v>
      </c>
      <c r="D710" s="12" t="s">
        <v>133</v>
      </c>
      <c r="E710" s="9" t="s">
        <v>67</v>
      </c>
      <c r="F710" s="11">
        <v>7.06E8</v>
      </c>
    </row>
    <row r="711">
      <c r="A711" s="5">
        <v>710.0</v>
      </c>
      <c r="B711" s="5" t="s">
        <v>84</v>
      </c>
      <c r="C711" s="11">
        <v>6.26E8</v>
      </c>
      <c r="D711" s="12" t="s">
        <v>133</v>
      </c>
      <c r="E711" s="9" t="s">
        <v>68</v>
      </c>
      <c r="F711" s="11">
        <v>7.33E8</v>
      </c>
    </row>
    <row r="712">
      <c r="A712" s="5">
        <v>711.0</v>
      </c>
      <c r="B712" s="5" t="s">
        <v>84</v>
      </c>
      <c r="C712" s="11">
        <v>7.45E8</v>
      </c>
      <c r="D712" s="12" t="s">
        <v>133</v>
      </c>
      <c r="E712" s="9" t="s">
        <v>69</v>
      </c>
      <c r="F712" s="11">
        <v>7.9E8</v>
      </c>
    </row>
    <row r="713">
      <c r="A713" s="5">
        <v>712.0</v>
      </c>
      <c r="B713" s="5" t="s">
        <v>84</v>
      </c>
      <c r="C713" s="11">
        <v>6.74E8</v>
      </c>
      <c r="D713" s="12" t="s">
        <v>133</v>
      </c>
      <c r="E713" s="9" t="s">
        <v>70</v>
      </c>
      <c r="F713" s="11">
        <v>8.06E8</v>
      </c>
    </row>
    <row r="714">
      <c r="A714" s="5">
        <v>713.0</v>
      </c>
      <c r="B714" s="5" t="s">
        <v>84</v>
      </c>
      <c r="C714" s="11">
        <v>7.86E8</v>
      </c>
      <c r="D714" s="12" t="s">
        <v>133</v>
      </c>
      <c r="E714" s="9" t="s">
        <v>71</v>
      </c>
      <c r="F714" s="11">
        <v>8.63E8</v>
      </c>
    </row>
    <row r="715">
      <c r="A715" s="5">
        <v>714.0</v>
      </c>
      <c r="B715" s="5" t="s">
        <v>84</v>
      </c>
      <c r="C715" s="11">
        <v>8.49E8</v>
      </c>
      <c r="D715" s="12" t="s">
        <v>133</v>
      </c>
      <c r="E715" s="9" t="s">
        <v>72</v>
      </c>
      <c r="F715" s="11">
        <v>9.17E8</v>
      </c>
    </row>
    <row r="716">
      <c r="A716" s="5">
        <v>715.0</v>
      </c>
      <c r="B716" s="5" t="s">
        <v>84</v>
      </c>
      <c r="C716" s="11">
        <v>1.039E9</v>
      </c>
      <c r="D716" s="12" t="s">
        <v>133</v>
      </c>
      <c r="E716" s="9" t="s">
        <v>73</v>
      </c>
      <c r="F716" s="11">
        <v>9.44E8</v>
      </c>
    </row>
    <row r="717">
      <c r="A717" s="5">
        <v>716.0</v>
      </c>
      <c r="B717" s="5" t="s">
        <v>77</v>
      </c>
      <c r="C717" s="11">
        <v>4.657E9</v>
      </c>
      <c r="D717" s="12" t="s">
        <v>134</v>
      </c>
      <c r="E717" s="9" t="s">
        <v>60</v>
      </c>
      <c r="F717" s="11">
        <v>1.206E9</v>
      </c>
    </row>
    <row r="718">
      <c r="A718" s="5">
        <v>717.0</v>
      </c>
      <c r="B718" s="5" t="s">
        <v>77</v>
      </c>
      <c r="C718" s="11">
        <v>4.119E9</v>
      </c>
      <c r="D718" s="12" t="s">
        <v>134</v>
      </c>
      <c r="E718" s="9" t="s">
        <v>62</v>
      </c>
      <c r="F718" s="11">
        <v>1.248E9</v>
      </c>
    </row>
    <row r="719">
      <c r="A719" s="5">
        <v>718.0</v>
      </c>
      <c r="B719" s="5" t="s">
        <v>77</v>
      </c>
      <c r="C719" s="11">
        <v>4.133E9</v>
      </c>
      <c r="D719" s="12" t="s">
        <v>134</v>
      </c>
      <c r="E719" s="9" t="s">
        <v>63</v>
      </c>
      <c r="F719" s="11">
        <v>1.309E9</v>
      </c>
    </row>
    <row r="720">
      <c r="A720" s="5">
        <v>719.0</v>
      </c>
      <c r="B720" s="5" t="s">
        <v>77</v>
      </c>
      <c r="C720" s="11">
        <v>4.704E9</v>
      </c>
      <c r="D720" s="12" t="s">
        <v>134</v>
      </c>
      <c r="E720" s="9" t="s">
        <v>64</v>
      </c>
      <c r="F720" s="11">
        <v>1.465E9</v>
      </c>
    </row>
    <row r="721">
      <c r="A721" s="5">
        <v>720.0</v>
      </c>
      <c r="B721" s="5" t="s">
        <v>77</v>
      </c>
      <c r="C721" s="11">
        <v>6.328E9</v>
      </c>
      <c r="D721" s="12" t="s">
        <v>134</v>
      </c>
      <c r="E721" s="9" t="s">
        <v>65</v>
      </c>
      <c r="F721" s="11">
        <v>1.543E9</v>
      </c>
    </row>
    <row r="722">
      <c r="A722" s="5">
        <v>721.0</v>
      </c>
      <c r="B722" s="5" t="s">
        <v>77</v>
      </c>
      <c r="C722" s="11">
        <v>7.206E9</v>
      </c>
      <c r="D722" s="12" t="s">
        <v>134</v>
      </c>
      <c r="E722" s="9" t="s">
        <v>66</v>
      </c>
      <c r="F722" s="11">
        <v>1.932E9</v>
      </c>
    </row>
    <row r="723">
      <c r="A723" s="5">
        <v>722.0</v>
      </c>
      <c r="B723" s="5" t="s">
        <v>77</v>
      </c>
      <c r="C723" s="11">
        <v>8.133E9</v>
      </c>
      <c r="D723" s="12" t="s">
        <v>134</v>
      </c>
      <c r="E723" s="9" t="s">
        <v>67</v>
      </c>
      <c r="F723" s="11">
        <v>2.156E9</v>
      </c>
    </row>
    <row r="724">
      <c r="A724" s="5">
        <v>723.0</v>
      </c>
      <c r="B724" s="5" t="s">
        <v>77</v>
      </c>
      <c r="C724" s="11">
        <v>1.0327E10</v>
      </c>
      <c r="D724" s="12" t="s">
        <v>134</v>
      </c>
      <c r="E724" s="9" t="s">
        <v>68</v>
      </c>
      <c r="F724" s="11">
        <v>2.886E9</v>
      </c>
    </row>
    <row r="725">
      <c r="A725" s="5">
        <v>724.0</v>
      </c>
      <c r="B725" s="5" t="s">
        <v>77</v>
      </c>
      <c r="C725" s="11">
        <v>1.2104E10</v>
      </c>
      <c r="D725" s="12" t="s">
        <v>134</v>
      </c>
      <c r="E725" s="9" t="s">
        <v>69</v>
      </c>
      <c r="F725" s="11">
        <v>3.39E9</v>
      </c>
    </row>
    <row r="726">
      <c r="A726" s="5">
        <v>725.0</v>
      </c>
      <c r="B726" s="5" t="s">
        <v>77</v>
      </c>
      <c r="C726" s="11">
        <v>1.1757E10</v>
      </c>
      <c r="D726" s="12" t="s">
        <v>134</v>
      </c>
      <c r="E726" s="9" t="s">
        <v>70</v>
      </c>
      <c r="F726" s="11">
        <v>2.941E9</v>
      </c>
    </row>
    <row r="727">
      <c r="A727" s="5">
        <v>726.0</v>
      </c>
      <c r="B727" s="5" t="s">
        <v>77</v>
      </c>
      <c r="C727" s="11">
        <v>1.3633E10</v>
      </c>
      <c r="D727" s="12" t="s">
        <v>134</v>
      </c>
      <c r="E727" s="9" t="s">
        <v>71</v>
      </c>
      <c r="F727" s="11">
        <v>2.696E9</v>
      </c>
    </row>
    <row r="728">
      <c r="A728" s="5">
        <v>727.0</v>
      </c>
      <c r="B728" s="5" t="s">
        <v>77</v>
      </c>
      <c r="C728" s="11">
        <v>9.333E9</v>
      </c>
      <c r="D728" s="12" t="s">
        <v>134</v>
      </c>
      <c r="E728" s="9" t="s">
        <v>72</v>
      </c>
      <c r="F728" s="11">
        <v>2.575E9</v>
      </c>
    </row>
    <row r="729">
      <c r="A729" s="5">
        <v>728.0</v>
      </c>
      <c r="B729" s="5" t="s">
        <v>77</v>
      </c>
      <c r="C729" s="11">
        <v>1.0823E10</v>
      </c>
      <c r="D729" s="12" t="s">
        <v>134</v>
      </c>
      <c r="E729" s="9" t="s">
        <v>73</v>
      </c>
      <c r="F729" s="11">
        <v>3.037E9</v>
      </c>
    </row>
    <row r="730">
      <c r="A730" s="5">
        <v>729.0</v>
      </c>
      <c r="B730" s="5" t="s">
        <v>84</v>
      </c>
      <c r="C730" s="11">
        <v>4.37E8</v>
      </c>
      <c r="D730" s="12" t="s">
        <v>135</v>
      </c>
      <c r="E730" s="9" t="s">
        <v>60</v>
      </c>
      <c r="F730" s="11">
        <v>2.19E8</v>
      </c>
    </row>
    <row r="731">
      <c r="A731" s="5">
        <v>730.0</v>
      </c>
      <c r="B731" s="5" t="s">
        <v>84</v>
      </c>
      <c r="C731" s="11">
        <v>4.52E8</v>
      </c>
      <c r="D731" s="12" t="s">
        <v>135</v>
      </c>
      <c r="E731" s="9" t="s">
        <v>62</v>
      </c>
      <c r="F731" s="11">
        <v>2.47E8</v>
      </c>
    </row>
    <row r="732">
      <c r="A732" s="5">
        <v>731.0</v>
      </c>
      <c r="B732" s="5" t="s">
        <v>84</v>
      </c>
      <c r="C732" s="11">
        <v>5.21E8</v>
      </c>
      <c r="D732" s="12" t="s">
        <v>135</v>
      </c>
      <c r="E732" s="9" t="s">
        <v>63</v>
      </c>
      <c r="F732" s="11">
        <v>2.66E8</v>
      </c>
    </row>
    <row r="733">
      <c r="A733" s="5">
        <v>732.0</v>
      </c>
      <c r="B733" s="5" t="s">
        <v>84</v>
      </c>
      <c r="C733" s="11">
        <v>6.64E8</v>
      </c>
      <c r="D733" s="12" t="s">
        <v>135</v>
      </c>
      <c r="E733" s="9" t="s">
        <v>64</v>
      </c>
      <c r="F733" s="11">
        <v>3.11E8</v>
      </c>
    </row>
    <row r="734">
      <c r="A734" s="5">
        <v>733.0</v>
      </c>
      <c r="B734" s="5" t="s">
        <v>84</v>
      </c>
      <c r="C734" s="11">
        <v>7.48E8</v>
      </c>
      <c r="D734" s="12" t="s">
        <v>135</v>
      </c>
      <c r="E734" s="9" t="s">
        <v>65</v>
      </c>
      <c r="F734" s="11">
        <v>3.73E8</v>
      </c>
    </row>
    <row r="735">
      <c r="A735" s="5">
        <v>734.0</v>
      </c>
      <c r="B735" s="5" t="s">
        <v>84</v>
      </c>
      <c r="C735" s="11">
        <v>6.56E8</v>
      </c>
      <c r="D735" s="12" t="s">
        <v>135</v>
      </c>
      <c r="E735" s="9" t="s">
        <v>66</v>
      </c>
      <c r="F735" s="11">
        <v>2.88E8</v>
      </c>
    </row>
    <row r="736">
      <c r="A736" s="5">
        <v>735.0</v>
      </c>
      <c r="B736" s="5" t="s">
        <v>84</v>
      </c>
      <c r="C736" s="11">
        <v>6.86E8</v>
      </c>
      <c r="D736" s="12" t="s">
        <v>135</v>
      </c>
      <c r="E736" s="9" t="s">
        <v>67</v>
      </c>
      <c r="F736" s="11">
        <v>3.07E8</v>
      </c>
    </row>
    <row r="737">
      <c r="A737" s="5">
        <v>736.0</v>
      </c>
      <c r="B737" s="5" t="s">
        <v>84</v>
      </c>
      <c r="C737" s="11">
        <v>7.93E8</v>
      </c>
      <c r="D737" s="12" t="s">
        <v>135</v>
      </c>
      <c r="E737" s="9" t="s">
        <v>68</v>
      </c>
      <c r="F737" s="11">
        <v>3.63E8</v>
      </c>
    </row>
    <row r="738">
      <c r="A738" s="5">
        <v>737.0</v>
      </c>
      <c r="B738" s="5" t="s">
        <v>84</v>
      </c>
      <c r="C738" s="11">
        <v>7.11E8</v>
      </c>
      <c r="D738" s="12" t="s">
        <v>135</v>
      </c>
      <c r="E738" s="9" t="s">
        <v>69</v>
      </c>
      <c r="F738" s="11">
        <v>3.26E8</v>
      </c>
    </row>
    <row r="739">
      <c r="A739" s="5">
        <v>738.0</v>
      </c>
      <c r="B739" s="5" t="s">
        <v>84</v>
      </c>
      <c r="C739" s="11">
        <v>5.49E8</v>
      </c>
      <c r="D739" s="12" t="s">
        <v>135</v>
      </c>
      <c r="E739" s="9" t="s">
        <v>70</v>
      </c>
      <c r="F739" s="11">
        <v>2.53E8</v>
      </c>
    </row>
    <row r="740">
      <c r="A740" s="5">
        <v>739.0</v>
      </c>
      <c r="B740" s="5" t="s">
        <v>84</v>
      </c>
      <c r="C740" s="11">
        <v>6.46E8</v>
      </c>
      <c r="D740" s="12" t="s">
        <v>135</v>
      </c>
      <c r="E740" s="9" t="s">
        <v>71</v>
      </c>
      <c r="F740" s="11">
        <v>2.8E8</v>
      </c>
    </row>
    <row r="741">
      <c r="A741" s="5">
        <v>740.0</v>
      </c>
      <c r="B741" s="5" t="s">
        <v>84</v>
      </c>
      <c r="C741" s="11">
        <v>7.29E8</v>
      </c>
      <c r="D741" s="12" t="s">
        <v>135</v>
      </c>
      <c r="E741" s="9" t="s">
        <v>72</v>
      </c>
      <c r="F741" s="11">
        <v>2.44E8</v>
      </c>
    </row>
    <row r="742">
      <c r="A742" s="5">
        <v>741.0</v>
      </c>
      <c r="B742" s="5" t="s">
        <v>84</v>
      </c>
      <c r="C742" s="11">
        <v>8.94E8</v>
      </c>
      <c r="D742" s="12" t="s">
        <v>135</v>
      </c>
      <c r="E742" s="9" t="s">
        <v>73</v>
      </c>
      <c r="F742" s="11">
        <v>2.86E8</v>
      </c>
    </row>
    <row r="743">
      <c r="A743" s="5">
        <v>742.0</v>
      </c>
      <c r="B743" s="5" t="s">
        <v>77</v>
      </c>
      <c r="C743" s="11">
        <v>5000000.0</v>
      </c>
      <c r="D743" s="12" t="s">
        <v>136</v>
      </c>
      <c r="E743" s="9" t="s">
        <v>60</v>
      </c>
      <c r="F743" s="11">
        <v>1.9E7</v>
      </c>
    </row>
    <row r="744">
      <c r="A744" s="5">
        <v>743.0</v>
      </c>
      <c r="B744" s="5" t="s">
        <v>77</v>
      </c>
      <c r="C744" s="11">
        <v>1.4E7</v>
      </c>
      <c r="D744" s="12" t="s">
        <v>136</v>
      </c>
      <c r="E744" s="9" t="s">
        <v>62</v>
      </c>
      <c r="F744" s="11">
        <v>3.0E7</v>
      </c>
    </row>
    <row r="745">
      <c r="A745" s="5">
        <v>744.0</v>
      </c>
      <c r="B745" s="5" t="s">
        <v>77</v>
      </c>
      <c r="C745" s="8"/>
      <c r="D745" s="12" t="s">
        <v>136</v>
      </c>
      <c r="E745" s="9" t="s">
        <v>63</v>
      </c>
      <c r="F745" s="8"/>
    </row>
    <row r="746">
      <c r="A746" s="5">
        <v>745.0</v>
      </c>
      <c r="B746" s="5" t="s">
        <v>77</v>
      </c>
      <c r="C746" s="8"/>
      <c r="D746" s="12" t="s">
        <v>136</v>
      </c>
      <c r="E746" s="9" t="s">
        <v>64</v>
      </c>
      <c r="F746" s="8"/>
    </row>
    <row r="747">
      <c r="A747" s="5">
        <v>746.0</v>
      </c>
      <c r="B747" s="5" t="s">
        <v>77</v>
      </c>
      <c r="C747" s="8"/>
      <c r="D747" s="12" t="s">
        <v>136</v>
      </c>
      <c r="E747" s="9" t="s">
        <v>65</v>
      </c>
      <c r="F747" s="8"/>
    </row>
    <row r="748">
      <c r="A748" s="5">
        <v>747.0</v>
      </c>
      <c r="B748" s="5" t="s">
        <v>77</v>
      </c>
      <c r="C748" s="8"/>
      <c r="D748" s="12" t="s">
        <v>136</v>
      </c>
      <c r="E748" s="9" t="s">
        <v>66</v>
      </c>
      <c r="F748" s="8"/>
    </row>
    <row r="749">
      <c r="A749" s="5">
        <v>748.0</v>
      </c>
      <c r="B749" s="5" t="s">
        <v>77</v>
      </c>
      <c r="C749" s="8"/>
      <c r="D749" s="12" t="s">
        <v>136</v>
      </c>
      <c r="E749" s="9" t="s">
        <v>67</v>
      </c>
      <c r="F749" s="8"/>
    </row>
    <row r="750">
      <c r="A750" s="5">
        <v>749.0</v>
      </c>
      <c r="B750" s="5" t="s">
        <v>77</v>
      </c>
      <c r="C750" s="8"/>
      <c r="D750" s="12" t="s">
        <v>136</v>
      </c>
      <c r="E750" s="9" t="s">
        <v>68</v>
      </c>
      <c r="F750" s="8"/>
    </row>
    <row r="751">
      <c r="A751" s="5">
        <v>750.0</v>
      </c>
      <c r="B751" s="5" t="s">
        <v>77</v>
      </c>
      <c r="C751" s="8"/>
      <c r="D751" s="12" t="s">
        <v>136</v>
      </c>
      <c r="E751" s="9" t="s">
        <v>69</v>
      </c>
      <c r="F751" s="8"/>
    </row>
    <row r="752">
      <c r="A752" s="5">
        <v>751.0</v>
      </c>
      <c r="B752" s="5" t="s">
        <v>77</v>
      </c>
      <c r="C752" s="8"/>
      <c r="D752" s="12" t="s">
        <v>136</v>
      </c>
      <c r="E752" s="9" t="s">
        <v>70</v>
      </c>
      <c r="F752" s="8"/>
    </row>
    <row r="753">
      <c r="A753" s="5">
        <v>752.0</v>
      </c>
      <c r="B753" s="5" t="s">
        <v>77</v>
      </c>
      <c r="C753" s="8"/>
      <c r="D753" s="12" t="s">
        <v>136</v>
      </c>
      <c r="E753" s="9" t="s">
        <v>71</v>
      </c>
      <c r="F753" s="8"/>
    </row>
    <row r="754">
      <c r="A754" s="5">
        <v>753.0</v>
      </c>
      <c r="B754" s="5" t="s">
        <v>77</v>
      </c>
      <c r="C754" s="8"/>
      <c r="D754" s="12" t="s">
        <v>136</v>
      </c>
      <c r="E754" s="9" t="s">
        <v>72</v>
      </c>
      <c r="F754" s="8"/>
    </row>
    <row r="755">
      <c r="A755" s="5">
        <v>754.0</v>
      </c>
      <c r="B755" s="5" t="s">
        <v>77</v>
      </c>
      <c r="C755" s="8"/>
      <c r="D755" s="12" t="s">
        <v>136</v>
      </c>
      <c r="E755" s="9" t="s">
        <v>73</v>
      </c>
      <c r="F755" s="8"/>
    </row>
    <row r="756">
      <c r="A756" s="5">
        <v>755.0</v>
      </c>
      <c r="B756" s="5" t="s">
        <v>77</v>
      </c>
      <c r="C756" s="11">
        <v>3.6E7</v>
      </c>
      <c r="D756" s="12" t="s">
        <v>137</v>
      </c>
      <c r="E756" s="9" t="s">
        <v>60</v>
      </c>
      <c r="F756" s="8"/>
    </row>
    <row r="757">
      <c r="A757" s="5">
        <v>756.0</v>
      </c>
      <c r="B757" s="5" t="s">
        <v>77</v>
      </c>
      <c r="C757" s="11">
        <v>7.4E7</v>
      </c>
      <c r="D757" s="12" t="s">
        <v>137</v>
      </c>
      <c r="E757" s="9" t="s">
        <v>62</v>
      </c>
      <c r="F757" s="8"/>
    </row>
    <row r="758">
      <c r="A758" s="5">
        <v>757.0</v>
      </c>
      <c r="B758" s="5" t="s">
        <v>77</v>
      </c>
      <c r="C758" s="11">
        <v>7.3E7</v>
      </c>
      <c r="D758" s="12" t="s">
        <v>137</v>
      </c>
      <c r="E758" s="9" t="s">
        <v>63</v>
      </c>
      <c r="F758" s="8"/>
    </row>
    <row r="759">
      <c r="A759" s="5">
        <v>758.0</v>
      </c>
      <c r="B759" s="5" t="s">
        <v>77</v>
      </c>
      <c r="C759" s="11">
        <v>7.4E7</v>
      </c>
      <c r="D759" s="12" t="s">
        <v>137</v>
      </c>
      <c r="E759" s="9" t="s">
        <v>64</v>
      </c>
      <c r="F759" s="8"/>
    </row>
    <row r="760">
      <c r="A760" s="5">
        <v>759.0</v>
      </c>
      <c r="B760" s="5" t="s">
        <v>77</v>
      </c>
      <c r="C760" s="11">
        <v>7.3E7</v>
      </c>
      <c r="D760" s="12" t="s">
        <v>137</v>
      </c>
      <c r="E760" s="9" t="s">
        <v>65</v>
      </c>
      <c r="F760" s="8"/>
    </row>
    <row r="761">
      <c r="A761" s="5">
        <v>760.0</v>
      </c>
      <c r="B761" s="5" t="s">
        <v>77</v>
      </c>
      <c r="C761" s="11">
        <v>6.6E7</v>
      </c>
      <c r="D761" s="12" t="s">
        <v>137</v>
      </c>
      <c r="E761" s="9" t="s">
        <v>66</v>
      </c>
      <c r="F761" s="8"/>
    </row>
    <row r="762">
      <c r="A762" s="5">
        <v>761.0</v>
      </c>
      <c r="B762" s="5" t="s">
        <v>77</v>
      </c>
      <c r="C762" s="11">
        <v>6.0E7</v>
      </c>
      <c r="D762" s="12" t="s">
        <v>137</v>
      </c>
      <c r="E762" s="9" t="s">
        <v>67</v>
      </c>
      <c r="F762" s="8"/>
    </row>
    <row r="763">
      <c r="A763" s="5">
        <v>762.0</v>
      </c>
      <c r="B763" s="5" t="s">
        <v>77</v>
      </c>
      <c r="C763" s="11">
        <v>6.1E7</v>
      </c>
      <c r="D763" s="12" t="s">
        <v>137</v>
      </c>
      <c r="E763" s="9" t="s">
        <v>68</v>
      </c>
      <c r="F763" s="8"/>
    </row>
    <row r="764">
      <c r="A764" s="5">
        <v>763.0</v>
      </c>
      <c r="B764" s="5" t="s">
        <v>77</v>
      </c>
      <c r="C764" s="11">
        <v>4.6E7</v>
      </c>
      <c r="D764" s="12" t="s">
        <v>137</v>
      </c>
      <c r="E764" s="9" t="s">
        <v>69</v>
      </c>
      <c r="F764" s="8"/>
    </row>
    <row r="765">
      <c r="A765" s="5">
        <v>764.0</v>
      </c>
      <c r="B765" s="5" t="s">
        <v>77</v>
      </c>
      <c r="C765" s="11">
        <v>2.6E7</v>
      </c>
      <c r="D765" s="12" t="s">
        <v>137</v>
      </c>
      <c r="E765" s="9" t="s">
        <v>70</v>
      </c>
      <c r="F765" s="8"/>
    </row>
    <row r="766">
      <c r="A766" s="5">
        <v>765.0</v>
      </c>
      <c r="B766" s="5" t="s">
        <v>77</v>
      </c>
      <c r="C766" s="8"/>
      <c r="D766" s="12" t="s">
        <v>137</v>
      </c>
      <c r="E766" s="9" t="s">
        <v>71</v>
      </c>
      <c r="F766" s="8"/>
    </row>
    <row r="767">
      <c r="A767" s="5">
        <v>766.0</v>
      </c>
      <c r="B767" s="5" t="s">
        <v>77</v>
      </c>
      <c r="C767" s="8"/>
      <c r="D767" s="12" t="s">
        <v>137</v>
      </c>
      <c r="E767" s="9" t="s">
        <v>72</v>
      </c>
      <c r="F767" s="8"/>
    </row>
    <row r="768">
      <c r="A768" s="5">
        <v>767.0</v>
      </c>
      <c r="B768" s="5" t="s">
        <v>77</v>
      </c>
      <c r="C768" s="8"/>
      <c r="D768" s="12" t="s">
        <v>137</v>
      </c>
      <c r="E768" s="9" t="s">
        <v>73</v>
      </c>
      <c r="F768" s="8"/>
    </row>
    <row r="769">
      <c r="A769" s="5">
        <v>768.0</v>
      </c>
      <c r="B769" s="5" t="s">
        <v>75</v>
      </c>
      <c r="C769" s="11">
        <v>6.57E8</v>
      </c>
      <c r="D769" s="12" t="s">
        <v>138</v>
      </c>
      <c r="E769" s="9" t="s">
        <v>60</v>
      </c>
      <c r="F769" s="11">
        <v>2.53E8</v>
      </c>
    </row>
    <row r="770">
      <c r="A770" s="5">
        <v>769.0</v>
      </c>
      <c r="B770" s="5" t="s">
        <v>75</v>
      </c>
      <c r="C770" s="11">
        <v>6.61E8</v>
      </c>
      <c r="D770" s="12" t="s">
        <v>138</v>
      </c>
      <c r="E770" s="9" t="s">
        <v>62</v>
      </c>
      <c r="F770" s="11">
        <v>2.53E8</v>
      </c>
    </row>
    <row r="771">
      <c r="A771" s="5">
        <v>770.0</v>
      </c>
      <c r="B771" s="5" t="s">
        <v>75</v>
      </c>
      <c r="C771" s="11">
        <v>7.37E8</v>
      </c>
      <c r="D771" s="12" t="s">
        <v>138</v>
      </c>
      <c r="E771" s="9" t="s">
        <v>63</v>
      </c>
      <c r="F771" s="11">
        <v>3.05E8</v>
      </c>
    </row>
    <row r="772">
      <c r="A772" s="5">
        <v>771.0</v>
      </c>
      <c r="B772" s="5" t="s">
        <v>75</v>
      </c>
      <c r="C772" s="11">
        <v>8.83E8</v>
      </c>
      <c r="D772" s="12" t="s">
        <v>138</v>
      </c>
      <c r="E772" s="9" t="s">
        <v>64</v>
      </c>
      <c r="F772" s="11">
        <v>4.04E8</v>
      </c>
    </row>
    <row r="773">
      <c r="A773" s="5">
        <v>772.0</v>
      </c>
      <c r="B773" s="5" t="s">
        <v>75</v>
      </c>
      <c r="C773" s="11">
        <v>1.111E9</v>
      </c>
      <c r="D773" s="12" t="s">
        <v>138</v>
      </c>
      <c r="E773" s="9" t="s">
        <v>65</v>
      </c>
      <c r="F773" s="11">
        <v>4.86E8</v>
      </c>
    </row>
    <row r="774">
      <c r="A774" s="5">
        <v>773.0</v>
      </c>
      <c r="B774" s="5" t="s">
        <v>75</v>
      </c>
      <c r="C774" s="11">
        <v>1.229E9</v>
      </c>
      <c r="D774" s="12" t="s">
        <v>138</v>
      </c>
      <c r="E774" s="9" t="s">
        <v>66</v>
      </c>
      <c r="F774" s="11">
        <v>5.3E8</v>
      </c>
    </row>
    <row r="775">
      <c r="A775" s="5">
        <v>774.0</v>
      </c>
      <c r="B775" s="5" t="s">
        <v>75</v>
      </c>
      <c r="C775" s="11">
        <v>1.361E9</v>
      </c>
      <c r="D775" s="12" t="s">
        <v>138</v>
      </c>
      <c r="E775" s="9" t="s">
        <v>67</v>
      </c>
      <c r="F775" s="11">
        <v>7.06E8</v>
      </c>
    </row>
    <row r="776">
      <c r="A776" s="5">
        <v>775.0</v>
      </c>
      <c r="B776" s="5" t="s">
        <v>75</v>
      </c>
      <c r="C776" s="11">
        <v>1.416E9</v>
      </c>
      <c r="D776" s="12" t="s">
        <v>138</v>
      </c>
      <c r="E776" s="9" t="s">
        <v>68</v>
      </c>
      <c r="F776" s="11">
        <v>8.04E8</v>
      </c>
    </row>
    <row r="777">
      <c r="A777" s="5">
        <v>776.0</v>
      </c>
      <c r="B777" s="5" t="s">
        <v>75</v>
      </c>
      <c r="C777" s="11">
        <v>1.643E9</v>
      </c>
      <c r="D777" s="12" t="s">
        <v>138</v>
      </c>
      <c r="E777" s="9" t="s">
        <v>69</v>
      </c>
      <c r="F777" s="11">
        <v>9.39E8</v>
      </c>
    </row>
    <row r="778">
      <c r="A778" s="5">
        <v>777.0</v>
      </c>
      <c r="B778" s="5" t="s">
        <v>75</v>
      </c>
      <c r="C778" s="11">
        <v>1.445E9</v>
      </c>
      <c r="D778" s="12" t="s">
        <v>138</v>
      </c>
      <c r="E778" s="9" t="s">
        <v>70</v>
      </c>
      <c r="F778" s="11">
        <v>6.96E8</v>
      </c>
    </row>
    <row r="779">
      <c r="A779" s="5">
        <v>778.0</v>
      </c>
      <c r="B779" s="5" t="s">
        <v>75</v>
      </c>
      <c r="C779" s="11">
        <v>1.412E9</v>
      </c>
      <c r="D779" s="12" t="s">
        <v>138</v>
      </c>
      <c r="E779" s="9" t="s">
        <v>71</v>
      </c>
      <c r="F779" s="11">
        <v>7.23E8</v>
      </c>
    </row>
    <row r="780">
      <c r="A780" s="5">
        <v>779.0</v>
      </c>
      <c r="B780" s="5" t="s">
        <v>75</v>
      </c>
      <c r="C780" s="11">
        <v>1.683E9</v>
      </c>
      <c r="D780" s="12" t="s">
        <v>138</v>
      </c>
      <c r="E780" s="9" t="s">
        <v>72</v>
      </c>
      <c r="F780" s="11">
        <v>9.39E8</v>
      </c>
    </row>
    <row r="781">
      <c r="A781" s="5">
        <v>780.0</v>
      </c>
      <c r="B781" s="5" t="s">
        <v>75</v>
      </c>
      <c r="C781" s="11">
        <v>1.588E9</v>
      </c>
      <c r="D781" s="12" t="s">
        <v>138</v>
      </c>
      <c r="E781" s="9" t="s">
        <v>73</v>
      </c>
      <c r="F781" s="11">
        <v>9.58E8</v>
      </c>
    </row>
    <row r="782">
      <c r="A782" s="5">
        <v>781.0</v>
      </c>
      <c r="B782" s="5" t="s">
        <v>77</v>
      </c>
      <c r="C782" s="11">
        <v>2.05E8</v>
      </c>
      <c r="D782" s="12" t="s">
        <v>139</v>
      </c>
      <c r="E782" s="9" t="s">
        <v>60</v>
      </c>
      <c r="F782" s="11">
        <v>8.0E7</v>
      </c>
    </row>
    <row r="783">
      <c r="A783" s="5">
        <v>782.0</v>
      </c>
      <c r="B783" s="5" t="s">
        <v>77</v>
      </c>
      <c r="C783" s="11">
        <v>2.18E8</v>
      </c>
      <c r="D783" s="12" t="s">
        <v>139</v>
      </c>
      <c r="E783" s="9" t="s">
        <v>62</v>
      </c>
      <c r="F783" s="11">
        <v>5.0E7</v>
      </c>
    </row>
    <row r="784">
      <c r="A784" s="5">
        <v>783.0</v>
      </c>
      <c r="B784" s="5" t="s">
        <v>77</v>
      </c>
      <c r="C784" s="11">
        <v>2.61E8</v>
      </c>
      <c r="D784" s="12" t="s">
        <v>139</v>
      </c>
      <c r="E784" s="9" t="s">
        <v>63</v>
      </c>
      <c r="F784" s="11">
        <v>5.5E7</v>
      </c>
    </row>
    <row r="785">
      <c r="A785" s="5">
        <v>784.0</v>
      </c>
      <c r="B785" s="5" t="s">
        <v>77</v>
      </c>
      <c r="C785" s="11">
        <v>3.36E8</v>
      </c>
      <c r="D785" s="12" t="s">
        <v>139</v>
      </c>
      <c r="E785" s="9" t="s">
        <v>64</v>
      </c>
      <c r="F785" s="11">
        <v>6.3E7</v>
      </c>
    </row>
    <row r="786">
      <c r="A786" s="5">
        <v>785.0</v>
      </c>
      <c r="B786" s="5" t="s">
        <v>77</v>
      </c>
      <c r="C786" s="11">
        <v>4.58E8</v>
      </c>
      <c r="D786" s="12" t="s">
        <v>139</v>
      </c>
      <c r="E786" s="9" t="s">
        <v>65</v>
      </c>
      <c r="F786" s="11">
        <v>5.9E7</v>
      </c>
    </row>
    <row r="787">
      <c r="A787" s="5">
        <v>786.0</v>
      </c>
      <c r="B787" s="5" t="s">
        <v>77</v>
      </c>
      <c r="C787" s="11">
        <v>5.33E8</v>
      </c>
      <c r="D787" s="12" t="s">
        <v>139</v>
      </c>
      <c r="E787" s="9" t="s">
        <v>66</v>
      </c>
      <c r="F787" s="11">
        <v>7.7E7</v>
      </c>
    </row>
    <row r="788">
      <c r="A788" s="5">
        <v>787.0</v>
      </c>
      <c r="B788" s="5" t="s">
        <v>77</v>
      </c>
      <c r="C788" s="11">
        <v>6.39E8</v>
      </c>
      <c r="D788" s="12" t="s">
        <v>139</v>
      </c>
      <c r="E788" s="9" t="s">
        <v>67</v>
      </c>
      <c r="F788" s="11">
        <v>9.7E7</v>
      </c>
    </row>
    <row r="789">
      <c r="A789" s="5">
        <v>788.0</v>
      </c>
      <c r="B789" s="5" t="s">
        <v>77</v>
      </c>
      <c r="C789" s="11">
        <v>7.9E8</v>
      </c>
      <c r="D789" s="12" t="s">
        <v>139</v>
      </c>
      <c r="E789" s="9" t="s">
        <v>68</v>
      </c>
      <c r="F789" s="11">
        <v>1.07E8</v>
      </c>
    </row>
    <row r="790">
      <c r="A790" s="5">
        <v>789.0</v>
      </c>
      <c r="B790" s="5" t="s">
        <v>77</v>
      </c>
      <c r="C790" s="11">
        <v>1.184E9</v>
      </c>
      <c r="D790" s="12" t="s">
        <v>139</v>
      </c>
      <c r="E790" s="9" t="s">
        <v>69</v>
      </c>
      <c r="F790" s="11">
        <v>1.56E8</v>
      </c>
    </row>
    <row r="791">
      <c r="A791" s="5">
        <v>790.0</v>
      </c>
      <c r="B791" s="5" t="s">
        <v>77</v>
      </c>
      <c r="C791" s="11">
        <v>1.119E9</v>
      </c>
      <c r="D791" s="12" t="s">
        <v>139</v>
      </c>
      <c r="E791" s="9" t="s">
        <v>70</v>
      </c>
      <c r="F791" s="11">
        <v>1.39E8</v>
      </c>
    </row>
    <row r="792">
      <c r="A792" s="5">
        <v>791.0</v>
      </c>
      <c r="B792" s="5" t="s">
        <v>77</v>
      </c>
      <c r="C792" s="11">
        <v>1.434E9</v>
      </c>
      <c r="D792" s="12" t="s">
        <v>139</v>
      </c>
      <c r="E792" s="9" t="s">
        <v>71</v>
      </c>
      <c r="F792" s="11">
        <v>1.43E8</v>
      </c>
    </row>
    <row r="793">
      <c r="A793" s="5">
        <v>792.0</v>
      </c>
      <c r="B793" s="5" t="s">
        <v>77</v>
      </c>
      <c r="C793" s="11">
        <v>1.998E9</v>
      </c>
      <c r="D793" s="12" t="s">
        <v>139</v>
      </c>
      <c r="E793" s="9" t="s">
        <v>72</v>
      </c>
      <c r="F793" s="11">
        <v>1.7E8</v>
      </c>
    </row>
    <row r="794">
      <c r="A794" s="5">
        <v>793.0</v>
      </c>
      <c r="B794" s="5" t="s">
        <v>77</v>
      </c>
      <c r="C794" s="11">
        <v>1.98E9</v>
      </c>
      <c r="D794" s="12" t="s">
        <v>139</v>
      </c>
      <c r="E794" s="9" t="s">
        <v>73</v>
      </c>
      <c r="F794" s="11">
        <v>1.81E8</v>
      </c>
    </row>
    <row r="795">
      <c r="A795" s="5">
        <v>794.0</v>
      </c>
      <c r="B795" s="5" t="s">
        <v>75</v>
      </c>
      <c r="C795" s="8"/>
      <c r="D795" s="12" t="s">
        <v>140</v>
      </c>
      <c r="E795" s="9" t="s">
        <v>60</v>
      </c>
      <c r="F795" s="8"/>
    </row>
    <row r="796">
      <c r="A796" s="5">
        <v>795.0</v>
      </c>
      <c r="B796" s="5" t="s">
        <v>75</v>
      </c>
      <c r="C796" s="8"/>
      <c r="D796" s="12" t="s">
        <v>140</v>
      </c>
      <c r="E796" s="9" t="s">
        <v>62</v>
      </c>
      <c r="F796" s="8"/>
    </row>
    <row r="797">
      <c r="A797" s="5">
        <v>796.0</v>
      </c>
      <c r="B797" s="5" t="s">
        <v>75</v>
      </c>
      <c r="C797" s="8"/>
      <c r="D797" s="12" t="s">
        <v>140</v>
      </c>
      <c r="E797" s="9" t="s">
        <v>63</v>
      </c>
      <c r="F797" s="8"/>
    </row>
    <row r="798">
      <c r="A798" s="5">
        <v>797.0</v>
      </c>
      <c r="B798" s="5" t="s">
        <v>75</v>
      </c>
      <c r="C798" s="8"/>
      <c r="D798" s="12" t="s">
        <v>140</v>
      </c>
      <c r="E798" s="9" t="s">
        <v>64</v>
      </c>
      <c r="F798" s="8"/>
    </row>
    <row r="799">
      <c r="A799" s="5">
        <v>798.0</v>
      </c>
      <c r="B799" s="5" t="s">
        <v>75</v>
      </c>
      <c r="C799" s="8"/>
      <c r="D799" s="12" t="s">
        <v>140</v>
      </c>
      <c r="E799" s="9" t="s">
        <v>65</v>
      </c>
      <c r="F799" s="8"/>
    </row>
    <row r="800">
      <c r="A800" s="5">
        <v>799.0</v>
      </c>
      <c r="B800" s="5" t="s">
        <v>75</v>
      </c>
      <c r="C800" s="8"/>
      <c r="D800" s="12" t="s">
        <v>140</v>
      </c>
      <c r="E800" s="9" t="s">
        <v>66</v>
      </c>
      <c r="F800" s="8"/>
    </row>
    <row r="801">
      <c r="A801" s="5">
        <v>800.0</v>
      </c>
      <c r="B801" s="5" t="s">
        <v>75</v>
      </c>
      <c r="C801" s="8"/>
      <c r="D801" s="12" t="s">
        <v>140</v>
      </c>
      <c r="E801" s="9" t="s">
        <v>67</v>
      </c>
      <c r="F801" s="8"/>
    </row>
    <row r="802">
      <c r="A802" s="5">
        <v>801.0</v>
      </c>
      <c r="B802" s="5" t="s">
        <v>75</v>
      </c>
      <c r="C802" s="8"/>
      <c r="D802" s="12" t="s">
        <v>140</v>
      </c>
      <c r="E802" s="9" t="s">
        <v>68</v>
      </c>
      <c r="F802" s="8"/>
    </row>
    <row r="803">
      <c r="A803" s="5">
        <v>802.0</v>
      </c>
      <c r="B803" s="5" t="s">
        <v>75</v>
      </c>
      <c r="C803" s="8"/>
      <c r="D803" s="12" t="s">
        <v>140</v>
      </c>
      <c r="E803" s="9" t="s">
        <v>69</v>
      </c>
      <c r="F803" s="8"/>
    </row>
    <row r="804">
      <c r="A804" s="5">
        <v>803.0</v>
      </c>
      <c r="B804" s="5" t="s">
        <v>75</v>
      </c>
      <c r="C804" s="8"/>
      <c r="D804" s="12" t="s">
        <v>140</v>
      </c>
      <c r="E804" s="9" t="s">
        <v>70</v>
      </c>
      <c r="F804" s="8"/>
    </row>
    <row r="805">
      <c r="A805" s="5">
        <v>804.0</v>
      </c>
      <c r="B805" s="5" t="s">
        <v>75</v>
      </c>
      <c r="C805" s="8"/>
      <c r="D805" s="12" t="s">
        <v>140</v>
      </c>
      <c r="E805" s="9" t="s">
        <v>71</v>
      </c>
      <c r="F805" s="8"/>
    </row>
    <row r="806">
      <c r="A806" s="5">
        <v>805.0</v>
      </c>
      <c r="B806" s="5" t="s">
        <v>75</v>
      </c>
      <c r="C806" s="8"/>
      <c r="D806" s="12" t="s">
        <v>140</v>
      </c>
      <c r="E806" s="9" t="s">
        <v>72</v>
      </c>
      <c r="F806" s="8"/>
    </row>
    <row r="807">
      <c r="A807" s="5">
        <v>806.0</v>
      </c>
      <c r="B807" s="5" t="s">
        <v>75</v>
      </c>
      <c r="C807" s="8"/>
      <c r="D807" s="12" t="s">
        <v>140</v>
      </c>
      <c r="E807" s="9" t="s">
        <v>73</v>
      </c>
      <c r="F807" s="8"/>
    </row>
    <row r="808">
      <c r="A808" s="5">
        <v>807.0</v>
      </c>
      <c r="B808" s="5" t="s">
        <v>80</v>
      </c>
      <c r="C808" s="11">
        <v>2.91E8</v>
      </c>
      <c r="D808" s="12" t="s">
        <v>141</v>
      </c>
      <c r="E808" s="9" t="s">
        <v>60</v>
      </c>
      <c r="F808" s="11">
        <v>9.6E7</v>
      </c>
    </row>
    <row r="809">
      <c r="A809" s="5">
        <v>808.0</v>
      </c>
      <c r="B809" s="5" t="s">
        <v>80</v>
      </c>
      <c r="C809" s="11">
        <v>3.16E8</v>
      </c>
      <c r="D809" s="12" t="s">
        <v>141</v>
      </c>
      <c r="E809" s="9" t="s">
        <v>62</v>
      </c>
      <c r="F809" s="11">
        <v>8.4E7</v>
      </c>
    </row>
    <row r="810">
      <c r="A810" s="5">
        <v>809.0</v>
      </c>
      <c r="B810" s="5" t="s">
        <v>80</v>
      </c>
      <c r="C810" s="11">
        <v>3.84E8</v>
      </c>
      <c r="D810" s="12" t="s">
        <v>141</v>
      </c>
      <c r="E810" s="9" t="s">
        <v>63</v>
      </c>
      <c r="F810" s="11">
        <v>7.9E7</v>
      </c>
    </row>
    <row r="811">
      <c r="A811" s="5">
        <v>810.0</v>
      </c>
      <c r="B811" s="5" t="s">
        <v>80</v>
      </c>
      <c r="C811" s="11">
        <v>4.96E8</v>
      </c>
      <c r="D811" s="12" t="s">
        <v>141</v>
      </c>
      <c r="E811" s="9" t="s">
        <v>64</v>
      </c>
      <c r="F811" s="11">
        <v>8.8E7</v>
      </c>
    </row>
    <row r="812">
      <c r="A812" s="5">
        <v>811.0</v>
      </c>
      <c r="B812" s="5" t="s">
        <v>80</v>
      </c>
      <c r="C812" s="11">
        <v>5.88E8</v>
      </c>
      <c r="D812" s="12" t="s">
        <v>141</v>
      </c>
      <c r="E812" s="9" t="s">
        <v>65</v>
      </c>
      <c r="F812" s="11">
        <v>1.18E8</v>
      </c>
    </row>
    <row r="813">
      <c r="A813" s="5">
        <v>812.0</v>
      </c>
      <c r="B813" s="5" t="s">
        <v>80</v>
      </c>
      <c r="C813" s="11">
        <v>7.22E8</v>
      </c>
      <c r="D813" s="12" t="s">
        <v>141</v>
      </c>
      <c r="E813" s="9" t="s">
        <v>66</v>
      </c>
      <c r="F813" s="11">
        <v>1.32E8</v>
      </c>
    </row>
    <row r="814">
      <c r="A814" s="5">
        <v>813.0</v>
      </c>
      <c r="B814" s="5" t="s">
        <v>80</v>
      </c>
      <c r="C814" s="11">
        <v>6.84E8</v>
      </c>
      <c r="D814" s="12" t="s">
        <v>141</v>
      </c>
      <c r="E814" s="9" t="s">
        <v>67</v>
      </c>
      <c r="F814" s="11">
        <v>1.23E8</v>
      </c>
    </row>
    <row r="815">
      <c r="A815" s="5">
        <v>814.0</v>
      </c>
      <c r="B815" s="5" t="s">
        <v>80</v>
      </c>
      <c r="C815" s="11">
        <v>7.25E8</v>
      </c>
      <c r="D815" s="12" t="s">
        <v>141</v>
      </c>
      <c r="E815" s="9" t="s">
        <v>68</v>
      </c>
      <c r="F815" s="11">
        <v>1.3E8</v>
      </c>
    </row>
    <row r="816">
      <c r="A816" s="5">
        <v>815.0</v>
      </c>
      <c r="B816" s="5" t="s">
        <v>80</v>
      </c>
      <c r="C816" s="11">
        <v>9.38E8</v>
      </c>
      <c r="D816" s="12" t="s">
        <v>141</v>
      </c>
      <c r="E816" s="9" t="s">
        <v>69</v>
      </c>
      <c r="F816" s="11">
        <v>1.12E8</v>
      </c>
    </row>
    <row r="817">
      <c r="A817" s="5">
        <v>816.0</v>
      </c>
      <c r="B817" s="5" t="s">
        <v>80</v>
      </c>
      <c r="C817" s="11">
        <v>7.24E8</v>
      </c>
      <c r="D817" s="12" t="s">
        <v>141</v>
      </c>
      <c r="E817" s="9" t="s">
        <v>70</v>
      </c>
      <c r="F817" s="11">
        <v>1.1E8</v>
      </c>
    </row>
    <row r="818">
      <c r="A818" s="5">
        <v>817.0</v>
      </c>
      <c r="B818" s="5" t="s">
        <v>80</v>
      </c>
      <c r="C818" s="11">
        <v>8.09E8</v>
      </c>
      <c r="D818" s="12" t="s">
        <v>141</v>
      </c>
      <c r="E818" s="9" t="s">
        <v>71</v>
      </c>
      <c r="F818" s="11">
        <v>1.0E8</v>
      </c>
    </row>
    <row r="819">
      <c r="A819" s="5">
        <v>818.0</v>
      </c>
      <c r="B819" s="5" t="s">
        <v>80</v>
      </c>
      <c r="C819" s="11">
        <v>9.33E8</v>
      </c>
      <c r="D819" s="12" t="s">
        <v>141</v>
      </c>
      <c r="E819" s="9" t="s">
        <v>72</v>
      </c>
      <c r="F819" s="11">
        <v>1.15E8</v>
      </c>
    </row>
    <row r="820">
      <c r="A820" s="5">
        <v>819.0</v>
      </c>
      <c r="B820" s="5" t="s">
        <v>80</v>
      </c>
      <c r="C820" s="11">
        <v>9.87E8</v>
      </c>
      <c r="D820" s="12" t="s">
        <v>141</v>
      </c>
      <c r="E820" s="9" t="s">
        <v>73</v>
      </c>
      <c r="F820" s="11">
        <v>1.1E8</v>
      </c>
    </row>
    <row r="821">
      <c r="A821" s="5">
        <v>820.0</v>
      </c>
      <c r="B821" s="5" t="s">
        <v>75</v>
      </c>
      <c r="C821" s="11">
        <v>2.035E9</v>
      </c>
      <c r="D821" s="12" t="s">
        <v>142</v>
      </c>
      <c r="E821" s="9" t="s">
        <v>60</v>
      </c>
      <c r="F821" s="11">
        <v>2.293E9</v>
      </c>
    </row>
    <row r="822">
      <c r="A822" s="5">
        <v>821.0</v>
      </c>
      <c r="B822" s="5" t="s">
        <v>75</v>
      </c>
      <c r="C822" s="11">
        <v>2.065E9</v>
      </c>
      <c r="D822" s="12" t="s">
        <v>142</v>
      </c>
      <c r="E822" s="9" t="s">
        <v>62</v>
      </c>
      <c r="F822" s="11">
        <v>2.442E9</v>
      </c>
    </row>
    <row r="823">
      <c r="A823" s="5">
        <v>822.0</v>
      </c>
      <c r="B823" s="5" t="s">
        <v>75</v>
      </c>
      <c r="C823" s="11">
        <v>2.235E9</v>
      </c>
      <c r="D823" s="12" t="s">
        <v>142</v>
      </c>
      <c r="E823" s="9" t="s">
        <v>63</v>
      </c>
      <c r="F823" s="11">
        <v>2.438E9</v>
      </c>
    </row>
    <row r="824">
      <c r="A824" s="5">
        <v>823.0</v>
      </c>
      <c r="B824" s="5" t="s">
        <v>75</v>
      </c>
      <c r="C824" s="11">
        <v>2.676E9</v>
      </c>
      <c r="D824" s="12" t="s">
        <v>142</v>
      </c>
      <c r="E824" s="9" t="s">
        <v>64</v>
      </c>
      <c r="F824" s="11">
        <v>2.954E9</v>
      </c>
    </row>
    <row r="825">
      <c r="A825" s="5">
        <v>824.0</v>
      </c>
      <c r="B825" s="5" t="s">
        <v>75</v>
      </c>
      <c r="C825" s="11">
        <v>2.975E9</v>
      </c>
      <c r="D825" s="12" t="s">
        <v>142</v>
      </c>
      <c r="E825" s="9" t="s">
        <v>65</v>
      </c>
      <c r="F825" s="11">
        <v>3.383E9</v>
      </c>
    </row>
    <row r="826">
      <c r="A826" s="5">
        <v>825.0</v>
      </c>
      <c r="B826" s="5" t="s">
        <v>75</v>
      </c>
      <c r="C826" s="11">
        <v>3.069E9</v>
      </c>
      <c r="D826" s="12" t="s">
        <v>142</v>
      </c>
      <c r="E826" s="9" t="s">
        <v>66</v>
      </c>
      <c r="F826" s="11">
        <v>3.622E9</v>
      </c>
    </row>
    <row r="827">
      <c r="A827" s="5">
        <v>826.0</v>
      </c>
      <c r="B827" s="5" t="s">
        <v>75</v>
      </c>
      <c r="C827" s="11">
        <v>3.515E9</v>
      </c>
      <c r="D827" s="12" t="s">
        <v>142</v>
      </c>
      <c r="E827" s="9" t="s">
        <v>67</v>
      </c>
      <c r="F827" s="11">
        <v>4.099E9</v>
      </c>
    </row>
    <row r="828">
      <c r="A828" s="5">
        <v>827.0</v>
      </c>
      <c r="B828" s="5" t="s">
        <v>75</v>
      </c>
      <c r="C828" s="11">
        <v>4.287E9</v>
      </c>
      <c r="D828" s="12" t="s">
        <v>142</v>
      </c>
      <c r="E828" s="9" t="s">
        <v>68</v>
      </c>
      <c r="F828" s="11">
        <v>4.812E9</v>
      </c>
    </row>
    <row r="829">
      <c r="A829" s="5">
        <v>828.0</v>
      </c>
      <c r="B829" s="5" t="s">
        <v>75</v>
      </c>
      <c r="C829" s="11">
        <v>4.873E9</v>
      </c>
      <c r="D829" s="12" t="s">
        <v>142</v>
      </c>
      <c r="E829" s="9" t="s">
        <v>69</v>
      </c>
      <c r="F829" s="11">
        <v>5.579E9</v>
      </c>
    </row>
    <row r="830">
      <c r="A830" s="5">
        <v>829.0</v>
      </c>
      <c r="B830" s="5" t="s">
        <v>75</v>
      </c>
      <c r="C830" s="11">
        <v>4.104E9</v>
      </c>
      <c r="D830" s="12" t="s">
        <v>142</v>
      </c>
      <c r="E830" s="9" t="s">
        <v>70</v>
      </c>
      <c r="F830" s="11">
        <v>5.226E9</v>
      </c>
    </row>
    <row r="831">
      <c r="A831" s="5">
        <v>830.0</v>
      </c>
      <c r="B831" s="5" t="s">
        <v>75</v>
      </c>
      <c r="C831" s="11">
        <v>4.51E9</v>
      </c>
      <c r="D831" s="12" t="s">
        <v>142</v>
      </c>
      <c r="E831" s="9" t="s">
        <v>71</v>
      </c>
      <c r="F831" s="11">
        <v>5.267E9</v>
      </c>
    </row>
    <row r="832">
      <c r="A832" s="5">
        <v>831.0</v>
      </c>
      <c r="B832" s="5" t="s">
        <v>75</v>
      </c>
      <c r="C832" s="11">
        <v>5.591E9</v>
      </c>
      <c r="D832" s="12" t="s">
        <v>142</v>
      </c>
      <c r="E832" s="9" t="s">
        <v>72</v>
      </c>
      <c r="F832" s="11">
        <v>6.009E9</v>
      </c>
    </row>
    <row r="833">
      <c r="A833" s="5">
        <v>832.0</v>
      </c>
      <c r="B833" s="5" t="s">
        <v>75</v>
      </c>
      <c r="C833" s="11">
        <v>5.415E9</v>
      </c>
      <c r="D833" s="12" t="s">
        <v>142</v>
      </c>
      <c r="E833" s="9" t="s">
        <v>73</v>
      </c>
      <c r="F833" s="11">
        <v>5.839E9</v>
      </c>
    </row>
    <row r="834">
      <c r="A834" s="5">
        <v>833.0</v>
      </c>
      <c r="B834" s="5" t="s">
        <v>75</v>
      </c>
      <c r="C834" s="11">
        <v>3.8534E10</v>
      </c>
      <c r="D834" s="12" t="s">
        <v>143</v>
      </c>
      <c r="E834" s="9" t="s">
        <v>60</v>
      </c>
      <c r="F834" s="11">
        <v>2.6703E10</v>
      </c>
    </row>
    <row r="835">
      <c r="A835" s="5">
        <v>834.0</v>
      </c>
      <c r="B835" s="5" t="s">
        <v>75</v>
      </c>
      <c r="C835" s="11">
        <v>3.8385E10</v>
      </c>
      <c r="D835" s="12" t="s">
        <v>143</v>
      </c>
      <c r="E835" s="9" t="s">
        <v>62</v>
      </c>
      <c r="F835" s="11">
        <v>2.6749E10</v>
      </c>
    </row>
    <row r="836">
      <c r="A836" s="5">
        <v>835.0</v>
      </c>
      <c r="B836" s="5" t="s">
        <v>75</v>
      </c>
      <c r="C836" s="11">
        <v>4.0537E10</v>
      </c>
      <c r="D836" s="12" t="s">
        <v>143</v>
      </c>
      <c r="E836" s="9" t="s">
        <v>63</v>
      </c>
      <c r="F836" s="11">
        <v>2.7808E10</v>
      </c>
    </row>
    <row r="837">
      <c r="A837" s="5">
        <v>836.0</v>
      </c>
      <c r="B837" s="5" t="s">
        <v>75</v>
      </c>
      <c r="C837" s="11">
        <v>4.599E10</v>
      </c>
      <c r="D837" s="12" t="s">
        <v>143</v>
      </c>
      <c r="E837" s="9" t="s">
        <v>64</v>
      </c>
      <c r="F837" s="11">
        <v>3.2618E10</v>
      </c>
    </row>
    <row r="838">
      <c r="A838" s="5">
        <v>837.0</v>
      </c>
      <c r="B838" s="5" t="s">
        <v>75</v>
      </c>
      <c r="C838" s="11">
        <v>5.2108E10</v>
      </c>
      <c r="D838" s="12" t="s">
        <v>143</v>
      </c>
      <c r="E838" s="9" t="s">
        <v>65</v>
      </c>
      <c r="F838" s="11">
        <v>3.6029E10</v>
      </c>
    </row>
    <row r="839">
      <c r="A839" s="5">
        <v>838.0</v>
      </c>
      <c r="B839" s="5" t="s">
        <v>75</v>
      </c>
      <c r="C839" s="11">
        <v>5.1691E10</v>
      </c>
      <c r="D839" s="12" t="s">
        <v>143</v>
      </c>
      <c r="E839" s="9" t="s">
        <v>66</v>
      </c>
      <c r="F839" s="11">
        <v>3.8813E10</v>
      </c>
    </row>
    <row r="840">
      <c r="A840" s="5">
        <v>839.0</v>
      </c>
      <c r="B840" s="5" t="s">
        <v>75</v>
      </c>
      <c r="C840" s="11">
        <v>5.445E10</v>
      </c>
      <c r="D840" s="12" t="s">
        <v>143</v>
      </c>
      <c r="E840" s="9" t="s">
        <v>67</v>
      </c>
      <c r="F840" s="11">
        <v>3.9331E10</v>
      </c>
    </row>
    <row r="841">
      <c r="A841" s="5">
        <v>840.0</v>
      </c>
      <c r="B841" s="5" t="s">
        <v>75</v>
      </c>
      <c r="C841" s="11">
        <v>6.3701E10</v>
      </c>
      <c r="D841" s="12" t="s">
        <v>143</v>
      </c>
      <c r="E841" s="9" t="s">
        <v>68</v>
      </c>
      <c r="F841" s="11">
        <v>4.6029E10</v>
      </c>
    </row>
    <row r="842">
      <c r="A842" s="5">
        <v>841.0</v>
      </c>
      <c r="B842" s="5" t="s">
        <v>75</v>
      </c>
      <c r="C842" s="11">
        <v>6.7779E10</v>
      </c>
      <c r="D842" s="12" t="s">
        <v>143</v>
      </c>
      <c r="E842" s="9" t="s">
        <v>69</v>
      </c>
      <c r="F842" s="11">
        <v>5.0021E10</v>
      </c>
    </row>
    <row r="843">
      <c r="A843" s="5">
        <v>842.0</v>
      </c>
      <c r="B843" s="5" t="s">
        <v>75</v>
      </c>
      <c r="C843" s="11">
        <v>5.8857E10</v>
      </c>
      <c r="D843" s="12" t="s">
        <v>143</v>
      </c>
      <c r="E843" s="9" t="s">
        <v>70</v>
      </c>
      <c r="F843" s="11">
        <v>4.5806E10</v>
      </c>
    </row>
    <row r="844">
      <c r="A844" s="5">
        <v>843.0</v>
      </c>
      <c r="B844" s="5" t="s">
        <v>75</v>
      </c>
      <c r="C844" s="11">
        <v>5.6139E10</v>
      </c>
      <c r="D844" s="12" t="s">
        <v>143</v>
      </c>
      <c r="E844" s="9" t="s">
        <v>71</v>
      </c>
      <c r="F844" s="11">
        <v>4.6157E10</v>
      </c>
    </row>
    <row r="845">
      <c r="A845" s="5">
        <v>844.0</v>
      </c>
      <c r="B845" s="5" t="s">
        <v>75</v>
      </c>
      <c r="C845" s="11">
        <v>6.5959E10</v>
      </c>
      <c r="D845" s="12" t="s">
        <v>143</v>
      </c>
      <c r="E845" s="9" t="s">
        <v>72</v>
      </c>
      <c r="F845" s="11">
        <v>5.3914E10</v>
      </c>
    </row>
    <row r="846">
      <c r="A846" s="5">
        <v>845.0</v>
      </c>
      <c r="B846" s="5" t="s">
        <v>75</v>
      </c>
      <c r="C846" s="11">
        <v>6.353E10</v>
      </c>
      <c r="D846" s="12" t="s">
        <v>143</v>
      </c>
      <c r="E846" s="9" t="s">
        <v>73</v>
      </c>
      <c r="F846" s="11">
        <v>4.7159E10</v>
      </c>
    </row>
    <row r="847">
      <c r="A847" s="5">
        <v>846.0</v>
      </c>
      <c r="B847" s="5" t="s">
        <v>80</v>
      </c>
      <c r="C847" s="8"/>
      <c r="D847" s="12" t="s">
        <v>144</v>
      </c>
      <c r="E847" s="9" t="s">
        <v>60</v>
      </c>
      <c r="F847" s="8"/>
    </row>
    <row r="848">
      <c r="A848" s="5">
        <v>847.0</v>
      </c>
      <c r="B848" s="5" t="s">
        <v>80</v>
      </c>
      <c r="C848" s="8"/>
      <c r="D848" s="12" t="s">
        <v>144</v>
      </c>
      <c r="E848" s="9" t="s">
        <v>62</v>
      </c>
      <c r="F848" s="8"/>
    </row>
    <row r="849">
      <c r="A849" s="5">
        <v>848.0</v>
      </c>
      <c r="B849" s="5" t="s">
        <v>80</v>
      </c>
      <c r="C849" s="11">
        <v>4.71E8</v>
      </c>
      <c r="D849" s="12" t="s">
        <v>144</v>
      </c>
      <c r="E849" s="9" t="s">
        <v>63</v>
      </c>
      <c r="F849" s="11">
        <v>2.64E8</v>
      </c>
    </row>
    <row r="850">
      <c r="A850" s="5">
        <v>849.0</v>
      </c>
      <c r="B850" s="5" t="s">
        <v>80</v>
      </c>
      <c r="C850" s="11">
        <v>6.51E8</v>
      </c>
      <c r="D850" s="12" t="s">
        <v>144</v>
      </c>
      <c r="E850" s="9" t="s">
        <v>64</v>
      </c>
      <c r="F850" s="11">
        <v>3.35E8</v>
      </c>
    </row>
    <row r="851">
      <c r="A851" s="5">
        <v>850.0</v>
      </c>
      <c r="B851" s="5" t="s">
        <v>80</v>
      </c>
      <c r="C851" s="11">
        <v>7.37E8</v>
      </c>
      <c r="D851" s="12" t="s">
        <v>144</v>
      </c>
      <c r="E851" s="9" t="s">
        <v>65</v>
      </c>
      <c r="F851" s="11">
        <v>4.25E8</v>
      </c>
    </row>
    <row r="852">
      <c r="A852" s="5">
        <v>851.0</v>
      </c>
      <c r="B852" s="5" t="s">
        <v>80</v>
      </c>
      <c r="C852" s="11">
        <v>7.59E8</v>
      </c>
      <c r="D852" s="12" t="s">
        <v>144</v>
      </c>
      <c r="E852" s="9" t="s">
        <v>66</v>
      </c>
      <c r="F852" s="11">
        <v>4.3E8</v>
      </c>
    </row>
    <row r="853">
      <c r="A853" s="5">
        <v>852.0</v>
      </c>
      <c r="B853" s="5" t="s">
        <v>80</v>
      </c>
      <c r="C853" s="11">
        <v>4.63E8</v>
      </c>
      <c r="D853" s="12" t="s">
        <v>144</v>
      </c>
      <c r="E853" s="9" t="s">
        <v>67</v>
      </c>
      <c r="F853" s="11">
        <v>1.22E8</v>
      </c>
    </row>
    <row r="854">
      <c r="A854" s="5">
        <v>853.0</v>
      </c>
      <c r="B854" s="5" t="s">
        <v>80</v>
      </c>
      <c r="C854" s="11">
        <v>5.37E8</v>
      </c>
      <c r="D854" s="12" t="s">
        <v>144</v>
      </c>
      <c r="E854" s="9" t="s">
        <v>68</v>
      </c>
      <c r="F854" s="11">
        <v>1.53E8</v>
      </c>
    </row>
    <row r="855">
      <c r="A855" s="5">
        <v>854.0</v>
      </c>
      <c r="B855" s="5" t="s">
        <v>80</v>
      </c>
      <c r="C855" s="11">
        <v>5.22E8</v>
      </c>
      <c r="D855" s="12" t="s">
        <v>144</v>
      </c>
      <c r="E855" s="9" t="s">
        <v>69</v>
      </c>
      <c r="F855" s="11">
        <v>1.59E8</v>
      </c>
    </row>
    <row r="856">
      <c r="A856" s="5">
        <v>855.0</v>
      </c>
      <c r="B856" s="5" t="s">
        <v>80</v>
      </c>
      <c r="C856" s="11">
        <v>4.4E8</v>
      </c>
      <c r="D856" s="12" t="s">
        <v>144</v>
      </c>
      <c r="E856" s="9" t="s">
        <v>70</v>
      </c>
      <c r="F856" s="11">
        <v>1.64E8</v>
      </c>
    </row>
    <row r="857">
      <c r="A857" s="5">
        <v>856.0</v>
      </c>
      <c r="B857" s="5" t="s">
        <v>80</v>
      </c>
      <c r="C857" s="11">
        <v>4.05E8</v>
      </c>
      <c r="D857" s="12" t="s">
        <v>144</v>
      </c>
      <c r="E857" s="9" t="s">
        <v>71</v>
      </c>
      <c r="F857" s="11">
        <v>1.6E8</v>
      </c>
    </row>
    <row r="858">
      <c r="A858" s="5">
        <v>857.0</v>
      </c>
      <c r="B858" s="5" t="s">
        <v>80</v>
      </c>
      <c r="C858" s="11">
        <v>3.84E8</v>
      </c>
      <c r="D858" s="12" t="s">
        <v>144</v>
      </c>
      <c r="E858" s="9" t="s">
        <v>72</v>
      </c>
      <c r="F858" s="11">
        <v>1.68E8</v>
      </c>
    </row>
    <row r="859">
      <c r="A859" s="5">
        <v>858.0</v>
      </c>
      <c r="B859" s="5" t="s">
        <v>80</v>
      </c>
      <c r="C859" s="8"/>
      <c r="D859" s="12" t="s">
        <v>144</v>
      </c>
      <c r="E859" s="9" t="s">
        <v>73</v>
      </c>
      <c r="F859" s="8"/>
    </row>
    <row r="860">
      <c r="A860" s="5">
        <v>859.0</v>
      </c>
      <c r="B860" s="5" t="s">
        <v>77</v>
      </c>
      <c r="C860" s="11">
        <v>9.9E7</v>
      </c>
      <c r="D860" s="12" t="s">
        <v>145</v>
      </c>
      <c r="E860" s="9" t="s">
        <v>60</v>
      </c>
      <c r="F860" s="11">
        <v>1.83E8</v>
      </c>
    </row>
    <row r="861">
      <c r="A861" s="5">
        <v>860.0</v>
      </c>
      <c r="B861" s="5" t="s">
        <v>77</v>
      </c>
      <c r="C861" s="11">
        <v>4.6E7</v>
      </c>
      <c r="D861" s="12" t="s">
        <v>145</v>
      </c>
      <c r="E861" s="9" t="s">
        <v>62</v>
      </c>
      <c r="F861" s="11">
        <v>2.56E8</v>
      </c>
    </row>
    <row r="862">
      <c r="A862" s="5">
        <v>861.0</v>
      </c>
      <c r="B862" s="5" t="s">
        <v>77</v>
      </c>
      <c r="C862" s="11">
        <v>7.7E7</v>
      </c>
      <c r="D862" s="12" t="s">
        <v>145</v>
      </c>
      <c r="E862" s="9" t="s">
        <v>63</v>
      </c>
      <c r="F862" s="11">
        <v>2.34E8</v>
      </c>
    </row>
    <row r="863">
      <c r="A863" s="5">
        <v>862.0</v>
      </c>
      <c r="B863" s="5" t="s">
        <v>77</v>
      </c>
      <c r="C863" s="11">
        <v>8.4E7</v>
      </c>
      <c r="D863" s="12" t="s">
        <v>145</v>
      </c>
      <c r="E863" s="9" t="s">
        <v>64</v>
      </c>
      <c r="F863" s="11">
        <v>2.39E8</v>
      </c>
    </row>
    <row r="864">
      <c r="A864" s="5">
        <v>863.0</v>
      </c>
      <c r="B864" s="5" t="s">
        <v>77</v>
      </c>
      <c r="C864" s="11">
        <v>7.4E7</v>
      </c>
      <c r="D864" s="12" t="s">
        <v>145</v>
      </c>
      <c r="E864" s="9" t="s">
        <v>65</v>
      </c>
      <c r="F864" s="11">
        <v>2.75E8</v>
      </c>
    </row>
    <row r="865">
      <c r="A865" s="5">
        <v>864.0</v>
      </c>
      <c r="B865" s="5" t="s">
        <v>77</v>
      </c>
      <c r="C865" s="11">
        <v>1.3E7</v>
      </c>
      <c r="D865" s="12" t="s">
        <v>145</v>
      </c>
      <c r="E865" s="9" t="s">
        <v>66</v>
      </c>
      <c r="F865" s="11">
        <v>3.46E8</v>
      </c>
    </row>
    <row r="866">
      <c r="A866" s="5">
        <v>865.0</v>
      </c>
      <c r="B866" s="5" t="s">
        <v>77</v>
      </c>
      <c r="C866" s="8"/>
      <c r="D866" s="12" t="s">
        <v>145</v>
      </c>
      <c r="E866" s="9" t="s">
        <v>67</v>
      </c>
      <c r="F866" s="8"/>
    </row>
    <row r="867">
      <c r="A867" s="5">
        <v>866.0</v>
      </c>
      <c r="B867" s="5" t="s">
        <v>77</v>
      </c>
      <c r="C867" s="8"/>
      <c r="D867" s="12" t="s">
        <v>145</v>
      </c>
      <c r="E867" s="9" t="s">
        <v>68</v>
      </c>
      <c r="F867" s="8"/>
    </row>
    <row r="868">
      <c r="A868" s="5">
        <v>867.0</v>
      </c>
      <c r="B868" s="5" t="s">
        <v>77</v>
      </c>
      <c r="C868" s="8"/>
      <c r="D868" s="12" t="s">
        <v>145</v>
      </c>
      <c r="E868" s="9" t="s">
        <v>69</v>
      </c>
      <c r="F868" s="8"/>
    </row>
    <row r="869">
      <c r="A869" s="5">
        <v>868.0</v>
      </c>
      <c r="B869" s="5" t="s">
        <v>77</v>
      </c>
      <c r="C869" s="8"/>
      <c r="D869" s="12" t="s">
        <v>145</v>
      </c>
      <c r="E869" s="9" t="s">
        <v>70</v>
      </c>
      <c r="F869" s="8"/>
    </row>
    <row r="870">
      <c r="A870" s="5">
        <v>869.0</v>
      </c>
      <c r="B870" s="5" t="s">
        <v>77</v>
      </c>
      <c r="C870" s="8"/>
      <c r="D870" s="12" t="s">
        <v>145</v>
      </c>
      <c r="E870" s="9" t="s">
        <v>71</v>
      </c>
      <c r="F870" s="8"/>
    </row>
    <row r="871">
      <c r="A871" s="5">
        <v>870.0</v>
      </c>
      <c r="B871" s="5" t="s">
        <v>77</v>
      </c>
      <c r="C871" s="8"/>
      <c r="D871" s="12" t="s">
        <v>145</v>
      </c>
      <c r="E871" s="9" t="s">
        <v>72</v>
      </c>
      <c r="F871" s="8"/>
    </row>
    <row r="872">
      <c r="A872" s="5">
        <v>871.0</v>
      </c>
      <c r="B872" s="5" t="s">
        <v>77</v>
      </c>
      <c r="C872" s="8"/>
      <c r="D872" s="12" t="s">
        <v>145</v>
      </c>
      <c r="E872" s="9" t="s">
        <v>73</v>
      </c>
      <c r="F872" s="8"/>
    </row>
    <row r="873">
      <c r="A873" s="5">
        <v>872.0</v>
      </c>
      <c r="B873" s="5" t="s">
        <v>77</v>
      </c>
      <c r="C873" s="8"/>
      <c r="D873" s="12" t="s">
        <v>146</v>
      </c>
      <c r="E873" s="9" t="s">
        <v>60</v>
      </c>
      <c r="F873" s="8"/>
    </row>
    <row r="874">
      <c r="A874" s="5">
        <v>873.0</v>
      </c>
      <c r="B874" s="5" t="s">
        <v>77</v>
      </c>
      <c r="C874" s="8"/>
      <c r="D874" s="12" t="s">
        <v>146</v>
      </c>
      <c r="E874" s="9" t="s">
        <v>62</v>
      </c>
      <c r="F874" s="8"/>
    </row>
    <row r="875">
      <c r="A875" s="5">
        <v>874.0</v>
      </c>
      <c r="B875" s="5" t="s">
        <v>77</v>
      </c>
      <c r="C875" s="8"/>
      <c r="D875" s="12" t="s">
        <v>146</v>
      </c>
      <c r="E875" s="9" t="s">
        <v>63</v>
      </c>
      <c r="F875" s="8"/>
    </row>
    <row r="876">
      <c r="A876" s="5">
        <v>875.0</v>
      </c>
      <c r="B876" s="5" t="s">
        <v>77</v>
      </c>
      <c r="C876" s="11">
        <v>5.8E7</v>
      </c>
      <c r="D876" s="12" t="s">
        <v>146</v>
      </c>
      <c r="E876" s="9" t="s">
        <v>64</v>
      </c>
      <c r="F876" s="11">
        <v>8000000.0</v>
      </c>
    </row>
    <row r="877">
      <c r="A877" s="5">
        <v>876.0</v>
      </c>
      <c r="B877" s="5" t="s">
        <v>77</v>
      </c>
      <c r="C877" s="11">
        <v>5.1E7</v>
      </c>
      <c r="D877" s="12" t="s">
        <v>146</v>
      </c>
      <c r="E877" s="9" t="s">
        <v>65</v>
      </c>
      <c r="F877" s="11">
        <v>6000000.0</v>
      </c>
    </row>
    <row r="878">
      <c r="A878" s="5">
        <v>877.0</v>
      </c>
      <c r="B878" s="5" t="s">
        <v>77</v>
      </c>
      <c r="C878" s="11">
        <v>5.9E7</v>
      </c>
      <c r="D878" s="12" t="s">
        <v>146</v>
      </c>
      <c r="E878" s="9" t="s">
        <v>66</v>
      </c>
      <c r="F878" s="11">
        <v>7000000.0</v>
      </c>
    </row>
    <row r="879">
      <c r="A879" s="5">
        <v>878.0</v>
      </c>
      <c r="B879" s="5" t="s">
        <v>77</v>
      </c>
      <c r="C879" s="11">
        <v>6.9E7</v>
      </c>
      <c r="D879" s="12" t="s">
        <v>146</v>
      </c>
      <c r="E879" s="9" t="s">
        <v>67</v>
      </c>
      <c r="F879" s="11">
        <v>8000000.0</v>
      </c>
    </row>
    <row r="880">
      <c r="A880" s="5">
        <v>879.0</v>
      </c>
      <c r="B880" s="5" t="s">
        <v>77</v>
      </c>
      <c r="C880" s="11">
        <v>8.7E7</v>
      </c>
      <c r="D880" s="12" t="s">
        <v>146</v>
      </c>
      <c r="E880" s="9" t="s">
        <v>68</v>
      </c>
      <c r="F880" s="11">
        <v>8000000.0</v>
      </c>
    </row>
    <row r="881">
      <c r="A881" s="5">
        <v>880.0</v>
      </c>
      <c r="B881" s="5" t="s">
        <v>77</v>
      </c>
      <c r="C881" s="11">
        <v>8.0E7</v>
      </c>
      <c r="D881" s="12" t="s">
        <v>146</v>
      </c>
      <c r="E881" s="9" t="s">
        <v>69</v>
      </c>
      <c r="F881" s="11">
        <v>8000000.0</v>
      </c>
    </row>
    <row r="882">
      <c r="A882" s="5">
        <v>881.0</v>
      </c>
      <c r="B882" s="5" t="s">
        <v>77</v>
      </c>
      <c r="C882" s="11">
        <v>6.4E7</v>
      </c>
      <c r="D882" s="12" t="s">
        <v>146</v>
      </c>
      <c r="E882" s="9" t="s">
        <v>70</v>
      </c>
      <c r="F882" s="11">
        <v>9000000.0</v>
      </c>
    </row>
    <row r="883">
      <c r="A883" s="5">
        <v>882.0</v>
      </c>
      <c r="B883" s="5" t="s">
        <v>77</v>
      </c>
      <c r="C883" s="11">
        <v>8.0E7</v>
      </c>
      <c r="D883" s="12" t="s">
        <v>146</v>
      </c>
      <c r="E883" s="9" t="s">
        <v>71</v>
      </c>
      <c r="F883" s="11">
        <v>1.1E7</v>
      </c>
    </row>
    <row r="884">
      <c r="A884" s="5">
        <v>883.0</v>
      </c>
      <c r="B884" s="5" t="s">
        <v>77</v>
      </c>
      <c r="C884" s="11">
        <v>9.2E7</v>
      </c>
      <c r="D884" s="12" t="s">
        <v>146</v>
      </c>
      <c r="E884" s="9" t="s">
        <v>72</v>
      </c>
      <c r="F884" s="11">
        <v>1.1E7</v>
      </c>
    </row>
    <row r="885">
      <c r="A885" s="5">
        <v>884.0</v>
      </c>
      <c r="B885" s="5" t="s">
        <v>77</v>
      </c>
      <c r="C885" s="11">
        <v>9.9E7</v>
      </c>
      <c r="D885" s="12" t="s">
        <v>146</v>
      </c>
      <c r="E885" s="9" t="s">
        <v>73</v>
      </c>
      <c r="F885" s="11">
        <v>8000000.0</v>
      </c>
    </row>
    <row r="886">
      <c r="A886" s="5">
        <v>885.0</v>
      </c>
      <c r="B886" s="5" t="s">
        <v>61</v>
      </c>
      <c r="C886" s="11">
        <v>1.07E8</v>
      </c>
      <c r="D886" s="12" t="s">
        <v>147</v>
      </c>
      <c r="E886" s="9" t="s">
        <v>60</v>
      </c>
      <c r="F886" s="11">
        <v>1.29E8</v>
      </c>
    </row>
    <row r="887">
      <c r="A887" s="5">
        <v>886.0</v>
      </c>
      <c r="B887" s="5" t="s">
        <v>61</v>
      </c>
      <c r="C887" s="11">
        <v>1.36E8</v>
      </c>
      <c r="D887" s="12" t="s">
        <v>147</v>
      </c>
      <c r="E887" s="9" t="s">
        <v>62</v>
      </c>
      <c r="F887" s="11">
        <v>1.36E8</v>
      </c>
    </row>
    <row r="888">
      <c r="A888" s="5">
        <v>887.0</v>
      </c>
      <c r="B888" s="5" t="s">
        <v>61</v>
      </c>
      <c r="C888" s="11">
        <v>1.44E8</v>
      </c>
      <c r="D888" s="12" t="s">
        <v>147</v>
      </c>
      <c r="E888" s="9" t="s">
        <v>63</v>
      </c>
      <c r="F888" s="11">
        <v>1.89E8</v>
      </c>
    </row>
    <row r="889">
      <c r="A889" s="5">
        <v>888.0</v>
      </c>
      <c r="B889" s="5" t="s">
        <v>61</v>
      </c>
      <c r="C889" s="11">
        <v>1.72E8</v>
      </c>
      <c r="D889" s="12" t="s">
        <v>147</v>
      </c>
      <c r="E889" s="9" t="s">
        <v>64</v>
      </c>
      <c r="F889" s="11">
        <v>1.7E8</v>
      </c>
    </row>
    <row r="890">
      <c r="A890" s="5">
        <v>889.0</v>
      </c>
      <c r="B890" s="5" t="s">
        <v>61</v>
      </c>
      <c r="C890" s="11">
        <v>2.09E8</v>
      </c>
      <c r="D890" s="12" t="s">
        <v>147</v>
      </c>
      <c r="E890" s="9" t="s">
        <v>65</v>
      </c>
      <c r="F890" s="11">
        <v>1.96E8</v>
      </c>
    </row>
    <row r="891">
      <c r="A891" s="5">
        <v>890.0</v>
      </c>
      <c r="B891" s="5" t="s">
        <v>61</v>
      </c>
      <c r="C891" s="11">
        <v>2.87E8</v>
      </c>
      <c r="D891" s="12" t="s">
        <v>147</v>
      </c>
      <c r="E891" s="9" t="s">
        <v>66</v>
      </c>
      <c r="F891" s="11">
        <v>2.37E8</v>
      </c>
    </row>
    <row r="892">
      <c r="A892" s="5">
        <v>891.0</v>
      </c>
      <c r="B892" s="5" t="s">
        <v>61</v>
      </c>
      <c r="C892" s="11">
        <v>3.61E8</v>
      </c>
      <c r="D892" s="12" t="s">
        <v>147</v>
      </c>
      <c r="E892" s="9" t="s">
        <v>67</v>
      </c>
      <c r="F892" s="11">
        <v>2.57E8</v>
      </c>
    </row>
    <row r="893">
      <c r="A893" s="5">
        <v>892.0</v>
      </c>
      <c r="B893" s="5" t="s">
        <v>61</v>
      </c>
      <c r="C893" s="11">
        <v>4.4E8</v>
      </c>
      <c r="D893" s="12" t="s">
        <v>147</v>
      </c>
      <c r="E893" s="9" t="s">
        <v>68</v>
      </c>
      <c r="F893" s="11">
        <v>2.77E8</v>
      </c>
    </row>
    <row r="894">
      <c r="A894" s="5">
        <v>893.0</v>
      </c>
      <c r="B894" s="5" t="s">
        <v>61</v>
      </c>
      <c r="C894" s="11">
        <v>5.05E8</v>
      </c>
      <c r="D894" s="12" t="s">
        <v>147</v>
      </c>
      <c r="E894" s="9" t="s">
        <v>69</v>
      </c>
      <c r="F894" s="11">
        <v>3.37E8</v>
      </c>
    </row>
    <row r="895">
      <c r="A895" s="5">
        <v>894.0</v>
      </c>
      <c r="B895" s="5" t="s">
        <v>61</v>
      </c>
      <c r="C895" s="11">
        <v>5.37E8</v>
      </c>
      <c r="D895" s="12" t="s">
        <v>147</v>
      </c>
      <c r="E895" s="9" t="s">
        <v>70</v>
      </c>
      <c r="F895" s="11">
        <v>3.11E8</v>
      </c>
    </row>
    <row r="896">
      <c r="A896" s="5">
        <v>895.0</v>
      </c>
      <c r="B896" s="5" t="s">
        <v>61</v>
      </c>
      <c r="C896" s="11">
        <v>7.37E8</v>
      </c>
      <c r="D896" s="12" t="s">
        <v>147</v>
      </c>
      <c r="E896" s="9" t="s">
        <v>71</v>
      </c>
      <c r="F896" s="11">
        <v>3.29E8</v>
      </c>
    </row>
    <row r="897">
      <c r="A897" s="5">
        <v>896.0</v>
      </c>
      <c r="B897" s="5" t="s">
        <v>61</v>
      </c>
      <c r="C897" s="11">
        <v>1.069E9</v>
      </c>
      <c r="D897" s="12" t="s">
        <v>147</v>
      </c>
      <c r="E897" s="9" t="s">
        <v>72</v>
      </c>
      <c r="F897" s="11">
        <v>3.84E8</v>
      </c>
    </row>
    <row r="898">
      <c r="A898" s="5">
        <v>897.0</v>
      </c>
      <c r="B898" s="5" t="s">
        <v>61</v>
      </c>
      <c r="C898" s="11">
        <v>1.565E9</v>
      </c>
      <c r="D898" s="12" t="s">
        <v>147</v>
      </c>
      <c r="E898" s="9" t="s">
        <v>73</v>
      </c>
      <c r="F898" s="11">
        <v>4.71E8</v>
      </c>
    </row>
    <row r="899">
      <c r="A899" s="5">
        <v>898.0</v>
      </c>
      <c r="B899" s="5" t="s">
        <v>75</v>
      </c>
      <c r="C899" s="11">
        <v>2.4943E10</v>
      </c>
      <c r="D899" s="12" t="s">
        <v>148</v>
      </c>
      <c r="E899" s="9" t="s">
        <v>60</v>
      </c>
      <c r="F899" s="11">
        <v>5.7601E10</v>
      </c>
    </row>
    <row r="900">
      <c r="A900" s="5">
        <v>899.0</v>
      </c>
      <c r="B900" s="5" t="s">
        <v>75</v>
      </c>
      <c r="C900" s="11">
        <v>2.4175E10</v>
      </c>
      <c r="D900" s="12" t="s">
        <v>148</v>
      </c>
      <c r="E900" s="9" t="s">
        <v>62</v>
      </c>
      <c r="F900" s="11">
        <v>5.6529E10</v>
      </c>
    </row>
    <row r="901">
      <c r="A901" s="5">
        <v>900.0</v>
      </c>
      <c r="B901" s="5" t="s">
        <v>75</v>
      </c>
      <c r="C901" s="11">
        <v>2.669E10</v>
      </c>
      <c r="D901" s="12" t="s">
        <v>148</v>
      </c>
      <c r="E901" s="9" t="s">
        <v>63</v>
      </c>
      <c r="F901" s="11">
        <v>5.9496E10</v>
      </c>
    </row>
    <row r="902">
      <c r="A902" s="5">
        <v>901.0</v>
      </c>
      <c r="B902" s="5" t="s">
        <v>75</v>
      </c>
      <c r="C902" s="11">
        <v>3.0104E10</v>
      </c>
      <c r="D902" s="12" t="s">
        <v>148</v>
      </c>
      <c r="E902" s="9" t="s">
        <v>64</v>
      </c>
      <c r="F902" s="11">
        <v>7.3203E10</v>
      </c>
    </row>
    <row r="903">
      <c r="A903" s="5">
        <v>902.0</v>
      </c>
      <c r="B903" s="5" t="s">
        <v>75</v>
      </c>
      <c r="C903" s="11">
        <v>3.639E10</v>
      </c>
      <c r="D903" s="12" t="s">
        <v>148</v>
      </c>
      <c r="E903" s="9" t="s">
        <v>65</v>
      </c>
      <c r="F903" s="11">
        <v>8.0624E10</v>
      </c>
    </row>
    <row r="904">
      <c r="A904" s="5">
        <v>903.0</v>
      </c>
      <c r="B904" s="5" t="s">
        <v>75</v>
      </c>
      <c r="C904" s="11">
        <v>4.0531E10</v>
      </c>
      <c r="D904" s="12" t="s">
        <v>148</v>
      </c>
      <c r="E904" s="9" t="s">
        <v>66</v>
      </c>
      <c r="F904" s="11">
        <v>8.4838E10</v>
      </c>
    </row>
    <row r="905">
      <c r="A905" s="5">
        <v>904.0</v>
      </c>
      <c r="B905" s="5" t="s">
        <v>75</v>
      </c>
      <c r="C905" s="11">
        <v>4.5538E10</v>
      </c>
      <c r="D905" s="12" t="s">
        <v>148</v>
      </c>
      <c r="E905" s="9" t="s">
        <v>67</v>
      </c>
      <c r="F905" s="11">
        <v>8.5974E10</v>
      </c>
    </row>
    <row r="906">
      <c r="A906" s="5">
        <v>905.0</v>
      </c>
      <c r="B906" s="5" t="s">
        <v>75</v>
      </c>
      <c r="C906" s="11">
        <v>4.9332E10</v>
      </c>
      <c r="D906" s="12" t="s">
        <v>148</v>
      </c>
      <c r="E906" s="9" t="s">
        <v>68</v>
      </c>
      <c r="F906" s="11">
        <v>9.6549E10</v>
      </c>
    </row>
    <row r="907">
      <c r="A907" s="5">
        <v>906.0</v>
      </c>
      <c r="B907" s="5" t="s">
        <v>75</v>
      </c>
      <c r="C907" s="11">
        <v>5.3398E10</v>
      </c>
      <c r="D907" s="12" t="s">
        <v>148</v>
      </c>
      <c r="E907" s="9" t="s">
        <v>69</v>
      </c>
      <c r="F907" s="8"/>
    </row>
    <row r="908">
      <c r="A908" s="5">
        <v>907.0</v>
      </c>
      <c r="B908" s="5" t="s">
        <v>75</v>
      </c>
      <c r="C908" s="11">
        <v>4.7466E10</v>
      </c>
      <c r="D908" s="12" t="s">
        <v>148</v>
      </c>
      <c r="E908" s="9" t="s">
        <v>70</v>
      </c>
      <c r="F908" s="11">
        <v>9.3112E10</v>
      </c>
    </row>
    <row r="909">
      <c r="A909" s="5">
        <v>908.0</v>
      </c>
      <c r="B909" s="5" t="s">
        <v>75</v>
      </c>
      <c r="C909" s="11">
        <v>4.9108E10</v>
      </c>
      <c r="D909" s="12" t="s">
        <v>148</v>
      </c>
      <c r="E909" s="9" t="s">
        <v>71</v>
      </c>
      <c r="F909" s="11">
        <v>9.1166E10</v>
      </c>
    </row>
    <row r="910">
      <c r="A910" s="5">
        <v>909.0</v>
      </c>
      <c r="B910" s="5" t="s">
        <v>75</v>
      </c>
      <c r="C910" s="11">
        <v>5.3399E10</v>
      </c>
      <c r="D910" s="12" t="s">
        <v>148</v>
      </c>
      <c r="E910" s="9" t="s">
        <v>72</v>
      </c>
      <c r="F910" s="8"/>
    </row>
    <row r="911">
      <c r="A911" s="5">
        <v>910.0</v>
      </c>
      <c r="B911" s="5" t="s">
        <v>75</v>
      </c>
      <c r="C911" s="11">
        <v>5.1581E10</v>
      </c>
      <c r="D911" s="12" t="s">
        <v>148</v>
      </c>
      <c r="E911" s="9" t="s">
        <v>73</v>
      </c>
      <c r="F911" s="11">
        <v>9.6361E10</v>
      </c>
    </row>
    <row r="912">
      <c r="A912" s="5">
        <v>911.0</v>
      </c>
      <c r="B912" s="5" t="s">
        <v>77</v>
      </c>
      <c r="C912" s="11">
        <v>3.57E8</v>
      </c>
      <c r="D912" s="12" t="s">
        <v>149</v>
      </c>
      <c r="E912" s="9" t="s">
        <v>60</v>
      </c>
      <c r="F912" s="11">
        <v>1.62E8</v>
      </c>
    </row>
    <row r="913">
      <c r="A913" s="5">
        <v>912.0</v>
      </c>
      <c r="B913" s="5" t="s">
        <v>77</v>
      </c>
      <c r="C913" s="11">
        <v>3.74E8</v>
      </c>
      <c r="D913" s="12" t="s">
        <v>149</v>
      </c>
      <c r="E913" s="9" t="s">
        <v>62</v>
      </c>
      <c r="F913" s="11">
        <v>1.65E8</v>
      </c>
    </row>
    <row r="914">
      <c r="A914" s="5">
        <v>913.0</v>
      </c>
      <c r="B914" s="5" t="s">
        <v>77</v>
      </c>
      <c r="C914" s="11">
        <v>3.83E8</v>
      </c>
      <c r="D914" s="12" t="s">
        <v>149</v>
      </c>
      <c r="E914" s="9" t="s">
        <v>63</v>
      </c>
      <c r="F914" s="11">
        <v>1.84E8</v>
      </c>
    </row>
    <row r="915">
      <c r="A915" s="5">
        <v>914.0</v>
      </c>
      <c r="B915" s="5" t="s">
        <v>77</v>
      </c>
      <c r="C915" s="11">
        <v>4.41E8</v>
      </c>
      <c r="D915" s="12" t="s">
        <v>149</v>
      </c>
      <c r="E915" s="9" t="s">
        <v>64</v>
      </c>
      <c r="F915" s="11">
        <v>2.16E8</v>
      </c>
    </row>
    <row r="916">
      <c r="A916" s="5">
        <v>915.0</v>
      </c>
      <c r="B916" s="5" t="s">
        <v>77</v>
      </c>
      <c r="C916" s="11">
        <v>4.95E8</v>
      </c>
      <c r="D916" s="12" t="s">
        <v>149</v>
      </c>
      <c r="E916" s="9" t="s">
        <v>65</v>
      </c>
      <c r="F916" s="11">
        <v>2.7E8</v>
      </c>
    </row>
    <row r="917">
      <c r="A917" s="5">
        <v>916.0</v>
      </c>
      <c r="B917" s="5" t="s">
        <v>77</v>
      </c>
      <c r="C917" s="11">
        <v>8.67E8</v>
      </c>
      <c r="D917" s="12" t="s">
        <v>149</v>
      </c>
      <c r="E917" s="9" t="s">
        <v>66</v>
      </c>
      <c r="F917" s="11">
        <v>4.72E8</v>
      </c>
    </row>
    <row r="918">
      <c r="A918" s="5">
        <v>917.0</v>
      </c>
      <c r="B918" s="5" t="s">
        <v>77</v>
      </c>
      <c r="C918" s="11">
        <v>9.1E8</v>
      </c>
      <c r="D918" s="12" t="s">
        <v>149</v>
      </c>
      <c r="E918" s="9" t="s">
        <v>67</v>
      </c>
      <c r="F918" s="11">
        <v>5.75E8</v>
      </c>
    </row>
    <row r="919">
      <c r="A919" s="5">
        <v>918.0</v>
      </c>
      <c r="B919" s="5" t="s">
        <v>77</v>
      </c>
      <c r="C919" s="11">
        <v>9.9E8</v>
      </c>
      <c r="D919" s="12" t="s">
        <v>149</v>
      </c>
      <c r="E919" s="9" t="s">
        <v>68</v>
      </c>
      <c r="F919" s="11">
        <v>8.16E8</v>
      </c>
    </row>
    <row r="920">
      <c r="A920" s="5">
        <v>919.0</v>
      </c>
      <c r="B920" s="5" t="s">
        <v>77</v>
      </c>
      <c r="C920" s="11">
        <v>9.7E8</v>
      </c>
      <c r="D920" s="12" t="s">
        <v>149</v>
      </c>
      <c r="E920" s="9" t="s">
        <v>69</v>
      </c>
      <c r="F920" s="11">
        <v>8.7E8</v>
      </c>
    </row>
    <row r="921">
      <c r="A921" s="5">
        <v>920.0</v>
      </c>
      <c r="B921" s="5" t="s">
        <v>77</v>
      </c>
      <c r="C921" s="11">
        <v>8.49E8</v>
      </c>
      <c r="D921" s="12" t="s">
        <v>149</v>
      </c>
      <c r="E921" s="9" t="s">
        <v>70</v>
      </c>
      <c r="F921" s="11">
        <v>9.48E8</v>
      </c>
    </row>
    <row r="922">
      <c r="A922" s="5">
        <v>921.0</v>
      </c>
      <c r="B922" s="5" t="s">
        <v>77</v>
      </c>
      <c r="C922" s="11">
        <v>7.06E8</v>
      </c>
      <c r="D922" s="12" t="s">
        <v>149</v>
      </c>
      <c r="E922" s="9" t="s">
        <v>71</v>
      </c>
      <c r="F922" s="11">
        <v>8.82E8</v>
      </c>
    </row>
    <row r="923">
      <c r="A923" s="5">
        <v>922.0</v>
      </c>
      <c r="B923" s="5" t="s">
        <v>77</v>
      </c>
      <c r="C923" s="11">
        <v>7.97E8</v>
      </c>
      <c r="D923" s="12" t="s">
        <v>149</v>
      </c>
      <c r="E923" s="9" t="s">
        <v>72</v>
      </c>
      <c r="F923" s="11">
        <v>1.026E9</v>
      </c>
    </row>
    <row r="924">
      <c r="A924" s="5">
        <v>923.0</v>
      </c>
      <c r="B924" s="5" t="s">
        <v>77</v>
      </c>
      <c r="C924" s="11">
        <v>1.154E9</v>
      </c>
      <c r="D924" s="12" t="s">
        <v>149</v>
      </c>
      <c r="E924" s="9" t="s">
        <v>73</v>
      </c>
      <c r="F924" s="11">
        <v>9.79E8</v>
      </c>
    </row>
    <row r="925">
      <c r="A925" s="5">
        <v>924.0</v>
      </c>
      <c r="B925" s="5" t="s">
        <v>75</v>
      </c>
      <c r="C925" s="11">
        <v>9.262E9</v>
      </c>
      <c r="D925" s="12" t="s">
        <v>150</v>
      </c>
      <c r="E925" s="9" t="s">
        <v>60</v>
      </c>
      <c r="F925" s="11">
        <v>4.564E9</v>
      </c>
    </row>
    <row r="926">
      <c r="A926" s="5">
        <v>925.0</v>
      </c>
      <c r="B926" s="5" t="s">
        <v>75</v>
      </c>
      <c r="C926" s="11">
        <v>9.216E9</v>
      </c>
      <c r="D926" s="12" t="s">
        <v>150</v>
      </c>
      <c r="E926" s="9" t="s">
        <v>62</v>
      </c>
      <c r="F926" s="11">
        <v>4.189E9</v>
      </c>
    </row>
    <row r="927">
      <c r="A927" s="5">
        <v>926.0</v>
      </c>
      <c r="B927" s="5" t="s">
        <v>75</v>
      </c>
      <c r="C927" s="11">
        <v>1.0005E10</v>
      </c>
      <c r="D927" s="12" t="s">
        <v>150</v>
      </c>
      <c r="E927" s="9" t="s">
        <v>63</v>
      </c>
      <c r="F927" s="11">
        <v>2.453E9</v>
      </c>
    </row>
    <row r="928">
      <c r="A928" s="5">
        <v>927.0</v>
      </c>
      <c r="B928" s="5" t="s">
        <v>75</v>
      </c>
      <c r="C928" s="11">
        <v>1.0842E10</v>
      </c>
      <c r="D928" s="12" t="s">
        <v>150</v>
      </c>
      <c r="E928" s="9" t="s">
        <v>64</v>
      </c>
      <c r="F928" s="11">
        <v>2.439E9</v>
      </c>
    </row>
    <row r="929">
      <c r="A929" s="5">
        <v>928.0</v>
      </c>
      <c r="B929" s="5" t="s">
        <v>75</v>
      </c>
      <c r="C929" s="11">
        <v>1.2809E10</v>
      </c>
      <c r="D929" s="12" t="s">
        <v>150</v>
      </c>
      <c r="E929" s="9" t="s">
        <v>65</v>
      </c>
      <c r="F929" s="11">
        <v>2.88E9</v>
      </c>
    </row>
    <row r="930">
      <c r="A930" s="5">
        <v>929.0</v>
      </c>
      <c r="B930" s="5" t="s">
        <v>75</v>
      </c>
      <c r="C930" s="11">
        <v>1.3453E10</v>
      </c>
      <c r="D930" s="12" t="s">
        <v>150</v>
      </c>
      <c r="E930" s="9" t="s">
        <v>66</v>
      </c>
      <c r="F930" s="11">
        <v>3.045E9</v>
      </c>
    </row>
    <row r="931">
      <c r="A931" s="5">
        <v>930.0</v>
      </c>
      <c r="B931" s="5" t="s">
        <v>75</v>
      </c>
      <c r="C931" s="11">
        <v>1.4495E10</v>
      </c>
      <c r="D931" s="12" t="s">
        <v>150</v>
      </c>
      <c r="E931" s="9" t="s">
        <v>67</v>
      </c>
      <c r="F931" s="11">
        <v>3.004E9</v>
      </c>
    </row>
    <row r="932">
      <c r="A932" s="5">
        <v>931.0</v>
      </c>
      <c r="B932" s="5" t="s">
        <v>75</v>
      </c>
      <c r="C932" s="11">
        <v>1.5687E10</v>
      </c>
      <c r="D932" s="12" t="s">
        <v>150</v>
      </c>
      <c r="E932" s="9" t="s">
        <v>68</v>
      </c>
      <c r="F932" s="11">
        <v>3.43E9</v>
      </c>
    </row>
    <row r="933">
      <c r="A933" s="5">
        <v>932.0</v>
      </c>
      <c r="B933" s="5" t="s">
        <v>75</v>
      </c>
      <c r="C933" s="11">
        <v>1.7586E10</v>
      </c>
      <c r="D933" s="12" t="s">
        <v>150</v>
      </c>
      <c r="E933" s="9" t="s">
        <v>69</v>
      </c>
      <c r="F933" s="11">
        <v>3.946E9</v>
      </c>
    </row>
    <row r="934">
      <c r="A934" s="5">
        <v>933.0</v>
      </c>
      <c r="B934" s="5" t="s">
        <v>75</v>
      </c>
      <c r="C934" s="11">
        <v>1.4796E10</v>
      </c>
      <c r="D934" s="12" t="s">
        <v>150</v>
      </c>
      <c r="E934" s="9" t="s">
        <v>70</v>
      </c>
      <c r="F934" s="11">
        <v>3.401E9</v>
      </c>
    </row>
    <row r="935">
      <c r="A935" s="5">
        <v>934.0</v>
      </c>
      <c r="B935" s="5" t="s">
        <v>75</v>
      </c>
      <c r="C935" s="11">
        <v>1.2579E10</v>
      </c>
      <c r="D935" s="12" t="s">
        <v>150</v>
      </c>
      <c r="E935" s="9" t="s">
        <v>71</v>
      </c>
      <c r="F935" s="11">
        <v>2.874E9</v>
      </c>
    </row>
    <row r="936">
      <c r="A936" s="5">
        <v>935.0</v>
      </c>
      <c r="B936" s="5" t="s">
        <v>75</v>
      </c>
      <c r="C936" s="11">
        <v>1.4984E10</v>
      </c>
      <c r="D936" s="12" t="s">
        <v>150</v>
      </c>
      <c r="E936" s="9" t="s">
        <v>72</v>
      </c>
      <c r="F936" s="11">
        <v>3.197E9</v>
      </c>
    </row>
    <row r="937">
      <c r="A937" s="5">
        <v>936.0</v>
      </c>
      <c r="B937" s="5" t="s">
        <v>75</v>
      </c>
      <c r="C937" s="11">
        <v>1.3313E10</v>
      </c>
      <c r="D937" s="12" t="s">
        <v>150</v>
      </c>
      <c r="E937" s="9" t="s">
        <v>73</v>
      </c>
      <c r="F937" s="11">
        <v>2.392E9</v>
      </c>
    </row>
    <row r="938">
      <c r="A938" s="5">
        <v>937.0</v>
      </c>
      <c r="B938" s="5" t="s">
        <v>84</v>
      </c>
      <c r="C938" s="8"/>
      <c r="D938" s="12" t="s">
        <v>151</v>
      </c>
      <c r="E938" s="9" t="s">
        <v>60</v>
      </c>
      <c r="F938" s="8"/>
    </row>
    <row r="939">
      <c r="A939" s="5">
        <v>938.0</v>
      </c>
      <c r="B939" s="5" t="s">
        <v>84</v>
      </c>
      <c r="C939" s="8"/>
      <c r="D939" s="12" t="s">
        <v>151</v>
      </c>
      <c r="E939" s="9" t="s">
        <v>62</v>
      </c>
      <c r="F939" s="8"/>
    </row>
    <row r="940">
      <c r="A940" s="5">
        <v>939.0</v>
      </c>
      <c r="B940" s="5" t="s">
        <v>84</v>
      </c>
      <c r="C940" s="8"/>
      <c r="D940" s="12" t="s">
        <v>151</v>
      </c>
      <c r="E940" s="9" t="s">
        <v>63</v>
      </c>
      <c r="F940" s="8"/>
    </row>
    <row r="941">
      <c r="A941" s="5">
        <v>940.0</v>
      </c>
      <c r="B941" s="5" t="s">
        <v>84</v>
      </c>
      <c r="C941" s="8"/>
      <c r="D941" s="12" t="s">
        <v>151</v>
      </c>
      <c r="E941" s="9" t="s">
        <v>64</v>
      </c>
      <c r="F941" s="8"/>
    </row>
    <row r="942">
      <c r="A942" s="5">
        <v>941.0</v>
      </c>
      <c r="B942" s="5" t="s">
        <v>84</v>
      </c>
      <c r="C942" s="8"/>
      <c r="D942" s="12" t="s">
        <v>151</v>
      </c>
      <c r="E942" s="9" t="s">
        <v>65</v>
      </c>
      <c r="F942" s="8"/>
    </row>
    <row r="943">
      <c r="A943" s="5">
        <v>942.0</v>
      </c>
      <c r="B943" s="5" t="s">
        <v>84</v>
      </c>
      <c r="C943" s="8"/>
      <c r="D943" s="12" t="s">
        <v>151</v>
      </c>
      <c r="E943" s="9" t="s">
        <v>66</v>
      </c>
      <c r="F943" s="8"/>
    </row>
    <row r="944">
      <c r="A944" s="5">
        <v>943.0</v>
      </c>
      <c r="B944" s="5" t="s">
        <v>84</v>
      </c>
      <c r="C944" s="8"/>
      <c r="D944" s="12" t="s">
        <v>151</v>
      </c>
      <c r="E944" s="9" t="s">
        <v>67</v>
      </c>
      <c r="F944" s="8"/>
    </row>
    <row r="945">
      <c r="A945" s="5">
        <v>944.0</v>
      </c>
      <c r="B945" s="5" t="s">
        <v>84</v>
      </c>
      <c r="C945" s="8"/>
      <c r="D945" s="12" t="s">
        <v>151</v>
      </c>
      <c r="E945" s="9" t="s">
        <v>68</v>
      </c>
      <c r="F945" s="8"/>
    </row>
    <row r="946">
      <c r="A946" s="5">
        <v>945.0</v>
      </c>
      <c r="B946" s="5" t="s">
        <v>84</v>
      </c>
      <c r="C946" s="8"/>
      <c r="D946" s="12" t="s">
        <v>151</v>
      </c>
      <c r="E946" s="9" t="s">
        <v>69</v>
      </c>
      <c r="F946" s="8"/>
    </row>
    <row r="947">
      <c r="A947" s="5">
        <v>946.0</v>
      </c>
      <c r="B947" s="5" t="s">
        <v>84</v>
      </c>
      <c r="C947" s="8"/>
      <c r="D947" s="12" t="s">
        <v>151</v>
      </c>
      <c r="E947" s="9" t="s">
        <v>70</v>
      </c>
      <c r="F947" s="8"/>
    </row>
    <row r="948">
      <c r="A948" s="5">
        <v>947.0</v>
      </c>
      <c r="B948" s="5" t="s">
        <v>84</v>
      </c>
      <c r="C948" s="8"/>
      <c r="D948" s="12" t="s">
        <v>151</v>
      </c>
      <c r="E948" s="9" t="s">
        <v>71</v>
      </c>
      <c r="F948" s="8"/>
    </row>
    <row r="949">
      <c r="A949" s="5">
        <v>948.0</v>
      </c>
      <c r="B949" s="5" t="s">
        <v>84</v>
      </c>
      <c r="C949" s="8"/>
      <c r="D949" s="12" t="s">
        <v>151</v>
      </c>
      <c r="E949" s="9" t="s">
        <v>72</v>
      </c>
      <c r="F949" s="8"/>
    </row>
    <row r="950">
      <c r="A950" s="5">
        <v>949.0</v>
      </c>
      <c r="B950" s="5" t="s">
        <v>84</v>
      </c>
      <c r="C950" s="8"/>
      <c r="D950" s="12" t="s">
        <v>151</v>
      </c>
      <c r="E950" s="9" t="s">
        <v>73</v>
      </c>
      <c r="F950" s="8"/>
    </row>
    <row r="951">
      <c r="A951" s="5">
        <v>950.0</v>
      </c>
      <c r="B951" s="5" t="s">
        <v>84</v>
      </c>
      <c r="C951" s="11">
        <v>9.3E7</v>
      </c>
      <c r="D951" s="12" t="s">
        <v>152</v>
      </c>
      <c r="E951" s="9" t="s">
        <v>60</v>
      </c>
      <c r="F951" s="11">
        <v>8000000.0</v>
      </c>
    </row>
    <row r="952">
      <c r="A952" s="5">
        <v>951.0</v>
      </c>
      <c r="B952" s="5" t="s">
        <v>84</v>
      </c>
      <c r="C952" s="11">
        <v>8.3E7</v>
      </c>
      <c r="D952" s="12" t="s">
        <v>152</v>
      </c>
      <c r="E952" s="9" t="s">
        <v>62</v>
      </c>
      <c r="F952" s="11">
        <v>8000000.0</v>
      </c>
    </row>
    <row r="953">
      <c r="A953" s="5">
        <v>952.0</v>
      </c>
      <c r="B953" s="5" t="s">
        <v>84</v>
      </c>
      <c r="C953" s="11">
        <v>9.1E7</v>
      </c>
      <c r="D953" s="12" t="s">
        <v>152</v>
      </c>
      <c r="E953" s="9" t="s">
        <v>63</v>
      </c>
      <c r="F953" s="11">
        <v>8000000.0</v>
      </c>
    </row>
    <row r="954">
      <c r="A954" s="5">
        <v>953.0</v>
      </c>
      <c r="B954" s="5" t="s">
        <v>84</v>
      </c>
      <c r="C954" s="11">
        <v>1.04E8</v>
      </c>
      <c r="D954" s="12" t="s">
        <v>152</v>
      </c>
      <c r="E954" s="9" t="s">
        <v>64</v>
      </c>
      <c r="F954" s="11">
        <v>8000000.0</v>
      </c>
    </row>
    <row r="955">
      <c r="A955" s="5">
        <v>954.0</v>
      </c>
      <c r="B955" s="5" t="s">
        <v>84</v>
      </c>
      <c r="C955" s="11">
        <v>8.6E7</v>
      </c>
      <c r="D955" s="12" t="s">
        <v>152</v>
      </c>
      <c r="E955" s="9" t="s">
        <v>65</v>
      </c>
      <c r="F955" s="11">
        <v>9000000.0</v>
      </c>
    </row>
    <row r="956">
      <c r="A956" s="5">
        <v>955.0</v>
      </c>
      <c r="B956" s="5" t="s">
        <v>84</v>
      </c>
      <c r="C956" s="11">
        <v>7.1E7</v>
      </c>
      <c r="D956" s="12" t="s">
        <v>152</v>
      </c>
      <c r="E956" s="9" t="s">
        <v>66</v>
      </c>
      <c r="F956" s="11">
        <v>1.0E7</v>
      </c>
    </row>
    <row r="957">
      <c r="A957" s="5">
        <v>956.0</v>
      </c>
      <c r="B957" s="5" t="s">
        <v>84</v>
      </c>
      <c r="C957" s="11">
        <v>9.4E7</v>
      </c>
      <c r="D957" s="12" t="s">
        <v>152</v>
      </c>
      <c r="E957" s="9" t="s">
        <v>67</v>
      </c>
      <c r="F957" s="11">
        <v>1.6E7</v>
      </c>
    </row>
    <row r="958">
      <c r="A958" s="5">
        <v>957.0</v>
      </c>
      <c r="B958" s="5" t="s">
        <v>84</v>
      </c>
      <c r="C958" s="11">
        <v>1.29E8</v>
      </c>
      <c r="D958" s="12" t="s">
        <v>152</v>
      </c>
      <c r="E958" s="9" t="s">
        <v>68</v>
      </c>
      <c r="F958" s="11">
        <v>1.6E7</v>
      </c>
    </row>
    <row r="959">
      <c r="A959" s="5">
        <v>958.0</v>
      </c>
      <c r="B959" s="5" t="s">
        <v>84</v>
      </c>
      <c r="C959" s="11">
        <v>1.27E8</v>
      </c>
      <c r="D959" s="12" t="s">
        <v>152</v>
      </c>
      <c r="E959" s="9" t="s">
        <v>69</v>
      </c>
      <c r="F959" s="11">
        <v>1.1E7</v>
      </c>
    </row>
    <row r="960">
      <c r="A960" s="5">
        <v>959.0</v>
      </c>
      <c r="B960" s="5" t="s">
        <v>84</v>
      </c>
      <c r="C960" s="11">
        <v>1.12E8</v>
      </c>
      <c r="D960" s="12" t="s">
        <v>152</v>
      </c>
      <c r="E960" s="9" t="s">
        <v>70</v>
      </c>
      <c r="F960" s="11">
        <v>1.0E7</v>
      </c>
    </row>
    <row r="961">
      <c r="A961" s="5">
        <v>960.0</v>
      </c>
      <c r="B961" s="5" t="s">
        <v>84</v>
      </c>
      <c r="C961" s="11">
        <v>1.12E8</v>
      </c>
      <c r="D961" s="12" t="s">
        <v>152</v>
      </c>
      <c r="E961" s="9" t="s">
        <v>71</v>
      </c>
      <c r="F961" s="11">
        <v>1.0E7</v>
      </c>
    </row>
    <row r="962">
      <c r="A962" s="5">
        <v>961.0</v>
      </c>
      <c r="B962" s="5" t="s">
        <v>84</v>
      </c>
      <c r="C962" s="11">
        <v>1.17E8</v>
      </c>
      <c r="D962" s="12" t="s">
        <v>152</v>
      </c>
      <c r="E962" s="9" t="s">
        <v>72</v>
      </c>
      <c r="F962" s="11">
        <v>1.0E7</v>
      </c>
    </row>
    <row r="963">
      <c r="A963" s="5">
        <v>962.0</v>
      </c>
      <c r="B963" s="5" t="s">
        <v>84</v>
      </c>
      <c r="C963" s="11">
        <v>1.1E8</v>
      </c>
      <c r="D963" s="12" t="s">
        <v>152</v>
      </c>
      <c r="E963" s="9" t="s">
        <v>73</v>
      </c>
      <c r="F963" s="11">
        <v>1.0E7</v>
      </c>
    </row>
    <row r="964">
      <c r="A964" s="5">
        <v>963.0</v>
      </c>
      <c r="B964" s="5" t="s">
        <v>80</v>
      </c>
      <c r="C964" s="8"/>
      <c r="D964" s="12" t="s">
        <v>153</v>
      </c>
      <c r="E964" s="9" t="s">
        <v>60</v>
      </c>
      <c r="F964" s="8"/>
    </row>
    <row r="965">
      <c r="A965" s="5">
        <v>964.0</v>
      </c>
      <c r="B965" s="5" t="s">
        <v>80</v>
      </c>
      <c r="C965" s="8"/>
      <c r="D965" s="12" t="s">
        <v>153</v>
      </c>
      <c r="E965" s="9" t="s">
        <v>62</v>
      </c>
      <c r="F965" s="8"/>
    </row>
    <row r="966">
      <c r="A966" s="5">
        <v>965.0</v>
      </c>
      <c r="B966" s="5" t="s">
        <v>80</v>
      </c>
      <c r="C966" s="8"/>
      <c r="D966" s="12" t="s">
        <v>153</v>
      </c>
      <c r="E966" s="9" t="s">
        <v>63</v>
      </c>
      <c r="F966" s="8"/>
    </row>
    <row r="967">
      <c r="A967" s="5">
        <v>966.0</v>
      </c>
      <c r="B967" s="5" t="s">
        <v>80</v>
      </c>
      <c r="C967" s="8"/>
      <c r="D967" s="12" t="s">
        <v>153</v>
      </c>
      <c r="E967" s="9" t="s">
        <v>64</v>
      </c>
      <c r="F967" s="8"/>
    </row>
    <row r="968">
      <c r="A968" s="5">
        <v>967.0</v>
      </c>
      <c r="B968" s="5" t="s">
        <v>80</v>
      </c>
      <c r="C968" s="8"/>
      <c r="D968" s="12" t="s">
        <v>153</v>
      </c>
      <c r="E968" s="9" t="s">
        <v>65</v>
      </c>
      <c r="F968" s="8"/>
    </row>
    <row r="969">
      <c r="A969" s="5">
        <v>968.0</v>
      </c>
      <c r="B969" s="5" t="s">
        <v>80</v>
      </c>
      <c r="C969" s="8"/>
      <c r="D969" s="12" t="s">
        <v>153</v>
      </c>
      <c r="E969" s="9" t="s">
        <v>66</v>
      </c>
      <c r="F969" s="8"/>
    </row>
    <row r="970">
      <c r="A970" s="5">
        <v>969.0</v>
      </c>
      <c r="B970" s="5" t="s">
        <v>80</v>
      </c>
      <c r="C970" s="8"/>
      <c r="D970" s="12" t="s">
        <v>153</v>
      </c>
      <c r="E970" s="9" t="s">
        <v>67</v>
      </c>
      <c r="F970" s="8"/>
    </row>
    <row r="971">
      <c r="A971" s="5">
        <v>970.0</v>
      </c>
      <c r="B971" s="5" t="s">
        <v>80</v>
      </c>
      <c r="C971" s="8"/>
      <c r="D971" s="12" t="s">
        <v>153</v>
      </c>
      <c r="E971" s="9" t="s">
        <v>68</v>
      </c>
      <c r="F971" s="8"/>
    </row>
    <row r="972">
      <c r="A972" s="5">
        <v>971.0</v>
      </c>
      <c r="B972" s="5" t="s">
        <v>80</v>
      </c>
      <c r="C972" s="8"/>
      <c r="D972" s="12" t="s">
        <v>153</v>
      </c>
      <c r="E972" s="9" t="s">
        <v>69</v>
      </c>
      <c r="F972" s="8"/>
    </row>
    <row r="973">
      <c r="A973" s="5">
        <v>972.0</v>
      </c>
      <c r="B973" s="5" t="s">
        <v>80</v>
      </c>
      <c r="C973" s="8"/>
      <c r="D973" s="12" t="s">
        <v>153</v>
      </c>
      <c r="E973" s="9" t="s">
        <v>70</v>
      </c>
      <c r="F973" s="8"/>
    </row>
    <row r="974">
      <c r="A974" s="5">
        <v>973.0</v>
      </c>
      <c r="B974" s="5" t="s">
        <v>80</v>
      </c>
      <c r="C974" s="8"/>
      <c r="D974" s="12" t="s">
        <v>153</v>
      </c>
      <c r="E974" s="9" t="s">
        <v>71</v>
      </c>
      <c r="F974" s="8"/>
    </row>
    <row r="975">
      <c r="A975" s="5">
        <v>974.0</v>
      </c>
      <c r="B975" s="5" t="s">
        <v>80</v>
      </c>
      <c r="C975" s="8"/>
      <c r="D975" s="12" t="s">
        <v>153</v>
      </c>
      <c r="E975" s="9" t="s">
        <v>72</v>
      </c>
      <c r="F975" s="8"/>
    </row>
    <row r="976">
      <c r="A976" s="5">
        <v>975.0</v>
      </c>
      <c r="B976" s="5" t="s">
        <v>80</v>
      </c>
      <c r="C976" s="8"/>
      <c r="D976" s="12" t="s">
        <v>153</v>
      </c>
      <c r="E976" s="9" t="s">
        <v>73</v>
      </c>
      <c r="F976" s="8"/>
    </row>
    <row r="977">
      <c r="A977" s="5">
        <v>976.0</v>
      </c>
      <c r="B977" s="5" t="s">
        <v>84</v>
      </c>
      <c r="C977" s="11">
        <v>4.98E8</v>
      </c>
      <c r="D977" s="12" t="s">
        <v>154</v>
      </c>
      <c r="E977" s="9" t="s">
        <v>60</v>
      </c>
      <c r="F977" s="11">
        <v>2.16E8</v>
      </c>
    </row>
    <row r="978">
      <c r="A978" s="5">
        <v>977.0</v>
      </c>
      <c r="B978" s="5" t="s">
        <v>84</v>
      </c>
      <c r="C978" s="11">
        <v>5.88E8</v>
      </c>
      <c r="D978" s="12" t="s">
        <v>154</v>
      </c>
      <c r="E978" s="9" t="s">
        <v>62</v>
      </c>
      <c r="F978" s="11">
        <v>2.66E8</v>
      </c>
    </row>
    <row r="979">
      <c r="A979" s="5">
        <v>978.0</v>
      </c>
      <c r="B979" s="5" t="s">
        <v>84</v>
      </c>
      <c r="C979" s="11">
        <v>6.47E8</v>
      </c>
      <c r="D979" s="12" t="s">
        <v>154</v>
      </c>
      <c r="E979" s="9" t="s">
        <v>63</v>
      </c>
      <c r="F979" s="11">
        <v>3.29E8</v>
      </c>
    </row>
    <row r="980">
      <c r="A980" s="5">
        <v>979.0</v>
      </c>
      <c r="B980" s="5" t="s">
        <v>84</v>
      </c>
      <c r="C980" s="11">
        <v>6.46E8</v>
      </c>
      <c r="D980" s="12" t="s">
        <v>154</v>
      </c>
      <c r="E980" s="9" t="s">
        <v>64</v>
      </c>
      <c r="F980" s="11">
        <v>3.73E8</v>
      </c>
    </row>
    <row r="981">
      <c r="A981" s="5">
        <v>980.0</v>
      </c>
      <c r="B981" s="5" t="s">
        <v>84</v>
      </c>
      <c r="C981" s="11">
        <v>6.3E8</v>
      </c>
      <c r="D981" s="12" t="s">
        <v>154</v>
      </c>
      <c r="E981" s="9" t="s">
        <v>65</v>
      </c>
      <c r="F981" s="11">
        <v>4.88E8</v>
      </c>
    </row>
    <row r="982">
      <c r="A982" s="5">
        <v>981.0</v>
      </c>
      <c r="B982" s="5" t="s">
        <v>84</v>
      </c>
      <c r="C982" s="11">
        <v>7.91E8</v>
      </c>
      <c r="D982" s="12" t="s">
        <v>154</v>
      </c>
      <c r="E982" s="9" t="s">
        <v>66</v>
      </c>
      <c r="F982" s="11">
        <v>5.32E8</v>
      </c>
    </row>
    <row r="983">
      <c r="A983" s="5">
        <v>982.0</v>
      </c>
      <c r="B983" s="5" t="s">
        <v>84</v>
      </c>
      <c r="C983" s="11">
        <v>9.19E8</v>
      </c>
      <c r="D983" s="12" t="s">
        <v>154</v>
      </c>
      <c r="E983" s="9" t="s">
        <v>67</v>
      </c>
      <c r="F983" s="11">
        <v>6.55E8</v>
      </c>
    </row>
    <row r="984">
      <c r="A984" s="5">
        <v>983.0</v>
      </c>
      <c r="B984" s="5" t="s">
        <v>84</v>
      </c>
      <c r="C984" s="11">
        <v>1.055E9</v>
      </c>
      <c r="D984" s="12" t="s">
        <v>154</v>
      </c>
      <c r="E984" s="9" t="s">
        <v>68</v>
      </c>
      <c r="F984" s="11">
        <v>7.37E8</v>
      </c>
    </row>
    <row r="985">
      <c r="A985" s="5">
        <v>984.0</v>
      </c>
      <c r="B985" s="5" t="s">
        <v>84</v>
      </c>
      <c r="C985" s="11">
        <v>1.068E9</v>
      </c>
      <c r="D985" s="12" t="s">
        <v>154</v>
      </c>
      <c r="E985" s="9" t="s">
        <v>69</v>
      </c>
      <c r="F985" s="11">
        <v>7.41E8</v>
      </c>
    </row>
    <row r="986">
      <c r="A986" s="5">
        <v>985.0</v>
      </c>
      <c r="B986" s="5" t="s">
        <v>84</v>
      </c>
      <c r="C986" s="11">
        <v>1.179E9</v>
      </c>
      <c r="D986" s="12" t="s">
        <v>154</v>
      </c>
      <c r="E986" s="9" t="s">
        <v>70</v>
      </c>
      <c r="F986" s="11">
        <v>8.62E8</v>
      </c>
    </row>
    <row r="987">
      <c r="A987" s="5">
        <v>986.0</v>
      </c>
      <c r="B987" s="5" t="s">
        <v>84</v>
      </c>
      <c r="C987" s="11">
        <v>1.379E9</v>
      </c>
      <c r="D987" s="12" t="s">
        <v>154</v>
      </c>
      <c r="E987" s="9" t="s">
        <v>71</v>
      </c>
      <c r="F987" s="11">
        <v>1.002E9</v>
      </c>
    </row>
    <row r="988">
      <c r="A988" s="5">
        <v>987.0</v>
      </c>
      <c r="B988" s="5" t="s">
        <v>84</v>
      </c>
      <c r="C988" s="11">
        <v>1.35E9</v>
      </c>
      <c r="D988" s="12" t="s">
        <v>154</v>
      </c>
      <c r="E988" s="9" t="s">
        <v>72</v>
      </c>
      <c r="F988" s="11">
        <v>9.35E8</v>
      </c>
    </row>
    <row r="989">
      <c r="A989" s="5">
        <v>988.0</v>
      </c>
      <c r="B989" s="5" t="s">
        <v>84</v>
      </c>
      <c r="C989" s="11">
        <v>1.419E9</v>
      </c>
      <c r="D989" s="12" t="s">
        <v>154</v>
      </c>
      <c r="E989" s="9" t="s">
        <v>73</v>
      </c>
      <c r="F989" s="11">
        <v>9.14E8</v>
      </c>
    </row>
    <row r="990">
      <c r="A990" s="5">
        <v>989.0</v>
      </c>
      <c r="B990" s="5" t="s">
        <v>77</v>
      </c>
      <c r="C990" s="11">
        <v>7800000.0</v>
      </c>
      <c r="D990" s="12" t="s">
        <v>155</v>
      </c>
      <c r="E990" s="9" t="s">
        <v>60</v>
      </c>
      <c r="F990" s="11">
        <v>1.3E7</v>
      </c>
    </row>
    <row r="991">
      <c r="A991" s="5">
        <v>990.0</v>
      </c>
      <c r="B991" s="5" t="s">
        <v>77</v>
      </c>
      <c r="C991" s="11">
        <v>8200000.0</v>
      </c>
      <c r="D991" s="12" t="s">
        <v>155</v>
      </c>
      <c r="E991" s="9" t="s">
        <v>62</v>
      </c>
      <c r="F991" s="11">
        <v>2.6E7</v>
      </c>
    </row>
    <row r="992">
      <c r="A992" s="5">
        <v>991.0</v>
      </c>
      <c r="B992" s="5" t="s">
        <v>77</v>
      </c>
      <c r="C992" s="8"/>
      <c r="D992" s="12" t="s">
        <v>155</v>
      </c>
      <c r="E992" s="9" t="s">
        <v>63</v>
      </c>
      <c r="F992" s="11">
        <v>3.8E7</v>
      </c>
    </row>
    <row r="993">
      <c r="A993" s="5">
        <v>992.0</v>
      </c>
      <c r="B993" s="5" t="s">
        <v>77</v>
      </c>
      <c r="C993" s="8"/>
      <c r="D993" s="12" t="s">
        <v>155</v>
      </c>
      <c r="E993" s="9" t="s">
        <v>64</v>
      </c>
      <c r="F993" s="11">
        <v>3.6E7</v>
      </c>
    </row>
    <row r="994">
      <c r="A994" s="5">
        <v>993.0</v>
      </c>
      <c r="B994" s="5" t="s">
        <v>77</v>
      </c>
      <c r="C994" s="8"/>
      <c r="D994" s="12" t="s">
        <v>155</v>
      </c>
      <c r="E994" s="9" t="s">
        <v>65</v>
      </c>
      <c r="F994" s="11">
        <v>2.9E7</v>
      </c>
    </row>
    <row r="995">
      <c r="A995" s="5">
        <v>994.0</v>
      </c>
      <c r="B995" s="5" t="s">
        <v>77</v>
      </c>
      <c r="C995" s="8"/>
      <c r="D995" s="12" t="s">
        <v>155</v>
      </c>
      <c r="E995" s="9" t="s">
        <v>66</v>
      </c>
      <c r="F995" s="11">
        <v>3.8E7</v>
      </c>
    </row>
    <row r="996">
      <c r="A996" s="5">
        <v>995.0</v>
      </c>
      <c r="B996" s="5" t="s">
        <v>77</v>
      </c>
      <c r="C996" s="8"/>
      <c r="D996" s="12" t="s">
        <v>155</v>
      </c>
      <c r="E996" s="9" t="s">
        <v>67</v>
      </c>
      <c r="F996" s="11">
        <v>4.1E7</v>
      </c>
    </row>
    <row r="997">
      <c r="A997" s="5">
        <v>996.0</v>
      </c>
      <c r="B997" s="5" t="s">
        <v>77</v>
      </c>
      <c r="C997" s="11">
        <v>1100000.0</v>
      </c>
      <c r="D997" s="12" t="s">
        <v>155</v>
      </c>
      <c r="E997" s="9" t="s">
        <v>68</v>
      </c>
      <c r="F997" s="11">
        <v>9.6E7</v>
      </c>
    </row>
    <row r="998">
      <c r="A998" s="5">
        <v>997.0</v>
      </c>
      <c r="B998" s="5" t="s">
        <v>77</v>
      </c>
      <c r="C998" s="11">
        <v>2400000.0</v>
      </c>
      <c r="D998" s="12" t="s">
        <v>155</v>
      </c>
      <c r="E998" s="9" t="s">
        <v>69</v>
      </c>
      <c r="F998" s="11">
        <v>3.0E7</v>
      </c>
    </row>
    <row r="999">
      <c r="A999" s="5">
        <v>998.0</v>
      </c>
      <c r="B999" s="5" t="s">
        <v>77</v>
      </c>
      <c r="C999" s="11">
        <v>4900000.0</v>
      </c>
      <c r="D999" s="12" t="s">
        <v>155</v>
      </c>
      <c r="E999" s="9" t="s">
        <v>70</v>
      </c>
      <c r="F999" s="11">
        <v>2.8E7</v>
      </c>
    </row>
    <row r="1000">
      <c r="A1000" s="5">
        <v>999.0</v>
      </c>
      <c r="B1000" s="5" t="s">
        <v>77</v>
      </c>
      <c r="C1000" s="11">
        <v>2000000.0</v>
      </c>
      <c r="D1000" s="12" t="s">
        <v>155</v>
      </c>
      <c r="E1000" s="9" t="s">
        <v>71</v>
      </c>
      <c r="F1000" s="11">
        <v>1.7E7</v>
      </c>
    </row>
    <row r="1001">
      <c r="A1001" s="5">
        <v>1000.0</v>
      </c>
      <c r="B1001" s="5" t="s">
        <v>77</v>
      </c>
      <c r="C1001" s="11">
        <v>2100000.0</v>
      </c>
      <c r="D1001" s="12" t="s">
        <v>155</v>
      </c>
      <c r="E1001" s="9" t="s">
        <v>72</v>
      </c>
      <c r="F1001" s="11">
        <v>4.9E7</v>
      </c>
    </row>
    <row r="1002">
      <c r="A1002" s="5">
        <v>1001.0</v>
      </c>
      <c r="B1002" s="5" t="s">
        <v>77</v>
      </c>
      <c r="C1002" s="11">
        <v>1700000.0</v>
      </c>
      <c r="D1002" s="12" t="s">
        <v>155</v>
      </c>
      <c r="E1002" s="9" t="s">
        <v>73</v>
      </c>
      <c r="F1002" s="11">
        <v>4.1E7</v>
      </c>
    </row>
    <row r="1003">
      <c r="A1003" s="5">
        <v>1002.0</v>
      </c>
      <c r="B1003" s="5" t="s">
        <v>77</v>
      </c>
      <c r="C1003" s="8"/>
      <c r="D1003" s="12" t="s">
        <v>156</v>
      </c>
      <c r="E1003" s="9" t="s">
        <v>60</v>
      </c>
      <c r="F1003" s="8"/>
    </row>
    <row r="1004">
      <c r="A1004" s="5">
        <v>1003.0</v>
      </c>
      <c r="B1004" s="5" t="s">
        <v>77</v>
      </c>
      <c r="C1004" s="11">
        <v>2700000.0</v>
      </c>
      <c r="D1004" s="12" t="s">
        <v>156</v>
      </c>
      <c r="E1004" s="9" t="s">
        <v>62</v>
      </c>
      <c r="F1004" s="11">
        <v>5500000.0</v>
      </c>
    </row>
    <row r="1005">
      <c r="A1005" s="5">
        <v>1004.0</v>
      </c>
      <c r="B1005" s="5" t="s">
        <v>77</v>
      </c>
      <c r="C1005" s="11">
        <v>2300000.0</v>
      </c>
      <c r="D1005" s="12" t="s">
        <v>156</v>
      </c>
      <c r="E1005" s="9" t="s">
        <v>63</v>
      </c>
      <c r="F1005" s="11">
        <v>1.02E7</v>
      </c>
    </row>
    <row r="1006">
      <c r="A1006" s="5">
        <v>1005.0</v>
      </c>
      <c r="B1006" s="5" t="s">
        <v>77</v>
      </c>
      <c r="C1006" s="11">
        <v>2400000.0</v>
      </c>
      <c r="D1006" s="12" t="s">
        <v>156</v>
      </c>
      <c r="E1006" s="9" t="s">
        <v>64</v>
      </c>
      <c r="F1006" s="11">
        <v>2.13E7</v>
      </c>
    </row>
    <row r="1007">
      <c r="A1007" s="5">
        <v>1006.0</v>
      </c>
      <c r="B1007" s="5" t="s">
        <v>77</v>
      </c>
      <c r="C1007" s="11">
        <v>2200000.0</v>
      </c>
      <c r="D1007" s="12" t="s">
        <v>156</v>
      </c>
      <c r="E1007" s="9" t="s">
        <v>65</v>
      </c>
      <c r="F1007" s="11">
        <v>2.23E7</v>
      </c>
    </row>
    <row r="1008">
      <c r="A1008" s="5">
        <v>1007.0</v>
      </c>
      <c r="B1008" s="5" t="s">
        <v>77</v>
      </c>
      <c r="C1008" s="11">
        <v>1600000.0</v>
      </c>
      <c r="D1008" s="12" t="s">
        <v>156</v>
      </c>
      <c r="E1008" s="9" t="s">
        <v>66</v>
      </c>
      <c r="F1008" s="11">
        <v>1.89E7</v>
      </c>
    </row>
    <row r="1009">
      <c r="A1009" s="5">
        <v>1008.0</v>
      </c>
      <c r="B1009" s="5" t="s">
        <v>77</v>
      </c>
      <c r="C1009" s="11">
        <v>2800000.0</v>
      </c>
      <c r="D1009" s="12" t="s">
        <v>156</v>
      </c>
      <c r="E1009" s="9" t="s">
        <v>67</v>
      </c>
      <c r="F1009" s="11">
        <v>1.78E7</v>
      </c>
    </row>
    <row r="1010">
      <c r="A1010" s="5">
        <v>1009.0</v>
      </c>
      <c r="B1010" s="5" t="s">
        <v>77</v>
      </c>
      <c r="C1010" s="11">
        <v>2.84E7</v>
      </c>
      <c r="D1010" s="12" t="s">
        <v>156</v>
      </c>
      <c r="E1010" s="9" t="s">
        <v>68</v>
      </c>
      <c r="F1010" s="11">
        <v>4.07E7</v>
      </c>
    </row>
    <row r="1011">
      <c r="A1011" s="5">
        <v>1010.0</v>
      </c>
      <c r="B1011" s="5" t="s">
        <v>77</v>
      </c>
      <c r="C1011" s="11">
        <v>3.82E7</v>
      </c>
      <c r="D1011" s="12" t="s">
        <v>156</v>
      </c>
      <c r="E1011" s="9" t="s">
        <v>69</v>
      </c>
      <c r="F1011" s="11">
        <v>4.61E7</v>
      </c>
    </row>
    <row r="1012">
      <c r="A1012" s="5">
        <v>1011.0</v>
      </c>
      <c r="B1012" s="5" t="s">
        <v>77</v>
      </c>
      <c r="C1012" s="11">
        <v>1.2E7</v>
      </c>
      <c r="D1012" s="12" t="s">
        <v>156</v>
      </c>
      <c r="E1012" s="9" t="s">
        <v>70</v>
      </c>
      <c r="F1012" s="11">
        <v>2.6E7</v>
      </c>
    </row>
    <row r="1013">
      <c r="A1013" s="5">
        <v>1012.0</v>
      </c>
      <c r="B1013" s="5" t="s">
        <v>77</v>
      </c>
      <c r="C1013" s="11">
        <v>1.36E7</v>
      </c>
      <c r="D1013" s="12" t="s">
        <v>156</v>
      </c>
      <c r="E1013" s="9" t="s">
        <v>71</v>
      </c>
      <c r="F1013" s="11">
        <v>2.95E7</v>
      </c>
    </row>
    <row r="1014">
      <c r="A1014" s="5">
        <v>1013.0</v>
      </c>
      <c r="B1014" s="5" t="s">
        <v>77</v>
      </c>
      <c r="C1014" s="8"/>
      <c r="D1014" s="12" t="s">
        <v>156</v>
      </c>
      <c r="E1014" s="9" t="s">
        <v>72</v>
      </c>
      <c r="F1014" s="8"/>
    </row>
    <row r="1015">
      <c r="A1015" s="5">
        <v>1014.0</v>
      </c>
      <c r="B1015" s="5" t="s">
        <v>77</v>
      </c>
      <c r="C1015" s="8"/>
      <c r="D1015" s="12" t="s">
        <v>156</v>
      </c>
      <c r="E1015" s="9" t="s">
        <v>73</v>
      </c>
      <c r="F1015" s="8"/>
    </row>
    <row r="1016">
      <c r="A1016" s="5">
        <v>1015.0</v>
      </c>
      <c r="B1016" s="5" t="s">
        <v>84</v>
      </c>
      <c r="C1016" s="11">
        <v>8.0E7</v>
      </c>
      <c r="D1016" s="12" t="s">
        <v>157</v>
      </c>
      <c r="E1016" s="9" t="s">
        <v>60</v>
      </c>
      <c r="F1016" s="11">
        <v>7.7E7</v>
      </c>
    </row>
    <row r="1017">
      <c r="A1017" s="5">
        <v>1016.0</v>
      </c>
      <c r="B1017" s="5" t="s">
        <v>84</v>
      </c>
      <c r="C1017" s="11">
        <v>6.5E7</v>
      </c>
      <c r="D1017" s="12" t="s">
        <v>157</v>
      </c>
      <c r="E1017" s="9" t="s">
        <v>62</v>
      </c>
      <c r="F1017" s="11">
        <v>6.2E7</v>
      </c>
    </row>
    <row r="1018">
      <c r="A1018" s="5">
        <v>1017.0</v>
      </c>
      <c r="B1018" s="5" t="s">
        <v>84</v>
      </c>
      <c r="C1018" s="11">
        <v>5.3E7</v>
      </c>
      <c r="D1018" s="12" t="s">
        <v>157</v>
      </c>
      <c r="E1018" s="9" t="s">
        <v>63</v>
      </c>
      <c r="F1018" s="11">
        <v>4.4E7</v>
      </c>
    </row>
    <row r="1019">
      <c r="A1019" s="5">
        <v>1018.0</v>
      </c>
      <c r="B1019" s="5" t="s">
        <v>84</v>
      </c>
      <c r="C1019" s="11">
        <v>2.8E7</v>
      </c>
      <c r="D1019" s="12" t="s">
        <v>157</v>
      </c>
      <c r="E1019" s="9" t="s">
        <v>64</v>
      </c>
      <c r="F1019" s="11">
        <v>3.0E7</v>
      </c>
    </row>
    <row r="1020">
      <c r="A1020" s="5">
        <v>1019.0</v>
      </c>
      <c r="B1020" s="5" t="s">
        <v>84</v>
      </c>
      <c r="C1020" s="11">
        <v>2.7E7</v>
      </c>
      <c r="D1020" s="12" t="s">
        <v>157</v>
      </c>
      <c r="E1020" s="9" t="s">
        <v>65</v>
      </c>
      <c r="F1020" s="11">
        <v>3.0E7</v>
      </c>
    </row>
    <row r="1021">
      <c r="A1021" s="5">
        <v>1020.0</v>
      </c>
      <c r="B1021" s="5" t="s">
        <v>84</v>
      </c>
      <c r="C1021" s="11">
        <v>3.5E7</v>
      </c>
      <c r="D1021" s="12" t="s">
        <v>157</v>
      </c>
      <c r="E1021" s="9" t="s">
        <v>66</v>
      </c>
      <c r="F1021" s="11">
        <v>4.0E7</v>
      </c>
    </row>
    <row r="1022">
      <c r="A1022" s="5">
        <v>1021.0</v>
      </c>
      <c r="B1022" s="5" t="s">
        <v>84</v>
      </c>
      <c r="C1022" s="11">
        <v>3.7E7</v>
      </c>
      <c r="D1022" s="12" t="s">
        <v>157</v>
      </c>
      <c r="E1022" s="9" t="s">
        <v>67</v>
      </c>
      <c r="F1022" s="11">
        <v>4.9E7</v>
      </c>
    </row>
    <row r="1023">
      <c r="A1023" s="5">
        <v>1022.0</v>
      </c>
      <c r="B1023" s="5" t="s">
        <v>84</v>
      </c>
      <c r="C1023" s="11">
        <v>5.0E7</v>
      </c>
      <c r="D1023" s="12" t="s">
        <v>157</v>
      </c>
      <c r="E1023" s="9" t="s">
        <v>68</v>
      </c>
      <c r="F1023" s="11">
        <v>5.8E7</v>
      </c>
    </row>
    <row r="1024">
      <c r="A1024" s="5">
        <v>1023.0</v>
      </c>
      <c r="B1024" s="5" t="s">
        <v>84</v>
      </c>
      <c r="C1024" s="11">
        <v>5.9E7</v>
      </c>
      <c r="D1024" s="12" t="s">
        <v>157</v>
      </c>
      <c r="E1024" s="9" t="s">
        <v>69</v>
      </c>
      <c r="F1024" s="11">
        <v>5.2E7</v>
      </c>
    </row>
    <row r="1025">
      <c r="A1025" s="5">
        <v>1024.0</v>
      </c>
      <c r="B1025" s="5" t="s">
        <v>84</v>
      </c>
      <c r="C1025" s="11">
        <v>3.5E7</v>
      </c>
      <c r="D1025" s="12" t="s">
        <v>157</v>
      </c>
      <c r="E1025" s="9" t="s">
        <v>70</v>
      </c>
      <c r="F1025" s="11">
        <v>5.2E7</v>
      </c>
    </row>
    <row r="1026">
      <c r="A1026" s="5">
        <v>1025.0</v>
      </c>
      <c r="B1026" s="5" t="s">
        <v>84</v>
      </c>
      <c r="C1026" s="11">
        <v>8.0E7</v>
      </c>
      <c r="D1026" s="12" t="s">
        <v>157</v>
      </c>
      <c r="E1026" s="9" t="s">
        <v>71</v>
      </c>
      <c r="F1026" s="11">
        <v>7.3E7</v>
      </c>
    </row>
    <row r="1027">
      <c r="A1027" s="5">
        <v>1026.0</v>
      </c>
      <c r="B1027" s="5" t="s">
        <v>84</v>
      </c>
      <c r="C1027" s="11">
        <v>9.5E7</v>
      </c>
      <c r="D1027" s="12" t="s">
        <v>157</v>
      </c>
      <c r="E1027" s="9" t="s">
        <v>72</v>
      </c>
      <c r="F1027" s="11">
        <v>7.9E7</v>
      </c>
    </row>
    <row r="1028">
      <c r="A1028" s="5">
        <v>1027.0</v>
      </c>
      <c r="B1028" s="5" t="s">
        <v>84</v>
      </c>
      <c r="C1028" s="11">
        <v>6.4E7</v>
      </c>
      <c r="D1028" s="12" t="s">
        <v>157</v>
      </c>
      <c r="E1028" s="9" t="s">
        <v>73</v>
      </c>
      <c r="F1028" s="11">
        <v>8.2E7</v>
      </c>
    </row>
    <row r="1029">
      <c r="A1029" s="5">
        <v>1028.0</v>
      </c>
      <c r="B1029" s="5" t="s">
        <v>84</v>
      </c>
      <c r="C1029" s="11">
        <v>1.28E8</v>
      </c>
      <c r="D1029" s="12" t="s">
        <v>158</v>
      </c>
      <c r="E1029" s="9" t="s">
        <v>60</v>
      </c>
      <c r="F1029" s="11">
        <v>1.73E8</v>
      </c>
    </row>
    <row r="1030">
      <c r="A1030" s="5">
        <v>1029.0</v>
      </c>
      <c r="B1030" s="5" t="s">
        <v>84</v>
      </c>
      <c r="C1030" s="11">
        <v>1.05E8</v>
      </c>
      <c r="D1030" s="12" t="s">
        <v>158</v>
      </c>
      <c r="E1030" s="9" t="s">
        <v>62</v>
      </c>
      <c r="F1030" s="11">
        <v>1.68E8</v>
      </c>
    </row>
    <row r="1031">
      <c r="A1031" s="5">
        <v>1030.0</v>
      </c>
      <c r="B1031" s="5" t="s">
        <v>84</v>
      </c>
      <c r="C1031" s="11">
        <v>1.08E8</v>
      </c>
      <c r="D1031" s="12" t="s">
        <v>158</v>
      </c>
      <c r="E1031" s="9" t="s">
        <v>63</v>
      </c>
      <c r="F1031" s="11">
        <v>1.72E8</v>
      </c>
    </row>
    <row r="1032">
      <c r="A1032" s="5">
        <v>1031.0</v>
      </c>
      <c r="B1032" s="5" t="s">
        <v>84</v>
      </c>
      <c r="C1032" s="11">
        <v>9.6E7</v>
      </c>
      <c r="D1032" s="12" t="s">
        <v>158</v>
      </c>
      <c r="E1032" s="9" t="s">
        <v>64</v>
      </c>
      <c r="F1032" s="11">
        <v>2.02E8</v>
      </c>
    </row>
    <row r="1033">
      <c r="A1033" s="5">
        <v>1032.0</v>
      </c>
      <c r="B1033" s="5" t="s">
        <v>84</v>
      </c>
      <c r="C1033" s="11">
        <v>9.3E7</v>
      </c>
      <c r="D1033" s="12" t="s">
        <v>158</v>
      </c>
      <c r="E1033" s="9" t="s">
        <v>65</v>
      </c>
      <c r="F1033" s="11">
        <v>2.06E8</v>
      </c>
    </row>
    <row r="1034">
      <c r="A1034" s="5">
        <v>1033.0</v>
      </c>
      <c r="B1034" s="5" t="s">
        <v>84</v>
      </c>
      <c r="C1034" s="11">
        <v>8.0E7</v>
      </c>
      <c r="D1034" s="12" t="s">
        <v>158</v>
      </c>
      <c r="E1034" s="9" t="s">
        <v>66</v>
      </c>
      <c r="F1034" s="11">
        <v>1.74E8</v>
      </c>
    </row>
    <row r="1035">
      <c r="A1035" s="5">
        <v>1034.0</v>
      </c>
      <c r="B1035" s="5" t="s">
        <v>84</v>
      </c>
      <c r="C1035" s="11">
        <v>1.26E8</v>
      </c>
      <c r="D1035" s="12" t="s">
        <v>158</v>
      </c>
      <c r="E1035" s="9" t="s">
        <v>67</v>
      </c>
      <c r="F1035" s="11">
        <v>2.39E8</v>
      </c>
    </row>
    <row r="1036">
      <c r="A1036" s="5">
        <v>1035.0</v>
      </c>
      <c r="B1036" s="5" t="s">
        <v>84</v>
      </c>
      <c r="C1036" s="11">
        <v>1.9E8</v>
      </c>
      <c r="D1036" s="12" t="s">
        <v>158</v>
      </c>
      <c r="E1036" s="9" t="s">
        <v>68</v>
      </c>
      <c r="F1036" s="11">
        <v>3.31E8</v>
      </c>
    </row>
    <row r="1037">
      <c r="A1037" s="5">
        <v>1036.0</v>
      </c>
      <c r="B1037" s="5" t="s">
        <v>84</v>
      </c>
      <c r="C1037" s="11">
        <v>2.76E8</v>
      </c>
      <c r="D1037" s="12" t="s">
        <v>158</v>
      </c>
      <c r="E1037" s="9" t="s">
        <v>69</v>
      </c>
      <c r="F1037" s="11">
        <v>3.83E8</v>
      </c>
    </row>
    <row r="1038">
      <c r="A1038" s="5">
        <v>1037.0</v>
      </c>
      <c r="B1038" s="5" t="s">
        <v>84</v>
      </c>
      <c r="C1038" s="11">
        <v>3.12E8</v>
      </c>
      <c r="D1038" s="12" t="s">
        <v>158</v>
      </c>
      <c r="E1038" s="9" t="s">
        <v>70</v>
      </c>
      <c r="F1038" s="11">
        <v>4.33E8</v>
      </c>
    </row>
    <row r="1039">
      <c r="A1039" s="5">
        <v>1038.0</v>
      </c>
      <c r="B1039" s="5" t="s">
        <v>84</v>
      </c>
      <c r="C1039" s="11">
        <v>1.69E8</v>
      </c>
      <c r="D1039" s="12" t="s">
        <v>158</v>
      </c>
      <c r="E1039" s="9" t="s">
        <v>71</v>
      </c>
      <c r="F1039" s="11">
        <v>4.31E8</v>
      </c>
    </row>
    <row r="1040">
      <c r="A1040" s="5">
        <v>1039.0</v>
      </c>
      <c r="B1040" s="5" t="s">
        <v>84</v>
      </c>
      <c r="C1040" s="11">
        <v>1.62E8</v>
      </c>
      <c r="D1040" s="12" t="s">
        <v>158</v>
      </c>
      <c r="E1040" s="9" t="s">
        <v>72</v>
      </c>
      <c r="F1040" s="11">
        <v>4.58E8</v>
      </c>
    </row>
    <row r="1041">
      <c r="A1041" s="5">
        <v>1040.0</v>
      </c>
      <c r="B1041" s="5" t="s">
        <v>84</v>
      </c>
      <c r="C1041" s="11">
        <v>1.7E8</v>
      </c>
      <c r="D1041" s="12" t="s">
        <v>158</v>
      </c>
      <c r="E1041" s="9" t="s">
        <v>73</v>
      </c>
      <c r="F1041" s="11">
        <v>4.74E8</v>
      </c>
    </row>
    <row r="1042">
      <c r="A1042" s="5">
        <v>1041.0</v>
      </c>
      <c r="B1042" s="5" t="s">
        <v>84</v>
      </c>
      <c r="C1042" s="11">
        <v>2.63E8</v>
      </c>
      <c r="D1042" s="12" t="s">
        <v>159</v>
      </c>
      <c r="E1042" s="9" t="s">
        <v>60</v>
      </c>
      <c r="F1042" s="11">
        <v>1.98E8</v>
      </c>
    </row>
    <row r="1043">
      <c r="A1043" s="5">
        <v>1042.0</v>
      </c>
      <c r="B1043" s="5" t="s">
        <v>84</v>
      </c>
      <c r="C1043" s="11">
        <v>2.6E8</v>
      </c>
      <c r="D1043" s="12" t="s">
        <v>159</v>
      </c>
      <c r="E1043" s="9" t="s">
        <v>62</v>
      </c>
      <c r="F1043" s="11">
        <v>2.05E8</v>
      </c>
    </row>
    <row r="1044">
      <c r="A1044" s="5">
        <v>1043.0</v>
      </c>
      <c r="B1044" s="5" t="s">
        <v>84</v>
      </c>
      <c r="C1044" s="11">
        <v>3.05E8</v>
      </c>
      <c r="D1044" s="12" t="s">
        <v>159</v>
      </c>
      <c r="E1044" s="9" t="s">
        <v>63</v>
      </c>
      <c r="F1044" s="11">
        <v>2.21E8</v>
      </c>
    </row>
    <row r="1045">
      <c r="A1045" s="5">
        <v>1044.0</v>
      </c>
      <c r="B1045" s="5" t="s">
        <v>84</v>
      </c>
      <c r="C1045" s="11">
        <v>3.72E8</v>
      </c>
      <c r="D1045" s="12" t="s">
        <v>159</v>
      </c>
      <c r="E1045" s="9" t="s">
        <v>64</v>
      </c>
      <c r="F1045" s="11">
        <v>2.74E8</v>
      </c>
    </row>
    <row r="1046">
      <c r="A1046" s="5">
        <v>1045.0</v>
      </c>
      <c r="B1046" s="5" t="s">
        <v>84</v>
      </c>
      <c r="C1046" s="11">
        <v>4.2E8</v>
      </c>
      <c r="D1046" s="12" t="s">
        <v>159</v>
      </c>
      <c r="E1046" s="9" t="s">
        <v>65</v>
      </c>
      <c r="F1046" s="11">
        <v>3.0E8</v>
      </c>
    </row>
    <row r="1047">
      <c r="A1047" s="5">
        <v>1046.0</v>
      </c>
      <c r="B1047" s="5" t="s">
        <v>84</v>
      </c>
      <c r="C1047" s="11">
        <v>4.65E8</v>
      </c>
      <c r="D1047" s="12" t="s">
        <v>159</v>
      </c>
      <c r="E1047" s="9" t="s">
        <v>66</v>
      </c>
      <c r="F1047" s="11">
        <v>3.21E8</v>
      </c>
    </row>
    <row r="1048">
      <c r="A1048" s="5">
        <v>1047.0</v>
      </c>
      <c r="B1048" s="5" t="s">
        <v>84</v>
      </c>
      <c r="C1048" s="11">
        <v>5.16E8</v>
      </c>
      <c r="D1048" s="12" t="s">
        <v>159</v>
      </c>
      <c r="E1048" s="9" t="s">
        <v>67</v>
      </c>
      <c r="F1048" s="11">
        <v>4.25E8</v>
      </c>
    </row>
    <row r="1049">
      <c r="A1049" s="5">
        <v>1048.0</v>
      </c>
      <c r="B1049" s="5" t="s">
        <v>84</v>
      </c>
      <c r="C1049" s="11">
        <v>5.47E8</v>
      </c>
      <c r="D1049" s="12" t="s">
        <v>159</v>
      </c>
      <c r="E1049" s="9" t="s">
        <v>68</v>
      </c>
      <c r="F1049" s="11">
        <v>3.09E8</v>
      </c>
    </row>
    <row r="1050">
      <c r="A1050" s="5">
        <v>1049.0</v>
      </c>
      <c r="B1050" s="5" t="s">
        <v>84</v>
      </c>
      <c r="C1050" s="11">
        <v>6.2E8</v>
      </c>
      <c r="D1050" s="12" t="s">
        <v>159</v>
      </c>
      <c r="E1050" s="9" t="s">
        <v>69</v>
      </c>
      <c r="F1050" s="11">
        <v>3.85E8</v>
      </c>
    </row>
    <row r="1051">
      <c r="A1051" s="5">
        <v>1050.0</v>
      </c>
      <c r="B1051" s="5" t="s">
        <v>84</v>
      </c>
      <c r="C1051" s="11">
        <v>6.16E8</v>
      </c>
      <c r="D1051" s="12" t="s">
        <v>159</v>
      </c>
      <c r="E1051" s="9" t="s">
        <v>70</v>
      </c>
      <c r="F1051" s="11">
        <v>3.61E8</v>
      </c>
    </row>
    <row r="1052">
      <c r="A1052" s="5">
        <v>1051.0</v>
      </c>
      <c r="B1052" s="5" t="s">
        <v>84</v>
      </c>
      <c r="C1052" s="11">
        <v>6.27E8</v>
      </c>
      <c r="D1052" s="12" t="s">
        <v>159</v>
      </c>
      <c r="E1052" s="9" t="s">
        <v>71</v>
      </c>
      <c r="F1052" s="11">
        <v>4.06E8</v>
      </c>
    </row>
    <row r="1053">
      <c r="A1053" s="5">
        <v>1052.0</v>
      </c>
      <c r="B1053" s="5" t="s">
        <v>84</v>
      </c>
      <c r="C1053" s="11">
        <v>6.42E8</v>
      </c>
      <c r="D1053" s="12" t="s">
        <v>159</v>
      </c>
      <c r="E1053" s="9" t="s">
        <v>72</v>
      </c>
      <c r="F1053" s="11">
        <v>4.46E8</v>
      </c>
    </row>
    <row r="1054">
      <c r="A1054" s="5">
        <v>1053.0</v>
      </c>
      <c r="B1054" s="5" t="s">
        <v>84</v>
      </c>
      <c r="C1054" s="11">
        <v>6.66E8</v>
      </c>
      <c r="D1054" s="12" t="s">
        <v>159</v>
      </c>
      <c r="E1054" s="9" t="s">
        <v>73</v>
      </c>
      <c r="F1054" s="11">
        <v>4.64E8</v>
      </c>
    </row>
    <row r="1055">
      <c r="A1055" s="5">
        <v>1054.0</v>
      </c>
      <c r="B1055" s="5" t="s">
        <v>61</v>
      </c>
      <c r="C1055" s="11">
        <v>8.198E9</v>
      </c>
      <c r="D1055" s="12" t="s">
        <v>160</v>
      </c>
      <c r="E1055" s="9" t="s">
        <v>60</v>
      </c>
      <c r="F1055" s="11">
        <v>1.2502E10</v>
      </c>
    </row>
    <row r="1056">
      <c r="A1056" s="5">
        <v>1055.0</v>
      </c>
      <c r="B1056" s="5" t="s">
        <v>61</v>
      </c>
      <c r="C1056" s="11">
        <v>7.923E9</v>
      </c>
      <c r="D1056" s="12" t="s">
        <v>160</v>
      </c>
      <c r="E1056" s="9" t="s">
        <v>62</v>
      </c>
      <c r="F1056" s="11">
        <v>1.2317E10</v>
      </c>
    </row>
    <row r="1057">
      <c r="A1057" s="5">
        <v>1056.0</v>
      </c>
      <c r="B1057" s="5" t="s">
        <v>61</v>
      </c>
      <c r="C1057" s="11">
        <v>9.849E9</v>
      </c>
      <c r="D1057" s="12" t="s">
        <v>160</v>
      </c>
      <c r="E1057" s="9" t="s">
        <v>63</v>
      </c>
      <c r="F1057" s="11">
        <v>1.2418E10</v>
      </c>
    </row>
    <row r="1058">
      <c r="A1058" s="5">
        <v>1057.0</v>
      </c>
      <c r="B1058" s="5" t="s">
        <v>61</v>
      </c>
      <c r="C1058" s="11">
        <v>9.004E9</v>
      </c>
      <c r="D1058" s="12" t="s">
        <v>160</v>
      </c>
      <c r="E1058" s="9" t="s">
        <v>64</v>
      </c>
      <c r="F1058" s="11">
        <v>1.1447E10</v>
      </c>
    </row>
    <row r="1059">
      <c r="A1059" s="5">
        <v>1058.0</v>
      </c>
      <c r="B1059" s="5" t="s">
        <v>61</v>
      </c>
      <c r="C1059" s="11">
        <v>1.1874E10</v>
      </c>
      <c r="D1059" s="12" t="s">
        <v>160</v>
      </c>
      <c r="E1059" s="9" t="s">
        <v>65</v>
      </c>
      <c r="F1059" s="11">
        <v>1.327E10</v>
      </c>
    </row>
    <row r="1060">
      <c r="A1060" s="5">
        <v>1059.0</v>
      </c>
      <c r="B1060" s="5" t="s">
        <v>61</v>
      </c>
      <c r="C1060" s="11">
        <v>1.3588E10</v>
      </c>
      <c r="D1060" s="12" t="s">
        <v>160</v>
      </c>
      <c r="E1060" s="9" t="s">
        <v>66</v>
      </c>
      <c r="F1060" s="11">
        <v>1.3305E10</v>
      </c>
    </row>
    <row r="1061">
      <c r="A1061" s="5">
        <v>1060.0</v>
      </c>
      <c r="B1061" s="5" t="s">
        <v>61</v>
      </c>
      <c r="C1061" s="11">
        <v>1.5541E10</v>
      </c>
      <c r="D1061" s="12" t="s">
        <v>160</v>
      </c>
      <c r="E1061" s="9" t="s">
        <v>67</v>
      </c>
      <c r="F1061" s="11">
        <v>1.4044E10</v>
      </c>
    </row>
    <row r="1062">
      <c r="A1062" s="5">
        <v>1061.0</v>
      </c>
      <c r="B1062" s="5" t="s">
        <v>61</v>
      </c>
      <c r="C1062" s="11">
        <v>1.8237E10</v>
      </c>
      <c r="D1062" s="12" t="s">
        <v>160</v>
      </c>
      <c r="E1062" s="9" t="s">
        <v>68</v>
      </c>
      <c r="F1062" s="11">
        <v>1.5042E10</v>
      </c>
    </row>
    <row r="1063">
      <c r="A1063" s="5">
        <v>1062.0</v>
      </c>
      <c r="B1063" s="5" t="s">
        <v>61</v>
      </c>
      <c r="C1063" s="11">
        <v>2.0236E10</v>
      </c>
      <c r="D1063" s="12" t="s">
        <v>160</v>
      </c>
      <c r="E1063" s="9" t="s">
        <v>69</v>
      </c>
      <c r="F1063" s="11">
        <v>1.6095E10</v>
      </c>
    </row>
    <row r="1064">
      <c r="A1064" s="5">
        <v>1063.0</v>
      </c>
      <c r="B1064" s="5" t="s">
        <v>61</v>
      </c>
      <c r="C1064" s="11">
        <v>2.0291E10</v>
      </c>
      <c r="D1064" s="12" t="s">
        <v>160</v>
      </c>
      <c r="E1064" s="9" t="s">
        <v>70</v>
      </c>
      <c r="F1064" s="11">
        <v>1.5669E10</v>
      </c>
    </row>
    <row r="1065">
      <c r="A1065" s="5">
        <v>1064.0</v>
      </c>
      <c r="B1065" s="5" t="s">
        <v>61</v>
      </c>
      <c r="C1065" s="11">
        <v>2.7208E10</v>
      </c>
      <c r="D1065" s="12" t="s">
        <v>160</v>
      </c>
      <c r="E1065" s="9" t="s">
        <v>71</v>
      </c>
      <c r="F1065" s="11">
        <v>1.7503E10</v>
      </c>
    </row>
    <row r="1066">
      <c r="A1066" s="5">
        <v>1065.0</v>
      </c>
      <c r="B1066" s="5" t="s">
        <v>61</v>
      </c>
      <c r="C1066" s="11">
        <v>3.3169E10</v>
      </c>
      <c r="D1066" s="12" t="s">
        <v>160</v>
      </c>
      <c r="E1066" s="9" t="s">
        <v>72</v>
      </c>
      <c r="F1066" s="11">
        <v>1.9172E10</v>
      </c>
    </row>
    <row r="1067">
      <c r="A1067" s="5">
        <v>1066.0</v>
      </c>
      <c r="B1067" s="5" t="s">
        <v>61</v>
      </c>
      <c r="C1067" s="11">
        <v>3.8021E10</v>
      </c>
      <c r="D1067" s="12" t="s">
        <v>160</v>
      </c>
      <c r="E1067" s="9" t="s">
        <v>73</v>
      </c>
      <c r="F1067" s="11">
        <v>2.0246E10</v>
      </c>
    </row>
    <row r="1068">
      <c r="A1068" s="5">
        <v>1067.0</v>
      </c>
      <c r="B1068" s="5" t="s">
        <v>75</v>
      </c>
      <c r="C1068" s="11">
        <v>3.809E9</v>
      </c>
      <c r="D1068" s="12" t="s">
        <v>161</v>
      </c>
      <c r="E1068" s="9" t="s">
        <v>60</v>
      </c>
      <c r="F1068" s="11">
        <v>1.722E9</v>
      </c>
    </row>
    <row r="1069">
      <c r="A1069" s="5">
        <v>1068.0</v>
      </c>
      <c r="B1069" s="5" t="s">
        <v>75</v>
      </c>
      <c r="C1069" s="11">
        <v>4.191E9</v>
      </c>
      <c r="D1069" s="12" t="s">
        <v>161</v>
      </c>
      <c r="E1069" s="9" t="s">
        <v>62</v>
      </c>
      <c r="F1069" s="11">
        <v>1.887E9</v>
      </c>
    </row>
    <row r="1070">
      <c r="A1070" s="5">
        <v>1069.0</v>
      </c>
      <c r="B1070" s="5" t="s">
        <v>75</v>
      </c>
      <c r="C1070" s="11">
        <v>3.774E9</v>
      </c>
      <c r="D1070" s="12" t="s">
        <v>161</v>
      </c>
      <c r="E1070" s="9" t="s">
        <v>63</v>
      </c>
      <c r="F1070" s="11">
        <v>2.211E9</v>
      </c>
    </row>
    <row r="1071">
      <c r="A1071" s="5">
        <v>1070.0</v>
      </c>
      <c r="B1071" s="5" t="s">
        <v>75</v>
      </c>
      <c r="C1071" s="11">
        <v>4.119E9</v>
      </c>
      <c r="D1071" s="12" t="s">
        <v>161</v>
      </c>
      <c r="E1071" s="9" t="s">
        <v>64</v>
      </c>
      <c r="F1071" s="11">
        <v>2.7E9</v>
      </c>
    </row>
    <row r="1072">
      <c r="A1072" s="5">
        <v>1071.0</v>
      </c>
      <c r="B1072" s="5" t="s">
        <v>75</v>
      </c>
      <c r="C1072" s="11">
        <v>4.009E9</v>
      </c>
      <c r="D1072" s="12" t="s">
        <v>161</v>
      </c>
      <c r="E1072" s="9" t="s">
        <v>65</v>
      </c>
      <c r="F1072" s="11">
        <v>2.482E9</v>
      </c>
    </row>
    <row r="1073">
      <c r="A1073" s="5">
        <v>1072.0</v>
      </c>
      <c r="B1073" s="5" t="s">
        <v>75</v>
      </c>
      <c r="C1073" s="11">
        <v>4.761E9</v>
      </c>
      <c r="D1073" s="12" t="s">
        <v>161</v>
      </c>
      <c r="E1073" s="9" t="s">
        <v>66</v>
      </c>
      <c r="F1073" s="11">
        <v>2.721E9</v>
      </c>
    </row>
    <row r="1074">
      <c r="A1074" s="5">
        <v>1073.0</v>
      </c>
      <c r="B1074" s="5" t="s">
        <v>75</v>
      </c>
      <c r="C1074" s="11">
        <v>4.998E9</v>
      </c>
      <c r="D1074" s="12" t="s">
        <v>161</v>
      </c>
      <c r="E1074" s="9" t="s">
        <v>67</v>
      </c>
      <c r="F1074" s="11">
        <v>2.319E9</v>
      </c>
    </row>
    <row r="1075">
      <c r="A1075" s="5">
        <v>1074.0</v>
      </c>
      <c r="B1075" s="5" t="s">
        <v>75</v>
      </c>
      <c r="C1075" s="11">
        <v>5.628E9</v>
      </c>
      <c r="D1075" s="12" t="s">
        <v>161</v>
      </c>
      <c r="E1075" s="9" t="s">
        <v>68</v>
      </c>
      <c r="F1075" s="11">
        <v>3.088E9</v>
      </c>
    </row>
    <row r="1076">
      <c r="A1076" s="5">
        <v>1075.0</v>
      </c>
      <c r="B1076" s="5" t="s">
        <v>75</v>
      </c>
      <c r="C1076" s="11">
        <v>7.113E9</v>
      </c>
      <c r="D1076" s="12" t="s">
        <v>161</v>
      </c>
      <c r="E1076" s="9" t="s">
        <v>69</v>
      </c>
      <c r="F1076" s="11">
        <v>3.833E9</v>
      </c>
    </row>
    <row r="1077">
      <c r="A1077" s="5">
        <v>1076.0</v>
      </c>
      <c r="B1077" s="5" t="s">
        <v>75</v>
      </c>
      <c r="C1077" s="11">
        <v>6.74E9</v>
      </c>
      <c r="D1077" s="12" t="s">
        <v>161</v>
      </c>
      <c r="E1077" s="9" t="s">
        <v>70</v>
      </c>
      <c r="F1077" s="11">
        <v>3.233E9</v>
      </c>
    </row>
    <row r="1078">
      <c r="A1078" s="5">
        <v>1077.0</v>
      </c>
      <c r="B1078" s="5" t="s">
        <v>75</v>
      </c>
      <c r="C1078" s="11">
        <v>6.338E9</v>
      </c>
      <c r="D1078" s="12" t="s">
        <v>161</v>
      </c>
      <c r="E1078" s="9" t="s">
        <v>71</v>
      </c>
      <c r="F1078" s="11">
        <v>2.879E9</v>
      </c>
    </row>
    <row r="1079">
      <c r="A1079" s="5">
        <v>1078.0</v>
      </c>
      <c r="B1079" s="5" t="s">
        <v>75</v>
      </c>
      <c r="C1079" s="11">
        <v>6.929E9</v>
      </c>
      <c r="D1079" s="12" t="s">
        <v>161</v>
      </c>
      <c r="E1079" s="9" t="s">
        <v>72</v>
      </c>
      <c r="F1079" s="11">
        <v>3.028E9</v>
      </c>
    </row>
    <row r="1080">
      <c r="A1080" s="5">
        <v>1079.0</v>
      </c>
      <c r="B1080" s="5" t="s">
        <v>75</v>
      </c>
      <c r="C1080" s="11">
        <v>5.923E9</v>
      </c>
      <c r="D1080" s="12" t="s">
        <v>161</v>
      </c>
      <c r="E1080" s="9" t="s">
        <v>73</v>
      </c>
      <c r="F1080" s="11">
        <v>2.514E9</v>
      </c>
    </row>
    <row r="1081">
      <c r="A1081" s="5">
        <v>1080.0</v>
      </c>
      <c r="B1081" s="5" t="s">
        <v>75</v>
      </c>
      <c r="C1081" s="11">
        <v>3.86E8</v>
      </c>
      <c r="D1081" s="12" t="s">
        <v>162</v>
      </c>
      <c r="E1081" s="9" t="s">
        <v>60</v>
      </c>
      <c r="F1081" s="11">
        <v>4.71E8</v>
      </c>
    </row>
    <row r="1082">
      <c r="A1082" s="5">
        <v>1081.0</v>
      </c>
      <c r="B1082" s="5" t="s">
        <v>75</v>
      </c>
      <c r="C1082" s="11">
        <v>3.83E8</v>
      </c>
      <c r="D1082" s="12" t="s">
        <v>162</v>
      </c>
      <c r="E1082" s="9" t="s">
        <v>62</v>
      </c>
      <c r="F1082" s="11">
        <v>3.72E8</v>
      </c>
    </row>
    <row r="1083">
      <c r="A1083" s="5">
        <v>1082.0</v>
      </c>
      <c r="B1083" s="5" t="s">
        <v>75</v>
      </c>
      <c r="C1083" s="11">
        <v>4.15E8</v>
      </c>
      <c r="D1083" s="12" t="s">
        <v>162</v>
      </c>
      <c r="E1083" s="9" t="s">
        <v>63</v>
      </c>
      <c r="F1083" s="11">
        <v>3.73E8</v>
      </c>
    </row>
    <row r="1084">
      <c r="A1084" s="5">
        <v>1083.0</v>
      </c>
      <c r="B1084" s="5" t="s">
        <v>75</v>
      </c>
      <c r="C1084" s="11">
        <v>4.86E8</v>
      </c>
      <c r="D1084" s="12" t="s">
        <v>162</v>
      </c>
      <c r="E1084" s="9" t="s">
        <v>64</v>
      </c>
      <c r="F1084" s="11">
        <v>5.24E8</v>
      </c>
    </row>
    <row r="1085">
      <c r="A1085" s="5">
        <v>1084.0</v>
      </c>
      <c r="B1085" s="5" t="s">
        <v>75</v>
      </c>
      <c r="C1085" s="11">
        <v>5.58E8</v>
      </c>
      <c r="D1085" s="12" t="s">
        <v>162</v>
      </c>
      <c r="E1085" s="9" t="s">
        <v>65</v>
      </c>
      <c r="F1085" s="11">
        <v>6.99E8</v>
      </c>
    </row>
    <row r="1086">
      <c r="A1086" s="5">
        <v>1085.0</v>
      </c>
      <c r="B1086" s="5" t="s">
        <v>75</v>
      </c>
      <c r="C1086" s="11">
        <v>6.35E8</v>
      </c>
      <c r="D1086" s="12" t="s">
        <v>162</v>
      </c>
      <c r="E1086" s="9" t="s">
        <v>66</v>
      </c>
      <c r="F1086" s="11">
        <v>9.91E8</v>
      </c>
    </row>
    <row r="1087">
      <c r="A1087" s="5">
        <v>1086.0</v>
      </c>
      <c r="B1087" s="5" t="s">
        <v>75</v>
      </c>
      <c r="C1087" s="11">
        <v>7.02E8</v>
      </c>
      <c r="D1087" s="12" t="s">
        <v>162</v>
      </c>
      <c r="E1087" s="9" t="s">
        <v>67</v>
      </c>
      <c r="F1087" s="11">
        <v>1.084E9</v>
      </c>
    </row>
    <row r="1088">
      <c r="A1088" s="5">
        <v>1087.0</v>
      </c>
      <c r="B1088" s="5" t="s">
        <v>75</v>
      </c>
      <c r="C1088" s="11">
        <v>8.48E8</v>
      </c>
      <c r="D1088" s="12" t="s">
        <v>162</v>
      </c>
      <c r="E1088" s="9" t="s">
        <v>68</v>
      </c>
      <c r="F1088" s="11">
        <v>1.336E9</v>
      </c>
    </row>
    <row r="1089">
      <c r="A1089" s="5">
        <v>1088.0</v>
      </c>
      <c r="B1089" s="5" t="s">
        <v>75</v>
      </c>
      <c r="C1089" s="11">
        <v>8.81E8</v>
      </c>
      <c r="D1089" s="12" t="s">
        <v>162</v>
      </c>
      <c r="E1089" s="9" t="s">
        <v>69</v>
      </c>
      <c r="F1089" s="11">
        <v>1.103E9</v>
      </c>
    </row>
    <row r="1090">
      <c r="A1090" s="5">
        <v>1089.0</v>
      </c>
      <c r="B1090" s="5" t="s">
        <v>75</v>
      </c>
      <c r="C1090" s="11">
        <v>5.5E8</v>
      </c>
      <c r="D1090" s="12" t="s">
        <v>162</v>
      </c>
      <c r="E1090" s="9" t="s">
        <v>70</v>
      </c>
      <c r="F1090" s="11">
        <v>5.34E8</v>
      </c>
    </row>
    <row r="1091">
      <c r="A1091" s="5">
        <v>1090.0</v>
      </c>
      <c r="B1091" s="5" t="s">
        <v>75</v>
      </c>
      <c r="C1091" s="11">
        <v>5.62E8</v>
      </c>
      <c r="D1091" s="12" t="s">
        <v>162</v>
      </c>
      <c r="E1091" s="9" t="s">
        <v>71</v>
      </c>
      <c r="F1091" s="11">
        <v>5.99E8</v>
      </c>
    </row>
    <row r="1092">
      <c r="A1092" s="5">
        <v>1091.0</v>
      </c>
      <c r="B1092" s="5" t="s">
        <v>75</v>
      </c>
      <c r="C1092" s="11">
        <v>7.51E8</v>
      </c>
      <c r="D1092" s="12" t="s">
        <v>162</v>
      </c>
      <c r="E1092" s="9" t="s">
        <v>72</v>
      </c>
      <c r="F1092" s="11">
        <v>7.4E8</v>
      </c>
    </row>
    <row r="1093">
      <c r="A1093" s="5">
        <v>1092.0</v>
      </c>
      <c r="B1093" s="5" t="s">
        <v>75</v>
      </c>
      <c r="C1093" s="11">
        <v>8.65E8</v>
      </c>
      <c r="D1093" s="12" t="s">
        <v>162</v>
      </c>
      <c r="E1093" s="9" t="s">
        <v>73</v>
      </c>
      <c r="F1093" s="11">
        <v>7.8E8</v>
      </c>
    </row>
    <row r="1094">
      <c r="A1094" s="5">
        <v>1093.0</v>
      </c>
      <c r="B1094" s="5" t="s">
        <v>61</v>
      </c>
      <c r="C1094" s="11">
        <v>3.598E9</v>
      </c>
      <c r="D1094" s="12" t="s">
        <v>163</v>
      </c>
      <c r="E1094" s="9" t="s">
        <v>60</v>
      </c>
      <c r="F1094" s="11">
        <v>3.686E9</v>
      </c>
    </row>
    <row r="1095">
      <c r="A1095" s="5">
        <v>1094.0</v>
      </c>
      <c r="B1095" s="5" t="s">
        <v>61</v>
      </c>
      <c r="C1095" s="11">
        <v>3.342E9</v>
      </c>
      <c r="D1095" s="12" t="s">
        <v>163</v>
      </c>
      <c r="E1095" s="9" t="s">
        <v>62</v>
      </c>
      <c r="F1095" s="11">
        <v>4.367E9</v>
      </c>
    </row>
    <row r="1096">
      <c r="A1096" s="5">
        <v>1095.0</v>
      </c>
      <c r="B1096" s="5" t="s">
        <v>61</v>
      </c>
      <c r="C1096" s="11">
        <v>3.3E9</v>
      </c>
      <c r="D1096" s="12" t="s">
        <v>163</v>
      </c>
      <c r="E1096" s="9" t="s">
        <v>63</v>
      </c>
      <c r="F1096" s="11">
        <v>4.35E9</v>
      </c>
    </row>
    <row r="1097">
      <c r="A1097" s="5">
        <v>1096.0</v>
      </c>
      <c r="B1097" s="5" t="s">
        <v>61</v>
      </c>
      <c r="C1097" s="11">
        <v>4.56E9</v>
      </c>
      <c r="D1097" s="12" t="s">
        <v>163</v>
      </c>
      <c r="E1097" s="9" t="s">
        <v>64</v>
      </c>
      <c r="F1097" s="11">
        <v>4.385E9</v>
      </c>
    </row>
    <row r="1098">
      <c r="A1098" s="5">
        <v>1097.0</v>
      </c>
      <c r="B1098" s="5" t="s">
        <v>61</v>
      </c>
      <c r="C1098" s="11">
        <v>6.307E9</v>
      </c>
      <c r="D1098" s="12" t="s">
        <v>163</v>
      </c>
      <c r="E1098" s="9" t="s">
        <v>65</v>
      </c>
      <c r="F1098" s="11">
        <v>5.783E9</v>
      </c>
    </row>
    <row r="1099">
      <c r="A1099" s="5">
        <v>1098.0</v>
      </c>
      <c r="B1099" s="5" t="s">
        <v>61</v>
      </c>
      <c r="C1099" s="11">
        <v>7.659E9</v>
      </c>
      <c r="D1099" s="12" t="s">
        <v>163</v>
      </c>
      <c r="E1099" s="9" t="s">
        <v>66</v>
      </c>
      <c r="F1099" s="11">
        <v>8.277E9</v>
      </c>
    </row>
    <row r="1100">
      <c r="A1100" s="5">
        <v>1099.0</v>
      </c>
      <c r="B1100" s="5" t="s">
        <v>61</v>
      </c>
      <c r="C1100" s="11">
        <v>8.915E9</v>
      </c>
      <c r="D1100" s="12" t="s">
        <v>163</v>
      </c>
      <c r="E1100" s="9" t="s">
        <v>67</v>
      </c>
      <c r="F1100" s="11">
        <v>8.738E9</v>
      </c>
    </row>
    <row r="1101">
      <c r="A1101" s="5">
        <v>1100.0</v>
      </c>
      <c r="B1101" s="5" t="s">
        <v>61</v>
      </c>
      <c r="C1101" s="11">
        <v>1.1234E10</v>
      </c>
      <c r="D1101" s="12" t="s">
        <v>163</v>
      </c>
      <c r="E1101" s="9" t="s">
        <v>68</v>
      </c>
      <c r="F1101" s="11">
        <v>1.069E10</v>
      </c>
    </row>
    <row r="1102">
      <c r="A1102" s="5">
        <v>1101.0</v>
      </c>
      <c r="B1102" s="5" t="s">
        <v>61</v>
      </c>
      <c r="C1102" s="11">
        <v>1.2462E10</v>
      </c>
      <c r="D1102" s="12" t="s">
        <v>163</v>
      </c>
      <c r="E1102" s="9" t="s">
        <v>69</v>
      </c>
      <c r="F1102" s="11">
        <v>1.2083E10</v>
      </c>
    </row>
    <row r="1103">
      <c r="A1103" s="5">
        <v>1102.0</v>
      </c>
      <c r="B1103" s="5" t="s">
        <v>61</v>
      </c>
      <c r="C1103" s="11">
        <v>1.1136E10</v>
      </c>
      <c r="D1103" s="12" t="s">
        <v>163</v>
      </c>
      <c r="E1103" s="9" t="s">
        <v>70</v>
      </c>
      <c r="F1103" s="11">
        <v>9.31E9</v>
      </c>
    </row>
    <row r="1104">
      <c r="A1104" s="5">
        <v>1103.0</v>
      </c>
      <c r="B1104" s="5" t="s">
        <v>61</v>
      </c>
      <c r="C1104" s="11">
        <v>1.449E10</v>
      </c>
      <c r="D1104" s="12" t="s">
        <v>163</v>
      </c>
      <c r="E1104" s="9" t="s">
        <v>71</v>
      </c>
      <c r="F1104" s="11">
        <v>1.049E10</v>
      </c>
    </row>
    <row r="1105">
      <c r="A1105" s="5">
        <v>1104.0</v>
      </c>
      <c r="B1105" s="5" t="s">
        <v>61</v>
      </c>
      <c r="C1105" s="11">
        <v>1.7708E10</v>
      </c>
      <c r="D1105" s="12" t="s">
        <v>163</v>
      </c>
      <c r="E1105" s="9" t="s">
        <v>72</v>
      </c>
      <c r="F1105" s="11">
        <v>1.3699E10</v>
      </c>
    </row>
    <row r="1106">
      <c r="A1106" s="5">
        <v>1105.0</v>
      </c>
      <c r="B1106" s="5" t="s">
        <v>61</v>
      </c>
      <c r="C1106" s="11">
        <v>1.834E10</v>
      </c>
      <c r="D1106" s="12" t="s">
        <v>163</v>
      </c>
      <c r="E1106" s="9" t="s">
        <v>73</v>
      </c>
      <c r="F1106" s="11">
        <v>1.4107E10</v>
      </c>
    </row>
    <row r="1107">
      <c r="A1107" s="5">
        <v>1106.0</v>
      </c>
      <c r="B1107" s="5" t="s">
        <v>61</v>
      </c>
      <c r="C1107" s="11">
        <v>4.975E9</v>
      </c>
      <c r="D1107" s="12" t="s">
        <v>164</v>
      </c>
      <c r="E1107" s="9" t="s">
        <v>60</v>
      </c>
      <c r="F1107" s="11">
        <v>3.197E9</v>
      </c>
    </row>
    <row r="1108">
      <c r="A1108" s="5">
        <v>1107.0</v>
      </c>
      <c r="B1108" s="5" t="s">
        <v>61</v>
      </c>
      <c r="C1108" s="11">
        <v>5.277E9</v>
      </c>
      <c r="D1108" s="12" t="s">
        <v>164</v>
      </c>
      <c r="E1108" s="9" t="s">
        <v>62</v>
      </c>
      <c r="F1108" s="11">
        <v>3.406E9</v>
      </c>
    </row>
    <row r="1109">
      <c r="A1109" s="5">
        <v>1108.0</v>
      </c>
      <c r="B1109" s="5" t="s">
        <v>61</v>
      </c>
      <c r="C1109" s="11">
        <v>5.797E9</v>
      </c>
      <c r="D1109" s="12" t="s">
        <v>164</v>
      </c>
      <c r="E1109" s="9" t="s">
        <v>63</v>
      </c>
      <c r="F1109" s="11">
        <v>5.042E9</v>
      </c>
    </row>
    <row r="1110">
      <c r="A1110" s="5">
        <v>1109.0</v>
      </c>
      <c r="B1110" s="5" t="s">
        <v>61</v>
      </c>
      <c r="C1110" s="11">
        <v>4.461E9</v>
      </c>
      <c r="D1110" s="12" t="s">
        <v>164</v>
      </c>
      <c r="E1110" s="9" t="s">
        <v>64</v>
      </c>
      <c r="F1110" s="11">
        <v>4.427E9</v>
      </c>
    </row>
    <row r="1111">
      <c r="A1111" s="5">
        <v>1110.0</v>
      </c>
      <c r="B1111" s="5" t="s">
        <v>61</v>
      </c>
      <c r="C1111" s="11">
        <v>5.226E9</v>
      </c>
      <c r="D1111" s="12" t="s">
        <v>164</v>
      </c>
      <c r="E1111" s="9" t="s">
        <v>65</v>
      </c>
      <c r="F1111" s="11">
        <v>4.569E9</v>
      </c>
    </row>
    <row r="1112">
      <c r="A1112" s="5">
        <v>1111.0</v>
      </c>
      <c r="B1112" s="5" t="s">
        <v>61</v>
      </c>
      <c r="C1112" s="11">
        <v>5.094E9</v>
      </c>
      <c r="D1112" s="12" t="s">
        <v>164</v>
      </c>
      <c r="E1112" s="9" t="s">
        <v>66</v>
      </c>
      <c r="F1112" s="11">
        <v>4.74E9</v>
      </c>
    </row>
    <row r="1113">
      <c r="A1113" s="5">
        <v>1112.0</v>
      </c>
      <c r="B1113" s="5" t="s">
        <v>61</v>
      </c>
      <c r="C1113" s="11">
        <v>4.89E9</v>
      </c>
      <c r="D1113" s="12" t="s">
        <v>164</v>
      </c>
      <c r="E1113" s="9" t="s">
        <v>67</v>
      </c>
      <c r="F1113" s="11">
        <v>5.458E9</v>
      </c>
    </row>
    <row r="1114">
      <c r="A1114" s="5">
        <v>1113.0</v>
      </c>
      <c r="B1114" s="5" t="s">
        <v>61</v>
      </c>
      <c r="C1114" s="11">
        <v>5.831E9</v>
      </c>
      <c r="D1114" s="12" t="s">
        <v>164</v>
      </c>
      <c r="E1114" s="9" t="s">
        <v>68</v>
      </c>
      <c r="F1114" s="11">
        <v>6.578E9</v>
      </c>
    </row>
    <row r="1115">
      <c r="A1115" s="5">
        <v>1114.0</v>
      </c>
      <c r="B1115" s="5" t="s">
        <v>61</v>
      </c>
      <c r="C1115" s="11">
        <v>8.15E9</v>
      </c>
      <c r="D1115" s="12" t="s">
        <v>164</v>
      </c>
      <c r="E1115" s="9" t="s">
        <v>69</v>
      </c>
      <c r="F1115" s="11">
        <v>8.801E9</v>
      </c>
    </row>
    <row r="1116">
      <c r="A1116" s="5">
        <v>1115.0</v>
      </c>
      <c r="B1116" s="5" t="s">
        <v>61</v>
      </c>
      <c r="C1116" s="11">
        <v>6.053E9</v>
      </c>
      <c r="D1116" s="12" t="s">
        <v>164</v>
      </c>
      <c r="E1116" s="9" t="s">
        <v>70</v>
      </c>
      <c r="F1116" s="11">
        <v>6.908E9</v>
      </c>
    </row>
    <row r="1117">
      <c r="A1117" s="5">
        <v>1116.0</v>
      </c>
      <c r="B1117" s="5" t="s">
        <v>61</v>
      </c>
      <c r="C1117" s="11">
        <v>7.618E9</v>
      </c>
      <c r="D1117" s="12" t="s">
        <v>164</v>
      </c>
      <c r="E1117" s="9" t="s">
        <v>71</v>
      </c>
      <c r="F1117" s="11">
        <v>8.432E9</v>
      </c>
    </row>
    <row r="1118">
      <c r="A1118" s="5">
        <v>1117.0</v>
      </c>
      <c r="B1118" s="5" t="s">
        <v>61</v>
      </c>
      <c r="C1118" s="11">
        <v>9.038E9</v>
      </c>
      <c r="D1118" s="12" t="s">
        <v>164</v>
      </c>
      <c r="E1118" s="9" t="s">
        <v>72</v>
      </c>
      <c r="F1118" s="11">
        <v>8.653E9</v>
      </c>
    </row>
    <row r="1119">
      <c r="A1119" s="5">
        <v>1118.0</v>
      </c>
      <c r="B1119" s="5" t="s">
        <v>61</v>
      </c>
      <c r="C1119" s="11">
        <v>9.463E9</v>
      </c>
      <c r="D1119" s="12" t="s">
        <v>164</v>
      </c>
      <c r="E1119" s="9" t="s">
        <v>73</v>
      </c>
      <c r="F1119" s="11">
        <v>9.498E9</v>
      </c>
    </row>
    <row r="1120">
      <c r="A1120" s="5">
        <v>1119.0</v>
      </c>
      <c r="B1120" s="5" t="s">
        <v>93</v>
      </c>
      <c r="C1120" s="11">
        <v>6.77E8</v>
      </c>
      <c r="D1120" s="12" t="s">
        <v>165</v>
      </c>
      <c r="E1120" s="9" t="s">
        <v>60</v>
      </c>
      <c r="F1120" s="11">
        <v>6.71E8</v>
      </c>
    </row>
    <row r="1121">
      <c r="A1121" s="5">
        <v>1120.0</v>
      </c>
      <c r="B1121" s="5" t="s">
        <v>93</v>
      </c>
      <c r="C1121" s="11">
        <v>1.122E9</v>
      </c>
      <c r="D1121" s="12" t="s">
        <v>165</v>
      </c>
      <c r="E1121" s="9" t="s">
        <v>62</v>
      </c>
      <c r="F1121" s="11">
        <v>7.14E8</v>
      </c>
    </row>
    <row r="1122">
      <c r="A1122" s="5">
        <v>1121.0</v>
      </c>
      <c r="B1122" s="5" t="s">
        <v>93</v>
      </c>
      <c r="C1122" s="11">
        <v>1.607E9</v>
      </c>
      <c r="D1122" s="12" t="s">
        <v>165</v>
      </c>
      <c r="E1122" s="9" t="s">
        <v>63</v>
      </c>
      <c r="F1122" s="11">
        <v>3.99E9</v>
      </c>
    </row>
    <row r="1123">
      <c r="A1123" s="5">
        <v>1122.0</v>
      </c>
      <c r="B1123" s="5" t="s">
        <v>93</v>
      </c>
      <c r="C1123" s="11">
        <v>1.266E9</v>
      </c>
      <c r="D1123" s="12" t="s">
        <v>165</v>
      </c>
      <c r="E1123" s="9" t="s">
        <v>64</v>
      </c>
      <c r="F1123" s="11">
        <v>4.12E9</v>
      </c>
    </row>
    <row r="1124">
      <c r="A1124" s="5">
        <v>1123.0</v>
      </c>
      <c r="B1124" s="5" t="s">
        <v>93</v>
      </c>
      <c r="C1124" s="11">
        <v>1.305E9</v>
      </c>
      <c r="D1124" s="12" t="s">
        <v>165</v>
      </c>
      <c r="E1124" s="9" t="s">
        <v>65</v>
      </c>
      <c r="F1124" s="11">
        <v>4.402E9</v>
      </c>
    </row>
    <row r="1125">
      <c r="A1125" s="5">
        <v>1124.0</v>
      </c>
      <c r="B1125" s="5" t="s">
        <v>93</v>
      </c>
      <c r="C1125" s="11">
        <v>1.025E9</v>
      </c>
      <c r="D1125" s="12" t="s">
        <v>165</v>
      </c>
      <c r="E1125" s="9" t="s">
        <v>66</v>
      </c>
      <c r="F1125" s="11">
        <v>4.112E9</v>
      </c>
    </row>
    <row r="1126">
      <c r="A1126" s="5">
        <v>1125.0</v>
      </c>
      <c r="B1126" s="5" t="s">
        <v>93</v>
      </c>
      <c r="C1126" s="11">
        <v>1.464E9</v>
      </c>
      <c r="D1126" s="12" t="s">
        <v>165</v>
      </c>
      <c r="E1126" s="9" t="s">
        <v>67</v>
      </c>
      <c r="F1126" s="11">
        <v>5.066E9</v>
      </c>
    </row>
    <row r="1127">
      <c r="A1127" s="5">
        <v>1126.0</v>
      </c>
      <c r="B1127" s="5" t="s">
        <v>93</v>
      </c>
      <c r="C1127" s="11">
        <v>1.95E9</v>
      </c>
      <c r="D1127" s="12" t="s">
        <v>165</v>
      </c>
      <c r="E1127" s="9" t="s">
        <v>68</v>
      </c>
      <c r="F1127" s="11">
        <v>7.335E9</v>
      </c>
    </row>
    <row r="1128">
      <c r="A1128" s="5">
        <v>1127.0</v>
      </c>
      <c r="B1128" s="5" t="s">
        <v>93</v>
      </c>
      <c r="C1128" s="11">
        <v>1.978E9</v>
      </c>
      <c r="D1128" s="12" t="s">
        <v>165</v>
      </c>
      <c r="E1128" s="9" t="s">
        <v>69</v>
      </c>
      <c r="F1128" s="11">
        <v>8.27E9</v>
      </c>
    </row>
    <row r="1129">
      <c r="A1129" s="5">
        <v>1128.0</v>
      </c>
      <c r="B1129" s="5" t="s">
        <v>93</v>
      </c>
      <c r="C1129" s="11">
        <v>2.259E9</v>
      </c>
      <c r="D1129" s="12" t="s">
        <v>165</v>
      </c>
      <c r="E1129" s="9" t="s">
        <v>70</v>
      </c>
      <c r="F1129" s="11">
        <v>8.503E9</v>
      </c>
    </row>
    <row r="1130">
      <c r="A1130" s="5">
        <v>1129.0</v>
      </c>
      <c r="B1130" s="5" t="s">
        <v>93</v>
      </c>
      <c r="C1130" s="11">
        <v>2.631E9</v>
      </c>
      <c r="D1130" s="12" t="s">
        <v>165</v>
      </c>
      <c r="E1130" s="9" t="s">
        <v>71</v>
      </c>
      <c r="F1130" s="11">
        <v>1.057E10</v>
      </c>
    </row>
    <row r="1131">
      <c r="A1131" s="5">
        <v>1130.0</v>
      </c>
      <c r="B1131" s="5" t="s">
        <v>93</v>
      </c>
      <c r="C1131" s="11">
        <v>2.574E9</v>
      </c>
      <c r="D1131" s="12" t="s">
        <v>165</v>
      </c>
      <c r="E1131" s="9" t="s">
        <v>72</v>
      </c>
      <c r="F1131" s="11">
        <v>1.0881E10</v>
      </c>
    </row>
    <row r="1132">
      <c r="A1132" s="5">
        <v>1131.0</v>
      </c>
      <c r="B1132" s="5" t="s">
        <v>93</v>
      </c>
      <c r="C1132" s="8"/>
      <c r="D1132" s="12" t="s">
        <v>165</v>
      </c>
      <c r="E1132" s="9" t="s">
        <v>73</v>
      </c>
      <c r="F1132" s="8"/>
    </row>
    <row r="1133">
      <c r="A1133" s="5">
        <v>1132.0</v>
      </c>
      <c r="B1133" s="5" t="s">
        <v>93</v>
      </c>
      <c r="C1133" s="11">
        <v>2000000.0</v>
      </c>
      <c r="D1133" s="12" t="s">
        <v>166</v>
      </c>
      <c r="E1133" s="9" t="s">
        <v>60</v>
      </c>
      <c r="F1133" s="11">
        <v>9000000.0</v>
      </c>
    </row>
    <row r="1134">
      <c r="A1134" s="5">
        <v>1133.0</v>
      </c>
      <c r="B1134" s="5" t="s">
        <v>93</v>
      </c>
      <c r="C1134" s="11">
        <v>1.5E7</v>
      </c>
      <c r="D1134" s="12" t="s">
        <v>166</v>
      </c>
      <c r="E1134" s="9" t="s">
        <v>62</v>
      </c>
      <c r="F1134" s="11">
        <v>3.1E7</v>
      </c>
    </row>
    <row r="1135">
      <c r="A1135" s="5">
        <v>1134.0</v>
      </c>
      <c r="B1135" s="5" t="s">
        <v>93</v>
      </c>
      <c r="C1135" s="11">
        <v>4.5E7</v>
      </c>
      <c r="D1135" s="12" t="s">
        <v>166</v>
      </c>
      <c r="E1135" s="9" t="s">
        <v>63</v>
      </c>
      <c r="F1135" s="11">
        <v>2.6E7</v>
      </c>
    </row>
    <row r="1136">
      <c r="A1136" s="5">
        <v>1135.0</v>
      </c>
      <c r="B1136" s="5" t="s">
        <v>93</v>
      </c>
      <c r="C1136" s="8"/>
      <c r="D1136" s="12" t="s">
        <v>166</v>
      </c>
      <c r="E1136" s="9" t="s">
        <v>64</v>
      </c>
      <c r="F1136" s="8"/>
    </row>
    <row r="1137">
      <c r="A1137" s="5">
        <v>1136.0</v>
      </c>
      <c r="B1137" s="5" t="s">
        <v>93</v>
      </c>
      <c r="C1137" s="8"/>
      <c r="D1137" s="12" t="s">
        <v>166</v>
      </c>
      <c r="E1137" s="9" t="s">
        <v>65</v>
      </c>
      <c r="F1137" s="8"/>
    </row>
    <row r="1138">
      <c r="A1138" s="5">
        <v>1137.0</v>
      </c>
      <c r="B1138" s="5" t="s">
        <v>93</v>
      </c>
      <c r="C1138" s="11">
        <v>1.86E8</v>
      </c>
      <c r="D1138" s="12" t="s">
        <v>166</v>
      </c>
      <c r="E1138" s="9" t="s">
        <v>66</v>
      </c>
      <c r="F1138" s="11">
        <v>6.27E8</v>
      </c>
    </row>
    <row r="1139">
      <c r="A1139" s="5">
        <v>1138.0</v>
      </c>
      <c r="B1139" s="5" t="s">
        <v>93</v>
      </c>
      <c r="C1139" s="11">
        <v>1.7E8</v>
      </c>
      <c r="D1139" s="12" t="s">
        <v>166</v>
      </c>
      <c r="E1139" s="9" t="s">
        <v>67</v>
      </c>
      <c r="F1139" s="11">
        <v>5.26E8</v>
      </c>
    </row>
    <row r="1140">
      <c r="A1140" s="5">
        <v>1139.0</v>
      </c>
      <c r="B1140" s="5" t="s">
        <v>93</v>
      </c>
      <c r="C1140" s="11">
        <v>5.55E8</v>
      </c>
      <c r="D1140" s="12" t="s">
        <v>166</v>
      </c>
      <c r="E1140" s="9" t="s">
        <v>68</v>
      </c>
      <c r="F1140" s="11">
        <v>7.05E8</v>
      </c>
    </row>
    <row r="1141">
      <c r="A1141" s="5">
        <v>1140.0</v>
      </c>
      <c r="B1141" s="5" t="s">
        <v>93</v>
      </c>
      <c r="C1141" s="11">
        <v>8.67E8</v>
      </c>
      <c r="D1141" s="12" t="s">
        <v>166</v>
      </c>
      <c r="E1141" s="9" t="s">
        <v>69</v>
      </c>
      <c r="F1141" s="11">
        <v>8.13E8</v>
      </c>
    </row>
    <row r="1142">
      <c r="A1142" s="5">
        <v>1141.0</v>
      </c>
      <c r="B1142" s="5" t="s">
        <v>93</v>
      </c>
      <c r="C1142" s="11">
        <v>1.432E9</v>
      </c>
      <c r="D1142" s="12" t="s">
        <v>166</v>
      </c>
      <c r="E1142" s="9" t="s">
        <v>70</v>
      </c>
      <c r="F1142" s="11">
        <v>1.221E9</v>
      </c>
    </row>
    <row r="1143">
      <c r="A1143" s="5">
        <v>1142.0</v>
      </c>
      <c r="B1143" s="5" t="s">
        <v>93</v>
      </c>
      <c r="C1143" s="11">
        <v>1.736E9</v>
      </c>
      <c r="D1143" s="12" t="s">
        <v>166</v>
      </c>
      <c r="E1143" s="9" t="s">
        <v>71</v>
      </c>
      <c r="F1143" s="11">
        <v>1.675E9</v>
      </c>
    </row>
    <row r="1144">
      <c r="A1144" s="5">
        <v>1143.0</v>
      </c>
      <c r="B1144" s="5" t="s">
        <v>93</v>
      </c>
      <c r="C1144" s="11">
        <v>1.557E9</v>
      </c>
      <c r="D1144" s="12" t="s">
        <v>166</v>
      </c>
      <c r="E1144" s="9" t="s">
        <v>72</v>
      </c>
      <c r="F1144" s="11">
        <v>1.879E9</v>
      </c>
    </row>
    <row r="1145">
      <c r="A1145" s="5">
        <v>1144.0</v>
      </c>
      <c r="B1145" s="5" t="s">
        <v>93</v>
      </c>
      <c r="C1145" s="11">
        <v>1.64E9</v>
      </c>
      <c r="D1145" s="12" t="s">
        <v>166</v>
      </c>
      <c r="E1145" s="9" t="s">
        <v>73</v>
      </c>
      <c r="F1145" s="11">
        <v>2.363E9</v>
      </c>
    </row>
    <row r="1146">
      <c r="A1146" s="5">
        <v>1145.0</v>
      </c>
      <c r="B1146" s="5" t="s">
        <v>75</v>
      </c>
      <c r="C1146" s="11">
        <v>3.517E9</v>
      </c>
      <c r="D1146" s="12" t="s">
        <v>167</v>
      </c>
      <c r="E1146" s="9" t="s">
        <v>60</v>
      </c>
      <c r="F1146" s="11">
        <v>2.626E9</v>
      </c>
    </row>
    <row r="1147">
      <c r="A1147" s="5">
        <v>1146.0</v>
      </c>
      <c r="B1147" s="5" t="s">
        <v>75</v>
      </c>
      <c r="C1147" s="11">
        <v>3.789E9</v>
      </c>
      <c r="D1147" s="12" t="s">
        <v>167</v>
      </c>
      <c r="E1147" s="9" t="s">
        <v>62</v>
      </c>
      <c r="F1147" s="11">
        <v>2.956E9</v>
      </c>
    </row>
    <row r="1148">
      <c r="A1148" s="5">
        <v>1147.0</v>
      </c>
      <c r="B1148" s="5" t="s">
        <v>75</v>
      </c>
      <c r="C1148" s="11">
        <v>4.228E9</v>
      </c>
      <c r="D1148" s="12" t="s">
        <v>167</v>
      </c>
      <c r="E1148" s="9" t="s">
        <v>63</v>
      </c>
      <c r="F1148" s="11">
        <v>3.835E9</v>
      </c>
    </row>
    <row r="1149">
      <c r="A1149" s="5">
        <v>1148.0</v>
      </c>
      <c r="B1149" s="5" t="s">
        <v>75</v>
      </c>
      <c r="C1149" s="11">
        <v>5.206E9</v>
      </c>
      <c r="D1149" s="12" t="s">
        <v>167</v>
      </c>
      <c r="E1149" s="9" t="s">
        <v>64</v>
      </c>
      <c r="F1149" s="11">
        <v>4.832E9</v>
      </c>
    </row>
    <row r="1150">
      <c r="A1150" s="5">
        <v>1149.0</v>
      </c>
      <c r="B1150" s="5" t="s">
        <v>75</v>
      </c>
      <c r="C1150" s="11">
        <v>6.075E9</v>
      </c>
      <c r="D1150" s="12" t="s">
        <v>167</v>
      </c>
      <c r="E1150" s="9" t="s">
        <v>65</v>
      </c>
      <c r="F1150" s="11">
        <v>5.291E9</v>
      </c>
    </row>
    <row r="1151">
      <c r="A1151" s="5">
        <v>1150.0</v>
      </c>
      <c r="B1151" s="5" t="s">
        <v>75</v>
      </c>
      <c r="C1151" s="11">
        <v>6.78E9</v>
      </c>
      <c r="D1151" s="12" t="s">
        <v>167</v>
      </c>
      <c r="E1151" s="9" t="s">
        <v>66</v>
      </c>
      <c r="F1151" s="11">
        <v>6.186E9</v>
      </c>
    </row>
    <row r="1152">
      <c r="A1152" s="5">
        <v>1151.0</v>
      </c>
      <c r="B1152" s="5" t="s">
        <v>75</v>
      </c>
      <c r="C1152" s="11">
        <v>7.664E9</v>
      </c>
      <c r="D1152" s="12" t="s">
        <v>167</v>
      </c>
      <c r="E1152" s="9" t="s">
        <v>67</v>
      </c>
      <c r="F1152" s="11">
        <v>6.978E9</v>
      </c>
    </row>
    <row r="1153">
      <c r="A1153" s="5">
        <v>1152.0</v>
      </c>
      <c r="B1153" s="5" t="s">
        <v>75</v>
      </c>
      <c r="C1153" s="11">
        <v>9.263E9</v>
      </c>
      <c r="D1153" s="12" t="s">
        <v>167</v>
      </c>
      <c r="E1153" s="9" t="s">
        <v>68</v>
      </c>
      <c r="F1153" s="11">
        <v>8.785E9</v>
      </c>
    </row>
    <row r="1154">
      <c r="A1154" s="5">
        <v>1153.0</v>
      </c>
      <c r="B1154" s="5" t="s">
        <v>75</v>
      </c>
      <c r="C1154" s="11">
        <v>9.967E9</v>
      </c>
      <c r="D1154" s="12" t="s">
        <v>167</v>
      </c>
      <c r="E1154" s="9" t="s">
        <v>69</v>
      </c>
      <c r="F1154" s="11">
        <v>1.0539E10</v>
      </c>
    </row>
    <row r="1155">
      <c r="A1155" s="5">
        <v>1154.0</v>
      </c>
      <c r="B1155" s="5" t="s">
        <v>75</v>
      </c>
      <c r="C1155" s="11">
        <v>8.458E9</v>
      </c>
      <c r="D1155" s="12" t="s">
        <v>167</v>
      </c>
      <c r="E1155" s="9" t="s">
        <v>70</v>
      </c>
      <c r="F1155" s="11">
        <v>7.934E9</v>
      </c>
    </row>
    <row r="1156">
      <c r="A1156" s="5">
        <v>1155.0</v>
      </c>
      <c r="B1156" s="5" t="s">
        <v>75</v>
      </c>
      <c r="C1156" s="11">
        <v>8.187E9</v>
      </c>
      <c r="D1156" s="12" t="s">
        <v>167</v>
      </c>
      <c r="E1156" s="9" t="s">
        <v>71</v>
      </c>
      <c r="F1156" s="11">
        <v>7.178E9</v>
      </c>
    </row>
    <row r="1157">
      <c r="A1157" s="5">
        <v>1156.0</v>
      </c>
      <c r="B1157" s="5" t="s">
        <v>75</v>
      </c>
      <c r="C1157" s="11">
        <v>9.526E9</v>
      </c>
      <c r="D1157" s="12" t="s">
        <v>167</v>
      </c>
      <c r="E1157" s="9" t="s">
        <v>72</v>
      </c>
      <c r="F1157" s="11">
        <v>6.837E9</v>
      </c>
    </row>
    <row r="1158">
      <c r="A1158" s="5">
        <v>1157.0</v>
      </c>
      <c r="B1158" s="5" t="s">
        <v>75</v>
      </c>
      <c r="C1158" s="11">
        <v>9.064E9</v>
      </c>
      <c r="D1158" s="12" t="s">
        <v>167</v>
      </c>
      <c r="E1158" s="9" t="s">
        <v>73</v>
      </c>
      <c r="F1158" s="11">
        <v>6.001E9</v>
      </c>
    </row>
    <row r="1159">
      <c r="A1159" s="5">
        <v>1158.0</v>
      </c>
      <c r="B1159" s="5" t="s">
        <v>75</v>
      </c>
      <c r="C1159" s="8"/>
      <c r="D1159" s="12" t="s">
        <v>168</v>
      </c>
      <c r="E1159" s="9" t="s">
        <v>60</v>
      </c>
      <c r="F1159" s="8"/>
    </row>
    <row r="1160">
      <c r="A1160" s="5">
        <v>1159.0</v>
      </c>
      <c r="B1160" s="5" t="s">
        <v>75</v>
      </c>
      <c r="C1160" s="8"/>
      <c r="D1160" s="12" t="s">
        <v>168</v>
      </c>
      <c r="E1160" s="9" t="s">
        <v>62</v>
      </c>
      <c r="F1160" s="8"/>
    </row>
    <row r="1161">
      <c r="A1161" s="5">
        <v>1160.0</v>
      </c>
      <c r="B1161" s="5" t="s">
        <v>75</v>
      </c>
      <c r="C1161" s="8"/>
      <c r="D1161" s="12" t="s">
        <v>168</v>
      </c>
      <c r="E1161" s="9" t="s">
        <v>63</v>
      </c>
      <c r="F1161" s="8"/>
    </row>
    <row r="1162">
      <c r="A1162" s="5">
        <v>1161.0</v>
      </c>
      <c r="B1162" s="5" t="s">
        <v>75</v>
      </c>
      <c r="C1162" s="8"/>
      <c r="D1162" s="12" t="s">
        <v>168</v>
      </c>
      <c r="E1162" s="9" t="s">
        <v>64</v>
      </c>
      <c r="F1162" s="8"/>
    </row>
    <row r="1163">
      <c r="A1163" s="5">
        <v>1162.0</v>
      </c>
      <c r="B1163" s="5" t="s">
        <v>75</v>
      </c>
      <c r="C1163" s="8"/>
      <c r="D1163" s="12" t="s">
        <v>168</v>
      </c>
      <c r="E1163" s="9" t="s">
        <v>65</v>
      </c>
      <c r="F1163" s="8"/>
    </row>
    <row r="1164">
      <c r="A1164" s="5">
        <v>1163.0</v>
      </c>
      <c r="B1164" s="5" t="s">
        <v>75</v>
      </c>
      <c r="C1164" s="8"/>
      <c r="D1164" s="12" t="s">
        <v>168</v>
      </c>
      <c r="E1164" s="9" t="s">
        <v>66</v>
      </c>
      <c r="F1164" s="8"/>
    </row>
    <row r="1165">
      <c r="A1165" s="5">
        <v>1164.0</v>
      </c>
      <c r="B1165" s="5" t="s">
        <v>75</v>
      </c>
      <c r="C1165" s="8"/>
      <c r="D1165" s="12" t="s">
        <v>168</v>
      </c>
      <c r="E1165" s="9" t="s">
        <v>67</v>
      </c>
      <c r="F1165" s="8"/>
    </row>
    <row r="1166">
      <c r="A1166" s="5">
        <v>1165.0</v>
      </c>
      <c r="B1166" s="5" t="s">
        <v>75</v>
      </c>
      <c r="C1166" s="8"/>
      <c r="D1166" s="12" t="s">
        <v>168</v>
      </c>
      <c r="E1166" s="9" t="s">
        <v>68</v>
      </c>
      <c r="F1166" s="8"/>
    </row>
    <row r="1167">
      <c r="A1167" s="5">
        <v>1166.0</v>
      </c>
      <c r="B1167" s="5" t="s">
        <v>75</v>
      </c>
      <c r="C1167" s="8"/>
      <c r="D1167" s="12" t="s">
        <v>168</v>
      </c>
      <c r="E1167" s="9" t="s">
        <v>69</v>
      </c>
      <c r="F1167" s="8"/>
    </row>
    <row r="1168">
      <c r="A1168" s="5">
        <v>1167.0</v>
      </c>
      <c r="B1168" s="5" t="s">
        <v>75</v>
      </c>
      <c r="C1168" s="8"/>
      <c r="D1168" s="12" t="s">
        <v>168</v>
      </c>
      <c r="E1168" s="9" t="s">
        <v>70</v>
      </c>
      <c r="F1168" s="8"/>
    </row>
    <row r="1169">
      <c r="A1169" s="5">
        <v>1168.0</v>
      </c>
      <c r="B1169" s="5" t="s">
        <v>75</v>
      </c>
      <c r="C1169" s="8"/>
      <c r="D1169" s="12" t="s">
        <v>168</v>
      </c>
      <c r="E1169" s="9" t="s">
        <v>71</v>
      </c>
      <c r="F1169" s="8"/>
    </row>
    <row r="1170">
      <c r="A1170" s="5">
        <v>1169.0</v>
      </c>
      <c r="B1170" s="5" t="s">
        <v>75</v>
      </c>
      <c r="C1170" s="8"/>
      <c r="D1170" s="12" t="s">
        <v>168</v>
      </c>
      <c r="E1170" s="9" t="s">
        <v>72</v>
      </c>
      <c r="F1170" s="8"/>
    </row>
    <row r="1171">
      <c r="A1171" s="5">
        <v>1170.0</v>
      </c>
      <c r="B1171" s="5" t="s">
        <v>75</v>
      </c>
      <c r="C1171" s="8"/>
      <c r="D1171" s="12" t="s">
        <v>168</v>
      </c>
      <c r="E1171" s="9" t="s">
        <v>73</v>
      </c>
      <c r="F1171" s="8"/>
    </row>
    <row r="1172">
      <c r="A1172" s="5">
        <v>1171.0</v>
      </c>
      <c r="B1172" s="5" t="s">
        <v>93</v>
      </c>
      <c r="C1172" s="11">
        <v>4.611E9</v>
      </c>
      <c r="D1172" s="12" t="s">
        <v>169</v>
      </c>
      <c r="E1172" s="9" t="s">
        <v>60</v>
      </c>
      <c r="F1172" s="11">
        <v>3.733E9</v>
      </c>
    </row>
    <row r="1173">
      <c r="A1173" s="5">
        <v>1172.0</v>
      </c>
      <c r="B1173" s="5" t="s">
        <v>93</v>
      </c>
      <c r="C1173" s="11">
        <v>2.854E9</v>
      </c>
      <c r="D1173" s="12" t="s">
        <v>169</v>
      </c>
      <c r="E1173" s="9" t="s">
        <v>62</v>
      </c>
      <c r="F1173" s="11">
        <v>3.887E9</v>
      </c>
    </row>
    <row r="1174">
      <c r="A1174" s="5">
        <v>1173.0</v>
      </c>
      <c r="B1174" s="5" t="s">
        <v>93</v>
      </c>
      <c r="C1174" s="11">
        <v>2.426E9</v>
      </c>
      <c r="D1174" s="12" t="s">
        <v>169</v>
      </c>
      <c r="E1174" s="9" t="s">
        <v>63</v>
      </c>
      <c r="F1174" s="11">
        <v>3.322E9</v>
      </c>
    </row>
    <row r="1175">
      <c r="A1175" s="5">
        <v>1174.0</v>
      </c>
      <c r="B1175" s="5" t="s">
        <v>93</v>
      </c>
      <c r="C1175" s="11">
        <v>2.473E9</v>
      </c>
      <c r="D1175" s="12" t="s">
        <v>169</v>
      </c>
      <c r="E1175" s="9" t="s">
        <v>64</v>
      </c>
      <c r="F1175" s="11">
        <v>3.341E9</v>
      </c>
    </row>
    <row r="1176">
      <c r="A1176" s="5">
        <v>1175.0</v>
      </c>
      <c r="B1176" s="5" t="s">
        <v>93</v>
      </c>
      <c r="C1176" s="11">
        <v>2.908E9</v>
      </c>
      <c r="D1176" s="12" t="s">
        <v>169</v>
      </c>
      <c r="E1176" s="9" t="s">
        <v>65</v>
      </c>
      <c r="F1176" s="11">
        <v>3.663E9</v>
      </c>
    </row>
    <row r="1177">
      <c r="A1177" s="5">
        <v>1176.0</v>
      </c>
      <c r="B1177" s="5" t="s">
        <v>93</v>
      </c>
      <c r="C1177" s="11">
        <v>3.427E9</v>
      </c>
      <c r="D1177" s="12" t="s">
        <v>169</v>
      </c>
      <c r="E1177" s="9" t="s">
        <v>66</v>
      </c>
      <c r="F1177" s="11">
        <v>3.78E9</v>
      </c>
    </row>
    <row r="1178">
      <c r="A1178" s="5">
        <v>1177.0</v>
      </c>
      <c r="B1178" s="5" t="s">
        <v>93</v>
      </c>
      <c r="C1178" s="11">
        <v>3.802E9</v>
      </c>
      <c r="D1178" s="12" t="s">
        <v>169</v>
      </c>
      <c r="E1178" s="9" t="s">
        <v>67</v>
      </c>
      <c r="F1178" s="11">
        <v>4.085E9</v>
      </c>
    </row>
    <row r="1179">
      <c r="A1179" s="5">
        <v>1178.0</v>
      </c>
      <c r="B1179" s="5" t="s">
        <v>93</v>
      </c>
      <c r="C1179" s="11">
        <v>4.405E9</v>
      </c>
      <c r="D1179" s="12" t="s">
        <v>169</v>
      </c>
      <c r="E1179" s="9" t="s">
        <v>68</v>
      </c>
      <c r="F1179" s="11">
        <v>4.669E9</v>
      </c>
    </row>
    <row r="1180">
      <c r="A1180" s="5">
        <v>1179.0</v>
      </c>
      <c r="B1180" s="5" t="s">
        <v>93</v>
      </c>
      <c r="C1180" s="11">
        <v>5.509E9</v>
      </c>
      <c r="D1180" s="12" t="s">
        <v>169</v>
      </c>
      <c r="E1180" s="9" t="s">
        <v>69</v>
      </c>
      <c r="F1180" s="11">
        <v>4.693E9</v>
      </c>
    </row>
    <row r="1181">
      <c r="A1181" s="5">
        <v>1180.0</v>
      </c>
      <c r="B1181" s="5" t="s">
        <v>93</v>
      </c>
      <c r="C1181" s="11">
        <v>5.067E9</v>
      </c>
      <c r="D1181" s="12" t="s">
        <v>169</v>
      </c>
      <c r="E1181" s="9" t="s">
        <v>70</v>
      </c>
      <c r="F1181" s="11">
        <v>4.241E9</v>
      </c>
    </row>
    <row r="1182">
      <c r="A1182" s="5">
        <v>1181.0</v>
      </c>
      <c r="B1182" s="5" t="s">
        <v>93</v>
      </c>
      <c r="C1182" s="11">
        <v>5.824E9</v>
      </c>
      <c r="D1182" s="12" t="s">
        <v>169</v>
      </c>
      <c r="E1182" s="9" t="s">
        <v>71</v>
      </c>
      <c r="F1182" s="11">
        <v>4.725E9</v>
      </c>
    </row>
    <row r="1183">
      <c r="A1183" s="5">
        <v>1182.0</v>
      </c>
      <c r="B1183" s="5" t="s">
        <v>93</v>
      </c>
      <c r="C1183" s="11">
        <v>6.029E9</v>
      </c>
      <c r="D1183" s="12" t="s">
        <v>169</v>
      </c>
      <c r="E1183" s="9" t="s">
        <v>72</v>
      </c>
      <c r="F1183" s="11">
        <v>4.937E9</v>
      </c>
    </row>
    <row r="1184">
      <c r="A1184" s="5">
        <v>1183.0</v>
      </c>
      <c r="B1184" s="5" t="s">
        <v>93</v>
      </c>
      <c r="C1184" s="11">
        <v>6.225E9</v>
      </c>
      <c r="D1184" s="12" t="s">
        <v>169</v>
      </c>
      <c r="E1184" s="9" t="s">
        <v>73</v>
      </c>
      <c r="F1184" s="11">
        <v>4.851E9</v>
      </c>
    </row>
    <row r="1185">
      <c r="A1185" s="5">
        <v>1184.0</v>
      </c>
      <c r="B1185" s="5" t="s">
        <v>75</v>
      </c>
      <c r="C1185" s="11">
        <v>2.8706E10</v>
      </c>
      <c r="D1185" s="12" t="s">
        <v>170</v>
      </c>
      <c r="E1185" s="9" t="s">
        <v>60</v>
      </c>
      <c r="F1185" s="11">
        <v>1.8169E10</v>
      </c>
    </row>
    <row r="1186">
      <c r="A1186" s="5">
        <v>1185.0</v>
      </c>
      <c r="B1186" s="5" t="s">
        <v>75</v>
      </c>
      <c r="C1186" s="11">
        <v>2.6916E10</v>
      </c>
      <c r="D1186" s="12" t="s">
        <v>170</v>
      </c>
      <c r="E1186" s="9" t="s">
        <v>62</v>
      </c>
      <c r="F1186" s="11">
        <v>1.6997E10</v>
      </c>
    </row>
    <row r="1187">
      <c r="A1187" s="5">
        <v>1186.0</v>
      </c>
      <c r="B1187" s="5" t="s">
        <v>75</v>
      </c>
      <c r="C1187" s="11">
        <v>2.8192E10</v>
      </c>
      <c r="D1187" s="12" t="s">
        <v>170</v>
      </c>
      <c r="E1187" s="9" t="s">
        <v>63</v>
      </c>
      <c r="F1187" s="11">
        <v>1.9636E10</v>
      </c>
    </row>
    <row r="1188">
      <c r="A1188" s="5">
        <v>1187.0</v>
      </c>
      <c r="B1188" s="5" t="s">
        <v>75</v>
      </c>
      <c r="C1188" s="11">
        <v>3.2591E10</v>
      </c>
      <c r="D1188" s="12" t="s">
        <v>170</v>
      </c>
      <c r="E1188" s="9" t="s">
        <v>64</v>
      </c>
      <c r="F1188" s="11">
        <v>2.3731E10</v>
      </c>
    </row>
    <row r="1189">
      <c r="A1189" s="5">
        <v>1188.0</v>
      </c>
      <c r="B1189" s="5" t="s">
        <v>75</v>
      </c>
      <c r="C1189" s="11">
        <v>3.787E10</v>
      </c>
      <c r="D1189" s="12" t="s">
        <v>170</v>
      </c>
      <c r="E1189" s="9" t="s">
        <v>65</v>
      </c>
      <c r="F1189" s="11">
        <v>2.4064E10</v>
      </c>
    </row>
    <row r="1190">
      <c r="A1190" s="5">
        <v>1189.0</v>
      </c>
      <c r="B1190" s="5" t="s">
        <v>75</v>
      </c>
      <c r="C1190" s="11">
        <v>3.8374E10</v>
      </c>
      <c r="D1190" s="12" t="s">
        <v>170</v>
      </c>
      <c r="E1190" s="9" t="s">
        <v>66</v>
      </c>
      <c r="F1190" s="11">
        <v>2.6774E10</v>
      </c>
    </row>
    <row r="1191">
      <c r="A1191" s="5">
        <v>1190.0</v>
      </c>
      <c r="B1191" s="5" t="s">
        <v>75</v>
      </c>
      <c r="C1191" s="11">
        <v>4.1644E10</v>
      </c>
      <c r="D1191" s="12" t="s">
        <v>170</v>
      </c>
      <c r="E1191" s="9" t="s">
        <v>67</v>
      </c>
      <c r="F1191" s="11">
        <v>2.7437E10</v>
      </c>
    </row>
    <row r="1192">
      <c r="A1192" s="5">
        <v>1191.0</v>
      </c>
      <c r="B1192" s="5" t="s">
        <v>75</v>
      </c>
      <c r="C1192" s="11">
        <v>4.6144E10</v>
      </c>
      <c r="D1192" s="12" t="s">
        <v>170</v>
      </c>
      <c r="E1192" s="9" t="s">
        <v>68</v>
      </c>
      <c r="F1192" s="11">
        <v>3.2754E10</v>
      </c>
    </row>
    <row r="1193">
      <c r="A1193" s="5">
        <v>1192.0</v>
      </c>
      <c r="B1193" s="5" t="s">
        <v>75</v>
      </c>
      <c r="C1193" s="11">
        <v>4.8757E10</v>
      </c>
      <c r="D1193" s="12" t="s">
        <v>170</v>
      </c>
      <c r="E1193" s="9" t="s">
        <v>69</v>
      </c>
      <c r="F1193" s="11">
        <v>3.7807E10</v>
      </c>
    </row>
    <row r="1194">
      <c r="A1194" s="5">
        <v>1193.0</v>
      </c>
      <c r="B1194" s="5" t="s">
        <v>75</v>
      </c>
      <c r="C1194" s="11">
        <v>4.1938E10</v>
      </c>
      <c r="D1194" s="12" t="s">
        <v>170</v>
      </c>
      <c r="E1194" s="9" t="s">
        <v>70</v>
      </c>
      <c r="F1194" s="11">
        <v>3.4399E10</v>
      </c>
    </row>
    <row r="1195">
      <c r="A1195" s="5">
        <v>1194.0</v>
      </c>
      <c r="B1195" s="5" t="s">
        <v>75</v>
      </c>
      <c r="C1195" s="11">
        <v>4.0058E10</v>
      </c>
      <c r="D1195" s="12" t="s">
        <v>170</v>
      </c>
      <c r="E1195" s="9" t="s">
        <v>71</v>
      </c>
      <c r="F1195" s="11">
        <v>3.3053E10</v>
      </c>
    </row>
    <row r="1196">
      <c r="A1196" s="5">
        <v>1195.0</v>
      </c>
      <c r="B1196" s="5" t="s">
        <v>75</v>
      </c>
      <c r="C1196" s="11">
        <v>4.5368E10</v>
      </c>
      <c r="D1196" s="12" t="s">
        <v>170</v>
      </c>
      <c r="E1196" s="9" t="s">
        <v>72</v>
      </c>
      <c r="F1196" s="11">
        <v>3.5724E10</v>
      </c>
    </row>
    <row r="1197">
      <c r="A1197" s="5">
        <v>1196.0</v>
      </c>
      <c r="B1197" s="5" t="s">
        <v>75</v>
      </c>
      <c r="C1197" s="11">
        <v>4.3036E10</v>
      </c>
      <c r="D1197" s="12" t="s">
        <v>170</v>
      </c>
      <c r="E1197" s="9" t="s">
        <v>73</v>
      </c>
      <c r="F1197" s="11">
        <v>3.2798E10</v>
      </c>
    </row>
    <row r="1198">
      <c r="A1198" s="5">
        <v>1197.0</v>
      </c>
      <c r="B1198" s="5" t="s">
        <v>84</v>
      </c>
      <c r="C1198" s="11">
        <v>1.577E9</v>
      </c>
      <c r="D1198" s="12" t="s">
        <v>171</v>
      </c>
      <c r="E1198" s="9" t="s">
        <v>60</v>
      </c>
      <c r="F1198" s="11">
        <v>2.38E8</v>
      </c>
    </row>
    <row r="1199">
      <c r="A1199" s="5">
        <v>1198.0</v>
      </c>
      <c r="B1199" s="5" t="s">
        <v>84</v>
      </c>
      <c r="C1199" s="11">
        <v>1.494E9</v>
      </c>
      <c r="D1199" s="12" t="s">
        <v>171</v>
      </c>
      <c r="E1199" s="9" t="s">
        <v>62</v>
      </c>
      <c r="F1199" s="11">
        <v>2.27E8</v>
      </c>
    </row>
    <row r="1200">
      <c r="A1200" s="5">
        <v>1199.0</v>
      </c>
      <c r="B1200" s="5" t="s">
        <v>84</v>
      </c>
      <c r="C1200" s="11">
        <v>1.482E9</v>
      </c>
      <c r="D1200" s="12" t="s">
        <v>171</v>
      </c>
      <c r="E1200" s="9" t="s">
        <v>63</v>
      </c>
      <c r="F1200" s="11">
        <v>2.74E8</v>
      </c>
    </row>
    <row r="1201">
      <c r="A1201" s="5">
        <v>1200.0</v>
      </c>
      <c r="B1201" s="5" t="s">
        <v>84</v>
      </c>
      <c r="C1201" s="11">
        <v>1.621E9</v>
      </c>
      <c r="D1201" s="12" t="s">
        <v>171</v>
      </c>
      <c r="E1201" s="9" t="s">
        <v>64</v>
      </c>
      <c r="F1201" s="11">
        <v>2.69E8</v>
      </c>
    </row>
    <row r="1202">
      <c r="A1202" s="5">
        <v>1201.0</v>
      </c>
      <c r="B1202" s="5" t="s">
        <v>84</v>
      </c>
      <c r="C1202" s="11">
        <v>1.733E9</v>
      </c>
      <c r="D1202" s="12" t="s">
        <v>171</v>
      </c>
      <c r="E1202" s="9" t="s">
        <v>65</v>
      </c>
      <c r="F1202" s="11">
        <v>3.18E8</v>
      </c>
    </row>
    <row r="1203">
      <c r="A1203" s="5">
        <v>1202.0</v>
      </c>
      <c r="B1203" s="5" t="s">
        <v>84</v>
      </c>
      <c r="C1203" s="11">
        <v>1.783E9</v>
      </c>
      <c r="D1203" s="12" t="s">
        <v>171</v>
      </c>
      <c r="E1203" s="9" t="s">
        <v>66</v>
      </c>
      <c r="F1203" s="11">
        <v>2.9E8</v>
      </c>
    </row>
    <row r="1204">
      <c r="A1204" s="5">
        <v>1203.0</v>
      </c>
      <c r="B1204" s="5" t="s">
        <v>84</v>
      </c>
      <c r="C1204" s="11">
        <v>2.094E9</v>
      </c>
      <c r="D1204" s="12" t="s">
        <v>171</v>
      </c>
      <c r="E1204" s="9" t="s">
        <v>67</v>
      </c>
      <c r="F1204" s="11">
        <v>3.15E8</v>
      </c>
    </row>
    <row r="1205">
      <c r="A1205" s="5">
        <v>1204.0</v>
      </c>
      <c r="B1205" s="5" t="s">
        <v>84</v>
      </c>
      <c r="C1205" s="11">
        <v>2.142E9</v>
      </c>
      <c r="D1205" s="12" t="s">
        <v>171</v>
      </c>
      <c r="E1205" s="9" t="s">
        <v>68</v>
      </c>
      <c r="F1205" s="11">
        <v>3.4E8</v>
      </c>
    </row>
    <row r="1206">
      <c r="A1206" s="5">
        <v>1205.0</v>
      </c>
      <c r="B1206" s="5" t="s">
        <v>84</v>
      </c>
      <c r="C1206" s="11">
        <v>2.222E9</v>
      </c>
      <c r="D1206" s="12" t="s">
        <v>171</v>
      </c>
      <c r="E1206" s="9" t="s">
        <v>69</v>
      </c>
      <c r="F1206" s="11">
        <v>3.12E8</v>
      </c>
    </row>
    <row r="1207">
      <c r="A1207" s="5">
        <v>1206.0</v>
      </c>
      <c r="B1207" s="5" t="s">
        <v>84</v>
      </c>
      <c r="C1207" s="11">
        <v>2.07E9</v>
      </c>
      <c r="D1207" s="12" t="s">
        <v>171</v>
      </c>
      <c r="E1207" s="9" t="s">
        <v>70</v>
      </c>
      <c r="F1207" s="11">
        <v>2.59E8</v>
      </c>
    </row>
    <row r="1208">
      <c r="A1208" s="5">
        <v>1207.0</v>
      </c>
      <c r="B1208" s="5" t="s">
        <v>84</v>
      </c>
      <c r="C1208" s="11">
        <v>2.095E9</v>
      </c>
      <c r="D1208" s="12" t="s">
        <v>171</v>
      </c>
      <c r="E1208" s="9" t="s">
        <v>71</v>
      </c>
      <c r="F1208" s="11">
        <v>2.35E8</v>
      </c>
    </row>
    <row r="1209">
      <c r="A1209" s="5">
        <v>1208.0</v>
      </c>
      <c r="B1209" s="5" t="s">
        <v>84</v>
      </c>
      <c r="C1209" s="11">
        <v>2.055E9</v>
      </c>
      <c r="D1209" s="12" t="s">
        <v>171</v>
      </c>
      <c r="E1209" s="9" t="s">
        <v>72</v>
      </c>
      <c r="F1209" s="11">
        <v>2.13E8</v>
      </c>
    </row>
    <row r="1210">
      <c r="A1210" s="5">
        <v>1209.0</v>
      </c>
      <c r="B1210" s="5" t="s">
        <v>84</v>
      </c>
      <c r="C1210" s="11">
        <v>2.07E9</v>
      </c>
      <c r="D1210" s="12" t="s">
        <v>171</v>
      </c>
      <c r="E1210" s="9" t="s">
        <v>73</v>
      </c>
      <c r="F1210" s="11">
        <v>1.65E8</v>
      </c>
    </row>
    <row r="1211">
      <c r="A1211" s="5">
        <v>1210.0</v>
      </c>
      <c r="B1211" s="5" t="s">
        <v>61</v>
      </c>
      <c r="C1211" s="11">
        <v>5.97E9</v>
      </c>
      <c r="D1211" s="12" t="s">
        <v>172</v>
      </c>
      <c r="E1211" s="9" t="s">
        <v>60</v>
      </c>
      <c r="F1211" s="11">
        <v>4.2643E10</v>
      </c>
    </row>
    <row r="1212">
      <c r="A1212" s="5">
        <v>1211.0</v>
      </c>
      <c r="B1212" s="5" t="s">
        <v>61</v>
      </c>
      <c r="C1212" s="11">
        <v>5.75E9</v>
      </c>
      <c r="D1212" s="12" t="s">
        <v>172</v>
      </c>
      <c r="E1212" s="9" t="s">
        <v>62</v>
      </c>
      <c r="F1212" s="11">
        <v>3.5526E10</v>
      </c>
    </row>
    <row r="1213">
      <c r="A1213" s="5">
        <v>1212.0</v>
      </c>
      <c r="B1213" s="5" t="s">
        <v>61</v>
      </c>
      <c r="C1213" s="11">
        <v>6.069E9</v>
      </c>
      <c r="D1213" s="12" t="s">
        <v>172</v>
      </c>
      <c r="E1213" s="9" t="s">
        <v>63</v>
      </c>
      <c r="F1213" s="11">
        <v>3.4977E10</v>
      </c>
    </row>
    <row r="1214">
      <c r="A1214" s="5">
        <v>1213.0</v>
      </c>
      <c r="B1214" s="5" t="s">
        <v>61</v>
      </c>
      <c r="C1214" s="11">
        <v>1.1475E10</v>
      </c>
      <c r="D1214" s="12" t="s">
        <v>172</v>
      </c>
      <c r="E1214" s="9" t="s">
        <v>64</v>
      </c>
      <c r="F1214" s="11">
        <v>3.6505E10</v>
      </c>
    </row>
    <row r="1215">
      <c r="A1215" s="5">
        <v>1214.0</v>
      </c>
      <c r="B1215" s="5" t="s">
        <v>61</v>
      </c>
      <c r="C1215" s="11">
        <v>1.4343E10</v>
      </c>
      <c r="D1215" s="12" t="s">
        <v>172</v>
      </c>
      <c r="E1215" s="9" t="s">
        <v>65</v>
      </c>
      <c r="F1215" s="11">
        <v>4.8175E10</v>
      </c>
    </row>
    <row r="1216">
      <c r="A1216" s="5">
        <v>1215.0</v>
      </c>
      <c r="B1216" s="5" t="s">
        <v>61</v>
      </c>
      <c r="C1216" s="11">
        <v>1.5555E10</v>
      </c>
      <c r="D1216" s="12" t="s">
        <v>172</v>
      </c>
      <c r="E1216" s="9" t="s">
        <v>66</v>
      </c>
      <c r="F1216" s="11">
        <v>4.8102E10</v>
      </c>
    </row>
    <row r="1217">
      <c r="A1217" s="5">
        <v>1216.0</v>
      </c>
      <c r="B1217" s="5" t="s">
        <v>61</v>
      </c>
      <c r="C1217" s="11">
        <v>1.149E10</v>
      </c>
      <c r="D1217" s="12" t="s">
        <v>172</v>
      </c>
      <c r="E1217" s="9" t="s">
        <v>67</v>
      </c>
      <c r="F1217" s="11">
        <v>3.7659E10</v>
      </c>
    </row>
    <row r="1218">
      <c r="A1218" s="5">
        <v>1217.0</v>
      </c>
      <c r="B1218" s="5" t="s">
        <v>61</v>
      </c>
      <c r="C1218" s="11">
        <v>1.2422E10</v>
      </c>
      <c r="D1218" s="12" t="s">
        <v>172</v>
      </c>
      <c r="E1218" s="9" t="s">
        <v>68</v>
      </c>
      <c r="F1218" s="11">
        <v>3.7261E10</v>
      </c>
    </row>
    <row r="1219">
      <c r="A1219" s="5">
        <v>1218.0</v>
      </c>
      <c r="B1219" s="5" t="s">
        <v>61</v>
      </c>
      <c r="C1219" s="11">
        <v>1.3781E10</v>
      </c>
      <c r="D1219" s="12" t="s">
        <v>172</v>
      </c>
      <c r="E1219" s="9" t="s">
        <v>69</v>
      </c>
      <c r="F1219" s="11">
        <v>3.8976E10</v>
      </c>
    </row>
    <row r="1220">
      <c r="A1220" s="5">
        <v>1219.0</v>
      </c>
      <c r="B1220" s="5" t="s">
        <v>61</v>
      </c>
      <c r="C1220" s="11">
        <v>1.2537E10</v>
      </c>
      <c r="D1220" s="12" t="s">
        <v>172</v>
      </c>
      <c r="E1220" s="9" t="s">
        <v>70</v>
      </c>
      <c r="F1220" s="11">
        <v>3.4788E10</v>
      </c>
    </row>
    <row r="1221">
      <c r="A1221" s="5">
        <v>1220.0</v>
      </c>
      <c r="B1221" s="5" t="s">
        <v>61</v>
      </c>
      <c r="C1221" s="11">
        <v>1.5356E10</v>
      </c>
      <c r="D1221" s="12" t="s">
        <v>172</v>
      </c>
      <c r="E1221" s="9" t="s">
        <v>71</v>
      </c>
      <c r="F1221" s="11">
        <v>3.9306E10</v>
      </c>
    </row>
    <row r="1222">
      <c r="A1222" s="5">
        <v>1221.0</v>
      </c>
      <c r="B1222" s="5" t="s">
        <v>61</v>
      </c>
      <c r="C1222" s="11">
        <v>1.2534E10</v>
      </c>
      <c r="D1222" s="12" t="s">
        <v>172</v>
      </c>
      <c r="E1222" s="9" t="s">
        <v>72</v>
      </c>
      <c r="F1222" s="11">
        <v>3.976E10</v>
      </c>
    </row>
    <row r="1223">
      <c r="A1223" s="5">
        <v>1222.0</v>
      </c>
      <c r="B1223" s="5" t="s">
        <v>61</v>
      </c>
      <c r="C1223" s="11">
        <v>1.6197E10</v>
      </c>
      <c r="D1223" s="12" t="s">
        <v>172</v>
      </c>
      <c r="E1223" s="9" t="s">
        <v>73</v>
      </c>
      <c r="F1223" s="11">
        <v>4.0967E10</v>
      </c>
    </row>
    <row r="1224">
      <c r="A1224" s="5">
        <v>1223.0</v>
      </c>
      <c r="B1224" s="5" t="s">
        <v>93</v>
      </c>
      <c r="C1224" s="11">
        <v>9.35E8</v>
      </c>
      <c r="D1224" s="12" t="s">
        <v>173</v>
      </c>
      <c r="E1224" s="9" t="s">
        <v>60</v>
      </c>
      <c r="F1224" s="11">
        <v>3.87E8</v>
      </c>
    </row>
    <row r="1225">
      <c r="A1225" s="5">
        <v>1224.0</v>
      </c>
      <c r="B1225" s="5" t="s">
        <v>93</v>
      </c>
      <c r="C1225" s="11">
        <v>8.84E8</v>
      </c>
      <c r="D1225" s="12" t="s">
        <v>173</v>
      </c>
      <c r="E1225" s="9" t="s">
        <v>62</v>
      </c>
      <c r="F1225" s="11">
        <v>4.2E8</v>
      </c>
    </row>
    <row r="1226">
      <c r="A1226" s="5">
        <v>1225.0</v>
      </c>
      <c r="B1226" s="5" t="s">
        <v>93</v>
      </c>
      <c r="C1226" s="11">
        <v>1.254E9</v>
      </c>
      <c r="D1226" s="12" t="s">
        <v>173</v>
      </c>
      <c r="E1226" s="9" t="s">
        <v>63</v>
      </c>
      <c r="F1226" s="11">
        <v>5.04E8</v>
      </c>
    </row>
    <row r="1227">
      <c r="A1227" s="5">
        <v>1226.0</v>
      </c>
      <c r="B1227" s="5" t="s">
        <v>93</v>
      </c>
      <c r="C1227" s="11">
        <v>1.266E9</v>
      </c>
      <c r="D1227" s="12" t="s">
        <v>173</v>
      </c>
      <c r="E1227" s="9" t="s">
        <v>64</v>
      </c>
      <c r="F1227" s="11">
        <v>5.03E8</v>
      </c>
    </row>
    <row r="1228">
      <c r="A1228" s="5">
        <v>1227.0</v>
      </c>
      <c r="B1228" s="5" t="s">
        <v>93</v>
      </c>
      <c r="C1228" s="11">
        <v>1.621E9</v>
      </c>
      <c r="D1228" s="12" t="s">
        <v>173</v>
      </c>
      <c r="E1228" s="9" t="s">
        <v>65</v>
      </c>
      <c r="F1228" s="11">
        <v>5.85E8</v>
      </c>
    </row>
    <row r="1229">
      <c r="A1229" s="5">
        <v>1228.0</v>
      </c>
      <c r="B1229" s="5" t="s">
        <v>93</v>
      </c>
      <c r="C1229" s="11">
        <v>1.759E9</v>
      </c>
      <c r="D1229" s="12" t="s">
        <v>173</v>
      </c>
      <c r="E1229" s="9" t="s">
        <v>66</v>
      </c>
      <c r="F1229" s="11">
        <v>6.53E8</v>
      </c>
    </row>
    <row r="1230">
      <c r="A1230" s="5">
        <v>1229.0</v>
      </c>
      <c r="B1230" s="5" t="s">
        <v>93</v>
      </c>
      <c r="C1230" s="11">
        <v>2.426E9</v>
      </c>
      <c r="D1230" s="12" t="s">
        <v>173</v>
      </c>
      <c r="E1230" s="9" t="s">
        <v>67</v>
      </c>
      <c r="F1230" s="11">
        <v>9.56E8</v>
      </c>
    </row>
    <row r="1231">
      <c r="A1231" s="5">
        <v>1230.0</v>
      </c>
      <c r="B1231" s="5" t="s">
        <v>93</v>
      </c>
      <c r="C1231" s="11">
        <v>2.754E9</v>
      </c>
      <c r="D1231" s="12" t="s">
        <v>173</v>
      </c>
      <c r="E1231" s="9" t="s">
        <v>68</v>
      </c>
      <c r="F1231" s="11">
        <v>1.024E9</v>
      </c>
    </row>
    <row r="1232">
      <c r="A1232" s="5">
        <v>1231.0</v>
      </c>
      <c r="B1232" s="5" t="s">
        <v>93</v>
      </c>
      <c r="C1232" s="11">
        <v>3.539E9</v>
      </c>
      <c r="D1232" s="12" t="s">
        <v>173</v>
      </c>
      <c r="E1232" s="9" t="s">
        <v>69</v>
      </c>
      <c r="F1232" s="11">
        <v>1.14E9</v>
      </c>
    </row>
    <row r="1233">
      <c r="A1233" s="5">
        <v>1232.0</v>
      </c>
      <c r="B1233" s="5" t="s">
        <v>93</v>
      </c>
      <c r="C1233" s="11">
        <v>3.472E9</v>
      </c>
      <c r="D1233" s="12" t="s">
        <v>173</v>
      </c>
      <c r="E1233" s="9" t="s">
        <v>70</v>
      </c>
      <c r="F1233" s="11">
        <v>1.202E9</v>
      </c>
    </row>
    <row r="1234">
      <c r="A1234" s="5">
        <v>1233.0</v>
      </c>
      <c r="B1234" s="5" t="s">
        <v>93</v>
      </c>
      <c r="C1234" s="11">
        <v>4.39E9</v>
      </c>
      <c r="D1234" s="12" t="s">
        <v>173</v>
      </c>
      <c r="E1234" s="9" t="s">
        <v>71</v>
      </c>
      <c r="F1234" s="11">
        <v>1.736E9</v>
      </c>
    </row>
    <row r="1235">
      <c r="A1235" s="5">
        <v>1234.0</v>
      </c>
      <c r="B1235" s="5" t="s">
        <v>93</v>
      </c>
      <c r="C1235" s="11">
        <v>3.86E9</v>
      </c>
      <c r="D1235" s="12" t="s">
        <v>173</v>
      </c>
      <c r="E1235" s="9" t="s">
        <v>72</v>
      </c>
      <c r="F1235" s="11">
        <v>1.28E9</v>
      </c>
    </row>
    <row r="1236">
      <c r="A1236" s="5">
        <v>1235.0</v>
      </c>
      <c r="B1236" s="5" t="s">
        <v>93</v>
      </c>
      <c r="C1236" s="11">
        <v>4.485E9</v>
      </c>
      <c r="D1236" s="12" t="s">
        <v>173</v>
      </c>
      <c r="E1236" s="9" t="s">
        <v>73</v>
      </c>
      <c r="F1236" s="11">
        <v>1.257E9</v>
      </c>
    </row>
    <row r="1237">
      <c r="A1237" s="5">
        <v>1236.0</v>
      </c>
      <c r="B1237" s="5" t="s">
        <v>61</v>
      </c>
      <c r="C1237" s="11">
        <v>4.03E8</v>
      </c>
      <c r="D1237" s="12" t="s">
        <v>174</v>
      </c>
      <c r="E1237" s="9" t="s">
        <v>60</v>
      </c>
      <c r="F1237" s="11">
        <v>4.83E8</v>
      </c>
    </row>
    <row r="1238">
      <c r="A1238" s="5">
        <v>1237.0</v>
      </c>
      <c r="B1238" s="5" t="s">
        <v>61</v>
      </c>
      <c r="C1238" s="11">
        <v>5.02E8</v>
      </c>
      <c r="D1238" s="12" t="s">
        <v>174</v>
      </c>
      <c r="E1238" s="9" t="s">
        <v>62</v>
      </c>
      <c r="F1238" s="11">
        <v>7.61E8</v>
      </c>
    </row>
    <row r="1239">
      <c r="A1239" s="5">
        <v>1238.0</v>
      </c>
      <c r="B1239" s="5" t="s">
        <v>61</v>
      </c>
      <c r="C1239" s="11">
        <v>6.8E8</v>
      </c>
      <c r="D1239" s="12" t="s">
        <v>174</v>
      </c>
      <c r="E1239" s="9" t="s">
        <v>63</v>
      </c>
      <c r="F1239" s="11">
        <v>8.63E8</v>
      </c>
    </row>
    <row r="1240">
      <c r="A1240" s="5">
        <v>1239.0</v>
      </c>
      <c r="B1240" s="5" t="s">
        <v>61</v>
      </c>
      <c r="C1240" s="11">
        <v>6.38E8</v>
      </c>
      <c r="D1240" s="12" t="s">
        <v>174</v>
      </c>
      <c r="E1240" s="9" t="s">
        <v>64</v>
      </c>
      <c r="F1240" s="11">
        <v>7.83E8</v>
      </c>
    </row>
    <row r="1241">
      <c r="A1241" s="5">
        <v>1240.0</v>
      </c>
      <c r="B1241" s="5" t="s">
        <v>61</v>
      </c>
      <c r="C1241" s="11">
        <v>8.03E8</v>
      </c>
      <c r="D1241" s="12" t="s">
        <v>174</v>
      </c>
      <c r="E1241" s="9" t="s">
        <v>65</v>
      </c>
      <c r="F1241" s="11">
        <v>9.97E8</v>
      </c>
    </row>
    <row r="1242">
      <c r="A1242" s="5">
        <v>1241.0</v>
      </c>
      <c r="B1242" s="5" t="s">
        <v>61</v>
      </c>
      <c r="C1242" s="11">
        <v>8.01E8</v>
      </c>
      <c r="D1242" s="12" t="s">
        <v>174</v>
      </c>
      <c r="E1242" s="9" t="s">
        <v>66</v>
      </c>
      <c r="F1242" s="11">
        <v>9.4E8</v>
      </c>
    </row>
    <row r="1243">
      <c r="A1243" s="5">
        <v>1242.0</v>
      </c>
      <c r="B1243" s="5" t="s">
        <v>61</v>
      </c>
      <c r="C1243" s="11">
        <v>9.73E8</v>
      </c>
      <c r="D1243" s="12" t="s">
        <v>174</v>
      </c>
      <c r="E1243" s="9" t="s">
        <v>67</v>
      </c>
      <c r="F1243" s="11">
        <v>1.06E9</v>
      </c>
    </row>
    <row r="1244">
      <c r="A1244" s="5">
        <v>1243.0</v>
      </c>
      <c r="B1244" s="5" t="s">
        <v>61</v>
      </c>
      <c r="C1244" s="11">
        <v>1.213E9</v>
      </c>
      <c r="D1244" s="12" t="s">
        <v>174</v>
      </c>
      <c r="E1244" s="9" t="s">
        <v>68</v>
      </c>
      <c r="F1244" s="11">
        <v>1.396E9</v>
      </c>
    </row>
    <row r="1245">
      <c r="A1245" s="5">
        <v>1244.0</v>
      </c>
      <c r="B1245" s="5" t="s">
        <v>61</v>
      </c>
      <c r="C1245" s="11">
        <v>1.255E9</v>
      </c>
      <c r="D1245" s="12" t="s">
        <v>174</v>
      </c>
      <c r="E1245" s="9" t="s">
        <v>69</v>
      </c>
      <c r="F1245" s="11">
        <v>1.361E9</v>
      </c>
    </row>
    <row r="1246">
      <c r="A1246" s="5">
        <v>1245.0</v>
      </c>
      <c r="B1246" s="5" t="s">
        <v>61</v>
      </c>
      <c r="C1246" s="11">
        <v>1.185E9</v>
      </c>
      <c r="D1246" s="12" t="s">
        <v>174</v>
      </c>
      <c r="E1246" s="9" t="s">
        <v>70</v>
      </c>
      <c r="F1246" s="11">
        <v>1.319E9</v>
      </c>
    </row>
    <row r="1247">
      <c r="A1247" s="5">
        <v>1246.0</v>
      </c>
      <c r="B1247" s="5" t="s">
        <v>61</v>
      </c>
      <c r="C1247" s="11">
        <v>1.236E9</v>
      </c>
      <c r="D1247" s="12" t="s">
        <v>174</v>
      </c>
      <c r="E1247" s="9" t="s">
        <v>71</v>
      </c>
      <c r="F1247" s="11">
        <v>1.489E9</v>
      </c>
    </row>
    <row r="1248">
      <c r="A1248" s="5">
        <v>1247.0</v>
      </c>
      <c r="B1248" s="5" t="s">
        <v>61</v>
      </c>
      <c r="C1248" s="11">
        <v>1.524E9</v>
      </c>
      <c r="D1248" s="12" t="s">
        <v>174</v>
      </c>
      <c r="E1248" s="9" t="s">
        <v>72</v>
      </c>
      <c r="F1248" s="11">
        <v>1.831E9</v>
      </c>
    </row>
    <row r="1249">
      <c r="A1249" s="5">
        <v>1248.0</v>
      </c>
      <c r="B1249" s="5" t="s">
        <v>61</v>
      </c>
      <c r="C1249" s="11">
        <v>1.572E9</v>
      </c>
      <c r="D1249" s="12" t="s">
        <v>174</v>
      </c>
      <c r="E1249" s="9" t="s">
        <v>73</v>
      </c>
      <c r="F1249" s="11">
        <v>2.119E9</v>
      </c>
    </row>
    <row r="1250">
      <c r="A1250" s="5">
        <v>1249.0</v>
      </c>
      <c r="B1250" s="5" t="s">
        <v>77</v>
      </c>
      <c r="C1250" s="11">
        <v>5.0E8</v>
      </c>
      <c r="D1250" s="12" t="s">
        <v>175</v>
      </c>
      <c r="E1250" s="9" t="s">
        <v>60</v>
      </c>
      <c r="F1250" s="11">
        <v>1.56E8</v>
      </c>
    </row>
    <row r="1251">
      <c r="A1251" s="5">
        <v>1250.0</v>
      </c>
      <c r="B1251" s="5" t="s">
        <v>77</v>
      </c>
      <c r="C1251" s="11">
        <v>5.36E8</v>
      </c>
      <c r="D1251" s="12" t="s">
        <v>175</v>
      </c>
      <c r="E1251" s="9" t="s">
        <v>62</v>
      </c>
      <c r="F1251" s="11">
        <v>1.83E8</v>
      </c>
    </row>
    <row r="1252">
      <c r="A1252" s="5">
        <v>1251.0</v>
      </c>
      <c r="B1252" s="5" t="s">
        <v>77</v>
      </c>
      <c r="C1252" s="11">
        <v>5.13E8</v>
      </c>
      <c r="D1252" s="12" t="s">
        <v>175</v>
      </c>
      <c r="E1252" s="9" t="s">
        <v>63</v>
      </c>
      <c r="F1252" s="11">
        <v>1.26E8</v>
      </c>
    </row>
    <row r="1253">
      <c r="A1253" s="5">
        <v>1252.0</v>
      </c>
      <c r="B1253" s="5" t="s">
        <v>77</v>
      </c>
      <c r="C1253" s="11">
        <v>6.19E8</v>
      </c>
      <c r="D1253" s="12" t="s">
        <v>175</v>
      </c>
      <c r="E1253" s="9" t="s">
        <v>64</v>
      </c>
      <c r="F1253" s="11">
        <v>1.27E8</v>
      </c>
    </row>
    <row r="1254">
      <c r="A1254" s="5">
        <v>1253.0</v>
      </c>
      <c r="B1254" s="5" t="s">
        <v>77</v>
      </c>
      <c r="C1254" s="11">
        <v>7.99E8</v>
      </c>
      <c r="D1254" s="12" t="s">
        <v>175</v>
      </c>
      <c r="E1254" s="9" t="s">
        <v>65</v>
      </c>
      <c r="F1254" s="11">
        <v>1.08E8</v>
      </c>
    </row>
    <row r="1255">
      <c r="A1255" s="5">
        <v>1254.0</v>
      </c>
      <c r="B1255" s="5" t="s">
        <v>77</v>
      </c>
      <c r="C1255" s="11">
        <v>9.69E8</v>
      </c>
      <c r="D1255" s="12" t="s">
        <v>175</v>
      </c>
      <c r="E1255" s="9" t="s">
        <v>66</v>
      </c>
      <c r="F1255" s="11">
        <v>1.24E8</v>
      </c>
    </row>
    <row r="1256">
      <c r="A1256" s="5">
        <v>1255.0</v>
      </c>
      <c r="B1256" s="5" t="s">
        <v>77</v>
      </c>
      <c r="C1256" s="11">
        <v>1.181E9</v>
      </c>
      <c r="D1256" s="12" t="s">
        <v>175</v>
      </c>
      <c r="E1256" s="9" t="s">
        <v>67</v>
      </c>
      <c r="F1256" s="11">
        <v>1.78E8</v>
      </c>
    </row>
    <row r="1257">
      <c r="A1257" s="5">
        <v>1256.0</v>
      </c>
      <c r="B1257" s="5" t="s">
        <v>77</v>
      </c>
      <c r="C1257" s="11">
        <v>1.514E9</v>
      </c>
      <c r="D1257" s="12" t="s">
        <v>175</v>
      </c>
      <c r="E1257" s="9" t="s">
        <v>68</v>
      </c>
      <c r="F1257" s="11">
        <v>2.65E8</v>
      </c>
    </row>
    <row r="1258">
      <c r="A1258" s="5">
        <v>1257.0</v>
      </c>
      <c r="B1258" s="5" t="s">
        <v>77</v>
      </c>
      <c r="C1258" s="11">
        <v>1.398E9</v>
      </c>
      <c r="D1258" s="12" t="s">
        <v>175</v>
      </c>
      <c r="E1258" s="9" t="s">
        <v>69</v>
      </c>
      <c r="F1258" s="11">
        <v>2.66E8</v>
      </c>
    </row>
    <row r="1259">
      <c r="A1259" s="5">
        <v>1258.0</v>
      </c>
      <c r="B1259" s="5" t="s">
        <v>77</v>
      </c>
      <c r="C1259" s="11">
        <v>1.124E9</v>
      </c>
      <c r="D1259" s="12" t="s">
        <v>175</v>
      </c>
      <c r="E1259" s="9" t="s">
        <v>70</v>
      </c>
      <c r="F1259" s="11">
        <v>2.27E8</v>
      </c>
    </row>
    <row r="1260">
      <c r="A1260" s="5">
        <v>1259.0</v>
      </c>
      <c r="B1260" s="5" t="s">
        <v>77</v>
      </c>
      <c r="C1260" s="11">
        <v>1.62E9</v>
      </c>
      <c r="D1260" s="12" t="s">
        <v>175</v>
      </c>
      <c r="E1260" s="9" t="s">
        <v>71</v>
      </c>
      <c r="F1260" s="11">
        <v>2.12E8</v>
      </c>
    </row>
    <row r="1261">
      <c r="A1261" s="5">
        <v>1260.0</v>
      </c>
      <c r="B1261" s="5" t="s">
        <v>77</v>
      </c>
      <c r="C1261" s="11">
        <v>1.844E9</v>
      </c>
      <c r="D1261" s="12" t="s">
        <v>175</v>
      </c>
      <c r="E1261" s="9" t="s">
        <v>72</v>
      </c>
      <c r="F1261" s="11">
        <v>1.97E8</v>
      </c>
    </row>
    <row r="1262">
      <c r="A1262" s="5">
        <v>1261.0</v>
      </c>
      <c r="B1262" s="5" t="s">
        <v>77</v>
      </c>
      <c r="C1262" s="11">
        <v>2.004E9</v>
      </c>
      <c r="D1262" s="12" t="s">
        <v>175</v>
      </c>
      <c r="E1262" s="9" t="s">
        <v>73</v>
      </c>
      <c r="F1262" s="11">
        <v>1.74E8</v>
      </c>
    </row>
    <row r="1263">
      <c r="A1263" s="5">
        <v>1262.0</v>
      </c>
      <c r="B1263" s="5" t="s">
        <v>80</v>
      </c>
      <c r="C1263" s="11">
        <v>2700000.0</v>
      </c>
      <c r="D1263" s="12" t="s">
        <v>176</v>
      </c>
      <c r="E1263" s="9" t="s">
        <v>60</v>
      </c>
      <c r="F1263" s="8"/>
    </row>
    <row r="1264">
      <c r="A1264" s="5">
        <v>1263.0</v>
      </c>
      <c r="B1264" s="5" t="s">
        <v>80</v>
      </c>
      <c r="C1264" s="11">
        <v>3200000.0</v>
      </c>
      <c r="D1264" s="12" t="s">
        <v>176</v>
      </c>
      <c r="E1264" s="9" t="s">
        <v>62</v>
      </c>
      <c r="F1264" s="8"/>
    </row>
    <row r="1265">
      <c r="A1265" s="5">
        <v>1264.0</v>
      </c>
      <c r="B1265" s="5" t="s">
        <v>80</v>
      </c>
      <c r="C1265" s="8"/>
      <c r="D1265" s="12" t="s">
        <v>176</v>
      </c>
      <c r="E1265" s="9" t="s">
        <v>63</v>
      </c>
      <c r="F1265" s="8"/>
    </row>
    <row r="1266">
      <c r="A1266" s="5">
        <v>1265.0</v>
      </c>
      <c r="B1266" s="5" t="s">
        <v>80</v>
      </c>
      <c r="C1266" s="8"/>
      <c r="D1266" s="12" t="s">
        <v>176</v>
      </c>
      <c r="E1266" s="9" t="s">
        <v>64</v>
      </c>
      <c r="F1266" s="8"/>
    </row>
    <row r="1267">
      <c r="A1267" s="5">
        <v>1266.0</v>
      </c>
      <c r="B1267" s="5" t="s">
        <v>80</v>
      </c>
      <c r="C1267" s="8"/>
      <c r="D1267" s="12" t="s">
        <v>176</v>
      </c>
      <c r="E1267" s="9" t="s">
        <v>65</v>
      </c>
      <c r="F1267" s="8"/>
    </row>
    <row r="1268">
      <c r="A1268" s="5">
        <v>1267.0</v>
      </c>
      <c r="B1268" s="5" t="s">
        <v>80</v>
      </c>
      <c r="C1268" s="11">
        <v>3100000.0</v>
      </c>
      <c r="D1268" s="12" t="s">
        <v>176</v>
      </c>
      <c r="E1268" s="9" t="s">
        <v>66</v>
      </c>
      <c r="F1268" s="11">
        <v>9300000.0</v>
      </c>
    </row>
    <row r="1269">
      <c r="A1269" s="5">
        <v>1268.0</v>
      </c>
      <c r="B1269" s="5" t="s">
        <v>80</v>
      </c>
      <c r="C1269" s="11">
        <v>2300000.0</v>
      </c>
      <c r="D1269" s="12" t="s">
        <v>176</v>
      </c>
      <c r="E1269" s="9" t="s">
        <v>67</v>
      </c>
      <c r="F1269" s="11">
        <v>5600000.0</v>
      </c>
    </row>
    <row r="1270">
      <c r="A1270" s="5">
        <v>1269.0</v>
      </c>
      <c r="B1270" s="5" t="s">
        <v>80</v>
      </c>
      <c r="C1270" s="11">
        <v>4000000.0</v>
      </c>
      <c r="D1270" s="12" t="s">
        <v>176</v>
      </c>
      <c r="E1270" s="9" t="s">
        <v>68</v>
      </c>
      <c r="F1270" s="11">
        <v>9100000.0</v>
      </c>
    </row>
    <row r="1271">
      <c r="A1271" s="5">
        <v>1270.0</v>
      </c>
      <c r="B1271" s="5" t="s">
        <v>80</v>
      </c>
      <c r="C1271" s="11">
        <v>2900000.0</v>
      </c>
      <c r="D1271" s="12" t="s">
        <v>176</v>
      </c>
      <c r="E1271" s="9" t="s">
        <v>69</v>
      </c>
      <c r="F1271" s="11">
        <v>1.27E7</v>
      </c>
    </row>
    <row r="1272">
      <c r="A1272" s="5">
        <v>1271.0</v>
      </c>
      <c r="B1272" s="5" t="s">
        <v>80</v>
      </c>
      <c r="C1272" s="11">
        <v>2700000.0</v>
      </c>
      <c r="D1272" s="12" t="s">
        <v>176</v>
      </c>
      <c r="E1272" s="9" t="s">
        <v>70</v>
      </c>
      <c r="F1272" s="11">
        <v>1.09E7</v>
      </c>
    </row>
    <row r="1273">
      <c r="A1273" s="5">
        <v>1272.0</v>
      </c>
      <c r="B1273" s="5" t="s">
        <v>80</v>
      </c>
      <c r="C1273" s="8"/>
      <c r="D1273" s="12" t="s">
        <v>176</v>
      </c>
      <c r="E1273" s="9" t="s">
        <v>71</v>
      </c>
      <c r="F1273" s="8"/>
    </row>
    <row r="1274">
      <c r="A1274" s="5">
        <v>1273.0</v>
      </c>
      <c r="B1274" s="5" t="s">
        <v>80</v>
      </c>
      <c r="C1274" s="8"/>
      <c r="D1274" s="12" t="s">
        <v>176</v>
      </c>
      <c r="E1274" s="9" t="s">
        <v>72</v>
      </c>
      <c r="F1274" s="8"/>
    </row>
    <row r="1275">
      <c r="A1275" s="5">
        <v>1274.0</v>
      </c>
      <c r="B1275" s="5" t="s">
        <v>80</v>
      </c>
      <c r="C1275" s="8"/>
      <c r="D1275" s="12" t="s">
        <v>176</v>
      </c>
      <c r="E1275" s="9" t="s">
        <v>73</v>
      </c>
      <c r="F1275" s="8"/>
    </row>
    <row r="1276">
      <c r="A1276" s="5">
        <v>1275.0</v>
      </c>
      <c r="B1276" s="5" t="s">
        <v>75</v>
      </c>
      <c r="C1276" s="8"/>
      <c r="D1276" s="12" t="s">
        <v>177</v>
      </c>
      <c r="E1276" s="9" t="s">
        <v>60</v>
      </c>
      <c r="F1276" s="8"/>
    </row>
    <row r="1277">
      <c r="A1277" s="5">
        <v>1276.0</v>
      </c>
      <c r="B1277" s="5" t="s">
        <v>75</v>
      </c>
      <c r="C1277" s="8"/>
      <c r="D1277" s="12" t="s">
        <v>177</v>
      </c>
      <c r="E1277" s="9" t="s">
        <v>62</v>
      </c>
      <c r="F1277" s="8"/>
    </row>
    <row r="1278">
      <c r="A1278" s="5">
        <v>1277.0</v>
      </c>
      <c r="B1278" s="5" t="s">
        <v>75</v>
      </c>
      <c r="C1278" s="8"/>
      <c r="D1278" s="12" t="s">
        <v>177</v>
      </c>
      <c r="E1278" s="9" t="s">
        <v>63</v>
      </c>
      <c r="F1278" s="8"/>
    </row>
    <row r="1279">
      <c r="A1279" s="5">
        <v>1278.0</v>
      </c>
      <c r="B1279" s="5" t="s">
        <v>75</v>
      </c>
      <c r="C1279" s="8"/>
      <c r="D1279" s="12" t="s">
        <v>177</v>
      </c>
      <c r="E1279" s="9" t="s">
        <v>64</v>
      </c>
      <c r="F1279" s="8"/>
    </row>
    <row r="1280">
      <c r="A1280" s="5">
        <v>1279.0</v>
      </c>
      <c r="B1280" s="5" t="s">
        <v>75</v>
      </c>
      <c r="C1280" s="8"/>
      <c r="D1280" s="12" t="s">
        <v>177</v>
      </c>
      <c r="E1280" s="9" t="s">
        <v>65</v>
      </c>
      <c r="F1280" s="8"/>
    </row>
    <row r="1281">
      <c r="A1281" s="5">
        <v>1280.0</v>
      </c>
      <c r="B1281" s="5" t="s">
        <v>75</v>
      </c>
      <c r="C1281" s="8"/>
      <c r="D1281" s="12" t="s">
        <v>177</v>
      </c>
      <c r="E1281" s="9" t="s">
        <v>66</v>
      </c>
      <c r="F1281" s="8"/>
    </row>
    <row r="1282">
      <c r="A1282" s="5">
        <v>1281.0</v>
      </c>
      <c r="B1282" s="5" t="s">
        <v>75</v>
      </c>
      <c r="C1282" s="8"/>
      <c r="D1282" s="12" t="s">
        <v>177</v>
      </c>
      <c r="E1282" s="9" t="s">
        <v>67</v>
      </c>
      <c r="F1282" s="8"/>
    </row>
    <row r="1283">
      <c r="A1283" s="5">
        <v>1282.0</v>
      </c>
      <c r="B1283" s="5" t="s">
        <v>75</v>
      </c>
      <c r="C1283" s="8"/>
      <c r="D1283" s="12" t="s">
        <v>177</v>
      </c>
      <c r="E1283" s="9" t="s">
        <v>68</v>
      </c>
      <c r="F1283" s="8"/>
    </row>
    <row r="1284">
      <c r="A1284" s="5">
        <v>1283.0</v>
      </c>
      <c r="B1284" s="5" t="s">
        <v>75</v>
      </c>
      <c r="C1284" s="8"/>
      <c r="D1284" s="12" t="s">
        <v>177</v>
      </c>
      <c r="E1284" s="9" t="s">
        <v>69</v>
      </c>
      <c r="F1284" s="8"/>
    </row>
    <row r="1285">
      <c r="A1285" s="5">
        <v>1284.0</v>
      </c>
      <c r="B1285" s="5" t="s">
        <v>75</v>
      </c>
      <c r="C1285" s="8"/>
      <c r="D1285" s="12" t="s">
        <v>177</v>
      </c>
      <c r="E1285" s="9" t="s">
        <v>70</v>
      </c>
      <c r="F1285" s="8"/>
    </row>
    <row r="1286">
      <c r="A1286" s="5">
        <v>1285.0</v>
      </c>
      <c r="B1286" s="5" t="s">
        <v>75</v>
      </c>
      <c r="C1286" s="8"/>
      <c r="D1286" s="12" t="s">
        <v>177</v>
      </c>
      <c r="E1286" s="9" t="s">
        <v>71</v>
      </c>
      <c r="F1286" s="8"/>
    </row>
    <row r="1287">
      <c r="A1287" s="5">
        <v>1286.0</v>
      </c>
      <c r="B1287" s="5" t="s">
        <v>75</v>
      </c>
      <c r="C1287" s="8"/>
      <c r="D1287" s="12" t="s">
        <v>177</v>
      </c>
      <c r="E1287" s="9" t="s">
        <v>72</v>
      </c>
      <c r="F1287" s="8"/>
    </row>
    <row r="1288">
      <c r="A1288" s="5">
        <v>1287.0</v>
      </c>
      <c r="B1288" s="5" t="s">
        <v>75</v>
      </c>
      <c r="C1288" s="8"/>
      <c r="D1288" s="12" t="s">
        <v>177</v>
      </c>
      <c r="E1288" s="9" t="s">
        <v>73</v>
      </c>
      <c r="F1288" s="8"/>
    </row>
    <row r="1289">
      <c r="A1289" s="5">
        <v>1288.0</v>
      </c>
      <c r="B1289" s="5" t="s">
        <v>93</v>
      </c>
      <c r="C1289" s="11">
        <v>3.94E8</v>
      </c>
      <c r="D1289" s="12" t="s">
        <v>178</v>
      </c>
      <c r="E1289" s="9" t="s">
        <v>60</v>
      </c>
      <c r="F1289" s="11">
        <v>2.852E9</v>
      </c>
    </row>
    <row r="1290">
      <c r="A1290" s="5">
        <v>1289.0</v>
      </c>
      <c r="B1290" s="5" t="s">
        <v>93</v>
      </c>
      <c r="C1290" s="11">
        <v>2.86E8</v>
      </c>
      <c r="D1290" s="12" t="s">
        <v>178</v>
      </c>
      <c r="E1290" s="9" t="s">
        <v>62</v>
      </c>
      <c r="F1290" s="11">
        <v>3.207E9</v>
      </c>
    </row>
    <row r="1291">
      <c r="A1291" s="5">
        <v>1290.0</v>
      </c>
      <c r="B1291" s="5" t="s">
        <v>93</v>
      </c>
      <c r="C1291" s="11">
        <v>3.2E8</v>
      </c>
      <c r="D1291" s="12" t="s">
        <v>178</v>
      </c>
      <c r="E1291" s="9" t="s">
        <v>63</v>
      </c>
      <c r="F1291" s="11">
        <v>3.412E9</v>
      </c>
    </row>
    <row r="1292">
      <c r="A1292" s="5">
        <v>1291.0</v>
      </c>
      <c r="B1292" s="5" t="s">
        <v>93</v>
      </c>
      <c r="C1292" s="11">
        <v>3.28E8</v>
      </c>
      <c r="D1292" s="12" t="s">
        <v>178</v>
      </c>
      <c r="E1292" s="9" t="s">
        <v>64</v>
      </c>
      <c r="F1292" s="11">
        <v>3.75E9</v>
      </c>
    </row>
    <row r="1293">
      <c r="A1293" s="5">
        <v>1292.0</v>
      </c>
      <c r="B1293" s="5" t="s">
        <v>93</v>
      </c>
      <c r="C1293" s="11">
        <v>3.98E8</v>
      </c>
      <c r="D1293" s="12" t="s">
        <v>178</v>
      </c>
      <c r="E1293" s="9" t="s">
        <v>65</v>
      </c>
      <c r="F1293" s="11">
        <v>4.147E9</v>
      </c>
    </row>
    <row r="1294">
      <c r="A1294" s="5">
        <v>1293.0</v>
      </c>
      <c r="B1294" s="5" t="s">
        <v>93</v>
      </c>
      <c r="C1294" s="11">
        <v>4.13E8</v>
      </c>
      <c r="D1294" s="12" t="s">
        <v>178</v>
      </c>
      <c r="E1294" s="9" t="s">
        <v>66</v>
      </c>
      <c r="F1294" s="11">
        <v>4.997E9</v>
      </c>
    </row>
    <row r="1295">
      <c r="A1295" s="5">
        <v>1294.0</v>
      </c>
      <c r="B1295" s="5" t="s">
        <v>93</v>
      </c>
      <c r="C1295" s="11">
        <v>5.08E8</v>
      </c>
      <c r="D1295" s="12" t="s">
        <v>178</v>
      </c>
      <c r="E1295" s="9" t="s">
        <v>67</v>
      </c>
      <c r="F1295" s="11">
        <v>6.074E9</v>
      </c>
    </row>
    <row r="1296">
      <c r="A1296" s="5">
        <v>1295.0</v>
      </c>
      <c r="B1296" s="5" t="s">
        <v>93</v>
      </c>
      <c r="C1296" s="11">
        <v>5.3E8</v>
      </c>
      <c r="D1296" s="12" t="s">
        <v>178</v>
      </c>
      <c r="E1296" s="9" t="s">
        <v>68</v>
      </c>
      <c r="F1296" s="11">
        <v>7.267E9</v>
      </c>
    </row>
    <row r="1297">
      <c r="A1297" s="5">
        <v>1296.0</v>
      </c>
      <c r="B1297" s="5" t="s">
        <v>93</v>
      </c>
      <c r="C1297" s="11">
        <v>6.1E8</v>
      </c>
      <c r="D1297" s="12" t="s">
        <v>178</v>
      </c>
      <c r="E1297" s="9" t="s">
        <v>69</v>
      </c>
      <c r="F1297" s="11">
        <v>8.341E9</v>
      </c>
    </row>
    <row r="1298">
      <c r="A1298" s="5">
        <v>1297.0</v>
      </c>
      <c r="B1298" s="5" t="s">
        <v>93</v>
      </c>
      <c r="C1298" s="11">
        <v>6.6E8</v>
      </c>
      <c r="D1298" s="12" t="s">
        <v>178</v>
      </c>
      <c r="E1298" s="9" t="s">
        <v>70</v>
      </c>
      <c r="F1298" s="11">
        <v>6.799E9</v>
      </c>
    </row>
    <row r="1299">
      <c r="A1299" s="5">
        <v>1298.0</v>
      </c>
      <c r="B1299" s="5" t="s">
        <v>93</v>
      </c>
      <c r="C1299" s="11">
        <v>5.74E8</v>
      </c>
      <c r="D1299" s="12" t="s">
        <v>178</v>
      </c>
      <c r="E1299" s="9" t="s">
        <v>71</v>
      </c>
      <c r="F1299" s="11">
        <v>7.106E9</v>
      </c>
    </row>
    <row r="1300">
      <c r="A1300" s="5">
        <v>1299.0</v>
      </c>
      <c r="B1300" s="5" t="s">
        <v>93</v>
      </c>
      <c r="C1300" s="11">
        <v>6.44E8</v>
      </c>
      <c r="D1300" s="12" t="s">
        <v>178</v>
      </c>
      <c r="E1300" s="9" t="s">
        <v>72</v>
      </c>
      <c r="F1300" s="11">
        <v>9.179E9</v>
      </c>
    </row>
    <row r="1301">
      <c r="A1301" s="5">
        <v>1300.0</v>
      </c>
      <c r="B1301" s="5" t="s">
        <v>93</v>
      </c>
      <c r="C1301" s="11">
        <v>7.8E8</v>
      </c>
      <c r="D1301" s="12" t="s">
        <v>178</v>
      </c>
      <c r="E1301" s="9" t="s">
        <v>73</v>
      </c>
      <c r="F1301" s="11">
        <v>9.821E9</v>
      </c>
    </row>
    <row r="1302">
      <c r="A1302" s="5">
        <v>1301.0</v>
      </c>
      <c r="B1302" s="5" t="s">
        <v>61</v>
      </c>
      <c r="C1302" s="11">
        <v>2.0E7</v>
      </c>
      <c r="D1302" s="12" t="s">
        <v>179</v>
      </c>
      <c r="E1302" s="9" t="s">
        <v>60</v>
      </c>
      <c r="F1302" s="11">
        <v>2.8E7</v>
      </c>
    </row>
    <row r="1303">
      <c r="A1303" s="5">
        <v>1302.0</v>
      </c>
      <c r="B1303" s="5" t="s">
        <v>61</v>
      </c>
      <c r="C1303" s="11">
        <v>3.2E7</v>
      </c>
      <c r="D1303" s="12" t="s">
        <v>179</v>
      </c>
      <c r="E1303" s="9" t="s">
        <v>62</v>
      </c>
      <c r="F1303" s="11">
        <v>2.1E7</v>
      </c>
    </row>
    <row r="1304">
      <c r="A1304" s="5">
        <v>1303.0</v>
      </c>
      <c r="B1304" s="5" t="s">
        <v>61</v>
      </c>
      <c r="C1304" s="11">
        <v>4.8E7</v>
      </c>
      <c r="D1304" s="12" t="s">
        <v>179</v>
      </c>
      <c r="E1304" s="9" t="s">
        <v>63</v>
      </c>
      <c r="F1304" s="11">
        <v>2.7E7</v>
      </c>
    </row>
    <row r="1305">
      <c r="A1305" s="5">
        <v>1304.0</v>
      </c>
      <c r="B1305" s="5" t="s">
        <v>61</v>
      </c>
      <c r="C1305" s="11">
        <v>6.2E7</v>
      </c>
      <c r="D1305" s="12" t="s">
        <v>179</v>
      </c>
      <c r="E1305" s="9" t="s">
        <v>64</v>
      </c>
      <c r="F1305" s="11">
        <v>3.5E7</v>
      </c>
    </row>
    <row r="1306">
      <c r="A1306" s="5">
        <v>1305.0</v>
      </c>
      <c r="B1306" s="5" t="s">
        <v>61</v>
      </c>
      <c r="C1306" s="11">
        <v>9.2E7</v>
      </c>
      <c r="D1306" s="12" t="s">
        <v>179</v>
      </c>
      <c r="E1306" s="9" t="s">
        <v>65</v>
      </c>
      <c r="F1306" s="11">
        <v>7.3E7</v>
      </c>
    </row>
    <row r="1307">
      <c r="A1307" s="5">
        <v>1306.0</v>
      </c>
      <c r="B1307" s="5" t="s">
        <v>61</v>
      </c>
      <c r="C1307" s="11">
        <v>9.4E7</v>
      </c>
      <c r="D1307" s="12" t="s">
        <v>179</v>
      </c>
      <c r="E1307" s="9" t="s">
        <v>66</v>
      </c>
      <c r="F1307" s="11">
        <v>9.4E7</v>
      </c>
    </row>
    <row r="1308">
      <c r="A1308" s="5">
        <v>1307.0</v>
      </c>
      <c r="B1308" s="5" t="s">
        <v>61</v>
      </c>
      <c r="C1308" s="11">
        <v>1.89E8</v>
      </c>
      <c r="D1308" s="12" t="s">
        <v>179</v>
      </c>
      <c r="E1308" s="9" t="s">
        <v>67</v>
      </c>
      <c r="F1308" s="11">
        <v>1.42E8</v>
      </c>
    </row>
    <row r="1309">
      <c r="A1309" s="5">
        <v>1308.0</v>
      </c>
      <c r="B1309" s="5" t="s">
        <v>61</v>
      </c>
      <c r="C1309" s="11">
        <v>3.92E8</v>
      </c>
      <c r="D1309" s="12" t="s">
        <v>179</v>
      </c>
      <c r="E1309" s="9" t="s">
        <v>68</v>
      </c>
      <c r="F1309" s="11">
        <v>2.15E8</v>
      </c>
    </row>
    <row r="1310">
      <c r="A1310" s="5">
        <v>1309.0</v>
      </c>
      <c r="B1310" s="5" t="s">
        <v>61</v>
      </c>
      <c r="C1310" s="11">
        <v>5.69E8</v>
      </c>
      <c r="D1310" s="12" t="s">
        <v>179</v>
      </c>
      <c r="E1310" s="9" t="s">
        <v>69</v>
      </c>
      <c r="F1310" s="11">
        <v>4.51E8</v>
      </c>
    </row>
    <row r="1311">
      <c r="A1311" s="5">
        <v>1310.0</v>
      </c>
      <c r="B1311" s="5" t="s">
        <v>61</v>
      </c>
      <c r="C1311" s="11">
        <v>5.06E8</v>
      </c>
      <c r="D1311" s="12" t="s">
        <v>179</v>
      </c>
      <c r="E1311" s="9" t="s">
        <v>70</v>
      </c>
      <c r="F1311" s="11">
        <v>3.93E8</v>
      </c>
    </row>
    <row r="1312">
      <c r="A1312" s="5">
        <v>1311.0</v>
      </c>
      <c r="B1312" s="5" t="s">
        <v>61</v>
      </c>
      <c r="C1312" s="11">
        <v>3.36E8</v>
      </c>
      <c r="D1312" s="12" t="s">
        <v>179</v>
      </c>
      <c r="E1312" s="9" t="s">
        <v>71</v>
      </c>
      <c r="F1312" s="11">
        <v>3.98E8</v>
      </c>
    </row>
    <row r="1313">
      <c r="A1313" s="5">
        <v>1312.0</v>
      </c>
      <c r="B1313" s="5" t="s">
        <v>61</v>
      </c>
      <c r="C1313" s="11">
        <v>6.89E8</v>
      </c>
      <c r="D1313" s="12" t="s">
        <v>179</v>
      </c>
      <c r="E1313" s="9" t="s">
        <v>72</v>
      </c>
      <c r="F1313" s="11">
        <v>5.66E8</v>
      </c>
    </row>
    <row r="1314">
      <c r="A1314" s="5">
        <v>1313.0</v>
      </c>
      <c r="B1314" s="5" t="s">
        <v>61</v>
      </c>
      <c r="C1314" s="11">
        <v>7.5E8</v>
      </c>
      <c r="D1314" s="12" t="s">
        <v>179</v>
      </c>
      <c r="E1314" s="9" t="s">
        <v>73</v>
      </c>
      <c r="F1314" s="11">
        <v>7.38E8</v>
      </c>
    </row>
    <row r="1315">
      <c r="A1315" s="5">
        <v>1314.0</v>
      </c>
      <c r="B1315" s="5" t="s">
        <v>61</v>
      </c>
      <c r="C1315" s="11">
        <v>1.14E8</v>
      </c>
      <c r="D1315" s="12" t="s">
        <v>180</v>
      </c>
      <c r="E1315" s="9" t="s">
        <v>60</v>
      </c>
      <c r="F1315" s="11">
        <v>8000000.0</v>
      </c>
    </row>
    <row r="1316">
      <c r="A1316" s="5">
        <v>1315.0</v>
      </c>
      <c r="B1316" s="5" t="s">
        <v>61</v>
      </c>
      <c r="C1316" s="11">
        <v>1.08E8</v>
      </c>
      <c r="D1316" s="12" t="s">
        <v>180</v>
      </c>
      <c r="E1316" s="9" t="s">
        <v>62</v>
      </c>
      <c r="F1316" s="11">
        <v>4000000.0</v>
      </c>
    </row>
    <row r="1317">
      <c r="A1317" s="5">
        <v>1316.0</v>
      </c>
      <c r="B1317" s="5" t="s">
        <v>61</v>
      </c>
      <c r="C1317" s="11">
        <v>1.1E8</v>
      </c>
      <c r="D1317" s="12" t="s">
        <v>180</v>
      </c>
      <c r="E1317" s="9" t="s">
        <v>63</v>
      </c>
      <c r="F1317" s="11">
        <v>4000000.0</v>
      </c>
    </row>
    <row r="1318">
      <c r="A1318" s="5">
        <v>1317.0</v>
      </c>
      <c r="B1318" s="5" t="s">
        <v>61</v>
      </c>
      <c r="C1318" s="11">
        <v>7.7E7</v>
      </c>
      <c r="D1318" s="12" t="s">
        <v>180</v>
      </c>
      <c r="E1318" s="9" t="s">
        <v>64</v>
      </c>
      <c r="F1318" s="11">
        <v>5000000.0</v>
      </c>
    </row>
    <row r="1319">
      <c r="A1319" s="5">
        <v>1318.0</v>
      </c>
      <c r="B1319" s="5" t="s">
        <v>61</v>
      </c>
      <c r="C1319" s="11">
        <v>1.22E8</v>
      </c>
      <c r="D1319" s="12" t="s">
        <v>180</v>
      </c>
      <c r="E1319" s="9" t="s">
        <v>65</v>
      </c>
      <c r="F1319" s="11">
        <v>8000000.0</v>
      </c>
    </row>
    <row r="1320">
      <c r="A1320" s="5">
        <v>1319.0</v>
      </c>
      <c r="B1320" s="5" t="s">
        <v>61</v>
      </c>
      <c r="C1320" s="11">
        <v>1.43E8</v>
      </c>
      <c r="D1320" s="12" t="s">
        <v>180</v>
      </c>
      <c r="E1320" s="9" t="s">
        <v>66</v>
      </c>
      <c r="F1320" s="11">
        <v>1.0E7</v>
      </c>
    </row>
    <row r="1321">
      <c r="A1321" s="5">
        <v>1320.0</v>
      </c>
      <c r="B1321" s="5" t="s">
        <v>61</v>
      </c>
      <c r="C1321" s="11">
        <v>1.6E8</v>
      </c>
      <c r="D1321" s="12" t="s">
        <v>180</v>
      </c>
      <c r="E1321" s="9" t="s">
        <v>67</v>
      </c>
      <c r="F1321" s="11">
        <v>1.5E7</v>
      </c>
    </row>
    <row r="1322">
      <c r="A1322" s="5">
        <v>1321.0</v>
      </c>
      <c r="B1322" s="5" t="s">
        <v>61</v>
      </c>
      <c r="C1322" s="11">
        <v>1.9E8</v>
      </c>
      <c r="D1322" s="12" t="s">
        <v>180</v>
      </c>
      <c r="E1322" s="9" t="s">
        <v>68</v>
      </c>
      <c r="F1322" s="11">
        <v>1.4E7</v>
      </c>
    </row>
    <row r="1323">
      <c r="A1323" s="5">
        <v>1322.0</v>
      </c>
      <c r="B1323" s="5" t="s">
        <v>61</v>
      </c>
      <c r="C1323" s="11">
        <v>2.8E8</v>
      </c>
      <c r="D1323" s="12" t="s">
        <v>180</v>
      </c>
      <c r="E1323" s="9" t="s">
        <v>69</v>
      </c>
      <c r="F1323" s="11">
        <v>5.1E7</v>
      </c>
    </row>
    <row r="1324">
      <c r="A1324" s="5">
        <v>1323.0</v>
      </c>
      <c r="B1324" s="5" t="s">
        <v>61</v>
      </c>
      <c r="C1324" s="11">
        <v>2.71E8</v>
      </c>
      <c r="D1324" s="12" t="s">
        <v>180</v>
      </c>
      <c r="E1324" s="9" t="s">
        <v>70</v>
      </c>
      <c r="F1324" s="11">
        <v>9.1E7</v>
      </c>
    </row>
    <row r="1325">
      <c r="A1325" s="5">
        <v>1324.0</v>
      </c>
      <c r="B1325" s="5" t="s">
        <v>61</v>
      </c>
      <c r="C1325" s="11">
        <v>3.85E8</v>
      </c>
      <c r="D1325" s="12" t="s">
        <v>180</v>
      </c>
      <c r="E1325" s="9" t="s">
        <v>71</v>
      </c>
      <c r="F1325" s="11">
        <v>2.15E8</v>
      </c>
    </row>
    <row r="1326">
      <c r="A1326" s="5">
        <v>1325.0</v>
      </c>
      <c r="B1326" s="5" t="s">
        <v>61</v>
      </c>
      <c r="C1326" s="11">
        <v>4.13E8</v>
      </c>
      <c r="D1326" s="12" t="s">
        <v>180</v>
      </c>
      <c r="E1326" s="9" t="s">
        <v>72</v>
      </c>
      <c r="F1326" s="11">
        <v>2.48E8</v>
      </c>
    </row>
    <row r="1327">
      <c r="A1327" s="5">
        <v>1326.0</v>
      </c>
      <c r="B1327" s="5" t="s">
        <v>61</v>
      </c>
      <c r="C1327" s="11">
        <v>4.61E8</v>
      </c>
      <c r="D1327" s="12" t="s">
        <v>180</v>
      </c>
      <c r="E1327" s="9" t="s">
        <v>73</v>
      </c>
      <c r="F1327" s="11">
        <v>2.41E8</v>
      </c>
    </row>
    <row r="1328">
      <c r="A1328" s="5">
        <v>1327.0</v>
      </c>
      <c r="B1328" s="5" t="s">
        <v>75</v>
      </c>
      <c r="C1328" s="11">
        <v>1.72E8</v>
      </c>
      <c r="D1328" s="12" t="s">
        <v>181</v>
      </c>
      <c r="E1328" s="9" t="s">
        <v>60</v>
      </c>
      <c r="F1328" s="11">
        <v>2.81E8</v>
      </c>
    </row>
    <row r="1329">
      <c r="A1329" s="5">
        <v>1328.0</v>
      </c>
      <c r="B1329" s="5" t="s">
        <v>75</v>
      </c>
      <c r="C1329" s="11">
        <v>1.53E8</v>
      </c>
      <c r="D1329" s="12" t="s">
        <v>181</v>
      </c>
      <c r="E1329" s="9" t="s">
        <v>62</v>
      </c>
      <c r="F1329" s="11">
        <v>2.55E8</v>
      </c>
    </row>
    <row r="1330">
      <c r="A1330" s="5">
        <v>1329.0</v>
      </c>
      <c r="B1330" s="5" t="s">
        <v>75</v>
      </c>
      <c r="C1330" s="11">
        <v>2.01E8</v>
      </c>
      <c r="D1330" s="12" t="s">
        <v>181</v>
      </c>
      <c r="E1330" s="9" t="s">
        <v>63</v>
      </c>
      <c r="F1330" s="11">
        <v>2.67E8</v>
      </c>
    </row>
    <row r="1331">
      <c r="A1331" s="5">
        <v>1330.0</v>
      </c>
      <c r="B1331" s="5" t="s">
        <v>75</v>
      </c>
      <c r="C1331" s="11">
        <v>2.71E8</v>
      </c>
      <c r="D1331" s="12" t="s">
        <v>181</v>
      </c>
      <c r="E1331" s="9" t="s">
        <v>64</v>
      </c>
      <c r="F1331" s="11">
        <v>3.65E8</v>
      </c>
    </row>
    <row r="1332">
      <c r="A1332" s="5">
        <v>1331.0</v>
      </c>
      <c r="B1332" s="5" t="s">
        <v>75</v>
      </c>
      <c r="C1332" s="11">
        <v>3.43E8</v>
      </c>
      <c r="D1332" s="12" t="s">
        <v>181</v>
      </c>
      <c r="E1332" s="9" t="s">
        <v>65</v>
      </c>
      <c r="F1332" s="11">
        <v>4.28E8</v>
      </c>
    </row>
    <row r="1333">
      <c r="A1333" s="5">
        <v>1332.0</v>
      </c>
      <c r="B1333" s="5" t="s">
        <v>75</v>
      </c>
      <c r="C1333" s="11">
        <v>4.46E8</v>
      </c>
      <c r="D1333" s="12" t="s">
        <v>181</v>
      </c>
      <c r="E1333" s="9" t="s">
        <v>66</v>
      </c>
      <c r="F1333" s="11">
        <v>6.55E8</v>
      </c>
    </row>
    <row r="1334">
      <c r="A1334" s="5">
        <v>1333.0</v>
      </c>
      <c r="B1334" s="5" t="s">
        <v>75</v>
      </c>
      <c r="C1334" s="11">
        <v>6.22E8</v>
      </c>
      <c r="D1334" s="12" t="s">
        <v>181</v>
      </c>
      <c r="E1334" s="9" t="s">
        <v>67</v>
      </c>
      <c r="F1334" s="11">
        <v>7.88E8</v>
      </c>
    </row>
    <row r="1335">
      <c r="A1335" s="5">
        <v>1334.0</v>
      </c>
      <c r="B1335" s="5" t="s">
        <v>75</v>
      </c>
      <c r="C1335" s="11">
        <v>8.81E8</v>
      </c>
      <c r="D1335" s="12" t="s">
        <v>181</v>
      </c>
      <c r="E1335" s="9" t="s">
        <v>68</v>
      </c>
      <c r="F1335" s="11">
        <v>1.021E9</v>
      </c>
    </row>
    <row r="1336">
      <c r="A1336" s="5">
        <v>1335.0</v>
      </c>
      <c r="B1336" s="5" t="s">
        <v>75</v>
      </c>
      <c r="C1336" s="11">
        <v>1.134E9</v>
      </c>
      <c r="D1336" s="12" t="s">
        <v>181</v>
      </c>
      <c r="E1336" s="9" t="s">
        <v>69</v>
      </c>
      <c r="F1336" s="11">
        <v>1.25E9</v>
      </c>
    </row>
    <row r="1337">
      <c r="A1337" s="5">
        <v>1336.0</v>
      </c>
      <c r="B1337" s="5" t="s">
        <v>75</v>
      </c>
      <c r="C1337" s="11">
        <v>1.013E9</v>
      </c>
      <c r="D1337" s="12" t="s">
        <v>181</v>
      </c>
      <c r="E1337" s="9" t="s">
        <v>70</v>
      </c>
      <c r="F1337" s="11">
        <v>9.06E8</v>
      </c>
    </row>
    <row r="1338">
      <c r="A1338" s="5">
        <v>1337.0</v>
      </c>
      <c r="B1338" s="5" t="s">
        <v>75</v>
      </c>
      <c r="C1338" s="11">
        <v>9.63E8</v>
      </c>
      <c r="D1338" s="12" t="s">
        <v>181</v>
      </c>
      <c r="E1338" s="9" t="s">
        <v>71</v>
      </c>
      <c r="F1338" s="11">
        <v>7.71E8</v>
      </c>
    </row>
    <row r="1339">
      <c r="A1339" s="5">
        <v>1338.0</v>
      </c>
      <c r="B1339" s="5" t="s">
        <v>75</v>
      </c>
      <c r="C1339" s="11">
        <v>1.102E9</v>
      </c>
      <c r="D1339" s="12" t="s">
        <v>181</v>
      </c>
      <c r="E1339" s="9" t="s">
        <v>72</v>
      </c>
      <c r="F1339" s="11">
        <v>9.2E8</v>
      </c>
    </row>
    <row r="1340">
      <c r="A1340" s="5">
        <v>1339.0</v>
      </c>
      <c r="B1340" s="5" t="s">
        <v>75</v>
      </c>
      <c r="C1340" s="11">
        <v>1.068E9</v>
      </c>
      <c r="D1340" s="12" t="s">
        <v>181</v>
      </c>
      <c r="E1340" s="9" t="s">
        <v>73</v>
      </c>
      <c r="F1340" s="11">
        <v>8.63E8</v>
      </c>
    </row>
    <row r="1341">
      <c r="A1341" s="5">
        <v>1340.0</v>
      </c>
      <c r="B1341" s="5" t="s">
        <v>93</v>
      </c>
      <c r="C1341" s="11">
        <v>7.42E8</v>
      </c>
      <c r="D1341" s="12" t="s">
        <v>182</v>
      </c>
      <c r="E1341" s="9" t="s">
        <v>60</v>
      </c>
      <c r="F1341" s="8"/>
    </row>
    <row r="1342">
      <c r="A1342" s="5">
        <v>1341.0</v>
      </c>
      <c r="B1342" s="5" t="s">
        <v>93</v>
      </c>
      <c r="C1342" s="11">
        <v>8.37E8</v>
      </c>
      <c r="D1342" s="12" t="s">
        <v>182</v>
      </c>
      <c r="E1342" s="9" t="s">
        <v>62</v>
      </c>
      <c r="F1342" s="8"/>
    </row>
    <row r="1343">
      <c r="A1343" s="5">
        <v>1342.0</v>
      </c>
      <c r="B1343" s="5" t="s">
        <v>93</v>
      </c>
      <c r="C1343" s="11">
        <v>4.284E9</v>
      </c>
      <c r="D1343" s="12" t="s">
        <v>182</v>
      </c>
      <c r="E1343" s="9" t="s">
        <v>63</v>
      </c>
      <c r="F1343" s="11">
        <v>2.683E9</v>
      </c>
    </row>
    <row r="1344">
      <c r="A1344" s="5">
        <v>1343.0</v>
      </c>
      <c r="B1344" s="5" t="s">
        <v>93</v>
      </c>
      <c r="C1344" s="11">
        <v>6.782E9</v>
      </c>
      <c r="D1344" s="12" t="s">
        <v>182</v>
      </c>
      <c r="E1344" s="9" t="s">
        <v>64</v>
      </c>
      <c r="F1344" s="11">
        <v>3.319E9</v>
      </c>
    </row>
    <row r="1345">
      <c r="A1345" s="5">
        <v>1344.0</v>
      </c>
      <c r="B1345" s="5" t="s">
        <v>93</v>
      </c>
      <c r="C1345" s="11">
        <v>5.931E9</v>
      </c>
      <c r="D1345" s="12" t="s">
        <v>182</v>
      </c>
      <c r="E1345" s="9" t="s">
        <v>65</v>
      </c>
      <c r="F1345" s="11">
        <v>3.719E9</v>
      </c>
    </row>
    <row r="1346">
      <c r="A1346" s="5">
        <v>1345.0</v>
      </c>
      <c r="B1346" s="5" t="s">
        <v>93</v>
      </c>
      <c r="C1346" s="11">
        <v>5.969E9</v>
      </c>
      <c r="D1346" s="12" t="s">
        <v>182</v>
      </c>
      <c r="E1346" s="9" t="s">
        <v>66</v>
      </c>
      <c r="F1346" s="11">
        <v>3.565E9</v>
      </c>
    </row>
    <row r="1347">
      <c r="A1347" s="5">
        <v>1346.0</v>
      </c>
      <c r="B1347" s="5" t="s">
        <v>93</v>
      </c>
      <c r="C1347" s="11">
        <v>5.457E9</v>
      </c>
      <c r="D1347" s="12" t="s">
        <v>182</v>
      </c>
      <c r="E1347" s="9" t="s">
        <v>67</v>
      </c>
      <c r="F1347" s="11">
        <v>3.783E9</v>
      </c>
    </row>
    <row r="1348">
      <c r="A1348" s="5">
        <v>1347.0</v>
      </c>
      <c r="B1348" s="5" t="s">
        <v>93</v>
      </c>
      <c r="C1348" s="11">
        <v>5.796E9</v>
      </c>
      <c r="D1348" s="12" t="s">
        <v>182</v>
      </c>
      <c r="E1348" s="9" t="s">
        <v>68</v>
      </c>
      <c r="F1348" s="11">
        <v>3.914E9</v>
      </c>
    </row>
    <row r="1349">
      <c r="A1349" s="5">
        <v>1348.0</v>
      </c>
      <c r="B1349" s="5" t="s">
        <v>93</v>
      </c>
      <c r="C1349" s="11">
        <v>6.317E9</v>
      </c>
      <c r="D1349" s="12" t="s">
        <v>182</v>
      </c>
      <c r="E1349" s="9" t="s">
        <v>69</v>
      </c>
      <c r="F1349" s="11">
        <v>4.297E9</v>
      </c>
    </row>
    <row r="1350">
      <c r="A1350" s="5">
        <v>1349.0</v>
      </c>
      <c r="B1350" s="5" t="s">
        <v>93</v>
      </c>
      <c r="C1350" s="11">
        <v>7.157E9</v>
      </c>
      <c r="D1350" s="12" t="s">
        <v>182</v>
      </c>
      <c r="E1350" s="9" t="s">
        <v>70</v>
      </c>
      <c r="F1350" s="11">
        <v>4.928E9</v>
      </c>
    </row>
    <row r="1351">
      <c r="A1351" s="5">
        <v>1350.0</v>
      </c>
      <c r="B1351" s="5" t="s">
        <v>93</v>
      </c>
      <c r="C1351" s="11">
        <v>8.026E9</v>
      </c>
      <c r="D1351" s="12" t="s">
        <v>182</v>
      </c>
      <c r="E1351" s="9" t="s">
        <v>71</v>
      </c>
      <c r="F1351" s="11">
        <v>4.868E9</v>
      </c>
    </row>
    <row r="1352">
      <c r="A1352" s="5">
        <v>1351.0</v>
      </c>
      <c r="B1352" s="5" t="s">
        <v>93</v>
      </c>
      <c r="C1352" s="11">
        <v>6.797E9</v>
      </c>
      <c r="D1352" s="12" t="s">
        <v>182</v>
      </c>
      <c r="E1352" s="9" t="s">
        <v>72</v>
      </c>
      <c r="F1352" s="11">
        <v>4.44E9</v>
      </c>
    </row>
    <row r="1353">
      <c r="A1353" s="5">
        <v>1352.0</v>
      </c>
      <c r="B1353" s="5" t="s">
        <v>93</v>
      </c>
      <c r="C1353" s="11">
        <v>6.298E9</v>
      </c>
      <c r="D1353" s="12" t="s">
        <v>182</v>
      </c>
      <c r="E1353" s="9" t="s">
        <v>73</v>
      </c>
      <c r="F1353" s="11">
        <v>4.125E9</v>
      </c>
    </row>
    <row r="1354">
      <c r="A1354" s="5">
        <v>1353.0</v>
      </c>
      <c r="B1354" s="5" t="s">
        <v>77</v>
      </c>
      <c r="C1354" s="11">
        <v>1.8E7</v>
      </c>
      <c r="D1354" s="12" t="s">
        <v>183</v>
      </c>
      <c r="E1354" s="9" t="s">
        <v>60</v>
      </c>
      <c r="F1354" s="11">
        <v>1.95E8</v>
      </c>
    </row>
    <row r="1355">
      <c r="A1355" s="5">
        <v>1354.0</v>
      </c>
      <c r="B1355" s="5" t="s">
        <v>77</v>
      </c>
      <c r="C1355" s="11">
        <v>1.6E7</v>
      </c>
      <c r="D1355" s="12" t="s">
        <v>183</v>
      </c>
      <c r="E1355" s="9" t="s">
        <v>62</v>
      </c>
      <c r="F1355" s="11">
        <v>1.66E8</v>
      </c>
    </row>
    <row r="1356">
      <c r="A1356" s="5">
        <v>1355.0</v>
      </c>
      <c r="B1356" s="5" t="s">
        <v>77</v>
      </c>
      <c r="C1356" s="11">
        <v>1.4E7</v>
      </c>
      <c r="D1356" s="12" t="s">
        <v>183</v>
      </c>
      <c r="E1356" s="9" t="s">
        <v>63</v>
      </c>
      <c r="F1356" s="11">
        <v>1.64E8</v>
      </c>
    </row>
    <row r="1357">
      <c r="A1357" s="5">
        <v>1356.0</v>
      </c>
      <c r="B1357" s="5" t="s">
        <v>77</v>
      </c>
      <c r="C1357" s="11">
        <v>2.1E7</v>
      </c>
      <c r="D1357" s="12" t="s">
        <v>183</v>
      </c>
      <c r="E1357" s="9" t="s">
        <v>64</v>
      </c>
      <c r="F1357" s="11">
        <v>2.42E8</v>
      </c>
    </row>
    <row r="1358">
      <c r="A1358" s="5">
        <v>1357.0</v>
      </c>
      <c r="B1358" s="5" t="s">
        <v>77</v>
      </c>
      <c r="C1358" s="11">
        <v>2.6E7</v>
      </c>
      <c r="D1358" s="12" t="s">
        <v>183</v>
      </c>
      <c r="E1358" s="9" t="s">
        <v>65</v>
      </c>
      <c r="F1358" s="11">
        <v>2.78E8</v>
      </c>
    </row>
    <row r="1359">
      <c r="A1359" s="5">
        <v>1358.0</v>
      </c>
      <c r="B1359" s="5" t="s">
        <v>77</v>
      </c>
      <c r="C1359" s="11">
        <v>2.7E7</v>
      </c>
      <c r="D1359" s="12" t="s">
        <v>183</v>
      </c>
      <c r="E1359" s="9" t="s">
        <v>66</v>
      </c>
      <c r="F1359" s="11">
        <v>2.71E8</v>
      </c>
    </row>
    <row r="1360">
      <c r="A1360" s="5">
        <v>1359.0</v>
      </c>
      <c r="B1360" s="5" t="s">
        <v>77</v>
      </c>
      <c r="C1360" s="11">
        <v>2.9E7</v>
      </c>
      <c r="D1360" s="12" t="s">
        <v>183</v>
      </c>
      <c r="E1360" s="9" t="s">
        <v>67</v>
      </c>
      <c r="F1360" s="11">
        <v>2.63E8</v>
      </c>
    </row>
    <row r="1361">
      <c r="A1361" s="5">
        <v>1360.0</v>
      </c>
      <c r="B1361" s="5" t="s">
        <v>77</v>
      </c>
      <c r="C1361" s="11">
        <v>3.1E7</v>
      </c>
      <c r="D1361" s="12" t="s">
        <v>183</v>
      </c>
      <c r="E1361" s="9" t="s">
        <v>68</v>
      </c>
      <c r="F1361" s="11">
        <v>2.76E8</v>
      </c>
    </row>
    <row r="1362">
      <c r="A1362" s="5">
        <v>1361.0</v>
      </c>
      <c r="B1362" s="5" t="s">
        <v>77</v>
      </c>
      <c r="C1362" s="11">
        <v>3.0E7</v>
      </c>
      <c r="D1362" s="12" t="s">
        <v>183</v>
      </c>
      <c r="E1362" s="9" t="s">
        <v>69</v>
      </c>
      <c r="F1362" s="11">
        <v>2.48E8</v>
      </c>
    </row>
    <row r="1363">
      <c r="A1363" s="5">
        <v>1362.0</v>
      </c>
      <c r="B1363" s="5" t="s">
        <v>77</v>
      </c>
      <c r="C1363" s="11">
        <v>3.0E7</v>
      </c>
      <c r="D1363" s="12" t="s">
        <v>183</v>
      </c>
      <c r="E1363" s="9" t="s">
        <v>70</v>
      </c>
      <c r="F1363" s="11">
        <v>2.47E8</v>
      </c>
    </row>
    <row r="1364">
      <c r="A1364" s="5">
        <v>1363.0</v>
      </c>
      <c r="B1364" s="5" t="s">
        <v>77</v>
      </c>
      <c r="C1364" s="11">
        <v>2.5E7</v>
      </c>
      <c r="D1364" s="12" t="s">
        <v>183</v>
      </c>
      <c r="E1364" s="9" t="s">
        <v>71</v>
      </c>
      <c r="F1364" s="11">
        <v>2.78E8</v>
      </c>
    </row>
    <row r="1365">
      <c r="A1365" s="5">
        <v>1364.0</v>
      </c>
      <c r="B1365" s="5" t="s">
        <v>77</v>
      </c>
      <c r="C1365" s="11">
        <v>2.9E7</v>
      </c>
      <c r="D1365" s="12" t="s">
        <v>183</v>
      </c>
      <c r="E1365" s="9" t="s">
        <v>72</v>
      </c>
      <c r="F1365" s="11">
        <v>3.0E8</v>
      </c>
    </row>
    <row r="1366">
      <c r="A1366" s="5">
        <v>1365.0</v>
      </c>
      <c r="B1366" s="5" t="s">
        <v>77</v>
      </c>
      <c r="C1366" s="11">
        <v>4.6E7</v>
      </c>
      <c r="D1366" s="12" t="s">
        <v>183</v>
      </c>
      <c r="E1366" s="9" t="s">
        <v>73</v>
      </c>
      <c r="F1366" s="11">
        <v>2.56E8</v>
      </c>
    </row>
    <row r="1367">
      <c r="A1367" s="5">
        <v>1366.0</v>
      </c>
      <c r="B1367" s="5" t="s">
        <v>77</v>
      </c>
      <c r="C1367" s="8"/>
      <c r="D1367" s="12" t="s">
        <v>184</v>
      </c>
      <c r="E1367" s="9" t="s">
        <v>60</v>
      </c>
      <c r="F1367" s="8"/>
    </row>
    <row r="1368">
      <c r="A1368" s="5">
        <v>1367.0</v>
      </c>
      <c r="B1368" s="5" t="s">
        <v>77</v>
      </c>
      <c r="C1368" s="8"/>
      <c r="D1368" s="12" t="s">
        <v>184</v>
      </c>
      <c r="E1368" s="9" t="s">
        <v>62</v>
      </c>
      <c r="F1368" s="8"/>
    </row>
    <row r="1369">
      <c r="A1369" s="5">
        <v>1368.0</v>
      </c>
      <c r="B1369" s="5" t="s">
        <v>77</v>
      </c>
      <c r="C1369" s="8"/>
      <c r="D1369" s="12" t="s">
        <v>184</v>
      </c>
      <c r="E1369" s="9" t="s">
        <v>63</v>
      </c>
      <c r="F1369" s="8"/>
    </row>
    <row r="1370">
      <c r="A1370" s="5">
        <v>1369.0</v>
      </c>
      <c r="B1370" s="5" t="s">
        <v>77</v>
      </c>
      <c r="C1370" s="8"/>
      <c r="D1370" s="12" t="s">
        <v>184</v>
      </c>
      <c r="E1370" s="9" t="s">
        <v>64</v>
      </c>
      <c r="F1370" s="8"/>
    </row>
    <row r="1371">
      <c r="A1371" s="5">
        <v>1370.0</v>
      </c>
      <c r="B1371" s="5" t="s">
        <v>77</v>
      </c>
      <c r="C1371" s="11">
        <v>5.9E7</v>
      </c>
      <c r="D1371" s="12" t="s">
        <v>184</v>
      </c>
      <c r="E1371" s="9" t="s">
        <v>65</v>
      </c>
      <c r="F1371" s="11">
        <v>2.9E7</v>
      </c>
    </row>
    <row r="1372">
      <c r="A1372" s="5">
        <v>1371.0</v>
      </c>
      <c r="B1372" s="5" t="s">
        <v>77</v>
      </c>
      <c r="C1372" s="11">
        <v>6.7E7</v>
      </c>
      <c r="D1372" s="12" t="s">
        <v>184</v>
      </c>
      <c r="E1372" s="9" t="s">
        <v>66</v>
      </c>
      <c r="F1372" s="11">
        <v>3.3E7</v>
      </c>
    </row>
    <row r="1373">
      <c r="A1373" s="5">
        <v>1372.0</v>
      </c>
      <c r="B1373" s="5" t="s">
        <v>77</v>
      </c>
      <c r="C1373" s="11">
        <v>1.24E8</v>
      </c>
      <c r="D1373" s="12" t="s">
        <v>184</v>
      </c>
      <c r="E1373" s="9" t="s">
        <v>67</v>
      </c>
      <c r="F1373" s="11">
        <v>4.1E7</v>
      </c>
    </row>
    <row r="1374">
      <c r="A1374" s="5">
        <v>1373.0</v>
      </c>
      <c r="B1374" s="5" t="s">
        <v>77</v>
      </c>
      <c r="C1374" s="11">
        <v>1.31E8</v>
      </c>
      <c r="D1374" s="12" t="s">
        <v>184</v>
      </c>
      <c r="E1374" s="9" t="s">
        <v>68</v>
      </c>
      <c r="F1374" s="11">
        <v>4.8E7</v>
      </c>
    </row>
    <row r="1375">
      <c r="A1375" s="5">
        <v>1374.0</v>
      </c>
      <c r="B1375" s="5" t="s">
        <v>77</v>
      </c>
      <c r="C1375" s="11">
        <v>1.58E8</v>
      </c>
      <c r="D1375" s="12" t="s">
        <v>184</v>
      </c>
      <c r="E1375" s="9" t="s">
        <v>69</v>
      </c>
      <c r="F1375" s="11">
        <v>5.8E7</v>
      </c>
    </row>
    <row r="1376">
      <c r="A1376" s="5">
        <v>1375.0</v>
      </c>
      <c r="B1376" s="5" t="s">
        <v>77</v>
      </c>
      <c r="C1376" s="11">
        <v>1.23E8</v>
      </c>
      <c r="D1376" s="12" t="s">
        <v>184</v>
      </c>
      <c r="E1376" s="9" t="s">
        <v>70</v>
      </c>
      <c r="F1376" s="11">
        <v>5.1E7</v>
      </c>
    </row>
    <row r="1377">
      <c r="A1377" s="5">
        <v>1376.0</v>
      </c>
      <c r="B1377" s="5" t="s">
        <v>77</v>
      </c>
      <c r="C1377" s="11">
        <v>1.2E7</v>
      </c>
      <c r="D1377" s="12" t="s">
        <v>184</v>
      </c>
      <c r="E1377" s="9" t="s">
        <v>71</v>
      </c>
      <c r="F1377" s="11">
        <v>1.34E8</v>
      </c>
    </row>
    <row r="1378">
      <c r="A1378" s="5">
        <v>1377.0</v>
      </c>
      <c r="B1378" s="5" t="s">
        <v>77</v>
      </c>
      <c r="C1378" s="11">
        <v>2.32E8</v>
      </c>
      <c r="D1378" s="12" t="s">
        <v>184</v>
      </c>
      <c r="E1378" s="9" t="s">
        <v>72</v>
      </c>
      <c r="F1378" s="11">
        <v>1.32E8</v>
      </c>
    </row>
    <row r="1379">
      <c r="A1379" s="5">
        <v>1378.0</v>
      </c>
      <c r="B1379" s="5" t="s">
        <v>77</v>
      </c>
      <c r="C1379" s="8"/>
      <c r="D1379" s="12" t="s">
        <v>184</v>
      </c>
      <c r="E1379" s="9" t="s">
        <v>73</v>
      </c>
      <c r="F1379" s="8"/>
    </row>
    <row r="1380">
      <c r="A1380" s="5">
        <v>1379.0</v>
      </c>
      <c r="B1380" s="5" t="s">
        <v>77</v>
      </c>
      <c r="C1380" s="11">
        <v>8.4E7</v>
      </c>
      <c r="D1380" s="12" t="s">
        <v>185</v>
      </c>
      <c r="E1380" s="9" t="s">
        <v>60</v>
      </c>
      <c r="F1380" s="11">
        <v>4.95E8</v>
      </c>
    </row>
    <row r="1381">
      <c r="A1381" s="5">
        <v>1380.0</v>
      </c>
      <c r="B1381" s="5" t="s">
        <v>77</v>
      </c>
      <c r="C1381" s="11">
        <v>9.0E7</v>
      </c>
      <c r="D1381" s="12" t="s">
        <v>185</v>
      </c>
      <c r="E1381" s="9" t="s">
        <v>62</v>
      </c>
      <c r="F1381" s="11">
        <v>5.72E8</v>
      </c>
    </row>
    <row r="1382">
      <c r="A1382" s="5">
        <v>1381.0</v>
      </c>
      <c r="B1382" s="5" t="s">
        <v>77</v>
      </c>
      <c r="C1382" s="11">
        <v>2.02E8</v>
      </c>
      <c r="D1382" s="12" t="s">
        <v>185</v>
      </c>
      <c r="E1382" s="9" t="s">
        <v>63</v>
      </c>
      <c r="F1382" s="11">
        <v>6.54E8</v>
      </c>
    </row>
    <row r="1383">
      <c r="A1383" s="5">
        <v>1382.0</v>
      </c>
      <c r="B1383" s="5" t="s">
        <v>77</v>
      </c>
      <c r="C1383" s="11">
        <v>2.43E8</v>
      </c>
      <c r="D1383" s="12" t="s">
        <v>185</v>
      </c>
      <c r="E1383" s="9" t="s">
        <v>64</v>
      </c>
      <c r="F1383" s="11">
        <v>6.89E8</v>
      </c>
    </row>
    <row r="1384">
      <c r="A1384" s="5">
        <v>1383.0</v>
      </c>
      <c r="B1384" s="5" t="s">
        <v>77</v>
      </c>
      <c r="C1384" s="11">
        <v>2.61E8</v>
      </c>
      <c r="D1384" s="12" t="s">
        <v>185</v>
      </c>
      <c r="E1384" s="9" t="s">
        <v>65</v>
      </c>
      <c r="F1384" s="11">
        <v>7.89E8</v>
      </c>
    </row>
    <row r="1385">
      <c r="A1385" s="5">
        <v>1384.0</v>
      </c>
      <c r="B1385" s="5" t="s">
        <v>77</v>
      </c>
      <c r="C1385" s="11">
        <v>3.01E8</v>
      </c>
      <c r="D1385" s="12" t="s">
        <v>185</v>
      </c>
      <c r="E1385" s="9" t="s">
        <v>66</v>
      </c>
      <c r="F1385" s="11">
        <v>9.2E8</v>
      </c>
    </row>
    <row r="1386">
      <c r="A1386" s="5">
        <v>1385.0</v>
      </c>
      <c r="B1386" s="5" t="s">
        <v>77</v>
      </c>
      <c r="C1386" s="11">
        <v>2.44E8</v>
      </c>
      <c r="D1386" s="12" t="s">
        <v>185</v>
      </c>
      <c r="E1386" s="9" t="s">
        <v>67</v>
      </c>
      <c r="F1386" s="11">
        <v>9.15E8</v>
      </c>
    </row>
    <row r="1387">
      <c r="A1387" s="5">
        <v>1386.0</v>
      </c>
      <c r="B1387" s="5" t="s">
        <v>77</v>
      </c>
      <c r="C1387" s="11">
        <v>9.9E7</v>
      </c>
      <c r="D1387" s="12" t="s">
        <v>185</v>
      </c>
      <c r="E1387" s="9" t="s">
        <v>68</v>
      </c>
      <c r="F1387" s="11">
        <v>1.01E9</v>
      </c>
    </row>
    <row r="1388">
      <c r="A1388" s="5">
        <v>1387.0</v>
      </c>
      <c r="B1388" s="5" t="s">
        <v>77</v>
      </c>
      <c r="C1388" s="11">
        <v>9.9E7</v>
      </c>
      <c r="D1388" s="12" t="s">
        <v>185</v>
      </c>
      <c r="E1388" s="9" t="s">
        <v>69</v>
      </c>
      <c r="F1388" s="11">
        <v>1.339E9</v>
      </c>
    </row>
    <row r="1389">
      <c r="A1389" s="5">
        <v>1388.0</v>
      </c>
      <c r="B1389" s="5" t="s">
        <v>77</v>
      </c>
      <c r="C1389" s="11">
        <v>1.59E8</v>
      </c>
      <c r="D1389" s="12" t="s">
        <v>185</v>
      </c>
      <c r="E1389" s="9" t="s">
        <v>70</v>
      </c>
      <c r="F1389" s="11">
        <v>1.683E9</v>
      </c>
    </row>
    <row r="1390">
      <c r="A1390" s="5">
        <v>1389.0</v>
      </c>
      <c r="B1390" s="5" t="s">
        <v>77</v>
      </c>
      <c r="C1390" s="11">
        <v>1.7E8</v>
      </c>
      <c r="D1390" s="12" t="s">
        <v>185</v>
      </c>
      <c r="E1390" s="9" t="s">
        <v>71</v>
      </c>
      <c r="F1390" s="11">
        <v>2.184E9</v>
      </c>
    </row>
    <row r="1391">
      <c r="A1391" s="5">
        <v>1390.0</v>
      </c>
      <c r="B1391" s="5" t="s">
        <v>77</v>
      </c>
      <c r="C1391" s="8"/>
      <c r="D1391" s="12" t="s">
        <v>185</v>
      </c>
      <c r="E1391" s="9" t="s">
        <v>72</v>
      </c>
      <c r="F1391" s="8"/>
    </row>
    <row r="1392">
      <c r="A1392" s="5">
        <v>1391.0</v>
      </c>
      <c r="B1392" s="5" t="s">
        <v>77</v>
      </c>
      <c r="C1392" s="8"/>
      <c r="D1392" s="12" t="s">
        <v>185</v>
      </c>
      <c r="E1392" s="9" t="s">
        <v>73</v>
      </c>
      <c r="F1392" s="11">
        <v>2.654E9</v>
      </c>
    </row>
    <row r="1393">
      <c r="A1393" s="5">
        <v>1392.0</v>
      </c>
      <c r="B1393" s="5" t="s">
        <v>75</v>
      </c>
      <c r="C1393" s="8"/>
      <c r="D1393" s="12" t="s">
        <v>186</v>
      </c>
      <c r="E1393" s="9" t="s">
        <v>60</v>
      </c>
      <c r="F1393" s="8"/>
    </row>
    <row r="1394">
      <c r="A1394" s="5">
        <v>1393.0</v>
      </c>
      <c r="B1394" s="5" t="s">
        <v>75</v>
      </c>
      <c r="C1394" s="8"/>
      <c r="D1394" s="12" t="s">
        <v>186</v>
      </c>
      <c r="E1394" s="9" t="s">
        <v>62</v>
      </c>
      <c r="F1394" s="8"/>
    </row>
    <row r="1395">
      <c r="A1395" s="5">
        <v>1394.0</v>
      </c>
      <c r="B1395" s="5" t="s">
        <v>75</v>
      </c>
      <c r="C1395" s="8"/>
      <c r="D1395" s="12" t="s">
        <v>186</v>
      </c>
      <c r="E1395" s="9" t="s">
        <v>63</v>
      </c>
      <c r="F1395" s="8"/>
    </row>
    <row r="1396">
      <c r="A1396" s="5">
        <v>1395.0</v>
      </c>
      <c r="B1396" s="5" t="s">
        <v>75</v>
      </c>
      <c r="C1396" s="8"/>
      <c r="D1396" s="12" t="s">
        <v>186</v>
      </c>
      <c r="E1396" s="9" t="s">
        <v>64</v>
      </c>
      <c r="F1396" s="8"/>
    </row>
    <row r="1397">
      <c r="A1397" s="5">
        <v>1396.0</v>
      </c>
      <c r="B1397" s="5" t="s">
        <v>75</v>
      </c>
      <c r="C1397" s="8"/>
      <c r="D1397" s="12" t="s">
        <v>186</v>
      </c>
      <c r="E1397" s="9" t="s">
        <v>65</v>
      </c>
      <c r="F1397" s="8"/>
    </row>
    <row r="1398">
      <c r="A1398" s="5">
        <v>1397.0</v>
      </c>
      <c r="B1398" s="5" t="s">
        <v>75</v>
      </c>
      <c r="C1398" s="8"/>
      <c r="D1398" s="12" t="s">
        <v>186</v>
      </c>
      <c r="E1398" s="9" t="s">
        <v>66</v>
      </c>
      <c r="F1398" s="8"/>
    </row>
    <row r="1399">
      <c r="A1399" s="5">
        <v>1398.0</v>
      </c>
      <c r="B1399" s="5" t="s">
        <v>75</v>
      </c>
      <c r="C1399" s="8"/>
      <c r="D1399" s="12" t="s">
        <v>186</v>
      </c>
      <c r="E1399" s="9" t="s">
        <v>67</v>
      </c>
      <c r="F1399" s="8"/>
    </row>
    <row r="1400">
      <c r="A1400" s="5">
        <v>1399.0</v>
      </c>
      <c r="B1400" s="5" t="s">
        <v>75</v>
      </c>
      <c r="C1400" s="8"/>
      <c r="D1400" s="12" t="s">
        <v>186</v>
      </c>
      <c r="E1400" s="9" t="s">
        <v>68</v>
      </c>
      <c r="F1400" s="8"/>
    </row>
    <row r="1401">
      <c r="A1401" s="5">
        <v>1400.0</v>
      </c>
      <c r="B1401" s="5" t="s">
        <v>75</v>
      </c>
      <c r="C1401" s="8"/>
      <c r="D1401" s="12" t="s">
        <v>186</v>
      </c>
      <c r="E1401" s="9" t="s">
        <v>69</v>
      </c>
      <c r="F1401" s="8"/>
    </row>
    <row r="1402">
      <c r="A1402" s="5">
        <v>1401.0</v>
      </c>
      <c r="B1402" s="5" t="s">
        <v>75</v>
      </c>
      <c r="C1402" s="8"/>
      <c r="D1402" s="12" t="s">
        <v>186</v>
      </c>
      <c r="E1402" s="9" t="s">
        <v>70</v>
      </c>
      <c r="F1402" s="8"/>
    </row>
    <row r="1403">
      <c r="A1403" s="5">
        <v>1402.0</v>
      </c>
      <c r="B1403" s="5" t="s">
        <v>75</v>
      </c>
      <c r="C1403" s="8"/>
      <c r="D1403" s="12" t="s">
        <v>186</v>
      </c>
      <c r="E1403" s="9" t="s">
        <v>71</v>
      </c>
      <c r="F1403" s="8"/>
    </row>
    <row r="1404">
      <c r="A1404" s="5">
        <v>1403.0</v>
      </c>
      <c r="B1404" s="5" t="s">
        <v>75</v>
      </c>
      <c r="C1404" s="8"/>
      <c r="D1404" s="12" t="s">
        <v>186</v>
      </c>
      <c r="E1404" s="9" t="s">
        <v>72</v>
      </c>
      <c r="F1404" s="8"/>
    </row>
    <row r="1405">
      <c r="A1405" s="5">
        <v>1404.0</v>
      </c>
      <c r="B1405" s="5" t="s">
        <v>75</v>
      </c>
      <c r="C1405" s="8"/>
      <c r="D1405" s="12" t="s">
        <v>186</v>
      </c>
      <c r="E1405" s="9" t="s">
        <v>73</v>
      </c>
      <c r="F1405" s="8"/>
    </row>
    <row r="1406">
      <c r="A1406" s="5">
        <v>1405.0</v>
      </c>
      <c r="B1406" s="5" t="s">
        <v>75</v>
      </c>
      <c r="C1406" s="11">
        <v>4.3E8</v>
      </c>
      <c r="D1406" s="12" t="s">
        <v>187</v>
      </c>
      <c r="E1406" s="9" t="s">
        <v>60</v>
      </c>
      <c r="F1406" s="11">
        <v>2.61E8</v>
      </c>
    </row>
    <row r="1407">
      <c r="A1407" s="5">
        <v>1406.0</v>
      </c>
      <c r="B1407" s="5" t="s">
        <v>75</v>
      </c>
      <c r="C1407" s="11">
        <v>4.25E8</v>
      </c>
      <c r="D1407" s="12" t="s">
        <v>187</v>
      </c>
      <c r="E1407" s="9" t="s">
        <v>62</v>
      </c>
      <c r="F1407" s="11">
        <v>2.27E8</v>
      </c>
    </row>
    <row r="1408">
      <c r="A1408" s="5">
        <v>1407.0</v>
      </c>
      <c r="B1408" s="5" t="s">
        <v>75</v>
      </c>
      <c r="C1408" s="11">
        <v>5.56E8</v>
      </c>
      <c r="D1408" s="12" t="s">
        <v>187</v>
      </c>
      <c r="E1408" s="9" t="s">
        <v>63</v>
      </c>
      <c r="F1408" s="11">
        <v>3.34E8</v>
      </c>
    </row>
    <row r="1409">
      <c r="A1409" s="5">
        <v>1408.0</v>
      </c>
      <c r="B1409" s="5" t="s">
        <v>75</v>
      </c>
      <c r="C1409" s="11">
        <v>7.0E8</v>
      </c>
      <c r="D1409" s="12" t="s">
        <v>187</v>
      </c>
      <c r="E1409" s="9" t="s">
        <v>64</v>
      </c>
      <c r="F1409" s="11">
        <v>4.76E8</v>
      </c>
    </row>
    <row r="1410">
      <c r="A1410" s="5">
        <v>1409.0</v>
      </c>
      <c r="B1410" s="5" t="s">
        <v>75</v>
      </c>
      <c r="C1410" s="11">
        <v>8.34E8</v>
      </c>
      <c r="D1410" s="12" t="s">
        <v>187</v>
      </c>
      <c r="E1410" s="9" t="s">
        <v>65</v>
      </c>
      <c r="F1410" s="11">
        <v>6.43E8</v>
      </c>
    </row>
    <row r="1411">
      <c r="A1411" s="5">
        <v>1410.0</v>
      </c>
      <c r="B1411" s="5" t="s">
        <v>75</v>
      </c>
      <c r="C1411" s="11">
        <v>9.75E8</v>
      </c>
      <c r="D1411" s="12" t="s">
        <v>187</v>
      </c>
      <c r="E1411" s="9" t="s">
        <v>66</v>
      </c>
      <c r="F1411" s="11">
        <v>7.57E8</v>
      </c>
    </row>
    <row r="1412">
      <c r="A1412" s="5">
        <v>1411.0</v>
      </c>
      <c r="B1412" s="5" t="s">
        <v>75</v>
      </c>
      <c r="C1412" s="11">
        <v>1.077E9</v>
      </c>
      <c r="D1412" s="12" t="s">
        <v>187</v>
      </c>
      <c r="E1412" s="9" t="s">
        <v>67</v>
      </c>
      <c r="F1412" s="11">
        <v>9.31E8</v>
      </c>
    </row>
    <row r="1413">
      <c r="A1413" s="5">
        <v>1412.0</v>
      </c>
      <c r="B1413" s="5" t="s">
        <v>75</v>
      </c>
      <c r="C1413" s="11">
        <v>1.192E9</v>
      </c>
      <c r="D1413" s="12" t="s">
        <v>187</v>
      </c>
      <c r="E1413" s="9" t="s">
        <v>68</v>
      </c>
      <c r="F1413" s="11">
        <v>1.168E9</v>
      </c>
    </row>
    <row r="1414">
      <c r="A1414" s="5">
        <v>1413.0</v>
      </c>
      <c r="B1414" s="5" t="s">
        <v>75</v>
      </c>
      <c r="C1414" s="11">
        <v>1.316E9</v>
      </c>
      <c r="D1414" s="12" t="s">
        <v>187</v>
      </c>
      <c r="E1414" s="9" t="s">
        <v>69</v>
      </c>
      <c r="F1414" s="11">
        <v>1.567E9</v>
      </c>
    </row>
    <row r="1415">
      <c r="A1415" s="5">
        <v>1414.0</v>
      </c>
      <c r="B1415" s="5" t="s">
        <v>75</v>
      </c>
      <c r="C1415" s="11">
        <v>1.063E9</v>
      </c>
      <c r="D1415" s="12" t="s">
        <v>187</v>
      </c>
      <c r="E1415" s="9" t="s">
        <v>70</v>
      </c>
      <c r="F1415" s="11">
        <v>1.17E9</v>
      </c>
    </row>
    <row r="1416">
      <c r="A1416" s="5">
        <v>1415.0</v>
      </c>
      <c r="B1416" s="5" t="s">
        <v>75</v>
      </c>
      <c r="C1416" s="11">
        <v>1.034E9</v>
      </c>
      <c r="D1416" s="12" t="s">
        <v>187</v>
      </c>
      <c r="E1416" s="9" t="s">
        <v>71</v>
      </c>
      <c r="F1416" s="11">
        <v>9.36E8</v>
      </c>
    </row>
    <row r="1417">
      <c r="A1417" s="5">
        <v>1416.0</v>
      </c>
      <c r="B1417" s="5" t="s">
        <v>75</v>
      </c>
      <c r="C1417" s="11">
        <v>1.417E9</v>
      </c>
      <c r="D1417" s="12" t="s">
        <v>187</v>
      </c>
      <c r="E1417" s="9" t="s">
        <v>72</v>
      </c>
      <c r="F1417" s="11">
        <v>8.74E8</v>
      </c>
    </row>
    <row r="1418">
      <c r="A1418" s="5">
        <v>1417.0</v>
      </c>
      <c r="B1418" s="5" t="s">
        <v>75</v>
      </c>
      <c r="C1418" s="11">
        <v>1.43E9</v>
      </c>
      <c r="D1418" s="12" t="s">
        <v>187</v>
      </c>
      <c r="E1418" s="9" t="s">
        <v>73</v>
      </c>
      <c r="F1418" s="11">
        <v>1.058E9</v>
      </c>
    </row>
    <row r="1419">
      <c r="A1419" s="5">
        <v>1418.0</v>
      </c>
      <c r="B1419" s="5" t="s">
        <v>75</v>
      </c>
      <c r="C1419" s="11">
        <v>1.686E9</v>
      </c>
      <c r="D1419" s="12" t="s">
        <v>188</v>
      </c>
      <c r="E1419" s="9" t="s">
        <v>60</v>
      </c>
      <c r="F1419" s="11">
        <v>1.309E9</v>
      </c>
    </row>
    <row r="1420">
      <c r="A1420" s="5">
        <v>1419.0</v>
      </c>
      <c r="B1420" s="5" t="s">
        <v>75</v>
      </c>
      <c r="C1420" s="11">
        <v>1.78E9</v>
      </c>
      <c r="D1420" s="12" t="s">
        <v>188</v>
      </c>
      <c r="E1420" s="9" t="s">
        <v>62</v>
      </c>
      <c r="F1420" s="11">
        <v>1.464E9</v>
      </c>
    </row>
    <row r="1421">
      <c r="A1421" s="5">
        <v>1420.0</v>
      </c>
      <c r="B1421" s="5" t="s">
        <v>75</v>
      </c>
      <c r="C1421" s="11">
        <v>2.547E9</v>
      </c>
      <c r="D1421" s="12" t="s">
        <v>188</v>
      </c>
      <c r="E1421" s="9" t="s">
        <v>63</v>
      </c>
      <c r="F1421" s="11">
        <v>1.963E9</v>
      </c>
    </row>
    <row r="1422">
      <c r="A1422" s="5">
        <v>1421.0</v>
      </c>
      <c r="B1422" s="5" t="s">
        <v>75</v>
      </c>
      <c r="C1422" s="11">
        <v>3.149E9</v>
      </c>
      <c r="D1422" s="12" t="s">
        <v>188</v>
      </c>
      <c r="E1422" s="9" t="s">
        <v>64</v>
      </c>
      <c r="F1422" s="11">
        <v>2.445E9</v>
      </c>
    </row>
    <row r="1423">
      <c r="A1423" s="5">
        <v>1422.0</v>
      </c>
      <c r="B1423" s="5" t="s">
        <v>75</v>
      </c>
      <c r="C1423" s="11">
        <v>3.88E9</v>
      </c>
      <c r="D1423" s="12" t="s">
        <v>188</v>
      </c>
      <c r="E1423" s="9" t="s">
        <v>65</v>
      </c>
      <c r="F1423" s="11">
        <v>2.95E9</v>
      </c>
    </row>
    <row r="1424">
      <c r="A1424" s="5">
        <v>1423.0</v>
      </c>
      <c r="B1424" s="5" t="s">
        <v>75</v>
      </c>
      <c r="C1424" s="11">
        <v>3.612E9</v>
      </c>
      <c r="D1424" s="12" t="s">
        <v>188</v>
      </c>
      <c r="E1424" s="9" t="s">
        <v>66</v>
      </c>
      <c r="F1424" s="11">
        <v>2.977E9</v>
      </c>
    </row>
    <row r="1425">
      <c r="A1425" s="5">
        <v>1424.0</v>
      </c>
      <c r="B1425" s="5" t="s">
        <v>75</v>
      </c>
      <c r="C1425" s="11">
        <v>3.636E9</v>
      </c>
      <c r="D1425" s="12" t="s">
        <v>188</v>
      </c>
      <c r="E1425" s="9" t="s">
        <v>67</v>
      </c>
      <c r="F1425" s="11">
        <v>3.138E9</v>
      </c>
    </row>
    <row r="1426">
      <c r="A1426" s="5">
        <v>1425.0</v>
      </c>
      <c r="B1426" s="5" t="s">
        <v>75</v>
      </c>
      <c r="C1426" s="11">
        <v>4.032E9</v>
      </c>
      <c r="D1426" s="12" t="s">
        <v>188</v>
      </c>
      <c r="E1426" s="9" t="s">
        <v>68</v>
      </c>
      <c r="F1426" s="11">
        <v>3.476E9</v>
      </c>
    </row>
    <row r="1427">
      <c r="A1427" s="5">
        <v>1426.0</v>
      </c>
      <c r="B1427" s="5" t="s">
        <v>75</v>
      </c>
      <c r="C1427" s="11">
        <v>4.486E9</v>
      </c>
      <c r="D1427" s="12" t="s">
        <v>188</v>
      </c>
      <c r="E1427" s="9" t="s">
        <v>69</v>
      </c>
      <c r="F1427" s="11">
        <v>3.801E9</v>
      </c>
    </row>
    <row r="1428">
      <c r="A1428" s="5">
        <v>1427.0</v>
      </c>
      <c r="B1428" s="5" t="s">
        <v>75</v>
      </c>
      <c r="C1428" s="11">
        <v>4.148E9</v>
      </c>
      <c r="D1428" s="12" t="s">
        <v>188</v>
      </c>
      <c r="E1428" s="9" t="s">
        <v>70</v>
      </c>
      <c r="F1428" s="11">
        <v>3.612E9</v>
      </c>
    </row>
    <row r="1429">
      <c r="A1429" s="5">
        <v>1428.0</v>
      </c>
      <c r="B1429" s="5" t="s">
        <v>75</v>
      </c>
      <c r="C1429" s="11">
        <v>4.115E9</v>
      </c>
      <c r="D1429" s="12" t="s">
        <v>188</v>
      </c>
      <c r="E1429" s="9" t="s">
        <v>71</v>
      </c>
      <c r="F1429" s="11">
        <v>3.549E9</v>
      </c>
    </row>
    <row r="1430">
      <c r="A1430" s="5">
        <v>1429.0</v>
      </c>
      <c r="B1430" s="5" t="s">
        <v>75</v>
      </c>
      <c r="C1430" s="11">
        <v>4.825E9</v>
      </c>
      <c r="D1430" s="12" t="s">
        <v>188</v>
      </c>
      <c r="E1430" s="9" t="s">
        <v>72</v>
      </c>
      <c r="F1430" s="11">
        <v>3.822E9</v>
      </c>
    </row>
    <row r="1431">
      <c r="A1431" s="5">
        <v>1430.0</v>
      </c>
      <c r="B1431" s="5" t="s">
        <v>75</v>
      </c>
      <c r="C1431" s="11">
        <v>4.613E9</v>
      </c>
      <c r="D1431" s="12" t="s">
        <v>188</v>
      </c>
      <c r="E1431" s="9" t="s">
        <v>73</v>
      </c>
      <c r="F1431" s="11">
        <v>3.582E9</v>
      </c>
    </row>
    <row r="1432">
      <c r="A1432" s="5">
        <v>1431.0</v>
      </c>
      <c r="B1432" s="5" t="s">
        <v>61</v>
      </c>
      <c r="C1432" s="11">
        <v>3.205E9</v>
      </c>
      <c r="D1432" s="12" t="s">
        <v>189</v>
      </c>
      <c r="E1432" s="9" t="s">
        <v>60</v>
      </c>
      <c r="F1432" s="8"/>
    </row>
    <row r="1433">
      <c r="A1433" s="5">
        <v>1432.0</v>
      </c>
      <c r="B1433" s="5" t="s">
        <v>61</v>
      </c>
      <c r="C1433" s="11">
        <v>3.745E9</v>
      </c>
      <c r="D1433" s="12" t="s">
        <v>189</v>
      </c>
      <c r="E1433" s="9" t="s">
        <v>62</v>
      </c>
      <c r="F1433" s="8"/>
    </row>
    <row r="1434">
      <c r="A1434" s="5">
        <v>1433.0</v>
      </c>
      <c r="B1434" s="5" t="s">
        <v>61</v>
      </c>
      <c r="C1434" s="11">
        <v>4.428E9</v>
      </c>
      <c r="D1434" s="12" t="s">
        <v>189</v>
      </c>
      <c r="E1434" s="9" t="s">
        <v>63</v>
      </c>
      <c r="F1434" s="11">
        <v>5.12E8</v>
      </c>
    </row>
    <row r="1435">
      <c r="A1435" s="5">
        <v>1434.0</v>
      </c>
      <c r="B1435" s="5" t="s">
        <v>61</v>
      </c>
      <c r="C1435" s="11">
        <v>5.225E9</v>
      </c>
      <c r="D1435" s="12" t="s">
        <v>189</v>
      </c>
      <c r="E1435" s="9" t="s">
        <v>64</v>
      </c>
      <c r="F1435" s="11">
        <v>4.71E8</v>
      </c>
    </row>
    <row r="1436">
      <c r="A1436" s="5">
        <v>1435.0</v>
      </c>
      <c r="B1436" s="5" t="s">
        <v>61</v>
      </c>
      <c r="C1436" s="11">
        <v>7.431E9</v>
      </c>
      <c r="D1436" s="12" t="s">
        <v>189</v>
      </c>
      <c r="E1436" s="9" t="s">
        <v>65</v>
      </c>
      <c r="F1436" s="11">
        <v>5.29E8</v>
      </c>
    </row>
    <row r="1437">
      <c r="A1437" s="5">
        <v>1436.0</v>
      </c>
      <c r="B1437" s="5" t="s">
        <v>61</v>
      </c>
      <c r="C1437" s="11">
        <v>8.19E9</v>
      </c>
      <c r="D1437" s="12" t="s">
        <v>189</v>
      </c>
      <c r="E1437" s="9" t="s">
        <v>66</v>
      </c>
      <c r="F1437" s="11">
        <v>6.15E8</v>
      </c>
    </row>
    <row r="1438">
      <c r="A1438" s="5">
        <v>1437.0</v>
      </c>
      <c r="B1438" s="5" t="s">
        <v>61</v>
      </c>
      <c r="C1438" s="11">
        <v>1.0055E10</v>
      </c>
      <c r="D1438" s="12" t="s">
        <v>189</v>
      </c>
      <c r="E1438" s="9" t="s">
        <v>67</v>
      </c>
      <c r="F1438" s="11">
        <v>6.48E8</v>
      </c>
    </row>
    <row r="1439">
      <c r="A1439" s="5">
        <v>1438.0</v>
      </c>
      <c r="B1439" s="5" t="s">
        <v>61</v>
      </c>
      <c r="C1439" s="11">
        <v>1.3733E10</v>
      </c>
      <c r="D1439" s="12" t="s">
        <v>189</v>
      </c>
      <c r="E1439" s="9" t="s">
        <v>68</v>
      </c>
      <c r="F1439" s="11">
        <v>7.77E8</v>
      </c>
    </row>
    <row r="1440">
      <c r="A1440" s="5">
        <v>1439.0</v>
      </c>
      <c r="B1440" s="5" t="s">
        <v>61</v>
      </c>
      <c r="C1440" s="11">
        <v>1.7297E10</v>
      </c>
      <c r="D1440" s="12" t="s">
        <v>189</v>
      </c>
      <c r="E1440" s="9" t="s">
        <v>69</v>
      </c>
      <c r="F1440" s="11">
        <v>9.02E8</v>
      </c>
    </row>
    <row r="1441">
      <c r="A1441" s="5">
        <v>1440.0</v>
      </c>
      <c r="B1441" s="5" t="s">
        <v>61</v>
      </c>
      <c r="C1441" s="11">
        <v>1.8445E10</v>
      </c>
      <c r="D1441" s="12" t="s">
        <v>189</v>
      </c>
      <c r="E1441" s="9" t="s">
        <v>70</v>
      </c>
      <c r="F1441" s="11">
        <v>9.83E8</v>
      </c>
    </row>
    <row r="1442">
      <c r="A1442" s="5">
        <v>1441.0</v>
      </c>
      <c r="B1442" s="5" t="s">
        <v>61</v>
      </c>
      <c r="C1442" s="11">
        <v>2.8214E10</v>
      </c>
      <c r="D1442" s="12" t="s">
        <v>189</v>
      </c>
      <c r="E1442" s="9" t="s">
        <v>71</v>
      </c>
      <c r="F1442" s="11">
        <v>1.237E9</v>
      </c>
    </row>
    <row r="1443">
      <c r="A1443" s="5">
        <v>1442.0</v>
      </c>
      <c r="B1443" s="5" t="s">
        <v>61</v>
      </c>
      <c r="C1443" s="11">
        <v>3.8976E10</v>
      </c>
      <c r="D1443" s="12" t="s">
        <v>189</v>
      </c>
      <c r="E1443" s="9" t="s">
        <v>72</v>
      </c>
      <c r="F1443" s="11">
        <v>1.476E9</v>
      </c>
    </row>
    <row r="1444">
      <c r="A1444" s="5">
        <v>1443.0</v>
      </c>
      <c r="B1444" s="5" t="s">
        <v>61</v>
      </c>
      <c r="C1444" s="11">
        <v>4.4455E10</v>
      </c>
      <c r="D1444" s="12" t="s">
        <v>189</v>
      </c>
      <c r="E1444" s="9" t="s">
        <v>73</v>
      </c>
      <c r="F1444" s="11">
        <v>1.711E9</v>
      </c>
    </row>
    <row r="1445">
      <c r="A1445" s="5">
        <v>1444.0</v>
      </c>
      <c r="B1445" s="5" t="s">
        <v>77</v>
      </c>
      <c r="C1445" s="11">
        <v>1.52E8</v>
      </c>
      <c r="D1445" s="12" t="s">
        <v>190</v>
      </c>
      <c r="E1445" s="9" t="s">
        <v>60</v>
      </c>
      <c r="F1445" s="11">
        <v>1.39E8</v>
      </c>
    </row>
    <row r="1446">
      <c r="A1446" s="5">
        <v>1445.0</v>
      </c>
      <c r="B1446" s="5" t="s">
        <v>77</v>
      </c>
      <c r="C1446" s="11">
        <v>1.49E8</v>
      </c>
      <c r="D1446" s="12" t="s">
        <v>190</v>
      </c>
      <c r="E1446" s="9" t="s">
        <v>62</v>
      </c>
      <c r="F1446" s="11">
        <v>1.79E8</v>
      </c>
    </row>
    <row r="1447">
      <c r="A1447" s="5">
        <v>1446.0</v>
      </c>
      <c r="B1447" s="5" t="s">
        <v>77</v>
      </c>
      <c r="C1447" s="11">
        <v>1.09E8</v>
      </c>
      <c r="D1447" s="12" t="s">
        <v>190</v>
      </c>
      <c r="E1447" s="9" t="s">
        <v>63</v>
      </c>
      <c r="F1447" s="11">
        <v>1.92E8</v>
      </c>
    </row>
    <row r="1448">
      <c r="A1448" s="5">
        <v>1447.0</v>
      </c>
      <c r="B1448" s="5" t="s">
        <v>77</v>
      </c>
      <c r="C1448" s="11">
        <v>1.19E8</v>
      </c>
      <c r="D1448" s="12" t="s">
        <v>190</v>
      </c>
      <c r="E1448" s="9" t="s">
        <v>64</v>
      </c>
      <c r="F1448" s="11">
        <v>6.7E7</v>
      </c>
    </row>
    <row r="1449">
      <c r="A1449" s="5">
        <v>1448.0</v>
      </c>
      <c r="B1449" s="5" t="s">
        <v>77</v>
      </c>
      <c r="C1449" s="11">
        <v>2.39E8</v>
      </c>
      <c r="D1449" s="12" t="s">
        <v>190</v>
      </c>
      <c r="E1449" s="9" t="s">
        <v>65</v>
      </c>
      <c r="F1449" s="11">
        <v>1.08E8</v>
      </c>
    </row>
    <row r="1450">
      <c r="A1450" s="5">
        <v>1449.0</v>
      </c>
      <c r="B1450" s="5" t="s">
        <v>77</v>
      </c>
      <c r="C1450" s="11">
        <v>2.9E8</v>
      </c>
      <c r="D1450" s="12" t="s">
        <v>190</v>
      </c>
      <c r="E1450" s="9" t="s">
        <v>66</v>
      </c>
      <c r="F1450" s="11">
        <v>8.0E7</v>
      </c>
    </row>
    <row r="1451">
      <c r="A1451" s="5">
        <v>1450.0</v>
      </c>
      <c r="B1451" s="5" t="s">
        <v>77</v>
      </c>
      <c r="C1451" s="11">
        <v>3.86E8</v>
      </c>
      <c r="D1451" s="12" t="s">
        <v>190</v>
      </c>
      <c r="E1451" s="9" t="s">
        <v>67</v>
      </c>
      <c r="F1451" s="11">
        <v>8.6E7</v>
      </c>
    </row>
    <row r="1452">
      <c r="A1452" s="5">
        <v>1451.0</v>
      </c>
      <c r="B1452" s="5" t="s">
        <v>77</v>
      </c>
      <c r="C1452" s="11">
        <v>5.06E8</v>
      </c>
      <c r="D1452" s="12" t="s">
        <v>190</v>
      </c>
      <c r="E1452" s="9" t="s">
        <v>68</v>
      </c>
      <c r="F1452" s="11">
        <v>9.4E7</v>
      </c>
    </row>
    <row r="1453">
      <c r="A1453" s="5">
        <v>1452.0</v>
      </c>
      <c r="B1453" s="5" t="s">
        <v>77</v>
      </c>
      <c r="C1453" s="11">
        <v>6.2E8</v>
      </c>
      <c r="D1453" s="12" t="s">
        <v>190</v>
      </c>
      <c r="E1453" s="9" t="s">
        <v>69</v>
      </c>
      <c r="F1453" s="11">
        <v>1.43E8</v>
      </c>
    </row>
    <row r="1454">
      <c r="A1454" s="5">
        <v>1453.0</v>
      </c>
      <c r="B1454" s="5" t="s">
        <v>77</v>
      </c>
      <c r="C1454" s="11">
        <v>5.18E8</v>
      </c>
      <c r="D1454" s="12" t="s">
        <v>190</v>
      </c>
      <c r="E1454" s="9" t="s">
        <v>70</v>
      </c>
      <c r="F1454" s="11">
        <v>1.23E8</v>
      </c>
    </row>
    <row r="1455">
      <c r="A1455" s="5">
        <v>1454.0</v>
      </c>
      <c r="B1455" s="5" t="s">
        <v>77</v>
      </c>
      <c r="C1455" s="11">
        <v>6.33E8</v>
      </c>
      <c r="D1455" s="12" t="s">
        <v>190</v>
      </c>
      <c r="E1455" s="9" t="s">
        <v>71</v>
      </c>
      <c r="F1455" s="11">
        <v>1.1E8</v>
      </c>
    </row>
    <row r="1456">
      <c r="A1456" s="5">
        <v>1455.0</v>
      </c>
      <c r="B1456" s="5" t="s">
        <v>77</v>
      </c>
      <c r="C1456" s="8"/>
      <c r="D1456" s="12" t="s">
        <v>190</v>
      </c>
      <c r="E1456" s="9" t="s">
        <v>72</v>
      </c>
      <c r="F1456" s="8"/>
    </row>
    <row r="1457">
      <c r="A1457" s="5">
        <v>1456.0</v>
      </c>
      <c r="B1457" s="5" t="s">
        <v>77</v>
      </c>
      <c r="C1457" s="8"/>
      <c r="D1457" s="12" t="s">
        <v>190</v>
      </c>
      <c r="E1457" s="9" t="s">
        <v>73</v>
      </c>
      <c r="F1457" s="8"/>
    </row>
    <row r="1458">
      <c r="A1458" s="5">
        <v>1457.0</v>
      </c>
      <c r="B1458" s="5" t="s">
        <v>77</v>
      </c>
      <c r="C1458" s="11">
        <v>2.9E7</v>
      </c>
      <c r="D1458" s="12" t="s">
        <v>191</v>
      </c>
      <c r="E1458" s="9" t="s">
        <v>60</v>
      </c>
      <c r="F1458" s="11">
        <v>5.3E7</v>
      </c>
    </row>
    <row r="1459">
      <c r="A1459" s="5">
        <v>1458.0</v>
      </c>
      <c r="B1459" s="5" t="s">
        <v>77</v>
      </c>
      <c r="C1459" s="11">
        <v>4.0E7</v>
      </c>
      <c r="D1459" s="12" t="s">
        <v>191</v>
      </c>
      <c r="E1459" s="9" t="s">
        <v>62</v>
      </c>
      <c r="F1459" s="11">
        <v>5.2E7</v>
      </c>
    </row>
    <row r="1460">
      <c r="A1460" s="5">
        <v>1459.0</v>
      </c>
      <c r="B1460" s="5" t="s">
        <v>77</v>
      </c>
      <c r="C1460" s="11">
        <v>4.5E7</v>
      </c>
      <c r="D1460" s="12" t="s">
        <v>191</v>
      </c>
      <c r="E1460" s="9" t="s">
        <v>63</v>
      </c>
      <c r="F1460" s="11">
        <v>8.6E7</v>
      </c>
    </row>
    <row r="1461">
      <c r="A1461" s="5">
        <v>1460.0</v>
      </c>
      <c r="B1461" s="5" t="s">
        <v>77</v>
      </c>
      <c r="C1461" s="11">
        <v>6.6E7</v>
      </c>
      <c r="D1461" s="12" t="s">
        <v>191</v>
      </c>
      <c r="E1461" s="9" t="s">
        <v>64</v>
      </c>
      <c r="F1461" s="11">
        <v>7.0E7</v>
      </c>
    </row>
    <row r="1462">
      <c r="A1462" s="5">
        <v>1461.0</v>
      </c>
      <c r="B1462" s="5" t="s">
        <v>77</v>
      </c>
      <c r="C1462" s="11">
        <v>7.4E7</v>
      </c>
      <c r="D1462" s="12" t="s">
        <v>191</v>
      </c>
      <c r="E1462" s="9" t="s">
        <v>65</v>
      </c>
      <c r="F1462" s="11">
        <v>7.0E7</v>
      </c>
    </row>
    <row r="1463">
      <c r="A1463" s="5">
        <v>1462.0</v>
      </c>
      <c r="B1463" s="5" t="s">
        <v>77</v>
      </c>
      <c r="C1463" s="11">
        <v>4.8E7</v>
      </c>
      <c r="D1463" s="12" t="s">
        <v>191</v>
      </c>
      <c r="E1463" s="9" t="s">
        <v>66</v>
      </c>
      <c r="F1463" s="11">
        <v>8.4E7</v>
      </c>
    </row>
    <row r="1464">
      <c r="A1464" s="5">
        <v>1463.0</v>
      </c>
      <c r="B1464" s="5" t="s">
        <v>77</v>
      </c>
      <c r="C1464" s="11">
        <v>4.5E7</v>
      </c>
      <c r="D1464" s="12" t="s">
        <v>191</v>
      </c>
      <c r="E1464" s="9" t="s">
        <v>67</v>
      </c>
      <c r="F1464" s="11">
        <v>8.5E7</v>
      </c>
    </row>
    <row r="1465">
      <c r="A1465" s="5">
        <v>1464.0</v>
      </c>
      <c r="B1465" s="5" t="s">
        <v>77</v>
      </c>
      <c r="C1465" s="11">
        <v>4.3E7</v>
      </c>
      <c r="D1465" s="12" t="s">
        <v>191</v>
      </c>
      <c r="E1465" s="9" t="s">
        <v>68</v>
      </c>
      <c r="F1465" s="11">
        <v>7.9E7</v>
      </c>
    </row>
    <row r="1466">
      <c r="A1466" s="5">
        <v>1465.0</v>
      </c>
      <c r="B1466" s="5" t="s">
        <v>77</v>
      </c>
      <c r="C1466" s="11">
        <v>4.3E7</v>
      </c>
      <c r="D1466" s="12" t="s">
        <v>191</v>
      </c>
      <c r="E1466" s="9" t="s">
        <v>69</v>
      </c>
      <c r="F1466" s="11">
        <v>8.6E7</v>
      </c>
    </row>
    <row r="1467">
      <c r="A1467" s="5">
        <v>1466.0</v>
      </c>
      <c r="B1467" s="5" t="s">
        <v>77</v>
      </c>
      <c r="C1467" s="11">
        <v>4.6E7</v>
      </c>
      <c r="D1467" s="12" t="s">
        <v>191</v>
      </c>
      <c r="E1467" s="9" t="s">
        <v>70</v>
      </c>
      <c r="F1467" s="11">
        <v>9.1E7</v>
      </c>
    </row>
    <row r="1468">
      <c r="A1468" s="5">
        <v>1467.0</v>
      </c>
      <c r="B1468" s="5" t="s">
        <v>77</v>
      </c>
      <c r="C1468" s="11">
        <v>4.7E7</v>
      </c>
      <c r="D1468" s="12" t="s">
        <v>191</v>
      </c>
      <c r="E1468" s="9" t="s">
        <v>71</v>
      </c>
      <c r="F1468" s="11">
        <v>9.3E7</v>
      </c>
    </row>
    <row r="1469">
      <c r="A1469" s="5">
        <v>1468.0</v>
      </c>
      <c r="B1469" s="5" t="s">
        <v>77</v>
      </c>
      <c r="C1469" s="11">
        <v>3.9E7</v>
      </c>
      <c r="D1469" s="12" t="s">
        <v>191</v>
      </c>
      <c r="E1469" s="9" t="s">
        <v>72</v>
      </c>
      <c r="F1469" s="11">
        <v>9.7E7</v>
      </c>
    </row>
    <row r="1470">
      <c r="A1470" s="5">
        <v>1469.0</v>
      </c>
      <c r="B1470" s="5" t="s">
        <v>77</v>
      </c>
      <c r="C1470" s="11">
        <v>3.8E7</v>
      </c>
      <c r="D1470" s="12" t="s">
        <v>191</v>
      </c>
      <c r="E1470" s="9" t="s">
        <v>73</v>
      </c>
      <c r="F1470" s="11">
        <v>1.01E8</v>
      </c>
    </row>
    <row r="1471">
      <c r="A1471" s="5">
        <v>1470.0</v>
      </c>
      <c r="B1471" s="5" t="s">
        <v>61</v>
      </c>
      <c r="C1471" s="11">
        <v>5.873E9</v>
      </c>
      <c r="D1471" s="12" t="s">
        <v>192</v>
      </c>
      <c r="E1471" s="9" t="s">
        <v>60</v>
      </c>
      <c r="F1471" s="11">
        <v>2.543E9</v>
      </c>
    </row>
    <row r="1472">
      <c r="A1472" s="5">
        <v>1471.0</v>
      </c>
      <c r="B1472" s="5" t="s">
        <v>61</v>
      </c>
      <c r="C1472" s="11">
        <v>7.627E9</v>
      </c>
      <c r="D1472" s="12" t="s">
        <v>192</v>
      </c>
      <c r="E1472" s="9" t="s">
        <v>62</v>
      </c>
      <c r="F1472" s="11">
        <v>3.391E9</v>
      </c>
    </row>
    <row r="1473">
      <c r="A1473" s="5">
        <v>1472.0</v>
      </c>
      <c r="B1473" s="5" t="s">
        <v>61</v>
      </c>
      <c r="C1473" s="11">
        <v>8.084E9</v>
      </c>
      <c r="D1473" s="12" t="s">
        <v>192</v>
      </c>
      <c r="E1473" s="9" t="s">
        <v>63</v>
      </c>
      <c r="F1473" s="11">
        <v>3.33E9</v>
      </c>
    </row>
    <row r="1474">
      <c r="A1474" s="5">
        <v>1473.0</v>
      </c>
      <c r="B1474" s="5" t="s">
        <v>61</v>
      </c>
      <c r="C1474" s="11">
        <v>6.799E9</v>
      </c>
      <c r="D1474" s="12" t="s">
        <v>192</v>
      </c>
      <c r="E1474" s="9" t="s">
        <v>64</v>
      </c>
      <c r="F1474" s="11">
        <v>3.401E9</v>
      </c>
    </row>
    <row r="1475">
      <c r="A1475" s="5">
        <v>1474.0</v>
      </c>
      <c r="B1475" s="5" t="s">
        <v>61</v>
      </c>
      <c r="C1475" s="11">
        <v>9.183E9</v>
      </c>
      <c r="D1475" s="12" t="s">
        <v>192</v>
      </c>
      <c r="E1475" s="9" t="s">
        <v>65</v>
      </c>
      <c r="F1475" s="11">
        <v>3.822E9</v>
      </c>
    </row>
    <row r="1476">
      <c r="A1476" s="5">
        <v>1475.0</v>
      </c>
      <c r="B1476" s="5" t="s">
        <v>61</v>
      </c>
      <c r="C1476" s="11">
        <v>1.0389E10</v>
      </c>
      <c r="D1476" s="12" t="s">
        <v>192</v>
      </c>
      <c r="E1476" s="9" t="s">
        <v>66</v>
      </c>
      <c r="F1476" s="11">
        <v>4.339E9</v>
      </c>
    </row>
    <row r="1477">
      <c r="A1477" s="5">
        <v>1476.0</v>
      </c>
      <c r="B1477" s="5" t="s">
        <v>61</v>
      </c>
      <c r="C1477" s="11">
        <v>1.228E10</v>
      </c>
      <c r="D1477" s="12" t="s">
        <v>192</v>
      </c>
      <c r="E1477" s="9" t="s">
        <v>67</v>
      </c>
      <c r="F1477" s="11">
        <v>5.085E9</v>
      </c>
    </row>
    <row r="1478">
      <c r="A1478" s="5">
        <v>1477.0</v>
      </c>
      <c r="B1478" s="5" t="s">
        <v>61</v>
      </c>
      <c r="C1478" s="11">
        <v>1.7948E10</v>
      </c>
      <c r="D1478" s="12" t="s">
        <v>192</v>
      </c>
      <c r="E1478" s="9" t="s">
        <v>68</v>
      </c>
      <c r="F1478" s="11">
        <v>6.6E9</v>
      </c>
    </row>
    <row r="1479">
      <c r="A1479" s="5">
        <v>1478.0</v>
      </c>
      <c r="B1479" s="5" t="s">
        <v>61</v>
      </c>
      <c r="C1479" s="11">
        <v>1.8553E10</v>
      </c>
      <c r="D1479" s="12" t="s">
        <v>192</v>
      </c>
      <c r="E1479" s="9" t="s">
        <v>69</v>
      </c>
      <c r="F1479" s="11">
        <v>7.724E9</v>
      </c>
    </row>
    <row r="1480">
      <c r="A1480" s="5">
        <v>1479.0</v>
      </c>
      <c r="B1480" s="5" t="s">
        <v>61</v>
      </c>
      <c r="C1480" s="11">
        <v>1.7231E10</v>
      </c>
      <c r="D1480" s="12" t="s">
        <v>192</v>
      </c>
      <c r="E1480" s="9" t="s">
        <v>70</v>
      </c>
      <c r="F1480" s="11">
        <v>7.196E9</v>
      </c>
    </row>
    <row r="1481">
      <c r="A1481" s="5">
        <v>1480.0</v>
      </c>
      <c r="B1481" s="5" t="s">
        <v>61</v>
      </c>
      <c r="C1481" s="11">
        <v>1.8152E10</v>
      </c>
      <c r="D1481" s="12" t="s">
        <v>192</v>
      </c>
      <c r="E1481" s="9" t="s">
        <v>71</v>
      </c>
      <c r="F1481" s="11">
        <v>8.324E9</v>
      </c>
    </row>
    <row r="1482">
      <c r="A1482" s="5">
        <v>1481.0</v>
      </c>
      <c r="B1482" s="5" t="s">
        <v>61</v>
      </c>
      <c r="C1482" s="11">
        <v>1.9649E10</v>
      </c>
      <c r="D1482" s="12" t="s">
        <v>192</v>
      </c>
      <c r="E1482" s="9" t="s">
        <v>72</v>
      </c>
      <c r="F1482" s="11">
        <v>1.018E10</v>
      </c>
    </row>
    <row r="1483">
      <c r="A1483" s="5">
        <v>1482.0</v>
      </c>
      <c r="B1483" s="5" t="s">
        <v>61</v>
      </c>
      <c r="C1483" s="11">
        <v>2.0251E10</v>
      </c>
      <c r="D1483" s="12" t="s">
        <v>192</v>
      </c>
      <c r="E1483" s="9" t="s">
        <v>73</v>
      </c>
      <c r="F1483" s="11">
        <v>1.1545E10</v>
      </c>
    </row>
    <row r="1484">
      <c r="A1484" s="5">
        <v>1483.0</v>
      </c>
      <c r="B1484" s="5" t="s">
        <v>61</v>
      </c>
      <c r="C1484" s="11">
        <v>3.21E8</v>
      </c>
      <c r="D1484" s="12" t="s">
        <v>193</v>
      </c>
      <c r="E1484" s="9" t="s">
        <v>60</v>
      </c>
      <c r="F1484" s="11">
        <v>6.0E7</v>
      </c>
    </row>
    <row r="1485">
      <c r="A1485" s="5">
        <v>1484.0</v>
      </c>
      <c r="B1485" s="5" t="s">
        <v>61</v>
      </c>
      <c r="C1485" s="11">
        <v>3.27E8</v>
      </c>
      <c r="D1485" s="12" t="s">
        <v>193</v>
      </c>
      <c r="E1485" s="9" t="s">
        <v>62</v>
      </c>
      <c r="F1485" s="11">
        <v>5.9E7</v>
      </c>
    </row>
    <row r="1486">
      <c r="A1486" s="5">
        <v>1485.0</v>
      </c>
      <c r="B1486" s="5" t="s">
        <v>61</v>
      </c>
      <c r="C1486" s="11">
        <v>3.37E8</v>
      </c>
      <c r="D1486" s="12" t="s">
        <v>193</v>
      </c>
      <c r="E1486" s="9" t="s">
        <v>63</v>
      </c>
      <c r="F1486" s="11">
        <v>6.0E7</v>
      </c>
    </row>
    <row r="1487">
      <c r="A1487" s="5">
        <v>1486.0</v>
      </c>
      <c r="B1487" s="5" t="s">
        <v>61</v>
      </c>
      <c r="C1487" s="11">
        <v>4.02E8</v>
      </c>
      <c r="D1487" s="12" t="s">
        <v>193</v>
      </c>
      <c r="E1487" s="9" t="s">
        <v>64</v>
      </c>
      <c r="F1487" s="11">
        <v>6.0E7</v>
      </c>
    </row>
    <row r="1488">
      <c r="A1488" s="5">
        <v>1487.0</v>
      </c>
      <c r="B1488" s="5" t="s">
        <v>61</v>
      </c>
      <c r="C1488" s="11">
        <v>4.71E8</v>
      </c>
      <c r="D1488" s="12" t="s">
        <v>193</v>
      </c>
      <c r="E1488" s="9" t="s">
        <v>65</v>
      </c>
      <c r="F1488" s="11">
        <v>7.5E7</v>
      </c>
    </row>
    <row r="1489">
      <c r="A1489" s="5">
        <v>1488.0</v>
      </c>
      <c r="B1489" s="5" t="s">
        <v>61</v>
      </c>
      <c r="C1489" s="11">
        <v>8.26E8</v>
      </c>
      <c r="D1489" s="12" t="s">
        <v>193</v>
      </c>
      <c r="E1489" s="9" t="s">
        <v>66</v>
      </c>
      <c r="F1489" s="11">
        <v>9.4E7</v>
      </c>
    </row>
    <row r="1490">
      <c r="A1490" s="5">
        <v>1489.0</v>
      </c>
      <c r="B1490" s="5" t="s">
        <v>61</v>
      </c>
      <c r="C1490" s="11">
        <v>1.235E9</v>
      </c>
      <c r="D1490" s="12" t="s">
        <v>193</v>
      </c>
      <c r="E1490" s="9" t="s">
        <v>67</v>
      </c>
      <c r="F1490" s="11">
        <v>1.06E8</v>
      </c>
    </row>
    <row r="1491">
      <c r="A1491" s="5">
        <v>1490.0</v>
      </c>
      <c r="B1491" s="5" t="s">
        <v>61</v>
      </c>
      <c r="C1491" s="11">
        <v>1.515E9</v>
      </c>
      <c r="D1491" s="12" t="s">
        <v>193</v>
      </c>
      <c r="E1491" s="9" t="s">
        <v>68</v>
      </c>
      <c r="F1491" s="11">
        <v>1.52E8</v>
      </c>
    </row>
    <row r="1492">
      <c r="A1492" s="5">
        <v>1491.0</v>
      </c>
      <c r="B1492" s="5" t="s">
        <v>61</v>
      </c>
      <c r="C1492" s="11">
        <v>1.559E9</v>
      </c>
      <c r="D1492" s="12" t="s">
        <v>193</v>
      </c>
      <c r="E1492" s="9" t="s">
        <v>69</v>
      </c>
      <c r="F1492" s="11">
        <v>2.11E8</v>
      </c>
    </row>
    <row r="1493">
      <c r="A1493" s="5">
        <v>1492.0</v>
      </c>
      <c r="B1493" s="5" t="s">
        <v>61</v>
      </c>
      <c r="C1493" s="11">
        <v>1.473E9</v>
      </c>
      <c r="D1493" s="12" t="s">
        <v>193</v>
      </c>
      <c r="E1493" s="9" t="s">
        <v>70</v>
      </c>
      <c r="F1493" s="11">
        <v>2.12E8</v>
      </c>
    </row>
    <row r="1494">
      <c r="A1494" s="5">
        <v>1493.0</v>
      </c>
      <c r="B1494" s="5" t="s">
        <v>61</v>
      </c>
      <c r="C1494" s="11">
        <v>1.713E9</v>
      </c>
      <c r="D1494" s="12" t="s">
        <v>193</v>
      </c>
      <c r="E1494" s="9" t="s">
        <v>71</v>
      </c>
      <c r="F1494" s="11">
        <v>2.52E8</v>
      </c>
    </row>
    <row r="1495">
      <c r="A1495" s="5">
        <v>1494.0</v>
      </c>
      <c r="B1495" s="5" t="s">
        <v>61</v>
      </c>
      <c r="C1495" s="11">
        <v>1.868E9</v>
      </c>
      <c r="D1495" s="12" t="s">
        <v>193</v>
      </c>
      <c r="E1495" s="9" t="s">
        <v>72</v>
      </c>
      <c r="F1495" s="11">
        <v>2.56E8</v>
      </c>
    </row>
    <row r="1496">
      <c r="A1496" s="5">
        <v>1495.0</v>
      </c>
      <c r="B1496" s="5" t="s">
        <v>61</v>
      </c>
      <c r="C1496" s="11">
        <v>1.873E9</v>
      </c>
      <c r="D1496" s="12" t="s">
        <v>193</v>
      </c>
      <c r="E1496" s="9" t="s">
        <v>73</v>
      </c>
      <c r="F1496" s="11">
        <v>2.7E8</v>
      </c>
    </row>
    <row r="1497">
      <c r="A1497" s="5">
        <v>1496.0</v>
      </c>
      <c r="B1497" s="5" t="s">
        <v>77</v>
      </c>
      <c r="C1497" s="11">
        <v>4.7E7</v>
      </c>
      <c r="D1497" s="12" t="s">
        <v>194</v>
      </c>
      <c r="E1497" s="9" t="s">
        <v>60</v>
      </c>
      <c r="F1497" s="11">
        <v>6.6E7</v>
      </c>
    </row>
    <row r="1498">
      <c r="A1498" s="5">
        <v>1497.0</v>
      </c>
      <c r="B1498" s="5" t="s">
        <v>77</v>
      </c>
      <c r="C1498" s="11">
        <v>9.1E7</v>
      </c>
      <c r="D1498" s="12" t="s">
        <v>194</v>
      </c>
      <c r="E1498" s="9" t="s">
        <v>62</v>
      </c>
      <c r="F1498" s="11">
        <v>6.5E7</v>
      </c>
    </row>
    <row r="1499">
      <c r="A1499" s="5">
        <v>1498.0</v>
      </c>
      <c r="B1499" s="5" t="s">
        <v>77</v>
      </c>
      <c r="C1499" s="11">
        <v>1.05E8</v>
      </c>
      <c r="D1499" s="12" t="s">
        <v>194</v>
      </c>
      <c r="E1499" s="9" t="s">
        <v>63</v>
      </c>
      <c r="F1499" s="11">
        <v>6.2E7</v>
      </c>
    </row>
    <row r="1500">
      <c r="A1500" s="5">
        <v>1499.0</v>
      </c>
      <c r="B1500" s="5" t="s">
        <v>77</v>
      </c>
      <c r="C1500" s="11">
        <v>1.36E8</v>
      </c>
      <c r="D1500" s="12" t="s">
        <v>194</v>
      </c>
      <c r="E1500" s="9" t="s">
        <v>64</v>
      </c>
      <c r="F1500" s="11">
        <v>9.4E7</v>
      </c>
    </row>
    <row r="1501">
      <c r="A1501" s="5">
        <v>1500.0</v>
      </c>
      <c r="B1501" s="5" t="s">
        <v>77</v>
      </c>
      <c r="C1501" s="11">
        <v>1.42E8</v>
      </c>
      <c r="D1501" s="12" t="s">
        <v>194</v>
      </c>
      <c r="E1501" s="9" t="s">
        <v>65</v>
      </c>
      <c r="F1501" s="11">
        <v>1.25E8</v>
      </c>
    </row>
    <row r="1502">
      <c r="A1502" s="5">
        <v>1501.0</v>
      </c>
      <c r="B1502" s="5" t="s">
        <v>77</v>
      </c>
      <c r="C1502" s="11">
        <v>1.49E8</v>
      </c>
      <c r="D1502" s="12" t="s">
        <v>194</v>
      </c>
      <c r="E1502" s="9" t="s">
        <v>66</v>
      </c>
      <c r="F1502" s="11">
        <v>1.33E8</v>
      </c>
    </row>
    <row r="1503">
      <c r="A1503" s="5">
        <v>1502.0</v>
      </c>
      <c r="B1503" s="5" t="s">
        <v>77</v>
      </c>
      <c r="C1503" s="11">
        <v>1.75E8</v>
      </c>
      <c r="D1503" s="12" t="s">
        <v>194</v>
      </c>
      <c r="E1503" s="9" t="s">
        <v>67</v>
      </c>
      <c r="F1503" s="11">
        <v>1.96E8</v>
      </c>
    </row>
    <row r="1504">
      <c r="A1504" s="5">
        <v>1503.0</v>
      </c>
      <c r="B1504" s="5" t="s">
        <v>77</v>
      </c>
      <c r="C1504" s="11">
        <v>2.27E8</v>
      </c>
      <c r="D1504" s="12" t="s">
        <v>194</v>
      </c>
      <c r="E1504" s="9" t="s">
        <v>68</v>
      </c>
      <c r="F1504" s="11">
        <v>2.01E8</v>
      </c>
    </row>
    <row r="1505">
      <c r="A1505" s="5">
        <v>1504.0</v>
      </c>
      <c r="B1505" s="5" t="s">
        <v>77</v>
      </c>
      <c r="C1505" s="11">
        <v>2.86E8</v>
      </c>
      <c r="D1505" s="12" t="s">
        <v>194</v>
      </c>
      <c r="E1505" s="9" t="s">
        <v>69</v>
      </c>
      <c r="F1505" s="11">
        <v>2.28E8</v>
      </c>
    </row>
    <row r="1506">
      <c r="A1506" s="5">
        <v>1505.0</v>
      </c>
      <c r="B1506" s="5" t="s">
        <v>77</v>
      </c>
      <c r="C1506" s="11">
        <v>2.9E8</v>
      </c>
      <c r="D1506" s="12" t="s">
        <v>194</v>
      </c>
      <c r="E1506" s="9" t="s">
        <v>70</v>
      </c>
      <c r="F1506" s="11">
        <v>2.31E8</v>
      </c>
    </row>
    <row r="1507">
      <c r="A1507" s="5">
        <v>1506.0</v>
      </c>
      <c r="B1507" s="5" t="s">
        <v>77</v>
      </c>
      <c r="C1507" s="11">
        <v>2.96E8</v>
      </c>
      <c r="D1507" s="12" t="s">
        <v>194</v>
      </c>
      <c r="E1507" s="9" t="s">
        <v>71</v>
      </c>
      <c r="F1507" s="11">
        <v>2.35E8</v>
      </c>
    </row>
    <row r="1508">
      <c r="A1508" s="5">
        <v>1507.0</v>
      </c>
      <c r="B1508" s="5" t="s">
        <v>77</v>
      </c>
      <c r="C1508" s="11">
        <v>2.74E8</v>
      </c>
      <c r="D1508" s="12" t="s">
        <v>194</v>
      </c>
      <c r="E1508" s="9" t="s">
        <v>72</v>
      </c>
      <c r="F1508" s="11">
        <v>2.24E8</v>
      </c>
    </row>
    <row r="1509">
      <c r="A1509" s="5">
        <v>1508.0</v>
      </c>
      <c r="B1509" s="5" t="s">
        <v>77</v>
      </c>
      <c r="C1509" s="8"/>
      <c r="D1509" s="12" t="s">
        <v>194</v>
      </c>
      <c r="E1509" s="9" t="s">
        <v>73</v>
      </c>
      <c r="F1509" s="8"/>
    </row>
    <row r="1510">
      <c r="A1510" s="5">
        <v>1509.0</v>
      </c>
      <c r="B1510" s="5" t="s">
        <v>75</v>
      </c>
      <c r="C1510" s="11">
        <v>7.31E8</v>
      </c>
      <c r="D1510" s="12" t="s">
        <v>195</v>
      </c>
      <c r="E1510" s="9" t="s">
        <v>60</v>
      </c>
      <c r="F1510" s="11">
        <v>2.24E8</v>
      </c>
    </row>
    <row r="1511">
      <c r="A1511" s="5">
        <v>1510.0</v>
      </c>
      <c r="B1511" s="5" t="s">
        <v>75</v>
      </c>
      <c r="C1511" s="11">
        <v>7.04E8</v>
      </c>
      <c r="D1511" s="12" t="s">
        <v>195</v>
      </c>
      <c r="E1511" s="9" t="s">
        <v>62</v>
      </c>
      <c r="F1511" s="11">
        <v>2.04E8</v>
      </c>
    </row>
    <row r="1512">
      <c r="A1512" s="5">
        <v>1511.0</v>
      </c>
      <c r="B1512" s="5" t="s">
        <v>75</v>
      </c>
      <c r="C1512" s="11">
        <v>7.57E8</v>
      </c>
      <c r="D1512" s="12" t="s">
        <v>195</v>
      </c>
      <c r="E1512" s="9" t="s">
        <v>63</v>
      </c>
      <c r="F1512" s="11">
        <v>1.8E8</v>
      </c>
    </row>
    <row r="1513">
      <c r="A1513" s="5">
        <v>1512.0</v>
      </c>
      <c r="B1513" s="5" t="s">
        <v>75</v>
      </c>
      <c r="C1513" s="11">
        <v>8.69E8</v>
      </c>
      <c r="D1513" s="12" t="s">
        <v>195</v>
      </c>
      <c r="E1513" s="9" t="s">
        <v>64</v>
      </c>
      <c r="F1513" s="11">
        <v>2.38E8</v>
      </c>
    </row>
    <row r="1514">
      <c r="A1514" s="5">
        <v>1513.0</v>
      </c>
      <c r="B1514" s="5" t="s">
        <v>75</v>
      </c>
      <c r="C1514" s="11">
        <v>9.49E8</v>
      </c>
      <c r="D1514" s="12" t="s">
        <v>195</v>
      </c>
      <c r="E1514" s="9" t="s">
        <v>65</v>
      </c>
      <c r="F1514" s="11">
        <v>2.91E8</v>
      </c>
    </row>
    <row r="1515">
      <c r="A1515" s="5">
        <v>1514.0</v>
      </c>
      <c r="B1515" s="5" t="s">
        <v>75</v>
      </c>
      <c r="C1515" s="11">
        <v>9.24E8</v>
      </c>
      <c r="D1515" s="12" t="s">
        <v>195</v>
      </c>
      <c r="E1515" s="9" t="s">
        <v>66</v>
      </c>
      <c r="F1515" s="11">
        <v>3.11E8</v>
      </c>
    </row>
    <row r="1516">
      <c r="A1516" s="5">
        <v>1515.0</v>
      </c>
      <c r="B1516" s="5" t="s">
        <v>75</v>
      </c>
      <c r="C1516" s="11">
        <v>9.66E8</v>
      </c>
      <c r="D1516" s="12" t="s">
        <v>195</v>
      </c>
      <c r="E1516" s="9" t="s">
        <v>67</v>
      </c>
      <c r="F1516" s="11">
        <v>3.62E8</v>
      </c>
    </row>
    <row r="1517">
      <c r="A1517" s="5">
        <v>1516.0</v>
      </c>
      <c r="B1517" s="5" t="s">
        <v>75</v>
      </c>
      <c r="C1517" s="11">
        <v>1.185E9</v>
      </c>
      <c r="D1517" s="12" t="s">
        <v>195</v>
      </c>
      <c r="E1517" s="9" t="s">
        <v>68</v>
      </c>
      <c r="F1517" s="11">
        <v>2.84E8</v>
      </c>
    </row>
    <row r="1518">
      <c r="A1518" s="5">
        <v>1517.0</v>
      </c>
      <c r="B1518" s="5" t="s">
        <v>75</v>
      </c>
      <c r="C1518" s="11">
        <v>1.336E9</v>
      </c>
      <c r="D1518" s="12" t="s">
        <v>195</v>
      </c>
      <c r="E1518" s="9" t="s">
        <v>69</v>
      </c>
      <c r="F1518" s="11">
        <v>3.61E8</v>
      </c>
    </row>
    <row r="1519">
      <c r="A1519" s="5">
        <v>1518.0</v>
      </c>
      <c r="B1519" s="5" t="s">
        <v>75</v>
      </c>
      <c r="C1519" s="11">
        <v>1.117E9</v>
      </c>
      <c r="D1519" s="12" t="s">
        <v>195</v>
      </c>
      <c r="E1519" s="9" t="s">
        <v>70</v>
      </c>
      <c r="F1519" s="11">
        <v>3.62E8</v>
      </c>
    </row>
    <row r="1520">
      <c r="A1520" s="5">
        <v>1519.0</v>
      </c>
      <c r="B1520" s="5" t="s">
        <v>75</v>
      </c>
      <c r="C1520" s="11">
        <v>1.238E9</v>
      </c>
      <c r="D1520" s="12" t="s">
        <v>195</v>
      </c>
      <c r="E1520" s="9" t="s">
        <v>71</v>
      </c>
      <c r="F1520" s="11">
        <v>3.66E8</v>
      </c>
    </row>
    <row r="1521">
      <c r="A1521" s="5">
        <v>1520.0</v>
      </c>
      <c r="B1521" s="5" t="s">
        <v>75</v>
      </c>
      <c r="C1521" s="11">
        <v>1.465E9</v>
      </c>
      <c r="D1521" s="12" t="s">
        <v>195</v>
      </c>
      <c r="E1521" s="9" t="s">
        <v>72</v>
      </c>
      <c r="F1521" s="11">
        <v>4.01E8</v>
      </c>
    </row>
    <row r="1522">
      <c r="A1522" s="5">
        <v>1521.0</v>
      </c>
      <c r="B1522" s="5" t="s">
        <v>75</v>
      </c>
      <c r="C1522" s="11">
        <v>1.451E9</v>
      </c>
      <c r="D1522" s="12" t="s">
        <v>195</v>
      </c>
      <c r="E1522" s="9" t="s">
        <v>73</v>
      </c>
      <c r="F1522" s="11">
        <v>4.08E8</v>
      </c>
    </row>
    <row r="1523">
      <c r="A1523" s="5">
        <v>1522.0</v>
      </c>
      <c r="B1523" s="5" t="s">
        <v>80</v>
      </c>
      <c r="C1523" s="11">
        <v>3000000.0</v>
      </c>
      <c r="D1523" s="12" t="s">
        <v>196</v>
      </c>
      <c r="E1523" s="9" t="s">
        <v>60</v>
      </c>
      <c r="F1523" s="11">
        <v>200000.0</v>
      </c>
    </row>
    <row r="1524">
      <c r="A1524" s="5">
        <v>1523.0</v>
      </c>
      <c r="B1524" s="5" t="s">
        <v>80</v>
      </c>
      <c r="C1524" s="11">
        <v>3100000.0</v>
      </c>
      <c r="D1524" s="12" t="s">
        <v>196</v>
      </c>
      <c r="E1524" s="9" t="s">
        <v>62</v>
      </c>
      <c r="F1524" s="11">
        <v>300000.0</v>
      </c>
    </row>
    <row r="1525">
      <c r="A1525" s="5">
        <v>1524.0</v>
      </c>
      <c r="B1525" s="5" t="s">
        <v>80</v>
      </c>
      <c r="C1525" s="11">
        <v>3400000.0</v>
      </c>
      <c r="D1525" s="12" t="s">
        <v>196</v>
      </c>
      <c r="E1525" s="9" t="s">
        <v>63</v>
      </c>
      <c r="F1525" s="11">
        <v>300000.0</v>
      </c>
    </row>
    <row r="1526">
      <c r="A1526" s="5">
        <v>1525.0</v>
      </c>
      <c r="B1526" s="5" t="s">
        <v>80</v>
      </c>
      <c r="C1526" s="11">
        <v>4000000.0</v>
      </c>
      <c r="D1526" s="12" t="s">
        <v>196</v>
      </c>
      <c r="E1526" s="9" t="s">
        <v>64</v>
      </c>
      <c r="F1526" s="11">
        <v>300000.0</v>
      </c>
    </row>
    <row r="1527">
      <c r="A1527" s="5">
        <v>1526.0</v>
      </c>
      <c r="B1527" s="5" t="s">
        <v>80</v>
      </c>
      <c r="C1527" s="11">
        <v>5000000.0</v>
      </c>
      <c r="D1527" s="12" t="s">
        <v>196</v>
      </c>
      <c r="E1527" s="9" t="s">
        <v>65</v>
      </c>
      <c r="F1527" s="11">
        <v>400000.0</v>
      </c>
    </row>
    <row r="1528">
      <c r="A1528" s="5">
        <v>1527.0</v>
      </c>
      <c r="B1528" s="5" t="s">
        <v>80</v>
      </c>
      <c r="C1528" s="11">
        <v>5700000.0</v>
      </c>
      <c r="D1528" s="12" t="s">
        <v>196</v>
      </c>
      <c r="E1528" s="9" t="s">
        <v>66</v>
      </c>
      <c r="F1528" s="11">
        <v>400000.0</v>
      </c>
    </row>
    <row r="1529">
      <c r="A1529" s="5">
        <v>1528.0</v>
      </c>
      <c r="B1529" s="5" t="s">
        <v>80</v>
      </c>
      <c r="C1529" s="11">
        <v>6600000.0</v>
      </c>
      <c r="D1529" s="12" t="s">
        <v>196</v>
      </c>
      <c r="E1529" s="9" t="s">
        <v>67</v>
      </c>
      <c r="F1529" s="11">
        <v>400000.0</v>
      </c>
    </row>
    <row r="1530">
      <c r="A1530" s="5">
        <v>1529.0</v>
      </c>
      <c r="B1530" s="5" t="s">
        <v>80</v>
      </c>
      <c r="C1530" s="11">
        <v>4500000.0</v>
      </c>
      <c r="D1530" s="12" t="s">
        <v>196</v>
      </c>
      <c r="E1530" s="9" t="s">
        <v>68</v>
      </c>
      <c r="F1530" s="8"/>
    </row>
    <row r="1531">
      <c r="A1531" s="5">
        <v>1530.0</v>
      </c>
      <c r="B1531" s="5" t="s">
        <v>80</v>
      </c>
      <c r="C1531" s="11">
        <v>3000000.0</v>
      </c>
      <c r="D1531" s="12" t="s">
        <v>196</v>
      </c>
      <c r="E1531" s="9" t="s">
        <v>69</v>
      </c>
      <c r="F1531" s="8"/>
    </row>
    <row r="1532">
      <c r="A1532" s="5">
        <v>1531.0</v>
      </c>
      <c r="B1532" s="5" t="s">
        <v>80</v>
      </c>
      <c r="C1532" s="11">
        <v>3500000.0</v>
      </c>
      <c r="D1532" s="12" t="s">
        <v>196</v>
      </c>
      <c r="E1532" s="9" t="s">
        <v>70</v>
      </c>
      <c r="F1532" s="8"/>
    </row>
    <row r="1533">
      <c r="A1533" s="5">
        <v>1532.0</v>
      </c>
      <c r="B1533" s="5" t="s">
        <v>80</v>
      </c>
      <c r="C1533" s="11">
        <v>3300000.0</v>
      </c>
      <c r="D1533" s="12" t="s">
        <v>196</v>
      </c>
      <c r="E1533" s="9" t="s">
        <v>71</v>
      </c>
      <c r="F1533" s="8"/>
    </row>
    <row r="1534">
      <c r="A1534" s="5">
        <v>1533.0</v>
      </c>
      <c r="B1534" s="5" t="s">
        <v>80</v>
      </c>
      <c r="C1534" s="8"/>
      <c r="D1534" s="12" t="s">
        <v>196</v>
      </c>
      <c r="E1534" s="9" t="s">
        <v>72</v>
      </c>
      <c r="F1534" s="8"/>
    </row>
    <row r="1535">
      <c r="A1535" s="5">
        <v>1534.0</v>
      </c>
      <c r="B1535" s="5" t="s">
        <v>80</v>
      </c>
      <c r="C1535" s="8"/>
      <c r="D1535" s="12" t="s">
        <v>196</v>
      </c>
      <c r="E1535" s="9" t="s">
        <v>73</v>
      </c>
      <c r="F1535" s="8"/>
    </row>
    <row r="1536">
      <c r="A1536" s="5">
        <v>1535.0</v>
      </c>
      <c r="B1536" s="5" t="s">
        <v>77</v>
      </c>
      <c r="C1536" s="8"/>
      <c r="D1536" s="12" t="s">
        <v>197</v>
      </c>
      <c r="E1536" s="9" t="s">
        <v>60</v>
      </c>
      <c r="F1536" s="8"/>
    </row>
    <row r="1537">
      <c r="A1537" s="5">
        <v>1536.0</v>
      </c>
      <c r="B1537" s="5" t="s">
        <v>77</v>
      </c>
      <c r="C1537" s="8"/>
      <c r="D1537" s="12" t="s">
        <v>197</v>
      </c>
      <c r="E1537" s="9" t="s">
        <v>62</v>
      </c>
      <c r="F1537" s="8"/>
    </row>
    <row r="1538">
      <c r="A1538" s="5">
        <v>1537.0</v>
      </c>
      <c r="B1538" s="5" t="s">
        <v>77</v>
      </c>
      <c r="C1538" s="8"/>
      <c r="D1538" s="12" t="s">
        <v>197</v>
      </c>
      <c r="E1538" s="9" t="s">
        <v>63</v>
      </c>
      <c r="F1538" s="8"/>
    </row>
    <row r="1539">
      <c r="A1539" s="5">
        <v>1538.0</v>
      </c>
      <c r="B1539" s="5" t="s">
        <v>77</v>
      </c>
      <c r="C1539" s="8"/>
      <c r="D1539" s="12" t="s">
        <v>197</v>
      </c>
      <c r="E1539" s="9" t="s">
        <v>64</v>
      </c>
      <c r="F1539" s="8"/>
    </row>
    <row r="1540">
      <c r="A1540" s="5">
        <v>1539.0</v>
      </c>
      <c r="B1540" s="5" t="s">
        <v>77</v>
      </c>
      <c r="C1540" s="8"/>
      <c r="D1540" s="12" t="s">
        <v>197</v>
      </c>
      <c r="E1540" s="9" t="s">
        <v>65</v>
      </c>
      <c r="F1540" s="8"/>
    </row>
    <row r="1541">
      <c r="A1541" s="5">
        <v>1540.0</v>
      </c>
      <c r="B1541" s="5" t="s">
        <v>77</v>
      </c>
      <c r="C1541" s="8"/>
      <c r="D1541" s="12" t="s">
        <v>197</v>
      </c>
      <c r="E1541" s="9" t="s">
        <v>66</v>
      </c>
      <c r="F1541" s="8"/>
    </row>
    <row r="1542">
      <c r="A1542" s="5">
        <v>1541.0</v>
      </c>
      <c r="B1542" s="5" t="s">
        <v>77</v>
      </c>
      <c r="C1542" s="8"/>
      <c r="D1542" s="12" t="s">
        <v>197</v>
      </c>
      <c r="E1542" s="9" t="s">
        <v>67</v>
      </c>
      <c r="F1542" s="8"/>
    </row>
    <row r="1543">
      <c r="A1543" s="5">
        <v>1542.0</v>
      </c>
      <c r="B1543" s="5" t="s">
        <v>77</v>
      </c>
      <c r="C1543" s="8"/>
      <c r="D1543" s="12" t="s">
        <v>197</v>
      </c>
      <c r="E1543" s="9" t="s">
        <v>68</v>
      </c>
      <c r="F1543" s="8"/>
    </row>
    <row r="1544">
      <c r="A1544" s="5">
        <v>1543.0</v>
      </c>
      <c r="B1544" s="5" t="s">
        <v>77</v>
      </c>
      <c r="C1544" s="8"/>
      <c r="D1544" s="12" t="s">
        <v>197</v>
      </c>
      <c r="E1544" s="9" t="s">
        <v>69</v>
      </c>
      <c r="F1544" s="8"/>
    </row>
    <row r="1545">
      <c r="A1545" s="5">
        <v>1544.0</v>
      </c>
      <c r="B1545" s="5" t="s">
        <v>77</v>
      </c>
      <c r="C1545" s="8"/>
      <c r="D1545" s="12" t="s">
        <v>197</v>
      </c>
      <c r="E1545" s="9" t="s">
        <v>70</v>
      </c>
      <c r="F1545" s="8"/>
    </row>
    <row r="1546">
      <c r="A1546" s="5">
        <v>1545.0</v>
      </c>
      <c r="B1546" s="5" t="s">
        <v>77</v>
      </c>
      <c r="C1546" s="8"/>
      <c r="D1546" s="12" t="s">
        <v>197</v>
      </c>
      <c r="E1546" s="9" t="s">
        <v>71</v>
      </c>
      <c r="F1546" s="8"/>
    </row>
    <row r="1547">
      <c r="A1547" s="5">
        <v>1546.0</v>
      </c>
      <c r="B1547" s="5" t="s">
        <v>77</v>
      </c>
      <c r="C1547" s="8"/>
      <c r="D1547" s="12" t="s">
        <v>197</v>
      </c>
      <c r="E1547" s="9" t="s">
        <v>72</v>
      </c>
      <c r="F1547" s="8"/>
    </row>
    <row r="1548">
      <c r="A1548" s="5">
        <v>1547.0</v>
      </c>
      <c r="B1548" s="5" t="s">
        <v>77</v>
      </c>
      <c r="C1548" s="8"/>
      <c r="D1548" s="12" t="s">
        <v>197</v>
      </c>
      <c r="E1548" s="9" t="s">
        <v>73</v>
      </c>
      <c r="F1548" s="8"/>
    </row>
    <row r="1549">
      <c r="A1549" s="5">
        <v>1548.0</v>
      </c>
      <c r="B1549" s="5" t="s">
        <v>77</v>
      </c>
      <c r="C1549" s="11">
        <v>7.32E8</v>
      </c>
      <c r="D1549" s="12" t="s">
        <v>198</v>
      </c>
      <c r="E1549" s="9" t="s">
        <v>60</v>
      </c>
      <c r="F1549" s="11">
        <v>2.03E8</v>
      </c>
    </row>
    <row r="1550">
      <c r="A1550" s="5">
        <v>1549.0</v>
      </c>
      <c r="B1550" s="5" t="s">
        <v>77</v>
      </c>
      <c r="C1550" s="11">
        <v>8.2E8</v>
      </c>
      <c r="D1550" s="12" t="s">
        <v>198</v>
      </c>
      <c r="E1550" s="9" t="s">
        <v>62</v>
      </c>
      <c r="F1550" s="11">
        <v>2.16E8</v>
      </c>
    </row>
    <row r="1551">
      <c r="A1551" s="5">
        <v>1550.0</v>
      </c>
      <c r="B1551" s="5" t="s">
        <v>77</v>
      </c>
      <c r="C1551" s="11">
        <v>8.29E8</v>
      </c>
      <c r="D1551" s="12" t="s">
        <v>198</v>
      </c>
      <c r="E1551" s="9" t="s">
        <v>63</v>
      </c>
      <c r="F1551" s="11">
        <v>2.23E8</v>
      </c>
    </row>
    <row r="1552">
      <c r="A1552" s="5">
        <v>1551.0</v>
      </c>
      <c r="B1552" s="5" t="s">
        <v>77</v>
      </c>
      <c r="C1552" s="11">
        <v>9.6E8</v>
      </c>
      <c r="D1552" s="12" t="s">
        <v>198</v>
      </c>
      <c r="E1552" s="9" t="s">
        <v>64</v>
      </c>
      <c r="F1552" s="11">
        <v>2.36E8</v>
      </c>
    </row>
    <row r="1553">
      <c r="A1553" s="5">
        <v>1552.0</v>
      </c>
      <c r="B1553" s="5" t="s">
        <v>77</v>
      </c>
      <c r="C1553" s="11">
        <v>1.156E9</v>
      </c>
      <c r="D1553" s="12" t="s">
        <v>198</v>
      </c>
      <c r="E1553" s="9" t="s">
        <v>65</v>
      </c>
      <c r="F1553" s="11">
        <v>2.77E8</v>
      </c>
    </row>
    <row r="1554">
      <c r="A1554" s="5">
        <v>1553.0</v>
      </c>
      <c r="B1554" s="5" t="s">
        <v>77</v>
      </c>
      <c r="C1554" s="11">
        <v>1.189E9</v>
      </c>
      <c r="D1554" s="12" t="s">
        <v>198</v>
      </c>
      <c r="E1554" s="9" t="s">
        <v>66</v>
      </c>
      <c r="F1554" s="11">
        <v>2.95E8</v>
      </c>
    </row>
    <row r="1555">
      <c r="A1555" s="5">
        <v>1554.0</v>
      </c>
      <c r="B1555" s="5" t="s">
        <v>77</v>
      </c>
      <c r="C1555" s="11">
        <v>1.302E9</v>
      </c>
      <c r="D1555" s="12" t="s">
        <v>198</v>
      </c>
      <c r="E1555" s="9" t="s">
        <v>67</v>
      </c>
      <c r="F1555" s="11">
        <v>3.47E8</v>
      </c>
    </row>
    <row r="1556">
      <c r="A1556" s="5">
        <v>1555.0</v>
      </c>
      <c r="B1556" s="5" t="s">
        <v>77</v>
      </c>
      <c r="C1556" s="11">
        <v>1.663E9</v>
      </c>
      <c r="D1556" s="12" t="s">
        <v>198</v>
      </c>
      <c r="E1556" s="9" t="s">
        <v>68</v>
      </c>
      <c r="F1556" s="11">
        <v>3.84E8</v>
      </c>
    </row>
    <row r="1557">
      <c r="A1557" s="5">
        <v>1556.0</v>
      </c>
      <c r="B1557" s="5" t="s">
        <v>77</v>
      </c>
      <c r="C1557" s="11">
        <v>1.823E9</v>
      </c>
      <c r="D1557" s="12" t="s">
        <v>198</v>
      </c>
      <c r="E1557" s="9" t="s">
        <v>69</v>
      </c>
      <c r="F1557" s="11">
        <v>4.89E8</v>
      </c>
    </row>
    <row r="1558">
      <c r="A1558" s="5">
        <v>1557.0</v>
      </c>
      <c r="B1558" s="5" t="s">
        <v>77</v>
      </c>
      <c r="C1558" s="11">
        <v>1.39E9</v>
      </c>
      <c r="D1558" s="12" t="s">
        <v>198</v>
      </c>
      <c r="E1558" s="9" t="s">
        <v>70</v>
      </c>
      <c r="F1558" s="11">
        <v>3.84E8</v>
      </c>
    </row>
    <row r="1559">
      <c r="A1559" s="5">
        <v>1558.0</v>
      </c>
      <c r="B1559" s="5" t="s">
        <v>77</v>
      </c>
      <c r="C1559" s="11">
        <v>1.585E9</v>
      </c>
      <c r="D1559" s="12" t="s">
        <v>198</v>
      </c>
      <c r="E1559" s="9" t="s">
        <v>71</v>
      </c>
      <c r="F1559" s="11">
        <v>4.23E8</v>
      </c>
    </row>
    <row r="1560">
      <c r="A1560" s="5">
        <v>1559.0</v>
      </c>
      <c r="B1560" s="5" t="s">
        <v>77</v>
      </c>
      <c r="C1560" s="11">
        <v>1.808E9</v>
      </c>
      <c r="D1560" s="12" t="s">
        <v>198</v>
      </c>
      <c r="E1560" s="9" t="s">
        <v>72</v>
      </c>
      <c r="F1560" s="11">
        <v>4.27E8</v>
      </c>
    </row>
    <row r="1561">
      <c r="A1561" s="5">
        <v>1560.0</v>
      </c>
      <c r="B1561" s="5" t="s">
        <v>77</v>
      </c>
      <c r="C1561" s="11">
        <v>1.778E9</v>
      </c>
      <c r="D1561" s="12" t="s">
        <v>198</v>
      </c>
      <c r="E1561" s="9" t="s">
        <v>73</v>
      </c>
      <c r="F1561" s="11">
        <v>3.94E8</v>
      </c>
    </row>
    <row r="1562">
      <c r="A1562" s="5">
        <v>1561.0</v>
      </c>
      <c r="B1562" s="5" t="s">
        <v>84</v>
      </c>
      <c r="C1562" s="11">
        <v>9.133E9</v>
      </c>
      <c r="D1562" s="12" t="s">
        <v>199</v>
      </c>
      <c r="E1562" s="9" t="s">
        <v>60</v>
      </c>
      <c r="F1562" s="11">
        <v>6.365E9</v>
      </c>
    </row>
    <row r="1563">
      <c r="A1563" s="5">
        <v>1562.0</v>
      </c>
      <c r="B1563" s="5" t="s">
        <v>84</v>
      </c>
      <c r="C1563" s="11">
        <v>9.19E9</v>
      </c>
      <c r="D1563" s="12" t="s">
        <v>199</v>
      </c>
      <c r="E1563" s="9" t="s">
        <v>62</v>
      </c>
      <c r="F1563" s="11">
        <v>6.685E9</v>
      </c>
    </row>
    <row r="1564">
      <c r="A1564" s="5">
        <v>1563.0</v>
      </c>
      <c r="B1564" s="5" t="s">
        <v>84</v>
      </c>
      <c r="C1564" s="11">
        <v>9.547E9</v>
      </c>
      <c r="D1564" s="12" t="s">
        <v>199</v>
      </c>
      <c r="E1564" s="9" t="s">
        <v>63</v>
      </c>
      <c r="F1564" s="11">
        <v>7.087E9</v>
      </c>
    </row>
    <row r="1565">
      <c r="A1565" s="5">
        <v>1564.0</v>
      </c>
      <c r="B1565" s="5" t="s">
        <v>84</v>
      </c>
      <c r="C1565" s="11">
        <v>1.0058E10</v>
      </c>
      <c r="D1565" s="12" t="s">
        <v>199</v>
      </c>
      <c r="E1565" s="9" t="s">
        <v>64</v>
      </c>
      <c r="F1565" s="11">
        <v>7.252E9</v>
      </c>
    </row>
    <row r="1566">
      <c r="A1566" s="5">
        <v>1565.0</v>
      </c>
      <c r="B1566" s="5" t="s">
        <v>84</v>
      </c>
      <c r="C1566" s="11">
        <v>1.161E10</v>
      </c>
      <c r="D1566" s="12" t="s">
        <v>199</v>
      </c>
      <c r="E1566" s="9" t="s">
        <v>65</v>
      </c>
      <c r="F1566" s="11">
        <v>8.034E9</v>
      </c>
    </row>
    <row r="1567">
      <c r="A1567" s="5">
        <v>1566.0</v>
      </c>
      <c r="B1567" s="5" t="s">
        <v>84</v>
      </c>
      <c r="C1567" s="11">
        <v>1.2801E10</v>
      </c>
      <c r="D1567" s="12" t="s">
        <v>199</v>
      </c>
      <c r="E1567" s="9" t="s">
        <v>66</v>
      </c>
      <c r="F1567" s="11">
        <v>8.951E9</v>
      </c>
    </row>
    <row r="1568">
      <c r="A1568" s="5">
        <v>1567.0</v>
      </c>
      <c r="B1568" s="5" t="s">
        <v>84</v>
      </c>
      <c r="C1568" s="11">
        <v>1.3329E10</v>
      </c>
      <c r="D1568" s="12" t="s">
        <v>199</v>
      </c>
      <c r="E1568" s="9" t="s">
        <v>67</v>
      </c>
      <c r="F1568" s="11">
        <v>9.387E9</v>
      </c>
    </row>
    <row r="1569">
      <c r="A1569" s="5">
        <v>1568.0</v>
      </c>
      <c r="B1569" s="5" t="s">
        <v>84</v>
      </c>
      <c r="C1569" s="11">
        <v>1.4055E10</v>
      </c>
      <c r="D1569" s="12" t="s">
        <v>199</v>
      </c>
      <c r="E1569" s="9" t="s">
        <v>68</v>
      </c>
      <c r="F1569" s="11">
        <v>9.918E9</v>
      </c>
    </row>
    <row r="1570">
      <c r="A1570" s="5">
        <v>1569.0</v>
      </c>
      <c r="B1570" s="5" t="s">
        <v>84</v>
      </c>
      <c r="C1570" s="11">
        <v>1.4726E10</v>
      </c>
      <c r="D1570" s="12" t="s">
        <v>199</v>
      </c>
      <c r="E1570" s="9" t="s">
        <v>69</v>
      </c>
      <c r="F1570" s="11">
        <v>1.0246E10</v>
      </c>
    </row>
    <row r="1571">
      <c r="A1571" s="5">
        <v>1570.0</v>
      </c>
      <c r="B1571" s="5" t="s">
        <v>84</v>
      </c>
      <c r="C1571" s="11">
        <v>1.2542E10</v>
      </c>
      <c r="D1571" s="12" t="s">
        <v>199</v>
      </c>
      <c r="E1571" s="9" t="s">
        <v>70</v>
      </c>
      <c r="F1571" s="11">
        <v>8.737E9</v>
      </c>
    </row>
    <row r="1572">
      <c r="A1572" s="5">
        <v>1571.0</v>
      </c>
      <c r="B1572" s="5" t="s">
        <v>84</v>
      </c>
      <c r="C1572" s="11">
        <v>1.2628E10</v>
      </c>
      <c r="D1572" s="12" t="s">
        <v>199</v>
      </c>
      <c r="E1572" s="9" t="s">
        <v>71</v>
      </c>
      <c r="F1572" s="11">
        <v>9.001E9</v>
      </c>
    </row>
    <row r="1573">
      <c r="A1573" s="5">
        <v>1572.0</v>
      </c>
      <c r="B1573" s="5" t="s">
        <v>84</v>
      </c>
      <c r="C1573" s="11">
        <v>1.2458E10</v>
      </c>
      <c r="D1573" s="12" t="s">
        <v>199</v>
      </c>
      <c r="E1573" s="9" t="s">
        <v>72</v>
      </c>
      <c r="F1573" s="11">
        <v>9.704E9</v>
      </c>
    </row>
    <row r="1574">
      <c r="A1574" s="5">
        <v>1573.0</v>
      </c>
      <c r="B1574" s="5" t="s">
        <v>84</v>
      </c>
      <c r="C1574" s="11">
        <v>1.332E10</v>
      </c>
      <c r="D1574" s="12" t="s">
        <v>199</v>
      </c>
      <c r="E1574" s="9" t="s">
        <v>73</v>
      </c>
      <c r="F1574" s="11">
        <v>1.0735E10</v>
      </c>
    </row>
    <row r="1575">
      <c r="A1575" s="5">
        <v>1574.0</v>
      </c>
      <c r="B1575" s="5" t="s">
        <v>80</v>
      </c>
      <c r="C1575" s="11">
        <v>1.7E7</v>
      </c>
      <c r="D1575" s="12" t="s">
        <v>200</v>
      </c>
      <c r="E1575" s="9" t="s">
        <v>60</v>
      </c>
      <c r="F1575" s="11">
        <v>5000000.0</v>
      </c>
    </row>
    <row r="1576">
      <c r="A1576" s="5">
        <v>1575.0</v>
      </c>
      <c r="B1576" s="5" t="s">
        <v>80</v>
      </c>
      <c r="C1576" s="11">
        <v>1.5E7</v>
      </c>
      <c r="D1576" s="12" t="s">
        <v>200</v>
      </c>
      <c r="E1576" s="9" t="s">
        <v>62</v>
      </c>
      <c r="F1576" s="11">
        <v>5000000.0</v>
      </c>
    </row>
    <row r="1577">
      <c r="A1577" s="5">
        <v>1576.0</v>
      </c>
      <c r="B1577" s="5" t="s">
        <v>80</v>
      </c>
      <c r="C1577" s="11">
        <v>1.7E7</v>
      </c>
      <c r="D1577" s="12" t="s">
        <v>200</v>
      </c>
      <c r="E1577" s="9" t="s">
        <v>63</v>
      </c>
      <c r="F1577" s="11">
        <v>5000000.0</v>
      </c>
    </row>
    <row r="1578">
      <c r="A1578" s="5">
        <v>1577.0</v>
      </c>
      <c r="B1578" s="5" t="s">
        <v>80</v>
      </c>
      <c r="C1578" s="11">
        <v>1.7E7</v>
      </c>
      <c r="D1578" s="12" t="s">
        <v>200</v>
      </c>
      <c r="E1578" s="9" t="s">
        <v>64</v>
      </c>
      <c r="F1578" s="11">
        <v>6000000.0</v>
      </c>
    </row>
    <row r="1579">
      <c r="A1579" s="5">
        <v>1578.0</v>
      </c>
      <c r="B1579" s="5" t="s">
        <v>80</v>
      </c>
      <c r="C1579" s="11">
        <v>1.9E7</v>
      </c>
      <c r="D1579" s="12" t="s">
        <v>200</v>
      </c>
      <c r="E1579" s="9" t="s">
        <v>65</v>
      </c>
      <c r="F1579" s="11">
        <v>7000000.0</v>
      </c>
    </row>
    <row r="1580">
      <c r="A1580" s="5">
        <v>1579.0</v>
      </c>
      <c r="B1580" s="5" t="s">
        <v>80</v>
      </c>
      <c r="C1580" s="11">
        <v>2.1E7</v>
      </c>
      <c r="D1580" s="12" t="s">
        <v>200</v>
      </c>
      <c r="E1580" s="9" t="s">
        <v>66</v>
      </c>
      <c r="F1580" s="11">
        <v>7000000.0</v>
      </c>
    </row>
    <row r="1581">
      <c r="A1581" s="5">
        <v>1580.0</v>
      </c>
      <c r="B1581" s="5" t="s">
        <v>80</v>
      </c>
      <c r="C1581" s="11">
        <v>2.3E7</v>
      </c>
      <c r="D1581" s="12" t="s">
        <v>200</v>
      </c>
      <c r="E1581" s="9" t="s">
        <v>67</v>
      </c>
      <c r="F1581" s="11">
        <v>7000000.0</v>
      </c>
    </row>
    <row r="1582">
      <c r="A1582" s="5">
        <v>1581.0</v>
      </c>
      <c r="B1582" s="5" t="s">
        <v>80</v>
      </c>
      <c r="C1582" s="11">
        <v>2.5E7</v>
      </c>
      <c r="D1582" s="12" t="s">
        <v>200</v>
      </c>
      <c r="E1582" s="9" t="s">
        <v>68</v>
      </c>
      <c r="F1582" s="11">
        <v>7000000.0</v>
      </c>
    </row>
    <row r="1583">
      <c r="A1583" s="5">
        <v>1582.0</v>
      </c>
      <c r="B1583" s="5" t="s">
        <v>80</v>
      </c>
      <c r="C1583" s="11">
        <v>2.7E7</v>
      </c>
      <c r="D1583" s="12" t="s">
        <v>200</v>
      </c>
      <c r="E1583" s="9" t="s">
        <v>69</v>
      </c>
      <c r="F1583" s="11">
        <v>7000000.0</v>
      </c>
    </row>
    <row r="1584">
      <c r="A1584" s="5">
        <v>1583.0</v>
      </c>
      <c r="B1584" s="5" t="s">
        <v>80</v>
      </c>
      <c r="C1584" s="11">
        <v>2.7E7</v>
      </c>
      <c r="D1584" s="12" t="s">
        <v>200</v>
      </c>
      <c r="E1584" s="9" t="s">
        <v>70</v>
      </c>
      <c r="F1584" s="11">
        <v>8000000.0</v>
      </c>
    </row>
    <row r="1585">
      <c r="A1585" s="5">
        <v>1584.0</v>
      </c>
      <c r="B1585" s="5" t="s">
        <v>80</v>
      </c>
      <c r="C1585" s="11">
        <v>2.9E7</v>
      </c>
      <c r="D1585" s="12" t="s">
        <v>200</v>
      </c>
      <c r="E1585" s="9" t="s">
        <v>71</v>
      </c>
      <c r="F1585" s="11">
        <v>8000000.0</v>
      </c>
    </row>
    <row r="1586">
      <c r="A1586" s="5">
        <v>1585.0</v>
      </c>
      <c r="B1586" s="5" t="s">
        <v>80</v>
      </c>
      <c r="C1586" s="11">
        <v>2.6E7</v>
      </c>
      <c r="D1586" s="12" t="s">
        <v>200</v>
      </c>
      <c r="E1586" s="9" t="s">
        <v>72</v>
      </c>
      <c r="F1586" s="11">
        <v>8000000.0</v>
      </c>
    </row>
    <row r="1587">
      <c r="A1587" s="5">
        <v>1586.0</v>
      </c>
      <c r="B1587" s="5" t="s">
        <v>80</v>
      </c>
      <c r="C1587" s="8"/>
      <c r="D1587" s="12" t="s">
        <v>200</v>
      </c>
      <c r="E1587" s="9" t="s">
        <v>73</v>
      </c>
      <c r="F1587" s="8"/>
    </row>
    <row r="1588">
      <c r="A1588" s="5">
        <v>1587.0</v>
      </c>
      <c r="B1588" s="5" t="s">
        <v>75</v>
      </c>
      <c r="C1588" s="11">
        <v>5.7E7</v>
      </c>
      <c r="D1588" s="12" t="s">
        <v>201</v>
      </c>
      <c r="E1588" s="9" t="s">
        <v>60</v>
      </c>
      <c r="F1588" s="11">
        <v>8.6E7</v>
      </c>
    </row>
    <row r="1589">
      <c r="A1589" s="5">
        <v>1588.0</v>
      </c>
      <c r="B1589" s="5" t="s">
        <v>75</v>
      </c>
      <c r="C1589" s="11">
        <v>5.8E7</v>
      </c>
      <c r="D1589" s="12" t="s">
        <v>201</v>
      </c>
      <c r="E1589" s="9" t="s">
        <v>62</v>
      </c>
      <c r="F1589" s="11">
        <v>9.0E7</v>
      </c>
    </row>
    <row r="1590">
      <c r="A1590" s="5">
        <v>1589.0</v>
      </c>
      <c r="B1590" s="5" t="s">
        <v>75</v>
      </c>
      <c r="C1590" s="11">
        <v>7.2E7</v>
      </c>
      <c r="D1590" s="12" t="s">
        <v>201</v>
      </c>
      <c r="E1590" s="9" t="s">
        <v>63</v>
      </c>
      <c r="F1590" s="11">
        <v>1.09E8</v>
      </c>
    </row>
    <row r="1591">
      <c r="A1591" s="5">
        <v>1590.0</v>
      </c>
      <c r="B1591" s="5" t="s">
        <v>75</v>
      </c>
      <c r="C1591" s="11">
        <v>7.9E7</v>
      </c>
      <c r="D1591" s="12" t="s">
        <v>201</v>
      </c>
      <c r="E1591" s="9" t="s">
        <v>64</v>
      </c>
      <c r="F1591" s="11">
        <v>1.18E8</v>
      </c>
    </row>
    <row r="1592">
      <c r="A1592" s="5">
        <v>1591.0</v>
      </c>
      <c r="B1592" s="5" t="s">
        <v>75</v>
      </c>
      <c r="C1592" s="11">
        <v>1.12E8</v>
      </c>
      <c r="D1592" s="12" t="s">
        <v>201</v>
      </c>
      <c r="E1592" s="9" t="s">
        <v>65</v>
      </c>
      <c r="F1592" s="11">
        <v>1.35E8</v>
      </c>
    </row>
    <row r="1593">
      <c r="A1593" s="5">
        <v>1592.0</v>
      </c>
      <c r="B1593" s="5" t="s">
        <v>75</v>
      </c>
      <c r="C1593" s="11">
        <v>1.38E8</v>
      </c>
      <c r="D1593" s="12" t="s">
        <v>201</v>
      </c>
      <c r="E1593" s="9" t="s">
        <v>66</v>
      </c>
      <c r="F1593" s="11">
        <v>1.7E8</v>
      </c>
    </row>
    <row r="1594">
      <c r="A1594" s="5">
        <v>1593.0</v>
      </c>
      <c r="B1594" s="5" t="s">
        <v>75</v>
      </c>
      <c r="C1594" s="11">
        <v>1.5E8</v>
      </c>
      <c r="D1594" s="12" t="s">
        <v>201</v>
      </c>
      <c r="E1594" s="9" t="s">
        <v>67</v>
      </c>
      <c r="F1594" s="11">
        <v>2.24E8</v>
      </c>
    </row>
    <row r="1595">
      <c r="A1595" s="5">
        <v>1594.0</v>
      </c>
      <c r="B1595" s="5" t="s">
        <v>75</v>
      </c>
      <c r="C1595" s="11">
        <v>2.29E8</v>
      </c>
      <c r="D1595" s="12" t="s">
        <v>201</v>
      </c>
      <c r="E1595" s="9" t="s">
        <v>68</v>
      </c>
      <c r="F1595" s="11">
        <v>2.9E8</v>
      </c>
    </row>
    <row r="1596">
      <c r="A1596" s="5">
        <v>1595.0</v>
      </c>
      <c r="B1596" s="5" t="s">
        <v>75</v>
      </c>
      <c r="C1596" s="11">
        <v>2.93E8</v>
      </c>
      <c r="D1596" s="12" t="s">
        <v>201</v>
      </c>
      <c r="E1596" s="9" t="s">
        <v>69</v>
      </c>
      <c r="F1596" s="11">
        <v>3.59E8</v>
      </c>
    </row>
    <row r="1597">
      <c r="A1597" s="5">
        <v>1596.0</v>
      </c>
      <c r="B1597" s="5" t="s">
        <v>75</v>
      </c>
      <c r="C1597" s="11">
        <v>2.4E8</v>
      </c>
      <c r="D1597" s="12" t="s">
        <v>201</v>
      </c>
      <c r="E1597" s="9" t="s">
        <v>70</v>
      </c>
      <c r="F1597" s="11">
        <v>3.07E8</v>
      </c>
    </row>
    <row r="1598">
      <c r="A1598" s="5">
        <v>1597.0</v>
      </c>
      <c r="B1598" s="5" t="s">
        <v>75</v>
      </c>
      <c r="C1598" s="11">
        <v>2.32E8</v>
      </c>
      <c r="D1598" s="12" t="s">
        <v>201</v>
      </c>
      <c r="E1598" s="9" t="s">
        <v>71</v>
      </c>
      <c r="F1598" s="11">
        <v>3.24E8</v>
      </c>
    </row>
    <row r="1599">
      <c r="A1599" s="5">
        <v>1598.0</v>
      </c>
      <c r="B1599" s="5" t="s">
        <v>75</v>
      </c>
      <c r="C1599" s="11">
        <v>2.62E8</v>
      </c>
      <c r="D1599" s="12" t="s">
        <v>201</v>
      </c>
      <c r="E1599" s="9" t="s">
        <v>72</v>
      </c>
      <c r="F1599" s="11">
        <v>3.74E8</v>
      </c>
    </row>
    <row r="1600">
      <c r="A1600" s="5">
        <v>1599.0</v>
      </c>
      <c r="B1600" s="5" t="s">
        <v>75</v>
      </c>
      <c r="C1600" s="11">
        <v>2.94E8</v>
      </c>
      <c r="D1600" s="12" t="s">
        <v>201</v>
      </c>
      <c r="E1600" s="9" t="s">
        <v>73</v>
      </c>
      <c r="F1600" s="11">
        <v>4.2E8</v>
      </c>
    </row>
    <row r="1601">
      <c r="A1601" s="5">
        <v>1600.0</v>
      </c>
      <c r="B1601" s="5" t="s">
        <v>75</v>
      </c>
      <c r="C1601" s="8"/>
      <c r="D1601" s="12" t="s">
        <v>202</v>
      </c>
      <c r="E1601" s="9" t="s">
        <v>60</v>
      </c>
      <c r="F1601" s="8"/>
    </row>
    <row r="1602">
      <c r="A1602" s="5">
        <v>1601.0</v>
      </c>
      <c r="B1602" s="5" t="s">
        <v>75</v>
      </c>
      <c r="C1602" s="8"/>
      <c r="D1602" s="12" t="s">
        <v>202</v>
      </c>
      <c r="E1602" s="9" t="s">
        <v>62</v>
      </c>
      <c r="F1602" s="8"/>
    </row>
    <row r="1603">
      <c r="A1603" s="5">
        <v>1602.0</v>
      </c>
      <c r="B1603" s="5" t="s">
        <v>75</v>
      </c>
      <c r="C1603" s="8"/>
      <c r="D1603" s="12" t="s">
        <v>202</v>
      </c>
      <c r="E1603" s="9" t="s">
        <v>63</v>
      </c>
      <c r="F1603" s="8"/>
    </row>
    <row r="1604">
      <c r="A1604" s="5">
        <v>1603.0</v>
      </c>
      <c r="B1604" s="5" t="s">
        <v>75</v>
      </c>
      <c r="C1604" s="8"/>
      <c r="D1604" s="12" t="s">
        <v>202</v>
      </c>
      <c r="E1604" s="9" t="s">
        <v>64</v>
      </c>
      <c r="F1604" s="8"/>
    </row>
    <row r="1605">
      <c r="A1605" s="5">
        <v>1604.0</v>
      </c>
      <c r="B1605" s="5" t="s">
        <v>75</v>
      </c>
      <c r="C1605" s="8"/>
      <c r="D1605" s="12" t="s">
        <v>202</v>
      </c>
      <c r="E1605" s="9" t="s">
        <v>65</v>
      </c>
      <c r="F1605" s="8"/>
    </row>
    <row r="1606">
      <c r="A1606" s="5">
        <v>1605.0</v>
      </c>
      <c r="B1606" s="5" t="s">
        <v>75</v>
      </c>
      <c r="C1606" s="8"/>
      <c r="D1606" s="12" t="s">
        <v>202</v>
      </c>
      <c r="E1606" s="9" t="s">
        <v>66</v>
      </c>
      <c r="F1606" s="8"/>
    </row>
    <row r="1607">
      <c r="A1607" s="5">
        <v>1606.0</v>
      </c>
      <c r="B1607" s="5" t="s">
        <v>75</v>
      </c>
      <c r="C1607" s="8"/>
      <c r="D1607" s="12" t="s">
        <v>202</v>
      </c>
      <c r="E1607" s="9" t="s">
        <v>67</v>
      </c>
      <c r="F1607" s="8"/>
    </row>
    <row r="1608">
      <c r="A1608" s="5">
        <v>1607.0</v>
      </c>
      <c r="B1608" s="5" t="s">
        <v>75</v>
      </c>
      <c r="C1608" s="8"/>
      <c r="D1608" s="12" t="s">
        <v>202</v>
      </c>
      <c r="E1608" s="9" t="s">
        <v>68</v>
      </c>
      <c r="F1608" s="8"/>
    </row>
    <row r="1609">
      <c r="A1609" s="5">
        <v>1608.0</v>
      </c>
      <c r="B1609" s="5" t="s">
        <v>75</v>
      </c>
      <c r="C1609" s="8"/>
      <c r="D1609" s="12" t="s">
        <v>202</v>
      </c>
      <c r="E1609" s="9" t="s">
        <v>69</v>
      </c>
      <c r="F1609" s="8"/>
    </row>
    <row r="1610">
      <c r="A1610" s="5">
        <v>1609.0</v>
      </c>
      <c r="B1610" s="5" t="s">
        <v>75</v>
      </c>
      <c r="C1610" s="8"/>
      <c r="D1610" s="12" t="s">
        <v>202</v>
      </c>
      <c r="E1610" s="9" t="s">
        <v>70</v>
      </c>
      <c r="F1610" s="8"/>
    </row>
    <row r="1611">
      <c r="A1611" s="5">
        <v>1610.0</v>
      </c>
      <c r="B1611" s="5" t="s">
        <v>75</v>
      </c>
      <c r="C1611" s="8"/>
      <c r="D1611" s="12" t="s">
        <v>202</v>
      </c>
      <c r="E1611" s="9" t="s">
        <v>71</v>
      </c>
      <c r="F1611" s="8"/>
    </row>
    <row r="1612">
      <c r="A1612" s="5">
        <v>1611.0</v>
      </c>
      <c r="B1612" s="5" t="s">
        <v>75</v>
      </c>
      <c r="C1612" s="8"/>
      <c r="D1612" s="12" t="s">
        <v>202</v>
      </c>
      <c r="E1612" s="9" t="s">
        <v>72</v>
      </c>
      <c r="F1612" s="8"/>
    </row>
    <row r="1613">
      <c r="A1613" s="5">
        <v>1612.0</v>
      </c>
      <c r="B1613" s="5" t="s">
        <v>75</v>
      </c>
      <c r="C1613" s="8"/>
      <c r="D1613" s="12" t="s">
        <v>202</v>
      </c>
      <c r="E1613" s="9" t="s">
        <v>73</v>
      </c>
      <c r="F1613" s="8"/>
    </row>
    <row r="1614">
      <c r="A1614" s="5">
        <v>1613.0</v>
      </c>
      <c r="B1614" s="5" t="s">
        <v>61</v>
      </c>
      <c r="C1614" s="11">
        <v>4.3E7</v>
      </c>
      <c r="D1614" s="12" t="s">
        <v>203</v>
      </c>
      <c r="E1614" s="9" t="s">
        <v>60</v>
      </c>
      <c r="F1614" s="11">
        <v>5.4E7</v>
      </c>
    </row>
    <row r="1615">
      <c r="A1615" s="5">
        <v>1614.0</v>
      </c>
      <c r="B1615" s="5" t="s">
        <v>61</v>
      </c>
      <c r="C1615" s="11">
        <v>4.9E7</v>
      </c>
      <c r="D1615" s="12" t="s">
        <v>203</v>
      </c>
      <c r="E1615" s="9" t="s">
        <v>62</v>
      </c>
      <c r="F1615" s="11">
        <v>5.9E7</v>
      </c>
    </row>
    <row r="1616">
      <c r="A1616" s="5">
        <v>1615.0</v>
      </c>
      <c r="B1616" s="5" t="s">
        <v>61</v>
      </c>
      <c r="C1616" s="11">
        <v>1.43E8</v>
      </c>
      <c r="D1616" s="12" t="s">
        <v>203</v>
      </c>
      <c r="E1616" s="9" t="s">
        <v>63</v>
      </c>
      <c r="F1616" s="11">
        <v>1.25E8</v>
      </c>
    </row>
    <row r="1617">
      <c r="A1617" s="5">
        <v>1616.0</v>
      </c>
      <c r="B1617" s="5" t="s">
        <v>61</v>
      </c>
      <c r="C1617" s="11">
        <v>1.54E8</v>
      </c>
      <c r="D1617" s="12" t="s">
        <v>203</v>
      </c>
      <c r="E1617" s="9" t="s">
        <v>64</v>
      </c>
      <c r="F1617" s="11">
        <v>1.44E8</v>
      </c>
    </row>
    <row r="1618">
      <c r="A1618" s="5">
        <v>1617.0</v>
      </c>
      <c r="B1618" s="5" t="s">
        <v>61</v>
      </c>
      <c r="C1618" s="11">
        <v>2.05E8</v>
      </c>
      <c r="D1618" s="12" t="s">
        <v>203</v>
      </c>
      <c r="E1618" s="9" t="s">
        <v>65</v>
      </c>
      <c r="F1618" s="11">
        <v>2.07E8</v>
      </c>
    </row>
    <row r="1619">
      <c r="A1619" s="5">
        <v>1618.0</v>
      </c>
      <c r="B1619" s="5" t="s">
        <v>61</v>
      </c>
      <c r="C1619" s="11">
        <v>2.03E8</v>
      </c>
      <c r="D1619" s="12" t="s">
        <v>203</v>
      </c>
      <c r="E1619" s="9" t="s">
        <v>66</v>
      </c>
      <c r="F1619" s="11">
        <v>1.73E8</v>
      </c>
    </row>
    <row r="1620">
      <c r="A1620" s="5">
        <v>1619.0</v>
      </c>
      <c r="B1620" s="5" t="s">
        <v>61</v>
      </c>
      <c r="C1620" s="11">
        <v>2.61E8</v>
      </c>
      <c r="D1620" s="12" t="s">
        <v>203</v>
      </c>
      <c r="E1620" s="9" t="s">
        <v>67</v>
      </c>
      <c r="F1620" s="11">
        <v>2.12E8</v>
      </c>
    </row>
    <row r="1621">
      <c r="A1621" s="5">
        <v>1620.0</v>
      </c>
      <c r="B1621" s="5" t="s">
        <v>61</v>
      </c>
      <c r="C1621" s="11">
        <v>3.54E8</v>
      </c>
      <c r="D1621" s="12" t="s">
        <v>203</v>
      </c>
      <c r="E1621" s="9" t="s">
        <v>68</v>
      </c>
      <c r="F1621" s="11">
        <v>2.27E8</v>
      </c>
    </row>
    <row r="1622">
      <c r="A1622" s="5">
        <v>1621.0</v>
      </c>
      <c r="B1622" s="5" t="s">
        <v>61</v>
      </c>
      <c r="C1622" s="11">
        <v>2.72E8</v>
      </c>
      <c r="D1622" s="12" t="s">
        <v>203</v>
      </c>
      <c r="E1622" s="9" t="s">
        <v>69</v>
      </c>
      <c r="F1622" s="11">
        <v>2.49E8</v>
      </c>
    </row>
    <row r="1623">
      <c r="A1623" s="5">
        <v>1622.0</v>
      </c>
      <c r="B1623" s="5" t="s">
        <v>61</v>
      </c>
      <c r="C1623" s="11">
        <v>2.53E8</v>
      </c>
      <c r="D1623" s="12" t="s">
        <v>203</v>
      </c>
      <c r="E1623" s="9" t="s">
        <v>70</v>
      </c>
      <c r="F1623" s="11">
        <v>2.42E8</v>
      </c>
    </row>
    <row r="1624">
      <c r="A1624" s="5">
        <v>1623.0</v>
      </c>
      <c r="B1624" s="5" t="s">
        <v>61</v>
      </c>
      <c r="C1624" s="11">
        <v>2.88E8</v>
      </c>
      <c r="D1624" s="12" t="s">
        <v>203</v>
      </c>
      <c r="E1624" s="9" t="s">
        <v>71</v>
      </c>
      <c r="F1624" s="11">
        <v>3.19E8</v>
      </c>
    </row>
    <row r="1625">
      <c r="A1625" s="5">
        <v>1624.0</v>
      </c>
      <c r="B1625" s="5" t="s">
        <v>61</v>
      </c>
      <c r="C1625" s="11">
        <v>2.58E8</v>
      </c>
      <c r="D1625" s="12" t="s">
        <v>203</v>
      </c>
      <c r="E1625" s="9" t="s">
        <v>72</v>
      </c>
      <c r="F1625" s="11">
        <v>4.04E8</v>
      </c>
    </row>
    <row r="1626">
      <c r="A1626" s="5">
        <v>1625.0</v>
      </c>
      <c r="B1626" s="5" t="s">
        <v>61</v>
      </c>
      <c r="C1626" s="11">
        <v>4.8E8</v>
      </c>
      <c r="D1626" s="12" t="s">
        <v>203</v>
      </c>
      <c r="E1626" s="9" t="s">
        <v>73</v>
      </c>
      <c r="F1626" s="11">
        <v>4.2E8</v>
      </c>
    </row>
    <row r="1627">
      <c r="A1627" s="5">
        <v>1626.0</v>
      </c>
      <c r="B1627" s="5" t="s">
        <v>75</v>
      </c>
      <c r="C1627" s="8"/>
      <c r="D1627" s="12" t="s">
        <v>204</v>
      </c>
      <c r="E1627" s="9" t="s">
        <v>60</v>
      </c>
      <c r="F1627" s="8"/>
    </row>
    <row r="1628">
      <c r="A1628" s="5">
        <v>1627.0</v>
      </c>
      <c r="B1628" s="5" t="s">
        <v>75</v>
      </c>
      <c r="C1628" s="8"/>
      <c r="D1628" s="12" t="s">
        <v>204</v>
      </c>
      <c r="E1628" s="9" t="s">
        <v>62</v>
      </c>
      <c r="F1628" s="8"/>
    </row>
    <row r="1629">
      <c r="A1629" s="5">
        <v>1628.0</v>
      </c>
      <c r="B1629" s="5" t="s">
        <v>75</v>
      </c>
      <c r="C1629" s="8"/>
      <c r="D1629" s="12" t="s">
        <v>204</v>
      </c>
      <c r="E1629" s="9" t="s">
        <v>63</v>
      </c>
      <c r="F1629" s="8"/>
    </row>
    <row r="1630">
      <c r="A1630" s="5">
        <v>1629.0</v>
      </c>
      <c r="B1630" s="5" t="s">
        <v>75</v>
      </c>
      <c r="C1630" s="8"/>
      <c r="D1630" s="12" t="s">
        <v>204</v>
      </c>
      <c r="E1630" s="9" t="s">
        <v>64</v>
      </c>
      <c r="F1630" s="8"/>
    </row>
    <row r="1631">
      <c r="A1631" s="5">
        <v>1630.0</v>
      </c>
      <c r="B1631" s="5" t="s">
        <v>75</v>
      </c>
      <c r="C1631" s="8"/>
      <c r="D1631" s="12" t="s">
        <v>204</v>
      </c>
      <c r="E1631" s="9" t="s">
        <v>65</v>
      </c>
      <c r="F1631" s="8"/>
    </row>
    <row r="1632">
      <c r="A1632" s="5">
        <v>1631.0</v>
      </c>
      <c r="B1632" s="5" t="s">
        <v>75</v>
      </c>
      <c r="C1632" s="8"/>
      <c r="D1632" s="12" t="s">
        <v>204</v>
      </c>
      <c r="E1632" s="9" t="s">
        <v>66</v>
      </c>
      <c r="F1632" s="8"/>
    </row>
    <row r="1633">
      <c r="A1633" s="5">
        <v>1632.0</v>
      </c>
      <c r="B1633" s="5" t="s">
        <v>75</v>
      </c>
      <c r="C1633" s="8"/>
      <c r="D1633" s="12" t="s">
        <v>204</v>
      </c>
      <c r="E1633" s="9" t="s">
        <v>67</v>
      </c>
      <c r="F1633" s="8"/>
    </row>
    <row r="1634">
      <c r="A1634" s="5">
        <v>1633.0</v>
      </c>
      <c r="B1634" s="5" t="s">
        <v>75</v>
      </c>
      <c r="C1634" s="11">
        <v>6.6E8</v>
      </c>
      <c r="D1634" s="12" t="s">
        <v>204</v>
      </c>
      <c r="E1634" s="9" t="s">
        <v>68</v>
      </c>
      <c r="F1634" s="11">
        <v>5.8E7</v>
      </c>
    </row>
    <row r="1635">
      <c r="A1635" s="5">
        <v>1634.0</v>
      </c>
      <c r="B1635" s="5" t="s">
        <v>75</v>
      </c>
      <c r="C1635" s="11">
        <v>8.59E8</v>
      </c>
      <c r="D1635" s="12" t="s">
        <v>204</v>
      </c>
      <c r="E1635" s="9" t="s">
        <v>69</v>
      </c>
      <c r="F1635" s="11">
        <v>8.0E7</v>
      </c>
    </row>
    <row r="1636">
      <c r="A1636" s="5">
        <v>1635.0</v>
      </c>
      <c r="B1636" s="5" t="s">
        <v>75</v>
      </c>
      <c r="C1636" s="11">
        <v>7.92E8</v>
      </c>
      <c r="D1636" s="12" t="s">
        <v>204</v>
      </c>
      <c r="E1636" s="9" t="s">
        <v>70</v>
      </c>
      <c r="F1636" s="11">
        <v>7.6E7</v>
      </c>
    </row>
    <row r="1637">
      <c r="A1637" s="5">
        <v>1636.0</v>
      </c>
      <c r="B1637" s="5" t="s">
        <v>75</v>
      </c>
      <c r="C1637" s="11">
        <v>7.65E8</v>
      </c>
      <c r="D1637" s="12" t="s">
        <v>204</v>
      </c>
      <c r="E1637" s="9" t="s">
        <v>71</v>
      </c>
      <c r="F1637" s="11">
        <v>7.2E7</v>
      </c>
    </row>
    <row r="1638">
      <c r="A1638" s="5">
        <v>1637.0</v>
      </c>
      <c r="B1638" s="5" t="s">
        <v>75</v>
      </c>
      <c r="C1638" s="11">
        <v>9.26E8</v>
      </c>
      <c r="D1638" s="12" t="s">
        <v>204</v>
      </c>
      <c r="E1638" s="9" t="s">
        <v>72</v>
      </c>
      <c r="F1638" s="11">
        <v>7.0E7</v>
      </c>
    </row>
    <row r="1639">
      <c r="A1639" s="5">
        <v>1638.0</v>
      </c>
      <c r="B1639" s="5" t="s">
        <v>75</v>
      </c>
      <c r="C1639" s="11">
        <v>8.6E8</v>
      </c>
      <c r="D1639" s="12" t="s">
        <v>204</v>
      </c>
      <c r="E1639" s="9" t="s">
        <v>73</v>
      </c>
      <c r="F1639" s="11">
        <v>6.7E7</v>
      </c>
    </row>
    <row r="1640">
      <c r="A1640" s="5">
        <v>1639.0</v>
      </c>
      <c r="B1640" s="5" t="s">
        <v>77</v>
      </c>
      <c r="C1640" s="11">
        <v>2.28E9</v>
      </c>
      <c r="D1640" s="12" t="s">
        <v>205</v>
      </c>
      <c r="E1640" s="9" t="s">
        <v>60</v>
      </c>
      <c r="F1640" s="11">
        <v>5.06E8</v>
      </c>
    </row>
    <row r="1641">
      <c r="A1641" s="5">
        <v>1640.0</v>
      </c>
      <c r="B1641" s="5" t="s">
        <v>77</v>
      </c>
      <c r="C1641" s="11">
        <v>2.966E9</v>
      </c>
      <c r="D1641" s="12" t="s">
        <v>205</v>
      </c>
      <c r="E1641" s="9" t="s">
        <v>62</v>
      </c>
      <c r="F1641" s="11">
        <v>5.89E8</v>
      </c>
    </row>
    <row r="1642">
      <c r="A1642" s="5">
        <v>1641.0</v>
      </c>
      <c r="B1642" s="5" t="s">
        <v>77</v>
      </c>
      <c r="C1642" s="11">
        <v>3.157E9</v>
      </c>
      <c r="D1642" s="12" t="s">
        <v>205</v>
      </c>
      <c r="E1642" s="9" t="s">
        <v>63</v>
      </c>
      <c r="F1642" s="11">
        <v>6.69E8</v>
      </c>
    </row>
    <row r="1643">
      <c r="A1643" s="5">
        <v>1642.0</v>
      </c>
      <c r="B1643" s="5" t="s">
        <v>77</v>
      </c>
      <c r="C1643" s="11">
        <v>3.802E9</v>
      </c>
      <c r="D1643" s="12" t="s">
        <v>205</v>
      </c>
      <c r="E1643" s="9" t="s">
        <v>64</v>
      </c>
      <c r="F1643" s="11">
        <v>8.45E8</v>
      </c>
    </row>
    <row r="1644">
      <c r="A1644" s="5">
        <v>1643.0</v>
      </c>
      <c r="B1644" s="5" t="s">
        <v>77</v>
      </c>
      <c r="C1644" s="11">
        <v>4.54E9</v>
      </c>
      <c r="D1644" s="12" t="s">
        <v>205</v>
      </c>
      <c r="E1644" s="9" t="s">
        <v>65</v>
      </c>
      <c r="F1644" s="11">
        <v>9.12E8</v>
      </c>
    </row>
    <row r="1645">
      <c r="A1645" s="5">
        <v>1644.0</v>
      </c>
      <c r="B1645" s="5" t="s">
        <v>77</v>
      </c>
      <c r="C1645" s="11">
        <v>5.426E9</v>
      </c>
      <c r="D1645" s="12" t="s">
        <v>205</v>
      </c>
      <c r="E1645" s="9" t="s">
        <v>66</v>
      </c>
      <c r="F1645" s="11">
        <v>9.99E8</v>
      </c>
    </row>
    <row r="1646">
      <c r="A1646" s="5">
        <v>1645.0</v>
      </c>
      <c r="B1646" s="5" t="s">
        <v>77</v>
      </c>
      <c r="C1646" s="11">
        <v>6.9E9</v>
      </c>
      <c r="D1646" s="12" t="s">
        <v>205</v>
      </c>
      <c r="E1646" s="9" t="s">
        <v>67</v>
      </c>
      <c r="F1646" s="11">
        <v>1.113E9</v>
      </c>
    </row>
    <row r="1647">
      <c r="A1647" s="5">
        <v>1646.0</v>
      </c>
      <c r="B1647" s="5" t="s">
        <v>77</v>
      </c>
      <c r="C1647" s="11">
        <v>8.307E9</v>
      </c>
      <c r="D1647" s="12" t="s">
        <v>205</v>
      </c>
      <c r="E1647" s="9" t="s">
        <v>68</v>
      </c>
      <c r="F1647" s="11">
        <v>1.418E9</v>
      </c>
    </row>
    <row r="1648">
      <c r="A1648" s="5">
        <v>1647.0</v>
      </c>
      <c r="B1648" s="5" t="s">
        <v>77</v>
      </c>
      <c r="C1648" s="11">
        <v>8.885E9</v>
      </c>
      <c r="D1648" s="12" t="s">
        <v>205</v>
      </c>
      <c r="E1648" s="9" t="s">
        <v>69</v>
      </c>
      <c r="F1648" s="11">
        <v>1.91E9</v>
      </c>
    </row>
    <row r="1649">
      <c r="A1649" s="5">
        <v>1648.0</v>
      </c>
      <c r="B1649" s="5" t="s">
        <v>77</v>
      </c>
      <c r="C1649" s="11">
        <v>7.98E9</v>
      </c>
      <c r="D1649" s="12" t="s">
        <v>205</v>
      </c>
      <c r="E1649" s="9" t="s">
        <v>70</v>
      </c>
      <c r="F1649" s="11">
        <v>1.713E9</v>
      </c>
    </row>
    <row r="1650">
      <c r="A1650" s="5">
        <v>1649.0</v>
      </c>
      <c r="B1650" s="5" t="s">
        <v>77</v>
      </c>
      <c r="C1650" s="11">
        <v>8.176E9</v>
      </c>
      <c r="D1650" s="12" t="s">
        <v>205</v>
      </c>
      <c r="E1650" s="9" t="s">
        <v>71</v>
      </c>
      <c r="F1650" s="11">
        <v>1.879E9</v>
      </c>
    </row>
    <row r="1651">
      <c r="A1651" s="5">
        <v>1650.0</v>
      </c>
      <c r="B1651" s="5" t="s">
        <v>77</v>
      </c>
      <c r="C1651" s="11">
        <v>9.101E9</v>
      </c>
      <c r="D1651" s="12" t="s">
        <v>205</v>
      </c>
      <c r="E1651" s="9" t="s">
        <v>72</v>
      </c>
      <c r="F1651" s="11">
        <v>2.26E9</v>
      </c>
    </row>
    <row r="1652">
      <c r="A1652" s="5">
        <v>1651.0</v>
      </c>
      <c r="B1652" s="5" t="s">
        <v>77</v>
      </c>
      <c r="C1652" s="11">
        <v>8.491E9</v>
      </c>
      <c r="D1652" s="12" t="s">
        <v>205</v>
      </c>
      <c r="E1652" s="9" t="s">
        <v>73</v>
      </c>
      <c r="F1652" s="11">
        <v>2.095E9</v>
      </c>
    </row>
    <row r="1653">
      <c r="A1653" s="5">
        <v>1652.0</v>
      </c>
      <c r="B1653" s="5" t="s">
        <v>77</v>
      </c>
      <c r="C1653" s="11">
        <v>7.4E7</v>
      </c>
      <c r="D1653" s="12" t="s">
        <v>206</v>
      </c>
      <c r="E1653" s="9" t="s">
        <v>60</v>
      </c>
      <c r="F1653" s="11">
        <v>1.22E8</v>
      </c>
    </row>
    <row r="1654">
      <c r="A1654" s="5">
        <v>1653.0</v>
      </c>
      <c r="B1654" s="5" t="s">
        <v>77</v>
      </c>
      <c r="C1654" s="11">
        <v>6.4E7</v>
      </c>
      <c r="D1654" s="12" t="s">
        <v>206</v>
      </c>
      <c r="E1654" s="9" t="s">
        <v>62</v>
      </c>
      <c r="F1654" s="11">
        <v>1.32E8</v>
      </c>
    </row>
    <row r="1655">
      <c r="A1655" s="5">
        <v>1654.0</v>
      </c>
      <c r="B1655" s="5" t="s">
        <v>77</v>
      </c>
      <c r="C1655" s="11">
        <v>6.5E7</v>
      </c>
      <c r="D1655" s="12" t="s">
        <v>206</v>
      </c>
      <c r="E1655" s="9" t="s">
        <v>63</v>
      </c>
      <c r="F1655" s="11">
        <v>1.15E8</v>
      </c>
    </row>
    <row r="1656">
      <c r="A1656" s="5">
        <v>1655.0</v>
      </c>
      <c r="B1656" s="5" t="s">
        <v>77</v>
      </c>
      <c r="C1656" s="11">
        <v>1.06E8</v>
      </c>
      <c r="D1656" s="12" t="s">
        <v>206</v>
      </c>
      <c r="E1656" s="9" t="s">
        <v>64</v>
      </c>
      <c r="F1656" s="11">
        <v>1.41E8</v>
      </c>
    </row>
    <row r="1657">
      <c r="A1657" s="5">
        <v>1656.0</v>
      </c>
      <c r="B1657" s="5" t="s">
        <v>77</v>
      </c>
      <c r="C1657" s="11">
        <v>9.6E7</v>
      </c>
      <c r="D1657" s="12" t="s">
        <v>206</v>
      </c>
      <c r="E1657" s="9" t="s">
        <v>65</v>
      </c>
      <c r="F1657" s="11">
        <v>1.4E8</v>
      </c>
    </row>
    <row r="1658">
      <c r="A1658" s="5">
        <v>1657.0</v>
      </c>
      <c r="B1658" s="5" t="s">
        <v>77</v>
      </c>
      <c r="C1658" s="11">
        <v>1.38E8</v>
      </c>
      <c r="D1658" s="12" t="s">
        <v>206</v>
      </c>
      <c r="E1658" s="9" t="s">
        <v>66</v>
      </c>
      <c r="F1658" s="11">
        <v>1.87E8</v>
      </c>
    </row>
    <row r="1659">
      <c r="A1659" s="5">
        <v>1658.0</v>
      </c>
      <c r="B1659" s="5" t="s">
        <v>77</v>
      </c>
      <c r="C1659" s="11">
        <v>1.45E8</v>
      </c>
      <c r="D1659" s="12" t="s">
        <v>206</v>
      </c>
      <c r="E1659" s="9" t="s">
        <v>67</v>
      </c>
      <c r="F1659" s="11">
        <v>1.96E8</v>
      </c>
    </row>
    <row r="1660">
      <c r="A1660" s="5">
        <v>1659.0</v>
      </c>
      <c r="B1660" s="5" t="s">
        <v>77</v>
      </c>
      <c r="C1660" s="11">
        <v>1.82E8</v>
      </c>
      <c r="D1660" s="12" t="s">
        <v>206</v>
      </c>
      <c r="E1660" s="9" t="s">
        <v>68</v>
      </c>
      <c r="F1660" s="11">
        <v>2.09E8</v>
      </c>
    </row>
    <row r="1661">
      <c r="A1661" s="5">
        <v>1660.0</v>
      </c>
      <c r="B1661" s="5" t="s">
        <v>77</v>
      </c>
      <c r="C1661" s="11">
        <v>2.13E8</v>
      </c>
      <c r="D1661" s="12" t="s">
        <v>206</v>
      </c>
      <c r="E1661" s="9" t="s">
        <v>69</v>
      </c>
      <c r="F1661" s="11">
        <v>2.35E8</v>
      </c>
    </row>
    <row r="1662">
      <c r="A1662" s="5">
        <v>1661.0</v>
      </c>
      <c r="B1662" s="5" t="s">
        <v>77</v>
      </c>
      <c r="C1662" s="11">
        <v>2.17E8</v>
      </c>
      <c r="D1662" s="12" t="s">
        <v>206</v>
      </c>
      <c r="E1662" s="9" t="s">
        <v>70</v>
      </c>
      <c r="F1662" s="11">
        <v>2.47E8</v>
      </c>
    </row>
    <row r="1663">
      <c r="A1663" s="5">
        <v>1662.0</v>
      </c>
      <c r="B1663" s="5" t="s">
        <v>77</v>
      </c>
      <c r="C1663" s="11">
        <v>2.24E8</v>
      </c>
      <c r="D1663" s="12" t="s">
        <v>206</v>
      </c>
      <c r="E1663" s="9" t="s">
        <v>71</v>
      </c>
      <c r="F1663" s="11">
        <v>2.6E8</v>
      </c>
    </row>
    <row r="1664">
      <c r="A1664" s="5">
        <v>1663.0</v>
      </c>
      <c r="B1664" s="5" t="s">
        <v>77</v>
      </c>
      <c r="C1664" s="11">
        <v>2.66E8</v>
      </c>
      <c r="D1664" s="12" t="s">
        <v>206</v>
      </c>
      <c r="E1664" s="9" t="s">
        <v>72</v>
      </c>
      <c r="F1664" s="11">
        <v>2.56E8</v>
      </c>
    </row>
    <row r="1665">
      <c r="A1665" s="5">
        <v>1664.0</v>
      </c>
      <c r="B1665" s="5" t="s">
        <v>77</v>
      </c>
      <c r="C1665" s="11">
        <v>2.89E8</v>
      </c>
      <c r="D1665" s="12" t="s">
        <v>206</v>
      </c>
      <c r="E1665" s="9" t="s">
        <v>73</v>
      </c>
      <c r="F1665" s="11">
        <v>2.3E8</v>
      </c>
    </row>
    <row r="1666">
      <c r="A1666" s="5">
        <v>1665.0</v>
      </c>
      <c r="B1666" s="5" t="s">
        <v>61</v>
      </c>
      <c r="C1666" s="11">
        <v>1.95E8</v>
      </c>
      <c r="D1666" s="12" t="s">
        <v>207</v>
      </c>
      <c r="E1666" s="9" t="s">
        <v>60</v>
      </c>
      <c r="F1666" s="11">
        <v>3.0E7</v>
      </c>
    </row>
    <row r="1667">
      <c r="A1667" s="5">
        <v>1666.0</v>
      </c>
      <c r="B1667" s="5" t="s">
        <v>61</v>
      </c>
      <c r="C1667" s="11">
        <v>1.32E8</v>
      </c>
      <c r="D1667" s="12" t="s">
        <v>207</v>
      </c>
      <c r="E1667" s="9" t="s">
        <v>62</v>
      </c>
      <c r="F1667" s="11">
        <v>3.2E7</v>
      </c>
    </row>
    <row r="1668">
      <c r="A1668" s="5">
        <v>1667.0</v>
      </c>
      <c r="B1668" s="5" t="s">
        <v>61</v>
      </c>
      <c r="C1668" s="11">
        <v>1.36E8</v>
      </c>
      <c r="D1668" s="12" t="s">
        <v>207</v>
      </c>
      <c r="E1668" s="9" t="s">
        <v>63</v>
      </c>
      <c r="F1668" s="11">
        <v>3.4E7</v>
      </c>
    </row>
    <row r="1669">
      <c r="A1669" s="5">
        <v>1668.0</v>
      </c>
      <c r="B1669" s="5" t="s">
        <v>61</v>
      </c>
      <c r="C1669" s="11">
        <v>7.0E7</v>
      </c>
      <c r="D1669" s="12" t="s">
        <v>207</v>
      </c>
      <c r="E1669" s="9" t="s">
        <v>64</v>
      </c>
      <c r="F1669" s="11">
        <v>3.6E7</v>
      </c>
    </row>
    <row r="1670">
      <c r="A1670" s="5">
        <v>1669.0</v>
      </c>
      <c r="B1670" s="5" t="s">
        <v>61</v>
      </c>
      <c r="C1670" s="11">
        <v>9.7E7</v>
      </c>
      <c r="D1670" s="12" t="s">
        <v>207</v>
      </c>
      <c r="E1670" s="9" t="s">
        <v>65</v>
      </c>
      <c r="F1670" s="11">
        <v>3.2E7</v>
      </c>
    </row>
    <row r="1671">
      <c r="A1671" s="5">
        <v>1670.0</v>
      </c>
      <c r="B1671" s="5" t="s">
        <v>61</v>
      </c>
      <c r="C1671" s="11">
        <v>8.3E7</v>
      </c>
      <c r="D1671" s="12" t="s">
        <v>207</v>
      </c>
      <c r="E1671" s="9" t="s">
        <v>66</v>
      </c>
      <c r="F1671" s="11">
        <v>3.4E7</v>
      </c>
    </row>
    <row r="1672">
      <c r="A1672" s="5">
        <v>1671.0</v>
      </c>
      <c r="B1672" s="5" t="s">
        <v>61</v>
      </c>
      <c r="C1672" s="11">
        <v>5.9E7</v>
      </c>
      <c r="D1672" s="12" t="s">
        <v>207</v>
      </c>
      <c r="E1672" s="9" t="s">
        <v>67</v>
      </c>
      <c r="F1672" s="11">
        <v>4.0E7</v>
      </c>
    </row>
    <row r="1673">
      <c r="A1673" s="5">
        <v>1672.0</v>
      </c>
      <c r="B1673" s="5" t="s">
        <v>61</v>
      </c>
      <c r="C1673" s="11">
        <v>9.7E7</v>
      </c>
      <c r="D1673" s="12" t="s">
        <v>207</v>
      </c>
      <c r="E1673" s="9" t="s">
        <v>68</v>
      </c>
      <c r="F1673" s="11">
        <v>3.9E7</v>
      </c>
    </row>
    <row r="1674">
      <c r="A1674" s="5">
        <v>1673.0</v>
      </c>
      <c r="B1674" s="5" t="s">
        <v>61</v>
      </c>
      <c r="C1674" s="11">
        <v>8.0E7</v>
      </c>
      <c r="D1674" s="12" t="s">
        <v>207</v>
      </c>
      <c r="E1674" s="9" t="s">
        <v>69</v>
      </c>
      <c r="F1674" s="11">
        <v>5.0E7</v>
      </c>
    </row>
    <row r="1675">
      <c r="A1675" s="5">
        <v>1674.0</v>
      </c>
      <c r="B1675" s="5" t="s">
        <v>61</v>
      </c>
      <c r="C1675" s="11">
        <v>7.5E7</v>
      </c>
      <c r="D1675" s="12" t="s">
        <v>207</v>
      </c>
      <c r="E1675" s="9" t="s">
        <v>70</v>
      </c>
      <c r="F1675" s="11">
        <v>5.2E7</v>
      </c>
    </row>
    <row r="1676">
      <c r="A1676" s="5">
        <v>1675.0</v>
      </c>
      <c r="B1676" s="5" t="s">
        <v>61</v>
      </c>
      <c r="C1676" s="11">
        <v>9.1E7</v>
      </c>
      <c r="D1676" s="12" t="s">
        <v>207</v>
      </c>
      <c r="E1676" s="9" t="s">
        <v>71</v>
      </c>
      <c r="F1676" s="11">
        <v>5.3E7</v>
      </c>
    </row>
    <row r="1677">
      <c r="A1677" s="5">
        <v>1676.0</v>
      </c>
      <c r="B1677" s="5" t="s">
        <v>61</v>
      </c>
      <c r="C1677" s="11">
        <v>2.93E8</v>
      </c>
      <c r="D1677" s="12" t="s">
        <v>207</v>
      </c>
      <c r="E1677" s="9" t="s">
        <v>72</v>
      </c>
      <c r="F1677" s="11">
        <v>1.32E8</v>
      </c>
    </row>
    <row r="1678">
      <c r="A1678" s="5">
        <v>1677.0</v>
      </c>
      <c r="B1678" s="5" t="s">
        <v>61</v>
      </c>
      <c r="C1678" s="8"/>
      <c r="D1678" s="12" t="s">
        <v>207</v>
      </c>
      <c r="E1678" s="9" t="s">
        <v>73</v>
      </c>
      <c r="F1678" s="8"/>
    </row>
    <row r="1679">
      <c r="A1679" s="5">
        <v>1678.0</v>
      </c>
      <c r="B1679" s="5" t="s">
        <v>77</v>
      </c>
      <c r="C1679" s="11">
        <v>1.93E8</v>
      </c>
      <c r="D1679" s="12" t="s">
        <v>208</v>
      </c>
      <c r="E1679" s="9" t="s">
        <v>60</v>
      </c>
      <c r="F1679" s="11">
        <v>8.6E7</v>
      </c>
    </row>
    <row r="1680">
      <c r="A1680" s="5">
        <v>1679.0</v>
      </c>
      <c r="B1680" s="5" t="s">
        <v>77</v>
      </c>
      <c r="C1680" s="11">
        <v>2.64E8</v>
      </c>
      <c r="D1680" s="12" t="s">
        <v>208</v>
      </c>
      <c r="E1680" s="9" t="s">
        <v>62</v>
      </c>
      <c r="F1680" s="11">
        <v>7.1E7</v>
      </c>
    </row>
    <row r="1681">
      <c r="A1681" s="5">
        <v>1680.0</v>
      </c>
      <c r="B1681" s="5" t="s">
        <v>77</v>
      </c>
      <c r="C1681" s="11">
        <v>2.51E8</v>
      </c>
      <c r="D1681" s="12" t="s">
        <v>208</v>
      </c>
      <c r="E1681" s="9" t="s">
        <v>63</v>
      </c>
      <c r="F1681" s="11">
        <v>6.5E7</v>
      </c>
    </row>
    <row r="1682">
      <c r="A1682" s="5">
        <v>1681.0</v>
      </c>
      <c r="B1682" s="5" t="s">
        <v>77</v>
      </c>
      <c r="C1682" s="11">
        <v>3.83E8</v>
      </c>
      <c r="D1682" s="12" t="s">
        <v>208</v>
      </c>
      <c r="E1682" s="9" t="s">
        <v>64</v>
      </c>
      <c r="F1682" s="11">
        <v>1.01E8</v>
      </c>
    </row>
    <row r="1683">
      <c r="A1683" s="5">
        <v>1682.0</v>
      </c>
      <c r="B1683" s="5" t="s">
        <v>77</v>
      </c>
      <c r="C1683" s="11">
        <v>4.26E8</v>
      </c>
      <c r="D1683" s="12" t="s">
        <v>208</v>
      </c>
      <c r="E1683" s="9" t="s">
        <v>65</v>
      </c>
      <c r="F1683" s="11">
        <v>1.23E8</v>
      </c>
    </row>
    <row r="1684">
      <c r="A1684" s="5">
        <v>1683.0</v>
      </c>
      <c r="B1684" s="5" t="s">
        <v>77</v>
      </c>
      <c r="C1684" s="11">
        <v>3.63E8</v>
      </c>
      <c r="D1684" s="12" t="s">
        <v>208</v>
      </c>
      <c r="E1684" s="9" t="s">
        <v>66</v>
      </c>
      <c r="F1684" s="11">
        <v>1.08E8</v>
      </c>
    </row>
    <row r="1685">
      <c r="A1685" s="5">
        <v>1684.0</v>
      </c>
      <c r="B1685" s="5" t="s">
        <v>77</v>
      </c>
      <c r="C1685" s="11">
        <v>4.73E8</v>
      </c>
      <c r="D1685" s="12" t="s">
        <v>208</v>
      </c>
      <c r="E1685" s="9" t="s">
        <v>67</v>
      </c>
      <c r="F1685" s="11">
        <v>1.18E8</v>
      </c>
    </row>
    <row r="1686">
      <c r="A1686" s="5">
        <v>1685.0</v>
      </c>
      <c r="B1686" s="5" t="s">
        <v>77</v>
      </c>
      <c r="C1686" s="11">
        <v>5.42E8</v>
      </c>
      <c r="D1686" s="12" t="s">
        <v>208</v>
      </c>
      <c r="E1686" s="9" t="s">
        <v>68</v>
      </c>
      <c r="F1686" s="11">
        <v>1.32E8</v>
      </c>
    </row>
    <row r="1687">
      <c r="A1687" s="5">
        <v>1686.0</v>
      </c>
      <c r="B1687" s="5" t="s">
        <v>77</v>
      </c>
      <c r="C1687" s="11">
        <v>4.84E8</v>
      </c>
      <c r="D1687" s="12" t="s">
        <v>208</v>
      </c>
      <c r="E1687" s="9" t="s">
        <v>69</v>
      </c>
      <c r="F1687" s="11">
        <v>1.14E8</v>
      </c>
    </row>
    <row r="1688">
      <c r="A1688" s="5">
        <v>1687.0</v>
      </c>
      <c r="B1688" s="5" t="s">
        <v>77</v>
      </c>
      <c r="C1688" s="11">
        <v>5.11E8</v>
      </c>
      <c r="D1688" s="12" t="s">
        <v>208</v>
      </c>
      <c r="E1688" s="9" t="s">
        <v>70</v>
      </c>
      <c r="F1688" s="11">
        <v>1.2E8</v>
      </c>
    </row>
    <row r="1689">
      <c r="A1689" s="5">
        <v>1688.0</v>
      </c>
      <c r="B1689" s="5" t="s">
        <v>77</v>
      </c>
      <c r="C1689" s="11">
        <v>5.6E8</v>
      </c>
      <c r="D1689" s="12" t="s">
        <v>208</v>
      </c>
      <c r="E1689" s="9" t="s">
        <v>71</v>
      </c>
      <c r="F1689" s="11">
        <v>1.45E8</v>
      </c>
    </row>
    <row r="1690">
      <c r="A1690" s="5">
        <v>1689.0</v>
      </c>
      <c r="B1690" s="5" t="s">
        <v>77</v>
      </c>
      <c r="C1690" s="11">
        <v>6.45E8</v>
      </c>
      <c r="D1690" s="12" t="s">
        <v>208</v>
      </c>
      <c r="E1690" s="9" t="s">
        <v>72</v>
      </c>
      <c r="F1690" s="11">
        <v>2.07E8</v>
      </c>
    </row>
    <row r="1691">
      <c r="A1691" s="5">
        <v>1690.0</v>
      </c>
      <c r="B1691" s="5" t="s">
        <v>77</v>
      </c>
      <c r="C1691" s="8"/>
      <c r="D1691" s="12" t="s">
        <v>208</v>
      </c>
      <c r="E1691" s="9" t="s">
        <v>73</v>
      </c>
      <c r="F1691" s="8"/>
    </row>
    <row r="1692">
      <c r="A1692" s="5">
        <v>1691.0</v>
      </c>
      <c r="B1692" s="5" t="s">
        <v>61</v>
      </c>
      <c r="C1692" s="11">
        <v>2.19E8</v>
      </c>
      <c r="D1692" s="12" t="s">
        <v>209</v>
      </c>
      <c r="E1692" s="9" t="s">
        <v>60</v>
      </c>
      <c r="F1692" s="11">
        <v>1.09E8</v>
      </c>
    </row>
    <row r="1693">
      <c r="A1693" s="5">
        <v>1692.0</v>
      </c>
      <c r="B1693" s="5" t="s">
        <v>61</v>
      </c>
      <c r="C1693" s="11">
        <v>1.91E8</v>
      </c>
      <c r="D1693" s="12" t="s">
        <v>209</v>
      </c>
      <c r="E1693" s="9" t="s">
        <v>62</v>
      </c>
      <c r="F1693" s="11">
        <v>1.28E8</v>
      </c>
    </row>
    <row r="1694">
      <c r="A1694" s="5">
        <v>1693.0</v>
      </c>
      <c r="B1694" s="5" t="s">
        <v>61</v>
      </c>
      <c r="C1694" s="11">
        <v>1.34E8</v>
      </c>
      <c r="D1694" s="12" t="s">
        <v>209</v>
      </c>
      <c r="E1694" s="9" t="s">
        <v>63</v>
      </c>
      <c r="F1694" s="11">
        <v>1.08E8</v>
      </c>
    </row>
    <row r="1695">
      <c r="A1695" s="5">
        <v>1694.0</v>
      </c>
      <c r="B1695" s="5" t="s">
        <v>61</v>
      </c>
      <c r="C1695" s="11">
        <v>2.32E8</v>
      </c>
      <c r="D1695" s="12" t="s">
        <v>209</v>
      </c>
      <c r="E1695" s="9" t="s">
        <v>64</v>
      </c>
      <c r="F1695" s="11">
        <v>1.19E8</v>
      </c>
    </row>
    <row r="1696">
      <c r="A1696" s="5">
        <v>1695.0</v>
      </c>
      <c r="B1696" s="5" t="s">
        <v>61</v>
      </c>
      <c r="C1696" s="11">
        <v>2.6E8</v>
      </c>
      <c r="D1696" s="12" t="s">
        <v>209</v>
      </c>
      <c r="E1696" s="9" t="s">
        <v>65</v>
      </c>
      <c r="F1696" s="11">
        <v>2.05E8</v>
      </c>
    </row>
    <row r="1697">
      <c r="A1697" s="5">
        <v>1696.0</v>
      </c>
      <c r="B1697" s="5" t="s">
        <v>61</v>
      </c>
      <c r="C1697" s="11">
        <v>1.6E8</v>
      </c>
      <c r="D1697" s="12" t="s">
        <v>209</v>
      </c>
      <c r="E1697" s="9" t="s">
        <v>66</v>
      </c>
      <c r="F1697" s="11">
        <v>2.21E8</v>
      </c>
    </row>
    <row r="1698">
      <c r="A1698" s="5">
        <v>1697.0</v>
      </c>
      <c r="B1698" s="5" t="s">
        <v>61</v>
      </c>
      <c r="C1698" s="11">
        <v>1.57E8</v>
      </c>
      <c r="D1698" s="12" t="s">
        <v>209</v>
      </c>
      <c r="E1698" s="9" t="s">
        <v>67</v>
      </c>
      <c r="F1698" s="11">
        <v>2.61E8</v>
      </c>
    </row>
    <row r="1699">
      <c r="A1699" s="5">
        <v>1698.0</v>
      </c>
      <c r="B1699" s="5" t="s">
        <v>61</v>
      </c>
      <c r="C1699" s="11">
        <v>2.34E8</v>
      </c>
      <c r="D1699" s="12" t="s">
        <v>209</v>
      </c>
      <c r="E1699" s="9" t="s">
        <v>68</v>
      </c>
      <c r="F1699" s="11">
        <v>4.02E8</v>
      </c>
    </row>
    <row r="1700">
      <c r="A1700" s="5">
        <v>1699.0</v>
      </c>
      <c r="B1700" s="5" t="s">
        <v>61</v>
      </c>
      <c r="C1700" s="11">
        <v>3.53E8</v>
      </c>
      <c r="D1700" s="12" t="s">
        <v>209</v>
      </c>
      <c r="E1700" s="9" t="s">
        <v>69</v>
      </c>
      <c r="F1700" s="11">
        <v>5.45E8</v>
      </c>
    </row>
    <row r="1701">
      <c r="A1701" s="5">
        <v>1700.0</v>
      </c>
      <c r="B1701" s="5" t="s">
        <v>61</v>
      </c>
      <c r="C1701" s="11">
        <v>4.39E8</v>
      </c>
      <c r="D1701" s="12" t="s">
        <v>209</v>
      </c>
      <c r="E1701" s="9" t="s">
        <v>70</v>
      </c>
      <c r="F1701" s="11">
        <v>5.72E8</v>
      </c>
    </row>
    <row r="1702">
      <c r="A1702" s="5">
        <v>1701.0</v>
      </c>
      <c r="B1702" s="5" t="s">
        <v>61</v>
      </c>
      <c r="C1702" s="11">
        <v>3.78E8</v>
      </c>
      <c r="D1702" s="12" t="s">
        <v>209</v>
      </c>
      <c r="E1702" s="9" t="s">
        <v>71</v>
      </c>
      <c r="F1702" s="11">
        <v>5.28E8</v>
      </c>
    </row>
    <row r="1703">
      <c r="A1703" s="5">
        <v>1702.0</v>
      </c>
      <c r="B1703" s="5" t="s">
        <v>61</v>
      </c>
      <c r="C1703" s="11">
        <v>4.15E8</v>
      </c>
      <c r="D1703" s="12" t="s">
        <v>209</v>
      </c>
      <c r="E1703" s="9" t="s">
        <v>72</v>
      </c>
      <c r="F1703" s="11">
        <v>4.2E8</v>
      </c>
    </row>
    <row r="1704">
      <c r="A1704" s="5">
        <v>1703.0</v>
      </c>
      <c r="B1704" s="5" t="s">
        <v>61</v>
      </c>
      <c r="C1704" s="11">
        <v>3.79E8</v>
      </c>
      <c r="D1704" s="12" t="s">
        <v>209</v>
      </c>
      <c r="E1704" s="9" t="s">
        <v>73</v>
      </c>
      <c r="F1704" s="11">
        <v>5.61E8</v>
      </c>
    </row>
    <row r="1705">
      <c r="A1705" s="5">
        <v>1704.0</v>
      </c>
      <c r="B1705" s="5" t="s">
        <v>75</v>
      </c>
      <c r="C1705" s="11">
        <v>1.1285E10</v>
      </c>
      <c r="D1705" s="12" t="s">
        <v>210</v>
      </c>
      <c r="E1705" s="9" t="s">
        <v>60</v>
      </c>
      <c r="F1705" s="11">
        <v>1.3649E10</v>
      </c>
    </row>
    <row r="1706">
      <c r="A1706" s="5">
        <v>1705.0</v>
      </c>
      <c r="B1706" s="5" t="s">
        <v>75</v>
      </c>
      <c r="C1706" s="11">
        <v>1.1147E10</v>
      </c>
      <c r="D1706" s="12" t="s">
        <v>210</v>
      </c>
      <c r="E1706" s="9" t="s">
        <v>62</v>
      </c>
      <c r="F1706" s="11">
        <v>1.3061E10</v>
      </c>
    </row>
    <row r="1707">
      <c r="A1707" s="5">
        <v>1706.0</v>
      </c>
      <c r="B1707" s="5" t="s">
        <v>75</v>
      </c>
      <c r="C1707" s="11">
        <v>1.1745E10</v>
      </c>
      <c r="D1707" s="12" t="s">
        <v>210</v>
      </c>
      <c r="E1707" s="9" t="s">
        <v>63</v>
      </c>
      <c r="F1707" s="11">
        <v>1.4201E10</v>
      </c>
    </row>
    <row r="1708">
      <c r="A1708" s="5">
        <v>1707.0</v>
      </c>
      <c r="B1708" s="5" t="s">
        <v>75</v>
      </c>
      <c r="C1708" s="11">
        <v>1.4603E10</v>
      </c>
      <c r="D1708" s="12" t="s">
        <v>210</v>
      </c>
      <c r="E1708" s="9" t="s">
        <v>64</v>
      </c>
      <c r="F1708" s="11">
        <v>1.5887E10</v>
      </c>
    </row>
    <row r="1709">
      <c r="A1709" s="5">
        <v>1708.0</v>
      </c>
      <c r="B1709" s="5" t="s">
        <v>75</v>
      </c>
      <c r="C1709" s="11">
        <v>1.6495E10</v>
      </c>
      <c r="D1709" s="12" t="s">
        <v>210</v>
      </c>
      <c r="E1709" s="9" t="s">
        <v>65</v>
      </c>
      <c r="F1709" s="11">
        <v>1.6937E10</v>
      </c>
    </row>
    <row r="1710">
      <c r="A1710" s="5">
        <v>1709.0</v>
      </c>
      <c r="B1710" s="5" t="s">
        <v>75</v>
      </c>
      <c r="C1710" s="11">
        <v>1.6528E10</v>
      </c>
      <c r="D1710" s="12" t="s">
        <v>210</v>
      </c>
      <c r="E1710" s="9" t="s">
        <v>66</v>
      </c>
      <c r="F1710" s="11">
        <v>1.6621E10</v>
      </c>
    </row>
    <row r="1711">
      <c r="A1711" s="5">
        <v>1710.0</v>
      </c>
      <c r="B1711" s="5" t="s">
        <v>75</v>
      </c>
      <c r="C1711" s="11">
        <v>1.7529E10</v>
      </c>
      <c r="D1711" s="12" t="s">
        <v>210</v>
      </c>
      <c r="E1711" s="9" t="s">
        <v>67</v>
      </c>
      <c r="F1711" s="11">
        <v>1.7453E10</v>
      </c>
    </row>
    <row r="1712">
      <c r="A1712" s="5">
        <v>1711.0</v>
      </c>
      <c r="B1712" s="5" t="s">
        <v>75</v>
      </c>
      <c r="C1712" s="11">
        <v>1.9922E10</v>
      </c>
      <c r="D1712" s="12" t="s">
        <v>210</v>
      </c>
      <c r="E1712" s="9" t="s">
        <v>68</v>
      </c>
      <c r="F1712" s="11">
        <v>1.9477E10</v>
      </c>
    </row>
    <row r="1713">
      <c r="A1713" s="5">
        <v>1712.0</v>
      </c>
      <c r="B1713" s="5" t="s">
        <v>75</v>
      </c>
      <c r="C1713" s="11">
        <v>2.0523E10</v>
      </c>
      <c r="D1713" s="12" t="s">
        <v>210</v>
      </c>
      <c r="E1713" s="9" t="s">
        <v>69</v>
      </c>
      <c r="F1713" s="11">
        <v>2.2217E10</v>
      </c>
    </row>
    <row r="1714">
      <c r="A1714" s="5">
        <v>1713.0</v>
      </c>
      <c r="B1714" s="5" t="s">
        <v>75</v>
      </c>
      <c r="C1714" s="11">
        <v>1.7868E10</v>
      </c>
      <c r="D1714" s="12" t="s">
        <v>210</v>
      </c>
      <c r="E1714" s="9" t="s">
        <v>70</v>
      </c>
      <c r="F1714" s="11">
        <v>2.108E10</v>
      </c>
    </row>
    <row r="1715">
      <c r="A1715" s="5">
        <v>1714.0</v>
      </c>
      <c r="B1715" s="5" t="s">
        <v>75</v>
      </c>
      <c r="C1715" s="11">
        <v>1.869E10</v>
      </c>
      <c r="D1715" s="12" t="s">
        <v>210</v>
      </c>
      <c r="E1715" s="9" t="s">
        <v>71</v>
      </c>
      <c r="F1715" s="11">
        <v>1.9772E10</v>
      </c>
    </row>
    <row r="1716">
      <c r="A1716" s="5">
        <v>1715.0</v>
      </c>
      <c r="B1716" s="5" t="s">
        <v>75</v>
      </c>
      <c r="C1716" s="11">
        <v>2.097E10</v>
      </c>
      <c r="D1716" s="12" t="s">
        <v>210</v>
      </c>
      <c r="E1716" s="9" t="s">
        <v>72</v>
      </c>
      <c r="F1716" s="11">
        <v>2.0884E10</v>
      </c>
    </row>
    <row r="1717">
      <c r="A1717" s="5">
        <v>1716.0</v>
      </c>
      <c r="B1717" s="5" t="s">
        <v>75</v>
      </c>
      <c r="C1717" s="11">
        <v>2.0527E10</v>
      </c>
      <c r="D1717" s="12" t="s">
        <v>210</v>
      </c>
      <c r="E1717" s="9" t="s">
        <v>73</v>
      </c>
      <c r="F1717" s="11">
        <v>2.0346E10</v>
      </c>
    </row>
    <row r="1718">
      <c r="A1718" s="5">
        <v>1717.0</v>
      </c>
      <c r="B1718" s="5" t="s">
        <v>80</v>
      </c>
      <c r="C1718" s="11">
        <v>1.11E8</v>
      </c>
      <c r="D1718" s="12" t="s">
        <v>211</v>
      </c>
      <c r="E1718" s="9" t="s">
        <v>60</v>
      </c>
      <c r="F1718" s="8"/>
    </row>
    <row r="1719">
      <c r="A1719" s="5">
        <v>1718.0</v>
      </c>
      <c r="B1719" s="5" t="s">
        <v>80</v>
      </c>
      <c r="C1719" s="11">
        <v>9.4E7</v>
      </c>
      <c r="D1719" s="12" t="s">
        <v>211</v>
      </c>
      <c r="E1719" s="9" t="s">
        <v>62</v>
      </c>
      <c r="F1719" s="8"/>
    </row>
    <row r="1720">
      <c r="A1720" s="5">
        <v>1719.0</v>
      </c>
      <c r="B1720" s="5" t="s">
        <v>80</v>
      </c>
      <c r="C1720" s="11">
        <v>1.56E8</v>
      </c>
      <c r="D1720" s="12" t="s">
        <v>211</v>
      </c>
      <c r="E1720" s="9" t="s">
        <v>63</v>
      </c>
      <c r="F1720" s="11">
        <v>1.04E8</v>
      </c>
    </row>
    <row r="1721">
      <c r="A1721" s="5">
        <v>1720.0</v>
      </c>
      <c r="B1721" s="5" t="s">
        <v>80</v>
      </c>
      <c r="C1721" s="11">
        <v>1.96E8</v>
      </c>
      <c r="D1721" s="12" t="s">
        <v>211</v>
      </c>
      <c r="E1721" s="9" t="s">
        <v>64</v>
      </c>
      <c r="F1721" s="11">
        <v>1.28E8</v>
      </c>
    </row>
    <row r="1722">
      <c r="A1722" s="5">
        <v>1721.0</v>
      </c>
      <c r="B1722" s="5" t="s">
        <v>80</v>
      </c>
      <c r="C1722" s="11">
        <v>2.41E8</v>
      </c>
      <c r="D1722" s="12" t="s">
        <v>211</v>
      </c>
      <c r="E1722" s="9" t="s">
        <v>65</v>
      </c>
      <c r="F1722" s="11">
        <v>1.67E8</v>
      </c>
    </row>
    <row r="1723">
      <c r="A1723" s="5">
        <v>1722.0</v>
      </c>
      <c r="B1723" s="5" t="s">
        <v>80</v>
      </c>
      <c r="C1723" s="11">
        <v>1.49E8</v>
      </c>
      <c r="D1723" s="12" t="s">
        <v>211</v>
      </c>
      <c r="E1723" s="9" t="s">
        <v>66</v>
      </c>
      <c r="F1723" s="11">
        <v>1.22E8</v>
      </c>
    </row>
    <row r="1724">
      <c r="A1724" s="5">
        <v>1723.0</v>
      </c>
      <c r="B1724" s="5" t="s">
        <v>80</v>
      </c>
      <c r="C1724" s="11">
        <v>1.22E8</v>
      </c>
      <c r="D1724" s="12" t="s">
        <v>211</v>
      </c>
      <c r="E1724" s="9" t="s">
        <v>67</v>
      </c>
      <c r="F1724" s="11">
        <v>1.29E8</v>
      </c>
    </row>
    <row r="1725">
      <c r="A1725" s="5">
        <v>1724.0</v>
      </c>
      <c r="B1725" s="5" t="s">
        <v>80</v>
      </c>
      <c r="C1725" s="11">
        <v>1.42E8</v>
      </c>
      <c r="D1725" s="12" t="s">
        <v>211</v>
      </c>
      <c r="E1725" s="9" t="s">
        <v>68</v>
      </c>
      <c r="F1725" s="11">
        <v>1.49E8</v>
      </c>
    </row>
    <row r="1726">
      <c r="A1726" s="5">
        <v>1725.0</v>
      </c>
      <c r="B1726" s="5" t="s">
        <v>80</v>
      </c>
      <c r="C1726" s="11">
        <v>1.52E8</v>
      </c>
      <c r="D1726" s="12" t="s">
        <v>211</v>
      </c>
      <c r="E1726" s="9" t="s">
        <v>69</v>
      </c>
      <c r="F1726" s="11">
        <v>1.68E8</v>
      </c>
    </row>
    <row r="1727">
      <c r="A1727" s="5">
        <v>1726.0</v>
      </c>
      <c r="B1727" s="5" t="s">
        <v>80</v>
      </c>
      <c r="C1727" s="11">
        <v>1.41E8</v>
      </c>
      <c r="D1727" s="12" t="s">
        <v>211</v>
      </c>
      <c r="E1727" s="9" t="s">
        <v>70</v>
      </c>
      <c r="F1727" s="11">
        <v>1.7E8</v>
      </c>
    </row>
    <row r="1728">
      <c r="A1728" s="5">
        <v>1727.0</v>
      </c>
      <c r="B1728" s="5" t="s">
        <v>80</v>
      </c>
      <c r="C1728" s="11">
        <v>1.29E8</v>
      </c>
      <c r="D1728" s="12" t="s">
        <v>211</v>
      </c>
      <c r="E1728" s="9" t="s">
        <v>71</v>
      </c>
      <c r="F1728" s="11">
        <v>1.79E8</v>
      </c>
    </row>
    <row r="1729">
      <c r="A1729" s="5">
        <v>1728.0</v>
      </c>
      <c r="B1729" s="5" t="s">
        <v>80</v>
      </c>
      <c r="C1729" s="11">
        <v>1.53E8</v>
      </c>
      <c r="D1729" s="12" t="s">
        <v>211</v>
      </c>
      <c r="E1729" s="9" t="s">
        <v>72</v>
      </c>
      <c r="F1729" s="11">
        <v>1.76E8</v>
      </c>
    </row>
    <row r="1730">
      <c r="A1730" s="5">
        <v>1729.0</v>
      </c>
      <c r="B1730" s="5" t="s">
        <v>80</v>
      </c>
      <c r="C1730" s="8"/>
      <c r="D1730" s="12" t="s">
        <v>211</v>
      </c>
      <c r="E1730" s="9" t="s">
        <v>73</v>
      </c>
      <c r="F1730" s="8"/>
    </row>
    <row r="1731">
      <c r="A1731" s="5">
        <v>1730.0</v>
      </c>
      <c r="B1731" s="5" t="s">
        <v>80</v>
      </c>
      <c r="C1731" s="11">
        <v>2.272E9</v>
      </c>
      <c r="D1731" s="12" t="s">
        <v>212</v>
      </c>
      <c r="E1731" s="9" t="s">
        <v>60</v>
      </c>
      <c r="F1731" s="11">
        <v>1.235E9</v>
      </c>
    </row>
    <row r="1732">
      <c r="A1732" s="5">
        <v>1731.0</v>
      </c>
      <c r="B1732" s="5" t="s">
        <v>80</v>
      </c>
      <c r="C1732" s="11">
        <v>2.34E9</v>
      </c>
      <c r="D1732" s="12" t="s">
        <v>212</v>
      </c>
      <c r="E1732" s="9" t="s">
        <v>62</v>
      </c>
      <c r="F1732" s="11">
        <v>1.255E9</v>
      </c>
    </row>
    <row r="1733">
      <c r="A1733" s="5">
        <v>1732.0</v>
      </c>
      <c r="B1733" s="5" t="s">
        <v>80</v>
      </c>
      <c r="C1733" s="11">
        <v>3.159E9</v>
      </c>
      <c r="D1733" s="12" t="s">
        <v>212</v>
      </c>
      <c r="E1733" s="9" t="s">
        <v>63</v>
      </c>
      <c r="F1733" s="11">
        <v>1.386E9</v>
      </c>
    </row>
    <row r="1734">
      <c r="A1734" s="5">
        <v>1733.0</v>
      </c>
      <c r="B1734" s="5" t="s">
        <v>80</v>
      </c>
      <c r="C1734" s="11">
        <v>4.232E9</v>
      </c>
      <c r="D1734" s="12" t="s">
        <v>212</v>
      </c>
      <c r="E1734" s="9" t="s">
        <v>64</v>
      </c>
      <c r="F1734" s="11">
        <v>1.649E9</v>
      </c>
    </row>
    <row r="1735">
      <c r="A1735" s="5">
        <v>1734.0</v>
      </c>
      <c r="B1735" s="5" t="s">
        <v>80</v>
      </c>
      <c r="C1735" s="11">
        <v>5.098E9</v>
      </c>
      <c r="D1735" s="12" t="s">
        <v>212</v>
      </c>
      <c r="E1735" s="9" t="s">
        <v>65</v>
      </c>
      <c r="F1735" s="11">
        <v>2.229E9</v>
      </c>
    </row>
    <row r="1736">
      <c r="A1736" s="5">
        <v>1735.0</v>
      </c>
      <c r="B1736" s="5" t="s">
        <v>80</v>
      </c>
      <c r="C1736" s="11">
        <v>5.211E9</v>
      </c>
      <c r="D1736" s="12" t="s">
        <v>212</v>
      </c>
      <c r="E1736" s="9" t="s">
        <v>66</v>
      </c>
      <c r="F1736" s="11">
        <v>2.671E9</v>
      </c>
    </row>
    <row r="1737">
      <c r="A1737" s="5">
        <v>1736.0</v>
      </c>
      <c r="B1737" s="5" t="s">
        <v>80</v>
      </c>
      <c r="C1737" s="11">
        <v>4.792E9</v>
      </c>
      <c r="D1737" s="12" t="s">
        <v>212</v>
      </c>
      <c r="E1737" s="9" t="s">
        <v>67</v>
      </c>
      <c r="F1737" s="11">
        <v>2.534E9</v>
      </c>
    </row>
    <row r="1738">
      <c r="A1738" s="5">
        <v>1737.0</v>
      </c>
      <c r="B1738" s="5" t="s">
        <v>80</v>
      </c>
      <c r="C1738" s="11">
        <v>5.413E9</v>
      </c>
      <c r="D1738" s="12" t="s">
        <v>212</v>
      </c>
      <c r="E1738" s="9" t="s">
        <v>68</v>
      </c>
      <c r="F1738" s="11">
        <v>3.077E9</v>
      </c>
    </row>
    <row r="1739">
      <c r="A1739" s="5">
        <v>1738.0</v>
      </c>
      <c r="B1739" s="5" t="s">
        <v>80</v>
      </c>
      <c r="C1739" s="11">
        <v>5.152E9</v>
      </c>
      <c r="D1739" s="12" t="s">
        <v>212</v>
      </c>
      <c r="E1739" s="9" t="s">
        <v>69</v>
      </c>
      <c r="F1739" s="11">
        <v>3.006E9</v>
      </c>
    </row>
    <row r="1740">
      <c r="A1740" s="5">
        <v>1739.0</v>
      </c>
      <c r="B1740" s="5" t="s">
        <v>80</v>
      </c>
      <c r="C1740" s="11">
        <v>4.591E9</v>
      </c>
      <c r="D1740" s="12" t="s">
        <v>212</v>
      </c>
      <c r="E1740" s="9" t="s">
        <v>70</v>
      </c>
      <c r="F1740" s="11">
        <v>2.58E9</v>
      </c>
    </row>
    <row r="1741">
      <c r="A1741" s="5">
        <v>1740.0</v>
      </c>
      <c r="B1741" s="5" t="s">
        <v>80</v>
      </c>
      <c r="C1741" s="11">
        <v>4.904E9</v>
      </c>
      <c r="D1741" s="12" t="s">
        <v>212</v>
      </c>
      <c r="E1741" s="9" t="s">
        <v>71</v>
      </c>
      <c r="F1741" s="11">
        <v>3.037E9</v>
      </c>
    </row>
    <row r="1742">
      <c r="A1742" s="5">
        <v>1741.0</v>
      </c>
      <c r="B1742" s="5" t="s">
        <v>80</v>
      </c>
      <c r="C1742" s="11">
        <v>5.546E9</v>
      </c>
      <c r="D1742" s="12" t="s">
        <v>212</v>
      </c>
      <c r="E1742" s="9" t="s">
        <v>72</v>
      </c>
      <c r="F1742" s="11">
        <v>3.462E9</v>
      </c>
    </row>
    <row r="1743">
      <c r="A1743" s="5">
        <v>1742.0</v>
      </c>
      <c r="B1743" s="5" t="s">
        <v>80</v>
      </c>
      <c r="C1743" s="11">
        <v>5.467E9</v>
      </c>
      <c r="D1743" s="12" t="s">
        <v>212</v>
      </c>
      <c r="E1743" s="9" t="s">
        <v>73</v>
      </c>
      <c r="F1743" s="11">
        <v>3.718E9</v>
      </c>
    </row>
    <row r="1744">
      <c r="A1744" s="5">
        <v>1743.0</v>
      </c>
      <c r="B1744" s="5" t="s">
        <v>84</v>
      </c>
      <c r="C1744" s="11">
        <v>1.29E8</v>
      </c>
      <c r="D1744" s="12" t="s">
        <v>213</v>
      </c>
      <c r="E1744" s="9" t="s">
        <v>60</v>
      </c>
      <c r="F1744" s="11">
        <v>1.26E8</v>
      </c>
    </row>
    <row r="1745">
      <c r="A1745" s="5">
        <v>1744.0</v>
      </c>
      <c r="B1745" s="5" t="s">
        <v>84</v>
      </c>
      <c r="C1745" s="11">
        <v>1.35E8</v>
      </c>
      <c r="D1745" s="12" t="s">
        <v>213</v>
      </c>
      <c r="E1745" s="9" t="s">
        <v>62</v>
      </c>
      <c r="F1745" s="11">
        <v>1.28E8</v>
      </c>
    </row>
    <row r="1746">
      <c r="A1746" s="5">
        <v>1745.0</v>
      </c>
      <c r="B1746" s="5" t="s">
        <v>84</v>
      </c>
      <c r="C1746" s="11">
        <v>1.35E8</v>
      </c>
      <c r="D1746" s="12" t="s">
        <v>213</v>
      </c>
      <c r="E1746" s="9" t="s">
        <v>63</v>
      </c>
      <c r="F1746" s="11">
        <v>1.25E8</v>
      </c>
    </row>
    <row r="1747">
      <c r="A1747" s="5">
        <v>1746.0</v>
      </c>
      <c r="B1747" s="5" t="s">
        <v>84</v>
      </c>
      <c r="C1747" s="11">
        <v>1.6E8</v>
      </c>
      <c r="D1747" s="12" t="s">
        <v>213</v>
      </c>
      <c r="E1747" s="9" t="s">
        <v>64</v>
      </c>
      <c r="F1747" s="11">
        <v>1.39E8</v>
      </c>
    </row>
    <row r="1748">
      <c r="A1748" s="5">
        <v>1747.0</v>
      </c>
      <c r="B1748" s="5" t="s">
        <v>84</v>
      </c>
      <c r="C1748" s="11">
        <v>1.92E8</v>
      </c>
      <c r="D1748" s="12" t="s">
        <v>213</v>
      </c>
      <c r="E1748" s="9" t="s">
        <v>65</v>
      </c>
      <c r="F1748" s="11">
        <v>1.54E8</v>
      </c>
    </row>
    <row r="1749">
      <c r="A1749" s="5">
        <v>1748.0</v>
      </c>
      <c r="B1749" s="5" t="s">
        <v>84</v>
      </c>
      <c r="C1749" s="11">
        <v>2.06E8</v>
      </c>
      <c r="D1749" s="12" t="s">
        <v>213</v>
      </c>
      <c r="E1749" s="9" t="s">
        <v>66</v>
      </c>
      <c r="F1749" s="11">
        <v>1.62E8</v>
      </c>
    </row>
    <row r="1750">
      <c r="A1750" s="5">
        <v>1749.0</v>
      </c>
      <c r="B1750" s="5" t="s">
        <v>84</v>
      </c>
      <c r="C1750" s="11">
        <v>2.31E8</v>
      </c>
      <c r="D1750" s="12" t="s">
        <v>213</v>
      </c>
      <c r="E1750" s="9" t="s">
        <v>67</v>
      </c>
      <c r="F1750" s="11">
        <v>1.88E8</v>
      </c>
    </row>
    <row r="1751">
      <c r="A1751" s="5">
        <v>1750.0</v>
      </c>
      <c r="B1751" s="5" t="s">
        <v>84</v>
      </c>
      <c r="C1751" s="11">
        <v>2.55E8</v>
      </c>
      <c r="D1751" s="12" t="s">
        <v>213</v>
      </c>
      <c r="E1751" s="9" t="s">
        <v>68</v>
      </c>
      <c r="F1751" s="11">
        <v>2.79E8</v>
      </c>
    </row>
    <row r="1752">
      <c r="A1752" s="5">
        <v>1751.0</v>
      </c>
      <c r="B1752" s="5" t="s">
        <v>84</v>
      </c>
      <c r="C1752" s="11">
        <v>3.01E8</v>
      </c>
      <c r="D1752" s="12" t="s">
        <v>213</v>
      </c>
      <c r="E1752" s="9" t="s">
        <v>69</v>
      </c>
      <c r="F1752" s="11">
        <v>3.32E8</v>
      </c>
    </row>
    <row r="1753">
      <c r="A1753" s="5">
        <v>1752.0</v>
      </c>
      <c r="B1753" s="5" t="s">
        <v>84</v>
      </c>
      <c r="C1753" s="11">
        <v>3.34E8</v>
      </c>
      <c r="D1753" s="12" t="s">
        <v>213</v>
      </c>
      <c r="E1753" s="9" t="s">
        <v>70</v>
      </c>
      <c r="F1753" s="11">
        <v>3.0E8</v>
      </c>
    </row>
    <row r="1754">
      <c r="A1754" s="5">
        <v>1753.0</v>
      </c>
      <c r="B1754" s="5" t="s">
        <v>84</v>
      </c>
      <c r="C1754" s="11">
        <v>3.09E8</v>
      </c>
      <c r="D1754" s="12" t="s">
        <v>213</v>
      </c>
      <c r="E1754" s="9" t="s">
        <v>71</v>
      </c>
      <c r="F1754" s="11">
        <v>3.29E8</v>
      </c>
    </row>
    <row r="1755">
      <c r="A1755" s="5">
        <v>1754.0</v>
      </c>
      <c r="B1755" s="5" t="s">
        <v>84</v>
      </c>
      <c r="C1755" s="11">
        <v>3.78E8</v>
      </c>
      <c r="D1755" s="12" t="s">
        <v>213</v>
      </c>
      <c r="E1755" s="9" t="s">
        <v>72</v>
      </c>
      <c r="F1755" s="11">
        <v>3.8E8</v>
      </c>
    </row>
    <row r="1756">
      <c r="A1756" s="5">
        <v>1755.0</v>
      </c>
      <c r="B1756" s="5" t="s">
        <v>84</v>
      </c>
      <c r="C1756" s="11">
        <v>4.22E8</v>
      </c>
      <c r="D1756" s="12" t="s">
        <v>213</v>
      </c>
      <c r="E1756" s="9" t="s">
        <v>73</v>
      </c>
      <c r="F1756" s="11">
        <v>3.72E8</v>
      </c>
    </row>
    <row r="1757">
      <c r="A1757" s="5">
        <v>1756.0</v>
      </c>
      <c r="B1757" s="5" t="s">
        <v>77</v>
      </c>
      <c r="C1757" s="11">
        <v>2.3E7</v>
      </c>
      <c r="D1757" s="12" t="s">
        <v>214</v>
      </c>
      <c r="E1757" s="9" t="s">
        <v>60</v>
      </c>
      <c r="F1757" s="11">
        <v>3.2E7</v>
      </c>
    </row>
    <row r="1758">
      <c r="A1758" s="5">
        <v>1757.0</v>
      </c>
      <c r="B1758" s="5" t="s">
        <v>77</v>
      </c>
      <c r="C1758" s="11">
        <v>3.0E7</v>
      </c>
      <c r="D1758" s="12" t="s">
        <v>214</v>
      </c>
      <c r="E1758" s="9" t="s">
        <v>62</v>
      </c>
      <c r="F1758" s="11">
        <v>3.3E7</v>
      </c>
    </row>
    <row r="1759">
      <c r="A1759" s="5">
        <v>1758.0</v>
      </c>
      <c r="B1759" s="5" t="s">
        <v>77</v>
      </c>
      <c r="C1759" s="11">
        <v>2.0E7</v>
      </c>
      <c r="D1759" s="12" t="s">
        <v>214</v>
      </c>
      <c r="E1759" s="9" t="s">
        <v>63</v>
      </c>
      <c r="F1759" s="11">
        <v>2.9E7</v>
      </c>
    </row>
    <row r="1760">
      <c r="A1760" s="5">
        <v>1759.0</v>
      </c>
      <c r="B1760" s="5" t="s">
        <v>77</v>
      </c>
      <c r="C1760" s="11">
        <v>2.8E7</v>
      </c>
      <c r="D1760" s="12" t="s">
        <v>214</v>
      </c>
      <c r="E1760" s="9" t="s">
        <v>64</v>
      </c>
      <c r="F1760" s="11">
        <v>3.9E7</v>
      </c>
    </row>
    <row r="1761">
      <c r="A1761" s="5">
        <v>1760.0</v>
      </c>
      <c r="B1761" s="5" t="s">
        <v>77</v>
      </c>
      <c r="C1761" s="11">
        <v>3.2E7</v>
      </c>
      <c r="D1761" s="12" t="s">
        <v>214</v>
      </c>
      <c r="E1761" s="9" t="s">
        <v>65</v>
      </c>
      <c r="F1761" s="11">
        <v>4.2E7</v>
      </c>
    </row>
    <row r="1762">
      <c r="A1762" s="5">
        <v>1761.0</v>
      </c>
      <c r="B1762" s="5" t="s">
        <v>77</v>
      </c>
      <c r="C1762" s="11">
        <v>4.4E7</v>
      </c>
      <c r="D1762" s="12" t="s">
        <v>214</v>
      </c>
      <c r="E1762" s="9" t="s">
        <v>66</v>
      </c>
      <c r="F1762" s="11">
        <v>4.2E7</v>
      </c>
    </row>
    <row r="1763">
      <c r="A1763" s="5">
        <v>1762.0</v>
      </c>
      <c r="B1763" s="5" t="s">
        <v>77</v>
      </c>
      <c r="C1763" s="11">
        <v>3.9E7</v>
      </c>
      <c r="D1763" s="12" t="s">
        <v>214</v>
      </c>
      <c r="E1763" s="9" t="s">
        <v>67</v>
      </c>
      <c r="F1763" s="11">
        <v>4.2E7</v>
      </c>
    </row>
    <row r="1764">
      <c r="A1764" s="5">
        <v>1763.0</v>
      </c>
      <c r="B1764" s="5" t="s">
        <v>77</v>
      </c>
      <c r="C1764" s="11">
        <v>4.4E7</v>
      </c>
      <c r="D1764" s="12" t="s">
        <v>214</v>
      </c>
      <c r="E1764" s="9" t="s">
        <v>68</v>
      </c>
      <c r="F1764" s="11">
        <v>4.8E7</v>
      </c>
    </row>
    <row r="1765">
      <c r="A1765" s="5">
        <v>1764.0</v>
      </c>
      <c r="B1765" s="5" t="s">
        <v>77</v>
      </c>
      <c r="C1765" s="11">
        <v>8.6E7</v>
      </c>
      <c r="D1765" s="12" t="s">
        <v>214</v>
      </c>
      <c r="E1765" s="9" t="s">
        <v>69</v>
      </c>
      <c r="F1765" s="11">
        <v>9.8E7</v>
      </c>
    </row>
    <row r="1766">
      <c r="A1766" s="5">
        <v>1765.0</v>
      </c>
      <c r="B1766" s="5" t="s">
        <v>77</v>
      </c>
      <c r="C1766" s="11">
        <v>6.9E7</v>
      </c>
      <c r="D1766" s="12" t="s">
        <v>214</v>
      </c>
      <c r="E1766" s="9" t="s">
        <v>70</v>
      </c>
      <c r="F1766" s="11">
        <v>8.4E7</v>
      </c>
    </row>
    <row r="1767">
      <c r="A1767" s="5">
        <v>1766.0</v>
      </c>
      <c r="B1767" s="5" t="s">
        <v>77</v>
      </c>
      <c r="C1767" s="11">
        <v>8.6E7</v>
      </c>
      <c r="D1767" s="12" t="s">
        <v>214</v>
      </c>
      <c r="E1767" s="9" t="s">
        <v>71</v>
      </c>
      <c r="F1767" s="8"/>
    </row>
    <row r="1768">
      <c r="A1768" s="5">
        <v>1767.0</v>
      </c>
      <c r="B1768" s="5" t="s">
        <v>77</v>
      </c>
      <c r="C1768" s="11">
        <v>8.6E7</v>
      </c>
      <c r="D1768" s="12" t="s">
        <v>214</v>
      </c>
      <c r="E1768" s="9" t="s">
        <v>72</v>
      </c>
      <c r="F1768" s="8"/>
    </row>
    <row r="1769">
      <c r="A1769" s="5">
        <v>1768.0</v>
      </c>
      <c r="B1769" s="5" t="s">
        <v>77</v>
      </c>
      <c r="C1769" s="8"/>
      <c r="D1769" s="12" t="s">
        <v>214</v>
      </c>
      <c r="E1769" s="9" t="s">
        <v>73</v>
      </c>
      <c r="F1769" s="8"/>
    </row>
    <row r="1770">
      <c r="A1770" s="5">
        <v>1769.0</v>
      </c>
      <c r="B1770" s="5" t="s">
        <v>77</v>
      </c>
      <c r="C1770" s="11">
        <v>1.86E8</v>
      </c>
      <c r="D1770" s="12" t="s">
        <v>215</v>
      </c>
      <c r="E1770" s="9" t="s">
        <v>60</v>
      </c>
      <c r="F1770" s="11">
        <v>6.1E8</v>
      </c>
    </row>
    <row r="1771">
      <c r="A1771" s="5">
        <v>1770.0</v>
      </c>
      <c r="B1771" s="5" t="s">
        <v>77</v>
      </c>
      <c r="C1771" s="11">
        <v>1.68E8</v>
      </c>
      <c r="D1771" s="12" t="s">
        <v>215</v>
      </c>
      <c r="E1771" s="9" t="s">
        <v>62</v>
      </c>
      <c r="F1771" s="11">
        <v>8.58E8</v>
      </c>
    </row>
    <row r="1772">
      <c r="A1772" s="5">
        <v>1771.0</v>
      </c>
      <c r="B1772" s="5" t="s">
        <v>77</v>
      </c>
      <c r="C1772" s="11">
        <v>2.56E8</v>
      </c>
      <c r="D1772" s="12" t="s">
        <v>215</v>
      </c>
      <c r="E1772" s="9" t="s">
        <v>63</v>
      </c>
      <c r="F1772" s="11">
        <v>9.1E8</v>
      </c>
    </row>
    <row r="1773">
      <c r="A1773" s="5">
        <v>1772.0</v>
      </c>
      <c r="B1773" s="5" t="s">
        <v>77</v>
      </c>
      <c r="C1773" s="11">
        <v>5.8E7</v>
      </c>
      <c r="D1773" s="12" t="s">
        <v>215</v>
      </c>
      <c r="E1773" s="9" t="s">
        <v>64</v>
      </c>
      <c r="F1773" s="11">
        <v>2.076E9</v>
      </c>
    </row>
    <row r="1774">
      <c r="A1774" s="5">
        <v>1773.0</v>
      </c>
      <c r="B1774" s="5" t="s">
        <v>77</v>
      </c>
      <c r="C1774" s="11">
        <v>4.9E7</v>
      </c>
      <c r="D1774" s="12" t="s">
        <v>215</v>
      </c>
      <c r="E1774" s="9" t="s">
        <v>65</v>
      </c>
      <c r="F1774" s="8"/>
    </row>
    <row r="1775">
      <c r="A1775" s="5">
        <v>1774.0</v>
      </c>
      <c r="B1775" s="5" t="s">
        <v>77</v>
      </c>
      <c r="C1775" s="11">
        <v>1.39E8</v>
      </c>
      <c r="D1775" s="12" t="s">
        <v>215</v>
      </c>
      <c r="E1775" s="9" t="s">
        <v>66</v>
      </c>
      <c r="F1775" s="11">
        <v>5.01E8</v>
      </c>
    </row>
    <row r="1776">
      <c r="A1776" s="5">
        <v>1775.0</v>
      </c>
      <c r="B1776" s="5" t="s">
        <v>77</v>
      </c>
      <c r="C1776" s="11">
        <v>2.09E8</v>
      </c>
      <c r="D1776" s="12" t="s">
        <v>215</v>
      </c>
      <c r="E1776" s="9" t="s">
        <v>67</v>
      </c>
      <c r="F1776" s="11">
        <v>3.536E9</v>
      </c>
    </row>
    <row r="1777">
      <c r="A1777" s="5">
        <v>1776.0</v>
      </c>
      <c r="B1777" s="5" t="s">
        <v>77</v>
      </c>
      <c r="C1777" s="11">
        <v>3.37E8</v>
      </c>
      <c r="D1777" s="12" t="s">
        <v>215</v>
      </c>
      <c r="E1777" s="9" t="s">
        <v>68</v>
      </c>
      <c r="F1777" s="11">
        <v>6.664E9</v>
      </c>
    </row>
    <row r="1778">
      <c r="A1778" s="5">
        <v>1777.0</v>
      </c>
      <c r="B1778" s="5" t="s">
        <v>77</v>
      </c>
      <c r="C1778" s="11">
        <v>9.59E8</v>
      </c>
      <c r="D1778" s="12" t="s">
        <v>215</v>
      </c>
      <c r="E1778" s="9" t="s">
        <v>69</v>
      </c>
      <c r="F1778" s="11">
        <v>1.1009E10</v>
      </c>
    </row>
    <row r="1779">
      <c r="A1779" s="5">
        <v>1778.0</v>
      </c>
      <c r="B1779" s="5" t="s">
        <v>77</v>
      </c>
      <c r="C1779" s="11">
        <v>7.91E8</v>
      </c>
      <c r="D1779" s="12" t="s">
        <v>215</v>
      </c>
      <c r="E1779" s="9" t="s">
        <v>70</v>
      </c>
      <c r="F1779" s="11">
        <v>6.236E9</v>
      </c>
    </row>
    <row r="1780">
      <c r="A1780" s="5">
        <v>1779.0</v>
      </c>
      <c r="B1780" s="5" t="s">
        <v>77</v>
      </c>
      <c r="C1780" s="11">
        <v>7.38E8</v>
      </c>
      <c r="D1780" s="12" t="s">
        <v>215</v>
      </c>
      <c r="E1780" s="9" t="s">
        <v>71</v>
      </c>
      <c r="F1780" s="11">
        <v>8.379E9</v>
      </c>
    </row>
    <row r="1781">
      <c r="A1781" s="5">
        <v>1780.0</v>
      </c>
      <c r="B1781" s="5" t="s">
        <v>77</v>
      </c>
      <c r="C1781" s="11">
        <v>6.88E8</v>
      </c>
      <c r="D1781" s="12" t="s">
        <v>215</v>
      </c>
      <c r="E1781" s="9" t="s">
        <v>72</v>
      </c>
      <c r="F1781" s="11">
        <v>9.534E9</v>
      </c>
    </row>
    <row r="1782">
      <c r="A1782" s="5">
        <v>1781.0</v>
      </c>
      <c r="B1782" s="5" t="s">
        <v>77</v>
      </c>
      <c r="C1782" s="11">
        <v>6.41E8</v>
      </c>
      <c r="D1782" s="12" t="s">
        <v>215</v>
      </c>
      <c r="E1782" s="9" t="s">
        <v>73</v>
      </c>
      <c r="F1782" s="11">
        <v>9.28E9</v>
      </c>
    </row>
    <row r="1783">
      <c r="A1783" s="5">
        <v>1782.0</v>
      </c>
      <c r="B1783" s="5" t="s">
        <v>61</v>
      </c>
      <c r="C1783" s="8"/>
      <c r="D1783" s="12" t="s">
        <v>216</v>
      </c>
      <c r="E1783" s="9" t="s">
        <v>60</v>
      </c>
      <c r="F1783" s="8"/>
    </row>
    <row r="1784">
      <c r="A1784" s="5">
        <v>1783.0</v>
      </c>
      <c r="B1784" s="5" t="s">
        <v>61</v>
      </c>
      <c r="C1784" s="8"/>
      <c r="D1784" s="12" t="s">
        <v>216</v>
      </c>
      <c r="E1784" s="9" t="s">
        <v>62</v>
      </c>
      <c r="F1784" s="8"/>
    </row>
    <row r="1785">
      <c r="A1785" s="5">
        <v>1784.0</v>
      </c>
      <c r="B1785" s="5" t="s">
        <v>61</v>
      </c>
      <c r="C1785" s="8"/>
      <c r="D1785" s="12" t="s">
        <v>216</v>
      </c>
      <c r="E1785" s="9" t="s">
        <v>63</v>
      </c>
      <c r="F1785" s="8"/>
    </row>
    <row r="1786">
      <c r="A1786" s="5">
        <v>1785.0</v>
      </c>
      <c r="B1786" s="5" t="s">
        <v>61</v>
      </c>
      <c r="C1786" s="8"/>
      <c r="D1786" s="12" t="s">
        <v>216</v>
      </c>
      <c r="E1786" s="9" t="s">
        <v>64</v>
      </c>
      <c r="F1786" s="8"/>
    </row>
    <row r="1787">
      <c r="A1787" s="5">
        <v>1786.0</v>
      </c>
      <c r="B1787" s="5" t="s">
        <v>61</v>
      </c>
      <c r="C1787" s="8"/>
      <c r="D1787" s="12" t="s">
        <v>216</v>
      </c>
      <c r="E1787" s="9" t="s">
        <v>65</v>
      </c>
      <c r="F1787" s="8"/>
    </row>
    <row r="1788">
      <c r="A1788" s="5">
        <v>1787.0</v>
      </c>
      <c r="B1788" s="5" t="s">
        <v>61</v>
      </c>
      <c r="C1788" s="8"/>
      <c r="D1788" s="12" t="s">
        <v>216</v>
      </c>
      <c r="E1788" s="9" t="s">
        <v>66</v>
      </c>
      <c r="F1788" s="8"/>
    </row>
    <row r="1789">
      <c r="A1789" s="5">
        <v>1788.0</v>
      </c>
      <c r="B1789" s="5" t="s">
        <v>61</v>
      </c>
      <c r="C1789" s="8"/>
      <c r="D1789" s="12" t="s">
        <v>216</v>
      </c>
      <c r="E1789" s="9" t="s">
        <v>67</v>
      </c>
      <c r="F1789" s="8"/>
    </row>
    <row r="1790">
      <c r="A1790" s="5">
        <v>1789.0</v>
      </c>
      <c r="B1790" s="5" t="s">
        <v>61</v>
      </c>
      <c r="C1790" s="8"/>
      <c r="D1790" s="12" t="s">
        <v>216</v>
      </c>
      <c r="E1790" s="9" t="s">
        <v>68</v>
      </c>
      <c r="F1790" s="8"/>
    </row>
    <row r="1791">
      <c r="A1791" s="5">
        <v>1790.0</v>
      </c>
      <c r="B1791" s="5" t="s">
        <v>61</v>
      </c>
      <c r="C1791" s="8"/>
      <c r="D1791" s="12" t="s">
        <v>216</v>
      </c>
      <c r="E1791" s="9" t="s">
        <v>69</v>
      </c>
      <c r="F1791" s="8"/>
    </row>
    <row r="1792">
      <c r="A1792" s="5">
        <v>1791.0</v>
      </c>
      <c r="B1792" s="5" t="s">
        <v>61</v>
      </c>
      <c r="C1792" s="8"/>
      <c r="D1792" s="12" t="s">
        <v>216</v>
      </c>
      <c r="E1792" s="9" t="s">
        <v>70</v>
      </c>
      <c r="F1792" s="8"/>
    </row>
    <row r="1793">
      <c r="A1793" s="5">
        <v>1792.0</v>
      </c>
      <c r="B1793" s="5" t="s">
        <v>61</v>
      </c>
      <c r="C1793" s="8"/>
      <c r="D1793" s="12" t="s">
        <v>216</v>
      </c>
      <c r="E1793" s="9" t="s">
        <v>71</v>
      </c>
      <c r="F1793" s="8"/>
    </row>
    <row r="1794">
      <c r="A1794" s="5">
        <v>1793.0</v>
      </c>
      <c r="B1794" s="5" t="s">
        <v>61</v>
      </c>
      <c r="C1794" s="8"/>
      <c r="D1794" s="12" t="s">
        <v>216</v>
      </c>
      <c r="E1794" s="9" t="s">
        <v>72</v>
      </c>
      <c r="F1794" s="8"/>
    </row>
    <row r="1795">
      <c r="A1795" s="5">
        <v>1794.0</v>
      </c>
      <c r="B1795" s="5" t="s">
        <v>61</v>
      </c>
      <c r="C1795" s="8"/>
      <c r="D1795" s="12" t="s">
        <v>216</v>
      </c>
      <c r="E1795" s="9" t="s">
        <v>73</v>
      </c>
      <c r="F1795" s="8"/>
    </row>
    <row r="1796">
      <c r="A1796" s="5">
        <v>1795.0</v>
      </c>
      <c r="B1796" s="5" t="s">
        <v>75</v>
      </c>
      <c r="C1796" s="11">
        <v>8.8E7</v>
      </c>
      <c r="D1796" s="12" t="s">
        <v>217</v>
      </c>
      <c r="E1796" s="9" t="s">
        <v>60</v>
      </c>
      <c r="F1796" s="11">
        <v>5.8E7</v>
      </c>
    </row>
    <row r="1797">
      <c r="A1797" s="5">
        <v>1796.0</v>
      </c>
      <c r="B1797" s="5" t="s">
        <v>75</v>
      </c>
      <c r="C1797" s="11">
        <v>4.9E7</v>
      </c>
      <c r="D1797" s="12" t="s">
        <v>217</v>
      </c>
      <c r="E1797" s="9" t="s">
        <v>62</v>
      </c>
      <c r="F1797" s="11">
        <v>6.0E7</v>
      </c>
    </row>
    <row r="1798">
      <c r="A1798" s="5">
        <v>1797.0</v>
      </c>
      <c r="B1798" s="5" t="s">
        <v>75</v>
      </c>
      <c r="C1798" s="11">
        <v>5.5E7</v>
      </c>
      <c r="D1798" s="12" t="s">
        <v>217</v>
      </c>
      <c r="E1798" s="9" t="s">
        <v>63</v>
      </c>
      <c r="F1798" s="11">
        <v>6.0E7</v>
      </c>
    </row>
    <row r="1799">
      <c r="A1799" s="5">
        <v>1798.0</v>
      </c>
      <c r="B1799" s="5" t="s">
        <v>75</v>
      </c>
      <c r="C1799" s="11">
        <v>8.6E7</v>
      </c>
      <c r="D1799" s="12" t="s">
        <v>217</v>
      </c>
      <c r="E1799" s="9" t="s">
        <v>64</v>
      </c>
      <c r="F1799" s="11">
        <v>7.1E7</v>
      </c>
    </row>
    <row r="1800">
      <c r="A1800" s="5">
        <v>1799.0</v>
      </c>
      <c r="B1800" s="5" t="s">
        <v>75</v>
      </c>
      <c r="C1800" s="11">
        <v>1.03E8</v>
      </c>
      <c r="D1800" s="12" t="s">
        <v>217</v>
      </c>
      <c r="E1800" s="9" t="s">
        <v>65</v>
      </c>
      <c r="F1800" s="11">
        <v>8.5E7</v>
      </c>
    </row>
    <row r="1801">
      <c r="A1801" s="5">
        <v>1800.0</v>
      </c>
      <c r="B1801" s="5" t="s">
        <v>75</v>
      </c>
      <c r="C1801" s="11">
        <v>1.16E8</v>
      </c>
      <c r="D1801" s="12" t="s">
        <v>217</v>
      </c>
      <c r="E1801" s="9" t="s">
        <v>66</v>
      </c>
      <c r="F1801" s="11">
        <v>9.7E7</v>
      </c>
    </row>
    <row r="1802">
      <c r="A1802" s="5">
        <v>1801.0</v>
      </c>
      <c r="B1802" s="5" t="s">
        <v>75</v>
      </c>
      <c r="C1802" s="11">
        <v>1.56E8</v>
      </c>
      <c r="D1802" s="12" t="s">
        <v>217</v>
      </c>
      <c r="E1802" s="9" t="s">
        <v>67</v>
      </c>
      <c r="F1802" s="11">
        <v>1.1E8</v>
      </c>
    </row>
    <row r="1803">
      <c r="A1803" s="5">
        <v>1802.0</v>
      </c>
      <c r="B1803" s="5" t="s">
        <v>75</v>
      </c>
      <c r="C1803" s="11">
        <v>2.19E8</v>
      </c>
      <c r="D1803" s="12" t="s">
        <v>217</v>
      </c>
      <c r="E1803" s="9" t="s">
        <v>68</v>
      </c>
      <c r="F1803" s="11">
        <v>1.47E8</v>
      </c>
    </row>
    <row r="1804">
      <c r="A1804" s="5">
        <v>1803.0</v>
      </c>
      <c r="B1804" s="5" t="s">
        <v>75</v>
      </c>
      <c r="C1804" s="11">
        <v>2.62E8</v>
      </c>
      <c r="D1804" s="12" t="s">
        <v>217</v>
      </c>
      <c r="E1804" s="9" t="s">
        <v>69</v>
      </c>
      <c r="F1804" s="11">
        <v>1.9E8</v>
      </c>
    </row>
    <row r="1805">
      <c r="A1805" s="5">
        <v>1804.0</v>
      </c>
      <c r="B1805" s="5" t="s">
        <v>75</v>
      </c>
      <c r="C1805" s="11">
        <v>2.32E8</v>
      </c>
      <c r="D1805" s="12" t="s">
        <v>217</v>
      </c>
      <c r="E1805" s="9" t="s">
        <v>70</v>
      </c>
      <c r="F1805" s="11">
        <v>1.5E8</v>
      </c>
    </row>
    <row r="1806">
      <c r="A1806" s="5">
        <v>1805.0</v>
      </c>
      <c r="B1806" s="5" t="s">
        <v>75</v>
      </c>
      <c r="C1806" s="11">
        <v>2.09E8</v>
      </c>
      <c r="D1806" s="12" t="s">
        <v>217</v>
      </c>
      <c r="E1806" s="9" t="s">
        <v>71</v>
      </c>
      <c r="F1806" s="11">
        <v>1.41E8</v>
      </c>
    </row>
    <row r="1807">
      <c r="A1807" s="5">
        <v>1806.0</v>
      </c>
      <c r="B1807" s="5" t="s">
        <v>75</v>
      </c>
      <c r="C1807" s="11">
        <v>2.42E8</v>
      </c>
      <c r="D1807" s="12" t="s">
        <v>217</v>
      </c>
      <c r="E1807" s="9" t="s">
        <v>72</v>
      </c>
      <c r="F1807" s="11">
        <v>1.59E8</v>
      </c>
    </row>
    <row r="1808">
      <c r="A1808" s="5">
        <v>1807.0</v>
      </c>
      <c r="B1808" s="5" t="s">
        <v>75</v>
      </c>
      <c r="C1808" s="11">
        <v>2.37E8</v>
      </c>
      <c r="D1808" s="12" t="s">
        <v>217</v>
      </c>
      <c r="E1808" s="9" t="s">
        <v>73</v>
      </c>
      <c r="F1808" s="11">
        <v>1.53E8</v>
      </c>
    </row>
    <row r="1809">
      <c r="A1809" s="5">
        <v>1808.0</v>
      </c>
      <c r="B1809" s="5" t="s">
        <v>75</v>
      </c>
      <c r="C1809" s="11">
        <v>2.521E9</v>
      </c>
      <c r="D1809" s="12" t="s">
        <v>218</v>
      </c>
      <c r="E1809" s="9" t="s">
        <v>60</v>
      </c>
      <c r="F1809" s="11">
        <v>4.893E9</v>
      </c>
    </row>
    <row r="1810">
      <c r="A1810" s="5">
        <v>1809.0</v>
      </c>
      <c r="B1810" s="5" t="s">
        <v>75</v>
      </c>
      <c r="C1810" s="11">
        <v>2.38E9</v>
      </c>
      <c r="D1810" s="12" t="s">
        <v>218</v>
      </c>
      <c r="E1810" s="9" t="s">
        <v>62</v>
      </c>
      <c r="F1810" s="11">
        <v>4.718E9</v>
      </c>
    </row>
    <row r="1811">
      <c r="A1811" s="5">
        <v>1810.0</v>
      </c>
      <c r="B1811" s="5" t="s">
        <v>75</v>
      </c>
      <c r="C1811" s="11">
        <v>2.581E9</v>
      </c>
      <c r="D1811" s="12" t="s">
        <v>218</v>
      </c>
      <c r="E1811" s="9" t="s">
        <v>63</v>
      </c>
      <c r="F1811" s="11">
        <v>5.61E9</v>
      </c>
    </row>
    <row r="1812">
      <c r="A1812" s="5">
        <v>1811.0</v>
      </c>
      <c r="B1812" s="5" t="s">
        <v>75</v>
      </c>
      <c r="C1812" s="11">
        <v>2.989E9</v>
      </c>
      <c r="D1812" s="12" t="s">
        <v>218</v>
      </c>
      <c r="E1812" s="9" t="s">
        <v>64</v>
      </c>
      <c r="F1812" s="11">
        <v>7.089E9</v>
      </c>
    </row>
    <row r="1813">
      <c r="A1813" s="5">
        <v>1812.0</v>
      </c>
      <c r="B1813" s="5" t="s">
        <v>75</v>
      </c>
      <c r="C1813" s="11">
        <v>3.531E9</v>
      </c>
      <c r="D1813" s="12" t="s">
        <v>218</v>
      </c>
      <c r="E1813" s="9" t="s">
        <v>65</v>
      </c>
      <c r="F1813" s="11">
        <v>8.894E9</v>
      </c>
    </row>
    <row r="1814">
      <c r="A1814" s="5">
        <v>1813.0</v>
      </c>
      <c r="B1814" s="5" t="s">
        <v>75</v>
      </c>
      <c r="C1814" s="11">
        <v>4.243E9</v>
      </c>
      <c r="D1814" s="12" t="s">
        <v>218</v>
      </c>
      <c r="E1814" s="9" t="s">
        <v>66</v>
      </c>
      <c r="F1814" s="11">
        <v>1.04E10</v>
      </c>
    </row>
    <row r="1815">
      <c r="A1815" s="5">
        <v>1814.0</v>
      </c>
      <c r="B1815" s="5" t="s">
        <v>75</v>
      </c>
      <c r="C1815" s="11">
        <v>4.289E9</v>
      </c>
      <c r="D1815" s="12" t="s">
        <v>218</v>
      </c>
      <c r="E1815" s="9" t="s">
        <v>67</v>
      </c>
      <c r="F1815" s="11">
        <v>1.1273E10</v>
      </c>
    </row>
    <row r="1816">
      <c r="A1816" s="5">
        <v>1815.0</v>
      </c>
      <c r="B1816" s="5" t="s">
        <v>75</v>
      </c>
      <c r="C1816" s="11">
        <v>5.322E9</v>
      </c>
      <c r="D1816" s="12" t="s">
        <v>218</v>
      </c>
      <c r="E1816" s="9" t="s">
        <v>68</v>
      </c>
      <c r="F1816" s="11">
        <v>1.3256E10</v>
      </c>
    </row>
    <row r="1817">
      <c r="A1817" s="5">
        <v>1816.0</v>
      </c>
      <c r="B1817" s="5" t="s">
        <v>75</v>
      </c>
      <c r="C1817" s="11">
        <v>5.702E9</v>
      </c>
      <c r="D1817" s="12" t="s">
        <v>218</v>
      </c>
      <c r="E1817" s="9" t="s">
        <v>69</v>
      </c>
      <c r="F1817" s="11">
        <v>1.5118E10</v>
      </c>
    </row>
    <row r="1818">
      <c r="A1818" s="5">
        <v>1817.0</v>
      </c>
      <c r="B1818" s="5" t="s">
        <v>75</v>
      </c>
      <c r="C1818" s="11">
        <v>4.949E9</v>
      </c>
      <c r="D1818" s="12" t="s">
        <v>218</v>
      </c>
      <c r="E1818" s="9" t="s">
        <v>70</v>
      </c>
      <c r="F1818" s="11">
        <v>1.3221E10</v>
      </c>
    </row>
    <row r="1819">
      <c r="A1819" s="5">
        <v>1818.0</v>
      </c>
      <c r="B1819" s="5" t="s">
        <v>75</v>
      </c>
      <c r="C1819" s="11">
        <v>5.299E9</v>
      </c>
      <c r="D1819" s="12" t="s">
        <v>218</v>
      </c>
      <c r="E1819" s="9" t="s">
        <v>71</v>
      </c>
      <c r="F1819" s="11">
        <v>1.4658E10</v>
      </c>
    </row>
    <row r="1820">
      <c r="A1820" s="5">
        <v>1819.0</v>
      </c>
      <c r="B1820" s="5" t="s">
        <v>75</v>
      </c>
      <c r="C1820" s="11">
        <v>6.301E9</v>
      </c>
      <c r="D1820" s="12" t="s">
        <v>218</v>
      </c>
      <c r="E1820" s="9" t="s">
        <v>72</v>
      </c>
      <c r="F1820" s="11">
        <v>1.6833E10</v>
      </c>
    </row>
    <row r="1821">
      <c r="A1821" s="5">
        <v>1820.0</v>
      </c>
      <c r="B1821" s="5" t="s">
        <v>75</v>
      </c>
      <c r="C1821" s="11">
        <v>5.353E9</v>
      </c>
      <c r="D1821" s="12" t="s">
        <v>218</v>
      </c>
      <c r="E1821" s="9" t="s">
        <v>73</v>
      </c>
      <c r="F1821" s="11">
        <v>1.7559E10</v>
      </c>
    </row>
    <row r="1822">
      <c r="A1822" s="5">
        <v>1821.0</v>
      </c>
      <c r="B1822" s="5" t="s">
        <v>93</v>
      </c>
      <c r="C1822" s="11">
        <v>3.77E8</v>
      </c>
      <c r="D1822" s="12" t="s">
        <v>219</v>
      </c>
      <c r="E1822" s="9" t="s">
        <v>60</v>
      </c>
      <c r="F1822" s="11">
        <v>6.29E8</v>
      </c>
    </row>
    <row r="1823">
      <c r="A1823" s="5">
        <v>1822.0</v>
      </c>
      <c r="B1823" s="5" t="s">
        <v>93</v>
      </c>
      <c r="C1823" s="11">
        <v>5.38E8</v>
      </c>
      <c r="D1823" s="12" t="s">
        <v>219</v>
      </c>
      <c r="E1823" s="9" t="s">
        <v>62</v>
      </c>
      <c r="F1823" s="11">
        <v>7.03E8</v>
      </c>
    </row>
    <row r="1824">
      <c r="A1824" s="5">
        <v>1823.0</v>
      </c>
      <c r="B1824" s="5" t="s">
        <v>93</v>
      </c>
      <c r="C1824" s="11">
        <v>5.39E8</v>
      </c>
      <c r="D1824" s="12" t="s">
        <v>219</v>
      </c>
      <c r="E1824" s="9" t="s">
        <v>63</v>
      </c>
      <c r="F1824" s="11">
        <v>7.02E8</v>
      </c>
    </row>
    <row r="1825">
      <c r="A1825" s="5">
        <v>1824.0</v>
      </c>
      <c r="B1825" s="5" t="s">
        <v>93</v>
      </c>
      <c r="C1825" s="11">
        <v>5.46E8</v>
      </c>
      <c r="D1825" s="12" t="s">
        <v>219</v>
      </c>
      <c r="E1825" s="9" t="s">
        <v>64</v>
      </c>
      <c r="F1825" s="11">
        <v>8.04E8</v>
      </c>
    </row>
    <row r="1826">
      <c r="A1826" s="5">
        <v>1825.0</v>
      </c>
      <c r="B1826" s="5" t="s">
        <v>93</v>
      </c>
      <c r="C1826" s="11">
        <v>6.01E8</v>
      </c>
      <c r="D1826" s="12" t="s">
        <v>219</v>
      </c>
      <c r="E1826" s="9" t="s">
        <v>65</v>
      </c>
      <c r="F1826" s="11">
        <v>8.23E8</v>
      </c>
    </row>
    <row r="1827">
      <c r="A1827" s="5">
        <v>1826.0</v>
      </c>
      <c r="B1827" s="5" t="s">
        <v>93</v>
      </c>
      <c r="C1827" s="11">
        <v>6.27E8</v>
      </c>
      <c r="D1827" s="12" t="s">
        <v>219</v>
      </c>
      <c r="E1827" s="9" t="s">
        <v>66</v>
      </c>
      <c r="F1827" s="11">
        <v>8.63E8</v>
      </c>
    </row>
    <row r="1828">
      <c r="A1828" s="5">
        <v>1827.0</v>
      </c>
      <c r="B1828" s="5" t="s">
        <v>93</v>
      </c>
      <c r="C1828" s="11">
        <v>7.49E8</v>
      </c>
      <c r="D1828" s="12" t="s">
        <v>219</v>
      </c>
      <c r="E1828" s="9" t="s">
        <v>67</v>
      </c>
      <c r="F1828" s="11">
        <v>8.94E8</v>
      </c>
    </row>
    <row r="1829">
      <c r="A1829" s="5">
        <v>1828.0</v>
      </c>
      <c r="B1829" s="5" t="s">
        <v>93</v>
      </c>
      <c r="C1829" s="11">
        <v>9.05E8</v>
      </c>
      <c r="D1829" s="12" t="s">
        <v>219</v>
      </c>
      <c r="E1829" s="9" t="s">
        <v>68</v>
      </c>
      <c r="F1829" s="11">
        <v>9.52E8</v>
      </c>
    </row>
    <row r="1830">
      <c r="A1830" s="5">
        <v>1829.0</v>
      </c>
      <c r="B1830" s="5" t="s">
        <v>93</v>
      </c>
      <c r="C1830" s="11">
        <v>1.105E9</v>
      </c>
      <c r="D1830" s="12" t="s">
        <v>219</v>
      </c>
      <c r="E1830" s="9" t="s">
        <v>69</v>
      </c>
      <c r="F1830" s="11">
        <v>1.197E9</v>
      </c>
    </row>
    <row r="1831">
      <c r="A1831" s="5">
        <v>1830.0</v>
      </c>
      <c r="B1831" s="5" t="s">
        <v>93</v>
      </c>
      <c r="C1831" s="11">
        <v>1.092E9</v>
      </c>
      <c r="D1831" s="12" t="s">
        <v>219</v>
      </c>
      <c r="E1831" s="9" t="s">
        <v>70</v>
      </c>
      <c r="F1831" s="11">
        <v>1.295E9</v>
      </c>
    </row>
    <row r="1832">
      <c r="A1832" s="5">
        <v>1831.0</v>
      </c>
      <c r="B1832" s="5" t="s">
        <v>93</v>
      </c>
      <c r="C1832" s="11">
        <v>1.246E9</v>
      </c>
      <c r="D1832" s="12" t="s">
        <v>219</v>
      </c>
      <c r="E1832" s="9" t="s">
        <v>71</v>
      </c>
      <c r="F1832" s="11">
        <v>1.768E9</v>
      </c>
    </row>
    <row r="1833">
      <c r="A1833" s="5">
        <v>1832.0</v>
      </c>
      <c r="B1833" s="5" t="s">
        <v>93</v>
      </c>
      <c r="C1833" s="11">
        <v>1.612E9</v>
      </c>
      <c r="D1833" s="12" t="s">
        <v>219</v>
      </c>
      <c r="E1833" s="9" t="s">
        <v>72</v>
      </c>
      <c r="F1833" s="11">
        <v>1.982E9</v>
      </c>
    </row>
    <row r="1834">
      <c r="A1834" s="5">
        <v>1833.0</v>
      </c>
      <c r="B1834" s="5" t="s">
        <v>93</v>
      </c>
      <c r="C1834" s="11">
        <v>1.779E9</v>
      </c>
      <c r="D1834" s="12" t="s">
        <v>219</v>
      </c>
      <c r="E1834" s="9" t="s">
        <v>73</v>
      </c>
      <c r="F1834" s="11">
        <v>2.184E9</v>
      </c>
    </row>
    <row r="1835">
      <c r="A1835" s="5">
        <v>1834.0</v>
      </c>
      <c r="B1835" s="5" t="s">
        <v>61</v>
      </c>
      <c r="C1835" s="11">
        <v>5.51E8</v>
      </c>
      <c r="D1835" s="12" t="s">
        <v>220</v>
      </c>
      <c r="E1835" s="9" t="s">
        <v>60</v>
      </c>
      <c r="F1835" s="11">
        <v>5.74E8</v>
      </c>
    </row>
    <row r="1836">
      <c r="A1836" s="5">
        <v>1835.0</v>
      </c>
      <c r="B1836" s="5" t="s">
        <v>61</v>
      </c>
      <c r="C1836" s="11">
        <v>5.33E8</v>
      </c>
      <c r="D1836" s="12" t="s">
        <v>220</v>
      </c>
      <c r="E1836" s="9" t="s">
        <v>62</v>
      </c>
      <c r="F1836" s="11">
        <v>5.55E8</v>
      </c>
    </row>
    <row r="1837">
      <c r="A1837" s="5">
        <v>1836.0</v>
      </c>
      <c r="B1837" s="5" t="s">
        <v>61</v>
      </c>
      <c r="C1837" s="11">
        <v>5.62E8</v>
      </c>
      <c r="D1837" s="12" t="s">
        <v>220</v>
      </c>
      <c r="E1837" s="9" t="s">
        <v>63</v>
      </c>
      <c r="F1837" s="11">
        <v>4.91E8</v>
      </c>
    </row>
    <row r="1838">
      <c r="A1838" s="5">
        <v>1837.0</v>
      </c>
      <c r="B1838" s="5" t="s">
        <v>61</v>
      </c>
      <c r="C1838" s="11">
        <v>6.2E8</v>
      </c>
      <c r="D1838" s="12" t="s">
        <v>220</v>
      </c>
      <c r="E1838" s="9" t="s">
        <v>64</v>
      </c>
      <c r="F1838" s="11">
        <v>1.163E9</v>
      </c>
    </row>
    <row r="1839">
      <c r="A1839" s="5">
        <v>1838.0</v>
      </c>
      <c r="B1839" s="5" t="s">
        <v>61</v>
      </c>
      <c r="C1839" s="11">
        <v>7.65E8</v>
      </c>
      <c r="D1839" s="12" t="s">
        <v>220</v>
      </c>
      <c r="E1839" s="9" t="s">
        <v>65</v>
      </c>
      <c r="F1839" s="11">
        <v>1.612E9</v>
      </c>
    </row>
    <row r="1840">
      <c r="A1840" s="5">
        <v>1839.0</v>
      </c>
      <c r="B1840" s="5" t="s">
        <v>61</v>
      </c>
      <c r="C1840" s="11">
        <v>8.28E8</v>
      </c>
      <c r="D1840" s="12" t="s">
        <v>220</v>
      </c>
      <c r="E1840" s="9" t="s">
        <v>66</v>
      </c>
      <c r="F1840" s="11">
        <v>1.753E9</v>
      </c>
    </row>
    <row r="1841">
      <c r="A1841" s="5">
        <v>1840.0</v>
      </c>
      <c r="B1841" s="5" t="s">
        <v>61</v>
      </c>
      <c r="C1841" s="11">
        <v>9.19E8</v>
      </c>
      <c r="D1841" s="12" t="s">
        <v>220</v>
      </c>
      <c r="E1841" s="9" t="s">
        <v>67</v>
      </c>
      <c r="F1841" s="11">
        <v>2.029E9</v>
      </c>
    </row>
    <row r="1842">
      <c r="A1842" s="5">
        <v>1841.0</v>
      </c>
      <c r="B1842" s="5" t="s">
        <v>61</v>
      </c>
      <c r="C1842" s="11">
        <v>9.12E8</v>
      </c>
      <c r="D1842" s="12" t="s">
        <v>220</v>
      </c>
      <c r="E1842" s="9" t="s">
        <v>68</v>
      </c>
      <c r="F1842" s="11">
        <v>2.083E9</v>
      </c>
    </row>
    <row r="1843">
      <c r="A1843" s="5">
        <v>1842.0</v>
      </c>
      <c r="B1843" s="5" t="s">
        <v>61</v>
      </c>
      <c r="C1843" s="11">
        <v>9.86E8</v>
      </c>
      <c r="D1843" s="12" t="s">
        <v>220</v>
      </c>
      <c r="E1843" s="9" t="s">
        <v>69</v>
      </c>
      <c r="F1843" s="11">
        <v>2.163E9</v>
      </c>
    </row>
    <row r="1844">
      <c r="A1844" s="5">
        <v>1843.0</v>
      </c>
      <c r="B1844" s="5" t="s">
        <v>61</v>
      </c>
      <c r="C1844" s="11">
        <v>9.5E8</v>
      </c>
      <c r="D1844" s="12" t="s">
        <v>220</v>
      </c>
      <c r="E1844" s="9" t="s">
        <v>70</v>
      </c>
      <c r="F1844" s="11">
        <v>1.098E9</v>
      </c>
    </row>
    <row r="1845">
      <c r="A1845" s="5">
        <v>1844.0</v>
      </c>
      <c r="B1845" s="5" t="s">
        <v>61</v>
      </c>
      <c r="C1845" s="11">
        <v>9.98E8</v>
      </c>
      <c r="D1845" s="12" t="s">
        <v>220</v>
      </c>
      <c r="E1845" s="9" t="s">
        <v>71</v>
      </c>
      <c r="F1845" s="11">
        <v>1.37E9</v>
      </c>
    </row>
    <row r="1846">
      <c r="A1846" s="5">
        <v>1845.0</v>
      </c>
      <c r="B1846" s="5" t="s">
        <v>61</v>
      </c>
      <c r="C1846" s="11">
        <v>1.123E9</v>
      </c>
      <c r="D1846" s="12" t="s">
        <v>220</v>
      </c>
      <c r="E1846" s="9" t="s">
        <v>72</v>
      </c>
      <c r="F1846" s="11">
        <v>1.851E9</v>
      </c>
    </row>
    <row r="1847">
      <c r="A1847" s="5">
        <v>1846.0</v>
      </c>
      <c r="B1847" s="5" t="s">
        <v>61</v>
      </c>
      <c r="C1847" s="11">
        <v>1.014E9</v>
      </c>
      <c r="D1847" s="12" t="s">
        <v>220</v>
      </c>
      <c r="E1847" s="9" t="s">
        <v>73</v>
      </c>
      <c r="F1847" s="11">
        <v>1.801E9</v>
      </c>
    </row>
    <row r="1848">
      <c r="A1848" s="5">
        <v>1847.0</v>
      </c>
      <c r="B1848" s="5" t="s">
        <v>84</v>
      </c>
      <c r="C1848" s="11">
        <v>6.28E8</v>
      </c>
      <c r="D1848" s="12" t="s">
        <v>221</v>
      </c>
      <c r="E1848" s="9" t="s">
        <v>60</v>
      </c>
      <c r="F1848" s="11">
        <v>2.41E8</v>
      </c>
    </row>
    <row r="1849">
      <c r="A1849" s="5">
        <v>1848.0</v>
      </c>
      <c r="B1849" s="5" t="s">
        <v>84</v>
      </c>
      <c r="C1849" s="11">
        <v>6.65E8</v>
      </c>
      <c r="D1849" s="12" t="s">
        <v>221</v>
      </c>
      <c r="E1849" s="9" t="s">
        <v>62</v>
      </c>
      <c r="F1849" s="11">
        <v>2.27E8</v>
      </c>
    </row>
    <row r="1850">
      <c r="A1850" s="5">
        <v>1849.0</v>
      </c>
      <c r="B1850" s="5" t="s">
        <v>84</v>
      </c>
      <c r="C1850" s="11">
        <v>7.1E8</v>
      </c>
      <c r="D1850" s="12" t="s">
        <v>221</v>
      </c>
      <c r="E1850" s="9" t="s">
        <v>63</v>
      </c>
      <c r="F1850" s="11">
        <v>2.52E8</v>
      </c>
    </row>
    <row r="1851">
      <c r="A1851" s="5">
        <v>1850.0</v>
      </c>
      <c r="B1851" s="5" t="s">
        <v>84</v>
      </c>
      <c r="C1851" s="11">
        <v>8.04E8</v>
      </c>
      <c r="D1851" s="12" t="s">
        <v>221</v>
      </c>
      <c r="E1851" s="9" t="s">
        <v>64</v>
      </c>
      <c r="F1851" s="11">
        <v>2.67E8</v>
      </c>
    </row>
    <row r="1852">
      <c r="A1852" s="5">
        <v>1851.0</v>
      </c>
      <c r="B1852" s="5" t="s">
        <v>84</v>
      </c>
      <c r="C1852" s="11">
        <v>9.03E8</v>
      </c>
      <c r="D1852" s="12" t="s">
        <v>221</v>
      </c>
      <c r="E1852" s="9" t="s">
        <v>65</v>
      </c>
      <c r="F1852" s="11">
        <v>2.94E8</v>
      </c>
    </row>
    <row r="1853">
      <c r="A1853" s="5">
        <v>1852.0</v>
      </c>
      <c r="B1853" s="5" t="s">
        <v>84</v>
      </c>
      <c r="C1853" s="11">
        <v>1.108E9</v>
      </c>
      <c r="D1853" s="12" t="s">
        <v>221</v>
      </c>
      <c r="E1853" s="9" t="s">
        <v>66</v>
      </c>
      <c r="F1853" s="11">
        <v>3.88E8</v>
      </c>
    </row>
    <row r="1854">
      <c r="A1854" s="5">
        <v>1853.0</v>
      </c>
      <c r="B1854" s="5" t="s">
        <v>84</v>
      </c>
      <c r="C1854" s="11">
        <v>1.425E9</v>
      </c>
      <c r="D1854" s="12" t="s">
        <v>221</v>
      </c>
      <c r="E1854" s="9" t="s">
        <v>67</v>
      </c>
      <c r="F1854" s="11">
        <v>4.03E8</v>
      </c>
    </row>
    <row r="1855">
      <c r="A1855" s="5">
        <v>1854.0</v>
      </c>
      <c r="B1855" s="5" t="s">
        <v>84</v>
      </c>
      <c r="C1855" s="11">
        <v>1.806E9</v>
      </c>
      <c r="D1855" s="12" t="s">
        <v>221</v>
      </c>
      <c r="E1855" s="9" t="s">
        <v>68</v>
      </c>
      <c r="F1855" s="11">
        <v>4.57E8</v>
      </c>
    </row>
    <row r="1856">
      <c r="A1856" s="5">
        <v>1855.0</v>
      </c>
      <c r="B1856" s="5" t="s">
        <v>84</v>
      </c>
      <c r="C1856" s="11">
        <v>2.208E9</v>
      </c>
      <c r="D1856" s="12" t="s">
        <v>221</v>
      </c>
      <c r="E1856" s="9" t="s">
        <v>69</v>
      </c>
      <c r="F1856" s="11">
        <v>5.6E8</v>
      </c>
    </row>
    <row r="1857">
      <c r="A1857" s="5">
        <v>1856.0</v>
      </c>
      <c r="B1857" s="5" t="s">
        <v>84</v>
      </c>
      <c r="C1857" s="11">
        <v>2.28E9</v>
      </c>
      <c r="D1857" s="12" t="s">
        <v>221</v>
      </c>
      <c r="E1857" s="9" t="s">
        <v>70</v>
      </c>
      <c r="F1857" s="11">
        <v>5.03E8</v>
      </c>
    </row>
    <row r="1858">
      <c r="A1858" s="5">
        <v>1857.0</v>
      </c>
      <c r="B1858" s="5" t="s">
        <v>84</v>
      </c>
      <c r="C1858" s="11">
        <v>2.552E9</v>
      </c>
      <c r="D1858" s="12" t="s">
        <v>221</v>
      </c>
      <c r="E1858" s="9" t="s">
        <v>71</v>
      </c>
      <c r="F1858" s="11">
        <v>5.75E8</v>
      </c>
    </row>
    <row r="1859">
      <c r="A1859" s="5">
        <v>1858.0</v>
      </c>
      <c r="B1859" s="5" t="s">
        <v>84</v>
      </c>
      <c r="C1859" s="11">
        <v>2.925E9</v>
      </c>
      <c r="D1859" s="12" t="s">
        <v>221</v>
      </c>
      <c r="E1859" s="9" t="s">
        <v>72</v>
      </c>
      <c r="F1859" s="11">
        <v>6.65E8</v>
      </c>
    </row>
    <row r="1860">
      <c r="A1860" s="5">
        <v>1859.0</v>
      </c>
      <c r="B1860" s="5" t="s">
        <v>84</v>
      </c>
      <c r="C1860" s="11">
        <v>3.784E9</v>
      </c>
      <c r="D1860" s="12" t="s">
        <v>221</v>
      </c>
      <c r="E1860" s="9" t="s">
        <v>73</v>
      </c>
      <c r="F1860" s="11">
        <v>6.05E8</v>
      </c>
    </row>
    <row r="1861">
      <c r="A1861" s="5">
        <v>1860.0</v>
      </c>
      <c r="B1861" s="5" t="s">
        <v>80</v>
      </c>
      <c r="C1861" s="11">
        <v>7000000.0</v>
      </c>
      <c r="D1861" s="12" t="s">
        <v>222</v>
      </c>
      <c r="E1861" s="9" t="s">
        <v>60</v>
      </c>
      <c r="F1861" s="11">
        <v>5.0E7</v>
      </c>
    </row>
    <row r="1862">
      <c r="A1862" s="5">
        <v>1861.0</v>
      </c>
      <c r="B1862" s="5" t="s">
        <v>80</v>
      </c>
      <c r="C1862" s="11">
        <v>5200000.0</v>
      </c>
      <c r="D1862" s="12" t="s">
        <v>222</v>
      </c>
      <c r="E1862" s="9" t="s">
        <v>62</v>
      </c>
      <c r="F1862" s="11">
        <v>3.8E7</v>
      </c>
    </row>
    <row r="1863">
      <c r="A1863" s="5">
        <v>1862.0</v>
      </c>
      <c r="B1863" s="5" t="s">
        <v>80</v>
      </c>
      <c r="C1863" s="11">
        <v>2800000.0</v>
      </c>
      <c r="D1863" s="12" t="s">
        <v>222</v>
      </c>
      <c r="E1863" s="9" t="s">
        <v>63</v>
      </c>
      <c r="F1863" s="11">
        <v>6.0E7</v>
      </c>
    </row>
    <row r="1864">
      <c r="A1864" s="5">
        <v>1863.0</v>
      </c>
      <c r="B1864" s="5" t="s">
        <v>80</v>
      </c>
      <c r="C1864" s="11">
        <v>4900000.0</v>
      </c>
      <c r="D1864" s="12" t="s">
        <v>222</v>
      </c>
      <c r="E1864" s="9" t="s">
        <v>64</v>
      </c>
      <c r="F1864" s="11">
        <v>5.2E7</v>
      </c>
    </row>
    <row r="1865">
      <c r="A1865" s="5">
        <v>1864.0</v>
      </c>
      <c r="B1865" s="5" t="s">
        <v>80</v>
      </c>
      <c r="C1865" s="11">
        <v>7100000.0</v>
      </c>
      <c r="D1865" s="12" t="s">
        <v>222</v>
      </c>
      <c r="E1865" s="9" t="s">
        <v>65</v>
      </c>
      <c r="F1865" s="11">
        <v>7.2E7</v>
      </c>
    </row>
    <row r="1866">
      <c r="A1866" s="5">
        <v>1865.0</v>
      </c>
      <c r="B1866" s="5" t="s">
        <v>80</v>
      </c>
      <c r="C1866" s="11">
        <v>9400000.0</v>
      </c>
      <c r="D1866" s="12" t="s">
        <v>222</v>
      </c>
      <c r="E1866" s="9" t="s">
        <v>66</v>
      </c>
      <c r="F1866" s="11">
        <v>5.7E7</v>
      </c>
    </row>
    <row r="1867">
      <c r="A1867" s="5">
        <v>1866.0</v>
      </c>
      <c r="B1867" s="5" t="s">
        <v>80</v>
      </c>
      <c r="C1867" s="11">
        <v>3900000.0</v>
      </c>
      <c r="D1867" s="12" t="s">
        <v>222</v>
      </c>
      <c r="E1867" s="9" t="s">
        <v>67</v>
      </c>
      <c r="F1867" s="11">
        <v>4.3E7</v>
      </c>
    </row>
    <row r="1868">
      <c r="A1868" s="5">
        <v>1867.0</v>
      </c>
      <c r="B1868" s="5" t="s">
        <v>80</v>
      </c>
      <c r="C1868" s="11">
        <v>4500000.0</v>
      </c>
      <c r="D1868" s="12" t="s">
        <v>222</v>
      </c>
      <c r="E1868" s="9" t="s">
        <v>68</v>
      </c>
      <c r="F1868" s="11">
        <v>8.1E7</v>
      </c>
    </row>
    <row r="1869">
      <c r="A1869" s="5">
        <v>1868.0</v>
      </c>
      <c r="B1869" s="5" t="s">
        <v>80</v>
      </c>
      <c r="C1869" s="11">
        <v>3800000.0</v>
      </c>
      <c r="D1869" s="12" t="s">
        <v>222</v>
      </c>
      <c r="E1869" s="9" t="s">
        <v>69</v>
      </c>
      <c r="F1869" s="11">
        <v>7.5E7</v>
      </c>
    </row>
    <row r="1870">
      <c r="A1870" s="5">
        <v>1869.0</v>
      </c>
      <c r="B1870" s="5" t="s">
        <v>80</v>
      </c>
      <c r="C1870" s="11">
        <v>2100000.0</v>
      </c>
      <c r="D1870" s="12" t="s">
        <v>222</v>
      </c>
      <c r="E1870" s="9" t="s">
        <v>70</v>
      </c>
      <c r="F1870" s="11">
        <v>1.32E8</v>
      </c>
    </row>
    <row r="1871">
      <c r="A1871" s="5">
        <v>1870.0</v>
      </c>
      <c r="B1871" s="5" t="s">
        <v>80</v>
      </c>
      <c r="C1871" s="11">
        <v>2500000.0</v>
      </c>
      <c r="D1871" s="12" t="s">
        <v>222</v>
      </c>
      <c r="E1871" s="9" t="s">
        <v>71</v>
      </c>
      <c r="F1871" s="11">
        <v>1.38E8</v>
      </c>
    </row>
    <row r="1872">
      <c r="A1872" s="5">
        <v>1871.0</v>
      </c>
      <c r="B1872" s="5" t="s">
        <v>80</v>
      </c>
      <c r="C1872" s="11">
        <v>3500000.0</v>
      </c>
      <c r="D1872" s="12" t="s">
        <v>222</v>
      </c>
      <c r="E1872" s="9" t="s">
        <v>72</v>
      </c>
      <c r="F1872" s="8"/>
    </row>
    <row r="1873">
      <c r="A1873" s="5">
        <v>1872.0</v>
      </c>
      <c r="B1873" s="5" t="s">
        <v>80</v>
      </c>
      <c r="C1873" s="8"/>
      <c r="D1873" s="12" t="s">
        <v>222</v>
      </c>
      <c r="E1873" s="9" t="s">
        <v>73</v>
      </c>
      <c r="F1873" s="8"/>
    </row>
    <row r="1874">
      <c r="A1874" s="5">
        <v>1873.0</v>
      </c>
      <c r="B1874" s="5" t="s">
        <v>84</v>
      </c>
      <c r="C1874" s="11">
        <v>8.8E7</v>
      </c>
      <c r="D1874" s="12" t="s">
        <v>223</v>
      </c>
      <c r="E1874" s="9" t="s">
        <v>60</v>
      </c>
      <c r="F1874" s="11">
        <v>1.54E8</v>
      </c>
    </row>
    <row r="1875">
      <c r="A1875" s="5">
        <v>1874.0</v>
      </c>
      <c r="B1875" s="5" t="s">
        <v>84</v>
      </c>
      <c r="C1875" s="11">
        <v>9.1E7</v>
      </c>
      <c r="D1875" s="12" t="s">
        <v>223</v>
      </c>
      <c r="E1875" s="9" t="s">
        <v>62</v>
      </c>
      <c r="F1875" s="11">
        <v>1.3E8</v>
      </c>
    </row>
    <row r="1876">
      <c r="A1876" s="5">
        <v>1875.0</v>
      </c>
      <c r="B1876" s="5" t="s">
        <v>84</v>
      </c>
      <c r="C1876" s="11">
        <v>7.6E7</v>
      </c>
      <c r="D1876" s="12" t="s">
        <v>223</v>
      </c>
      <c r="E1876" s="9" t="s">
        <v>63</v>
      </c>
      <c r="F1876" s="11">
        <v>1.17E8</v>
      </c>
    </row>
    <row r="1877">
      <c r="A1877" s="5">
        <v>1876.0</v>
      </c>
      <c r="B1877" s="5" t="s">
        <v>84</v>
      </c>
      <c r="C1877" s="11">
        <v>8.1E7</v>
      </c>
      <c r="D1877" s="12" t="s">
        <v>223</v>
      </c>
      <c r="E1877" s="9" t="s">
        <v>64</v>
      </c>
      <c r="F1877" s="11">
        <v>1.15E8</v>
      </c>
    </row>
    <row r="1878">
      <c r="A1878" s="5">
        <v>1877.0</v>
      </c>
      <c r="B1878" s="5" t="s">
        <v>84</v>
      </c>
      <c r="C1878" s="11">
        <v>8.7E7</v>
      </c>
      <c r="D1878" s="12" t="s">
        <v>223</v>
      </c>
      <c r="E1878" s="9" t="s">
        <v>65</v>
      </c>
      <c r="F1878" s="11">
        <v>1.21E8</v>
      </c>
    </row>
    <row r="1879">
      <c r="A1879" s="5">
        <v>1878.0</v>
      </c>
      <c r="B1879" s="5" t="s">
        <v>84</v>
      </c>
      <c r="C1879" s="11">
        <v>9.6E7</v>
      </c>
      <c r="D1879" s="12" t="s">
        <v>223</v>
      </c>
      <c r="E1879" s="9" t="s">
        <v>66</v>
      </c>
      <c r="F1879" s="11">
        <v>1.3E8</v>
      </c>
    </row>
    <row r="1880">
      <c r="A1880" s="5">
        <v>1879.0</v>
      </c>
      <c r="B1880" s="5" t="s">
        <v>84</v>
      </c>
      <c r="C1880" s="11">
        <v>1.12E8</v>
      </c>
      <c r="D1880" s="12" t="s">
        <v>223</v>
      </c>
      <c r="E1880" s="9" t="s">
        <v>67</v>
      </c>
      <c r="F1880" s="11">
        <v>1.44E8</v>
      </c>
    </row>
    <row r="1881">
      <c r="A1881" s="5">
        <v>1880.0</v>
      </c>
      <c r="B1881" s="5" t="s">
        <v>84</v>
      </c>
      <c r="C1881" s="11">
        <v>1.21E8</v>
      </c>
      <c r="D1881" s="12" t="s">
        <v>223</v>
      </c>
      <c r="E1881" s="9" t="s">
        <v>68</v>
      </c>
      <c r="F1881" s="11">
        <v>1.84E8</v>
      </c>
    </row>
    <row r="1882">
      <c r="A1882" s="5">
        <v>1881.0</v>
      </c>
      <c r="B1882" s="5" t="s">
        <v>84</v>
      </c>
      <c r="C1882" s="11">
        <v>1.28E8</v>
      </c>
      <c r="D1882" s="12" t="s">
        <v>223</v>
      </c>
      <c r="E1882" s="9" t="s">
        <v>69</v>
      </c>
      <c r="F1882" s="11">
        <v>2.08E8</v>
      </c>
    </row>
    <row r="1883">
      <c r="A1883" s="5">
        <v>1882.0</v>
      </c>
      <c r="B1883" s="5" t="s">
        <v>84</v>
      </c>
      <c r="C1883" s="11">
        <v>2.25E8</v>
      </c>
      <c r="D1883" s="12" t="s">
        <v>223</v>
      </c>
      <c r="E1883" s="9" t="s">
        <v>70</v>
      </c>
      <c r="F1883" s="11">
        <v>2.29E8</v>
      </c>
    </row>
    <row r="1884">
      <c r="A1884" s="5">
        <v>1883.0</v>
      </c>
      <c r="B1884" s="5" t="s">
        <v>84</v>
      </c>
      <c r="C1884" s="11">
        <v>2.43E8</v>
      </c>
      <c r="D1884" s="12" t="s">
        <v>223</v>
      </c>
      <c r="E1884" s="9" t="s">
        <v>71</v>
      </c>
      <c r="F1884" s="11">
        <v>2.69E8</v>
      </c>
    </row>
    <row r="1885">
      <c r="A1885" s="5">
        <v>1884.0</v>
      </c>
      <c r="B1885" s="5" t="s">
        <v>84</v>
      </c>
      <c r="C1885" s="11">
        <v>2.81E8</v>
      </c>
      <c r="D1885" s="12" t="s">
        <v>223</v>
      </c>
      <c r="E1885" s="9" t="s">
        <v>72</v>
      </c>
      <c r="F1885" s="11">
        <v>3.09E8</v>
      </c>
    </row>
    <row r="1886">
      <c r="A1886" s="5">
        <v>1885.0</v>
      </c>
      <c r="B1886" s="5" t="s">
        <v>84</v>
      </c>
      <c r="C1886" s="11">
        <v>2.65E8</v>
      </c>
      <c r="D1886" s="12" t="s">
        <v>223</v>
      </c>
      <c r="E1886" s="9" t="s">
        <v>73</v>
      </c>
      <c r="F1886" s="11">
        <v>3.41E8</v>
      </c>
    </row>
    <row r="1887">
      <c r="A1887" s="5">
        <v>1886.0</v>
      </c>
      <c r="B1887" s="5" t="s">
        <v>84</v>
      </c>
      <c r="C1887" s="11">
        <v>8.61E8</v>
      </c>
      <c r="D1887" s="12" t="s">
        <v>224</v>
      </c>
      <c r="E1887" s="9" t="s">
        <v>60</v>
      </c>
      <c r="F1887" s="11">
        <v>6.41E8</v>
      </c>
    </row>
    <row r="1888">
      <c r="A1888" s="5">
        <v>1887.0</v>
      </c>
      <c r="B1888" s="5" t="s">
        <v>84</v>
      </c>
      <c r="C1888" s="11">
        <v>7.63E8</v>
      </c>
      <c r="D1888" s="12" t="s">
        <v>224</v>
      </c>
      <c r="E1888" s="9" t="s">
        <v>62</v>
      </c>
      <c r="F1888" s="11">
        <v>7.73E8</v>
      </c>
    </row>
    <row r="1889">
      <c r="A1889" s="5">
        <v>1888.0</v>
      </c>
      <c r="B1889" s="5" t="s">
        <v>84</v>
      </c>
      <c r="C1889" s="11">
        <v>8.36E8</v>
      </c>
      <c r="D1889" s="12" t="s">
        <v>224</v>
      </c>
      <c r="E1889" s="9" t="s">
        <v>63</v>
      </c>
      <c r="F1889" s="11">
        <v>8.06E8</v>
      </c>
    </row>
    <row r="1890">
      <c r="A1890" s="5">
        <v>1889.0</v>
      </c>
      <c r="B1890" s="5" t="s">
        <v>84</v>
      </c>
      <c r="C1890" s="11">
        <v>1.023E9</v>
      </c>
      <c r="D1890" s="12" t="s">
        <v>224</v>
      </c>
      <c r="E1890" s="9" t="s">
        <v>64</v>
      </c>
      <c r="F1890" s="11">
        <v>8.47E8</v>
      </c>
    </row>
    <row r="1891">
      <c r="A1891" s="5">
        <v>1890.0</v>
      </c>
      <c r="B1891" s="5" t="s">
        <v>84</v>
      </c>
      <c r="C1891" s="11">
        <v>1.232E9</v>
      </c>
      <c r="D1891" s="12" t="s">
        <v>224</v>
      </c>
      <c r="E1891" s="9" t="s">
        <v>65</v>
      </c>
      <c r="F1891" s="11">
        <v>8.52E8</v>
      </c>
    </row>
    <row r="1892">
      <c r="A1892" s="5">
        <v>1891.0</v>
      </c>
      <c r="B1892" s="5" t="s">
        <v>84</v>
      </c>
      <c r="C1892" s="11">
        <v>1.438E9</v>
      </c>
      <c r="D1892" s="12" t="s">
        <v>224</v>
      </c>
      <c r="E1892" s="9" t="s">
        <v>66</v>
      </c>
      <c r="F1892" s="11">
        <v>9.7E8</v>
      </c>
    </row>
    <row r="1893">
      <c r="A1893" s="5">
        <v>1892.0</v>
      </c>
      <c r="B1893" s="5" t="s">
        <v>84</v>
      </c>
      <c r="C1893" s="11">
        <v>1.775E9</v>
      </c>
      <c r="D1893" s="12" t="s">
        <v>224</v>
      </c>
      <c r="E1893" s="9" t="s">
        <v>67</v>
      </c>
      <c r="F1893" s="11">
        <v>1.047E9</v>
      </c>
    </row>
    <row r="1894">
      <c r="A1894" s="5">
        <v>1893.0</v>
      </c>
      <c r="B1894" s="5" t="s">
        <v>84</v>
      </c>
      <c r="C1894" s="11">
        <v>2.007E9</v>
      </c>
      <c r="D1894" s="12" t="s">
        <v>224</v>
      </c>
      <c r="E1894" s="9" t="s">
        <v>68</v>
      </c>
      <c r="F1894" s="11">
        <v>1.243E9</v>
      </c>
    </row>
    <row r="1895">
      <c r="A1895" s="5">
        <v>1894.0</v>
      </c>
      <c r="B1895" s="5" t="s">
        <v>84</v>
      </c>
      <c r="C1895" s="11">
        <v>2.396E9</v>
      </c>
      <c r="D1895" s="12" t="s">
        <v>224</v>
      </c>
      <c r="E1895" s="9" t="s">
        <v>69</v>
      </c>
      <c r="F1895" s="11">
        <v>1.432E9</v>
      </c>
    </row>
    <row r="1896">
      <c r="A1896" s="5">
        <v>1895.0</v>
      </c>
      <c r="B1896" s="5" t="s">
        <v>84</v>
      </c>
      <c r="C1896" s="11">
        <v>2.44E9</v>
      </c>
      <c r="D1896" s="12" t="s">
        <v>224</v>
      </c>
      <c r="E1896" s="9" t="s">
        <v>70</v>
      </c>
      <c r="F1896" s="11">
        <v>1.404E9</v>
      </c>
    </row>
    <row r="1897">
      <c r="A1897" s="5">
        <v>1896.0</v>
      </c>
      <c r="B1897" s="5" t="s">
        <v>84</v>
      </c>
      <c r="C1897" s="11">
        <v>2.475E9</v>
      </c>
      <c r="D1897" s="12" t="s">
        <v>224</v>
      </c>
      <c r="E1897" s="9" t="s">
        <v>71</v>
      </c>
      <c r="F1897" s="11">
        <v>1.64E9</v>
      </c>
    </row>
    <row r="1898">
      <c r="A1898" s="5">
        <v>1897.0</v>
      </c>
      <c r="B1898" s="5" t="s">
        <v>84</v>
      </c>
      <c r="C1898" s="11">
        <v>2.912E9</v>
      </c>
      <c r="D1898" s="12" t="s">
        <v>224</v>
      </c>
      <c r="E1898" s="9" t="s">
        <v>72</v>
      </c>
      <c r="F1898" s="11">
        <v>1.764E9</v>
      </c>
    </row>
    <row r="1899">
      <c r="A1899" s="5">
        <v>1898.0</v>
      </c>
      <c r="B1899" s="5" t="s">
        <v>84</v>
      </c>
      <c r="C1899" s="11">
        <v>3.288E9</v>
      </c>
      <c r="D1899" s="12" t="s">
        <v>224</v>
      </c>
      <c r="E1899" s="9" t="s">
        <v>73</v>
      </c>
      <c r="F1899" s="11">
        <v>1.95E9</v>
      </c>
    </row>
    <row r="1900">
      <c r="A1900" s="5">
        <v>1899.0</v>
      </c>
      <c r="B1900" s="5" t="s">
        <v>61</v>
      </c>
      <c r="C1900" s="11">
        <v>2.334E9</v>
      </c>
      <c r="D1900" s="12" t="s">
        <v>225</v>
      </c>
      <c r="E1900" s="9" t="s">
        <v>60</v>
      </c>
      <c r="F1900" s="11">
        <v>1.841E9</v>
      </c>
    </row>
    <row r="1901">
      <c r="A1901" s="5">
        <v>1900.0</v>
      </c>
      <c r="B1901" s="5" t="s">
        <v>61</v>
      </c>
      <c r="C1901" s="11">
        <v>2.011E9</v>
      </c>
      <c r="D1901" s="12" t="s">
        <v>225</v>
      </c>
      <c r="E1901" s="9" t="s">
        <v>62</v>
      </c>
      <c r="F1901" s="11">
        <v>1.918E9</v>
      </c>
    </row>
    <row r="1902">
      <c r="A1902" s="5">
        <v>1901.0</v>
      </c>
      <c r="B1902" s="5" t="s">
        <v>61</v>
      </c>
      <c r="C1902" s="11">
        <v>2.018E9</v>
      </c>
      <c r="D1902" s="12" t="s">
        <v>225</v>
      </c>
      <c r="E1902" s="9" t="s">
        <v>63</v>
      </c>
      <c r="F1902" s="11">
        <v>1.874E9</v>
      </c>
    </row>
    <row r="1903">
      <c r="A1903" s="5">
        <v>1902.0</v>
      </c>
      <c r="B1903" s="5" t="s">
        <v>61</v>
      </c>
      <c r="C1903" s="11">
        <v>1.821E9</v>
      </c>
      <c r="D1903" s="12" t="s">
        <v>225</v>
      </c>
      <c r="E1903" s="9" t="s">
        <v>64</v>
      </c>
      <c r="F1903" s="11">
        <v>1.649E9</v>
      </c>
    </row>
    <row r="1904">
      <c r="A1904" s="5">
        <v>1903.0</v>
      </c>
      <c r="B1904" s="5" t="s">
        <v>61</v>
      </c>
      <c r="C1904" s="11">
        <v>2.39E9</v>
      </c>
      <c r="D1904" s="12" t="s">
        <v>225</v>
      </c>
      <c r="E1904" s="9" t="s">
        <v>65</v>
      </c>
      <c r="F1904" s="11">
        <v>1.526E9</v>
      </c>
    </row>
    <row r="1905">
      <c r="A1905" s="5">
        <v>1904.0</v>
      </c>
      <c r="B1905" s="5" t="s">
        <v>61</v>
      </c>
      <c r="C1905" s="11">
        <v>2.755E9</v>
      </c>
      <c r="D1905" s="12" t="s">
        <v>225</v>
      </c>
      <c r="E1905" s="9" t="s">
        <v>66</v>
      </c>
      <c r="F1905" s="11">
        <v>1.547E9</v>
      </c>
    </row>
    <row r="1906">
      <c r="A1906" s="5">
        <v>1905.0</v>
      </c>
      <c r="B1906" s="5" t="s">
        <v>61</v>
      </c>
      <c r="C1906" s="11">
        <v>4.019E9</v>
      </c>
      <c r="D1906" s="12" t="s">
        <v>225</v>
      </c>
      <c r="E1906" s="9" t="s">
        <v>67</v>
      </c>
      <c r="F1906" s="11">
        <v>1.558E9</v>
      </c>
    </row>
    <row r="1907">
      <c r="A1907" s="5">
        <v>1906.0</v>
      </c>
      <c r="B1907" s="5" t="s">
        <v>61</v>
      </c>
      <c r="C1907" s="11">
        <v>5.52E9</v>
      </c>
      <c r="D1907" s="12" t="s">
        <v>225</v>
      </c>
      <c r="E1907" s="9" t="s">
        <v>68</v>
      </c>
      <c r="F1907" s="11">
        <v>2.055E9</v>
      </c>
    </row>
    <row r="1908">
      <c r="A1908" s="5">
        <v>1907.0</v>
      </c>
      <c r="B1908" s="5" t="s">
        <v>61</v>
      </c>
      <c r="C1908" s="11">
        <v>3.024E9</v>
      </c>
      <c r="D1908" s="12" t="s">
        <v>225</v>
      </c>
      <c r="E1908" s="9" t="s">
        <v>69</v>
      </c>
      <c r="F1908" s="11">
        <v>2.553E9</v>
      </c>
    </row>
    <row r="1909">
      <c r="A1909" s="5">
        <v>1908.0</v>
      </c>
      <c r="B1909" s="5" t="s">
        <v>61</v>
      </c>
      <c r="C1909" s="11">
        <v>2.853E9</v>
      </c>
      <c r="D1909" s="12" t="s">
        <v>225</v>
      </c>
      <c r="E1909" s="9" t="s">
        <v>70</v>
      </c>
      <c r="F1909" s="11">
        <v>3.251E9</v>
      </c>
    </row>
    <row r="1910">
      <c r="A1910" s="5">
        <v>1909.0</v>
      </c>
      <c r="B1910" s="5" t="s">
        <v>61</v>
      </c>
      <c r="C1910" s="11">
        <v>3.228E9</v>
      </c>
      <c r="D1910" s="12" t="s">
        <v>225</v>
      </c>
      <c r="E1910" s="9" t="s">
        <v>71</v>
      </c>
      <c r="F1910" s="11">
        <v>4.194E9</v>
      </c>
    </row>
    <row r="1911">
      <c r="A1911" s="5">
        <v>1910.0</v>
      </c>
      <c r="B1911" s="5" t="s">
        <v>61</v>
      </c>
      <c r="C1911" s="11">
        <v>4.026E9</v>
      </c>
      <c r="D1911" s="12" t="s">
        <v>225</v>
      </c>
      <c r="E1911" s="9" t="s">
        <v>72</v>
      </c>
      <c r="F1911" s="11">
        <v>5.807E9</v>
      </c>
    </row>
    <row r="1912">
      <c r="A1912" s="5">
        <v>1911.0</v>
      </c>
      <c r="B1912" s="5" t="s">
        <v>61</v>
      </c>
      <c r="C1912" s="11">
        <v>4.9E9</v>
      </c>
      <c r="D1912" s="12" t="s">
        <v>225</v>
      </c>
      <c r="E1912" s="9" t="s">
        <v>73</v>
      </c>
      <c r="F1912" s="11">
        <v>6.839E9</v>
      </c>
    </row>
    <row r="1913">
      <c r="A1913" s="5">
        <v>1912.0</v>
      </c>
      <c r="B1913" s="5" t="s">
        <v>75</v>
      </c>
      <c r="C1913" s="11">
        <v>6.128E9</v>
      </c>
      <c r="D1913" s="12" t="s">
        <v>226</v>
      </c>
      <c r="E1913" s="9" t="s">
        <v>60</v>
      </c>
      <c r="F1913" s="11">
        <v>3.417E9</v>
      </c>
    </row>
    <row r="1914">
      <c r="A1914" s="5">
        <v>1913.0</v>
      </c>
      <c r="B1914" s="5" t="s">
        <v>75</v>
      </c>
      <c r="C1914" s="11">
        <v>5.121E9</v>
      </c>
      <c r="D1914" s="12" t="s">
        <v>226</v>
      </c>
      <c r="E1914" s="9" t="s">
        <v>62</v>
      </c>
      <c r="F1914" s="11">
        <v>3.595E9</v>
      </c>
    </row>
    <row r="1915">
      <c r="A1915" s="5">
        <v>1914.0</v>
      </c>
      <c r="B1915" s="5" t="s">
        <v>75</v>
      </c>
      <c r="C1915" s="11">
        <v>4.971E9</v>
      </c>
      <c r="D1915" s="12" t="s">
        <v>226</v>
      </c>
      <c r="E1915" s="9" t="s">
        <v>63</v>
      </c>
      <c r="F1915" s="11">
        <v>3.44E9</v>
      </c>
    </row>
    <row r="1916">
      <c r="A1916" s="5">
        <v>1915.0</v>
      </c>
      <c r="B1916" s="5" t="s">
        <v>75</v>
      </c>
      <c r="C1916" s="11">
        <v>4.733E9</v>
      </c>
      <c r="D1916" s="12" t="s">
        <v>226</v>
      </c>
      <c r="E1916" s="9" t="s">
        <v>64</v>
      </c>
      <c r="F1916" s="11">
        <v>3.286E9</v>
      </c>
    </row>
    <row r="1917">
      <c r="A1917" s="5">
        <v>1916.0</v>
      </c>
      <c r="B1917" s="5" t="s">
        <v>75</v>
      </c>
      <c r="C1917" s="11">
        <v>6.499E9</v>
      </c>
      <c r="D1917" s="12" t="s">
        <v>226</v>
      </c>
      <c r="E1917" s="9" t="s">
        <v>65</v>
      </c>
      <c r="F1917" s="11">
        <v>5.092E9</v>
      </c>
    </row>
    <row r="1918">
      <c r="A1918" s="5">
        <v>1917.0</v>
      </c>
      <c r="B1918" s="5" t="s">
        <v>75</v>
      </c>
      <c r="C1918" s="11">
        <v>7.128E9</v>
      </c>
      <c r="D1918" s="12" t="s">
        <v>226</v>
      </c>
      <c r="E1918" s="9" t="s">
        <v>66</v>
      </c>
      <c r="F1918" s="11">
        <v>5.894E9</v>
      </c>
    </row>
    <row r="1919">
      <c r="A1919" s="5">
        <v>1918.0</v>
      </c>
      <c r="B1919" s="5" t="s">
        <v>75</v>
      </c>
      <c r="C1919" s="11">
        <v>8.122E9</v>
      </c>
      <c r="D1919" s="12" t="s">
        <v>226</v>
      </c>
      <c r="E1919" s="9" t="s">
        <v>67</v>
      </c>
      <c r="F1919" s="11">
        <v>7.654E9</v>
      </c>
    </row>
    <row r="1920">
      <c r="A1920" s="5">
        <v>1919.0</v>
      </c>
      <c r="B1920" s="5" t="s">
        <v>75</v>
      </c>
      <c r="C1920" s="11">
        <v>1.1686E10</v>
      </c>
      <c r="D1920" s="12" t="s">
        <v>226</v>
      </c>
      <c r="E1920" s="9" t="s">
        <v>68</v>
      </c>
      <c r="F1920" s="11">
        <v>8.342E9</v>
      </c>
    </row>
    <row r="1921">
      <c r="A1921" s="5">
        <v>1920.0</v>
      </c>
      <c r="B1921" s="5" t="s">
        <v>75</v>
      </c>
      <c r="C1921" s="11">
        <v>1.2837E10</v>
      </c>
      <c r="D1921" s="12" t="s">
        <v>226</v>
      </c>
      <c r="E1921" s="9" t="s">
        <v>69</v>
      </c>
      <c r="F1921" s="11">
        <v>1.0689E10</v>
      </c>
    </row>
    <row r="1922">
      <c r="A1922" s="5">
        <v>1921.0</v>
      </c>
      <c r="B1922" s="5" t="s">
        <v>75</v>
      </c>
      <c r="C1922" s="11">
        <v>9.843E9</v>
      </c>
      <c r="D1922" s="12" t="s">
        <v>226</v>
      </c>
      <c r="E1922" s="9" t="s">
        <v>70</v>
      </c>
      <c r="F1922" s="11">
        <v>7.888E9</v>
      </c>
    </row>
    <row r="1923">
      <c r="A1923" s="5">
        <v>1922.0</v>
      </c>
      <c r="B1923" s="5" t="s">
        <v>75</v>
      </c>
      <c r="C1923" s="11">
        <v>9.986E9</v>
      </c>
      <c r="D1923" s="12" t="s">
        <v>226</v>
      </c>
      <c r="E1923" s="9" t="s">
        <v>71</v>
      </c>
      <c r="F1923" s="11">
        <v>9.1E9</v>
      </c>
    </row>
    <row r="1924">
      <c r="A1924" s="5">
        <v>1923.0</v>
      </c>
      <c r="B1924" s="5" t="s">
        <v>75</v>
      </c>
      <c r="C1924" s="11">
        <v>1.1598E10</v>
      </c>
      <c r="D1924" s="12" t="s">
        <v>226</v>
      </c>
      <c r="E1924" s="9" t="s">
        <v>72</v>
      </c>
      <c r="F1924" s="11">
        <v>8.882E9</v>
      </c>
    </row>
    <row r="1925">
      <c r="A1925" s="5">
        <v>1924.0</v>
      </c>
      <c r="B1925" s="5" t="s">
        <v>75</v>
      </c>
      <c r="C1925" s="11">
        <v>1.1835E10</v>
      </c>
      <c r="D1925" s="12" t="s">
        <v>226</v>
      </c>
      <c r="E1925" s="9" t="s">
        <v>73</v>
      </c>
      <c r="F1925" s="11">
        <v>9.038E9</v>
      </c>
    </row>
    <row r="1926">
      <c r="A1926" s="5">
        <v>1925.0</v>
      </c>
      <c r="B1926" s="5" t="s">
        <v>75</v>
      </c>
      <c r="C1926" s="11">
        <v>6.027E9</v>
      </c>
      <c r="D1926" s="12" t="s">
        <v>227</v>
      </c>
      <c r="E1926" s="9" t="s">
        <v>60</v>
      </c>
      <c r="F1926" s="11">
        <v>2.754E9</v>
      </c>
    </row>
    <row r="1927">
      <c r="A1927" s="5">
        <v>1926.0</v>
      </c>
      <c r="B1927" s="5" t="s">
        <v>75</v>
      </c>
      <c r="C1927" s="11">
        <v>6.236E9</v>
      </c>
      <c r="D1927" s="12" t="s">
        <v>227</v>
      </c>
      <c r="E1927" s="9" t="s">
        <v>62</v>
      </c>
      <c r="F1927" s="11">
        <v>2.606E9</v>
      </c>
    </row>
    <row r="1928">
      <c r="A1928" s="5">
        <v>1927.0</v>
      </c>
      <c r="B1928" s="5" t="s">
        <v>75</v>
      </c>
      <c r="C1928" s="11">
        <v>6.595E9</v>
      </c>
      <c r="D1928" s="12" t="s">
        <v>227</v>
      </c>
      <c r="E1928" s="9" t="s">
        <v>63</v>
      </c>
      <c r="F1928" s="11">
        <v>2.631E9</v>
      </c>
    </row>
    <row r="1929">
      <c r="A1929" s="5">
        <v>1928.0</v>
      </c>
      <c r="B1929" s="5" t="s">
        <v>75</v>
      </c>
      <c r="C1929" s="11">
        <v>7.634E9</v>
      </c>
      <c r="D1929" s="12" t="s">
        <v>227</v>
      </c>
      <c r="E1929" s="9" t="s">
        <v>64</v>
      </c>
      <c r="F1929" s="11">
        <v>2.982E9</v>
      </c>
    </row>
    <row r="1930">
      <c r="A1930" s="5">
        <v>1929.0</v>
      </c>
      <c r="B1930" s="5" t="s">
        <v>75</v>
      </c>
      <c r="C1930" s="11">
        <v>8.858E9</v>
      </c>
      <c r="D1930" s="12" t="s">
        <v>227</v>
      </c>
      <c r="E1930" s="9" t="s">
        <v>65</v>
      </c>
      <c r="F1930" s="11">
        <v>3.369E9</v>
      </c>
    </row>
    <row r="1931">
      <c r="A1931" s="5">
        <v>1930.0</v>
      </c>
      <c r="B1931" s="5" t="s">
        <v>75</v>
      </c>
      <c r="C1931" s="11">
        <v>9.008E9</v>
      </c>
      <c r="D1931" s="12" t="s">
        <v>227</v>
      </c>
      <c r="E1931" s="9" t="s">
        <v>66</v>
      </c>
      <c r="F1931" s="11">
        <v>3.743E9</v>
      </c>
    </row>
    <row r="1932">
      <c r="A1932" s="5">
        <v>1931.0</v>
      </c>
      <c r="B1932" s="5" t="s">
        <v>75</v>
      </c>
      <c r="C1932" s="11">
        <v>1.0438E10</v>
      </c>
      <c r="D1932" s="12" t="s">
        <v>227</v>
      </c>
      <c r="E1932" s="9" t="s">
        <v>67</v>
      </c>
      <c r="F1932" s="11">
        <v>4.142E9</v>
      </c>
    </row>
    <row r="1933">
      <c r="A1933" s="5">
        <v>1932.0</v>
      </c>
      <c r="B1933" s="5" t="s">
        <v>75</v>
      </c>
      <c r="C1933" s="11">
        <v>1.2917E10</v>
      </c>
      <c r="D1933" s="12" t="s">
        <v>227</v>
      </c>
      <c r="E1933" s="9" t="s">
        <v>68</v>
      </c>
      <c r="F1933" s="11">
        <v>4.864E9</v>
      </c>
    </row>
    <row r="1934">
      <c r="A1934" s="5">
        <v>1933.0</v>
      </c>
      <c r="B1934" s="5" t="s">
        <v>75</v>
      </c>
      <c r="C1934" s="11">
        <v>1.4047E10</v>
      </c>
      <c r="D1934" s="12" t="s">
        <v>227</v>
      </c>
      <c r="E1934" s="9" t="s">
        <v>69</v>
      </c>
      <c r="F1934" s="11">
        <v>5.283E9</v>
      </c>
    </row>
    <row r="1935">
      <c r="A1935" s="5">
        <v>1934.0</v>
      </c>
      <c r="B1935" s="5" t="s">
        <v>75</v>
      </c>
      <c r="C1935" s="11">
        <v>1.2315E10</v>
      </c>
      <c r="D1935" s="12" t="s">
        <v>227</v>
      </c>
      <c r="E1935" s="9" t="s">
        <v>70</v>
      </c>
      <c r="F1935" s="11">
        <v>4.604E9</v>
      </c>
    </row>
    <row r="1936">
      <c r="A1936" s="5">
        <v>1935.0</v>
      </c>
      <c r="B1936" s="5" t="s">
        <v>75</v>
      </c>
      <c r="C1936" s="11">
        <v>1.2969E10</v>
      </c>
      <c r="D1936" s="12" t="s">
        <v>227</v>
      </c>
      <c r="E1936" s="9" t="s">
        <v>71</v>
      </c>
      <c r="F1936" s="11">
        <v>4.691E9</v>
      </c>
    </row>
    <row r="1937">
      <c r="A1937" s="5">
        <v>1936.0</v>
      </c>
      <c r="B1937" s="5" t="s">
        <v>75</v>
      </c>
      <c r="C1937" s="11">
        <v>1.4882E10</v>
      </c>
      <c r="D1937" s="12" t="s">
        <v>227</v>
      </c>
      <c r="E1937" s="9" t="s">
        <v>72</v>
      </c>
      <c r="F1937" s="11">
        <v>4.948E9</v>
      </c>
    </row>
    <row r="1938">
      <c r="A1938" s="5">
        <v>1937.0</v>
      </c>
      <c r="B1938" s="5" t="s">
        <v>75</v>
      </c>
      <c r="C1938" s="11">
        <v>1.4559E10</v>
      </c>
      <c r="D1938" s="12" t="s">
        <v>227</v>
      </c>
      <c r="E1938" s="9" t="s">
        <v>73</v>
      </c>
      <c r="F1938" s="11">
        <v>4.49E9</v>
      </c>
    </row>
    <row r="1939">
      <c r="A1939" s="5">
        <v>1938.0</v>
      </c>
      <c r="B1939" s="5" t="s">
        <v>84</v>
      </c>
      <c r="C1939" s="11">
        <v>2.388E9</v>
      </c>
      <c r="D1939" s="12" t="s">
        <v>228</v>
      </c>
      <c r="E1939" s="9" t="s">
        <v>60</v>
      </c>
      <c r="F1939" s="11">
        <v>1.333E9</v>
      </c>
    </row>
    <row r="1940">
      <c r="A1940" s="5">
        <v>1939.0</v>
      </c>
      <c r="B1940" s="5" t="s">
        <v>84</v>
      </c>
      <c r="C1940" s="11">
        <v>2.728E9</v>
      </c>
      <c r="D1940" s="12" t="s">
        <v>228</v>
      </c>
      <c r="E1940" s="9" t="s">
        <v>62</v>
      </c>
      <c r="F1940" s="11">
        <v>1.456E9</v>
      </c>
    </row>
    <row r="1941">
      <c r="A1941" s="5">
        <v>1940.0</v>
      </c>
      <c r="B1941" s="5" t="s">
        <v>84</v>
      </c>
      <c r="C1941" s="11">
        <v>2.486E9</v>
      </c>
      <c r="D1941" s="12" t="s">
        <v>228</v>
      </c>
      <c r="E1941" s="9" t="s">
        <v>63</v>
      </c>
      <c r="F1941" s="11">
        <v>1.319E9</v>
      </c>
    </row>
    <row r="1942">
      <c r="A1942" s="5">
        <v>1941.0</v>
      </c>
      <c r="B1942" s="5" t="s">
        <v>84</v>
      </c>
      <c r="C1942" s="11">
        <v>2.677E9</v>
      </c>
      <c r="D1942" s="12" t="s">
        <v>228</v>
      </c>
      <c r="E1942" s="9" t="s">
        <v>64</v>
      </c>
      <c r="F1942" s="11">
        <v>1.42E9</v>
      </c>
    </row>
    <row r="1943">
      <c r="A1943" s="5">
        <v>1942.0</v>
      </c>
      <c r="B1943" s="5" t="s">
        <v>84</v>
      </c>
      <c r="C1943" s="11">
        <v>3.024E9</v>
      </c>
      <c r="D1943" s="12" t="s">
        <v>228</v>
      </c>
      <c r="E1943" s="9" t="s">
        <v>65</v>
      </c>
      <c r="F1943" s="11">
        <v>1.584E9</v>
      </c>
    </row>
    <row r="1944">
      <c r="A1944" s="5">
        <v>1943.0</v>
      </c>
      <c r="B1944" s="5" t="s">
        <v>84</v>
      </c>
      <c r="C1944" s="11">
        <v>3.239E9</v>
      </c>
      <c r="D1944" s="12" t="s">
        <v>228</v>
      </c>
      <c r="E1944" s="9" t="s">
        <v>66</v>
      </c>
      <c r="F1944" s="11">
        <v>1.663E9</v>
      </c>
    </row>
    <row r="1945">
      <c r="A1945" s="5">
        <v>1944.0</v>
      </c>
      <c r="B1945" s="5" t="s">
        <v>84</v>
      </c>
      <c r="C1945" s="11">
        <v>3.369E9</v>
      </c>
      <c r="D1945" s="12" t="s">
        <v>228</v>
      </c>
      <c r="E1945" s="9" t="s">
        <v>67</v>
      </c>
      <c r="F1945" s="11">
        <v>1.752E9</v>
      </c>
    </row>
    <row r="1946">
      <c r="A1946" s="5">
        <v>1945.0</v>
      </c>
      <c r="B1946" s="5" t="s">
        <v>84</v>
      </c>
      <c r="C1946" s="11">
        <v>3.414E9</v>
      </c>
      <c r="D1946" s="12" t="s">
        <v>228</v>
      </c>
      <c r="E1946" s="9" t="s">
        <v>68</v>
      </c>
      <c r="F1946" s="11">
        <v>1.743E9</v>
      </c>
    </row>
    <row r="1947">
      <c r="A1947" s="5">
        <v>1946.0</v>
      </c>
      <c r="B1947" s="5" t="s">
        <v>84</v>
      </c>
      <c r="C1947" s="11">
        <v>3.535E9</v>
      </c>
      <c r="D1947" s="12" t="s">
        <v>228</v>
      </c>
      <c r="E1947" s="9" t="s">
        <v>69</v>
      </c>
      <c r="F1947" s="11">
        <v>1.761E9</v>
      </c>
    </row>
    <row r="1948">
      <c r="A1948" s="5">
        <v>1947.0</v>
      </c>
      <c r="B1948" s="5" t="s">
        <v>84</v>
      </c>
      <c r="C1948" s="11">
        <v>3.176E9</v>
      </c>
      <c r="D1948" s="12" t="s">
        <v>228</v>
      </c>
      <c r="E1948" s="9" t="s">
        <v>70</v>
      </c>
      <c r="F1948" s="11">
        <v>1.386E9</v>
      </c>
    </row>
    <row r="1949">
      <c r="A1949" s="5">
        <v>1948.0</v>
      </c>
      <c r="B1949" s="5" t="s">
        <v>84</v>
      </c>
      <c r="C1949" s="11">
        <v>3.211E9</v>
      </c>
      <c r="D1949" s="12" t="s">
        <v>228</v>
      </c>
      <c r="E1949" s="9" t="s">
        <v>71</v>
      </c>
      <c r="F1949" s="11">
        <v>1.18E9</v>
      </c>
    </row>
    <row r="1950">
      <c r="A1950" s="5">
        <v>1949.0</v>
      </c>
      <c r="B1950" s="5" t="s">
        <v>84</v>
      </c>
      <c r="C1950" s="11">
        <v>3.143E9</v>
      </c>
      <c r="D1950" s="12" t="s">
        <v>228</v>
      </c>
      <c r="E1950" s="9" t="s">
        <v>72</v>
      </c>
      <c r="F1950" s="11">
        <v>1.196E9</v>
      </c>
    </row>
    <row r="1951">
      <c r="A1951" s="5">
        <v>1950.0</v>
      </c>
      <c r="B1951" s="5" t="s">
        <v>84</v>
      </c>
      <c r="C1951" s="11">
        <v>3.193E9</v>
      </c>
      <c r="D1951" s="12" t="s">
        <v>228</v>
      </c>
      <c r="E1951" s="9" t="s">
        <v>73</v>
      </c>
      <c r="F1951" s="11">
        <v>1.156E9</v>
      </c>
    </row>
    <row r="1952">
      <c r="A1952" s="5">
        <v>1951.0</v>
      </c>
      <c r="B1952" s="5" t="s">
        <v>93</v>
      </c>
      <c r="C1952" s="11">
        <v>1.28E8</v>
      </c>
      <c r="D1952" s="12" t="s">
        <v>229</v>
      </c>
      <c r="E1952" s="9" t="s">
        <v>60</v>
      </c>
      <c r="F1952" s="11">
        <v>3.07E8</v>
      </c>
    </row>
    <row r="1953">
      <c r="A1953" s="5">
        <v>1952.0</v>
      </c>
      <c r="B1953" s="5" t="s">
        <v>93</v>
      </c>
      <c r="C1953" s="11">
        <v>2.72E8</v>
      </c>
      <c r="D1953" s="12" t="s">
        <v>229</v>
      </c>
      <c r="E1953" s="9" t="s">
        <v>62</v>
      </c>
      <c r="F1953" s="11">
        <v>3.66E8</v>
      </c>
    </row>
    <row r="1954">
      <c r="A1954" s="5">
        <v>1953.0</v>
      </c>
      <c r="B1954" s="5" t="s">
        <v>93</v>
      </c>
      <c r="C1954" s="11">
        <v>2.85E8</v>
      </c>
      <c r="D1954" s="12" t="s">
        <v>229</v>
      </c>
      <c r="E1954" s="9" t="s">
        <v>63</v>
      </c>
      <c r="F1954" s="11">
        <v>4.23E8</v>
      </c>
    </row>
    <row r="1955">
      <c r="A1955" s="5">
        <v>1954.0</v>
      </c>
      <c r="B1955" s="5" t="s">
        <v>93</v>
      </c>
      <c r="C1955" s="11">
        <v>3.69E8</v>
      </c>
      <c r="D1955" s="12" t="s">
        <v>229</v>
      </c>
      <c r="E1955" s="9" t="s">
        <v>64</v>
      </c>
      <c r="F1955" s="11">
        <v>4.71E8</v>
      </c>
    </row>
    <row r="1956">
      <c r="A1956" s="5">
        <v>1955.0</v>
      </c>
      <c r="B1956" s="5" t="s">
        <v>93</v>
      </c>
      <c r="C1956" s="11">
        <v>4.98E8</v>
      </c>
      <c r="D1956" s="12" t="s">
        <v>229</v>
      </c>
      <c r="E1956" s="9" t="s">
        <v>65</v>
      </c>
      <c r="F1956" s="11">
        <v>6.91E8</v>
      </c>
    </row>
    <row r="1957">
      <c r="A1957" s="5">
        <v>1956.0</v>
      </c>
      <c r="B1957" s="5" t="s">
        <v>93</v>
      </c>
      <c r="C1957" s="11">
        <v>7.6E8</v>
      </c>
      <c r="D1957" s="12" t="s">
        <v>229</v>
      </c>
      <c r="E1957" s="9" t="s">
        <v>66</v>
      </c>
      <c r="F1957" s="11">
        <v>1.759E9</v>
      </c>
    </row>
    <row r="1958">
      <c r="A1958" s="5">
        <v>1957.0</v>
      </c>
      <c r="B1958" s="5" t="s">
        <v>93</v>
      </c>
      <c r="C1958" s="11">
        <v>8.74E8</v>
      </c>
      <c r="D1958" s="12" t="s">
        <v>229</v>
      </c>
      <c r="E1958" s="9" t="s">
        <v>67</v>
      </c>
      <c r="F1958" s="11">
        <v>3.751E9</v>
      </c>
    </row>
    <row r="1959">
      <c r="A1959" s="5">
        <v>1958.0</v>
      </c>
      <c r="B1959" s="5" t="s">
        <v>93</v>
      </c>
      <c r="C1959" s="8"/>
      <c r="D1959" s="12" t="s">
        <v>229</v>
      </c>
      <c r="E1959" s="9" t="s">
        <v>68</v>
      </c>
      <c r="F1959" s="8"/>
    </row>
    <row r="1960">
      <c r="A1960" s="5">
        <v>1959.0</v>
      </c>
      <c r="B1960" s="5" t="s">
        <v>93</v>
      </c>
      <c r="C1960" s="8"/>
      <c r="D1960" s="12" t="s">
        <v>229</v>
      </c>
      <c r="E1960" s="9" t="s">
        <v>69</v>
      </c>
      <c r="F1960" s="8"/>
    </row>
    <row r="1961">
      <c r="A1961" s="5">
        <v>1960.0</v>
      </c>
      <c r="B1961" s="5" t="s">
        <v>93</v>
      </c>
      <c r="C1961" s="8"/>
      <c r="D1961" s="12" t="s">
        <v>229</v>
      </c>
      <c r="E1961" s="9" t="s">
        <v>70</v>
      </c>
      <c r="F1961" s="8"/>
    </row>
    <row r="1962">
      <c r="A1962" s="5">
        <v>1961.0</v>
      </c>
      <c r="B1962" s="5" t="s">
        <v>93</v>
      </c>
      <c r="C1962" s="8"/>
      <c r="D1962" s="12" t="s">
        <v>229</v>
      </c>
      <c r="E1962" s="9" t="s">
        <v>71</v>
      </c>
      <c r="F1962" s="8"/>
    </row>
    <row r="1963">
      <c r="A1963" s="5">
        <v>1962.0</v>
      </c>
      <c r="B1963" s="5" t="s">
        <v>93</v>
      </c>
      <c r="C1963" s="11">
        <v>4.463E9</v>
      </c>
      <c r="D1963" s="12" t="s">
        <v>229</v>
      </c>
      <c r="E1963" s="9" t="s">
        <v>72</v>
      </c>
      <c r="F1963" s="11">
        <v>7.813E9</v>
      </c>
    </row>
    <row r="1964">
      <c r="A1964" s="5">
        <v>1963.0</v>
      </c>
      <c r="B1964" s="5" t="s">
        <v>93</v>
      </c>
      <c r="C1964" s="11">
        <v>7.22E9</v>
      </c>
      <c r="D1964" s="12" t="s">
        <v>229</v>
      </c>
      <c r="E1964" s="9" t="s">
        <v>73</v>
      </c>
      <c r="F1964" s="11">
        <v>1.0702E10</v>
      </c>
    </row>
    <row r="1965">
      <c r="A1965" s="5">
        <v>1964.0</v>
      </c>
      <c r="B1965" s="5" t="s">
        <v>75</v>
      </c>
      <c r="C1965" s="11">
        <v>3.94E8</v>
      </c>
      <c r="D1965" s="12" t="s">
        <v>230</v>
      </c>
      <c r="E1965" s="9" t="s">
        <v>60</v>
      </c>
      <c r="F1965" s="11">
        <v>4.47E8</v>
      </c>
    </row>
    <row r="1966">
      <c r="A1966" s="5">
        <v>1965.0</v>
      </c>
      <c r="B1966" s="5" t="s">
        <v>75</v>
      </c>
      <c r="C1966" s="11">
        <v>4.19E8</v>
      </c>
      <c r="D1966" s="12" t="s">
        <v>230</v>
      </c>
      <c r="E1966" s="9" t="s">
        <v>62</v>
      </c>
      <c r="F1966" s="11">
        <v>4.75E8</v>
      </c>
    </row>
    <row r="1967">
      <c r="A1967" s="5">
        <v>1966.0</v>
      </c>
      <c r="B1967" s="5" t="s">
        <v>75</v>
      </c>
      <c r="C1967" s="11">
        <v>4.0E8</v>
      </c>
      <c r="D1967" s="12" t="s">
        <v>230</v>
      </c>
      <c r="E1967" s="9" t="s">
        <v>63</v>
      </c>
      <c r="F1967" s="11">
        <v>4.48E8</v>
      </c>
    </row>
    <row r="1968">
      <c r="A1968" s="5">
        <v>1967.0</v>
      </c>
      <c r="B1968" s="5" t="s">
        <v>75</v>
      </c>
      <c r="C1968" s="11">
        <v>5.23E8</v>
      </c>
      <c r="D1968" s="12" t="s">
        <v>230</v>
      </c>
      <c r="E1968" s="9" t="s">
        <v>64</v>
      </c>
      <c r="F1968" s="11">
        <v>5.72E8</v>
      </c>
    </row>
    <row r="1969">
      <c r="A1969" s="5">
        <v>1968.0</v>
      </c>
      <c r="B1969" s="5" t="s">
        <v>75</v>
      </c>
      <c r="C1969" s="11">
        <v>6.07E8</v>
      </c>
      <c r="D1969" s="12" t="s">
        <v>230</v>
      </c>
      <c r="E1969" s="9" t="s">
        <v>65</v>
      </c>
      <c r="F1969" s="11">
        <v>6.72E8</v>
      </c>
    </row>
    <row r="1970">
      <c r="A1970" s="5">
        <v>1969.0</v>
      </c>
      <c r="B1970" s="5" t="s">
        <v>75</v>
      </c>
      <c r="C1970" s="11">
        <v>1.325E9</v>
      </c>
      <c r="D1970" s="12" t="s">
        <v>230</v>
      </c>
      <c r="E1970" s="9" t="s">
        <v>66</v>
      </c>
      <c r="F1970" s="11">
        <v>1.073E9</v>
      </c>
    </row>
    <row r="1971">
      <c r="A1971" s="5">
        <v>1970.0</v>
      </c>
      <c r="B1971" s="5" t="s">
        <v>75</v>
      </c>
      <c r="C1971" s="11">
        <v>1.676E9</v>
      </c>
      <c r="D1971" s="12" t="s">
        <v>230</v>
      </c>
      <c r="E1971" s="9" t="s">
        <v>67</v>
      </c>
      <c r="F1971" s="11">
        <v>1.459E9</v>
      </c>
    </row>
    <row r="1972">
      <c r="A1972" s="5">
        <v>1971.0</v>
      </c>
      <c r="B1972" s="5" t="s">
        <v>75</v>
      </c>
      <c r="C1972" s="11">
        <v>2.073E9</v>
      </c>
      <c r="D1972" s="12" t="s">
        <v>230</v>
      </c>
      <c r="E1972" s="9" t="s">
        <v>68</v>
      </c>
      <c r="F1972" s="11">
        <v>1.725E9</v>
      </c>
    </row>
    <row r="1973">
      <c r="A1973" s="5">
        <v>1972.0</v>
      </c>
      <c r="B1973" s="5" t="s">
        <v>75</v>
      </c>
      <c r="C1973" s="11">
        <v>2.625E9</v>
      </c>
      <c r="D1973" s="12" t="s">
        <v>230</v>
      </c>
      <c r="E1973" s="9" t="s">
        <v>69</v>
      </c>
      <c r="F1973" s="11">
        <v>2.409E9</v>
      </c>
    </row>
    <row r="1974">
      <c r="A1974" s="5">
        <v>1973.0</v>
      </c>
      <c r="B1974" s="5" t="s">
        <v>75</v>
      </c>
      <c r="C1974" s="11">
        <v>1.687E9</v>
      </c>
      <c r="D1974" s="12" t="s">
        <v>230</v>
      </c>
      <c r="E1974" s="9" t="s">
        <v>70</v>
      </c>
      <c r="F1974" s="11">
        <v>1.769E9</v>
      </c>
    </row>
    <row r="1975">
      <c r="A1975" s="5">
        <v>1974.0</v>
      </c>
      <c r="B1975" s="5" t="s">
        <v>75</v>
      </c>
      <c r="C1975" s="11">
        <v>1.631E9</v>
      </c>
      <c r="D1975" s="12" t="s">
        <v>230</v>
      </c>
      <c r="E1975" s="9" t="s">
        <v>71</v>
      </c>
      <c r="F1975" s="11">
        <v>1.896E9</v>
      </c>
    </row>
    <row r="1976">
      <c r="A1976" s="5">
        <v>1975.0</v>
      </c>
      <c r="B1976" s="5" t="s">
        <v>75</v>
      </c>
      <c r="C1976" s="11">
        <v>2.018E9</v>
      </c>
      <c r="D1976" s="12" t="s">
        <v>230</v>
      </c>
      <c r="E1976" s="9" t="s">
        <v>72</v>
      </c>
      <c r="F1976" s="11">
        <v>2.295E9</v>
      </c>
    </row>
    <row r="1977">
      <c r="A1977" s="5">
        <v>1976.0</v>
      </c>
      <c r="B1977" s="5" t="s">
        <v>75</v>
      </c>
      <c r="C1977" s="11">
        <v>1.919E9</v>
      </c>
      <c r="D1977" s="12" t="s">
        <v>230</v>
      </c>
      <c r="E1977" s="9" t="s">
        <v>73</v>
      </c>
      <c r="F1977" s="11">
        <v>2.112E9</v>
      </c>
    </row>
    <row r="1978">
      <c r="A1978" s="5">
        <v>1977.0</v>
      </c>
      <c r="B1978" s="5" t="s">
        <v>75</v>
      </c>
      <c r="C1978" s="11">
        <v>3.429E9</v>
      </c>
      <c r="D1978" s="12" t="s">
        <v>231</v>
      </c>
      <c r="E1978" s="9" t="s">
        <v>60</v>
      </c>
      <c r="F1978" s="11">
        <v>8.848E9</v>
      </c>
    </row>
    <row r="1979">
      <c r="A1979" s="5">
        <v>1978.0</v>
      </c>
      <c r="B1979" s="5" t="s">
        <v>75</v>
      </c>
      <c r="C1979" s="11">
        <v>4.726E9</v>
      </c>
      <c r="D1979" s="12" t="s">
        <v>231</v>
      </c>
      <c r="E1979" s="9" t="s">
        <v>62</v>
      </c>
      <c r="F1979" s="11">
        <v>9.76E9</v>
      </c>
    </row>
    <row r="1980">
      <c r="A1980" s="5">
        <v>1979.0</v>
      </c>
      <c r="B1980" s="5" t="s">
        <v>75</v>
      </c>
      <c r="C1980" s="11">
        <v>5.278E9</v>
      </c>
      <c r="D1980" s="12" t="s">
        <v>231</v>
      </c>
      <c r="E1980" s="9" t="s">
        <v>63</v>
      </c>
      <c r="F1980" s="11">
        <v>1.1362E10</v>
      </c>
    </row>
    <row r="1981">
      <c r="A1981" s="5">
        <v>1980.0</v>
      </c>
      <c r="B1981" s="5" t="s">
        <v>75</v>
      </c>
      <c r="C1981" s="11">
        <v>5.879E9</v>
      </c>
      <c r="D1981" s="12" t="s">
        <v>231</v>
      </c>
      <c r="E1981" s="9" t="s">
        <v>64</v>
      </c>
      <c r="F1981" s="11">
        <v>1.3427E10</v>
      </c>
    </row>
    <row r="1982">
      <c r="A1982" s="5">
        <v>1981.0</v>
      </c>
      <c r="B1982" s="5" t="s">
        <v>75</v>
      </c>
      <c r="C1982" s="11">
        <v>7.262E9</v>
      </c>
      <c r="D1982" s="12" t="s">
        <v>231</v>
      </c>
      <c r="E1982" s="9" t="s">
        <v>65</v>
      </c>
      <c r="F1982" s="11">
        <v>1.6082E10</v>
      </c>
    </row>
    <row r="1983">
      <c r="A1983" s="5">
        <v>1982.0</v>
      </c>
      <c r="B1983" s="5" t="s">
        <v>75</v>
      </c>
      <c r="C1983" s="11">
        <v>7.806E9</v>
      </c>
      <c r="D1983" s="12" t="s">
        <v>231</v>
      </c>
      <c r="E1983" s="9" t="s">
        <v>66</v>
      </c>
      <c r="F1983" s="11">
        <v>1.8305E10</v>
      </c>
    </row>
    <row r="1984">
      <c r="A1984" s="5">
        <v>1983.0</v>
      </c>
      <c r="B1984" s="5" t="s">
        <v>75</v>
      </c>
      <c r="C1984" s="11">
        <v>9.72E9</v>
      </c>
      <c r="D1984" s="12" t="s">
        <v>231</v>
      </c>
      <c r="E1984" s="9" t="s">
        <v>67</v>
      </c>
      <c r="F1984" s="11">
        <v>1.9478E10</v>
      </c>
    </row>
    <row r="1985">
      <c r="A1985" s="5">
        <v>1984.0</v>
      </c>
      <c r="B1985" s="5" t="s">
        <v>75</v>
      </c>
      <c r="C1985" s="11">
        <v>1.2427E10</v>
      </c>
      <c r="D1985" s="12" t="s">
        <v>231</v>
      </c>
      <c r="E1985" s="9" t="s">
        <v>68</v>
      </c>
      <c r="F1985" s="11">
        <v>2.3248E10</v>
      </c>
    </row>
    <row r="1986">
      <c r="A1986" s="5">
        <v>1985.0</v>
      </c>
      <c r="B1986" s="5" t="s">
        <v>75</v>
      </c>
      <c r="C1986" s="11">
        <v>1.5821E10</v>
      </c>
      <c r="D1986" s="12" t="s">
        <v>231</v>
      </c>
      <c r="E1986" s="9" t="s">
        <v>69</v>
      </c>
      <c r="F1986" s="11">
        <v>2.6401E10</v>
      </c>
    </row>
    <row r="1987">
      <c r="A1987" s="5">
        <v>1986.0</v>
      </c>
      <c r="B1987" s="5" t="s">
        <v>75</v>
      </c>
      <c r="C1987" s="11">
        <v>1.2369E10</v>
      </c>
      <c r="D1987" s="12" t="s">
        <v>231</v>
      </c>
      <c r="E1987" s="9" t="s">
        <v>70</v>
      </c>
      <c r="F1987" s="11">
        <v>2.3785E10</v>
      </c>
    </row>
    <row r="1988">
      <c r="A1988" s="5">
        <v>1987.0</v>
      </c>
      <c r="B1988" s="5" t="s">
        <v>75</v>
      </c>
      <c r="C1988" s="11">
        <v>1.3239E10</v>
      </c>
      <c r="D1988" s="12" t="s">
        <v>231</v>
      </c>
      <c r="E1988" s="9" t="s">
        <v>71</v>
      </c>
      <c r="F1988" s="11">
        <v>3.0169E10</v>
      </c>
    </row>
    <row r="1989">
      <c r="A1989" s="5">
        <v>1988.0</v>
      </c>
      <c r="B1989" s="5" t="s">
        <v>75</v>
      </c>
      <c r="C1989" s="11">
        <v>1.6961E10</v>
      </c>
      <c r="D1989" s="12" t="s">
        <v>231</v>
      </c>
      <c r="E1989" s="9" t="s">
        <v>72</v>
      </c>
      <c r="F1989" s="11">
        <v>3.7343E10</v>
      </c>
    </row>
    <row r="1990">
      <c r="A1990" s="5">
        <v>1989.0</v>
      </c>
      <c r="B1990" s="5" t="s">
        <v>75</v>
      </c>
      <c r="C1990" s="11">
        <v>1.7876E10</v>
      </c>
      <c r="D1990" s="12" t="s">
        <v>231</v>
      </c>
      <c r="E1990" s="9" t="s">
        <v>73</v>
      </c>
      <c r="F1990" s="11">
        <v>4.8096E10</v>
      </c>
    </row>
    <row r="1991">
      <c r="A1991" s="5">
        <v>1990.0</v>
      </c>
      <c r="B1991" s="5" t="s">
        <v>77</v>
      </c>
      <c r="C1991" s="11">
        <v>2.7E7</v>
      </c>
      <c r="D1991" s="12" t="s">
        <v>232</v>
      </c>
      <c r="E1991" s="9" t="s">
        <v>60</v>
      </c>
      <c r="F1991" s="11">
        <v>3.5E7</v>
      </c>
    </row>
    <row r="1992">
      <c r="A1992" s="5">
        <v>1991.0</v>
      </c>
      <c r="B1992" s="5" t="s">
        <v>77</v>
      </c>
      <c r="C1992" s="11">
        <v>2.9E7</v>
      </c>
      <c r="D1992" s="12" t="s">
        <v>232</v>
      </c>
      <c r="E1992" s="9" t="s">
        <v>62</v>
      </c>
      <c r="F1992" s="11">
        <v>3.3E7</v>
      </c>
    </row>
    <row r="1993">
      <c r="A1993" s="5">
        <v>1992.0</v>
      </c>
      <c r="B1993" s="5" t="s">
        <v>77</v>
      </c>
      <c r="C1993" s="11">
        <v>3.1E7</v>
      </c>
      <c r="D1993" s="12" t="s">
        <v>232</v>
      </c>
      <c r="E1993" s="9" t="s">
        <v>63</v>
      </c>
      <c r="F1993" s="11">
        <v>2.4E7</v>
      </c>
    </row>
    <row r="1994">
      <c r="A1994" s="5">
        <v>1993.0</v>
      </c>
      <c r="B1994" s="5" t="s">
        <v>77</v>
      </c>
      <c r="C1994" s="11">
        <v>3.0E7</v>
      </c>
      <c r="D1994" s="12" t="s">
        <v>232</v>
      </c>
      <c r="E1994" s="9" t="s">
        <v>64</v>
      </c>
      <c r="F1994" s="11">
        <v>2.6E7</v>
      </c>
    </row>
    <row r="1995">
      <c r="A1995" s="5">
        <v>1994.0</v>
      </c>
      <c r="B1995" s="5" t="s">
        <v>77</v>
      </c>
      <c r="C1995" s="11">
        <v>4.4E7</v>
      </c>
      <c r="D1995" s="12" t="s">
        <v>232</v>
      </c>
      <c r="E1995" s="9" t="s">
        <v>65</v>
      </c>
      <c r="F1995" s="11">
        <v>3.1E7</v>
      </c>
    </row>
    <row r="1996">
      <c r="A1996" s="5">
        <v>1995.0</v>
      </c>
      <c r="B1996" s="5" t="s">
        <v>77</v>
      </c>
      <c r="C1996" s="11">
        <v>6.7E7</v>
      </c>
      <c r="D1996" s="12" t="s">
        <v>232</v>
      </c>
      <c r="E1996" s="9" t="s">
        <v>66</v>
      </c>
      <c r="F1996" s="11">
        <v>7.5E7</v>
      </c>
    </row>
    <row r="1997">
      <c r="A1997" s="5">
        <v>1996.0</v>
      </c>
      <c r="B1997" s="5" t="s">
        <v>77</v>
      </c>
      <c r="C1997" s="11">
        <v>1.48E8</v>
      </c>
      <c r="D1997" s="12" t="s">
        <v>232</v>
      </c>
      <c r="E1997" s="9" t="s">
        <v>67</v>
      </c>
      <c r="F1997" s="11">
        <v>8.4E7</v>
      </c>
    </row>
    <row r="1998">
      <c r="A1998" s="5">
        <v>1997.0</v>
      </c>
      <c r="B1998" s="5" t="s">
        <v>77</v>
      </c>
      <c r="C1998" s="11">
        <v>1.77E8</v>
      </c>
      <c r="D1998" s="12" t="s">
        <v>232</v>
      </c>
      <c r="E1998" s="9" t="s">
        <v>68</v>
      </c>
      <c r="F1998" s="11">
        <v>9.8E7</v>
      </c>
    </row>
    <row r="1999">
      <c r="A1999" s="5">
        <v>1998.0</v>
      </c>
      <c r="B1999" s="5" t="s">
        <v>77</v>
      </c>
      <c r="C1999" s="11">
        <v>2.24E8</v>
      </c>
      <c r="D1999" s="12" t="s">
        <v>232</v>
      </c>
      <c r="E1999" s="9" t="s">
        <v>69</v>
      </c>
      <c r="F1999" s="11">
        <v>1.46E8</v>
      </c>
    </row>
    <row r="2000">
      <c r="A2000" s="5">
        <v>1999.0</v>
      </c>
      <c r="B2000" s="5" t="s">
        <v>77</v>
      </c>
      <c r="C2000" s="11">
        <v>2.23E8</v>
      </c>
      <c r="D2000" s="12" t="s">
        <v>232</v>
      </c>
      <c r="E2000" s="9" t="s">
        <v>70</v>
      </c>
      <c r="F2000" s="11">
        <v>1.48E8</v>
      </c>
    </row>
    <row r="2001">
      <c r="A2001" s="5">
        <v>2000.0</v>
      </c>
      <c r="B2001" s="5" t="s">
        <v>77</v>
      </c>
      <c r="C2001" s="11">
        <v>2.24E8</v>
      </c>
      <c r="D2001" s="12" t="s">
        <v>232</v>
      </c>
      <c r="E2001" s="9" t="s">
        <v>71</v>
      </c>
      <c r="F2001" s="11">
        <v>1.2E8</v>
      </c>
    </row>
    <row r="2002">
      <c r="A2002" s="5">
        <v>2001.0</v>
      </c>
      <c r="B2002" s="5" t="s">
        <v>77</v>
      </c>
      <c r="C2002" s="11">
        <v>2.98E8</v>
      </c>
      <c r="D2002" s="12" t="s">
        <v>232</v>
      </c>
      <c r="E2002" s="9" t="s">
        <v>72</v>
      </c>
      <c r="F2002" s="11">
        <v>1.47E8</v>
      </c>
    </row>
    <row r="2003">
      <c r="A2003" s="5">
        <v>2002.0</v>
      </c>
      <c r="B2003" s="5" t="s">
        <v>77</v>
      </c>
      <c r="C2003" s="11">
        <v>3.37E8</v>
      </c>
      <c r="D2003" s="12" t="s">
        <v>232</v>
      </c>
      <c r="E2003" s="9" t="s">
        <v>73</v>
      </c>
      <c r="F2003" s="11">
        <v>1.33E8</v>
      </c>
    </row>
    <row r="2004">
      <c r="A2004" s="5">
        <v>2003.0</v>
      </c>
      <c r="B2004" s="5" t="s">
        <v>80</v>
      </c>
      <c r="C2004" s="11">
        <v>4.1E7</v>
      </c>
      <c r="D2004" s="12" t="s">
        <v>233</v>
      </c>
      <c r="E2004" s="9" t="s">
        <v>60</v>
      </c>
      <c r="F2004" s="8"/>
    </row>
    <row r="2005">
      <c r="A2005" s="5">
        <v>2004.0</v>
      </c>
      <c r="B2005" s="5" t="s">
        <v>80</v>
      </c>
      <c r="C2005" s="11">
        <v>3.9E7</v>
      </c>
      <c r="D2005" s="12" t="s">
        <v>233</v>
      </c>
      <c r="E2005" s="9" t="s">
        <v>62</v>
      </c>
      <c r="F2005" s="8"/>
    </row>
    <row r="2006">
      <c r="A2006" s="5">
        <v>2005.0</v>
      </c>
      <c r="B2006" s="5" t="s">
        <v>80</v>
      </c>
      <c r="C2006" s="11">
        <v>4.5E7</v>
      </c>
      <c r="D2006" s="12" t="s">
        <v>233</v>
      </c>
      <c r="E2006" s="9" t="s">
        <v>63</v>
      </c>
      <c r="F2006" s="8"/>
    </row>
    <row r="2007">
      <c r="A2007" s="5">
        <v>2006.0</v>
      </c>
      <c r="B2007" s="5" t="s">
        <v>80</v>
      </c>
      <c r="C2007" s="11">
        <v>5.4E7</v>
      </c>
      <c r="D2007" s="12" t="s">
        <v>233</v>
      </c>
      <c r="E2007" s="9" t="s">
        <v>64</v>
      </c>
      <c r="F2007" s="8"/>
    </row>
    <row r="2008">
      <c r="A2008" s="5">
        <v>2007.0</v>
      </c>
      <c r="B2008" s="5" t="s">
        <v>80</v>
      </c>
      <c r="C2008" s="11">
        <v>7.0E7</v>
      </c>
      <c r="D2008" s="12" t="s">
        <v>233</v>
      </c>
      <c r="E2008" s="9" t="s">
        <v>65</v>
      </c>
      <c r="F2008" s="11">
        <v>1.2E7</v>
      </c>
    </row>
    <row r="2009">
      <c r="A2009" s="5">
        <v>2008.0</v>
      </c>
      <c r="B2009" s="5" t="s">
        <v>80</v>
      </c>
      <c r="C2009" s="11">
        <v>7.4E7</v>
      </c>
      <c r="D2009" s="12" t="s">
        <v>233</v>
      </c>
      <c r="E2009" s="9" t="s">
        <v>66</v>
      </c>
      <c r="F2009" s="11">
        <v>2.03E7</v>
      </c>
    </row>
    <row r="2010">
      <c r="A2010" s="5">
        <v>2009.0</v>
      </c>
      <c r="B2010" s="5" t="s">
        <v>80</v>
      </c>
      <c r="C2010" s="11">
        <v>8.7E7</v>
      </c>
      <c r="D2010" s="12" t="s">
        <v>233</v>
      </c>
      <c r="E2010" s="9" t="s">
        <v>67</v>
      </c>
      <c r="F2010" s="11">
        <v>2.12E7</v>
      </c>
    </row>
    <row r="2011">
      <c r="A2011" s="5">
        <v>2010.0</v>
      </c>
      <c r="B2011" s="5" t="s">
        <v>80</v>
      </c>
      <c r="C2011" s="11">
        <v>1.02E8</v>
      </c>
      <c r="D2011" s="12" t="s">
        <v>233</v>
      </c>
      <c r="E2011" s="9" t="s">
        <v>68</v>
      </c>
      <c r="F2011" s="11">
        <v>1.98E7</v>
      </c>
    </row>
    <row r="2012">
      <c r="A2012" s="5">
        <v>2011.0</v>
      </c>
      <c r="B2012" s="5" t="s">
        <v>80</v>
      </c>
      <c r="C2012" s="11">
        <v>1.12E8</v>
      </c>
      <c r="D2012" s="12" t="s">
        <v>233</v>
      </c>
      <c r="E2012" s="9" t="s">
        <v>69</v>
      </c>
      <c r="F2012" s="11">
        <v>2.16E7</v>
      </c>
    </row>
    <row r="2013">
      <c r="A2013" s="5">
        <v>2012.0</v>
      </c>
      <c r="B2013" s="5" t="s">
        <v>80</v>
      </c>
      <c r="C2013" s="11">
        <v>1.15E8</v>
      </c>
      <c r="D2013" s="12" t="s">
        <v>233</v>
      </c>
      <c r="E2013" s="9" t="s">
        <v>70</v>
      </c>
      <c r="F2013" s="11">
        <v>2.0E7</v>
      </c>
    </row>
    <row r="2014">
      <c r="A2014" s="5">
        <v>2013.0</v>
      </c>
      <c r="B2014" s="5" t="s">
        <v>80</v>
      </c>
      <c r="C2014" s="11">
        <v>1.24E8</v>
      </c>
      <c r="D2014" s="12" t="s">
        <v>233</v>
      </c>
      <c r="E2014" s="9" t="s">
        <v>71</v>
      </c>
      <c r="F2014" s="11">
        <v>2.52E7</v>
      </c>
    </row>
    <row r="2015">
      <c r="A2015" s="5">
        <v>2014.0</v>
      </c>
      <c r="B2015" s="5" t="s">
        <v>80</v>
      </c>
      <c r="C2015" s="11">
        <v>1.35E8</v>
      </c>
      <c r="D2015" s="12" t="s">
        <v>233</v>
      </c>
      <c r="E2015" s="9" t="s">
        <v>72</v>
      </c>
      <c r="F2015" s="11">
        <v>2.22E7</v>
      </c>
    </row>
    <row r="2016">
      <c r="A2016" s="5">
        <v>2015.0</v>
      </c>
      <c r="B2016" s="5" t="s">
        <v>80</v>
      </c>
      <c r="C2016" s="11">
        <v>1.48E8</v>
      </c>
      <c r="D2016" s="12" t="s">
        <v>233</v>
      </c>
      <c r="E2016" s="9" t="s">
        <v>73</v>
      </c>
      <c r="F2016" s="11">
        <v>2.23E7</v>
      </c>
    </row>
    <row r="2017">
      <c r="A2017" s="5">
        <v>2016.0</v>
      </c>
      <c r="B2017" s="5" t="s">
        <v>75</v>
      </c>
      <c r="C2017" s="8"/>
      <c r="D2017" s="12" t="s">
        <v>234</v>
      </c>
      <c r="E2017" s="9" t="s">
        <v>60</v>
      </c>
      <c r="F2017" s="8"/>
    </row>
    <row r="2018">
      <c r="A2018" s="5">
        <v>2017.0</v>
      </c>
      <c r="B2018" s="5" t="s">
        <v>75</v>
      </c>
      <c r="C2018" s="8"/>
      <c r="D2018" s="12" t="s">
        <v>234</v>
      </c>
      <c r="E2018" s="9" t="s">
        <v>62</v>
      </c>
      <c r="F2018" s="8"/>
    </row>
    <row r="2019">
      <c r="A2019" s="5">
        <v>2018.0</v>
      </c>
      <c r="B2019" s="5" t="s">
        <v>75</v>
      </c>
      <c r="C2019" s="8"/>
      <c r="D2019" s="12" t="s">
        <v>234</v>
      </c>
      <c r="E2019" s="9" t="s">
        <v>63</v>
      </c>
      <c r="F2019" s="8"/>
    </row>
    <row r="2020">
      <c r="A2020" s="5">
        <v>2019.0</v>
      </c>
      <c r="B2020" s="5" t="s">
        <v>75</v>
      </c>
      <c r="C2020" s="8"/>
      <c r="D2020" s="12" t="s">
        <v>234</v>
      </c>
      <c r="E2020" s="9" t="s">
        <v>64</v>
      </c>
      <c r="F2020" s="8"/>
    </row>
    <row r="2021">
      <c r="A2021" s="5">
        <v>2020.0</v>
      </c>
      <c r="B2021" s="5" t="s">
        <v>75</v>
      </c>
      <c r="C2021" s="8"/>
      <c r="D2021" s="12" t="s">
        <v>234</v>
      </c>
      <c r="E2021" s="9" t="s">
        <v>65</v>
      </c>
      <c r="F2021" s="8"/>
    </row>
    <row r="2022">
      <c r="A2022" s="5">
        <v>2021.0</v>
      </c>
      <c r="B2022" s="5" t="s">
        <v>75</v>
      </c>
      <c r="C2022" s="8"/>
      <c r="D2022" s="12" t="s">
        <v>234</v>
      </c>
      <c r="E2022" s="9" t="s">
        <v>66</v>
      </c>
      <c r="F2022" s="8"/>
    </row>
    <row r="2023">
      <c r="A2023" s="5">
        <v>2022.0</v>
      </c>
      <c r="B2023" s="5" t="s">
        <v>75</v>
      </c>
      <c r="C2023" s="8"/>
      <c r="D2023" s="12" t="s">
        <v>234</v>
      </c>
      <c r="E2023" s="9" t="s">
        <v>67</v>
      </c>
      <c r="F2023" s="8"/>
    </row>
    <row r="2024">
      <c r="A2024" s="5">
        <v>2023.0</v>
      </c>
      <c r="B2024" s="5" t="s">
        <v>75</v>
      </c>
      <c r="C2024" s="8"/>
      <c r="D2024" s="12" t="s">
        <v>234</v>
      </c>
      <c r="E2024" s="9" t="s">
        <v>68</v>
      </c>
      <c r="F2024" s="8"/>
    </row>
    <row r="2025">
      <c r="A2025" s="5">
        <v>2024.0</v>
      </c>
      <c r="B2025" s="5" t="s">
        <v>75</v>
      </c>
      <c r="C2025" s="8"/>
      <c r="D2025" s="12" t="s">
        <v>234</v>
      </c>
      <c r="E2025" s="9" t="s">
        <v>69</v>
      </c>
      <c r="F2025" s="8"/>
    </row>
    <row r="2026">
      <c r="A2026" s="5">
        <v>2025.0</v>
      </c>
      <c r="B2026" s="5" t="s">
        <v>75</v>
      </c>
      <c r="C2026" s="8"/>
      <c r="D2026" s="12" t="s">
        <v>234</v>
      </c>
      <c r="E2026" s="9" t="s">
        <v>70</v>
      </c>
      <c r="F2026" s="8"/>
    </row>
    <row r="2027">
      <c r="A2027" s="5">
        <v>2026.0</v>
      </c>
      <c r="B2027" s="5" t="s">
        <v>75</v>
      </c>
      <c r="C2027" s="8"/>
      <c r="D2027" s="12" t="s">
        <v>234</v>
      </c>
      <c r="E2027" s="9" t="s">
        <v>71</v>
      </c>
      <c r="F2027" s="8"/>
    </row>
    <row r="2028">
      <c r="A2028" s="5">
        <v>2027.0</v>
      </c>
      <c r="B2028" s="5" t="s">
        <v>75</v>
      </c>
      <c r="C2028" s="8"/>
      <c r="D2028" s="12" t="s">
        <v>234</v>
      </c>
      <c r="E2028" s="9" t="s">
        <v>72</v>
      </c>
      <c r="F2028" s="8"/>
    </row>
    <row r="2029">
      <c r="A2029" s="5">
        <v>2028.0</v>
      </c>
      <c r="B2029" s="5" t="s">
        <v>75</v>
      </c>
      <c r="C2029" s="8"/>
      <c r="D2029" s="12" t="s">
        <v>234</v>
      </c>
      <c r="E2029" s="9" t="s">
        <v>73</v>
      </c>
      <c r="F2029" s="8"/>
    </row>
    <row r="2030">
      <c r="A2030" s="5">
        <v>2029.0</v>
      </c>
      <c r="B2030" s="5" t="s">
        <v>77</v>
      </c>
      <c r="C2030" s="11">
        <v>9900000.0</v>
      </c>
      <c r="D2030" s="12" t="s">
        <v>235</v>
      </c>
      <c r="E2030" s="9" t="s">
        <v>60</v>
      </c>
      <c r="F2030" s="11">
        <v>2200000.0</v>
      </c>
    </row>
    <row r="2031">
      <c r="A2031" s="5">
        <v>2030.0</v>
      </c>
      <c r="B2031" s="5" t="s">
        <v>77</v>
      </c>
      <c r="C2031" s="11">
        <v>6200000.0</v>
      </c>
      <c r="D2031" s="12" t="s">
        <v>235</v>
      </c>
      <c r="E2031" s="9" t="s">
        <v>62</v>
      </c>
      <c r="F2031" s="11">
        <v>2000000.0</v>
      </c>
    </row>
    <row r="2032">
      <c r="A2032" s="5">
        <v>2031.0</v>
      </c>
      <c r="B2032" s="5" t="s">
        <v>77</v>
      </c>
      <c r="C2032" s="11">
        <v>6900000.0</v>
      </c>
      <c r="D2032" s="12" t="s">
        <v>235</v>
      </c>
      <c r="E2032" s="9" t="s">
        <v>63</v>
      </c>
      <c r="F2032" s="11">
        <v>1800000.0</v>
      </c>
    </row>
    <row r="2033">
      <c r="A2033" s="5">
        <v>2032.0</v>
      </c>
      <c r="B2033" s="5" t="s">
        <v>77</v>
      </c>
      <c r="C2033" s="11">
        <v>7400000.0</v>
      </c>
      <c r="D2033" s="12" t="s">
        <v>235</v>
      </c>
      <c r="E2033" s="9" t="s">
        <v>64</v>
      </c>
      <c r="F2033" s="11">
        <v>1800000.0</v>
      </c>
    </row>
    <row r="2034">
      <c r="A2034" s="5">
        <v>2033.0</v>
      </c>
      <c r="B2034" s="5" t="s">
        <v>77</v>
      </c>
      <c r="C2034" s="11">
        <v>7700000.0</v>
      </c>
      <c r="D2034" s="12" t="s">
        <v>235</v>
      </c>
      <c r="E2034" s="9" t="s">
        <v>65</v>
      </c>
      <c r="F2034" s="11">
        <v>2100000.0</v>
      </c>
    </row>
    <row r="2035">
      <c r="A2035" s="5">
        <v>2034.0</v>
      </c>
      <c r="B2035" s="5" t="s">
        <v>77</v>
      </c>
      <c r="C2035" s="11">
        <v>7300000.0</v>
      </c>
      <c r="D2035" s="12" t="s">
        <v>235</v>
      </c>
      <c r="E2035" s="9" t="s">
        <v>66</v>
      </c>
      <c r="F2035" s="11">
        <v>500000.0</v>
      </c>
    </row>
    <row r="2036">
      <c r="A2036" s="5">
        <v>2035.0</v>
      </c>
      <c r="B2036" s="5" t="s">
        <v>77</v>
      </c>
      <c r="C2036" s="11">
        <v>6700000.0</v>
      </c>
      <c r="D2036" s="12" t="s">
        <v>235</v>
      </c>
      <c r="E2036" s="9" t="s">
        <v>67</v>
      </c>
      <c r="F2036" s="11">
        <v>1100000.0</v>
      </c>
    </row>
    <row r="2037">
      <c r="A2037" s="5">
        <v>2036.0</v>
      </c>
      <c r="B2037" s="5" t="s">
        <v>77</v>
      </c>
      <c r="C2037" s="11">
        <v>5000000.0</v>
      </c>
      <c r="D2037" s="12" t="s">
        <v>235</v>
      </c>
      <c r="E2037" s="9" t="s">
        <v>68</v>
      </c>
      <c r="F2037" s="11">
        <v>700000.0</v>
      </c>
    </row>
    <row r="2038">
      <c r="A2038" s="5">
        <v>2037.0</v>
      </c>
      <c r="B2038" s="5" t="s">
        <v>77</v>
      </c>
      <c r="C2038" s="11">
        <v>7700000.0</v>
      </c>
      <c r="D2038" s="12" t="s">
        <v>235</v>
      </c>
      <c r="E2038" s="9" t="s">
        <v>69</v>
      </c>
      <c r="F2038" s="11">
        <v>300000.0</v>
      </c>
    </row>
    <row r="2039">
      <c r="A2039" s="5">
        <v>2038.0</v>
      </c>
      <c r="B2039" s="5" t="s">
        <v>77</v>
      </c>
      <c r="C2039" s="11">
        <v>8300000.0</v>
      </c>
      <c r="D2039" s="12" t="s">
        <v>235</v>
      </c>
      <c r="E2039" s="9" t="s">
        <v>70</v>
      </c>
      <c r="F2039" s="11">
        <v>400000.0</v>
      </c>
    </row>
    <row r="2040">
      <c r="A2040" s="5">
        <v>2039.0</v>
      </c>
      <c r="B2040" s="5" t="s">
        <v>77</v>
      </c>
      <c r="C2040" s="11">
        <v>1.11E7</v>
      </c>
      <c r="D2040" s="12" t="s">
        <v>235</v>
      </c>
      <c r="E2040" s="9" t="s">
        <v>71</v>
      </c>
      <c r="F2040" s="11">
        <v>600000.0</v>
      </c>
    </row>
    <row r="2041">
      <c r="A2041" s="5">
        <v>2040.0</v>
      </c>
      <c r="B2041" s="5" t="s">
        <v>77</v>
      </c>
      <c r="C2041" s="11">
        <v>1.59E7</v>
      </c>
      <c r="D2041" s="12" t="s">
        <v>235</v>
      </c>
      <c r="E2041" s="9" t="s">
        <v>72</v>
      </c>
      <c r="F2041" s="11">
        <v>1400000.0</v>
      </c>
    </row>
    <row r="2042">
      <c r="A2042" s="5">
        <v>2041.0</v>
      </c>
      <c r="B2042" s="5" t="s">
        <v>77</v>
      </c>
      <c r="C2042" s="11">
        <v>1.5E7</v>
      </c>
      <c r="D2042" s="12" t="s">
        <v>235</v>
      </c>
      <c r="E2042" s="9" t="s">
        <v>73</v>
      </c>
      <c r="F2042" s="11">
        <v>1300000.0</v>
      </c>
    </row>
    <row r="2043">
      <c r="A2043" s="5">
        <v>2042.0</v>
      </c>
      <c r="B2043" s="5" t="s">
        <v>93</v>
      </c>
      <c r="C2043" s="8"/>
      <c r="D2043" s="12" t="s">
        <v>236</v>
      </c>
      <c r="E2043" s="9" t="s">
        <v>60</v>
      </c>
      <c r="F2043" s="8"/>
    </row>
    <row r="2044">
      <c r="A2044" s="5">
        <v>2043.0</v>
      </c>
      <c r="B2044" s="5" t="s">
        <v>93</v>
      </c>
      <c r="C2044" s="8"/>
      <c r="D2044" s="12" t="s">
        <v>236</v>
      </c>
      <c r="E2044" s="9" t="s">
        <v>62</v>
      </c>
      <c r="F2044" s="8"/>
    </row>
    <row r="2045">
      <c r="A2045" s="5">
        <v>2044.0</v>
      </c>
      <c r="B2045" s="5" t="s">
        <v>93</v>
      </c>
      <c r="C2045" s="8"/>
      <c r="D2045" s="12" t="s">
        <v>236</v>
      </c>
      <c r="E2045" s="9" t="s">
        <v>63</v>
      </c>
      <c r="F2045" s="11">
        <v>7.37E9</v>
      </c>
    </row>
    <row r="2046">
      <c r="A2046" s="5">
        <v>2045.0</v>
      </c>
      <c r="B2046" s="5" t="s">
        <v>93</v>
      </c>
      <c r="C2046" s="11">
        <v>3.418E9</v>
      </c>
      <c r="D2046" s="12" t="s">
        <v>236</v>
      </c>
      <c r="E2046" s="9" t="s">
        <v>64</v>
      </c>
      <c r="F2046" s="11">
        <v>4.165E9</v>
      </c>
    </row>
    <row r="2047">
      <c r="A2047" s="5">
        <v>2046.0</v>
      </c>
      <c r="B2047" s="5" t="s">
        <v>93</v>
      </c>
      <c r="C2047" s="11">
        <v>6.486E9</v>
      </c>
      <c r="D2047" s="12" t="s">
        <v>236</v>
      </c>
      <c r="E2047" s="9" t="s">
        <v>65</v>
      </c>
      <c r="F2047" s="11">
        <v>4.428E9</v>
      </c>
    </row>
    <row r="2048">
      <c r="A2048" s="5">
        <v>2047.0</v>
      </c>
      <c r="B2048" s="5" t="s">
        <v>93</v>
      </c>
      <c r="C2048" s="11">
        <v>4.626E9</v>
      </c>
      <c r="D2048" s="12" t="s">
        <v>236</v>
      </c>
      <c r="E2048" s="9" t="s">
        <v>66</v>
      </c>
      <c r="F2048" s="11">
        <v>9.087E9</v>
      </c>
    </row>
    <row r="2049">
      <c r="A2049" s="5">
        <v>2048.0</v>
      </c>
      <c r="B2049" s="5" t="s">
        <v>93</v>
      </c>
      <c r="C2049" s="11">
        <v>4.769E9</v>
      </c>
      <c r="D2049" s="12" t="s">
        <v>236</v>
      </c>
      <c r="E2049" s="9" t="s">
        <v>67</v>
      </c>
      <c r="F2049" s="11">
        <v>1.2979E10</v>
      </c>
    </row>
    <row r="2050">
      <c r="A2050" s="5">
        <v>2049.0</v>
      </c>
      <c r="B2050" s="5" t="s">
        <v>93</v>
      </c>
      <c r="C2050" s="11">
        <v>6.907E9</v>
      </c>
      <c r="D2050" s="12" t="s">
        <v>236</v>
      </c>
      <c r="E2050" s="9" t="s">
        <v>68</v>
      </c>
      <c r="F2050" s="11">
        <v>2.1031E10</v>
      </c>
    </row>
    <row r="2051">
      <c r="A2051" s="5">
        <v>2050.0</v>
      </c>
      <c r="B2051" s="5" t="s">
        <v>93</v>
      </c>
      <c r="C2051" s="11">
        <v>6.775E9</v>
      </c>
      <c r="D2051" s="12" t="s">
        <v>236</v>
      </c>
      <c r="E2051" s="9" t="s">
        <v>69</v>
      </c>
      <c r="F2051" s="11">
        <v>1.6005E10</v>
      </c>
    </row>
    <row r="2052">
      <c r="A2052" s="5">
        <v>2051.0</v>
      </c>
      <c r="B2052" s="5" t="s">
        <v>93</v>
      </c>
      <c r="C2052" s="11">
        <v>6.744E9</v>
      </c>
      <c r="D2052" s="12" t="s">
        <v>236</v>
      </c>
      <c r="E2052" s="9" t="s">
        <v>70</v>
      </c>
      <c r="F2052" s="11">
        <v>2.1312E10</v>
      </c>
    </row>
    <row r="2053">
      <c r="A2053" s="5">
        <v>2052.0</v>
      </c>
      <c r="B2053" s="5" t="s">
        <v>93</v>
      </c>
      <c r="C2053" s="11">
        <v>7.536E9</v>
      </c>
      <c r="D2053" s="12" t="s">
        <v>236</v>
      </c>
      <c r="E2053" s="9" t="s">
        <v>71</v>
      </c>
      <c r="F2053" s="11">
        <v>2.2076E10</v>
      </c>
    </row>
    <row r="2054">
      <c r="A2054" s="5">
        <v>2053.0</v>
      </c>
      <c r="B2054" s="5" t="s">
        <v>93</v>
      </c>
      <c r="C2054" s="11">
        <v>9.317E9</v>
      </c>
      <c r="D2054" s="12" t="s">
        <v>236</v>
      </c>
      <c r="E2054" s="9" t="s">
        <v>72</v>
      </c>
      <c r="F2054" s="11">
        <v>1.8202E10</v>
      </c>
    </row>
    <row r="2055">
      <c r="A2055" s="5">
        <v>2054.0</v>
      </c>
      <c r="B2055" s="5" t="s">
        <v>93</v>
      </c>
      <c r="C2055" s="11">
        <v>8.4E9</v>
      </c>
      <c r="D2055" s="12" t="s">
        <v>236</v>
      </c>
      <c r="E2055" s="9" t="s">
        <v>73</v>
      </c>
      <c r="F2055" s="11">
        <v>1.7986E10</v>
      </c>
    </row>
    <row r="2056">
      <c r="A2056" s="5">
        <v>2055.0</v>
      </c>
      <c r="B2056" s="5" t="s">
        <v>77</v>
      </c>
      <c r="C2056" s="11">
        <v>1.52E8</v>
      </c>
      <c r="D2056" s="12" t="s">
        <v>237</v>
      </c>
      <c r="E2056" s="9" t="s">
        <v>60</v>
      </c>
      <c r="F2056" s="11">
        <v>1.25E8</v>
      </c>
    </row>
    <row r="2057">
      <c r="A2057" s="5">
        <v>2056.0</v>
      </c>
      <c r="B2057" s="5" t="s">
        <v>77</v>
      </c>
      <c r="C2057" s="11">
        <v>1.75E8</v>
      </c>
      <c r="D2057" s="12" t="s">
        <v>237</v>
      </c>
      <c r="E2057" s="9" t="s">
        <v>62</v>
      </c>
      <c r="F2057" s="11">
        <v>1.12E8</v>
      </c>
    </row>
    <row r="2058">
      <c r="A2058" s="5">
        <v>2057.0</v>
      </c>
      <c r="B2058" s="5" t="s">
        <v>77</v>
      </c>
      <c r="C2058" s="11">
        <v>2.1E8</v>
      </c>
      <c r="D2058" s="12" t="s">
        <v>237</v>
      </c>
      <c r="E2058" s="9" t="s">
        <v>63</v>
      </c>
      <c r="F2058" s="11">
        <v>1.12E8</v>
      </c>
    </row>
    <row r="2059">
      <c r="A2059" s="5">
        <v>2058.0</v>
      </c>
      <c r="B2059" s="5" t="s">
        <v>77</v>
      </c>
      <c r="C2059" s="11">
        <v>2.69E8</v>
      </c>
      <c r="D2059" s="12" t="s">
        <v>237</v>
      </c>
      <c r="E2059" s="9" t="s">
        <v>64</v>
      </c>
      <c r="F2059" s="11">
        <v>1.29E8</v>
      </c>
    </row>
    <row r="2060">
      <c r="A2060" s="5">
        <v>2059.0</v>
      </c>
      <c r="B2060" s="5" t="s">
        <v>77</v>
      </c>
      <c r="C2060" s="11">
        <v>2.86E8</v>
      </c>
      <c r="D2060" s="12" t="s">
        <v>237</v>
      </c>
      <c r="E2060" s="9" t="s">
        <v>65</v>
      </c>
      <c r="F2060" s="11">
        <v>1.38E8</v>
      </c>
    </row>
    <row r="2061">
      <c r="A2061" s="5">
        <v>2060.0</v>
      </c>
      <c r="B2061" s="5" t="s">
        <v>77</v>
      </c>
      <c r="C2061" s="11">
        <v>3.34E8</v>
      </c>
      <c r="D2061" s="12" t="s">
        <v>237</v>
      </c>
      <c r="E2061" s="9" t="s">
        <v>66</v>
      </c>
      <c r="F2061" s="11">
        <v>1.44E8</v>
      </c>
    </row>
    <row r="2062">
      <c r="A2062" s="5">
        <v>2061.0</v>
      </c>
      <c r="B2062" s="5" t="s">
        <v>77</v>
      </c>
      <c r="C2062" s="11">
        <v>3.29E8</v>
      </c>
      <c r="D2062" s="12" t="s">
        <v>237</v>
      </c>
      <c r="E2062" s="9" t="s">
        <v>67</v>
      </c>
      <c r="F2062" s="11">
        <v>1.39E8</v>
      </c>
    </row>
    <row r="2063">
      <c r="A2063" s="5">
        <v>2062.0</v>
      </c>
      <c r="B2063" s="5" t="s">
        <v>77</v>
      </c>
      <c r="C2063" s="11">
        <v>6.22E8</v>
      </c>
      <c r="D2063" s="12" t="s">
        <v>237</v>
      </c>
      <c r="E2063" s="9" t="s">
        <v>68</v>
      </c>
      <c r="F2063" s="11">
        <v>3.52E8</v>
      </c>
    </row>
    <row r="2064">
      <c r="A2064" s="5">
        <v>2063.0</v>
      </c>
      <c r="B2064" s="5" t="s">
        <v>77</v>
      </c>
      <c r="C2064" s="11">
        <v>6.37E8</v>
      </c>
      <c r="D2064" s="12" t="s">
        <v>237</v>
      </c>
      <c r="E2064" s="9" t="s">
        <v>69</v>
      </c>
      <c r="F2064" s="11">
        <v>2.76E8</v>
      </c>
    </row>
    <row r="2065">
      <c r="A2065" s="5">
        <v>2064.0</v>
      </c>
      <c r="B2065" s="5" t="s">
        <v>77</v>
      </c>
      <c r="C2065" s="11">
        <v>4.74E8</v>
      </c>
      <c r="D2065" s="12" t="s">
        <v>237</v>
      </c>
      <c r="E2065" s="9" t="s">
        <v>70</v>
      </c>
      <c r="F2065" s="11">
        <v>2.58E8</v>
      </c>
    </row>
    <row r="2066">
      <c r="A2066" s="5">
        <v>2065.0</v>
      </c>
      <c r="B2066" s="5" t="s">
        <v>77</v>
      </c>
      <c r="C2066" s="11">
        <v>4.64E8</v>
      </c>
      <c r="D2066" s="12" t="s">
        <v>237</v>
      </c>
      <c r="E2066" s="9" t="s">
        <v>71</v>
      </c>
      <c r="F2066" s="11">
        <v>2.17E8</v>
      </c>
    </row>
    <row r="2067">
      <c r="A2067" s="5">
        <v>2066.0</v>
      </c>
      <c r="B2067" s="5" t="s">
        <v>77</v>
      </c>
      <c r="C2067" s="8"/>
      <c r="D2067" s="12" t="s">
        <v>237</v>
      </c>
      <c r="E2067" s="9" t="s">
        <v>72</v>
      </c>
      <c r="F2067" s="8"/>
    </row>
    <row r="2068">
      <c r="A2068" s="5">
        <v>2067.0</v>
      </c>
      <c r="B2068" s="5" t="s">
        <v>77</v>
      </c>
      <c r="C2068" s="8"/>
      <c r="D2068" s="12" t="s">
        <v>237</v>
      </c>
      <c r="E2068" s="9" t="s">
        <v>73</v>
      </c>
      <c r="F2068" s="8"/>
    </row>
    <row r="2069">
      <c r="A2069" s="5">
        <v>2068.0</v>
      </c>
      <c r="B2069" s="5" t="s">
        <v>75</v>
      </c>
      <c r="C2069" s="8"/>
      <c r="D2069" s="12" t="s">
        <v>238</v>
      </c>
      <c r="E2069" s="9" t="s">
        <v>60</v>
      </c>
      <c r="F2069" s="8"/>
    </row>
    <row r="2070">
      <c r="A2070" s="5">
        <v>2069.0</v>
      </c>
      <c r="B2070" s="5" t="s">
        <v>75</v>
      </c>
      <c r="C2070" s="8"/>
      <c r="D2070" s="12" t="s">
        <v>238</v>
      </c>
      <c r="E2070" s="9" t="s">
        <v>62</v>
      </c>
      <c r="F2070" s="8"/>
    </row>
    <row r="2071">
      <c r="A2071" s="5">
        <v>2070.0</v>
      </c>
      <c r="B2071" s="5" t="s">
        <v>75</v>
      </c>
      <c r="C2071" s="11">
        <v>7.7E7</v>
      </c>
      <c r="D2071" s="12" t="s">
        <v>238</v>
      </c>
      <c r="E2071" s="9" t="s">
        <v>63</v>
      </c>
      <c r="F2071" s="11">
        <v>1.05E8</v>
      </c>
    </row>
    <row r="2072">
      <c r="A2072" s="5">
        <v>2071.0</v>
      </c>
      <c r="B2072" s="5" t="s">
        <v>75</v>
      </c>
      <c r="C2072" s="11">
        <v>1.59E8</v>
      </c>
      <c r="D2072" s="12" t="s">
        <v>238</v>
      </c>
      <c r="E2072" s="9" t="s">
        <v>64</v>
      </c>
      <c r="F2072" s="11">
        <v>1.44E8</v>
      </c>
    </row>
    <row r="2073">
      <c r="A2073" s="5">
        <v>2072.0</v>
      </c>
      <c r="B2073" s="5" t="s">
        <v>75</v>
      </c>
      <c r="C2073" s="11">
        <v>2.2E8</v>
      </c>
      <c r="D2073" s="12" t="s">
        <v>238</v>
      </c>
      <c r="E2073" s="9" t="s">
        <v>65</v>
      </c>
      <c r="F2073" s="11">
        <v>2.08E8</v>
      </c>
    </row>
    <row r="2074">
      <c r="A2074" s="5">
        <v>2073.0</v>
      </c>
      <c r="B2074" s="5" t="s">
        <v>75</v>
      </c>
      <c r="C2074" s="11">
        <v>3.08E8</v>
      </c>
      <c r="D2074" s="12" t="s">
        <v>238</v>
      </c>
      <c r="E2074" s="9" t="s">
        <v>66</v>
      </c>
      <c r="F2074" s="11">
        <v>2.6E8</v>
      </c>
    </row>
    <row r="2075">
      <c r="A2075" s="5">
        <v>2074.0</v>
      </c>
      <c r="B2075" s="5" t="s">
        <v>75</v>
      </c>
      <c r="C2075" s="11">
        <v>4.16E8</v>
      </c>
      <c r="D2075" s="12" t="s">
        <v>238</v>
      </c>
      <c r="E2075" s="9" t="s">
        <v>67</v>
      </c>
      <c r="F2075" s="11">
        <v>3.22E8</v>
      </c>
    </row>
    <row r="2076">
      <c r="A2076" s="5">
        <v>2075.0</v>
      </c>
      <c r="B2076" s="5" t="s">
        <v>75</v>
      </c>
      <c r="C2076" s="11">
        <v>1.016E9</v>
      </c>
      <c r="D2076" s="12" t="s">
        <v>238</v>
      </c>
      <c r="E2076" s="9" t="s">
        <v>68</v>
      </c>
      <c r="F2076" s="11">
        <v>1.202E9</v>
      </c>
    </row>
    <row r="2077">
      <c r="A2077" s="5">
        <v>2076.0</v>
      </c>
      <c r="B2077" s="5" t="s">
        <v>75</v>
      </c>
      <c r="C2077" s="11">
        <v>1.133E9</v>
      </c>
      <c r="D2077" s="12" t="s">
        <v>238</v>
      </c>
      <c r="E2077" s="9" t="s">
        <v>69</v>
      </c>
      <c r="F2077" s="11">
        <v>1.468E9</v>
      </c>
    </row>
    <row r="2078">
      <c r="A2078" s="5">
        <v>2077.0</v>
      </c>
      <c r="B2078" s="5" t="s">
        <v>75</v>
      </c>
      <c r="C2078" s="11">
        <v>9.89E8</v>
      </c>
      <c r="D2078" s="12" t="s">
        <v>238</v>
      </c>
      <c r="E2078" s="9" t="s">
        <v>70</v>
      </c>
      <c r="F2078" s="11">
        <v>1.107E9</v>
      </c>
    </row>
    <row r="2079">
      <c r="A2079" s="5">
        <v>2078.0</v>
      </c>
      <c r="B2079" s="5" t="s">
        <v>75</v>
      </c>
      <c r="C2079" s="11">
        <v>9.51E8</v>
      </c>
      <c r="D2079" s="12" t="s">
        <v>238</v>
      </c>
      <c r="E2079" s="9" t="s">
        <v>71</v>
      </c>
      <c r="F2079" s="11">
        <v>1.106E9</v>
      </c>
    </row>
    <row r="2080">
      <c r="A2080" s="5">
        <v>2079.0</v>
      </c>
      <c r="B2080" s="5" t="s">
        <v>75</v>
      </c>
      <c r="C2080" s="11">
        <v>1.149E9</v>
      </c>
      <c r="D2080" s="12" t="s">
        <v>238</v>
      </c>
      <c r="E2080" s="9" t="s">
        <v>72</v>
      </c>
      <c r="F2080" s="11">
        <v>1.263E9</v>
      </c>
    </row>
    <row r="2081">
      <c r="A2081" s="5">
        <v>2080.0</v>
      </c>
      <c r="B2081" s="5" t="s">
        <v>75</v>
      </c>
      <c r="C2081" s="11">
        <v>1.066E9</v>
      </c>
      <c r="D2081" s="12" t="s">
        <v>238</v>
      </c>
      <c r="E2081" s="9" t="s">
        <v>73</v>
      </c>
      <c r="F2081" s="11">
        <v>1.176E9</v>
      </c>
    </row>
    <row r="2082">
      <c r="A2082" s="5">
        <v>2081.0</v>
      </c>
      <c r="B2082" s="5" t="s">
        <v>77</v>
      </c>
      <c r="C2082" s="11">
        <v>2.25E8</v>
      </c>
      <c r="D2082" s="12" t="s">
        <v>239</v>
      </c>
      <c r="E2082" s="9" t="s">
        <v>60</v>
      </c>
      <c r="F2082" s="11">
        <v>4.4E7</v>
      </c>
    </row>
    <row r="2083">
      <c r="A2083" s="5">
        <v>2082.0</v>
      </c>
      <c r="B2083" s="5" t="s">
        <v>77</v>
      </c>
      <c r="C2083" s="11">
        <v>2.21E8</v>
      </c>
      <c r="D2083" s="12" t="s">
        <v>239</v>
      </c>
      <c r="E2083" s="9" t="s">
        <v>62</v>
      </c>
      <c r="F2083" s="11">
        <v>4.1E7</v>
      </c>
    </row>
    <row r="2084">
      <c r="A2084" s="5">
        <v>2083.0</v>
      </c>
      <c r="B2084" s="5" t="s">
        <v>77</v>
      </c>
      <c r="C2084" s="11">
        <v>2.47E8</v>
      </c>
      <c r="D2084" s="12" t="s">
        <v>239</v>
      </c>
      <c r="E2084" s="9" t="s">
        <v>63</v>
      </c>
      <c r="F2084" s="11">
        <v>5.3E7</v>
      </c>
    </row>
    <row r="2085">
      <c r="A2085" s="5">
        <v>2084.0</v>
      </c>
      <c r="B2085" s="5" t="s">
        <v>77</v>
      </c>
      <c r="C2085" s="11">
        <v>2.58E8</v>
      </c>
      <c r="D2085" s="12" t="s">
        <v>239</v>
      </c>
      <c r="E2085" s="9" t="s">
        <v>64</v>
      </c>
      <c r="F2085" s="11">
        <v>5.4E7</v>
      </c>
    </row>
    <row r="2086">
      <c r="A2086" s="5">
        <v>2085.0</v>
      </c>
      <c r="B2086" s="5" t="s">
        <v>77</v>
      </c>
      <c r="C2086" s="11">
        <v>2.56E8</v>
      </c>
      <c r="D2086" s="12" t="s">
        <v>239</v>
      </c>
      <c r="E2086" s="9" t="s">
        <v>65</v>
      </c>
      <c r="F2086" s="11">
        <v>5.3E7</v>
      </c>
    </row>
    <row r="2087">
      <c r="A2087" s="5">
        <v>2086.0</v>
      </c>
      <c r="B2087" s="5" t="s">
        <v>77</v>
      </c>
      <c r="C2087" s="11">
        <v>2.69E8</v>
      </c>
      <c r="D2087" s="12" t="s">
        <v>239</v>
      </c>
      <c r="E2087" s="9" t="s">
        <v>66</v>
      </c>
      <c r="F2087" s="11">
        <v>5.9E7</v>
      </c>
    </row>
    <row r="2088">
      <c r="A2088" s="5">
        <v>2087.0</v>
      </c>
      <c r="B2088" s="5" t="s">
        <v>77</v>
      </c>
      <c r="C2088" s="11">
        <v>3.23E8</v>
      </c>
      <c r="D2088" s="12" t="s">
        <v>239</v>
      </c>
      <c r="E2088" s="9" t="s">
        <v>67</v>
      </c>
      <c r="F2088" s="11">
        <v>5.6E7</v>
      </c>
    </row>
    <row r="2089">
      <c r="A2089" s="5">
        <v>2088.0</v>
      </c>
      <c r="B2089" s="5" t="s">
        <v>77</v>
      </c>
      <c r="C2089" s="11">
        <v>6.0E7</v>
      </c>
      <c r="D2089" s="12" t="s">
        <v>239</v>
      </c>
      <c r="E2089" s="9" t="s">
        <v>68</v>
      </c>
      <c r="F2089" s="11">
        <v>1.1E7</v>
      </c>
    </row>
    <row r="2090">
      <c r="A2090" s="5">
        <v>2089.0</v>
      </c>
      <c r="B2090" s="5" t="s">
        <v>77</v>
      </c>
      <c r="C2090" s="11">
        <v>4.6E7</v>
      </c>
      <c r="D2090" s="12" t="s">
        <v>239</v>
      </c>
      <c r="E2090" s="9" t="s">
        <v>69</v>
      </c>
      <c r="F2090" s="11">
        <v>7000000.0</v>
      </c>
    </row>
    <row r="2091">
      <c r="A2091" s="5">
        <v>2090.0</v>
      </c>
      <c r="B2091" s="5" t="s">
        <v>77</v>
      </c>
      <c r="C2091" s="11">
        <v>2.7E7</v>
      </c>
      <c r="D2091" s="12" t="s">
        <v>239</v>
      </c>
      <c r="E2091" s="9" t="s">
        <v>70</v>
      </c>
      <c r="F2091" s="11">
        <v>5000000.0</v>
      </c>
    </row>
    <row r="2092">
      <c r="A2092" s="5">
        <v>2091.0</v>
      </c>
      <c r="B2092" s="5" t="s">
        <v>77</v>
      </c>
      <c r="C2092" s="11">
        <v>2.9E7</v>
      </c>
      <c r="D2092" s="12" t="s">
        <v>239</v>
      </c>
      <c r="E2092" s="9" t="s">
        <v>71</v>
      </c>
      <c r="F2092" s="11">
        <v>5000000.0</v>
      </c>
    </row>
    <row r="2093">
      <c r="A2093" s="5">
        <v>2092.0</v>
      </c>
      <c r="B2093" s="5" t="s">
        <v>77</v>
      </c>
      <c r="C2093" s="11">
        <v>3.1E7</v>
      </c>
      <c r="D2093" s="12" t="s">
        <v>239</v>
      </c>
      <c r="E2093" s="9" t="s">
        <v>72</v>
      </c>
      <c r="F2093" s="11">
        <v>5000000.0</v>
      </c>
    </row>
    <row r="2094">
      <c r="A2094" s="5">
        <v>2093.0</v>
      </c>
      <c r="B2094" s="5" t="s">
        <v>77</v>
      </c>
      <c r="C2094" s="11">
        <v>2.6E7</v>
      </c>
      <c r="D2094" s="12" t="s">
        <v>239</v>
      </c>
      <c r="E2094" s="9" t="s">
        <v>73</v>
      </c>
      <c r="F2094" s="11">
        <v>4000000.0</v>
      </c>
    </row>
    <row r="2095">
      <c r="A2095" s="5">
        <v>2094.0</v>
      </c>
      <c r="B2095" s="5" t="s">
        <v>77</v>
      </c>
      <c r="C2095" s="11">
        <v>1.0E7</v>
      </c>
      <c r="D2095" s="12" t="s">
        <v>240</v>
      </c>
      <c r="E2095" s="9" t="s">
        <v>60</v>
      </c>
      <c r="F2095" s="11">
        <v>3.5E7</v>
      </c>
    </row>
    <row r="2096">
      <c r="A2096" s="5">
        <v>2095.0</v>
      </c>
      <c r="B2096" s="5" t="s">
        <v>77</v>
      </c>
      <c r="C2096" s="11">
        <v>1.4E7</v>
      </c>
      <c r="D2096" s="12" t="s">
        <v>240</v>
      </c>
      <c r="E2096" s="9" t="s">
        <v>62</v>
      </c>
      <c r="F2096" s="11">
        <v>4.2E7</v>
      </c>
    </row>
    <row r="2097">
      <c r="A2097" s="5">
        <v>2096.0</v>
      </c>
      <c r="B2097" s="5" t="s">
        <v>77</v>
      </c>
      <c r="C2097" s="11">
        <v>3.8E7</v>
      </c>
      <c r="D2097" s="12" t="s">
        <v>240</v>
      </c>
      <c r="E2097" s="9" t="s">
        <v>63</v>
      </c>
      <c r="F2097" s="11">
        <v>3.9E7</v>
      </c>
    </row>
    <row r="2098">
      <c r="A2098" s="5">
        <v>2097.0</v>
      </c>
      <c r="B2098" s="5" t="s">
        <v>77</v>
      </c>
      <c r="C2098" s="11">
        <v>6.0E7</v>
      </c>
      <c r="D2098" s="12" t="s">
        <v>240</v>
      </c>
      <c r="E2098" s="9" t="s">
        <v>64</v>
      </c>
      <c r="F2098" s="11">
        <v>3.8E7</v>
      </c>
    </row>
    <row r="2099">
      <c r="A2099" s="5">
        <v>2098.0</v>
      </c>
      <c r="B2099" s="5" t="s">
        <v>77</v>
      </c>
      <c r="C2099" s="11">
        <v>5.8E7</v>
      </c>
      <c r="D2099" s="12" t="s">
        <v>240</v>
      </c>
      <c r="E2099" s="9" t="s">
        <v>65</v>
      </c>
      <c r="F2099" s="11">
        <v>3.0E7</v>
      </c>
    </row>
    <row r="2100">
      <c r="A2100" s="5">
        <v>2099.0</v>
      </c>
      <c r="B2100" s="5" t="s">
        <v>77</v>
      </c>
      <c r="C2100" s="11">
        <v>6.4E7</v>
      </c>
      <c r="D2100" s="12" t="s">
        <v>240</v>
      </c>
      <c r="E2100" s="9" t="s">
        <v>66</v>
      </c>
      <c r="F2100" s="11">
        <v>3.4E7</v>
      </c>
    </row>
    <row r="2101">
      <c r="A2101" s="5">
        <v>2100.0</v>
      </c>
      <c r="B2101" s="5" t="s">
        <v>77</v>
      </c>
      <c r="C2101" s="11">
        <v>2.3E7</v>
      </c>
      <c r="D2101" s="12" t="s">
        <v>240</v>
      </c>
      <c r="E2101" s="9" t="s">
        <v>67</v>
      </c>
      <c r="F2101" s="11">
        <v>1.5E7</v>
      </c>
    </row>
    <row r="2102">
      <c r="A2102" s="5">
        <v>2101.0</v>
      </c>
      <c r="B2102" s="5" t="s">
        <v>77</v>
      </c>
      <c r="C2102" s="11">
        <v>2.2E7</v>
      </c>
      <c r="D2102" s="12" t="s">
        <v>240</v>
      </c>
      <c r="E2102" s="9" t="s">
        <v>68</v>
      </c>
      <c r="F2102" s="11">
        <v>1.7E7</v>
      </c>
    </row>
    <row r="2103">
      <c r="A2103" s="5">
        <v>2102.0</v>
      </c>
      <c r="B2103" s="5" t="s">
        <v>77</v>
      </c>
      <c r="C2103" s="11">
        <v>3.4E7</v>
      </c>
      <c r="D2103" s="12" t="s">
        <v>240</v>
      </c>
      <c r="E2103" s="9" t="s">
        <v>69</v>
      </c>
      <c r="F2103" s="11">
        <v>2.4E7</v>
      </c>
    </row>
    <row r="2104">
      <c r="A2104" s="5">
        <v>2103.0</v>
      </c>
      <c r="B2104" s="5" t="s">
        <v>77</v>
      </c>
      <c r="C2104" s="11">
        <v>2.5E7</v>
      </c>
      <c r="D2104" s="12" t="s">
        <v>240</v>
      </c>
      <c r="E2104" s="9" t="s">
        <v>70</v>
      </c>
      <c r="F2104" s="11">
        <v>2.2E7</v>
      </c>
    </row>
    <row r="2105">
      <c r="A2105" s="5">
        <v>2104.0</v>
      </c>
      <c r="B2105" s="5" t="s">
        <v>77</v>
      </c>
      <c r="C2105" s="11">
        <v>2.6E7</v>
      </c>
      <c r="D2105" s="12" t="s">
        <v>240</v>
      </c>
      <c r="E2105" s="9" t="s">
        <v>71</v>
      </c>
      <c r="F2105" s="11">
        <v>2.2E7</v>
      </c>
    </row>
    <row r="2106">
      <c r="A2106" s="5">
        <v>2105.0</v>
      </c>
      <c r="B2106" s="5" t="s">
        <v>77</v>
      </c>
      <c r="C2106" s="11">
        <v>4.4E7</v>
      </c>
      <c r="D2106" s="12" t="s">
        <v>240</v>
      </c>
      <c r="E2106" s="9" t="s">
        <v>72</v>
      </c>
      <c r="F2106" s="11">
        <v>2.9E7</v>
      </c>
    </row>
    <row r="2107">
      <c r="A2107" s="5">
        <v>2106.0</v>
      </c>
      <c r="B2107" s="5" t="s">
        <v>77</v>
      </c>
      <c r="C2107" s="11">
        <v>4.1E7</v>
      </c>
      <c r="D2107" s="12" t="s">
        <v>240</v>
      </c>
      <c r="E2107" s="9" t="s">
        <v>73</v>
      </c>
      <c r="F2107" s="11">
        <v>2.5E7</v>
      </c>
    </row>
    <row r="2108">
      <c r="A2108" s="5">
        <v>2107.0</v>
      </c>
      <c r="B2108" s="5" t="s">
        <v>61</v>
      </c>
      <c r="C2108" s="11">
        <v>5.142E9</v>
      </c>
      <c r="D2108" s="12" t="s">
        <v>241</v>
      </c>
      <c r="E2108" s="9" t="s">
        <v>60</v>
      </c>
      <c r="F2108" s="11">
        <v>4.535E9</v>
      </c>
    </row>
    <row r="2109">
      <c r="A2109" s="5">
        <v>2108.0</v>
      </c>
      <c r="B2109" s="5" t="s">
        <v>61</v>
      </c>
      <c r="C2109" s="11">
        <v>4.641E9</v>
      </c>
      <c r="D2109" s="12" t="s">
        <v>241</v>
      </c>
      <c r="E2109" s="9" t="s">
        <v>62</v>
      </c>
      <c r="F2109" s="11">
        <v>6.6E9</v>
      </c>
    </row>
    <row r="2110">
      <c r="A2110" s="5">
        <v>2109.0</v>
      </c>
      <c r="B2110" s="5" t="s">
        <v>61</v>
      </c>
      <c r="C2110" s="11">
        <v>4.458E9</v>
      </c>
      <c r="D2110" s="12" t="s">
        <v>241</v>
      </c>
      <c r="E2110" s="9" t="s">
        <v>63</v>
      </c>
      <c r="F2110" s="11">
        <v>8.212E9</v>
      </c>
    </row>
    <row r="2111">
      <c r="A2111" s="5">
        <v>2110.0</v>
      </c>
      <c r="B2111" s="5" t="s">
        <v>61</v>
      </c>
      <c r="C2111" s="11">
        <v>3.842E9</v>
      </c>
      <c r="D2111" s="12" t="s">
        <v>241</v>
      </c>
      <c r="E2111" s="9" t="s">
        <v>64</v>
      </c>
      <c r="F2111" s="11">
        <v>8.382E9</v>
      </c>
    </row>
    <row r="2112">
      <c r="A2112" s="5">
        <v>2111.0</v>
      </c>
      <c r="B2112" s="5" t="s">
        <v>61</v>
      </c>
      <c r="C2112" s="11">
        <v>5.327E9</v>
      </c>
      <c r="D2112" s="12" t="s">
        <v>241</v>
      </c>
      <c r="E2112" s="9" t="s">
        <v>65</v>
      </c>
      <c r="F2112" s="11">
        <v>9.291E9</v>
      </c>
    </row>
    <row r="2113">
      <c r="A2113" s="5">
        <v>2112.0</v>
      </c>
      <c r="B2113" s="5" t="s">
        <v>61</v>
      </c>
      <c r="C2113" s="11">
        <v>6.209E9</v>
      </c>
      <c r="D2113" s="12" t="s">
        <v>241</v>
      </c>
      <c r="E2113" s="9" t="s">
        <v>66</v>
      </c>
      <c r="F2113" s="11">
        <v>1.0071E10</v>
      </c>
    </row>
    <row r="2114">
      <c r="A2114" s="5">
        <v>2113.0</v>
      </c>
      <c r="B2114" s="5" t="s">
        <v>61</v>
      </c>
      <c r="C2114" s="11">
        <v>7.536E9</v>
      </c>
      <c r="D2114" s="12" t="s">
        <v>241</v>
      </c>
      <c r="E2114" s="9" t="s">
        <v>67</v>
      </c>
      <c r="F2114" s="11">
        <v>1.1268E10</v>
      </c>
    </row>
    <row r="2115">
      <c r="A2115" s="5">
        <v>2114.0</v>
      </c>
      <c r="B2115" s="5" t="s">
        <v>61</v>
      </c>
      <c r="C2115" s="11">
        <v>9.066E9</v>
      </c>
      <c r="D2115" s="12" t="s">
        <v>241</v>
      </c>
      <c r="E2115" s="9" t="s">
        <v>68</v>
      </c>
      <c r="F2115" s="11">
        <v>1.3409E10</v>
      </c>
    </row>
    <row r="2116">
      <c r="A2116" s="5">
        <v>2115.0</v>
      </c>
      <c r="B2116" s="5" t="s">
        <v>61</v>
      </c>
      <c r="C2116" s="11">
        <v>1.0714E10</v>
      </c>
      <c r="D2116" s="12" t="s">
        <v>241</v>
      </c>
      <c r="E2116" s="9" t="s">
        <v>69</v>
      </c>
      <c r="F2116" s="11">
        <v>1.634E10</v>
      </c>
    </row>
    <row r="2117">
      <c r="A2117" s="5">
        <v>2116.0</v>
      </c>
      <c r="B2117" s="5" t="s">
        <v>61</v>
      </c>
      <c r="C2117" s="11">
        <v>9.403E9</v>
      </c>
      <c r="D2117" s="12" t="s">
        <v>241</v>
      </c>
      <c r="E2117" s="9" t="s">
        <v>70</v>
      </c>
      <c r="F2117" s="11">
        <v>1.5685E10</v>
      </c>
    </row>
    <row r="2118">
      <c r="A2118" s="5">
        <v>2117.0</v>
      </c>
      <c r="B2118" s="5" t="s">
        <v>61</v>
      </c>
      <c r="C2118" s="11">
        <v>1.4178E10</v>
      </c>
      <c r="D2118" s="12" t="s">
        <v>241</v>
      </c>
      <c r="E2118" s="9" t="s">
        <v>71</v>
      </c>
      <c r="F2118" s="11">
        <v>1.87E10</v>
      </c>
    </row>
    <row r="2119">
      <c r="A2119" s="5">
        <v>2118.0</v>
      </c>
      <c r="B2119" s="5" t="s">
        <v>61</v>
      </c>
      <c r="C2119" s="11">
        <v>1.8082E10</v>
      </c>
      <c r="D2119" s="12" t="s">
        <v>241</v>
      </c>
      <c r="E2119" s="9" t="s">
        <v>72</v>
      </c>
      <c r="F2119" s="11">
        <v>2.1437E10</v>
      </c>
    </row>
    <row r="2120">
      <c r="A2120" s="5">
        <v>2119.0</v>
      </c>
      <c r="B2120" s="5" t="s">
        <v>61</v>
      </c>
      <c r="C2120" s="11">
        <v>1.9261E10</v>
      </c>
      <c r="D2120" s="12" t="s">
        <v>241</v>
      </c>
      <c r="E2120" s="9" t="s">
        <v>73</v>
      </c>
      <c r="F2120" s="11">
        <v>2.2412E10</v>
      </c>
    </row>
    <row r="2121">
      <c r="A2121" s="5">
        <v>2120.0</v>
      </c>
      <c r="B2121" s="5" t="s">
        <v>84</v>
      </c>
      <c r="C2121" s="11">
        <v>5.11E8</v>
      </c>
      <c r="D2121" s="12" t="s">
        <v>242</v>
      </c>
      <c r="E2121" s="9" t="s">
        <v>60</v>
      </c>
      <c r="F2121" s="11">
        <v>1.27E8</v>
      </c>
    </row>
    <row r="2122">
      <c r="A2122" s="5">
        <v>2121.0</v>
      </c>
      <c r="B2122" s="5" t="s">
        <v>84</v>
      </c>
      <c r="C2122" s="11">
        <v>4.84E8</v>
      </c>
      <c r="D2122" s="12" t="s">
        <v>242</v>
      </c>
      <c r="E2122" s="9" t="s">
        <v>62</v>
      </c>
      <c r="F2122" s="11">
        <v>1.37E8</v>
      </c>
    </row>
    <row r="2123">
      <c r="A2123" s="5">
        <v>2122.0</v>
      </c>
      <c r="B2123" s="5" t="s">
        <v>84</v>
      </c>
      <c r="C2123" s="11">
        <v>4.89E8</v>
      </c>
      <c r="D2123" s="12" t="s">
        <v>242</v>
      </c>
      <c r="E2123" s="9" t="s">
        <v>63</v>
      </c>
      <c r="F2123" s="11">
        <v>1.4E8</v>
      </c>
    </row>
    <row r="2124">
      <c r="A2124" s="5">
        <v>2123.0</v>
      </c>
      <c r="B2124" s="5" t="s">
        <v>84</v>
      </c>
      <c r="C2124" s="11">
        <v>5.38E8</v>
      </c>
      <c r="D2124" s="12" t="s">
        <v>242</v>
      </c>
      <c r="E2124" s="9" t="s">
        <v>64</v>
      </c>
      <c r="F2124" s="11">
        <v>1.44E8</v>
      </c>
    </row>
    <row r="2125">
      <c r="A2125" s="5">
        <v>2124.0</v>
      </c>
      <c r="B2125" s="5" t="s">
        <v>84</v>
      </c>
      <c r="C2125" s="11">
        <v>6.26E8</v>
      </c>
      <c r="D2125" s="12" t="s">
        <v>242</v>
      </c>
      <c r="E2125" s="9" t="s">
        <v>65</v>
      </c>
      <c r="F2125" s="11">
        <v>8.0E7</v>
      </c>
    </row>
    <row r="2126">
      <c r="A2126" s="5">
        <v>2125.0</v>
      </c>
      <c r="B2126" s="5" t="s">
        <v>84</v>
      </c>
      <c r="C2126" s="11">
        <v>6.59E8</v>
      </c>
      <c r="D2126" s="12" t="s">
        <v>242</v>
      </c>
      <c r="E2126" s="9" t="s">
        <v>66</v>
      </c>
      <c r="F2126" s="11">
        <v>9.4E7</v>
      </c>
    </row>
    <row r="2127">
      <c r="A2127" s="5">
        <v>2126.0</v>
      </c>
      <c r="B2127" s="5" t="s">
        <v>84</v>
      </c>
      <c r="C2127" s="11">
        <v>6.51E8</v>
      </c>
      <c r="D2127" s="12" t="s">
        <v>242</v>
      </c>
      <c r="E2127" s="9" t="s">
        <v>67</v>
      </c>
      <c r="F2127" s="11">
        <v>8.6E7</v>
      </c>
    </row>
    <row r="2128">
      <c r="A2128" s="5">
        <v>2127.0</v>
      </c>
      <c r="B2128" s="5" t="s">
        <v>84</v>
      </c>
      <c r="C2128" s="11">
        <v>6.65E8</v>
      </c>
      <c r="D2128" s="12" t="s">
        <v>242</v>
      </c>
      <c r="E2128" s="9" t="s">
        <v>68</v>
      </c>
      <c r="F2128" s="11">
        <v>8.3E7</v>
      </c>
    </row>
    <row r="2129">
      <c r="A2129" s="5">
        <v>2128.0</v>
      </c>
      <c r="B2129" s="5" t="s">
        <v>84</v>
      </c>
      <c r="C2129" s="11">
        <v>6.67E8</v>
      </c>
      <c r="D2129" s="12" t="s">
        <v>242</v>
      </c>
      <c r="E2129" s="9" t="s">
        <v>69</v>
      </c>
      <c r="F2129" s="11">
        <v>8.8E7</v>
      </c>
    </row>
    <row r="2130">
      <c r="A2130" s="5">
        <v>2129.0</v>
      </c>
      <c r="B2130" s="5" t="s">
        <v>84</v>
      </c>
      <c r="C2130" s="11">
        <v>6.19E8</v>
      </c>
      <c r="D2130" s="12" t="s">
        <v>242</v>
      </c>
      <c r="E2130" s="9" t="s">
        <v>70</v>
      </c>
      <c r="F2130" s="11">
        <v>1.04E8</v>
      </c>
    </row>
    <row r="2131">
      <c r="A2131" s="5">
        <v>2130.0</v>
      </c>
      <c r="B2131" s="5" t="s">
        <v>84</v>
      </c>
      <c r="C2131" s="11">
        <v>6.81E8</v>
      </c>
      <c r="D2131" s="12" t="s">
        <v>242</v>
      </c>
      <c r="E2131" s="9" t="s">
        <v>71</v>
      </c>
      <c r="F2131" s="11">
        <v>1.05E8</v>
      </c>
    </row>
    <row r="2132">
      <c r="A2132" s="5">
        <v>2131.0</v>
      </c>
      <c r="B2132" s="5" t="s">
        <v>84</v>
      </c>
      <c r="C2132" s="11">
        <v>7.29E8</v>
      </c>
      <c r="D2132" s="12" t="s">
        <v>242</v>
      </c>
      <c r="E2132" s="9" t="s">
        <v>72</v>
      </c>
      <c r="F2132" s="11">
        <v>1.12E8</v>
      </c>
    </row>
    <row r="2133">
      <c r="A2133" s="5">
        <v>2132.0</v>
      </c>
      <c r="B2133" s="5" t="s">
        <v>84</v>
      </c>
      <c r="C2133" s="11">
        <v>8.54E8</v>
      </c>
      <c r="D2133" s="12" t="s">
        <v>242</v>
      </c>
      <c r="E2133" s="9" t="s">
        <v>73</v>
      </c>
      <c r="F2133" s="11">
        <v>1.2E8</v>
      </c>
    </row>
    <row r="2134">
      <c r="A2134" s="5">
        <v>2133.0</v>
      </c>
      <c r="B2134" s="5" t="s">
        <v>75</v>
      </c>
      <c r="C2134" s="11">
        <v>4.41E8</v>
      </c>
      <c r="D2134" s="12" t="s">
        <v>243</v>
      </c>
      <c r="E2134" s="9" t="s">
        <v>60</v>
      </c>
      <c r="F2134" s="11">
        <v>3.41E8</v>
      </c>
    </row>
    <row r="2135">
      <c r="A2135" s="5">
        <v>2134.0</v>
      </c>
      <c r="B2135" s="5" t="s">
        <v>75</v>
      </c>
      <c r="C2135" s="11">
        <v>6.49E8</v>
      </c>
      <c r="D2135" s="12" t="s">
        <v>243</v>
      </c>
      <c r="E2135" s="9" t="s">
        <v>62</v>
      </c>
      <c r="F2135" s="11">
        <v>3.4E8</v>
      </c>
    </row>
    <row r="2136">
      <c r="A2136" s="5">
        <v>2135.0</v>
      </c>
      <c r="B2136" s="5" t="s">
        <v>75</v>
      </c>
      <c r="C2136" s="11">
        <v>7.42E8</v>
      </c>
      <c r="D2136" s="12" t="s">
        <v>243</v>
      </c>
      <c r="E2136" s="9" t="s">
        <v>63</v>
      </c>
      <c r="F2136" s="11">
        <v>5.06E8</v>
      </c>
    </row>
    <row r="2137">
      <c r="A2137" s="5">
        <v>2136.0</v>
      </c>
      <c r="B2137" s="5" t="s">
        <v>75</v>
      </c>
      <c r="C2137" s="11">
        <v>8.76E8</v>
      </c>
      <c r="D2137" s="12" t="s">
        <v>243</v>
      </c>
      <c r="E2137" s="9" t="s">
        <v>64</v>
      </c>
      <c r="F2137" s="11">
        <v>6.62E8</v>
      </c>
    </row>
    <row r="2138">
      <c r="A2138" s="5">
        <v>2137.0</v>
      </c>
      <c r="B2138" s="5" t="s">
        <v>75</v>
      </c>
      <c r="C2138" s="11">
        <v>9.31E8</v>
      </c>
      <c r="D2138" s="12" t="s">
        <v>243</v>
      </c>
      <c r="E2138" s="9" t="s">
        <v>65</v>
      </c>
      <c r="F2138" s="11">
        <v>9.0E8</v>
      </c>
    </row>
    <row r="2139">
      <c r="A2139" s="5">
        <v>2138.0</v>
      </c>
      <c r="B2139" s="5" t="s">
        <v>75</v>
      </c>
      <c r="C2139" s="11">
        <v>1.282E9</v>
      </c>
      <c r="D2139" s="12" t="s">
        <v>243</v>
      </c>
      <c r="E2139" s="9" t="s">
        <v>66</v>
      </c>
      <c r="F2139" s="11">
        <v>1.122E9</v>
      </c>
    </row>
    <row r="2140">
      <c r="A2140" s="5">
        <v>2139.0</v>
      </c>
      <c r="B2140" s="5" t="s">
        <v>75</v>
      </c>
      <c r="C2140" s="11">
        <v>1.655E9</v>
      </c>
      <c r="D2140" s="12" t="s">
        <v>243</v>
      </c>
      <c r="E2140" s="9" t="s">
        <v>67</v>
      </c>
      <c r="F2140" s="11">
        <v>1.23E9</v>
      </c>
    </row>
    <row r="2141">
      <c r="A2141" s="5">
        <v>2140.0</v>
      </c>
      <c r="B2141" s="5" t="s">
        <v>75</v>
      </c>
      <c r="C2141" s="11">
        <v>2.352E9</v>
      </c>
      <c r="D2141" s="12" t="s">
        <v>243</v>
      </c>
      <c r="E2141" s="9" t="s">
        <v>68</v>
      </c>
      <c r="F2141" s="11">
        <v>1.825E9</v>
      </c>
    </row>
    <row r="2142">
      <c r="A2142" s="5">
        <v>2141.0</v>
      </c>
      <c r="B2142" s="5" t="s">
        <v>75</v>
      </c>
      <c r="C2142" s="11">
        <v>3.004E9</v>
      </c>
      <c r="D2142" s="12" t="s">
        <v>243</v>
      </c>
      <c r="E2142" s="9" t="s">
        <v>69</v>
      </c>
      <c r="F2142" s="11">
        <v>2.596E9</v>
      </c>
    </row>
    <row r="2143">
      <c r="A2143" s="5">
        <v>2142.0</v>
      </c>
      <c r="B2143" s="5" t="s">
        <v>75</v>
      </c>
      <c r="C2143" s="11">
        <v>2.539E9</v>
      </c>
      <c r="D2143" s="12" t="s">
        <v>243</v>
      </c>
      <c r="E2143" s="9" t="s">
        <v>70</v>
      </c>
      <c r="F2143" s="11">
        <v>2.249E9</v>
      </c>
    </row>
    <row r="2144">
      <c r="A2144" s="5">
        <v>2143.0</v>
      </c>
      <c r="B2144" s="5" t="s">
        <v>75</v>
      </c>
      <c r="C2144" s="11">
        <v>2.335E9</v>
      </c>
      <c r="D2144" s="12" t="s">
        <v>243</v>
      </c>
      <c r="E2144" s="9" t="s">
        <v>71</v>
      </c>
      <c r="F2144" s="11">
        <v>2.146E9</v>
      </c>
    </row>
    <row r="2145">
      <c r="A2145" s="5">
        <v>2144.0</v>
      </c>
      <c r="B2145" s="5" t="s">
        <v>75</v>
      </c>
      <c r="C2145" s="11">
        <v>2.514E9</v>
      </c>
      <c r="D2145" s="12" t="s">
        <v>243</v>
      </c>
      <c r="E2145" s="9" t="s">
        <v>72</v>
      </c>
      <c r="F2145" s="11">
        <v>2.449E9</v>
      </c>
    </row>
    <row r="2146">
      <c r="A2146" s="5">
        <v>2145.0</v>
      </c>
      <c r="B2146" s="5" t="s">
        <v>75</v>
      </c>
      <c r="C2146" s="11">
        <v>2.365E9</v>
      </c>
      <c r="D2146" s="12" t="s">
        <v>243</v>
      </c>
      <c r="E2146" s="9" t="s">
        <v>73</v>
      </c>
      <c r="F2146" s="11">
        <v>2.307E9</v>
      </c>
    </row>
    <row r="2147">
      <c r="A2147" s="5">
        <v>2146.0</v>
      </c>
      <c r="B2147" s="5" t="s">
        <v>75</v>
      </c>
      <c r="C2147" s="11">
        <v>1.016E9</v>
      </c>
      <c r="D2147" s="12" t="s">
        <v>244</v>
      </c>
      <c r="E2147" s="9" t="s">
        <v>60</v>
      </c>
      <c r="F2147" s="11">
        <v>5.44E8</v>
      </c>
    </row>
    <row r="2148">
      <c r="A2148" s="5">
        <v>2147.0</v>
      </c>
      <c r="B2148" s="5" t="s">
        <v>75</v>
      </c>
      <c r="C2148" s="11">
        <v>1.059E9</v>
      </c>
      <c r="D2148" s="12" t="s">
        <v>244</v>
      </c>
      <c r="E2148" s="9" t="s">
        <v>62</v>
      </c>
      <c r="F2148" s="11">
        <v>5.6E8</v>
      </c>
    </row>
    <row r="2149">
      <c r="A2149" s="5">
        <v>2148.0</v>
      </c>
      <c r="B2149" s="5" t="s">
        <v>75</v>
      </c>
      <c r="C2149" s="11">
        <v>1.152E9</v>
      </c>
      <c r="D2149" s="12" t="s">
        <v>244</v>
      </c>
      <c r="E2149" s="9" t="s">
        <v>63</v>
      </c>
      <c r="F2149" s="11">
        <v>6.47E8</v>
      </c>
    </row>
    <row r="2150">
      <c r="A2150" s="5">
        <v>2149.0</v>
      </c>
      <c r="B2150" s="5" t="s">
        <v>75</v>
      </c>
      <c r="C2150" s="11">
        <v>1.427E9</v>
      </c>
      <c r="D2150" s="12" t="s">
        <v>244</v>
      </c>
      <c r="E2150" s="9" t="s">
        <v>64</v>
      </c>
      <c r="F2150" s="11">
        <v>8.05E8</v>
      </c>
    </row>
    <row r="2151">
      <c r="A2151" s="5">
        <v>2150.0</v>
      </c>
      <c r="B2151" s="5" t="s">
        <v>75</v>
      </c>
      <c r="C2151" s="11">
        <v>1.725E9</v>
      </c>
      <c r="D2151" s="12" t="s">
        <v>244</v>
      </c>
      <c r="E2151" s="9" t="s">
        <v>65</v>
      </c>
      <c r="F2151" s="11">
        <v>9.37E8</v>
      </c>
    </row>
    <row r="2152">
      <c r="A2152" s="5">
        <v>2151.0</v>
      </c>
      <c r="B2152" s="5" t="s">
        <v>75</v>
      </c>
      <c r="C2152" s="11">
        <v>1.894E9</v>
      </c>
      <c r="D2152" s="12" t="s">
        <v>244</v>
      </c>
      <c r="E2152" s="9" t="s">
        <v>66</v>
      </c>
      <c r="F2152" s="11">
        <v>1.019E9</v>
      </c>
    </row>
    <row r="2153">
      <c r="A2153" s="5">
        <v>2152.0</v>
      </c>
      <c r="B2153" s="5" t="s">
        <v>75</v>
      </c>
      <c r="C2153" s="11">
        <v>2.074E9</v>
      </c>
      <c r="D2153" s="12" t="s">
        <v>244</v>
      </c>
      <c r="E2153" s="9" t="s">
        <v>67</v>
      </c>
      <c r="F2153" s="11">
        <v>1.058E9</v>
      </c>
    </row>
    <row r="2154">
      <c r="A2154" s="5">
        <v>2153.0</v>
      </c>
      <c r="B2154" s="5" t="s">
        <v>75</v>
      </c>
      <c r="C2154" s="11">
        <v>2.465E9</v>
      </c>
      <c r="D2154" s="12" t="s">
        <v>244</v>
      </c>
      <c r="E2154" s="9" t="s">
        <v>68</v>
      </c>
      <c r="F2154" s="11">
        <v>1.26E9</v>
      </c>
    </row>
    <row r="2155">
      <c r="A2155" s="5">
        <v>2154.0</v>
      </c>
      <c r="B2155" s="5" t="s">
        <v>75</v>
      </c>
      <c r="C2155" s="11">
        <v>2.954E9</v>
      </c>
      <c r="D2155" s="12" t="s">
        <v>244</v>
      </c>
      <c r="E2155" s="9" t="s">
        <v>69</v>
      </c>
      <c r="F2155" s="11">
        <v>1.61E9</v>
      </c>
    </row>
    <row r="2156">
      <c r="A2156" s="5">
        <v>2155.0</v>
      </c>
      <c r="B2156" s="5" t="s">
        <v>75</v>
      </c>
      <c r="C2156" s="11">
        <v>2.735E9</v>
      </c>
      <c r="D2156" s="12" t="s">
        <v>244</v>
      </c>
      <c r="E2156" s="9" t="s">
        <v>70</v>
      </c>
      <c r="F2156" s="11">
        <v>1.456E9</v>
      </c>
    </row>
    <row r="2157">
      <c r="A2157" s="5">
        <v>2156.0</v>
      </c>
      <c r="B2157" s="5" t="s">
        <v>75</v>
      </c>
      <c r="C2157" s="11">
        <v>2.721E9</v>
      </c>
      <c r="D2157" s="12" t="s">
        <v>244</v>
      </c>
      <c r="E2157" s="9" t="s">
        <v>71</v>
      </c>
      <c r="F2157" s="11">
        <v>1.377E9</v>
      </c>
    </row>
    <row r="2158">
      <c r="A2158" s="5">
        <v>2157.0</v>
      </c>
      <c r="B2158" s="5" t="s">
        <v>75</v>
      </c>
      <c r="C2158" s="11">
        <v>2.953E9</v>
      </c>
      <c r="D2158" s="12" t="s">
        <v>244</v>
      </c>
      <c r="E2158" s="9" t="s">
        <v>72</v>
      </c>
      <c r="F2158" s="11">
        <v>1.315E9</v>
      </c>
    </row>
    <row r="2159">
      <c r="A2159" s="5">
        <v>2158.0</v>
      </c>
      <c r="B2159" s="5" t="s">
        <v>75</v>
      </c>
      <c r="C2159" s="11">
        <v>2.841E9</v>
      </c>
      <c r="D2159" s="12" t="s">
        <v>244</v>
      </c>
      <c r="E2159" s="9" t="s">
        <v>73</v>
      </c>
      <c r="F2159" s="11">
        <v>1.085E9</v>
      </c>
    </row>
    <row r="2160">
      <c r="A2160" s="5">
        <v>2159.0</v>
      </c>
      <c r="B2160" s="5" t="s">
        <v>80</v>
      </c>
      <c r="C2160" s="11">
        <v>4000000.0</v>
      </c>
      <c r="D2160" s="12" t="s">
        <v>245</v>
      </c>
      <c r="E2160" s="9" t="s">
        <v>60</v>
      </c>
      <c r="F2160" s="11">
        <v>1.22E7</v>
      </c>
    </row>
    <row r="2161">
      <c r="A2161" s="5">
        <v>2160.0</v>
      </c>
      <c r="B2161" s="5" t="s">
        <v>80</v>
      </c>
      <c r="C2161" s="11">
        <v>8800000.0</v>
      </c>
      <c r="D2161" s="12" t="s">
        <v>245</v>
      </c>
      <c r="E2161" s="9" t="s">
        <v>62</v>
      </c>
      <c r="F2161" s="11">
        <v>1.05E7</v>
      </c>
    </row>
    <row r="2162">
      <c r="A2162" s="5">
        <v>2161.0</v>
      </c>
      <c r="B2162" s="5" t="s">
        <v>80</v>
      </c>
      <c r="C2162" s="11">
        <v>800000.0</v>
      </c>
      <c r="D2162" s="12" t="s">
        <v>245</v>
      </c>
      <c r="E2162" s="9" t="s">
        <v>63</v>
      </c>
      <c r="F2162" s="11">
        <v>8500000.0</v>
      </c>
    </row>
    <row r="2163">
      <c r="A2163" s="5">
        <v>2162.0</v>
      </c>
      <c r="B2163" s="5" t="s">
        <v>80</v>
      </c>
      <c r="C2163" s="11">
        <v>1600000.0</v>
      </c>
      <c r="D2163" s="12" t="s">
        <v>245</v>
      </c>
      <c r="E2163" s="9" t="s">
        <v>64</v>
      </c>
      <c r="F2163" s="11">
        <v>6400000.0</v>
      </c>
    </row>
    <row r="2164">
      <c r="A2164" s="5">
        <v>2163.0</v>
      </c>
      <c r="B2164" s="5" t="s">
        <v>80</v>
      </c>
      <c r="C2164" s="11">
        <v>3500000.0</v>
      </c>
      <c r="D2164" s="12" t="s">
        <v>245</v>
      </c>
      <c r="E2164" s="9" t="s">
        <v>65</v>
      </c>
      <c r="F2164" s="11">
        <v>1.23E7</v>
      </c>
    </row>
    <row r="2165">
      <c r="A2165" s="5">
        <v>2164.0</v>
      </c>
      <c r="B2165" s="5" t="s">
        <v>80</v>
      </c>
      <c r="C2165" s="11">
        <v>6400000.0</v>
      </c>
      <c r="D2165" s="12" t="s">
        <v>245</v>
      </c>
      <c r="E2165" s="9" t="s">
        <v>66</v>
      </c>
      <c r="F2165" s="11">
        <v>1.12E7</v>
      </c>
    </row>
    <row r="2166">
      <c r="A2166" s="5">
        <v>2165.0</v>
      </c>
      <c r="B2166" s="5" t="s">
        <v>80</v>
      </c>
      <c r="C2166" s="11">
        <v>3.53E7</v>
      </c>
      <c r="D2166" s="12" t="s">
        <v>245</v>
      </c>
      <c r="E2166" s="9" t="s">
        <v>67</v>
      </c>
      <c r="F2166" s="11">
        <v>2.65E7</v>
      </c>
    </row>
    <row r="2167">
      <c r="A2167" s="5">
        <v>2166.0</v>
      </c>
      <c r="B2167" s="5" t="s">
        <v>80</v>
      </c>
      <c r="C2167" s="11">
        <v>3.78E7</v>
      </c>
      <c r="D2167" s="12" t="s">
        <v>245</v>
      </c>
      <c r="E2167" s="9" t="s">
        <v>68</v>
      </c>
      <c r="F2167" s="11">
        <v>3.56E7</v>
      </c>
    </row>
    <row r="2168">
      <c r="A2168" s="5">
        <v>2167.0</v>
      </c>
      <c r="B2168" s="5" t="s">
        <v>80</v>
      </c>
      <c r="C2168" s="11">
        <v>4.06E7</v>
      </c>
      <c r="D2168" s="12" t="s">
        <v>245</v>
      </c>
      <c r="E2168" s="9" t="s">
        <v>69</v>
      </c>
      <c r="F2168" s="11">
        <v>4.05E7</v>
      </c>
    </row>
    <row r="2169">
      <c r="A2169" s="5">
        <v>2168.0</v>
      </c>
      <c r="B2169" s="5" t="s">
        <v>80</v>
      </c>
      <c r="C2169" s="11">
        <v>5.0E7</v>
      </c>
      <c r="D2169" s="12" t="s">
        <v>245</v>
      </c>
      <c r="E2169" s="9" t="s">
        <v>70</v>
      </c>
      <c r="F2169" s="11">
        <v>3.77E7</v>
      </c>
    </row>
    <row r="2170">
      <c r="A2170" s="5">
        <v>2169.0</v>
      </c>
      <c r="B2170" s="5" t="s">
        <v>80</v>
      </c>
      <c r="C2170" s="11">
        <v>6.54E7</v>
      </c>
      <c r="D2170" s="12" t="s">
        <v>245</v>
      </c>
      <c r="E2170" s="9" t="s">
        <v>71</v>
      </c>
      <c r="F2170" s="11">
        <v>5.12E7</v>
      </c>
    </row>
    <row r="2171">
      <c r="A2171" s="5">
        <v>2170.0</v>
      </c>
      <c r="B2171" s="5" t="s">
        <v>80</v>
      </c>
      <c r="C2171" s="11">
        <v>8.67E7</v>
      </c>
      <c r="D2171" s="12" t="s">
        <v>245</v>
      </c>
      <c r="E2171" s="9" t="s">
        <v>72</v>
      </c>
      <c r="F2171" s="11">
        <v>6.6E7</v>
      </c>
    </row>
    <row r="2172">
      <c r="A2172" s="5">
        <v>2171.0</v>
      </c>
      <c r="B2172" s="5" t="s">
        <v>80</v>
      </c>
      <c r="C2172" s="11">
        <v>6.69E7</v>
      </c>
      <c r="D2172" s="12" t="s">
        <v>245</v>
      </c>
      <c r="E2172" s="9" t="s">
        <v>73</v>
      </c>
      <c r="F2172" s="11">
        <v>6.8E7</v>
      </c>
    </row>
    <row r="2173">
      <c r="A2173" s="5">
        <v>2172.0</v>
      </c>
      <c r="B2173" s="5" t="s">
        <v>77</v>
      </c>
      <c r="C2173" s="8"/>
      <c r="D2173" s="12" t="s">
        <v>246</v>
      </c>
      <c r="E2173" s="9" t="s">
        <v>60</v>
      </c>
      <c r="F2173" s="8"/>
    </row>
    <row r="2174">
      <c r="A2174" s="5">
        <v>2173.0</v>
      </c>
      <c r="B2174" s="5" t="s">
        <v>77</v>
      </c>
      <c r="C2174" s="8"/>
      <c r="D2174" s="12" t="s">
        <v>246</v>
      </c>
      <c r="E2174" s="9" t="s">
        <v>62</v>
      </c>
      <c r="F2174" s="8"/>
    </row>
    <row r="2175">
      <c r="A2175" s="5">
        <v>2174.0</v>
      </c>
      <c r="B2175" s="5" t="s">
        <v>77</v>
      </c>
      <c r="C2175" s="8"/>
      <c r="D2175" s="12" t="s">
        <v>246</v>
      </c>
      <c r="E2175" s="9" t="s">
        <v>63</v>
      </c>
      <c r="F2175" s="8"/>
    </row>
    <row r="2176">
      <c r="A2176" s="5">
        <v>2175.0</v>
      </c>
      <c r="B2176" s="5" t="s">
        <v>77</v>
      </c>
      <c r="C2176" s="8"/>
      <c r="D2176" s="12" t="s">
        <v>246</v>
      </c>
      <c r="E2176" s="9" t="s">
        <v>64</v>
      </c>
      <c r="F2176" s="8"/>
    </row>
    <row r="2177">
      <c r="A2177" s="5">
        <v>2176.0</v>
      </c>
      <c r="B2177" s="5" t="s">
        <v>77</v>
      </c>
      <c r="C2177" s="8"/>
      <c r="D2177" s="12" t="s">
        <v>246</v>
      </c>
      <c r="E2177" s="9" t="s">
        <v>65</v>
      </c>
      <c r="F2177" s="8"/>
    </row>
    <row r="2178">
      <c r="A2178" s="5">
        <v>2177.0</v>
      </c>
      <c r="B2178" s="5" t="s">
        <v>77</v>
      </c>
      <c r="C2178" s="8"/>
      <c r="D2178" s="12" t="s">
        <v>246</v>
      </c>
      <c r="E2178" s="9" t="s">
        <v>66</v>
      </c>
      <c r="F2178" s="8"/>
    </row>
    <row r="2179">
      <c r="A2179" s="5">
        <v>2178.0</v>
      </c>
      <c r="B2179" s="5" t="s">
        <v>77</v>
      </c>
      <c r="C2179" s="8"/>
      <c r="D2179" s="12" t="s">
        <v>246</v>
      </c>
      <c r="E2179" s="9" t="s">
        <v>67</v>
      </c>
      <c r="F2179" s="8"/>
    </row>
    <row r="2180">
      <c r="A2180" s="5">
        <v>2179.0</v>
      </c>
      <c r="B2180" s="5" t="s">
        <v>77</v>
      </c>
      <c r="C2180" s="8"/>
      <c r="D2180" s="12" t="s">
        <v>246</v>
      </c>
      <c r="E2180" s="9" t="s">
        <v>68</v>
      </c>
      <c r="F2180" s="8"/>
    </row>
    <row r="2181">
      <c r="A2181" s="5">
        <v>2180.0</v>
      </c>
      <c r="B2181" s="5" t="s">
        <v>77</v>
      </c>
      <c r="C2181" s="8"/>
      <c r="D2181" s="12" t="s">
        <v>246</v>
      </c>
      <c r="E2181" s="9" t="s">
        <v>69</v>
      </c>
      <c r="F2181" s="8"/>
    </row>
    <row r="2182">
      <c r="A2182" s="5">
        <v>2181.0</v>
      </c>
      <c r="B2182" s="5" t="s">
        <v>77</v>
      </c>
      <c r="C2182" s="8"/>
      <c r="D2182" s="12" t="s">
        <v>246</v>
      </c>
      <c r="E2182" s="9" t="s">
        <v>70</v>
      </c>
      <c r="F2182" s="8"/>
    </row>
    <row r="2183">
      <c r="A2183" s="5">
        <v>2182.0</v>
      </c>
      <c r="B2183" s="5" t="s">
        <v>77</v>
      </c>
      <c r="C2183" s="8"/>
      <c r="D2183" s="12" t="s">
        <v>246</v>
      </c>
      <c r="E2183" s="9" t="s">
        <v>71</v>
      </c>
      <c r="F2183" s="8"/>
    </row>
    <row r="2184">
      <c r="A2184" s="5">
        <v>2183.0</v>
      </c>
      <c r="B2184" s="5" t="s">
        <v>77</v>
      </c>
      <c r="C2184" s="8"/>
      <c r="D2184" s="12" t="s">
        <v>246</v>
      </c>
      <c r="E2184" s="9" t="s">
        <v>72</v>
      </c>
      <c r="F2184" s="8"/>
    </row>
    <row r="2185">
      <c r="A2185" s="5">
        <v>2184.0</v>
      </c>
      <c r="B2185" s="5" t="s">
        <v>77</v>
      </c>
      <c r="C2185" s="8"/>
      <c r="D2185" s="12" t="s">
        <v>246</v>
      </c>
      <c r="E2185" s="9" t="s">
        <v>73</v>
      </c>
      <c r="F2185" s="8"/>
    </row>
    <row r="2186">
      <c r="A2186" s="5">
        <v>2185.0</v>
      </c>
      <c r="B2186" s="5" t="s">
        <v>77</v>
      </c>
      <c r="C2186" s="11">
        <v>3.338E9</v>
      </c>
      <c r="D2186" s="12" t="s">
        <v>247</v>
      </c>
      <c r="E2186" s="9" t="s">
        <v>60</v>
      </c>
      <c r="F2186" s="11">
        <v>2.684E9</v>
      </c>
    </row>
    <row r="2187">
      <c r="A2187" s="5">
        <v>2186.0</v>
      </c>
      <c r="B2187" s="5" t="s">
        <v>77</v>
      </c>
      <c r="C2187" s="11">
        <v>3.256E9</v>
      </c>
      <c r="D2187" s="12" t="s">
        <v>247</v>
      </c>
      <c r="E2187" s="9" t="s">
        <v>62</v>
      </c>
      <c r="F2187" s="11">
        <v>2.366E9</v>
      </c>
    </row>
    <row r="2188">
      <c r="A2188" s="5">
        <v>2187.0</v>
      </c>
      <c r="B2188" s="5" t="s">
        <v>77</v>
      </c>
      <c r="C2188" s="11">
        <v>3.695E9</v>
      </c>
      <c r="D2188" s="12" t="s">
        <v>247</v>
      </c>
      <c r="E2188" s="9" t="s">
        <v>63</v>
      </c>
      <c r="F2188" s="11">
        <v>2.251E9</v>
      </c>
    </row>
    <row r="2189">
      <c r="A2189" s="5">
        <v>2188.0</v>
      </c>
      <c r="B2189" s="5" t="s">
        <v>77</v>
      </c>
      <c r="C2189" s="11">
        <v>6.674E9</v>
      </c>
      <c r="D2189" s="12" t="s">
        <v>247</v>
      </c>
      <c r="E2189" s="9" t="s">
        <v>64</v>
      </c>
      <c r="F2189" s="11">
        <v>3.655E9</v>
      </c>
    </row>
    <row r="2190">
      <c r="A2190" s="5">
        <v>2189.0</v>
      </c>
      <c r="B2190" s="5" t="s">
        <v>77</v>
      </c>
      <c r="C2190" s="11">
        <v>7.571E9</v>
      </c>
      <c r="D2190" s="12" t="s">
        <v>247</v>
      </c>
      <c r="E2190" s="9" t="s">
        <v>65</v>
      </c>
      <c r="F2190" s="11">
        <v>4.237E9</v>
      </c>
    </row>
    <row r="2191">
      <c r="A2191" s="5">
        <v>2190.0</v>
      </c>
      <c r="B2191" s="5" t="s">
        <v>77</v>
      </c>
      <c r="C2191" s="11">
        <v>8.629E9</v>
      </c>
      <c r="D2191" s="12" t="s">
        <v>247</v>
      </c>
      <c r="E2191" s="9" t="s">
        <v>66</v>
      </c>
      <c r="F2191" s="11">
        <v>4.812E9</v>
      </c>
    </row>
    <row r="2192">
      <c r="A2192" s="5">
        <v>2191.0</v>
      </c>
      <c r="B2192" s="5" t="s">
        <v>77</v>
      </c>
      <c r="C2192" s="11">
        <v>9.211E9</v>
      </c>
      <c r="D2192" s="12" t="s">
        <v>247</v>
      </c>
      <c r="E2192" s="9" t="s">
        <v>67</v>
      </c>
      <c r="F2192" s="11">
        <v>5.23E9</v>
      </c>
    </row>
    <row r="2193">
      <c r="A2193" s="5">
        <v>2192.0</v>
      </c>
      <c r="B2193" s="5" t="s">
        <v>77</v>
      </c>
      <c r="C2193" s="11">
        <v>1.0226E10</v>
      </c>
      <c r="D2193" s="12" t="s">
        <v>247</v>
      </c>
      <c r="E2193" s="9" t="s">
        <v>68</v>
      </c>
      <c r="F2193" s="11">
        <v>6.103E9</v>
      </c>
    </row>
    <row r="2194">
      <c r="A2194" s="5">
        <v>2193.0</v>
      </c>
      <c r="B2194" s="5" t="s">
        <v>77</v>
      </c>
      <c r="C2194" s="11">
        <v>9.178E9</v>
      </c>
      <c r="D2194" s="12" t="s">
        <v>247</v>
      </c>
      <c r="E2194" s="9" t="s">
        <v>69</v>
      </c>
      <c r="F2194" s="11">
        <v>6.905E9</v>
      </c>
    </row>
    <row r="2195">
      <c r="A2195" s="5">
        <v>2194.0</v>
      </c>
      <c r="B2195" s="5" t="s">
        <v>77</v>
      </c>
      <c r="C2195" s="11">
        <v>8.684E9</v>
      </c>
      <c r="D2195" s="12" t="s">
        <v>247</v>
      </c>
      <c r="E2195" s="9" t="s">
        <v>70</v>
      </c>
      <c r="F2195" s="11">
        <v>6.42E9</v>
      </c>
    </row>
    <row r="2196">
      <c r="A2196" s="5">
        <v>2195.0</v>
      </c>
      <c r="B2196" s="5" t="s">
        <v>77</v>
      </c>
      <c r="C2196" s="11">
        <v>1.0308E10</v>
      </c>
      <c r="D2196" s="12" t="s">
        <v>247</v>
      </c>
      <c r="E2196" s="9" t="s">
        <v>71</v>
      </c>
      <c r="F2196" s="11">
        <v>8.139E9</v>
      </c>
    </row>
    <row r="2197">
      <c r="A2197" s="5">
        <v>2196.0</v>
      </c>
      <c r="B2197" s="5" t="s">
        <v>77</v>
      </c>
      <c r="C2197" s="11">
        <v>1.0707E10</v>
      </c>
      <c r="D2197" s="12" t="s">
        <v>247</v>
      </c>
      <c r="E2197" s="9" t="s">
        <v>72</v>
      </c>
      <c r="F2197" s="11">
        <v>8.397E9</v>
      </c>
    </row>
    <row r="2198">
      <c r="A2198" s="5">
        <v>2197.0</v>
      </c>
      <c r="B2198" s="5" t="s">
        <v>77</v>
      </c>
      <c r="C2198" s="11">
        <v>1.1201E10</v>
      </c>
      <c r="D2198" s="12" t="s">
        <v>247</v>
      </c>
      <c r="E2198" s="9" t="s">
        <v>73</v>
      </c>
      <c r="F2198" s="11">
        <v>7.144E9</v>
      </c>
    </row>
    <row r="2199">
      <c r="A2199" s="5">
        <v>2198.0</v>
      </c>
      <c r="B2199" s="5" t="s">
        <v>61</v>
      </c>
      <c r="C2199" s="11">
        <v>8.527E9</v>
      </c>
      <c r="D2199" s="12" t="s">
        <v>248</v>
      </c>
      <c r="E2199" s="9" t="s">
        <v>60</v>
      </c>
      <c r="F2199" s="11">
        <v>7.945E9</v>
      </c>
    </row>
    <row r="2200">
      <c r="A2200" s="5">
        <v>2199.0</v>
      </c>
      <c r="B2200" s="5" t="s">
        <v>61</v>
      </c>
      <c r="C2200" s="11">
        <v>7.919E9</v>
      </c>
      <c r="D2200" s="12" t="s">
        <v>248</v>
      </c>
      <c r="E2200" s="9" t="s">
        <v>62</v>
      </c>
      <c r="F2200" s="11">
        <v>8.349E9</v>
      </c>
    </row>
    <row r="2201">
      <c r="A2201" s="5">
        <v>2200.0</v>
      </c>
      <c r="B2201" s="5" t="s">
        <v>61</v>
      </c>
      <c r="C2201" s="11">
        <v>7.621E9</v>
      </c>
      <c r="D2201" s="12" t="s">
        <v>248</v>
      </c>
      <c r="E2201" s="9" t="s">
        <v>63</v>
      </c>
      <c r="F2201" s="11">
        <v>1.144E10</v>
      </c>
    </row>
    <row r="2202">
      <c r="A2202" s="5">
        <v>2201.0</v>
      </c>
      <c r="B2202" s="5" t="s">
        <v>61</v>
      </c>
      <c r="C2202" s="11">
        <v>7.005E9</v>
      </c>
      <c r="D2202" s="12" t="s">
        <v>248</v>
      </c>
      <c r="E2202" s="9" t="s">
        <v>64</v>
      </c>
      <c r="F2202" s="11">
        <v>1.1063E10</v>
      </c>
    </row>
    <row r="2203">
      <c r="A2203" s="5">
        <v>2202.0</v>
      </c>
      <c r="B2203" s="5" t="s">
        <v>61</v>
      </c>
      <c r="C2203" s="11">
        <v>8.226E9</v>
      </c>
      <c r="D2203" s="12" t="s">
        <v>248</v>
      </c>
      <c r="E2203" s="9" t="s">
        <v>65</v>
      </c>
      <c r="F2203" s="11">
        <v>1.3507E10</v>
      </c>
    </row>
    <row r="2204">
      <c r="A2204" s="5">
        <v>2203.0</v>
      </c>
      <c r="B2204" s="5" t="s">
        <v>61</v>
      </c>
      <c r="C2204" s="11">
        <v>8.29E9</v>
      </c>
      <c r="D2204" s="12" t="s">
        <v>248</v>
      </c>
      <c r="E2204" s="9" t="s">
        <v>66</v>
      </c>
      <c r="F2204" s="11">
        <v>1.6924E10</v>
      </c>
    </row>
    <row r="2205">
      <c r="A2205" s="5">
        <v>2204.0</v>
      </c>
      <c r="B2205" s="5" t="s">
        <v>61</v>
      </c>
      <c r="C2205" s="11">
        <v>8.508E9</v>
      </c>
      <c r="D2205" s="12" t="s">
        <v>248</v>
      </c>
      <c r="E2205" s="9" t="s">
        <v>67</v>
      </c>
      <c r="F2205" s="11">
        <v>2.0989E10</v>
      </c>
    </row>
    <row r="2206">
      <c r="A2206" s="5">
        <v>2205.0</v>
      </c>
      <c r="B2206" s="5" t="s">
        <v>61</v>
      </c>
      <c r="C2206" s="11">
        <v>9.288E9</v>
      </c>
      <c r="D2206" s="12" t="s">
        <v>248</v>
      </c>
      <c r="E2206" s="9" t="s">
        <v>68</v>
      </c>
      <c r="F2206" s="11">
        <v>2.4449E10</v>
      </c>
    </row>
    <row r="2207">
      <c r="A2207" s="5">
        <v>2206.0</v>
      </c>
      <c r="B2207" s="5" t="s">
        <v>61</v>
      </c>
      <c r="C2207" s="11">
        <v>1.3479E10</v>
      </c>
      <c r="D2207" s="12" t="s">
        <v>248</v>
      </c>
      <c r="E2207" s="9" t="s">
        <v>69</v>
      </c>
      <c r="F2207" s="11">
        <v>2.1456E10</v>
      </c>
    </row>
    <row r="2208">
      <c r="A2208" s="5">
        <v>2207.0</v>
      </c>
      <c r="B2208" s="5" t="s">
        <v>61</v>
      </c>
      <c r="C2208" s="11">
        <v>1.3304E10</v>
      </c>
      <c r="D2208" s="12" t="s">
        <v>248</v>
      </c>
      <c r="E2208" s="9" t="s">
        <v>70</v>
      </c>
      <c r="F2208" s="11">
        <v>1.636E10</v>
      </c>
    </row>
    <row r="2209">
      <c r="A2209" s="5">
        <v>2208.0</v>
      </c>
      <c r="B2209" s="5" t="s">
        <v>61</v>
      </c>
      <c r="C2209" s="11">
        <v>1.4398E10</v>
      </c>
      <c r="D2209" s="12" t="s">
        <v>248</v>
      </c>
      <c r="E2209" s="9" t="s">
        <v>71</v>
      </c>
      <c r="F2209" s="11">
        <v>2.0802E10</v>
      </c>
    </row>
    <row r="2210">
      <c r="A2210" s="5">
        <v>2209.0</v>
      </c>
      <c r="B2210" s="5" t="s">
        <v>61</v>
      </c>
      <c r="C2210" s="11">
        <v>1.7467E10</v>
      </c>
      <c r="D2210" s="12" t="s">
        <v>248</v>
      </c>
      <c r="E2210" s="9" t="s">
        <v>72</v>
      </c>
      <c r="F2210" s="11">
        <v>2.2209E10</v>
      </c>
    </row>
    <row r="2211">
      <c r="A2211" s="5">
        <v>2210.0</v>
      </c>
      <c r="B2211" s="5" t="s">
        <v>61</v>
      </c>
      <c r="C2211" s="11">
        <v>1.9653E10</v>
      </c>
      <c r="D2211" s="12" t="s">
        <v>248</v>
      </c>
      <c r="E2211" s="9" t="s">
        <v>73</v>
      </c>
      <c r="F2211" s="11">
        <v>2.2386E10</v>
      </c>
    </row>
    <row r="2212">
      <c r="A2212" s="5">
        <v>2211.0</v>
      </c>
      <c r="B2212" s="5" t="s">
        <v>77</v>
      </c>
      <c r="C2212" s="8"/>
      <c r="D2212" s="12" t="s">
        <v>249</v>
      </c>
      <c r="E2212" s="9" t="s">
        <v>60</v>
      </c>
      <c r="F2212" s="8"/>
    </row>
    <row r="2213">
      <c r="A2213" s="5">
        <v>2212.0</v>
      </c>
      <c r="B2213" s="5" t="s">
        <v>77</v>
      </c>
      <c r="C2213" s="8"/>
      <c r="D2213" s="12" t="s">
        <v>249</v>
      </c>
      <c r="E2213" s="9" t="s">
        <v>62</v>
      </c>
      <c r="F2213" s="8"/>
    </row>
    <row r="2214">
      <c r="A2214" s="5">
        <v>2213.0</v>
      </c>
      <c r="B2214" s="5" t="s">
        <v>77</v>
      </c>
      <c r="C2214" s="8"/>
      <c r="D2214" s="12" t="s">
        <v>249</v>
      </c>
      <c r="E2214" s="9" t="s">
        <v>63</v>
      </c>
      <c r="F2214" s="8"/>
    </row>
    <row r="2215">
      <c r="A2215" s="5">
        <v>2214.0</v>
      </c>
      <c r="B2215" s="5" t="s">
        <v>77</v>
      </c>
      <c r="C2215" s="8"/>
      <c r="D2215" s="12" t="s">
        <v>249</v>
      </c>
      <c r="E2215" s="9" t="s">
        <v>64</v>
      </c>
      <c r="F2215" s="8"/>
    </row>
    <row r="2216">
      <c r="A2216" s="5">
        <v>2215.0</v>
      </c>
      <c r="B2216" s="5" t="s">
        <v>77</v>
      </c>
      <c r="C2216" s="8"/>
      <c r="D2216" s="12" t="s">
        <v>249</v>
      </c>
      <c r="E2216" s="9" t="s">
        <v>65</v>
      </c>
      <c r="F2216" s="8"/>
    </row>
    <row r="2217">
      <c r="A2217" s="5">
        <v>2216.0</v>
      </c>
      <c r="B2217" s="5" t="s">
        <v>77</v>
      </c>
      <c r="C2217" s="8"/>
      <c r="D2217" s="12" t="s">
        <v>249</v>
      </c>
      <c r="E2217" s="9" t="s">
        <v>66</v>
      </c>
      <c r="F2217" s="8"/>
    </row>
    <row r="2218">
      <c r="A2218" s="5">
        <v>2217.0</v>
      </c>
      <c r="B2218" s="5" t="s">
        <v>77</v>
      </c>
      <c r="C2218" s="8"/>
      <c r="D2218" s="12" t="s">
        <v>249</v>
      </c>
      <c r="E2218" s="9" t="s">
        <v>67</v>
      </c>
      <c r="F2218" s="8"/>
    </row>
    <row r="2219">
      <c r="A2219" s="5">
        <v>2218.0</v>
      </c>
      <c r="B2219" s="5" t="s">
        <v>77</v>
      </c>
      <c r="C2219" s="8"/>
      <c r="D2219" s="12" t="s">
        <v>249</v>
      </c>
      <c r="E2219" s="9" t="s">
        <v>68</v>
      </c>
      <c r="F2219" s="8"/>
    </row>
    <row r="2220">
      <c r="A2220" s="5">
        <v>2219.0</v>
      </c>
      <c r="B2220" s="5" t="s">
        <v>77</v>
      </c>
      <c r="C2220" s="8"/>
      <c r="D2220" s="12" t="s">
        <v>249</v>
      </c>
      <c r="E2220" s="9" t="s">
        <v>69</v>
      </c>
      <c r="F2220" s="8"/>
    </row>
    <row r="2221">
      <c r="A2221" s="5">
        <v>2220.0</v>
      </c>
      <c r="B2221" s="5" t="s">
        <v>77</v>
      </c>
      <c r="C2221" s="8"/>
      <c r="D2221" s="12" t="s">
        <v>249</v>
      </c>
      <c r="E2221" s="9" t="s">
        <v>70</v>
      </c>
      <c r="F2221" s="8"/>
    </row>
    <row r="2222">
      <c r="A2222" s="5">
        <v>2221.0</v>
      </c>
      <c r="B2222" s="5" t="s">
        <v>77</v>
      </c>
      <c r="C2222" s="8"/>
      <c r="D2222" s="12" t="s">
        <v>249</v>
      </c>
      <c r="E2222" s="9" t="s">
        <v>71</v>
      </c>
      <c r="F2222" s="8"/>
    </row>
    <row r="2223">
      <c r="A2223" s="5">
        <v>2222.0</v>
      </c>
      <c r="B2223" s="5" t="s">
        <v>77</v>
      </c>
      <c r="C2223" s="8"/>
      <c r="D2223" s="12" t="s">
        <v>249</v>
      </c>
      <c r="E2223" s="9" t="s">
        <v>72</v>
      </c>
      <c r="F2223" s="8"/>
    </row>
    <row r="2224">
      <c r="A2224" s="5">
        <v>2223.0</v>
      </c>
      <c r="B2224" s="5" t="s">
        <v>77</v>
      </c>
      <c r="C2224" s="8"/>
      <c r="D2224" s="12" t="s">
        <v>249</v>
      </c>
      <c r="E2224" s="9" t="s">
        <v>73</v>
      </c>
      <c r="F2224" s="8"/>
    </row>
    <row r="2225">
      <c r="A2225" s="5">
        <v>2224.0</v>
      </c>
      <c r="B2225" s="5" t="s">
        <v>75</v>
      </c>
      <c r="C2225" s="11">
        <v>3.2656E10</v>
      </c>
      <c r="D2225" s="12" t="s">
        <v>250</v>
      </c>
      <c r="E2225" s="9" t="s">
        <v>60</v>
      </c>
      <c r="F2225" s="11">
        <v>7.71E9</v>
      </c>
    </row>
    <row r="2226">
      <c r="A2226" s="5">
        <v>2225.0</v>
      </c>
      <c r="B2226" s="5" t="s">
        <v>75</v>
      </c>
      <c r="C2226" s="11">
        <v>3.3829E10</v>
      </c>
      <c r="D2226" s="12" t="s">
        <v>250</v>
      </c>
      <c r="E2226" s="9" t="s">
        <v>62</v>
      </c>
      <c r="F2226" s="11">
        <v>8.466E9</v>
      </c>
    </row>
    <row r="2227">
      <c r="A2227" s="5">
        <v>2226.0</v>
      </c>
      <c r="B2227" s="5" t="s">
        <v>75</v>
      </c>
      <c r="C2227" s="11">
        <v>3.5468E10</v>
      </c>
      <c r="D2227" s="12" t="s">
        <v>250</v>
      </c>
      <c r="E2227" s="9" t="s">
        <v>63</v>
      </c>
      <c r="F2227" s="11">
        <v>9.366E9</v>
      </c>
    </row>
    <row r="2228">
      <c r="A2228" s="5">
        <v>2227.0</v>
      </c>
      <c r="B2228" s="5" t="s">
        <v>75</v>
      </c>
      <c r="C2228" s="11">
        <v>4.3863E10</v>
      </c>
      <c r="D2228" s="12" t="s">
        <v>250</v>
      </c>
      <c r="E2228" s="9" t="s">
        <v>64</v>
      </c>
      <c r="F2228" s="11">
        <v>1.133E10</v>
      </c>
    </row>
    <row r="2229">
      <c r="A2229" s="5">
        <v>2228.0</v>
      </c>
      <c r="B2229" s="5" t="s">
        <v>75</v>
      </c>
      <c r="C2229" s="11">
        <v>4.9996E10</v>
      </c>
      <c r="D2229" s="12" t="s">
        <v>250</v>
      </c>
      <c r="E2229" s="9" t="s">
        <v>65</v>
      </c>
      <c r="F2229" s="11">
        <v>1.4864E10</v>
      </c>
    </row>
    <row r="2230">
      <c r="A2230" s="5">
        <v>2229.0</v>
      </c>
      <c r="B2230" s="5" t="s">
        <v>75</v>
      </c>
      <c r="C2230" s="11">
        <v>5.3066E10</v>
      </c>
      <c r="D2230" s="12" t="s">
        <v>250</v>
      </c>
      <c r="E2230" s="9" t="s">
        <v>66</v>
      </c>
      <c r="F2230" s="11">
        <v>1.8441E10</v>
      </c>
    </row>
    <row r="2231">
      <c r="A2231" s="5">
        <v>2230.0</v>
      </c>
      <c r="B2231" s="5" t="s">
        <v>75</v>
      </c>
      <c r="C2231" s="11">
        <v>5.7543E10</v>
      </c>
      <c r="D2231" s="12" t="s">
        <v>250</v>
      </c>
      <c r="E2231" s="9" t="s">
        <v>67</v>
      </c>
      <c r="F2231" s="11">
        <v>2.0348E10</v>
      </c>
    </row>
    <row r="2232">
      <c r="A2232" s="5">
        <v>2231.0</v>
      </c>
      <c r="B2232" s="5" t="s">
        <v>75</v>
      </c>
      <c r="C2232" s="11">
        <v>6.502E10</v>
      </c>
      <c r="D2232" s="12" t="s">
        <v>250</v>
      </c>
      <c r="E2232" s="9" t="s">
        <v>68</v>
      </c>
      <c r="F2232" s="11">
        <v>2.4355E10</v>
      </c>
    </row>
    <row r="2233">
      <c r="A2233" s="5">
        <v>2232.0</v>
      </c>
      <c r="B2233" s="5" t="s">
        <v>75</v>
      </c>
      <c r="C2233" s="11">
        <v>7.0434E10</v>
      </c>
      <c r="D2233" s="12" t="s">
        <v>250</v>
      </c>
      <c r="E2233" s="9" t="s">
        <v>69</v>
      </c>
      <c r="F2233" s="11">
        <v>2.7157E10</v>
      </c>
    </row>
    <row r="2234">
      <c r="A2234" s="5">
        <v>2233.0</v>
      </c>
      <c r="B2234" s="5" t="s">
        <v>75</v>
      </c>
      <c r="C2234" s="11">
        <v>5.9743E10</v>
      </c>
      <c r="D2234" s="12" t="s">
        <v>250</v>
      </c>
      <c r="E2234" s="9" t="s">
        <v>70</v>
      </c>
      <c r="F2234" s="11">
        <v>2.2787E10</v>
      </c>
    </row>
    <row r="2235">
      <c r="A2235" s="5">
        <v>2234.0</v>
      </c>
      <c r="B2235" s="5" t="s">
        <v>75</v>
      </c>
      <c r="C2235" s="11">
        <v>5.9042E10</v>
      </c>
      <c r="D2235" s="12" t="s">
        <v>250</v>
      </c>
      <c r="E2235" s="9" t="s">
        <v>71</v>
      </c>
      <c r="F2235" s="11">
        <v>2.2733E10</v>
      </c>
    </row>
    <row r="2236">
      <c r="A2236" s="5">
        <v>2235.0</v>
      </c>
      <c r="B2236" s="5" t="s">
        <v>75</v>
      </c>
      <c r="C2236" s="11">
        <v>6.7698E10</v>
      </c>
      <c r="D2236" s="12" t="s">
        <v>250</v>
      </c>
      <c r="E2236" s="9" t="s">
        <v>72</v>
      </c>
      <c r="F2236" s="11">
        <v>2.3583E10</v>
      </c>
    </row>
    <row r="2237">
      <c r="A2237" s="5">
        <v>2236.0</v>
      </c>
      <c r="B2237" s="5" t="s">
        <v>75</v>
      </c>
      <c r="C2237" s="11">
        <v>6.3198E10</v>
      </c>
      <c r="D2237" s="12" t="s">
        <v>250</v>
      </c>
      <c r="E2237" s="9" t="s">
        <v>73</v>
      </c>
      <c r="F2237" s="11">
        <v>2.1749E10</v>
      </c>
    </row>
    <row r="2238">
      <c r="A2238" s="5">
        <v>2237.0</v>
      </c>
      <c r="B2238" s="5" t="s">
        <v>61</v>
      </c>
      <c r="C2238" s="11">
        <v>3.88E8</v>
      </c>
      <c r="D2238" s="12" t="s">
        <v>251</v>
      </c>
      <c r="E2238" s="9" t="s">
        <v>60</v>
      </c>
      <c r="F2238" s="11">
        <v>3.83E8</v>
      </c>
    </row>
    <row r="2239">
      <c r="A2239" s="5">
        <v>2238.0</v>
      </c>
      <c r="B2239" s="5" t="s">
        <v>61</v>
      </c>
      <c r="C2239" s="11">
        <v>3.47E8</v>
      </c>
      <c r="D2239" s="12" t="s">
        <v>251</v>
      </c>
      <c r="E2239" s="9" t="s">
        <v>62</v>
      </c>
      <c r="F2239" s="11">
        <v>4.02E8</v>
      </c>
    </row>
    <row r="2240">
      <c r="A2240" s="5">
        <v>2239.0</v>
      </c>
      <c r="B2240" s="5" t="s">
        <v>61</v>
      </c>
      <c r="C2240" s="11">
        <v>5.94E8</v>
      </c>
      <c r="D2240" s="12" t="s">
        <v>251</v>
      </c>
      <c r="E2240" s="9" t="s">
        <v>63</v>
      </c>
      <c r="F2240" s="11">
        <v>4.38E8</v>
      </c>
    </row>
    <row r="2241">
      <c r="A2241" s="5">
        <v>2240.0</v>
      </c>
      <c r="B2241" s="5" t="s">
        <v>61</v>
      </c>
      <c r="C2241" s="11">
        <v>7.09E8</v>
      </c>
      <c r="D2241" s="12" t="s">
        <v>251</v>
      </c>
      <c r="E2241" s="9" t="s">
        <v>64</v>
      </c>
      <c r="F2241" s="11">
        <v>4.62E8</v>
      </c>
    </row>
    <row r="2242">
      <c r="A2242" s="5">
        <v>2241.0</v>
      </c>
      <c r="B2242" s="5" t="s">
        <v>61</v>
      </c>
      <c r="C2242" s="11">
        <v>8.08E8</v>
      </c>
      <c r="D2242" s="12" t="s">
        <v>251</v>
      </c>
      <c r="E2242" s="9" t="s">
        <v>65</v>
      </c>
      <c r="F2242" s="11">
        <v>4.99E8</v>
      </c>
    </row>
    <row r="2243">
      <c r="A2243" s="5">
        <v>2242.0</v>
      </c>
      <c r="B2243" s="5" t="s">
        <v>61</v>
      </c>
      <c r="C2243" s="11">
        <v>7.29E8</v>
      </c>
      <c r="D2243" s="12" t="s">
        <v>251</v>
      </c>
      <c r="E2243" s="9" t="s">
        <v>66</v>
      </c>
      <c r="F2243" s="11">
        <v>5.52E8</v>
      </c>
    </row>
    <row r="2244">
      <c r="A2244" s="5">
        <v>2243.0</v>
      </c>
      <c r="B2244" s="5" t="s">
        <v>61</v>
      </c>
      <c r="C2244" s="11">
        <v>7.33E8</v>
      </c>
      <c r="D2244" s="12" t="s">
        <v>251</v>
      </c>
      <c r="E2244" s="9" t="s">
        <v>67</v>
      </c>
      <c r="F2244" s="11">
        <v>6.66E8</v>
      </c>
    </row>
    <row r="2245">
      <c r="A2245" s="5">
        <v>2244.0</v>
      </c>
      <c r="B2245" s="5" t="s">
        <v>61</v>
      </c>
      <c r="C2245" s="11">
        <v>7.5E8</v>
      </c>
      <c r="D2245" s="12" t="s">
        <v>251</v>
      </c>
      <c r="E2245" s="9" t="s">
        <v>68</v>
      </c>
      <c r="F2245" s="11">
        <v>7.09E8</v>
      </c>
    </row>
    <row r="2246">
      <c r="A2246" s="5">
        <v>2245.0</v>
      </c>
      <c r="B2246" s="5" t="s">
        <v>61</v>
      </c>
      <c r="C2246" s="11">
        <v>8.03E8</v>
      </c>
      <c r="D2246" s="12" t="s">
        <v>251</v>
      </c>
      <c r="E2246" s="9" t="s">
        <v>69</v>
      </c>
      <c r="F2246" s="11">
        <v>7.77E8</v>
      </c>
    </row>
    <row r="2247">
      <c r="A2247" s="5">
        <v>2246.0</v>
      </c>
      <c r="B2247" s="5" t="s">
        <v>61</v>
      </c>
      <c r="C2247" s="11">
        <v>7.54E8</v>
      </c>
      <c r="D2247" s="12" t="s">
        <v>251</v>
      </c>
      <c r="E2247" s="9" t="s">
        <v>70</v>
      </c>
      <c r="F2247" s="11">
        <v>7.35E8</v>
      </c>
    </row>
    <row r="2248">
      <c r="A2248" s="5">
        <v>2247.0</v>
      </c>
      <c r="B2248" s="5" t="s">
        <v>61</v>
      </c>
      <c r="C2248" s="11">
        <v>1.044E9</v>
      </c>
      <c r="D2248" s="12" t="s">
        <v>251</v>
      </c>
      <c r="E2248" s="9" t="s">
        <v>71</v>
      </c>
      <c r="F2248" s="11">
        <v>8.28E8</v>
      </c>
    </row>
    <row r="2249">
      <c r="A2249" s="5">
        <v>2248.0</v>
      </c>
      <c r="B2249" s="5" t="s">
        <v>61</v>
      </c>
      <c r="C2249" s="11">
        <v>1.421E9</v>
      </c>
      <c r="D2249" s="12" t="s">
        <v>251</v>
      </c>
      <c r="E2249" s="9" t="s">
        <v>72</v>
      </c>
      <c r="F2249" s="11">
        <v>9.26E8</v>
      </c>
    </row>
    <row r="2250">
      <c r="A2250" s="5">
        <v>2249.0</v>
      </c>
      <c r="B2250" s="5" t="s">
        <v>61</v>
      </c>
      <c r="C2250" s="11">
        <v>1.756E9</v>
      </c>
      <c r="D2250" s="12" t="s">
        <v>251</v>
      </c>
      <c r="E2250" s="9" t="s">
        <v>73</v>
      </c>
      <c r="F2250" s="11">
        <v>1.219E9</v>
      </c>
    </row>
    <row r="2251">
      <c r="A2251" s="5">
        <v>2250.0</v>
      </c>
      <c r="B2251" s="5" t="s">
        <v>84</v>
      </c>
      <c r="C2251" s="11">
        <v>5.8E7</v>
      </c>
      <c r="D2251" s="12" t="s">
        <v>252</v>
      </c>
      <c r="E2251" s="9" t="s">
        <v>60</v>
      </c>
      <c r="F2251" s="11">
        <v>9000000.0</v>
      </c>
    </row>
    <row r="2252">
      <c r="A2252" s="5">
        <v>2251.0</v>
      </c>
      <c r="B2252" s="5" t="s">
        <v>84</v>
      </c>
      <c r="C2252" s="11">
        <v>6.2E7</v>
      </c>
      <c r="D2252" s="12" t="s">
        <v>252</v>
      </c>
      <c r="E2252" s="9" t="s">
        <v>62</v>
      </c>
      <c r="F2252" s="11">
        <v>8000000.0</v>
      </c>
    </row>
    <row r="2253">
      <c r="A2253" s="5">
        <v>2252.0</v>
      </c>
      <c r="B2253" s="5" t="s">
        <v>84</v>
      </c>
      <c r="C2253" s="11">
        <v>5.7E7</v>
      </c>
      <c r="D2253" s="12" t="s">
        <v>252</v>
      </c>
      <c r="E2253" s="9" t="s">
        <v>63</v>
      </c>
      <c r="F2253" s="11">
        <v>8000000.0</v>
      </c>
    </row>
    <row r="2254">
      <c r="A2254" s="5">
        <v>2253.0</v>
      </c>
      <c r="B2254" s="5" t="s">
        <v>84</v>
      </c>
      <c r="C2254" s="11">
        <v>7.5E7</v>
      </c>
      <c r="D2254" s="12" t="s">
        <v>252</v>
      </c>
      <c r="E2254" s="9" t="s">
        <v>64</v>
      </c>
      <c r="F2254" s="11">
        <v>8000000.0</v>
      </c>
    </row>
    <row r="2255">
      <c r="A2255" s="5">
        <v>2254.0</v>
      </c>
      <c r="B2255" s="5" t="s">
        <v>84</v>
      </c>
      <c r="C2255" s="11">
        <v>1.03E8</v>
      </c>
      <c r="D2255" s="12" t="s">
        <v>252</v>
      </c>
      <c r="E2255" s="9" t="s">
        <v>65</v>
      </c>
      <c r="F2255" s="11">
        <v>1.0E7</v>
      </c>
    </row>
    <row r="2256">
      <c r="A2256" s="5">
        <v>2255.0</v>
      </c>
      <c r="B2256" s="5" t="s">
        <v>84</v>
      </c>
      <c r="C2256" s="11">
        <v>1.21E8</v>
      </c>
      <c r="D2256" s="12" t="s">
        <v>252</v>
      </c>
      <c r="E2256" s="9" t="s">
        <v>66</v>
      </c>
      <c r="F2256" s="11">
        <v>1.1E7</v>
      </c>
    </row>
    <row r="2257">
      <c r="A2257" s="5">
        <v>2256.0</v>
      </c>
      <c r="B2257" s="5" t="s">
        <v>84</v>
      </c>
      <c r="C2257" s="11">
        <v>1.32E8</v>
      </c>
      <c r="D2257" s="12" t="s">
        <v>252</v>
      </c>
      <c r="E2257" s="9" t="s">
        <v>67</v>
      </c>
      <c r="F2257" s="11">
        <v>1.4E7</v>
      </c>
    </row>
    <row r="2258">
      <c r="A2258" s="5">
        <v>2257.0</v>
      </c>
      <c r="B2258" s="5" t="s">
        <v>84</v>
      </c>
      <c r="C2258" s="11">
        <v>1.25E8</v>
      </c>
      <c r="D2258" s="12" t="s">
        <v>252</v>
      </c>
      <c r="E2258" s="9" t="s">
        <v>68</v>
      </c>
      <c r="F2258" s="11">
        <v>1.2E7</v>
      </c>
    </row>
    <row r="2259">
      <c r="A2259" s="5">
        <v>2258.0</v>
      </c>
      <c r="B2259" s="5" t="s">
        <v>84</v>
      </c>
      <c r="C2259" s="11">
        <v>1.1E8</v>
      </c>
      <c r="D2259" s="12" t="s">
        <v>252</v>
      </c>
      <c r="E2259" s="9" t="s">
        <v>69</v>
      </c>
      <c r="F2259" s="11">
        <v>1.5E7</v>
      </c>
    </row>
    <row r="2260">
      <c r="A2260" s="5">
        <v>2259.0</v>
      </c>
      <c r="B2260" s="5" t="s">
        <v>84</v>
      </c>
      <c r="C2260" s="11">
        <v>8.3E7</v>
      </c>
      <c r="D2260" s="12" t="s">
        <v>252</v>
      </c>
      <c r="E2260" s="9" t="s">
        <v>70</v>
      </c>
      <c r="F2260" s="11">
        <v>1.1E7</v>
      </c>
    </row>
    <row r="2261">
      <c r="A2261" s="5">
        <v>2260.0</v>
      </c>
      <c r="B2261" s="5" t="s">
        <v>84</v>
      </c>
      <c r="C2261" s="11">
        <v>9.0E7</v>
      </c>
      <c r="D2261" s="12" t="s">
        <v>252</v>
      </c>
      <c r="E2261" s="9" t="s">
        <v>71</v>
      </c>
      <c r="F2261" s="11">
        <v>1.3E7</v>
      </c>
    </row>
    <row r="2262">
      <c r="A2262" s="5">
        <v>2261.0</v>
      </c>
      <c r="B2262" s="5" t="s">
        <v>84</v>
      </c>
      <c r="C2262" s="11">
        <v>9.4E7</v>
      </c>
      <c r="D2262" s="12" t="s">
        <v>252</v>
      </c>
      <c r="E2262" s="9" t="s">
        <v>72</v>
      </c>
      <c r="F2262" s="11">
        <v>1.4E7</v>
      </c>
    </row>
    <row r="2263">
      <c r="A2263" s="5">
        <v>2262.0</v>
      </c>
      <c r="B2263" s="5" t="s">
        <v>84</v>
      </c>
      <c r="C2263" s="11">
        <v>9.4E7</v>
      </c>
      <c r="D2263" s="12" t="s">
        <v>252</v>
      </c>
      <c r="E2263" s="9" t="s">
        <v>73</v>
      </c>
      <c r="F2263" s="11">
        <v>1.4E7</v>
      </c>
    </row>
    <row r="2264">
      <c r="A2264" s="5">
        <v>2263.0</v>
      </c>
      <c r="B2264" s="5" t="s">
        <v>84</v>
      </c>
      <c r="C2264" s="11">
        <v>2.81E8</v>
      </c>
      <c r="D2264" s="12" t="s">
        <v>253</v>
      </c>
      <c r="E2264" s="9" t="s">
        <v>60</v>
      </c>
      <c r="F2264" s="11">
        <v>3.3E7</v>
      </c>
    </row>
    <row r="2265">
      <c r="A2265" s="5">
        <v>2264.0</v>
      </c>
      <c r="B2265" s="5" t="s">
        <v>84</v>
      </c>
      <c r="C2265" s="11">
        <v>2.33E8</v>
      </c>
      <c r="D2265" s="12" t="s">
        <v>253</v>
      </c>
      <c r="E2265" s="9" t="s">
        <v>62</v>
      </c>
      <c r="F2265" s="11">
        <v>3.2E7</v>
      </c>
    </row>
    <row r="2266">
      <c r="A2266" s="5">
        <v>2265.0</v>
      </c>
      <c r="B2266" s="5" t="s">
        <v>84</v>
      </c>
      <c r="C2266" s="11">
        <v>2.1E8</v>
      </c>
      <c r="D2266" s="12" t="s">
        <v>253</v>
      </c>
      <c r="E2266" s="9" t="s">
        <v>63</v>
      </c>
      <c r="F2266" s="11">
        <v>3.4E7</v>
      </c>
    </row>
    <row r="2267">
      <c r="A2267" s="5">
        <v>2266.0</v>
      </c>
      <c r="B2267" s="5" t="s">
        <v>84</v>
      </c>
      <c r="C2267" s="11">
        <v>2.82E8</v>
      </c>
      <c r="D2267" s="12" t="s">
        <v>253</v>
      </c>
      <c r="E2267" s="9" t="s">
        <v>64</v>
      </c>
      <c r="F2267" s="11">
        <v>3.6E7</v>
      </c>
    </row>
    <row r="2268">
      <c r="A2268" s="5">
        <v>2267.0</v>
      </c>
      <c r="B2268" s="5" t="s">
        <v>84</v>
      </c>
      <c r="C2268" s="11">
        <v>3.26E8</v>
      </c>
      <c r="D2268" s="12" t="s">
        <v>253</v>
      </c>
      <c r="E2268" s="9" t="s">
        <v>65</v>
      </c>
      <c r="F2268" s="11">
        <v>3.7E7</v>
      </c>
    </row>
    <row r="2269">
      <c r="A2269" s="5">
        <v>2268.0</v>
      </c>
      <c r="B2269" s="5" t="s">
        <v>84</v>
      </c>
      <c r="C2269" s="11">
        <v>3.82E8</v>
      </c>
      <c r="D2269" s="12" t="s">
        <v>253</v>
      </c>
      <c r="E2269" s="9" t="s">
        <v>66</v>
      </c>
      <c r="F2269" s="11">
        <v>3.9E7</v>
      </c>
    </row>
    <row r="2270">
      <c r="A2270" s="5">
        <v>2269.0</v>
      </c>
      <c r="B2270" s="5" t="s">
        <v>84</v>
      </c>
      <c r="C2270" s="11">
        <v>2.94E8</v>
      </c>
      <c r="D2270" s="12" t="s">
        <v>253</v>
      </c>
      <c r="E2270" s="9" t="s">
        <v>67</v>
      </c>
      <c r="F2270" s="11">
        <v>3.9E7</v>
      </c>
    </row>
    <row r="2271">
      <c r="A2271" s="5">
        <v>2270.0</v>
      </c>
      <c r="B2271" s="5" t="s">
        <v>84</v>
      </c>
      <c r="C2271" s="11">
        <v>3.02E8</v>
      </c>
      <c r="D2271" s="12" t="s">
        <v>253</v>
      </c>
      <c r="E2271" s="9" t="s">
        <v>68</v>
      </c>
      <c r="F2271" s="11">
        <v>4.2E7</v>
      </c>
    </row>
    <row r="2272">
      <c r="A2272" s="5">
        <v>2271.0</v>
      </c>
      <c r="B2272" s="5" t="s">
        <v>84</v>
      </c>
      <c r="C2272" s="11">
        <v>3.11E8</v>
      </c>
      <c r="D2272" s="12" t="s">
        <v>253</v>
      </c>
      <c r="E2272" s="9" t="s">
        <v>69</v>
      </c>
      <c r="F2272" s="11">
        <v>4.5E7</v>
      </c>
    </row>
    <row r="2273">
      <c r="A2273" s="5">
        <v>2272.0</v>
      </c>
      <c r="B2273" s="5" t="s">
        <v>84</v>
      </c>
      <c r="C2273" s="11">
        <v>2.96E8</v>
      </c>
      <c r="D2273" s="12" t="s">
        <v>253</v>
      </c>
      <c r="E2273" s="9" t="s">
        <v>70</v>
      </c>
      <c r="F2273" s="11">
        <v>4.7E7</v>
      </c>
    </row>
    <row r="2274">
      <c r="A2274" s="5">
        <v>2273.0</v>
      </c>
      <c r="B2274" s="5" t="s">
        <v>84</v>
      </c>
      <c r="C2274" s="11">
        <v>3.09E8</v>
      </c>
      <c r="D2274" s="12" t="s">
        <v>253</v>
      </c>
      <c r="E2274" s="9" t="s">
        <v>71</v>
      </c>
      <c r="F2274" s="11">
        <v>4.8E7</v>
      </c>
    </row>
    <row r="2275">
      <c r="A2275" s="5">
        <v>2274.0</v>
      </c>
      <c r="B2275" s="5" t="s">
        <v>84</v>
      </c>
      <c r="C2275" s="11">
        <v>3.21E8</v>
      </c>
      <c r="D2275" s="12" t="s">
        <v>253</v>
      </c>
      <c r="E2275" s="9" t="s">
        <v>72</v>
      </c>
      <c r="F2275" s="11">
        <v>4.8E7</v>
      </c>
    </row>
    <row r="2276">
      <c r="A2276" s="5">
        <v>2275.0</v>
      </c>
      <c r="B2276" s="5" t="s">
        <v>84</v>
      </c>
      <c r="C2276" s="11">
        <v>3.35E8</v>
      </c>
      <c r="D2276" s="12" t="s">
        <v>253</v>
      </c>
      <c r="E2276" s="9" t="s">
        <v>73</v>
      </c>
      <c r="F2276" s="11">
        <v>4.9E7</v>
      </c>
    </row>
    <row r="2277">
      <c r="A2277" s="5">
        <v>2276.0</v>
      </c>
      <c r="B2277" s="5" t="s">
        <v>84</v>
      </c>
      <c r="C2277" s="8"/>
      <c r="D2277" s="12" t="s">
        <v>254</v>
      </c>
      <c r="E2277" s="9" t="s">
        <v>60</v>
      </c>
      <c r="F2277" s="8"/>
    </row>
    <row r="2278">
      <c r="A2278" s="5">
        <v>2277.0</v>
      </c>
      <c r="B2278" s="5" t="s">
        <v>84</v>
      </c>
      <c r="C2278" s="8"/>
      <c r="D2278" s="12" t="s">
        <v>254</v>
      </c>
      <c r="E2278" s="9" t="s">
        <v>62</v>
      </c>
      <c r="F2278" s="8"/>
    </row>
    <row r="2279">
      <c r="A2279" s="5">
        <v>2278.0</v>
      </c>
      <c r="B2279" s="5" t="s">
        <v>84</v>
      </c>
      <c r="C2279" s="8"/>
      <c r="D2279" s="12" t="s">
        <v>254</v>
      </c>
      <c r="E2279" s="9" t="s">
        <v>63</v>
      </c>
      <c r="F2279" s="8"/>
    </row>
    <row r="2280">
      <c r="A2280" s="5">
        <v>2279.0</v>
      </c>
      <c r="B2280" s="5" t="s">
        <v>84</v>
      </c>
      <c r="C2280" s="8"/>
      <c r="D2280" s="12" t="s">
        <v>254</v>
      </c>
      <c r="E2280" s="9" t="s">
        <v>64</v>
      </c>
      <c r="F2280" s="8"/>
    </row>
    <row r="2281">
      <c r="A2281" s="5">
        <v>2280.0</v>
      </c>
      <c r="B2281" s="5" t="s">
        <v>84</v>
      </c>
      <c r="C2281" s="8"/>
      <c r="D2281" s="12" t="s">
        <v>254</v>
      </c>
      <c r="E2281" s="9" t="s">
        <v>65</v>
      </c>
      <c r="F2281" s="8"/>
    </row>
    <row r="2282">
      <c r="A2282" s="5">
        <v>2281.0</v>
      </c>
      <c r="B2282" s="5" t="s">
        <v>84</v>
      </c>
      <c r="C2282" s="8"/>
      <c r="D2282" s="12" t="s">
        <v>254</v>
      </c>
      <c r="E2282" s="9" t="s">
        <v>66</v>
      </c>
      <c r="F2282" s="8"/>
    </row>
    <row r="2283">
      <c r="A2283" s="5">
        <v>2282.0</v>
      </c>
      <c r="B2283" s="5" t="s">
        <v>84</v>
      </c>
      <c r="C2283" s="8"/>
      <c r="D2283" s="12" t="s">
        <v>254</v>
      </c>
      <c r="E2283" s="9" t="s">
        <v>67</v>
      </c>
      <c r="F2283" s="8"/>
    </row>
    <row r="2284">
      <c r="A2284" s="5">
        <v>2283.0</v>
      </c>
      <c r="B2284" s="5" t="s">
        <v>84</v>
      </c>
      <c r="C2284" s="8"/>
      <c r="D2284" s="12" t="s">
        <v>254</v>
      </c>
      <c r="E2284" s="9" t="s">
        <v>68</v>
      </c>
      <c r="F2284" s="8"/>
    </row>
    <row r="2285">
      <c r="A2285" s="5">
        <v>2284.0</v>
      </c>
      <c r="B2285" s="5" t="s">
        <v>84</v>
      </c>
      <c r="C2285" s="8"/>
      <c r="D2285" s="12" t="s">
        <v>254</v>
      </c>
      <c r="E2285" s="9" t="s">
        <v>69</v>
      </c>
      <c r="F2285" s="8"/>
    </row>
    <row r="2286">
      <c r="A2286" s="5">
        <v>2285.0</v>
      </c>
      <c r="B2286" s="5" t="s">
        <v>84</v>
      </c>
      <c r="C2286" s="8"/>
      <c r="D2286" s="12" t="s">
        <v>254</v>
      </c>
      <c r="E2286" s="9" t="s">
        <v>70</v>
      </c>
      <c r="F2286" s="8"/>
    </row>
    <row r="2287">
      <c r="A2287" s="5">
        <v>2286.0</v>
      </c>
      <c r="B2287" s="5" t="s">
        <v>84</v>
      </c>
      <c r="C2287" s="8"/>
      <c r="D2287" s="12" t="s">
        <v>254</v>
      </c>
      <c r="E2287" s="9" t="s">
        <v>71</v>
      </c>
      <c r="F2287" s="8"/>
    </row>
    <row r="2288">
      <c r="A2288" s="5">
        <v>2287.0</v>
      </c>
      <c r="B2288" s="5" t="s">
        <v>84</v>
      </c>
      <c r="C2288" s="8"/>
      <c r="D2288" s="12" t="s">
        <v>254</v>
      </c>
      <c r="E2288" s="9" t="s">
        <v>72</v>
      </c>
      <c r="F2288" s="8"/>
    </row>
    <row r="2289">
      <c r="A2289" s="5">
        <v>2288.0</v>
      </c>
      <c r="B2289" s="5" t="s">
        <v>84</v>
      </c>
      <c r="C2289" s="8"/>
      <c r="D2289" s="12" t="s">
        <v>254</v>
      </c>
      <c r="E2289" s="9" t="s">
        <v>73</v>
      </c>
      <c r="F2289" s="8"/>
    </row>
    <row r="2290">
      <c r="A2290" s="5">
        <v>2289.0</v>
      </c>
      <c r="B2290" s="5" t="s">
        <v>84</v>
      </c>
      <c r="C2290" s="11">
        <v>8.2E7</v>
      </c>
      <c r="D2290" s="12" t="s">
        <v>255</v>
      </c>
      <c r="E2290" s="9" t="s">
        <v>60</v>
      </c>
      <c r="F2290" s="11">
        <v>1.0E7</v>
      </c>
    </row>
    <row r="2291">
      <c r="A2291" s="5">
        <v>2290.0</v>
      </c>
      <c r="B2291" s="5" t="s">
        <v>84</v>
      </c>
      <c r="C2291" s="11">
        <v>8.9E7</v>
      </c>
      <c r="D2291" s="12" t="s">
        <v>255</v>
      </c>
      <c r="E2291" s="9" t="s">
        <v>62</v>
      </c>
      <c r="F2291" s="11">
        <v>1.2E7</v>
      </c>
    </row>
    <row r="2292">
      <c r="A2292" s="5">
        <v>2291.0</v>
      </c>
      <c r="B2292" s="5" t="s">
        <v>84</v>
      </c>
      <c r="C2292" s="11">
        <v>9.1E7</v>
      </c>
      <c r="D2292" s="12" t="s">
        <v>255</v>
      </c>
      <c r="E2292" s="9" t="s">
        <v>63</v>
      </c>
      <c r="F2292" s="11">
        <v>1.0E7</v>
      </c>
    </row>
    <row r="2293">
      <c r="A2293" s="5">
        <v>2292.0</v>
      </c>
      <c r="B2293" s="5" t="s">
        <v>84</v>
      </c>
      <c r="C2293" s="11">
        <v>9.1E7</v>
      </c>
      <c r="D2293" s="12" t="s">
        <v>255</v>
      </c>
      <c r="E2293" s="9" t="s">
        <v>64</v>
      </c>
      <c r="F2293" s="11">
        <v>1.3E7</v>
      </c>
    </row>
    <row r="2294">
      <c r="A2294" s="5">
        <v>2293.0</v>
      </c>
      <c r="B2294" s="5" t="s">
        <v>84</v>
      </c>
      <c r="C2294" s="11">
        <v>9.6E7</v>
      </c>
      <c r="D2294" s="12" t="s">
        <v>255</v>
      </c>
      <c r="E2294" s="9" t="s">
        <v>65</v>
      </c>
      <c r="F2294" s="11">
        <v>1.4E7</v>
      </c>
    </row>
    <row r="2295">
      <c r="A2295" s="5">
        <v>2294.0</v>
      </c>
      <c r="B2295" s="5" t="s">
        <v>84</v>
      </c>
      <c r="C2295" s="11">
        <v>1.04E8</v>
      </c>
      <c r="D2295" s="12" t="s">
        <v>255</v>
      </c>
      <c r="E2295" s="9" t="s">
        <v>66</v>
      </c>
      <c r="F2295" s="11">
        <v>1.5E7</v>
      </c>
    </row>
    <row r="2296">
      <c r="A2296" s="5">
        <v>2295.0</v>
      </c>
      <c r="B2296" s="5" t="s">
        <v>84</v>
      </c>
      <c r="C2296" s="11">
        <v>1.13E8</v>
      </c>
      <c r="D2296" s="12" t="s">
        <v>255</v>
      </c>
      <c r="E2296" s="9" t="s">
        <v>67</v>
      </c>
      <c r="F2296" s="11">
        <v>1.6E7</v>
      </c>
    </row>
    <row r="2297">
      <c r="A2297" s="5">
        <v>2296.0</v>
      </c>
      <c r="B2297" s="5" t="s">
        <v>84</v>
      </c>
      <c r="C2297" s="11">
        <v>1.1E8</v>
      </c>
      <c r="D2297" s="12" t="s">
        <v>255</v>
      </c>
      <c r="E2297" s="9" t="s">
        <v>68</v>
      </c>
      <c r="F2297" s="11">
        <v>2.0E7</v>
      </c>
    </row>
    <row r="2298">
      <c r="A2298" s="5">
        <v>2297.0</v>
      </c>
      <c r="B2298" s="5" t="s">
        <v>84</v>
      </c>
      <c r="C2298" s="11">
        <v>9.6E7</v>
      </c>
      <c r="D2298" s="12" t="s">
        <v>255</v>
      </c>
      <c r="E2298" s="9" t="s">
        <v>69</v>
      </c>
      <c r="F2298" s="11">
        <v>1.8E7</v>
      </c>
    </row>
    <row r="2299">
      <c r="A2299" s="5">
        <v>2298.0</v>
      </c>
      <c r="B2299" s="5" t="s">
        <v>84</v>
      </c>
      <c r="C2299" s="11">
        <v>8.8E7</v>
      </c>
      <c r="D2299" s="12" t="s">
        <v>255</v>
      </c>
      <c r="E2299" s="9" t="s">
        <v>70</v>
      </c>
      <c r="F2299" s="11">
        <v>1.4E7</v>
      </c>
    </row>
    <row r="2300">
      <c r="A2300" s="5">
        <v>2299.0</v>
      </c>
      <c r="B2300" s="5" t="s">
        <v>84</v>
      </c>
      <c r="C2300" s="11">
        <v>8.6E7</v>
      </c>
      <c r="D2300" s="12" t="s">
        <v>255</v>
      </c>
      <c r="E2300" s="9" t="s">
        <v>71</v>
      </c>
      <c r="F2300" s="11">
        <v>1.5E7</v>
      </c>
    </row>
    <row r="2301">
      <c r="A2301" s="5">
        <v>2300.0</v>
      </c>
      <c r="B2301" s="5" t="s">
        <v>84</v>
      </c>
      <c r="C2301" s="11">
        <v>9.2E7</v>
      </c>
      <c r="D2301" s="12" t="s">
        <v>255</v>
      </c>
      <c r="E2301" s="9" t="s">
        <v>72</v>
      </c>
      <c r="F2301" s="11">
        <v>1.3E7</v>
      </c>
    </row>
    <row r="2302">
      <c r="A2302" s="5">
        <v>2301.0</v>
      </c>
      <c r="B2302" s="5" t="s">
        <v>84</v>
      </c>
      <c r="C2302" s="11">
        <v>9.3E7</v>
      </c>
      <c r="D2302" s="12" t="s">
        <v>255</v>
      </c>
      <c r="E2302" s="9" t="s">
        <v>73</v>
      </c>
      <c r="F2302" s="11">
        <v>1.4E7</v>
      </c>
    </row>
    <row r="2303">
      <c r="A2303" s="5">
        <v>2302.0</v>
      </c>
      <c r="B2303" s="5" t="s">
        <v>77</v>
      </c>
      <c r="C2303" s="11">
        <v>5000000.0</v>
      </c>
      <c r="D2303" s="12" t="s">
        <v>256</v>
      </c>
      <c r="E2303" s="9" t="s">
        <v>60</v>
      </c>
      <c r="F2303" s="11">
        <v>5.5E7</v>
      </c>
    </row>
    <row r="2304">
      <c r="A2304" s="5">
        <v>2303.0</v>
      </c>
      <c r="B2304" s="5" t="s">
        <v>77</v>
      </c>
      <c r="C2304" s="11">
        <v>3000000.0</v>
      </c>
      <c r="D2304" s="12" t="s">
        <v>256</v>
      </c>
      <c r="E2304" s="9" t="s">
        <v>62</v>
      </c>
      <c r="F2304" s="11">
        <v>7.4E7</v>
      </c>
    </row>
    <row r="2305">
      <c r="A2305" s="5">
        <v>2304.0</v>
      </c>
      <c r="B2305" s="5" t="s">
        <v>77</v>
      </c>
      <c r="C2305" s="11">
        <v>1.08E8</v>
      </c>
      <c r="D2305" s="12" t="s">
        <v>256</v>
      </c>
      <c r="E2305" s="9" t="s">
        <v>63</v>
      </c>
      <c r="F2305" s="11">
        <v>9.1E7</v>
      </c>
    </row>
    <row r="2306">
      <c r="A2306" s="5">
        <v>2305.0</v>
      </c>
      <c r="B2306" s="5" t="s">
        <v>77</v>
      </c>
      <c r="C2306" s="11">
        <v>1.7E7</v>
      </c>
      <c r="D2306" s="12" t="s">
        <v>256</v>
      </c>
      <c r="E2306" s="9" t="s">
        <v>64</v>
      </c>
      <c r="F2306" s="11">
        <v>1.19E8</v>
      </c>
    </row>
    <row r="2307">
      <c r="A2307" s="5">
        <v>2306.0</v>
      </c>
      <c r="B2307" s="5" t="s">
        <v>77</v>
      </c>
      <c r="C2307" s="11">
        <v>2.1E7</v>
      </c>
      <c r="D2307" s="12" t="s">
        <v>256</v>
      </c>
      <c r="E2307" s="9" t="s">
        <v>65</v>
      </c>
      <c r="F2307" s="11">
        <v>1.76E8</v>
      </c>
    </row>
    <row r="2308">
      <c r="A2308" s="5">
        <v>2307.0</v>
      </c>
      <c r="B2308" s="5" t="s">
        <v>77</v>
      </c>
      <c r="C2308" s="11">
        <v>1.5E8</v>
      </c>
      <c r="D2308" s="12" t="s">
        <v>256</v>
      </c>
      <c r="E2308" s="9" t="s">
        <v>66</v>
      </c>
      <c r="F2308" s="11">
        <v>6.67E8</v>
      </c>
    </row>
    <row r="2309">
      <c r="A2309" s="5">
        <v>2308.0</v>
      </c>
      <c r="B2309" s="5" t="s">
        <v>77</v>
      </c>
      <c r="C2309" s="11">
        <v>2.52E8</v>
      </c>
      <c r="D2309" s="12" t="s">
        <v>256</v>
      </c>
      <c r="E2309" s="9" t="s">
        <v>67</v>
      </c>
      <c r="F2309" s="11">
        <v>1.414E9</v>
      </c>
    </row>
    <row r="2310">
      <c r="A2310" s="5">
        <v>2309.0</v>
      </c>
      <c r="B2310" s="5" t="s">
        <v>77</v>
      </c>
      <c r="C2310" s="11">
        <v>2.62E8</v>
      </c>
      <c r="D2310" s="12" t="s">
        <v>256</v>
      </c>
      <c r="E2310" s="9" t="s">
        <v>68</v>
      </c>
      <c r="F2310" s="11">
        <v>1.477E9</v>
      </c>
    </row>
    <row r="2311">
      <c r="A2311" s="5">
        <v>2310.0</v>
      </c>
      <c r="B2311" s="5" t="s">
        <v>77</v>
      </c>
      <c r="C2311" s="11">
        <v>3.31E8</v>
      </c>
      <c r="D2311" s="12" t="s">
        <v>256</v>
      </c>
      <c r="E2311" s="9" t="s">
        <v>69</v>
      </c>
      <c r="F2311" s="11">
        <v>1.188E9</v>
      </c>
    </row>
    <row r="2312">
      <c r="A2312" s="5">
        <v>2311.0</v>
      </c>
      <c r="B2312" s="5" t="s">
        <v>77</v>
      </c>
      <c r="C2312" s="11">
        <v>2.99E8</v>
      </c>
      <c r="D2312" s="12" t="s">
        <v>256</v>
      </c>
      <c r="E2312" s="9" t="s">
        <v>70</v>
      </c>
      <c r="F2312" s="11">
        <v>8.68E8</v>
      </c>
    </row>
    <row r="2313">
      <c r="A2313" s="5">
        <v>2312.0</v>
      </c>
      <c r="B2313" s="5" t="s">
        <v>77</v>
      </c>
      <c r="C2313" s="11">
        <v>9.4E7</v>
      </c>
      <c r="D2313" s="12" t="s">
        <v>256</v>
      </c>
      <c r="E2313" s="9" t="s">
        <v>71</v>
      </c>
      <c r="F2313" s="11">
        <v>1.116E9</v>
      </c>
    </row>
    <row r="2314">
      <c r="A2314" s="5">
        <v>2313.0</v>
      </c>
      <c r="B2314" s="5" t="s">
        <v>77</v>
      </c>
      <c r="C2314" s="11">
        <v>1.85E8</v>
      </c>
      <c r="D2314" s="12" t="s">
        <v>256</v>
      </c>
      <c r="E2314" s="9" t="s">
        <v>72</v>
      </c>
      <c r="F2314" s="11">
        <v>9.37E8</v>
      </c>
    </row>
    <row r="2315">
      <c r="A2315" s="5">
        <v>2314.0</v>
      </c>
      <c r="B2315" s="5" t="s">
        <v>77</v>
      </c>
      <c r="C2315" s="11">
        <v>8.8E8</v>
      </c>
      <c r="D2315" s="12" t="s">
        <v>256</v>
      </c>
      <c r="E2315" s="9" t="s">
        <v>73</v>
      </c>
      <c r="F2315" s="11">
        <v>9.08E8</v>
      </c>
    </row>
    <row r="2316">
      <c r="A2316" s="5">
        <v>2315.0</v>
      </c>
      <c r="B2316" s="5" t="s">
        <v>84</v>
      </c>
      <c r="C2316" s="11">
        <v>4.2E7</v>
      </c>
      <c r="D2316" s="12" t="s">
        <v>257</v>
      </c>
      <c r="E2316" s="9" t="s">
        <v>60</v>
      </c>
      <c r="F2316" s="11">
        <v>6.7E7</v>
      </c>
    </row>
    <row r="2317">
      <c r="A2317" s="5">
        <v>2316.0</v>
      </c>
      <c r="B2317" s="5" t="s">
        <v>84</v>
      </c>
      <c r="C2317" s="11">
        <v>2.6E7</v>
      </c>
      <c r="D2317" s="12" t="s">
        <v>257</v>
      </c>
      <c r="E2317" s="9" t="s">
        <v>62</v>
      </c>
      <c r="F2317" s="11">
        <v>6.2E7</v>
      </c>
    </row>
    <row r="2318">
      <c r="A2318" s="5">
        <v>2317.0</v>
      </c>
      <c r="B2318" s="5" t="s">
        <v>84</v>
      </c>
      <c r="C2318" s="11">
        <v>1.7E7</v>
      </c>
      <c r="D2318" s="12" t="s">
        <v>257</v>
      </c>
      <c r="E2318" s="9" t="s">
        <v>63</v>
      </c>
      <c r="F2318" s="11">
        <v>5.4E7</v>
      </c>
    </row>
    <row r="2319">
      <c r="A2319" s="5">
        <v>2318.0</v>
      </c>
      <c r="B2319" s="5" t="s">
        <v>84</v>
      </c>
      <c r="C2319" s="11">
        <v>1.8E7</v>
      </c>
      <c r="D2319" s="12" t="s">
        <v>257</v>
      </c>
      <c r="E2319" s="9" t="s">
        <v>64</v>
      </c>
      <c r="F2319" s="11">
        <v>6.8E7</v>
      </c>
    </row>
    <row r="2320">
      <c r="A2320" s="5">
        <v>2319.0</v>
      </c>
      <c r="B2320" s="5" t="s">
        <v>84</v>
      </c>
      <c r="C2320" s="11">
        <v>5.2E7</v>
      </c>
      <c r="D2320" s="12" t="s">
        <v>257</v>
      </c>
      <c r="E2320" s="9" t="s">
        <v>65</v>
      </c>
      <c r="F2320" s="11">
        <v>8.5E7</v>
      </c>
    </row>
    <row r="2321">
      <c r="A2321" s="5">
        <v>2320.0</v>
      </c>
      <c r="B2321" s="5" t="s">
        <v>84</v>
      </c>
      <c r="C2321" s="11">
        <v>9.6E7</v>
      </c>
      <c r="D2321" s="12" t="s">
        <v>257</v>
      </c>
      <c r="E2321" s="9" t="s">
        <v>66</v>
      </c>
      <c r="F2321" s="11">
        <v>9.4E7</v>
      </c>
    </row>
    <row r="2322">
      <c r="A2322" s="5">
        <v>2321.0</v>
      </c>
      <c r="B2322" s="5" t="s">
        <v>84</v>
      </c>
      <c r="C2322" s="11">
        <v>1.09E8</v>
      </c>
      <c r="D2322" s="12" t="s">
        <v>257</v>
      </c>
      <c r="E2322" s="9" t="s">
        <v>67</v>
      </c>
      <c r="F2322" s="11">
        <v>3.3E7</v>
      </c>
    </row>
    <row r="2323">
      <c r="A2323" s="5">
        <v>2322.0</v>
      </c>
      <c r="B2323" s="5" t="s">
        <v>84</v>
      </c>
      <c r="C2323" s="11">
        <v>7.3E7</v>
      </c>
      <c r="D2323" s="12" t="s">
        <v>257</v>
      </c>
      <c r="E2323" s="9" t="s">
        <v>68</v>
      </c>
      <c r="F2323" s="11">
        <v>2.8E7</v>
      </c>
    </row>
    <row r="2324">
      <c r="A2324" s="5">
        <v>2323.0</v>
      </c>
      <c r="B2324" s="5" t="s">
        <v>84</v>
      </c>
      <c r="C2324" s="11">
        <v>8.3E7</v>
      </c>
      <c r="D2324" s="12" t="s">
        <v>257</v>
      </c>
      <c r="E2324" s="9" t="s">
        <v>69</v>
      </c>
      <c r="F2324" s="11">
        <v>3.5E7</v>
      </c>
    </row>
    <row r="2325">
      <c r="A2325" s="5">
        <v>2324.0</v>
      </c>
      <c r="B2325" s="5" t="s">
        <v>84</v>
      </c>
      <c r="C2325" s="11">
        <v>7.0E7</v>
      </c>
      <c r="D2325" s="12" t="s">
        <v>257</v>
      </c>
      <c r="E2325" s="9" t="s">
        <v>70</v>
      </c>
      <c r="F2325" s="11">
        <v>3.5E7</v>
      </c>
    </row>
    <row r="2326">
      <c r="A2326" s="5">
        <v>2325.0</v>
      </c>
      <c r="B2326" s="5" t="s">
        <v>84</v>
      </c>
      <c r="C2326" s="11">
        <v>6.9E7</v>
      </c>
      <c r="D2326" s="12" t="s">
        <v>257</v>
      </c>
      <c r="E2326" s="9" t="s">
        <v>71</v>
      </c>
      <c r="F2326" s="11">
        <v>4.1E7</v>
      </c>
    </row>
    <row r="2327">
      <c r="A2327" s="5">
        <v>2326.0</v>
      </c>
      <c r="B2327" s="5" t="s">
        <v>84</v>
      </c>
      <c r="C2327" s="11">
        <v>6.9E7</v>
      </c>
      <c r="D2327" s="12" t="s">
        <v>257</v>
      </c>
      <c r="E2327" s="9" t="s">
        <v>72</v>
      </c>
      <c r="F2327" s="11">
        <v>4.9E7</v>
      </c>
    </row>
    <row r="2328">
      <c r="A2328" s="5">
        <v>2327.0</v>
      </c>
      <c r="B2328" s="5" t="s">
        <v>84</v>
      </c>
      <c r="C2328" s="11">
        <v>7.9E7</v>
      </c>
      <c r="D2328" s="12" t="s">
        <v>257</v>
      </c>
      <c r="E2328" s="9" t="s">
        <v>73</v>
      </c>
      <c r="F2328" s="11">
        <v>5.8E7</v>
      </c>
    </row>
    <row r="2329">
      <c r="A2329" s="5">
        <v>2328.0</v>
      </c>
      <c r="B2329" s="5" t="s">
        <v>77</v>
      </c>
      <c r="C2329" s="11">
        <v>2.4E7</v>
      </c>
      <c r="D2329" s="12" t="s">
        <v>258</v>
      </c>
      <c r="E2329" s="9" t="s">
        <v>60</v>
      </c>
      <c r="F2329" s="11">
        <v>3.2E7</v>
      </c>
    </row>
    <row r="2330">
      <c r="A2330" s="5">
        <v>2329.0</v>
      </c>
      <c r="B2330" s="5" t="s">
        <v>77</v>
      </c>
      <c r="C2330" s="11">
        <v>2.3E7</v>
      </c>
      <c r="D2330" s="12" t="s">
        <v>258</v>
      </c>
      <c r="E2330" s="9" t="s">
        <v>62</v>
      </c>
      <c r="F2330" s="11">
        <v>3.1E7</v>
      </c>
    </row>
    <row r="2331">
      <c r="A2331" s="5">
        <v>2330.0</v>
      </c>
      <c r="B2331" s="5" t="s">
        <v>77</v>
      </c>
      <c r="C2331" s="11">
        <v>4.5E7</v>
      </c>
      <c r="D2331" s="12" t="s">
        <v>258</v>
      </c>
      <c r="E2331" s="9" t="s">
        <v>63</v>
      </c>
      <c r="F2331" s="11">
        <v>2.7E7</v>
      </c>
    </row>
    <row r="2332">
      <c r="A2332" s="5">
        <v>2331.0</v>
      </c>
      <c r="B2332" s="5" t="s">
        <v>77</v>
      </c>
      <c r="C2332" s="11">
        <v>7.0E7</v>
      </c>
      <c r="D2332" s="12" t="s">
        <v>258</v>
      </c>
      <c r="E2332" s="9" t="s">
        <v>64</v>
      </c>
      <c r="F2332" s="11">
        <v>2.3E7</v>
      </c>
    </row>
    <row r="2333">
      <c r="A2333" s="5">
        <v>2332.0</v>
      </c>
      <c r="B2333" s="5" t="s">
        <v>77</v>
      </c>
      <c r="C2333" s="11">
        <v>7.5E7</v>
      </c>
      <c r="D2333" s="12" t="s">
        <v>258</v>
      </c>
      <c r="E2333" s="9" t="s">
        <v>65</v>
      </c>
      <c r="F2333" s="11">
        <v>5.4E7</v>
      </c>
    </row>
    <row r="2334">
      <c r="A2334" s="5">
        <v>2333.0</v>
      </c>
      <c r="B2334" s="5" t="s">
        <v>77</v>
      </c>
      <c r="C2334" s="11">
        <v>7.7E7</v>
      </c>
      <c r="D2334" s="12" t="s">
        <v>258</v>
      </c>
      <c r="E2334" s="9" t="s">
        <v>66</v>
      </c>
      <c r="F2334" s="11">
        <v>6.0E7</v>
      </c>
    </row>
    <row r="2335">
      <c r="A2335" s="5">
        <v>2334.0</v>
      </c>
      <c r="B2335" s="5" t="s">
        <v>77</v>
      </c>
      <c r="C2335" s="11">
        <v>7.5E7</v>
      </c>
      <c r="D2335" s="12" t="s">
        <v>258</v>
      </c>
      <c r="E2335" s="9" t="s">
        <v>67</v>
      </c>
      <c r="F2335" s="11">
        <v>5.4E7</v>
      </c>
    </row>
    <row r="2336">
      <c r="A2336" s="5">
        <v>2335.0</v>
      </c>
      <c r="B2336" s="5" t="s">
        <v>77</v>
      </c>
      <c r="C2336" s="11">
        <v>3.2E7</v>
      </c>
      <c r="D2336" s="12" t="s">
        <v>258</v>
      </c>
      <c r="E2336" s="9" t="s">
        <v>68</v>
      </c>
      <c r="F2336" s="11">
        <v>6.3E7</v>
      </c>
    </row>
    <row r="2337">
      <c r="A2337" s="5">
        <v>2336.0</v>
      </c>
      <c r="B2337" s="5" t="s">
        <v>77</v>
      </c>
      <c r="C2337" s="11">
        <v>2.6E7</v>
      </c>
      <c r="D2337" s="12" t="s">
        <v>258</v>
      </c>
      <c r="E2337" s="9" t="s">
        <v>69</v>
      </c>
      <c r="F2337" s="11">
        <v>5.9E7</v>
      </c>
    </row>
    <row r="2338">
      <c r="A2338" s="5">
        <v>2337.0</v>
      </c>
      <c r="B2338" s="5" t="s">
        <v>77</v>
      </c>
      <c r="C2338" s="11">
        <v>4.0E7</v>
      </c>
      <c r="D2338" s="12" t="s">
        <v>258</v>
      </c>
      <c r="E2338" s="9" t="s">
        <v>70</v>
      </c>
      <c r="F2338" s="11">
        <v>9.8E7</v>
      </c>
    </row>
    <row r="2339">
      <c r="A2339" s="5">
        <v>2338.0</v>
      </c>
      <c r="B2339" s="5" t="s">
        <v>77</v>
      </c>
      <c r="C2339" s="11">
        <v>5.1E7</v>
      </c>
      <c r="D2339" s="12" t="s">
        <v>258</v>
      </c>
      <c r="E2339" s="9" t="s">
        <v>71</v>
      </c>
      <c r="F2339" s="11">
        <v>8.7E7</v>
      </c>
    </row>
    <row r="2340">
      <c r="A2340" s="5">
        <v>2339.0</v>
      </c>
      <c r="B2340" s="5" t="s">
        <v>77</v>
      </c>
      <c r="C2340" s="8"/>
      <c r="D2340" s="12" t="s">
        <v>258</v>
      </c>
      <c r="E2340" s="9" t="s">
        <v>72</v>
      </c>
      <c r="F2340" s="8"/>
    </row>
    <row r="2341">
      <c r="A2341" s="5">
        <v>2340.0</v>
      </c>
      <c r="B2341" s="5" t="s">
        <v>77</v>
      </c>
      <c r="C2341" s="8"/>
      <c r="D2341" s="12" t="s">
        <v>258</v>
      </c>
      <c r="E2341" s="9" t="s">
        <v>73</v>
      </c>
      <c r="F2341" s="8"/>
    </row>
    <row r="2342">
      <c r="A2342" s="5">
        <v>2341.0</v>
      </c>
      <c r="B2342" s="5" t="s">
        <v>75</v>
      </c>
      <c r="C2342" s="11">
        <v>4.825E9</v>
      </c>
      <c r="D2342" s="12" t="s">
        <v>259</v>
      </c>
      <c r="E2342" s="9" t="s">
        <v>60</v>
      </c>
      <c r="F2342" s="11">
        <v>8.959E9</v>
      </c>
    </row>
    <row r="2343">
      <c r="A2343" s="5">
        <v>2342.0</v>
      </c>
      <c r="B2343" s="5" t="s">
        <v>75</v>
      </c>
      <c r="C2343" s="11">
        <v>5.2E9</v>
      </c>
      <c r="D2343" s="12" t="s">
        <v>259</v>
      </c>
      <c r="E2343" s="9" t="s">
        <v>62</v>
      </c>
      <c r="F2343" s="11">
        <v>7.916E9</v>
      </c>
    </row>
    <row r="2344">
      <c r="A2344" s="5">
        <v>2343.0</v>
      </c>
      <c r="B2344" s="5" t="s">
        <v>75</v>
      </c>
      <c r="C2344" s="11">
        <v>5.671E9</v>
      </c>
      <c r="D2344" s="12" t="s">
        <v>259</v>
      </c>
      <c r="E2344" s="9" t="s">
        <v>63</v>
      </c>
      <c r="F2344" s="11">
        <v>8.221E9</v>
      </c>
    </row>
    <row r="2345">
      <c r="A2345" s="5">
        <v>2344.0</v>
      </c>
      <c r="B2345" s="5" t="s">
        <v>75</v>
      </c>
      <c r="C2345" s="11">
        <v>6.548E9</v>
      </c>
      <c r="D2345" s="12" t="s">
        <v>259</v>
      </c>
      <c r="E2345" s="9" t="s">
        <v>64</v>
      </c>
      <c r="F2345" s="11">
        <v>9.375E9</v>
      </c>
    </row>
    <row r="2346">
      <c r="A2346" s="5">
        <v>2345.0</v>
      </c>
      <c r="B2346" s="5" t="s">
        <v>75</v>
      </c>
      <c r="C2346" s="11">
        <v>7.686E9</v>
      </c>
      <c r="D2346" s="12" t="s">
        <v>259</v>
      </c>
      <c r="E2346" s="9" t="s">
        <v>65</v>
      </c>
      <c r="F2346" s="11">
        <v>1.1088E10</v>
      </c>
    </row>
    <row r="2347">
      <c r="A2347" s="5">
        <v>2346.0</v>
      </c>
      <c r="B2347" s="5" t="s">
        <v>75</v>
      </c>
      <c r="C2347" s="11">
        <v>7.739E9</v>
      </c>
      <c r="D2347" s="12" t="s">
        <v>259</v>
      </c>
      <c r="E2347" s="9" t="s">
        <v>66</v>
      </c>
      <c r="F2347" s="11">
        <v>1.138E10</v>
      </c>
    </row>
    <row r="2348">
      <c r="A2348" s="5">
        <v>2347.0</v>
      </c>
      <c r="B2348" s="5" t="s">
        <v>75</v>
      </c>
      <c r="C2348" s="11">
        <v>1.0016E10</v>
      </c>
      <c r="D2348" s="12" t="s">
        <v>259</v>
      </c>
      <c r="E2348" s="9" t="s">
        <v>67</v>
      </c>
      <c r="F2348" s="11">
        <v>1.1685E10</v>
      </c>
    </row>
    <row r="2349">
      <c r="A2349" s="5">
        <v>2348.0</v>
      </c>
      <c r="B2349" s="5" t="s">
        <v>75</v>
      </c>
      <c r="C2349" s="11">
        <v>1.2259E10</v>
      </c>
      <c r="D2349" s="12" t="s">
        <v>259</v>
      </c>
      <c r="E2349" s="9" t="s">
        <v>68</v>
      </c>
      <c r="F2349" s="11">
        <v>1.4336E10</v>
      </c>
    </row>
    <row r="2350">
      <c r="A2350" s="5">
        <v>2349.0</v>
      </c>
      <c r="B2350" s="5" t="s">
        <v>75</v>
      </c>
      <c r="C2350" s="11">
        <v>1.206E10</v>
      </c>
      <c r="D2350" s="12" t="s">
        <v>259</v>
      </c>
      <c r="E2350" s="9" t="s">
        <v>69</v>
      </c>
      <c r="F2350" s="11">
        <v>1.5447E10</v>
      </c>
    </row>
    <row r="2351">
      <c r="A2351" s="5">
        <v>2350.0</v>
      </c>
      <c r="B2351" s="5" t="s">
        <v>75</v>
      </c>
      <c r="C2351" s="11">
        <v>1.01E10</v>
      </c>
      <c r="D2351" s="12" t="s">
        <v>259</v>
      </c>
      <c r="E2351" s="9" t="s">
        <v>70</v>
      </c>
      <c r="F2351" s="11">
        <v>1.2791E10</v>
      </c>
    </row>
    <row r="2352">
      <c r="A2352" s="5">
        <v>2351.0</v>
      </c>
      <c r="B2352" s="5" t="s">
        <v>75</v>
      </c>
      <c r="C2352" s="11">
        <v>1.0991E10</v>
      </c>
      <c r="D2352" s="12" t="s">
        <v>259</v>
      </c>
      <c r="E2352" s="9" t="s">
        <v>71</v>
      </c>
      <c r="F2352" s="11">
        <v>1.4912E10</v>
      </c>
    </row>
    <row r="2353">
      <c r="A2353" s="5">
        <v>2352.0</v>
      </c>
      <c r="B2353" s="5" t="s">
        <v>75</v>
      </c>
      <c r="C2353" s="11">
        <v>1.2777E10</v>
      </c>
      <c r="D2353" s="12" t="s">
        <v>259</v>
      </c>
      <c r="E2353" s="9" t="s">
        <v>72</v>
      </c>
      <c r="F2353" s="11">
        <v>1.7187E10</v>
      </c>
    </row>
    <row r="2354">
      <c r="A2354" s="5">
        <v>2353.0</v>
      </c>
      <c r="B2354" s="5" t="s">
        <v>75</v>
      </c>
      <c r="C2354" s="11">
        <v>1.2415E10</v>
      </c>
      <c r="D2354" s="12" t="s">
        <v>259</v>
      </c>
      <c r="E2354" s="9" t="s">
        <v>73</v>
      </c>
      <c r="F2354" s="11">
        <v>1.7664E10</v>
      </c>
    </row>
    <row r="2355">
      <c r="A2355" s="5">
        <v>2354.0</v>
      </c>
      <c r="B2355" s="5" t="s">
        <v>75</v>
      </c>
      <c r="C2355" s="11">
        <v>8.988E9</v>
      </c>
      <c r="D2355" s="12" t="s">
        <v>260</v>
      </c>
      <c r="E2355" s="9" t="s">
        <v>60</v>
      </c>
      <c r="F2355" s="11">
        <v>7.36E9</v>
      </c>
    </row>
    <row r="2356">
      <c r="A2356" s="5">
        <v>2355.0</v>
      </c>
      <c r="B2356" s="5" t="s">
        <v>75</v>
      </c>
      <c r="C2356" s="11">
        <v>9.29E9</v>
      </c>
      <c r="D2356" s="12" t="s">
        <v>260</v>
      </c>
      <c r="E2356" s="9" t="s">
        <v>62</v>
      </c>
      <c r="F2356" s="11">
        <v>7.085E9</v>
      </c>
    </row>
    <row r="2357">
      <c r="A2357" s="5">
        <v>2356.0</v>
      </c>
      <c r="B2357" s="5" t="s">
        <v>75</v>
      </c>
      <c r="C2357" s="11">
        <v>9.117E9</v>
      </c>
      <c r="D2357" s="12" t="s">
        <v>260</v>
      </c>
      <c r="E2357" s="9" t="s">
        <v>63</v>
      </c>
      <c r="F2357" s="11">
        <v>7.21E9</v>
      </c>
    </row>
    <row r="2358">
      <c r="A2358" s="5">
        <v>2357.0</v>
      </c>
      <c r="B2358" s="5" t="s">
        <v>75</v>
      </c>
      <c r="C2358" s="11">
        <v>1.0493E10</v>
      </c>
      <c r="D2358" s="12" t="s">
        <v>260</v>
      </c>
      <c r="E2358" s="9" t="s">
        <v>64</v>
      </c>
      <c r="F2358" s="11">
        <v>8.614E9</v>
      </c>
    </row>
    <row r="2359">
      <c r="A2359" s="5">
        <v>2358.0</v>
      </c>
      <c r="B2359" s="5" t="s">
        <v>75</v>
      </c>
      <c r="C2359" s="11">
        <v>1.1404E10</v>
      </c>
      <c r="D2359" s="12" t="s">
        <v>260</v>
      </c>
      <c r="E2359" s="9" t="s">
        <v>65</v>
      </c>
      <c r="F2359" s="11">
        <v>9.924E9</v>
      </c>
    </row>
    <row r="2360">
      <c r="A2360" s="5">
        <v>2359.0</v>
      </c>
      <c r="B2360" s="5" t="s">
        <v>75</v>
      </c>
      <c r="C2360" s="11">
        <v>1.1937E10</v>
      </c>
      <c r="D2360" s="12" t="s">
        <v>260</v>
      </c>
      <c r="E2360" s="9" t="s">
        <v>66</v>
      </c>
      <c r="F2360" s="11">
        <v>1.0579E10</v>
      </c>
    </row>
    <row r="2361">
      <c r="A2361" s="5">
        <v>2360.0</v>
      </c>
      <c r="B2361" s="5" t="s">
        <v>75</v>
      </c>
      <c r="C2361" s="11">
        <v>1.2852E10</v>
      </c>
      <c r="D2361" s="12" t="s">
        <v>260</v>
      </c>
      <c r="E2361" s="9" t="s">
        <v>67</v>
      </c>
      <c r="F2361" s="11">
        <v>1.1199E10</v>
      </c>
    </row>
    <row r="2362">
      <c r="A2362" s="5">
        <v>2361.0</v>
      </c>
      <c r="B2362" s="5" t="s">
        <v>75</v>
      </c>
      <c r="C2362" s="11">
        <v>1.4721E10</v>
      </c>
      <c r="D2362" s="12" t="s">
        <v>260</v>
      </c>
      <c r="E2362" s="9" t="s">
        <v>68</v>
      </c>
      <c r="F2362" s="11">
        <v>1.2298E10</v>
      </c>
    </row>
    <row r="2363">
      <c r="A2363" s="5">
        <v>2362.0</v>
      </c>
      <c r="B2363" s="5" t="s">
        <v>75</v>
      </c>
      <c r="C2363" s="11">
        <v>1.757E10</v>
      </c>
      <c r="D2363" s="12" t="s">
        <v>260</v>
      </c>
      <c r="E2363" s="9" t="s">
        <v>69</v>
      </c>
      <c r="F2363" s="11">
        <v>1.3346E10</v>
      </c>
    </row>
    <row r="2364">
      <c r="A2364" s="5">
        <v>2363.0</v>
      </c>
      <c r="B2364" s="5" t="s">
        <v>75</v>
      </c>
      <c r="C2364" s="11">
        <v>1.6665E10</v>
      </c>
      <c r="D2364" s="12" t="s">
        <v>260</v>
      </c>
      <c r="E2364" s="9" t="s">
        <v>70</v>
      </c>
      <c r="F2364" s="11">
        <v>1.3058E10</v>
      </c>
    </row>
    <row r="2365">
      <c r="A2365" s="5">
        <v>2364.0</v>
      </c>
      <c r="B2365" s="5" t="s">
        <v>75</v>
      </c>
      <c r="C2365" s="11">
        <v>1.7614E10</v>
      </c>
      <c r="D2365" s="12" t="s">
        <v>260</v>
      </c>
      <c r="E2365" s="9" t="s">
        <v>71</v>
      </c>
      <c r="F2365" s="11">
        <v>1.3528E10</v>
      </c>
    </row>
    <row r="2366">
      <c r="A2366" s="5">
        <v>2365.0</v>
      </c>
      <c r="B2366" s="5" t="s">
        <v>75</v>
      </c>
      <c r="C2366" s="11">
        <v>2.064E10</v>
      </c>
      <c r="D2366" s="12" t="s">
        <v>260</v>
      </c>
      <c r="E2366" s="9" t="s">
        <v>72</v>
      </c>
      <c r="F2366" s="11">
        <v>1.6612E10</v>
      </c>
    </row>
    <row r="2367">
      <c r="A2367" s="5">
        <v>2366.0</v>
      </c>
      <c r="B2367" s="5" t="s">
        <v>75</v>
      </c>
      <c r="C2367" s="11">
        <v>1.9439E10</v>
      </c>
      <c r="D2367" s="12" t="s">
        <v>260</v>
      </c>
      <c r="E2367" s="9" t="s">
        <v>73</v>
      </c>
      <c r="F2367" s="11">
        <v>1.6675E10</v>
      </c>
    </row>
    <row r="2368">
      <c r="A2368" s="5">
        <v>2367.0</v>
      </c>
      <c r="B2368" s="5" t="s">
        <v>93</v>
      </c>
      <c r="C2368" s="11">
        <v>1.082E9</v>
      </c>
      <c r="D2368" s="12" t="s">
        <v>261</v>
      </c>
      <c r="E2368" s="9" t="s">
        <v>60</v>
      </c>
      <c r="F2368" s="11">
        <v>6.69E8</v>
      </c>
    </row>
    <row r="2369">
      <c r="A2369" s="5">
        <v>2368.0</v>
      </c>
      <c r="B2369" s="5" t="s">
        <v>93</v>
      </c>
      <c r="C2369" s="11">
        <v>1.15E9</v>
      </c>
      <c r="D2369" s="12" t="s">
        <v>261</v>
      </c>
      <c r="E2369" s="9" t="s">
        <v>62</v>
      </c>
      <c r="F2369" s="11">
        <v>6.7E8</v>
      </c>
    </row>
    <row r="2370">
      <c r="A2370" s="5">
        <v>2369.0</v>
      </c>
      <c r="B2370" s="5" t="s">
        <v>93</v>
      </c>
      <c r="C2370" s="11">
        <v>9.7E8</v>
      </c>
      <c r="D2370" s="12" t="s">
        <v>261</v>
      </c>
      <c r="E2370" s="9" t="s">
        <v>63</v>
      </c>
      <c r="F2370" s="11">
        <v>7.6E8</v>
      </c>
    </row>
    <row r="2371">
      <c r="A2371" s="5">
        <v>2370.0</v>
      </c>
      <c r="B2371" s="5" t="s">
        <v>93</v>
      </c>
      <c r="C2371" s="11">
        <v>8.77E8</v>
      </c>
      <c r="D2371" s="12" t="s">
        <v>261</v>
      </c>
      <c r="E2371" s="9" t="s">
        <v>64</v>
      </c>
      <c r="F2371" s="11">
        <v>7.34E8</v>
      </c>
    </row>
    <row r="2372">
      <c r="A2372" s="5">
        <v>2371.0</v>
      </c>
      <c r="B2372" s="5" t="s">
        <v>93</v>
      </c>
      <c r="C2372" s="11">
        <v>1.883E9</v>
      </c>
      <c r="D2372" s="12" t="s">
        <v>261</v>
      </c>
      <c r="E2372" s="9" t="s">
        <v>65</v>
      </c>
      <c r="F2372" s="11">
        <v>6.88E8</v>
      </c>
    </row>
    <row r="2373">
      <c r="A2373" s="5">
        <v>2372.0</v>
      </c>
      <c r="B2373" s="5" t="s">
        <v>93</v>
      </c>
      <c r="C2373" s="11">
        <v>2.035E9</v>
      </c>
      <c r="D2373" s="12" t="s">
        <v>261</v>
      </c>
      <c r="E2373" s="9" t="s">
        <v>66</v>
      </c>
      <c r="F2373" s="11">
        <v>5.84E8</v>
      </c>
    </row>
    <row r="2374">
      <c r="A2374" s="5">
        <v>2373.0</v>
      </c>
      <c r="B2374" s="5" t="s">
        <v>93</v>
      </c>
      <c r="C2374" s="11">
        <v>2.113E9</v>
      </c>
      <c r="D2374" s="12" t="s">
        <v>261</v>
      </c>
      <c r="E2374" s="9" t="s">
        <v>67</v>
      </c>
      <c r="F2374" s="11">
        <v>5.85E8</v>
      </c>
    </row>
    <row r="2375">
      <c r="A2375" s="5">
        <v>2374.0</v>
      </c>
      <c r="B2375" s="5" t="s">
        <v>93</v>
      </c>
      <c r="C2375" s="11">
        <v>2.972E9</v>
      </c>
      <c r="D2375" s="12" t="s">
        <v>261</v>
      </c>
      <c r="E2375" s="9" t="s">
        <v>68</v>
      </c>
      <c r="F2375" s="11">
        <v>7.1E8</v>
      </c>
    </row>
    <row r="2376">
      <c r="A2376" s="5">
        <v>2375.0</v>
      </c>
      <c r="B2376" s="5" t="s">
        <v>93</v>
      </c>
      <c r="C2376" s="11">
        <v>3.176E9</v>
      </c>
      <c r="D2376" s="12" t="s">
        <v>261</v>
      </c>
      <c r="E2376" s="9" t="s">
        <v>69</v>
      </c>
      <c r="F2376" s="11">
        <v>9.12E8</v>
      </c>
    </row>
    <row r="2377">
      <c r="A2377" s="5">
        <v>2376.0</v>
      </c>
      <c r="B2377" s="5" t="s">
        <v>93</v>
      </c>
      <c r="C2377" s="11">
        <v>3.781E9</v>
      </c>
      <c r="D2377" s="12" t="s">
        <v>261</v>
      </c>
      <c r="E2377" s="9" t="s">
        <v>70</v>
      </c>
      <c r="F2377" s="11">
        <v>9.8E8</v>
      </c>
    </row>
    <row r="2378">
      <c r="A2378" s="5">
        <v>2377.0</v>
      </c>
      <c r="B2378" s="5" t="s">
        <v>93</v>
      </c>
      <c r="C2378" s="11">
        <v>6.308E9</v>
      </c>
      <c r="D2378" s="12" t="s">
        <v>261</v>
      </c>
      <c r="E2378" s="9" t="s">
        <v>71</v>
      </c>
      <c r="F2378" s="11">
        <v>1.598E9</v>
      </c>
    </row>
    <row r="2379">
      <c r="A2379" s="5">
        <v>2378.0</v>
      </c>
      <c r="B2379" s="5" t="s">
        <v>93</v>
      </c>
      <c r="C2379" s="8"/>
      <c r="D2379" s="12" t="s">
        <v>261</v>
      </c>
      <c r="E2379" s="9" t="s">
        <v>72</v>
      </c>
      <c r="F2379" s="8"/>
    </row>
    <row r="2380">
      <c r="A2380" s="5">
        <v>2379.0</v>
      </c>
      <c r="B2380" s="5" t="s">
        <v>93</v>
      </c>
      <c r="C2380" s="8"/>
      <c r="D2380" s="12" t="s">
        <v>261</v>
      </c>
      <c r="E2380" s="9" t="s">
        <v>73</v>
      </c>
      <c r="F2380" s="8"/>
    </row>
    <row r="2381">
      <c r="A2381" s="5">
        <v>2380.0</v>
      </c>
      <c r="B2381" s="5" t="s">
        <v>61</v>
      </c>
      <c r="C2381" s="8"/>
      <c r="D2381" s="12" t="s">
        <v>262</v>
      </c>
      <c r="E2381" s="9" t="s">
        <v>60</v>
      </c>
      <c r="F2381" s="8"/>
    </row>
    <row r="2382">
      <c r="A2382" s="5">
        <v>2381.0</v>
      </c>
      <c r="B2382" s="5" t="s">
        <v>61</v>
      </c>
      <c r="C2382" s="8"/>
      <c r="D2382" s="12" t="s">
        <v>262</v>
      </c>
      <c r="E2382" s="9" t="s">
        <v>62</v>
      </c>
      <c r="F2382" s="8"/>
    </row>
    <row r="2383">
      <c r="A2383" s="5">
        <v>2382.0</v>
      </c>
      <c r="B2383" s="5" t="s">
        <v>61</v>
      </c>
      <c r="C2383" s="11">
        <v>5000000.0</v>
      </c>
      <c r="D2383" s="12" t="s">
        <v>262</v>
      </c>
      <c r="E2383" s="9" t="s">
        <v>63</v>
      </c>
      <c r="F2383" s="11">
        <v>1700000.0</v>
      </c>
    </row>
    <row r="2384">
      <c r="A2384" s="5">
        <v>2383.0</v>
      </c>
      <c r="B2384" s="5" t="s">
        <v>61</v>
      </c>
      <c r="C2384" s="11">
        <v>6200000.0</v>
      </c>
      <c r="D2384" s="12" t="s">
        <v>262</v>
      </c>
      <c r="E2384" s="9" t="s">
        <v>64</v>
      </c>
      <c r="F2384" s="11">
        <v>2100000.0</v>
      </c>
    </row>
    <row r="2385">
      <c r="A2385" s="5">
        <v>2384.0</v>
      </c>
      <c r="B2385" s="5" t="s">
        <v>61</v>
      </c>
      <c r="C2385" s="11">
        <v>9600000.0</v>
      </c>
      <c r="D2385" s="12" t="s">
        <v>262</v>
      </c>
      <c r="E2385" s="9" t="s">
        <v>65</v>
      </c>
      <c r="F2385" s="11">
        <v>3400000.0</v>
      </c>
    </row>
    <row r="2386">
      <c r="A2386" s="5">
        <v>2385.0</v>
      </c>
      <c r="B2386" s="5" t="s">
        <v>61</v>
      </c>
      <c r="C2386" s="11">
        <v>9100000.0</v>
      </c>
      <c r="D2386" s="12" t="s">
        <v>262</v>
      </c>
      <c r="E2386" s="9" t="s">
        <v>66</v>
      </c>
      <c r="F2386" s="11">
        <v>3800000.0</v>
      </c>
    </row>
    <row r="2387">
      <c r="A2387" s="5">
        <v>2386.0</v>
      </c>
      <c r="B2387" s="5" t="s">
        <v>61</v>
      </c>
      <c r="C2387" s="11">
        <v>1.12E7</v>
      </c>
      <c r="D2387" s="12" t="s">
        <v>262</v>
      </c>
      <c r="E2387" s="9" t="s">
        <v>67</v>
      </c>
      <c r="F2387" s="11">
        <v>6000000.0</v>
      </c>
    </row>
    <row r="2388">
      <c r="A2388" s="5">
        <v>2387.0</v>
      </c>
      <c r="B2388" s="5" t="s">
        <v>61</v>
      </c>
      <c r="C2388" s="11">
        <v>1.65E7</v>
      </c>
      <c r="D2388" s="12" t="s">
        <v>262</v>
      </c>
      <c r="E2388" s="9" t="s">
        <v>68</v>
      </c>
      <c r="F2388" s="11">
        <v>6600000.0</v>
      </c>
    </row>
    <row r="2389">
      <c r="A2389" s="5">
        <v>2388.0</v>
      </c>
      <c r="B2389" s="5" t="s">
        <v>61</v>
      </c>
      <c r="C2389" s="11">
        <v>2.37E7</v>
      </c>
      <c r="D2389" s="12" t="s">
        <v>262</v>
      </c>
      <c r="E2389" s="9" t="s">
        <v>69</v>
      </c>
      <c r="F2389" s="11">
        <v>1.08E7</v>
      </c>
    </row>
    <row r="2390">
      <c r="A2390" s="5">
        <v>2389.0</v>
      </c>
      <c r="B2390" s="5" t="s">
        <v>61</v>
      </c>
      <c r="C2390" s="11">
        <v>1.95E7</v>
      </c>
      <c r="D2390" s="12" t="s">
        <v>262</v>
      </c>
      <c r="E2390" s="9" t="s">
        <v>70</v>
      </c>
      <c r="F2390" s="11">
        <v>5800000.0</v>
      </c>
    </row>
    <row r="2391">
      <c r="A2391" s="5">
        <v>2390.0</v>
      </c>
      <c r="B2391" s="5" t="s">
        <v>61</v>
      </c>
      <c r="C2391" s="11">
        <v>3.24E7</v>
      </c>
      <c r="D2391" s="12" t="s">
        <v>262</v>
      </c>
      <c r="E2391" s="9" t="s">
        <v>71</v>
      </c>
      <c r="F2391" s="11">
        <v>1.78E7</v>
      </c>
    </row>
    <row r="2392">
      <c r="A2392" s="5">
        <v>2391.0</v>
      </c>
      <c r="B2392" s="5" t="s">
        <v>61</v>
      </c>
      <c r="C2392" s="11">
        <v>3.98E7</v>
      </c>
      <c r="D2392" s="12" t="s">
        <v>262</v>
      </c>
      <c r="E2392" s="9" t="s">
        <v>72</v>
      </c>
      <c r="F2392" s="11">
        <v>8400000.0</v>
      </c>
    </row>
    <row r="2393">
      <c r="A2393" s="5">
        <v>2392.0</v>
      </c>
      <c r="B2393" s="5" t="s">
        <v>61</v>
      </c>
      <c r="C2393" s="11">
        <v>6.04E7</v>
      </c>
      <c r="D2393" s="12" t="s">
        <v>262</v>
      </c>
      <c r="E2393" s="9" t="s">
        <v>73</v>
      </c>
      <c r="F2393" s="11">
        <v>6800000.0</v>
      </c>
    </row>
    <row r="2394">
      <c r="A2394" s="5">
        <v>2393.0</v>
      </c>
      <c r="B2394" s="5" t="s">
        <v>77</v>
      </c>
      <c r="C2394" s="11">
        <v>3.81E8</v>
      </c>
      <c r="D2394" s="12" t="s">
        <v>263</v>
      </c>
      <c r="E2394" s="9" t="s">
        <v>60</v>
      </c>
      <c r="F2394" s="11">
        <v>3.69E8</v>
      </c>
    </row>
    <row r="2395">
      <c r="A2395" s="5">
        <v>2394.0</v>
      </c>
      <c r="B2395" s="5" t="s">
        <v>77</v>
      </c>
      <c r="C2395" s="11">
        <v>6.26E8</v>
      </c>
      <c r="D2395" s="12" t="s">
        <v>263</v>
      </c>
      <c r="E2395" s="9" t="s">
        <v>62</v>
      </c>
      <c r="F2395" s="11">
        <v>3.63E8</v>
      </c>
    </row>
    <row r="2396">
      <c r="A2396" s="5">
        <v>2395.0</v>
      </c>
      <c r="B2396" s="5" t="s">
        <v>77</v>
      </c>
      <c r="C2396" s="11">
        <v>6.39E8</v>
      </c>
      <c r="D2396" s="12" t="s">
        <v>263</v>
      </c>
      <c r="E2396" s="9" t="s">
        <v>63</v>
      </c>
      <c r="F2396" s="11">
        <v>3.61E8</v>
      </c>
    </row>
    <row r="2397">
      <c r="A2397" s="5">
        <v>2396.0</v>
      </c>
      <c r="B2397" s="5" t="s">
        <v>77</v>
      </c>
      <c r="C2397" s="11">
        <v>6.54E8</v>
      </c>
      <c r="D2397" s="12" t="s">
        <v>263</v>
      </c>
      <c r="E2397" s="9" t="s">
        <v>64</v>
      </c>
      <c r="F2397" s="11">
        <v>3.75E8</v>
      </c>
    </row>
    <row r="2398">
      <c r="A2398" s="5">
        <v>2397.0</v>
      </c>
      <c r="B2398" s="5" t="s">
        <v>77</v>
      </c>
      <c r="C2398" s="11">
        <v>7.62E8</v>
      </c>
      <c r="D2398" s="12" t="s">
        <v>263</v>
      </c>
      <c r="E2398" s="9" t="s">
        <v>65</v>
      </c>
      <c r="F2398" s="11">
        <v>4.7E8</v>
      </c>
    </row>
    <row r="2399">
      <c r="A2399" s="5">
        <v>2398.0</v>
      </c>
      <c r="B2399" s="5" t="s">
        <v>77</v>
      </c>
      <c r="C2399" s="11">
        <v>8.35E8</v>
      </c>
      <c r="D2399" s="12" t="s">
        <v>263</v>
      </c>
      <c r="E2399" s="9" t="s">
        <v>66</v>
      </c>
      <c r="F2399" s="11">
        <v>5.77E8</v>
      </c>
    </row>
    <row r="2400">
      <c r="A2400" s="5">
        <v>2399.0</v>
      </c>
      <c r="B2400" s="5" t="s">
        <v>77</v>
      </c>
      <c r="C2400" s="11">
        <v>9.86E8</v>
      </c>
      <c r="D2400" s="12" t="s">
        <v>263</v>
      </c>
      <c r="E2400" s="9" t="s">
        <v>67</v>
      </c>
      <c r="F2400" s="11">
        <v>5.71E8</v>
      </c>
    </row>
    <row r="2401">
      <c r="A2401" s="5">
        <v>2400.0</v>
      </c>
      <c r="B2401" s="5" t="s">
        <v>77</v>
      </c>
      <c r="C2401" s="11">
        <v>1.215E9</v>
      </c>
      <c r="D2401" s="12" t="s">
        <v>263</v>
      </c>
      <c r="E2401" s="9" t="s">
        <v>68</v>
      </c>
      <c r="F2401" s="11">
        <v>6.16E8</v>
      </c>
    </row>
    <row r="2402">
      <c r="A2402" s="5">
        <v>2401.0</v>
      </c>
      <c r="B2402" s="5" t="s">
        <v>77</v>
      </c>
      <c r="C2402" s="11">
        <v>1.293E9</v>
      </c>
      <c r="D2402" s="12" t="s">
        <v>263</v>
      </c>
      <c r="E2402" s="9" t="s">
        <v>69</v>
      </c>
      <c r="F2402" s="11">
        <v>7.46E8</v>
      </c>
    </row>
    <row r="2403">
      <c r="A2403" s="5">
        <v>2402.0</v>
      </c>
      <c r="B2403" s="5" t="s">
        <v>77</v>
      </c>
      <c r="C2403" s="11">
        <v>1.192E9</v>
      </c>
      <c r="D2403" s="12" t="s">
        <v>263</v>
      </c>
      <c r="E2403" s="9" t="s">
        <v>70</v>
      </c>
      <c r="F2403" s="11">
        <v>8.06E8</v>
      </c>
    </row>
    <row r="2404">
      <c r="A2404" s="5">
        <v>2403.0</v>
      </c>
      <c r="B2404" s="5" t="s">
        <v>77</v>
      </c>
      <c r="C2404" s="11">
        <v>1.279E9</v>
      </c>
      <c r="D2404" s="12" t="s">
        <v>263</v>
      </c>
      <c r="E2404" s="9" t="s">
        <v>71</v>
      </c>
      <c r="F2404" s="11">
        <v>8.61E8</v>
      </c>
    </row>
    <row r="2405">
      <c r="A2405" s="5">
        <v>2404.0</v>
      </c>
      <c r="B2405" s="5" t="s">
        <v>77</v>
      </c>
      <c r="C2405" s="11">
        <v>1.383E9</v>
      </c>
      <c r="D2405" s="12" t="s">
        <v>263</v>
      </c>
      <c r="E2405" s="9" t="s">
        <v>72</v>
      </c>
      <c r="F2405" s="11">
        <v>9.28E8</v>
      </c>
    </row>
    <row r="2406">
      <c r="A2406" s="5">
        <v>2405.0</v>
      </c>
      <c r="B2406" s="5" t="s">
        <v>77</v>
      </c>
      <c r="C2406" s="11">
        <v>1.605E9</v>
      </c>
      <c r="D2406" s="12" t="s">
        <v>263</v>
      </c>
      <c r="E2406" s="9" t="s">
        <v>73</v>
      </c>
      <c r="F2406" s="11">
        <v>1.003E9</v>
      </c>
    </row>
    <row r="2407">
      <c r="A2407" s="5">
        <v>2406.0</v>
      </c>
      <c r="B2407" s="5" t="s">
        <v>61</v>
      </c>
      <c r="C2407" s="11">
        <v>9.935E9</v>
      </c>
      <c r="D2407" s="12" t="s">
        <v>264</v>
      </c>
      <c r="E2407" s="9" t="s">
        <v>60</v>
      </c>
      <c r="F2407" s="11">
        <v>3.218E9</v>
      </c>
    </row>
    <row r="2408">
      <c r="A2408" s="5">
        <v>2407.0</v>
      </c>
      <c r="B2408" s="5" t="s">
        <v>61</v>
      </c>
      <c r="C2408" s="11">
        <v>9.378E9</v>
      </c>
      <c r="D2408" s="12" t="s">
        <v>264</v>
      </c>
      <c r="E2408" s="9" t="s">
        <v>62</v>
      </c>
      <c r="F2408" s="11">
        <v>3.334E9</v>
      </c>
    </row>
    <row r="2409">
      <c r="A2409" s="5">
        <v>2408.0</v>
      </c>
      <c r="B2409" s="5" t="s">
        <v>61</v>
      </c>
      <c r="C2409" s="11">
        <v>1.0388E10</v>
      </c>
      <c r="D2409" s="12" t="s">
        <v>264</v>
      </c>
      <c r="E2409" s="9" t="s">
        <v>63</v>
      </c>
      <c r="F2409" s="11">
        <v>3.888E9</v>
      </c>
    </row>
    <row r="2410">
      <c r="A2410" s="5">
        <v>2409.0</v>
      </c>
      <c r="B2410" s="5" t="s">
        <v>61</v>
      </c>
      <c r="C2410" s="11">
        <v>1.0456E10</v>
      </c>
      <c r="D2410" s="12" t="s">
        <v>264</v>
      </c>
      <c r="E2410" s="9" t="s">
        <v>64</v>
      </c>
      <c r="F2410" s="11">
        <v>3.538E9</v>
      </c>
    </row>
    <row r="2411">
      <c r="A2411" s="5">
        <v>2410.0</v>
      </c>
      <c r="B2411" s="5" t="s">
        <v>61</v>
      </c>
      <c r="C2411" s="11">
        <v>1.3054E10</v>
      </c>
      <c r="D2411" s="12" t="s">
        <v>264</v>
      </c>
      <c r="E2411" s="9" t="s">
        <v>65</v>
      </c>
      <c r="F2411" s="11">
        <v>5.343E9</v>
      </c>
    </row>
    <row r="2412">
      <c r="A2412" s="5">
        <v>2411.0</v>
      </c>
      <c r="B2412" s="5" t="s">
        <v>61</v>
      </c>
      <c r="C2412" s="11">
        <v>1.2102E10</v>
      </c>
      <c r="D2412" s="12" t="s">
        <v>264</v>
      </c>
      <c r="E2412" s="9" t="s">
        <v>66</v>
      </c>
      <c r="F2412" s="11">
        <v>4.917E9</v>
      </c>
    </row>
    <row r="2413">
      <c r="A2413" s="5">
        <v>2412.0</v>
      </c>
      <c r="B2413" s="5" t="s">
        <v>61</v>
      </c>
      <c r="C2413" s="11">
        <v>1.6614E10</v>
      </c>
      <c r="D2413" s="12" t="s">
        <v>264</v>
      </c>
      <c r="E2413" s="9" t="s">
        <v>67</v>
      </c>
      <c r="F2413" s="11">
        <v>6.173E9</v>
      </c>
    </row>
    <row r="2414">
      <c r="A2414" s="5">
        <v>2413.0</v>
      </c>
      <c r="B2414" s="5" t="s">
        <v>61</v>
      </c>
      <c r="C2414" s="11">
        <v>2.0623E10</v>
      </c>
      <c r="D2414" s="12" t="s">
        <v>264</v>
      </c>
      <c r="E2414" s="9" t="s">
        <v>68</v>
      </c>
      <c r="F2414" s="11">
        <v>6.887E9</v>
      </c>
    </row>
    <row r="2415">
      <c r="A2415" s="5">
        <v>2414.0</v>
      </c>
      <c r="B2415" s="5" t="s">
        <v>61</v>
      </c>
      <c r="C2415" s="11">
        <v>2.2497E10</v>
      </c>
      <c r="D2415" s="12" t="s">
        <v>264</v>
      </c>
      <c r="E2415" s="9" t="s">
        <v>69</v>
      </c>
      <c r="F2415" s="11">
        <v>6.7E9</v>
      </c>
    </row>
    <row r="2416">
      <c r="A2416" s="5">
        <v>2415.0</v>
      </c>
      <c r="B2416" s="5" t="s">
        <v>61</v>
      </c>
      <c r="C2416" s="11">
        <v>1.9814E10</v>
      </c>
      <c r="D2416" s="12" t="s">
        <v>264</v>
      </c>
      <c r="E2416" s="9" t="s">
        <v>70</v>
      </c>
      <c r="F2416" s="11">
        <v>5.749E9</v>
      </c>
    </row>
    <row r="2417">
      <c r="A2417" s="5">
        <v>2416.0</v>
      </c>
      <c r="B2417" s="5" t="s">
        <v>61</v>
      </c>
      <c r="C2417" s="11">
        <v>2.3809E10</v>
      </c>
      <c r="D2417" s="12" t="s">
        <v>264</v>
      </c>
      <c r="E2417" s="9" t="s">
        <v>71</v>
      </c>
      <c r="F2417" s="11">
        <v>7.151E9</v>
      </c>
    </row>
    <row r="2418">
      <c r="A2418" s="5">
        <v>2417.0</v>
      </c>
      <c r="B2418" s="5" t="s">
        <v>61</v>
      </c>
      <c r="C2418" s="11">
        <v>3.0926E10</v>
      </c>
      <c r="D2418" s="12" t="s">
        <v>264</v>
      </c>
      <c r="E2418" s="9" t="s">
        <v>72</v>
      </c>
      <c r="F2418" s="11">
        <v>7.32E9</v>
      </c>
    </row>
    <row r="2419">
      <c r="A2419" s="5">
        <v>2418.0</v>
      </c>
      <c r="B2419" s="5" t="s">
        <v>61</v>
      </c>
      <c r="C2419" s="11">
        <v>3.774E10</v>
      </c>
      <c r="D2419" s="12" t="s">
        <v>264</v>
      </c>
      <c r="E2419" s="9" t="s">
        <v>73</v>
      </c>
      <c r="F2419" s="11">
        <v>7.864E9</v>
      </c>
    </row>
    <row r="2420">
      <c r="A2420" s="5">
        <v>2419.0</v>
      </c>
      <c r="B2420" s="5" t="s">
        <v>61</v>
      </c>
      <c r="C2420" s="8"/>
      <c r="D2420" s="12" t="s">
        <v>265</v>
      </c>
      <c r="E2420" s="9" t="s">
        <v>60</v>
      </c>
      <c r="F2420" s="8"/>
    </row>
    <row r="2421">
      <c r="A2421" s="5">
        <v>2420.0</v>
      </c>
      <c r="B2421" s="5" t="s">
        <v>61</v>
      </c>
      <c r="C2421" s="8"/>
      <c r="D2421" s="12" t="s">
        <v>265</v>
      </c>
      <c r="E2421" s="9" t="s">
        <v>62</v>
      </c>
      <c r="F2421" s="8"/>
    </row>
    <row r="2422">
      <c r="A2422" s="5">
        <v>2421.0</v>
      </c>
      <c r="B2422" s="5" t="s">
        <v>61</v>
      </c>
      <c r="C2422" s="8"/>
      <c r="D2422" s="12" t="s">
        <v>265</v>
      </c>
      <c r="E2422" s="9" t="s">
        <v>63</v>
      </c>
      <c r="F2422" s="8"/>
    </row>
    <row r="2423">
      <c r="A2423" s="5">
        <v>2422.0</v>
      </c>
      <c r="B2423" s="5" t="s">
        <v>61</v>
      </c>
      <c r="C2423" s="8"/>
      <c r="D2423" s="12" t="s">
        <v>265</v>
      </c>
      <c r="E2423" s="9" t="s">
        <v>64</v>
      </c>
      <c r="F2423" s="8"/>
    </row>
    <row r="2424">
      <c r="A2424" s="5">
        <v>2423.0</v>
      </c>
      <c r="B2424" s="5" t="s">
        <v>61</v>
      </c>
      <c r="C2424" s="8"/>
      <c r="D2424" s="12" t="s">
        <v>265</v>
      </c>
      <c r="E2424" s="9" t="s">
        <v>65</v>
      </c>
      <c r="F2424" s="8"/>
    </row>
    <row r="2425">
      <c r="A2425" s="5">
        <v>2424.0</v>
      </c>
      <c r="B2425" s="5" t="s">
        <v>61</v>
      </c>
      <c r="C2425" s="8"/>
      <c r="D2425" s="12" t="s">
        <v>265</v>
      </c>
      <c r="E2425" s="9" t="s">
        <v>66</v>
      </c>
      <c r="F2425" s="8"/>
    </row>
    <row r="2426">
      <c r="A2426" s="5">
        <v>2425.0</v>
      </c>
      <c r="B2426" s="5" t="s">
        <v>61</v>
      </c>
      <c r="C2426" s="11">
        <v>2.0E7</v>
      </c>
      <c r="D2426" s="12" t="s">
        <v>265</v>
      </c>
      <c r="E2426" s="9" t="s">
        <v>67</v>
      </c>
      <c r="F2426" s="11">
        <v>2000000.0</v>
      </c>
    </row>
    <row r="2427">
      <c r="A2427" s="5">
        <v>2426.0</v>
      </c>
      <c r="B2427" s="5" t="s">
        <v>61</v>
      </c>
      <c r="C2427" s="11">
        <v>2.6E7</v>
      </c>
      <c r="D2427" s="12" t="s">
        <v>265</v>
      </c>
      <c r="E2427" s="9" t="s">
        <v>68</v>
      </c>
      <c r="F2427" s="11">
        <v>5000000.0</v>
      </c>
    </row>
    <row r="2428">
      <c r="A2428" s="5">
        <v>2427.0</v>
      </c>
      <c r="B2428" s="5" t="s">
        <v>61</v>
      </c>
      <c r="C2428" s="11">
        <v>1.4E7</v>
      </c>
      <c r="D2428" s="12" t="s">
        <v>265</v>
      </c>
      <c r="E2428" s="9" t="s">
        <v>69</v>
      </c>
      <c r="F2428" s="11">
        <v>5.1E7</v>
      </c>
    </row>
    <row r="2429">
      <c r="A2429" s="5">
        <v>2428.0</v>
      </c>
      <c r="B2429" s="5" t="s">
        <v>61</v>
      </c>
      <c r="C2429" s="11">
        <v>1.6E7</v>
      </c>
      <c r="D2429" s="12" t="s">
        <v>265</v>
      </c>
      <c r="E2429" s="9" t="s">
        <v>70</v>
      </c>
      <c r="F2429" s="11">
        <v>6.9E7</v>
      </c>
    </row>
    <row r="2430">
      <c r="A2430" s="5">
        <v>2429.0</v>
      </c>
      <c r="B2430" s="5" t="s">
        <v>61</v>
      </c>
      <c r="C2430" s="11">
        <v>3.1E7</v>
      </c>
      <c r="D2430" s="12" t="s">
        <v>265</v>
      </c>
      <c r="E2430" s="9" t="s">
        <v>71</v>
      </c>
      <c r="F2430" s="11">
        <v>6.8E7</v>
      </c>
    </row>
    <row r="2431">
      <c r="A2431" s="5">
        <v>2430.0</v>
      </c>
      <c r="B2431" s="5" t="s">
        <v>61</v>
      </c>
      <c r="C2431" s="11">
        <v>2.4E7</v>
      </c>
      <c r="D2431" s="12" t="s">
        <v>265</v>
      </c>
      <c r="E2431" s="9" t="s">
        <v>72</v>
      </c>
      <c r="F2431" s="11">
        <v>6.3E7</v>
      </c>
    </row>
    <row r="2432">
      <c r="A2432" s="5">
        <v>2431.0</v>
      </c>
      <c r="B2432" s="5" t="s">
        <v>61</v>
      </c>
      <c r="C2432" s="11">
        <v>2.1E7</v>
      </c>
      <c r="D2432" s="12" t="s">
        <v>265</v>
      </c>
      <c r="E2432" s="9" t="s">
        <v>73</v>
      </c>
      <c r="F2432" s="11">
        <v>8.0E7</v>
      </c>
    </row>
    <row r="2433">
      <c r="A2433" s="5">
        <v>2432.0</v>
      </c>
      <c r="B2433" s="5" t="s">
        <v>77</v>
      </c>
      <c r="C2433" s="11">
        <v>1.1E7</v>
      </c>
      <c r="D2433" s="12" t="s">
        <v>266</v>
      </c>
      <c r="E2433" s="9" t="s">
        <v>60</v>
      </c>
      <c r="F2433" s="11">
        <v>1.5E7</v>
      </c>
    </row>
    <row r="2434">
      <c r="A2434" s="5">
        <v>2433.0</v>
      </c>
      <c r="B2434" s="5" t="s">
        <v>77</v>
      </c>
      <c r="C2434" s="11">
        <v>1.4E7</v>
      </c>
      <c r="D2434" s="12" t="s">
        <v>266</v>
      </c>
      <c r="E2434" s="9" t="s">
        <v>62</v>
      </c>
      <c r="F2434" s="11">
        <v>2.0E7</v>
      </c>
    </row>
    <row r="2435">
      <c r="A2435" s="5">
        <v>2434.0</v>
      </c>
      <c r="B2435" s="5" t="s">
        <v>77</v>
      </c>
      <c r="C2435" s="11">
        <v>1.6E7</v>
      </c>
      <c r="D2435" s="12" t="s">
        <v>266</v>
      </c>
      <c r="E2435" s="9" t="s">
        <v>63</v>
      </c>
      <c r="F2435" s="11">
        <v>2.6E7</v>
      </c>
    </row>
    <row r="2436">
      <c r="A2436" s="5">
        <v>2435.0</v>
      </c>
      <c r="B2436" s="5" t="s">
        <v>77</v>
      </c>
      <c r="C2436" s="11">
        <v>2.6E7</v>
      </c>
      <c r="D2436" s="12" t="s">
        <v>266</v>
      </c>
      <c r="E2436" s="9" t="s">
        <v>64</v>
      </c>
      <c r="F2436" s="11">
        <v>3.7E7</v>
      </c>
    </row>
    <row r="2437">
      <c r="A2437" s="5">
        <v>2436.0</v>
      </c>
      <c r="B2437" s="5" t="s">
        <v>77</v>
      </c>
      <c r="C2437" s="11">
        <v>2.5E7</v>
      </c>
      <c r="D2437" s="12" t="s">
        <v>266</v>
      </c>
      <c r="E2437" s="9" t="s">
        <v>65</v>
      </c>
      <c r="F2437" s="11">
        <v>3.8E7</v>
      </c>
    </row>
    <row r="2438">
      <c r="A2438" s="5">
        <v>2437.0</v>
      </c>
      <c r="B2438" s="5" t="s">
        <v>77</v>
      </c>
      <c r="C2438" s="11">
        <v>2.7E7</v>
      </c>
      <c r="D2438" s="12" t="s">
        <v>266</v>
      </c>
      <c r="E2438" s="9" t="s">
        <v>66</v>
      </c>
      <c r="F2438" s="11">
        <v>4.2E7</v>
      </c>
    </row>
    <row r="2439">
      <c r="A2439" s="5">
        <v>2438.0</v>
      </c>
      <c r="B2439" s="5" t="s">
        <v>77</v>
      </c>
      <c r="C2439" s="11">
        <v>2.3E7</v>
      </c>
      <c r="D2439" s="12" t="s">
        <v>266</v>
      </c>
      <c r="E2439" s="9" t="s">
        <v>67</v>
      </c>
      <c r="F2439" s="11">
        <v>4.2E7</v>
      </c>
    </row>
    <row r="2440">
      <c r="A2440" s="5">
        <v>2439.0</v>
      </c>
      <c r="B2440" s="5" t="s">
        <v>77</v>
      </c>
      <c r="C2440" s="11">
        <v>3.8E7</v>
      </c>
      <c r="D2440" s="12" t="s">
        <v>266</v>
      </c>
      <c r="E2440" s="9" t="s">
        <v>68</v>
      </c>
      <c r="F2440" s="11">
        <v>5.9E7</v>
      </c>
    </row>
    <row r="2441">
      <c r="A2441" s="5">
        <v>2440.0</v>
      </c>
      <c r="B2441" s="5" t="s">
        <v>77</v>
      </c>
      <c r="C2441" s="11">
        <v>4.4E7</v>
      </c>
      <c r="D2441" s="12" t="s">
        <v>266</v>
      </c>
      <c r="E2441" s="9" t="s">
        <v>69</v>
      </c>
      <c r="F2441" s="11">
        <v>6.8E7</v>
      </c>
    </row>
    <row r="2442">
      <c r="A2442" s="5">
        <v>2441.0</v>
      </c>
      <c r="B2442" s="5" t="s">
        <v>77</v>
      </c>
      <c r="C2442" s="11">
        <v>7.3E7</v>
      </c>
      <c r="D2442" s="12" t="s">
        <v>266</v>
      </c>
      <c r="E2442" s="9" t="s">
        <v>70</v>
      </c>
      <c r="F2442" s="11">
        <v>9.4E7</v>
      </c>
    </row>
    <row r="2443">
      <c r="A2443" s="5">
        <v>2442.0</v>
      </c>
      <c r="B2443" s="5" t="s">
        <v>77</v>
      </c>
      <c r="C2443" s="11">
        <v>1.05E8</v>
      </c>
      <c r="D2443" s="12" t="s">
        <v>266</v>
      </c>
      <c r="E2443" s="9" t="s">
        <v>71</v>
      </c>
      <c r="F2443" s="11">
        <v>8.9E7</v>
      </c>
    </row>
    <row r="2444">
      <c r="A2444" s="5">
        <v>2443.0</v>
      </c>
      <c r="B2444" s="5" t="s">
        <v>77</v>
      </c>
      <c r="C2444" s="8"/>
      <c r="D2444" s="12" t="s">
        <v>266</v>
      </c>
      <c r="E2444" s="9" t="s">
        <v>72</v>
      </c>
      <c r="F2444" s="8"/>
    </row>
    <row r="2445">
      <c r="A2445" s="5">
        <v>2444.0</v>
      </c>
      <c r="B2445" s="5" t="s">
        <v>77</v>
      </c>
      <c r="C2445" s="8"/>
      <c r="D2445" s="12" t="s">
        <v>266</v>
      </c>
      <c r="E2445" s="9" t="s">
        <v>73</v>
      </c>
      <c r="F2445" s="8"/>
    </row>
    <row r="2446">
      <c r="A2446" s="5">
        <v>2445.0</v>
      </c>
      <c r="B2446" s="5" t="s">
        <v>80</v>
      </c>
      <c r="C2446" s="11">
        <v>7000000.0</v>
      </c>
      <c r="D2446" s="12" t="s">
        <v>267</v>
      </c>
      <c r="E2446" s="9" t="s">
        <v>60</v>
      </c>
      <c r="F2446" s="8"/>
    </row>
    <row r="2447">
      <c r="A2447" s="5">
        <v>2446.0</v>
      </c>
      <c r="B2447" s="5" t="s">
        <v>80</v>
      </c>
      <c r="C2447" s="11">
        <v>6800000.0</v>
      </c>
      <c r="D2447" s="12" t="s">
        <v>267</v>
      </c>
      <c r="E2447" s="9" t="s">
        <v>62</v>
      </c>
      <c r="F2447" s="11">
        <v>3200000.0</v>
      </c>
    </row>
    <row r="2448">
      <c r="A2448" s="5">
        <v>2447.0</v>
      </c>
      <c r="B2448" s="5" t="s">
        <v>80</v>
      </c>
      <c r="C2448" s="11">
        <v>5900000.0</v>
      </c>
      <c r="D2448" s="12" t="s">
        <v>267</v>
      </c>
      <c r="E2448" s="9" t="s">
        <v>63</v>
      </c>
      <c r="F2448" s="11">
        <v>3200000.0</v>
      </c>
    </row>
    <row r="2449">
      <c r="A2449" s="5">
        <v>2448.0</v>
      </c>
      <c r="B2449" s="5" t="s">
        <v>80</v>
      </c>
      <c r="C2449" s="11">
        <v>1.03E7</v>
      </c>
      <c r="D2449" s="12" t="s">
        <v>267</v>
      </c>
      <c r="E2449" s="9" t="s">
        <v>64</v>
      </c>
      <c r="F2449" s="11">
        <v>1.32E7</v>
      </c>
    </row>
    <row r="2450">
      <c r="A2450" s="5">
        <v>2449.0</v>
      </c>
      <c r="B2450" s="5" t="s">
        <v>80</v>
      </c>
      <c r="C2450" s="11">
        <v>1.31E7</v>
      </c>
      <c r="D2450" s="12" t="s">
        <v>267</v>
      </c>
      <c r="E2450" s="9" t="s">
        <v>65</v>
      </c>
      <c r="F2450" s="11">
        <v>1.62E7</v>
      </c>
    </row>
    <row r="2451">
      <c r="A2451" s="5">
        <v>2450.0</v>
      </c>
      <c r="B2451" s="5" t="s">
        <v>80</v>
      </c>
      <c r="C2451" s="11">
        <v>1.5E7</v>
      </c>
      <c r="D2451" s="12" t="s">
        <v>267</v>
      </c>
      <c r="E2451" s="9" t="s">
        <v>66</v>
      </c>
      <c r="F2451" s="11">
        <v>1.6E7</v>
      </c>
    </row>
    <row r="2452">
      <c r="A2452" s="5">
        <v>2451.0</v>
      </c>
      <c r="B2452" s="5" t="s">
        <v>80</v>
      </c>
      <c r="C2452" s="11">
        <v>1.57E7</v>
      </c>
      <c r="D2452" s="12" t="s">
        <v>267</v>
      </c>
      <c r="E2452" s="9" t="s">
        <v>67</v>
      </c>
      <c r="F2452" s="11">
        <v>1.64E7</v>
      </c>
    </row>
    <row r="2453">
      <c r="A2453" s="5">
        <v>2452.0</v>
      </c>
      <c r="B2453" s="5" t="s">
        <v>80</v>
      </c>
      <c r="C2453" s="11">
        <v>1.52E7</v>
      </c>
      <c r="D2453" s="12" t="s">
        <v>267</v>
      </c>
      <c r="E2453" s="9" t="s">
        <v>68</v>
      </c>
      <c r="F2453" s="11">
        <v>1.92E7</v>
      </c>
    </row>
    <row r="2454">
      <c r="A2454" s="5">
        <v>2453.0</v>
      </c>
      <c r="B2454" s="5" t="s">
        <v>80</v>
      </c>
      <c r="C2454" s="11">
        <v>1.95E7</v>
      </c>
      <c r="D2454" s="12" t="s">
        <v>267</v>
      </c>
      <c r="E2454" s="9" t="s">
        <v>69</v>
      </c>
      <c r="F2454" s="11">
        <v>2.51E7</v>
      </c>
    </row>
    <row r="2455">
      <c r="A2455" s="5">
        <v>2454.0</v>
      </c>
      <c r="B2455" s="5" t="s">
        <v>80</v>
      </c>
      <c r="C2455" s="11">
        <v>1.68E7</v>
      </c>
      <c r="D2455" s="12" t="s">
        <v>267</v>
      </c>
      <c r="E2455" s="9" t="s">
        <v>70</v>
      </c>
      <c r="F2455" s="11">
        <v>1.91E7</v>
      </c>
    </row>
    <row r="2456">
      <c r="A2456" s="5">
        <v>2455.0</v>
      </c>
      <c r="B2456" s="5" t="s">
        <v>80</v>
      </c>
      <c r="C2456" s="8"/>
      <c r="D2456" s="12" t="s">
        <v>267</v>
      </c>
      <c r="E2456" s="9" t="s">
        <v>71</v>
      </c>
      <c r="F2456" s="8"/>
    </row>
    <row r="2457">
      <c r="A2457" s="5">
        <v>2456.0</v>
      </c>
      <c r="B2457" s="5" t="s">
        <v>80</v>
      </c>
      <c r="C2457" s="8"/>
      <c r="D2457" s="12" t="s">
        <v>267</v>
      </c>
      <c r="E2457" s="9" t="s">
        <v>72</v>
      </c>
      <c r="F2457" s="8"/>
    </row>
    <row r="2458">
      <c r="A2458" s="5">
        <v>2457.0</v>
      </c>
      <c r="B2458" s="5" t="s">
        <v>80</v>
      </c>
      <c r="C2458" s="8"/>
      <c r="D2458" s="12" t="s">
        <v>267</v>
      </c>
      <c r="E2458" s="9" t="s">
        <v>73</v>
      </c>
      <c r="F2458" s="8"/>
    </row>
    <row r="2459">
      <c r="A2459" s="5">
        <v>2458.0</v>
      </c>
      <c r="B2459" s="5" t="s">
        <v>84</v>
      </c>
      <c r="C2459" s="11">
        <v>3.71E8</v>
      </c>
      <c r="D2459" s="12" t="s">
        <v>268</v>
      </c>
      <c r="E2459" s="9" t="s">
        <v>60</v>
      </c>
      <c r="F2459" s="11">
        <v>1.9E8</v>
      </c>
    </row>
    <row r="2460">
      <c r="A2460" s="5">
        <v>2459.0</v>
      </c>
      <c r="B2460" s="5" t="s">
        <v>84</v>
      </c>
      <c r="C2460" s="11">
        <v>3.61E8</v>
      </c>
      <c r="D2460" s="12" t="s">
        <v>268</v>
      </c>
      <c r="E2460" s="9" t="s">
        <v>62</v>
      </c>
      <c r="F2460" s="11">
        <v>1.72E8</v>
      </c>
    </row>
    <row r="2461">
      <c r="A2461" s="5">
        <v>2460.0</v>
      </c>
      <c r="B2461" s="5" t="s">
        <v>84</v>
      </c>
      <c r="C2461" s="11">
        <v>4.02E8</v>
      </c>
      <c r="D2461" s="12" t="s">
        <v>268</v>
      </c>
      <c r="E2461" s="9" t="s">
        <v>63</v>
      </c>
      <c r="F2461" s="11">
        <v>2.08E8</v>
      </c>
    </row>
    <row r="2462">
      <c r="A2462" s="5">
        <v>2461.0</v>
      </c>
      <c r="B2462" s="5" t="s">
        <v>84</v>
      </c>
      <c r="C2462" s="11">
        <v>4.37E8</v>
      </c>
      <c r="D2462" s="12" t="s">
        <v>268</v>
      </c>
      <c r="E2462" s="9" t="s">
        <v>64</v>
      </c>
      <c r="F2462" s="11">
        <v>1.43E8</v>
      </c>
    </row>
    <row r="2463">
      <c r="A2463" s="5">
        <v>2462.0</v>
      </c>
      <c r="B2463" s="5" t="s">
        <v>84</v>
      </c>
      <c r="C2463" s="11">
        <v>5.68E8</v>
      </c>
      <c r="D2463" s="12" t="s">
        <v>268</v>
      </c>
      <c r="E2463" s="9" t="s">
        <v>65</v>
      </c>
      <c r="F2463" s="11">
        <v>1.41E8</v>
      </c>
    </row>
    <row r="2464">
      <c r="A2464" s="5">
        <v>2463.0</v>
      </c>
      <c r="B2464" s="5" t="s">
        <v>84</v>
      </c>
      <c r="C2464" s="11">
        <v>5.93E8</v>
      </c>
      <c r="D2464" s="12" t="s">
        <v>268</v>
      </c>
      <c r="E2464" s="9" t="s">
        <v>66</v>
      </c>
      <c r="F2464" s="11">
        <v>2.34E8</v>
      </c>
    </row>
    <row r="2465">
      <c r="A2465" s="5">
        <v>2464.0</v>
      </c>
      <c r="B2465" s="5" t="s">
        <v>84</v>
      </c>
      <c r="C2465" s="11">
        <v>5.17E8</v>
      </c>
      <c r="D2465" s="12" t="s">
        <v>268</v>
      </c>
      <c r="E2465" s="9" t="s">
        <v>67</v>
      </c>
      <c r="F2465" s="11">
        <v>1.46E8</v>
      </c>
    </row>
    <row r="2466">
      <c r="A2466" s="5">
        <v>2465.0</v>
      </c>
      <c r="B2466" s="5" t="s">
        <v>84</v>
      </c>
      <c r="C2466" s="11">
        <v>6.21E8</v>
      </c>
      <c r="D2466" s="12" t="s">
        <v>268</v>
      </c>
      <c r="E2466" s="9" t="s">
        <v>68</v>
      </c>
      <c r="F2466" s="11">
        <v>1.55E8</v>
      </c>
    </row>
    <row r="2467">
      <c r="A2467" s="5">
        <v>2466.0</v>
      </c>
      <c r="B2467" s="5" t="s">
        <v>84</v>
      </c>
      <c r="C2467" s="11">
        <v>5.57E8</v>
      </c>
      <c r="D2467" s="12" t="s">
        <v>268</v>
      </c>
      <c r="E2467" s="9" t="s">
        <v>69</v>
      </c>
      <c r="F2467" s="11">
        <v>1.02E8</v>
      </c>
    </row>
    <row r="2468">
      <c r="A2468" s="5">
        <v>2467.0</v>
      </c>
      <c r="B2468" s="5" t="s">
        <v>84</v>
      </c>
      <c r="C2468" s="11">
        <v>5.48E8</v>
      </c>
      <c r="D2468" s="12" t="s">
        <v>268</v>
      </c>
      <c r="E2468" s="9" t="s">
        <v>70</v>
      </c>
      <c r="F2468" s="11">
        <v>1.36E8</v>
      </c>
    </row>
    <row r="2469">
      <c r="A2469" s="5">
        <v>2468.0</v>
      </c>
      <c r="B2469" s="5" t="s">
        <v>84</v>
      </c>
      <c r="C2469" s="11">
        <v>6.3E8</v>
      </c>
      <c r="D2469" s="12" t="s">
        <v>268</v>
      </c>
      <c r="E2469" s="9" t="s">
        <v>71</v>
      </c>
      <c r="F2469" s="11">
        <v>9.7E7</v>
      </c>
    </row>
    <row r="2470">
      <c r="A2470" s="5">
        <v>2469.0</v>
      </c>
      <c r="B2470" s="5" t="s">
        <v>84</v>
      </c>
      <c r="C2470" s="11">
        <v>6.5E8</v>
      </c>
      <c r="D2470" s="12" t="s">
        <v>268</v>
      </c>
      <c r="E2470" s="9" t="s">
        <v>72</v>
      </c>
      <c r="F2470" s="11">
        <v>1.92E8</v>
      </c>
    </row>
    <row r="2471">
      <c r="A2471" s="5">
        <v>2470.0</v>
      </c>
      <c r="B2471" s="5" t="s">
        <v>84</v>
      </c>
      <c r="C2471" s="8"/>
      <c r="D2471" s="12" t="s">
        <v>268</v>
      </c>
      <c r="E2471" s="9" t="s">
        <v>73</v>
      </c>
      <c r="F2471" s="8"/>
    </row>
    <row r="2472">
      <c r="A2472" s="5">
        <v>2471.0</v>
      </c>
      <c r="B2472" s="5" t="s">
        <v>77</v>
      </c>
      <c r="C2472" s="11">
        <v>1.977E9</v>
      </c>
      <c r="D2472" s="12" t="s">
        <v>269</v>
      </c>
      <c r="E2472" s="9" t="s">
        <v>60</v>
      </c>
      <c r="F2472" s="11">
        <v>3.1E8</v>
      </c>
    </row>
    <row r="2473">
      <c r="A2473" s="5">
        <v>2472.0</v>
      </c>
      <c r="B2473" s="5" t="s">
        <v>77</v>
      </c>
      <c r="C2473" s="11">
        <v>2.061E9</v>
      </c>
      <c r="D2473" s="12" t="s">
        <v>269</v>
      </c>
      <c r="E2473" s="9" t="s">
        <v>62</v>
      </c>
      <c r="F2473" s="11">
        <v>3.22E8</v>
      </c>
    </row>
    <row r="2474">
      <c r="A2474" s="5">
        <v>2473.0</v>
      </c>
      <c r="B2474" s="5" t="s">
        <v>77</v>
      </c>
      <c r="C2474" s="11">
        <v>1.831E9</v>
      </c>
      <c r="D2474" s="12" t="s">
        <v>269</v>
      </c>
      <c r="E2474" s="9" t="s">
        <v>63</v>
      </c>
      <c r="F2474" s="11">
        <v>3.03E8</v>
      </c>
    </row>
    <row r="2475">
      <c r="A2475" s="5">
        <v>2474.0</v>
      </c>
      <c r="B2475" s="5" t="s">
        <v>77</v>
      </c>
      <c r="C2475" s="11">
        <v>1.935E9</v>
      </c>
      <c r="D2475" s="12" t="s">
        <v>269</v>
      </c>
      <c r="E2475" s="9" t="s">
        <v>64</v>
      </c>
      <c r="F2475" s="11">
        <v>3.55E8</v>
      </c>
    </row>
    <row r="2476">
      <c r="A2476" s="5">
        <v>2475.0</v>
      </c>
      <c r="B2476" s="5" t="s">
        <v>77</v>
      </c>
      <c r="C2476" s="11">
        <v>2.432E9</v>
      </c>
      <c r="D2476" s="12" t="s">
        <v>269</v>
      </c>
      <c r="E2476" s="9" t="s">
        <v>65</v>
      </c>
      <c r="F2476" s="11">
        <v>4.27E8</v>
      </c>
    </row>
    <row r="2477">
      <c r="A2477" s="5">
        <v>2476.0</v>
      </c>
      <c r="B2477" s="5" t="s">
        <v>77</v>
      </c>
      <c r="C2477" s="11">
        <v>2.8E9</v>
      </c>
      <c r="D2477" s="12" t="s">
        <v>269</v>
      </c>
      <c r="E2477" s="9" t="s">
        <v>66</v>
      </c>
      <c r="F2477" s="11">
        <v>4.52E8</v>
      </c>
    </row>
    <row r="2478">
      <c r="A2478" s="5">
        <v>2477.0</v>
      </c>
      <c r="B2478" s="5" t="s">
        <v>77</v>
      </c>
      <c r="C2478" s="11">
        <v>2.999E9</v>
      </c>
      <c r="D2478" s="12" t="s">
        <v>269</v>
      </c>
      <c r="E2478" s="9" t="s">
        <v>67</v>
      </c>
      <c r="F2478" s="11">
        <v>4.98E8</v>
      </c>
    </row>
    <row r="2479">
      <c r="A2479" s="5">
        <v>2478.0</v>
      </c>
      <c r="B2479" s="5" t="s">
        <v>77</v>
      </c>
      <c r="C2479" s="11">
        <v>3.373E9</v>
      </c>
      <c r="D2479" s="12" t="s">
        <v>269</v>
      </c>
      <c r="E2479" s="9" t="s">
        <v>68</v>
      </c>
      <c r="F2479" s="11">
        <v>5.3E8</v>
      </c>
    </row>
    <row r="2480">
      <c r="A2480" s="5">
        <v>2479.0</v>
      </c>
      <c r="B2480" s="5" t="s">
        <v>77</v>
      </c>
      <c r="C2480" s="11">
        <v>3.909E9</v>
      </c>
      <c r="D2480" s="12" t="s">
        <v>269</v>
      </c>
      <c r="E2480" s="9" t="s">
        <v>69</v>
      </c>
      <c r="F2480" s="11">
        <v>5.55E8</v>
      </c>
    </row>
    <row r="2481">
      <c r="A2481" s="5">
        <v>2480.0</v>
      </c>
      <c r="B2481" s="5" t="s">
        <v>77</v>
      </c>
      <c r="C2481" s="11">
        <v>3.526E9</v>
      </c>
      <c r="D2481" s="12" t="s">
        <v>269</v>
      </c>
      <c r="E2481" s="9" t="s">
        <v>70</v>
      </c>
      <c r="F2481" s="11">
        <v>4.78E8</v>
      </c>
    </row>
    <row r="2482">
      <c r="A2482" s="5">
        <v>2481.0</v>
      </c>
      <c r="B2482" s="5" t="s">
        <v>77</v>
      </c>
      <c r="C2482" s="11">
        <v>3.477E9</v>
      </c>
      <c r="D2482" s="12" t="s">
        <v>269</v>
      </c>
      <c r="E2482" s="9" t="s">
        <v>71</v>
      </c>
      <c r="F2482" s="11">
        <v>6.11E8</v>
      </c>
    </row>
    <row r="2483">
      <c r="A2483" s="5">
        <v>2482.0</v>
      </c>
      <c r="B2483" s="5" t="s">
        <v>77</v>
      </c>
      <c r="C2483" s="11">
        <v>2.529E9</v>
      </c>
      <c r="D2483" s="12" t="s">
        <v>269</v>
      </c>
      <c r="E2483" s="9" t="s">
        <v>72</v>
      </c>
      <c r="F2483" s="11">
        <v>6.78E8</v>
      </c>
    </row>
    <row r="2484">
      <c r="A2484" s="5">
        <v>2483.0</v>
      </c>
      <c r="B2484" s="5" t="s">
        <v>77</v>
      </c>
      <c r="C2484" s="11">
        <v>2.931E9</v>
      </c>
      <c r="D2484" s="12" t="s">
        <v>269</v>
      </c>
      <c r="E2484" s="9" t="s">
        <v>73</v>
      </c>
      <c r="F2484" s="11">
        <v>6.73E8</v>
      </c>
    </row>
    <row r="2485">
      <c r="A2485" s="5">
        <v>2484.0</v>
      </c>
      <c r="B2485" s="5" t="s">
        <v>75</v>
      </c>
      <c r="C2485" s="11">
        <v>7.636E9</v>
      </c>
      <c r="D2485" s="12" t="s">
        <v>270</v>
      </c>
      <c r="E2485" s="9" t="s">
        <v>60</v>
      </c>
      <c r="F2485" s="11">
        <v>1.713E9</v>
      </c>
    </row>
    <row r="2486">
      <c r="A2486" s="5">
        <v>2485.0</v>
      </c>
      <c r="B2486" s="5" t="s">
        <v>75</v>
      </c>
      <c r="C2486" s="11">
        <v>1.0067E10</v>
      </c>
      <c r="D2486" s="12" t="s">
        <v>270</v>
      </c>
      <c r="E2486" s="9" t="s">
        <v>62</v>
      </c>
      <c r="F2486" s="11">
        <v>1.738E9</v>
      </c>
    </row>
    <row r="2487">
      <c r="A2487" s="5">
        <v>2486.0</v>
      </c>
      <c r="B2487" s="5" t="s">
        <v>75</v>
      </c>
      <c r="C2487" s="11">
        <v>1.1901E10</v>
      </c>
      <c r="D2487" s="12" t="s">
        <v>270</v>
      </c>
      <c r="E2487" s="9" t="s">
        <v>63</v>
      </c>
      <c r="F2487" s="11">
        <v>1.88E9</v>
      </c>
    </row>
    <row r="2488">
      <c r="A2488" s="5">
        <v>2487.0</v>
      </c>
      <c r="B2488" s="5" t="s">
        <v>75</v>
      </c>
      <c r="C2488" s="11">
        <v>1.3203E10</v>
      </c>
      <c r="D2488" s="12" t="s">
        <v>270</v>
      </c>
      <c r="E2488" s="9" t="s">
        <v>64</v>
      </c>
      <c r="F2488" s="11">
        <v>2.113E9</v>
      </c>
    </row>
    <row r="2489">
      <c r="A2489" s="5">
        <v>2488.0</v>
      </c>
      <c r="B2489" s="5" t="s">
        <v>75</v>
      </c>
      <c r="C2489" s="11">
        <v>1.5888E10</v>
      </c>
      <c r="D2489" s="12" t="s">
        <v>270</v>
      </c>
      <c r="E2489" s="9" t="s">
        <v>65</v>
      </c>
      <c r="F2489" s="11">
        <v>2.524E9</v>
      </c>
    </row>
    <row r="2490">
      <c r="A2490" s="5">
        <v>2489.0</v>
      </c>
      <c r="B2490" s="5" t="s">
        <v>75</v>
      </c>
      <c r="C2490" s="11">
        <v>2.076E10</v>
      </c>
      <c r="D2490" s="12" t="s">
        <v>270</v>
      </c>
      <c r="E2490" s="9" t="s">
        <v>66</v>
      </c>
      <c r="F2490" s="11">
        <v>3.563E9</v>
      </c>
    </row>
    <row r="2491">
      <c r="A2491" s="5">
        <v>2490.0</v>
      </c>
      <c r="B2491" s="5" t="s">
        <v>75</v>
      </c>
      <c r="C2491" s="11">
        <v>1.9137E10</v>
      </c>
      <c r="D2491" s="12" t="s">
        <v>270</v>
      </c>
      <c r="E2491" s="9" t="s">
        <v>67</v>
      </c>
      <c r="F2491" s="11">
        <v>3.517E9</v>
      </c>
    </row>
    <row r="2492">
      <c r="A2492" s="5">
        <v>2491.0</v>
      </c>
      <c r="B2492" s="5" t="s">
        <v>75</v>
      </c>
      <c r="C2492" s="11">
        <v>2.1662E10</v>
      </c>
      <c r="D2492" s="12" t="s">
        <v>270</v>
      </c>
      <c r="E2492" s="9" t="s">
        <v>68</v>
      </c>
      <c r="F2492" s="11">
        <v>4.254E9</v>
      </c>
    </row>
    <row r="2493">
      <c r="A2493" s="5">
        <v>2492.0</v>
      </c>
      <c r="B2493" s="5" t="s">
        <v>75</v>
      </c>
      <c r="C2493" s="11">
        <v>2.6446E10</v>
      </c>
      <c r="D2493" s="12" t="s">
        <v>270</v>
      </c>
      <c r="E2493" s="9" t="s">
        <v>69</v>
      </c>
      <c r="F2493" s="11">
        <v>4.509E9</v>
      </c>
    </row>
    <row r="2494">
      <c r="A2494" s="5">
        <v>2493.0</v>
      </c>
      <c r="B2494" s="5" t="s">
        <v>75</v>
      </c>
      <c r="C2494" s="11">
        <v>2.6331E10</v>
      </c>
      <c r="D2494" s="12" t="s">
        <v>270</v>
      </c>
      <c r="E2494" s="9" t="s">
        <v>70</v>
      </c>
      <c r="F2494" s="11">
        <v>5.061E9</v>
      </c>
    </row>
    <row r="2495">
      <c r="A2495" s="5">
        <v>2494.0</v>
      </c>
      <c r="B2495" s="5" t="s">
        <v>75</v>
      </c>
      <c r="C2495" s="11">
        <v>2.6318E10</v>
      </c>
      <c r="D2495" s="12" t="s">
        <v>270</v>
      </c>
      <c r="E2495" s="9" t="s">
        <v>71</v>
      </c>
      <c r="F2495" s="11">
        <v>5.817E9</v>
      </c>
    </row>
    <row r="2496">
      <c r="A2496" s="5">
        <v>2495.0</v>
      </c>
      <c r="B2496" s="5" t="s">
        <v>75</v>
      </c>
      <c r="C2496" s="11">
        <v>3.0093E10</v>
      </c>
      <c r="D2496" s="12" t="s">
        <v>270</v>
      </c>
      <c r="E2496" s="9" t="s">
        <v>72</v>
      </c>
      <c r="F2496" s="11">
        <v>5.372E9</v>
      </c>
    </row>
    <row r="2497">
      <c r="A2497" s="5">
        <v>2496.0</v>
      </c>
      <c r="B2497" s="5" t="s">
        <v>75</v>
      </c>
      <c r="C2497" s="11">
        <v>3.2249E10</v>
      </c>
      <c r="D2497" s="12" t="s">
        <v>270</v>
      </c>
      <c r="E2497" s="9" t="s">
        <v>73</v>
      </c>
      <c r="F2497" s="11">
        <v>4.604E9</v>
      </c>
    </row>
    <row r="2498">
      <c r="A2498" s="5">
        <v>2497.0</v>
      </c>
      <c r="B2498" s="5" t="s">
        <v>61</v>
      </c>
      <c r="C2498" s="8"/>
      <c r="D2498" s="12" t="s">
        <v>271</v>
      </c>
      <c r="E2498" s="9" t="s">
        <v>60</v>
      </c>
      <c r="F2498" s="8"/>
    </row>
    <row r="2499">
      <c r="A2499" s="5">
        <v>2498.0</v>
      </c>
      <c r="B2499" s="5" t="s">
        <v>61</v>
      </c>
      <c r="C2499" s="8"/>
      <c r="D2499" s="12" t="s">
        <v>271</v>
      </c>
      <c r="E2499" s="9" t="s">
        <v>62</v>
      </c>
      <c r="F2499" s="8"/>
    </row>
    <row r="2500">
      <c r="A2500" s="5">
        <v>2499.0</v>
      </c>
      <c r="B2500" s="5" t="s">
        <v>61</v>
      </c>
      <c r="C2500" s="8"/>
      <c r="D2500" s="12" t="s">
        <v>271</v>
      </c>
      <c r="E2500" s="9" t="s">
        <v>63</v>
      </c>
      <c r="F2500" s="8"/>
    </row>
    <row r="2501">
      <c r="A2501" s="5">
        <v>2500.0</v>
      </c>
      <c r="B2501" s="5" t="s">
        <v>61</v>
      </c>
      <c r="C2501" s="8"/>
      <c r="D2501" s="12" t="s">
        <v>271</v>
      </c>
      <c r="E2501" s="9" t="s">
        <v>64</v>
      </c>
      <c r="F2501" s="8"/>
    </row>
    <row r="2502">
      <c r="A2502" s="5">
        <v>2501.0</v>
      </c>
      <c r="B2502" s="5" t="s">
        <v>61</v>
      </c>
      <c r="C2502" s="8"/>
      <c r="D2502" s="12" t="s">
        <v>271</v>
      </c>
      <c r="E2502" s="9" t="s">
        <v>65</v>
      </c>
      <c r="F2502" s="8"/>
    </row>
    <row r="2503">
      <c r="A2503" s="5">
        <v>2502.0</v>
      </c>
      <c r="B2503" s="5" t="s">
        <v>61</v>
      </c>
      <c r="C2503" s="8"/>
      <c r="D2503" s="12" t="s">
        <v>271</v>
      </c>
      <c r="E2503" s="9" t="s">
        <v>66</v>
      </c>
      <c r="F2503" s="8"/>
    </row>
    <row r="2504">
      <c r="A2504" s="5">
        <v>2503.0</v>
      </c>
      <c r="B2504" s="5" t="s">
        <v>61</v>
      </c>
      <c r="C2504" s="8"/>
      <c r="D2504" s="12" t="s">
        <v>271</v>
      </c>
      <c r="E2504" s="9" t="s">
        <v>67</v>
      </c>
      <c r="F2504" s="8"/>
    </row>
    <row r="2505">
      <c r="A2505" s="5">
        <v>2504.0</v>
      </c>
      <c r="B2505" s="5" t="s">
        <v>61</v>
      </c>
      <c r="C2505" s="8"/>
      <c r="D2505" s="12" t="s">
        <v>271</v>
      </c>
      <c r="E2505" s="9" t="s">
        <v>68</v>
      </c>
      <c r="F2505" s="8"/>
    </row>
    <row r="2506">
      <c r="A2506" s="5">
        <v>2505.0</v>
      </c>
      <c r="B2506" s="5" t="s">
        <v>61</v>
      </c>
      <c r="C2506" s="8"/>
      <c r="D2506" s="12" t="s">
        <v>271</v>
      </c>
      <c r="E2506" s="9" t="s">
        <v>69</v>
      </c>
      <c r="F2506" s="8"/>
    </row>
    <row r="2507">
      <c r="A2507" s="5">
        <v>2506.0</v>
      </c>
      <c r="B2507" s="5" t="s">
        <v>61</v>
      </c>
      <c r="C2507" s="8"/>
      <c r="D2507" s="12" t="s">
        <v>271</v>
      </c>
      <c r="E2507" s="9" t="s">
        <v>70</v>
      </c>
      <c r="F2507" s="8"/>
    </row>
    <row r="2508">
      <c r="A2508" s="5">
        <v>2507.0</v>
      </c>
      <c r="B2508" s="5" t="s">
        <v>61</v>
      </c>
      <c r="C2508" s="8"/>
      <c r="D2508" s="12" t="s">
        <v>271</v>
      </c>
      <c r="E2508" s="9" t="s">
        <v>71</v>
      </c>
      <c r="F2508" s="8"/>
    </row>
    <row r="2509">
      <c r="A2509" s="5">
        <v>2508.0</v>
      </c>
      <c r="B2509" s="5" t="s">
        <v>61</v>
      </c>
      <c r="C2509" s="8"/>
      <c r="D2509" s="12" t="s">
        <v>271</v>
      </c>
      <c r="E2509" s="9" t="s">
        <v>72</v>
      </c>
      <c r="F2509" s="8"/>
    </row>
    <row r="2510">
      <c r="A2510" s="5">
        <v>2509.0</v>
      </c>
      <c r="B2510" s="5" t="s">
        <v>61</v>
      </c>
      <c r="C2510" s="8"/>
      <c r="D2510" s="12" t="s">
        <v>271</v>
      </c>
      <c r="E2510" s="9" t="s">
        <v>73</v>
      </c>
      <c r="F2510" s="8"/>
    </row>
    <row r="2511">
      <c r="A2511" s="5">
        <v>2510.0</v>
      </c>
      <c r="B2511" s="5" t="s">
        <v>84</v>
      </c>
      <c r="C2511" s="11">
        <v>2.85E8</v>
      </c>
      <c r="D2511" s="12" t="s">
        <v>272</v>
      </c>
      <c r="E2511" s="9" t="s">
        <v>60</v>
      </c>
      <c r="F2511" s="8"/>
    </row>
    <row r="2512">
      <c r="A2512" s="5">
        <v>2511.0</v>
      </c>
      <c r="B2512" s="5" t="s">
        <v>84</v>
      </c>
      <c r="C2512" s="11">
        <v>3.11E8</v>
      </c>
      <c r="D2512" s="12" t="s">
        <v>272</v>
      </c>
      <c r="E2512" s="9" t="s">
        <v>62</v>
      </c>
      <c r="F2512" s="8"/>
    </row>
    <row r="2513">
      <c r="A2513" s="5">
        <v>2512.0</v>
      </c>
      <c r="B2513" s="5" t="s">
        <v>84</v>
      </c>
      <c r="C2513" s="11">
        <v>2.92E8</v>
      </c>
      <c r="D2513" s="12" t="s">
        <v>272</v>
      </c>
      <c r="E2513" s="9" t="s">
        <v>63</v>
      </c>
      <c r="F2513" s="8"/>
    </row>
    <row r="2514">
      <c r="A2514" s="5">
        <v>2513.0</v>
      </c>
      <c r="B2514" s="5" t="s">
        <v>84</v>
      </c>
      <c r="C2514" s="8"/>
      <c r="D2514" s="12" t="s">
        <v>272</v>
      </c>
      <c r="E2514" s="9" t="s">
        <v>64</v>
      </c>
      <c r="F2514" s="8"/>
    </row>
    <row r="2515">
      <c r="A2515" s="5">
        <v>2514.0</v>
      </c>
      <c r="B2515" s="5" t="s">
        <v>84</v>
      </c>
      <c r="C2515" s="8"/>
      <c r="D2515" s="12" t="s">
        <v>272</v>
      </c>
      <c r="E2515" s="9" t="s">
        <v>65</v>
      </c>
      <c r="F2515" s="8"/>
    </row>
    <row r="2516">
      <c r="A2516" s="5">
        <v>2515.0</v>
      </c>
      <c r="B2516" s="5" t="s">
        <v>84</v>
      </c>
      <c r="C2516" s="8"/>
      <c r="D2516" s="12" t="s">
        <v>272</v>
      </c>
      <c r="E2516" s="9" t="s">
        <v>66</v>
      </c>
      <c r="F2516" s="8"/>
    </row>
    <row r="2517">
      <c r="A2517" s="5">
        <v>2516.0</v>
      </c>
      <c r="B2517" s="5" t="s">
        <v>84</v>
      </c>
      <c r="C2517" s="8"/>
      <c r="D2517" s="12" t="s">
        <v>272</v>
      </c>
      <c r="E2517" s="9" t="s">
        <v>67</v>
      </c>
      <c r="F2517" s="8"/>
    </row>
    <row r="2518">
      <c r="A2518" s="5">
        <v>2517.0</v>
      </c>
      <c r="B2518" s="5" t="s">
        <v>84</v>
      </c>
      <c r="C2518" s="8"/>
      <c r="D2518" s="12" t="s">
        <v>272</v>
      </c>
      <c r="E2518" s="9" t="s">
        <v>68</v>
      </c>
      <c r="F2518" s="8"/>
    </row>
    <row r="2519">
      <c r="A2519" s="5">
        <v>2518.0</v>
      </c>
      <c r="B2519" s="5" t="s">
        <v>84</v>
      </c>
      <c r="C2519" s="8"/>
      <c r="D2519" s="12" t="s">
        <v>272</v>
      </c>
      <c r="E2519" s="9" t="s">
        <v>69</v>
      </c>
      <c r="F2519" s="8"/>
    </row>
    <row r="2520">
      <c r="A2520" s="5">
        <v>2519.0</v>
      </c>
      <c r="B2520" s="5" t="s">
        <v>84</v>
      </c>
      <c r="C2520" s="8"/>
      <c r="D2520" s="12" t="s">
        <v>272</v>
      </c>
      <c r="E2520" s="9" t="s">
        <v>70</v>
      </c>
      <c r="F2520" s="8"/>
    </row>
    <row r="2521">
      <c r="A2521" s="5">
        <v>2520.0</v>
      </c>
      <c r="B2521" s="5" t="s">
        <v>84</v>
      </c>
      <c r="C2521" s="8"/>
      <c r="D2521" s="12" t="s">
        <v>272</v>
      </c>
      <c r="E2521" s="9" t="s">
        <v>71</v>
      </c>
      <c r="F2521" s="8"/>
    </row>
    <row r="2522">
      <c r="A2522" s="5">
        <v>2521.0</v>
      </c>
      <c r="B2522" s="5" t="s">
        <v>84</v>
      </c>
      <c r="C2522" s="8"/>
      <c r="D2522" s="12" t="s">
        <v>272</v>
      </c>
      <c r="E2522" s="9" t="s">
        <v>72</v>
      </c>
      <c r="F2522" s="8"/>
    </row>
    <row r="2523">
      <c r="A2523" s="5">
        <v>2522.0</v>
      </c>
      <c r="B2523" s="5" t="s">
        <v>84</v>
      </c>
      <c r="C2523" s="8"/>
      <c r="D2523" s="12" t="s">
        <v>272</v>
      </c>
      <c r="E2523" s="9" t="s">
        <v>73</v>
      </c>
      <c r="F2523" s="8"/>
    </row>
    <row r="2524">
      <c r="A2524" s="5">
        <v>2523.0</v>
      </c>
      <c r="B2524" s="5" t="s">
        <v>77</v>
      </c>
      <c r="C2524" s="11">
        <v>1.65E8</v>
      </c>
      <c r="D2524" s="12" t="s">
        <v>273</v>
      </c>
      <c r="E2524" s="9" t="s">
        <v>60</v>
      </c>
      <c r="F2524" s="8"/>
    </row>
    <row r="2525">
      <c r="A2525" s="5">
        <v>2524.0</v>
      </c>
      <c r="B2525" s="5" t="s">
        <v>77</v>
      </c>
      <c r="C2525" s="11">
        <v>1.87E8</v>
      </c>
      <c r="D2525" s="12" t="s">
        <v>273</v>
      </c>
      <c r="E2525" s="9" t="s">
        <v>62</v>
      </c>
      <c r="F2525" s="8"/>
    </row>
    <row r="2526">
      <c r="A2526" s="5">
        <v>2525.0</v>
      </c>
      <c r="B2526" s="5" t="s">
        <v>77</v>
      </c>
      <c r="C2526" s="11">
        <v>1.94E8</v>
      </c>
      <c r="D2526" s="12" t="s">
        <v>273</v>
      </c>
      <c r="E2526" s="9" t="s">
        <v>63</v>
      </c>
      <c r="F2526" s="8"/>
    </row>
    <row r="2527">
      <c r="A2527" s="5">
        <v>2526.0</v>
      </c>
      <c r="B2527" s="5" t="s">
        <v>77</v>
      </c>
      <c r="C2527" s="11">
        <v>1.85E8</v>
      </c>
      <c r="D2527" s="12" t="s">
        <v>273</v>
      </c>
      <c r="E2527" s="9" t="s">
        <v>64</v>
      </c>
      <c r="F2527" s="8"/>
    </row>
    <row r="2528">
      <c r="A2528" s="5">
        <v>2527.0</v>
      </c>
      <c r="B2528" s="5" t="s">
        <v>77</v>
      </c>
      <c r="C2528" s="11">
        <v>2.68E8</v>
      </c>
      <c r="D2528" s="12" t="s">
        <v>273</v>
      </c>
      <c r="E2528" s="9" t="s">
        <v>65</v>
      </c>
      <c r="F2528" s="11">
        <v>1.58E8</v>
      </c>
    </row>
    <row r="2529">
      <c r="A2529" s="5">
        <v>2528.0</v>
      </c>
      <c r="B2529" s="5" t="s">
        <v>77</v>
      </c>
      <c r="C2529" s="11">
        <v>3.82E8</v>
      </c>
      <c r="D2529" s="12" t="s">
        <v>273</v>
      </c>
      <c r="E2529" s="9" t="s">
        <v>66</v>
      </c>
      <c r="F2529" s="11">
        <v>1.85E8</v>
      </c>
    </row>
    <row r="2530">
      <c r="A2530" s="5">
        <v>2529.0</v>
      </c>
      <c r="B2530" s="5" t="s">
        <v>77</v>
      </c>
      <c r="C2530" s="11">
        <v>3.47E8</v>
      </c>
      <c r="D2530" s="12" t="s">
        <v>273</v>
      </c>
      <c r="E2530" s="9" t="s">
        <v>67</v>
      </c>
      <c r="F2530" s="11">
        <v>1.96E8</v>
      </c>
    </row>
    <row r="2531">
      <c r="A2531" s="5">
        <v>2530.0</v>
      </c>
      <c r="B2531" s="5" t="s">
        <v>77</v>
      </c>
      <c r="C2531" s="11">
        <v>4.02E8</v>
      </c>
      <c r="D2531" s="12" t="s">
        <v>273</v>
      </c>
      <c r="E2531" s="9" t="s">
        <v>68</v>
      </c>
      <c r="F2531" s="11">
        <v>2.2E8</v>
      </c>
    </row>
    <row r="2532">
      <c r="A2532" s="5">
        <v>2531.0</v>
      </c>
      <c r="B2532" s="5" t="s">
        <v>77</v>
      </c>
      <c r="C2532" s="11">
        <v>5.36E8</v>
      </c>
      <c r="D2532" s="12" t="s">
        <v>273</v>
      </c>
      <c r="E2532" s="9" t="s">
        <v>69</v>
      </c>
      <c r="F2532" s="11">
        <v>3.15E8</v>
      </c>
    </row>
    <row r="2533">
      <c r="A2533" s="5">
        <v>2532.0</v>
      </c>
      <c r="B2533" s="5" t="s">
        <v>77</v>
      </c>
      <c r="C2533" s="11">
        <v>6.83E8</v>
      </c>
      <c r="D2533" s="12" t="s">
        <v>273</v>
      </c>
      <c r="E2533" s="9" t="s">
        <v>70</v>
      </c>
      <c r="F2533" s="11">
        <v>3.51E8</v>
      </c>
    </row>
    <row r="2534">
      <c r="A2534" s="5">
        <v>2533.0</v>
      </c>
      <c r="B2534" s="5" t="s">
        <v>77</v>
      </c>
      <c r="C2534" s="11">
        <v>8.02E8</v>
      </c>
      <c r="D2534" s="12" t="s">
        <v>273</v>
      </c>
      <c r="E2534" s="9" t="s">
        <v>71</v>
      </c>
      <c r="F2534" s="11">
        <v>4.64E8</v>
      </c>
    </row>
    <row r="2535">
      <c r="A2535" s="5">
        <v>2534.0</v>
      </c>
      <c r="B2535" s="5" t="s">
        <v>77</v>
      </c>
      <c r="C2535" s="11">
        <v>9.67E8</v>
      </c>
      <c r="D2535" s="12" t="s">
        <v>273</v>
      </c>
      <c r="E2535" s="9" t="s">
        <v>72</v>
      </c>
      <c r="F2535" s="11">
        <v>5.28E8</v>
      </c>
    </row>
    <row r="2536">
      <c r="A2536" s="5">
        <v>2535.0</v>
      </c>
      <c r="B2536" s="5" t="s">
        <v>77</v>
      </c>
      <c r="C2536" s="11">
        <v>1.105E9</v>
      </c>
      <c r="D2536" s="12" t="s">
        <v>273</v>
      </c>
      <c r="E2536" s="9" t="s">
        <v>73</v>
      </c>
      <c r="F2536" s="11">
        <v>6.04E8</v>
      </c>
    </row>
    <row r="2537">
      <c r="A2537" s="5">
        <v>2536.0</v>
      </c>
      <c r="B2537" s="5" t="s">
        <v>75</v>
      </c>
      <c r="C2537" s="11">
        <v>5.63E8</v>
      </c>
      <c r="D2537" s="12" t="s">
        <v>274</v>
      </c>
      <c r="E2537" s="9" t="s">
        <v>60</v>
      </c>
      <c r="F2537" s="11">
        <v>5.61E8</v>
      </c>
    </row>
    <row r="2538">
      <c r="A2538" s="5">
        <v>2537.0</v>
      </c>
      <c r="B2538" s="5" t="s">
        <v>75</v>
      </c>
      <c r="C2538" s="11">
        <v>7.59E8</v>
      </c>
      <c r="D2538" s="12" t="s">
        <v>274</v>
      </c>
      <c r="E2538" s="9" t="s">
        <v>62</v>
      </c>
      <c r="F2538" s="11">
        <v>6.76E8</v>
      </c>
    </row>
    <row r="2539">
      <c r="A2539" s="5">
        <v>2538.0</v>
      </c>
      <c r="B2539" s="5" t="s">
        <v>75</v>
      </c>
      <c r="C2539" s="11">
        <v>1.001E9</v>
      </c>
      <c r="D2539" s="12" t="s">
        <v>274</v>
      </c>
      <c r="E2539" s="9" t="s">
        <v>63</v>
      </c>
      <c r="F2539" s="11">
        <v>7.94E8</v>
      </c>
    </row>
    <row r="2540">
      <c r="A2540" s="5">
        <v>2539.0</v>
      </c>
      <c r="B2540" s="5" t="s">
        <v>75</v>
      </c>
      <c r="C2540" s="11">
        <v>1.204E9</v>
      </c>
      <c r="D2540" s="12" t="s">
        <v>274</v>
      </c>
      <c r="E2540" s="9" t="s">
        <v>64</v>
      </c>
      <c r="F2540" s="11">
        <v>9.53E8</v>
      </c>
    </row>
    <row r="2541">
      <c r="A2541" s="5">
        <v>2540.0</v>
      </c>
      <c r="B2541" s="5" t="s">
        <v>75</v>
      </c>
      <c r="C2541" s="11">
        <v>2.931E9</v>
      </c>
      <c r="D2541" s="12" t="s">
        <v>274</v>
      </c>
      <c r="E2541" s="9" t="s">
        <v>65</v>
      </c>
      <c r="F2541" s="11">
        <v>2.66E9</v>
      </c>
    </row>
    <row r="2542">
      <c r="A2542" s="5">
        <v>2541.0</v>
      </c>
      <c r="B2542" s="5" t="s">
        <v>75</v>
      </c>
      <c r="C2542" s="11">
        <v>3.542E9</v>
      </c>
      <c r="D2542" s="12" t="s">
        <v>274</v>
      </c>
      <c r="E2542" s="9" t="s">
        <v>66</v>
      </c>
      <c r="F2542" s="11">
        <v>3.078E9</v>
      </c>
    </row>
    <row r="2543">
      <c r="A2543" s="5">
        <v>2542.0</v>
      </c>
      <c r="B2543" s="5" t="s">
        <v>75</v>
      </c>
      <c r="C2543" s="11">
        <v>4.018E9</v>
      </c>
      <c r="D2543" s="12" t="s">
        <v>274</v>
      </c>
      <c r="E2543" s="9" t="s">
        <v>67</v>
      </c>
      <c r="F2543" s="11">
        <v>3.202E9</v>
      </c>
    </row>
    <row r="2544">
      <c r="A2544" s="5">
        <v>2543.0</v>
      </c>
      <c r="B2544" s="5" t="s">
        <v>75</v>
      </c>
      <c r="C2544" s="11">
        <v>5.32E9</v>
      </c>
      <c r="D2544" s="12" t="s">
        <v>274</v>
      </c>
      <c r="E2544" s="9" t="s">
        <v>68</v>
      </c>
      <c r="F2544" s="11">
        <v>4.022E9</v>
      </c>
    </row>
    <row r="2545">
      <c r="A2545" s="5">
        <v>2544.0</v>
      </c>
      <c r="B2545" s="5" t="s">
        <v>75</v>
      </c>
      <c r="C2545" s="11">
        <v>6.722E9</v>
      </c>
      <c r="D2545" s="12" t="s">
        <v>274</v>
      </c>
      <c r="E2545" s="9" t="s">
        <v>69</v>
      </c>
      <c r="F2545" s="11">
        <v>4.585E9</v>
      </c>
    </row>
    <row r="2546">
      <c r="A2546" s="5">
        <v>2545.0</v>
      </c>
      <c r="B2546" s="5" t="s">
        <v>75</v>
      </c>
      <c r="C2546" s="11">
        <v>4.349E9</v>
      </c>
      <c r="D2546" s="12" t="s">
        <v>274</v>
      </c>
      <c r="E2546" s="9" t="s">
        <v>70</v>
      </c>
      <c r="F2546" s="11">
        <v>3.751E9</v>
      </c>
    </row>
    <row r="2547">
      <c r="A2547" s="5">
        <v>2546.0</v>
      </c>
      <c r="B2547" s="5" t="s">
        <v>75</v>
      </c>
      <c r="C2547" s="11">
        <v>4.696E9</v>
      </c>
      <c r="D2547" s="12" t="s">
        <v>274</v>
      </c>
      <c r="E2547" s="9" t="s">
        <v>71</v>
      </c>
      <c r="F2547" s="11">
        <v>4.134E9</v>
      </c>
    </row>
    <row r="2548">
      <c r="A2548" s="5">
        <v>2547.0</v>
      </c>
      <c r="B2548" s="5" t="s">
        <v>75</v>
      </c>
      <c r="C2548" s="11">
        <v>5.406E9</v>
      </c>
      <c r="D2548" s="12" t="s">
        <v>274</v>
      </c>
      <c r="E2548" s="9" t="s">
        <v>72</v>
      </c>
      <c r="F2548" s="11">
        <v>4.829E9</v>
      </c>
    </row>
    <row r="2549">
      <c r="A2549" s="5">
        <v>2548.0</v>
      </c>
      <c r="B2549" s="5" t="s">
        <v>75</v>
      </c>
      <c r="C2549" s="11">
        <v>5.988E9</v>
      </c>
      <c r="D2549" s="12" t="s">
        <v>274</v>
      </c>
      <c r="E2549" s="9" t="s">
        <v>73</v>
      </c>
      <c r="F2549" s="11">
        <v>5.536E9</v>
      </c>
    </row>
    <row r="2550">
      <c r="A2550" s="5">
        <v>2549.0</v>
      </c>
      <c r="B2550" s="5" t="s">
        <v>93</v>
      </c>
      <c r="C2550" s="11">
        <v>1.063E9</v>
      </c>
      <c r="D2550" s="12" t="s">
        <v>275</v>
      </c>
      <c r="E2550" s="9" t="s">
        <v>60</v>
      </c>
      <c r="F2550" s="11">
        <v>3.019E9</v>
      </c>
    </row>
    <row r="2551">
      <c r="A2551" s="5">
        <v>2550.0</v>
      </c>
      <c r="B2551" s="5" t="s">
        <v>93</v>
      </c>
      <c r="C2551" s="11">
        <v>1.2E9</v>
      </c>
      <c r="D2551" s="12" t="s">
        <v>275</v>
      </c>
      <c r="E2551" s="9" t="s">
        <v>62</v>
      </c>
      <c r="F2551" s="11">
        <v>3.321E9</v>
      </c>
    </row>
    <row r="2552">
      <c r="A2552" s="5">
        <v>2551.0</v>
      </c>
      <c r="B2552" s="5" t="s">
        <v>93</v>
      </c>
      <c r="C2552" s="11">
        <v>1.332E9</v>
      </c>
      <c r="D2552" s="12" t="s">
        <v>275</v>
      </c>
      <c r="E2552" s="9" t="s">
        <v>63</v>
      </c>
      <c r="F2552" s="11">
        <v>3.651E9</v>
      </c>
    </row>
    <row r="2553">
      <c r="A2553" s="5">
        <v>2552.0</v>
      </c>
      <c r="B2553" s="5" t="s">
        <v>93</v>
      </c>
      <c r="C2553" s="11">
        <v>1.438E9</v>
      </c>
      <c r="D2553" s="12" t="s">
        <v>275</v>
      </c>
      <c r="E2553" s="9" t="s">
        <v>64</v>
      </c>
      <c r="F2553" s="11">
        <v>3.956E9</v>
      </c>
    </row>
    <row r="2554">
      <c r="A2554" s="5">
        <v>2553.0</v>
      </c>
      <c r="B2554" s="5" t="s">
        <v>93</v>
      </c>
      <c r="C2554" s="11">
        <v>1.593E9</v>
      </c>
      <c r="D2554" s="12" t="s">
        <v>275</v>
      </c>
      <c r="E2554" s="9" t="s">
        <v>65</v>
      </c>
      <c r="F2554" s="11">
        <v>4.472E9</v>
      </c>
    </row>
    <row r="2555">
      <c r="A2555" s="5">
        <v>2554.0</v>
      </c>
      <c r="B2555" s="5" t="s">
        <v>93</v>
      </c>
      <c r="C2555" s="11">
        <v>3.218E9</v>
      </c>
      <c r="D2555" s="12" t="s">
        <v>275</v>
      </c>
      <c r="E2555" s="9" t="s">
        <v>66</v>
      </c>
      <c r="F2555" s="11">
        <v>6.186E9</v>
      </c>
    </row>
    <row r="2556">
      <c r="A2556" s="5">
        <v>2555.0</v>
      </c>
      <c r="B2556" s="5" t="s">
        <v>93</v>
      </c>
      <c r="C2556" s="11">
        <v>4.972E9</v>
      </c>
      <c r="D2556" s="12" t="s">
        <v>275</v>
      </c>
      <c r="E2556" s="9" t="s">
        <v>67</v>
      </c>
      <c r="F2556" s="11">
        <v>8.827E9</v>
      </c>
    </row>
    <row r="2557">
      <c r="A2557" s="5">
        <v>2556.0</v>
      </c>
      <c r="B2557" s="5" t="s">
        <v>93</v>
      </c>
      <c r="C2557" s="11">
        <v>6.072E9</v>
      </c>
      <c r="D2557" s="12" t="s">
        <v>275</v>
      </c>
      <c r="E2557" s="9" t="s">
        <v>68</v>
      </c>
      <c r="F2557" s="11">
        <v>1.1273E10</v>
      </c>
    </row>
    <row r="2558">
      <c r="A2558" s="5">
        <v>2557.0</v>
      </c>
      <c r="B2558" s="5" t="s">
        <v>93</v>
      </c>
      <c r="C2558" s="11">
        <v>7.162E9</v>
      </c>
      <c r="D2558" s="12" t="s">
        <v>275</v>
      </c>
      <c r="E2558" s="9" t="s">
        <v>69</v>
      </c>
      <c r="F2558" s="11">
        <v>1.3288E10</v>
      </c>
    </row>
    <row r="2559">
      <c r="A2559" s="5">
        <v>2558.0</v>
      </c>
      <c r="B2559" s="5" t="s">
        <v>93</v>
      </c>
      <c r="C2559" s="11">
        <v>7.352E9</v>
      </c>
      <c r="D2559" s="12" t="s">
        <v>275</v>
      </c>
      <c r="E2559" s="9" t="s">
        <v>70</v>
      </c>
      <c r="F2559" s="11">
        <v>1.0347E10</v>
      </c>
    </row>
    <row r="2560">
      <c r="A2560" s="5">
        <v>2559.0</v>
      </c>
      <c r="B2560" s="5" t="s">
        <v>93</v>
      </c>
      <c r="C2560" s="11">
        <v>8.577E9</v>
      </c>
      <c r="D2560" s="12" t="s">
        <v>275</v>
      </c>
      <c r="E2560" s="9" t="s">
        <v>71</v>
      </c>
      <c r="F2560" s="11">
        <v>1.1818E10</v>
      </c>
    </row>
    <row r="2561">
      <c r="A2561" s="5">
        <v>2560.0</v>
      </c>
      <c r="B2561" s="5" t="s">
        <v>93</v>
      </c>
      <c r="C2561" s="8"/>
      <c r="D2561" s="12" t="s">
        <v>275</v>
      </c>
      <c r="E2561" s="9" t="s">
        <v>72</v>
      </c>
      <c r="F2561" s="8"/>
    </row>
    <row r="2562">
      <c r="A2562" s="5">
        <v>2561.0</v>
      </c>
      <c r="B2562" s="5" t="s">
        <v>93</v>
      </c>
      <c r="C2562" s="8"/>
      <c r="D2562" s="12" t="s">
        <v>275</v>
      </c>
      <c r="E2562" s="9" t="s">
        <v>73</v>
      </c>
      <c r="F2562" s="8"/>
    </row>
    <row r="2563">
      <c r="A2563" s="5">
        <v>2562.0</v>
      </c>
      <c r="B2563" s="5" t="s">
        <v>75</v>
      </c>
      <c r="C2563" s="11">
        <v>2.9978E10</v>
      </c>
      <c r="D2563" s="12" t="s">
        <v>276</v>
      </c>
      <c r="E2563" s="9" t="s">
        <v>60</v>
      </c>
      <c r="F2563" s="11">
        <v>4.7009E10</v>
      </c>
    </row>
    <row r="2564">
      <c r="A2564" s="5">
        <v>2563.0</v>
      </c>
      <c r="B2564" s="5" t="s">
        <v>75</v>
      </c>
      <c r="C2564" s="11">
        <v>2.6137E10</v>
      </c>
      <c r="D2564" s="12" t="s">
        <v>276</v>
      </c>
      <c r="E2564" s="9" t="s">
        <v>62</v>
      </c>
      <c r="F2564" s="11">
        <v>4.641E10</v>
      </c>
    </row>
    <row r="2565">
      <c r="A2565" s="5">
        <v>2564.0</v>
      </c>
      <c r="B2565" s="5" t="s">
        <v>75</v>
      </c>
      <c r="C2565" s="11">
        <v>2.7819E10</v>
      </c>
      <c r="D2565" s="12" t="s">
        <v>276</v>
      </c>
      <c r="E2565" s="9" t="s">
        <v>63</v>
      </c>
      <c r="F2565" s="11">
        <v>5.1125E10</v>
      </c>
    </row>
    <row r="2566">
      <c r="A2566" s="5">
        <v>2565.0</v>
      </c>
      <c r="B2566" s="5" t="s">
        <v>75</v>
      </c>
      <c r="C2566" s="11">
        <v>3.0736E10</v>
      </c>
      <c r="D2566" s="12" t="s">
        <v>276</v>
      </c>
      <c r="E2566" s="9" t="s">
        <v>64</v>
      </c>
      <c r="F2566" s="11">
        <v>5.8627E10</v>
      </c>
    </row>
    <row r="2567">
      <c r="A2567" s="5">
        <v>2566.0</v>
      </c>
      <c r="B2567" s="5" t="s">
        <v>75</v>
      </c>
      <c r="C2567" s="11">
        <v>3.7166E10</v>
      </c>
      <c r="D2567" s="12" t="s">
        <v>276</v>
      </c>
      <c r="E2567" s="9" t="s">
        <v>65</v>
      </c>
      <c r="F2567" s="11">
        <v>6.9076E10</v>
      </c>
    </row>
    <row r="2568">
      <c r="A2568" s="5">
        <v>2567.0</v>
      </c>
      <c r="B2568" s="5" t="s">
        <v>75</v>
      </c>
      <c r="C2568" s="11">
        <v>3.9411E10</v>
      </c>
      <c r="D2568" s="12" t="s">
        <v>276</v>
      </c>
      <c r="E2568" s="9" t="s">
        <v>66</v>
      </c>
      <c r="F2568" s="11">
        <v>7.2993E10</v>
      </c>
    </row>
    <row r="2569">
      <c r="A2569" s="5">
        <v>2568.0</v>
      </c>
      <c r="B2569" s="5" t="s">
        <v>75</v>
      </c>
      <c r="C2569" s="11">
        <v>4.3803E10</v>
      </c>
      <c r="D2569" s="12" t="s">
        <v>276</v>
      </c>
      <c r="E2569" s="9" t="s">
        <v>67</v>
      </c>
      <c r="F2569" s="11">
        <v>7.7674E10</v>
      </c>
    </row>
    <row r="2570">
      <c r="A2570" s="5">
        <v>2569.0</v>
      </c>
      <c r="B2570" s="5" t="s">
        <v>75</v>
      </c>
      <c r="C2570" s="11">
        <v>4.8193E10</v>
      </c>
      <c r="D2570" s="12" t="s">
        <v>276</v>
      </c>
      <c r="E2570" s="9" t="s">
        <v>68</v>
      </c>
      <c r="F2570" s="11">
        <v>8.6747E10</v>
      </c>
    </row>
    <row r="2571">
      <c r="A2571" s="5">
        <v>2570.0</v>
      </c>
      <c r="B2571" s="5" t="s">
        <v>75</v>
      </c>
      <c r="C2571" s="11">
        <v>4.6285E10</v>
      </c>
      <c r="D2571" s="12" t="s">
        <v>276</v>
      </c>
      <c r="E2571" s="9" t="s">
        <v>69</v>
      </c>
      <c r="F2571" s="11">
        <v>8.3584E10</v>
      </c>
    </row>
    <row r="2572">
      <c r="A2572" s="5">
        <v>2571.0</v>
      </c>
      <c r="B2572" s="5" t="s">
        <v>75</v>
      </c>
      <c r="C2572" s="11">
        <v>3.8564E10</v>
      </c>
      <c r="D2572" s="12" t="s">
        <v>276</v>
      </c>
      <c r="E2572" s="9" t="s">
        <v>70</v>
      </c>
      <c r="F2572" s="11">
        <v>6.1133E10</v>
      </c>
    </row>
    <row r="2573">
      <c r="A2573" s="5">
        <v>2572.0</v>
      </c>
      <c r="B2573" s="5" t="s">
        <v>75</v>
      </c>
      <c r="C2573" s="11">
        <v>4.0746E10</v>
      </c>
      <c r="D2573" s="12" t="s">
        <v>276</v>
      </c>
      <c r="E2573" s="9" t="s">
        <v>71</v>
      </c>
      <c r="F2573" s="11">
        <v>6.1368E10</v>
      </c>
    </row>
    <row r="2574">
      <c r="A2574" s="5">
        <v>2573.0</v>
      </c>
      <c r="B2574" s="5" t="s">
        <v>75</v>
      </c>
      <c r="C2574" s="11">
        <v>4.594E10</v>
      </c>
      <c r="D2574" s="12" t="s">
        <v>276</v>
      </c>
      <c r="E2574" s="9" t="s">
        <v>72</v>
      </c>
      <c r="F2574" s="11">
        <v>6.4627E10</v>
      </c>
    </row>
    <row r="2575">
      <c r="A2575" s="5">
        <v>2574.0</v>
      </c>
      <c r="B2575" s="5" t="s">
        <v>75</v>
      </c>
      <c r="C2575" s="11">
        <v>4.5966E10</v>
      </c>
      <c r="D2575" s="12" t="s">
        <v>276</v>
      </c>
      <c r="E2575" s="9" t="s">
        <v>73</v>
      </c>
      <c r="F2575" s="11">
        <v>6.6182E10</v>
      </c>
    </row>
    <row r="2576">
      <c r="A2576" s="5">
        <v>2575.0</v>
      </c>
      <c r="B2576" s="5" t="s">
        <v>84</v>
      </c>
      <c r="C2576" s="13">
        <v>1.21E11</v>
      </c>
      <c r="D2576" s="12" t="s">
        <v>277</v>
      </c>
      <c r="E2576" s="9" t="s">
        <v>60</v>
      </c>
      <c r="F2576" s="11">
        <v>9.1473E10</v>
      </c>
    </row>
    <row r="2577">
      <c r="A2577" s="5">
        <v>2576.0</v>
      </c>
      <c r="B2577" s="5" t="s">
        <v>84</v>
      </c>
      <c r="C2577" s="13">
        <v>1.09E11</v>
      </c>
      <c r="D2577" s="12" t="s">
        <v>277</v>
      </c>
      <c r="E2577" s="9" t="s">
        <v>62</v>
      </c>
      <c r="F2577" s="11">
        <v>8.561E10</v>
      </c>
    </row>
    <row r="2578">
      <c r="A2578" s="5">
        <v>2577.0</v>
      </c>
      <c r="B2578" s="5" t="s">
        <v>84</v>
      </c>
      <c r="C2578" s="13">
        <v>1.04E11</v>
      </c>
      <c r="D2578" s="12" t="s">
        <v>277</v>
      </c>
      <c r="E2578" s="9" t="s">
        <v>63</v>
      </c>
      <c r="F2578" s="11">
        <v>8.186E10</v>
      </c>
    </row>
    <row r="2579">
      <c r="A2579" s="5">
        <v>2578.0</v>
      </c>
      <c r="B2579" s="5" t="s">
        <v>84</v>
      </c>
      <c r="C2579" s="13">
        <v>1.02E11</v>
      </c>
      <c r="D2579" s="12" t="s">
        <v>277</v>
      </c>
      <c r="E2579" s="9" t="s">
        <v>64</v>
      </c>
      <c r="F2579" s="11">
        <v>8.2091E10</v>
      </c>
    </row>
    <row r="2580">
      <c r="A2580" s="5">
        <v>2579.0</v>
      </c>
      <c r="B2580" s="5" t="s">
        <v>84</v>
      </c>
      <c r="C2580" s="13">
        <v>1.16E11</v>
      </c>
      <c r="D2580" s="12" t="s">
        <v>277</v>
      </c>
      <c r="E2580" s="9" t="s">
        <v>65</v>
      </c>
      <c r="F2580" s="11">
        <v>9.4764E10</v>
      </c>
    </row>
    <row r="2581">
      <c r="A2581" s="5">
        <v>2580.0</v>
      </c>
      <c r="B2581" s="5" t="s">
        <v>84</v>
      </c>
      <c r="C2581" s="13">
        <v>1.27E11</v>
      </c>
      <c r="D2581" s="12" t="s">
        <v>277</v>
      </c>
      <c r="E2581" s="9" t="s">
        <v>66</v>
      </c>
      <c r="F2581" s="8"/>
    </row>
    <row r="2582">
      <c r="A2582" s="5">
        <v>2581.0</v>
      </c>
      <c r="B2582" s="5" t="s">
        <v>84</v>
      </c>
      <c r="C2582" s="13">
        <v>1.33E11</v>
      </c>
      <c r="D2582" s="12" t="s">
        <v>277</v>
      </c>
      <c r="E2582" s="9" t="s">
        <v>67</v>
      </c>
      <c r="F2582" s="8"/>
    </row>
    <row r="2583">
      <c r="A2583" s="5">
        <v>2582.0</v>
      </c>
      <c r="B2583" s="5" t="s">
        <v>84</v>
      </c>
      <c r="C2583" s="13">
        <v>1.49E11</v>
      </c>
      <c r="D2583" s="12" t="s">
        <v>277</v>
      </c>
      <c r="E2583" s="9" t="s">
        <v>68</v>
      </c>
      <c r="F2583" s="8"/>
    </row>
    <row r="2584">
      <c r="A2584" s="5">
        <v>2583.0</v>
      </c>
      <c r="B2584" s="5" t="s">
        <v>84</v>
      </c>
      <c r="C2584" s="13">
        <v>1.71E11</v>
      </c>
      <c r="D2584" s="12" t="s">
        <v>277</v>
      </c>
      <c r="E2584" s="9" t="s">
        <v>69</v>
      </c>
      <c r="F2584" s="8"/>
    </row>
    <row r="2585">
      <c r="A2585" s="5">
        <v>2584.0</v>
      </c>
      <c r="B2585" s="5" t="s">
        <v>84</v>
      </c>
      <c r="C2585" s="13">
        <v>1.5E11</v>
      </c>
      <c r="D2585" s="12" t="s">
        <v>277</v>
      </c>
      <c r="E2585" s="9" t="s">
        <v>70</v>
      </c>
      <c r="F2585" s="8"/>
    </row>
    <row r="2586">
      <c r="A2586" s="5">
        <v>2585.0</v>
      </c>
      <c r="B2586" s="5" t="s">
        <v>84</v>
      </c>
      <c r="C2586" s="13">
        <v>1.65E11</v>
      </c>
      <c r="D2586" s="12" t="s">
        <v>277</v>
      </c>
      <c r="E2586" s="9" t="s">
        <v>71</v>
      </c>
      <c r="F2586" s="8"/>
    </row>
    <row r="2587">
      <c r="A2587" s="5">
        <v>2586.0</v>
      </c>
      <c r="B2587" s="5" t="s">
        <v>84</v>
      </c>
      <c r="C2587" s="13">
        <v>1.85E11</v>
      </c>
      <c r="D2587" s="12" t="s">
        <v>277</v>
      </c>
      <c r="E2587" s="9" t="s">
        <v>72</v>
      </c>
      <c r="F2587" s="8"/>
    </row>
    <row r="2588">
      <c r="A2588" s="5">
        <v>2587.0</v>
      </c>
      <c r="B2588" s="5" t="s">
        <v>84</v>
      </c>
      <c r="C2588" s="13">
        <v>2.0E11</v>
      </c>
      <c r="D2588" s="12" t="s">
        <v>277</v>
      </c>
      <c r="E2588" s="9" t="s">
        <v>73</v>
      </c>
      <c r="F2588" s="8"/>
    </row>
    <row r="2589">
      <c r="A2589" s="5">
        <v>2588.0</v>
      </c>
      <c r="B2589" s="5" t="s">
        <v>84</v>
      </c>
      <c r="C2589" s="11">
        <v>8.27E8</v>
      </c>
      <c r="D2589" s="12" t="s">
        <v>278</v>
      </c>
      <c r="E2589" s="9" t="s">
        <v>60</v>
      </c>
      <c r="F2589" s="11">
        <v>3.81E8</v>
      </c>
    </row>
    <row r="2590">
      <c r="A2590" s="5">
        <v>2589.0</v>
      </c>
      <c r="B2590" s="5" t="s">
        <v>84</v>
      </c>
      <c r="C2590" s="11">
        <v>7.0E8</v>
      </c>
      <c r="D2590" s="12" t="s">
        <v>278</v>
      </c>
      <c r="E2590" s="9" t="s">
        <v>62</v>
      </c>
      <c r="F2590" s="11">
        <v>3.38E8</v>
      </c>
    </row>
    <row r="2591">
      <c r="A2591" s="5">
        <v>2590.0</v>
      </c>
      <c r="B2591" s="5" t="s">
        <v>84</v>
      </c>
      <c r="C2591" s="11">
        <v>4.09E8</v>
      </c>
      <c r="D2591" s="12" t="s">
        <v>278</v>
      </c>
      <c r="E2591" s="9" t="s">
        <v>63</v>
      </c>
      <c r="F2591" s="11">
        <v>2.43E8</v>
      </c>
    </row>
    <row r="2592">
      <c r="A2592" s="5">
        <v>2591.0</v>
      </c>
      <c r="B2592" s="5" t="s">
        <v>84</v>
      </c>
      <c r="C2592" s="11">
        <v>4.19E8</v>
      </c>
      <c r="D2592" s="12" t="s">
        <v>278</v>
      </c>
      <c r="E2592" s="9" t="s">
        <v>64</v>
      </c>
      <c r="F2592" s="11">
        <v>2.36E8</v>
      </c>
    </row>
    <row r="2593">
      <c r="A2593" s="5">
        <v>2592.0</v>
      </c>
      <c r="B2593" s="5" t="s">
        <v>84</v>
      </c>
      <c r="C2593" s="11">
        <v>5.91E8</v>
      </c>
      <c r="D2593" s="12" t="s">
        <v>278</v>
      </c>
      <c r="E2593" s="9" t="s">
        <v>65</v>
      </c>
      <c r="F2593" s="11">
        <v>2.67E8</v>
      </c>
    </row>
    <row r="2594">
      <c r="A2594" s="5">
        <v>2593.0</v>
      </c>
      <c r="B2594" s="5" t="s">
        <v>84</v>
      </c>
      <c r="C2594" s="11">
        <v>6.99E8</v>
      </c>
      <c r="D2594" s="12" t="s">
        <v>278</v>
      </c>
      <c r="E2594" s="9" t="s">
        <v>66</v>
      </c>
      <c r="F2594" s="11">
        <v>3.31E8</v>
      </c>
    </row>
    <row r="2595">
      <c r="A2595" s="5">
        <v>2594.0</v>
      </c>
      <c r="B2595" s="5" t="s">
        <v>84</v>
      </c>
      <c r="C2595" s="11">
        <v>7.11E8</v>
      </c>
      <c r="D2595" s="12" t="s">
        <v>278</v>
      </c>
      <c r="E2595" s="9" t="s">
        <v>67</v>
      </c>
      <c r="F2595" s="11">
        <v>3.05E8</v>
      </c>
    </row>
    <row r="2596">
      <c r="A2596" s="5">
        <v>2595.0</v>
      </c>
      <c r="B2596" s="5" t="s">
        <v>84</v>
      </c>
      <c r="C2596" s="11">
        <v>9.28E8</v>
      </c>
      <c r="D2596" s="12" t="s">
        <v>278</v>
      </c>
      <c r="E2596" s="9" t="s">
        <v>68</v>
      </c>
      <c r="F2596" s="11">
        <v>3.54E8</v>
      </c>
    </row>
    <row r="2597">
      <c r="A2597" s="5">
        <v>2596.0</v>
      </c>
      <c r="B2597" s="5" t="s">
        <v>84</v>
      </c>
      <c r="C2597" s="11">
        <v>1.195E9</v>
      </c>
      <c r="D2597" s="12" t="s">
        <v>278</v>
      </c>
      <c r="E2597" s="9" t="s">
        <v>69</v>
      </c>
      <c r="F2597" s="11">
        <v>4.66E8</v>
      </c>
    </row>
    <row r="2598">
      <c r="A2598" s="5">
        <v>2597.0</v>
      </c>
      <c r="B2598" s="5" t="s">
        <v>84</v>
      </c>
      <c r="C2598" s="11">
        <v>1.46E9</v>
      </c>
      <c r="D2598" s="12" t="s">
        <v>278</v>
      </c>
      <c r="E2598" s="9" t="s">
        <v>70</v>
      </c>
      <c r="F2598" s="11">
        <v>4.42E8</v>
      </c>
    </row>
    <row r="2599">
      <c r="A2599" s="5">
        <v>2598.0</v>
      </c>
      <c r="B2599" s="5" t="s">
        <v>84</v>
      </c>
      <c r="C2599" s="11">
        <v>1.669E9</v>
      </c>
      <c r="D2599" s="12" t="s">
        <v>278</v>
      </c>
      <c r="E2599" s="9" t="s">
        <v>71</v>
      </c>
      <c r="F2599" s="11">
        <v>5.49E8</v>
      </c>
    </row>
    <row r="2600">
      <c r="A2600" s="5">
        <v>2599.0</v>
      </c>
      <c r="B2600" s="5" t="s">
        <v>84</v>
      </c>
      <c r="C2600" s="11">
        <v>2.401E9</v>
      </c>
      <c r="D2600" s="12" t="s">
        <v>278</v>
      </c>
      <c r="E2600" s="9" t="s">
        <v>72</v>
      </c>
      <c r="F2600" s="11">
        <v>7.97E8</v>
      </c>
    </row>
    <row r="2601">
      <c r="A2601" s="5">
        <v>2600.0</v>
      </c>
      <c r="B2601" s="5" t="s">
        <v>84</v>
      </c>
      <c r="C2601" s="11">
        <v>2.222E9</v>
      </c>
      <c r="D2601" s="12" t="s">
        <v>278</v>
      </c>
      <c r="E2601" s="9" t="s">
        <v>73</v>
      </c>
      <c r="F2601" s="11">
        <v>1.028E9</v>
      </c>
    </row>
    <row r="2602">
      <c r="A2602" s="5">
        <v>2601.0</v>
      </c>
      <c r="B2602" s="5" t="s">
        <v>61</v>
      </c>
      <c r="C2602" s="11">
        <v>6.3E7</v>
      </c>
      <c r="D2602" s="12" t="s">
        <v>279</v>
      </c>
      <c r="E2602" s="9" t="s">
        <v>60</v>
      </c>
      <c r="F2602" s="8"/>
    </row>
    <row r="2603">
      <c r="A2603" s="5">
        <v>2602.0</v>
      </c>
      <c r="B2603" s="5" t="s">
        <v>61</v>
      </c>
      <c r="C2603" s="11">
        <v>7.2E7</v>
      </c>
      <c r="D2603" s="12" t="s">
        <v>279</v>
      </c>
      <c r="E2603" s="9" t="s">
        <v>62</v>
      </c>
      <c r="F2603" s="8"/>
    </row>
    <row r="2604">
      <c r="A2604" s="5">
        <v>2603.0</v>
      </c>
      <c r="B2604" s="5" t="s">
        <v>61</v>
      </c>
      <c r="C2604" s="11">
        <v>6.8E7</v>
      </c>
      <c r="D2604" s="12" t="s">
        <v>279</v>
      </c>
      <c r="E2604" s="9" t="s">
        <v>63</v>
      </c>
      <c r="F2604" s="8"/>
    </row>
    <row r="2605">
      <c r="A2605" s="5">
        <v>2604.0</v>
      </c>
      <c r="B2605" s="5" t="s">
        <v>61</v>
      </c>
      <c r="C2605" s="11">
        <v>4.8E7</v>
      </c>
      <c r="D2605" s="12" t="s">
        <v>279</v>
      </c>
      <c r="E2605" s="9" t="s">
        <v>64</v>
      </c>
      <c r="F2605" s="8"/>
    </row>
    <row r="2606">
      <c r="A2606" s="5">
        <v>2605.0</v>
      </c>
      <c r="B2606" s="5" t="s">
        <v>61</v>
      </c>
      <c r="C2606" s="11">
        <v>5.7E7</v>
      </c>
      <c r="D2606" s="12" t="s">
        <v>279</v>
      </c>
      <c r="E2606" s="9" t="s">
        <v>65</v>
      </c>
      <c r="F2606" s="8"/>
    </row>
    <row r="2607">
      <c r="A2607" s="5">
        <v>2606.0</v>
      </c>
      <c r="B2607" s="5" t="s">
        <v>61</v>
      </c>
      <c r="C2607" s="11">
        <v>2.8E7</v>
      </c>
      <c r="D2607" s="12" t="s">
        <v>279</v>
      </c>
      <c r="E2607" s="9" t="s">
        <v>66</v>
      </c>
      <c r="F2607" s="8"/>
    </row>
    <row r="2608">
      <c r="A2608" s="5">
        <v>2607.0</v>
      </c>
      <c r="B2608" s="5" t="s">
        <v>61</v>
      </c>
      <c r="C2608" s="11">
        <v>4.3E7</v>
      </c>
      <c r="D2608" s="12" t="s">
        <v>279</v>
      </c>
      <c r="E2608" s="9" t="s">
        <v>67</v>
      </c>
      <c r="F2608" s="8"/>
    </row>
    <row r="2609">
      <c r="A2609" s="5">
        <v>2608.0</v>
      </c>
      <c r="B2609" s="5" t="s">
        <v>61</v>
      </c>
      <c r="C2609" s="11">
        <v>5.1E7</v>
      </c>
      <c r="D2609" s="12" t="s">
        <v>279</v>
      </c>
      <c r="E2609" s="9" t="s">
        <v>68</v>
      </c>
      <c r="F2609" s="8"/>
    </row>
    <row r="2610">
      <c r="A2610" s="5">
        <v>2609.0</v>
      </c>
      <c r="B2610" s="5" t="s">
        <v>61</v>
      </c>
      <c r="C2610" s="11">
        <v>6.4E7</v>
      </c>
      <c r="D2610" s="12" t="s">
        <v>279</v>
      </c>
      <c r="E2610" s="9" t="s">
        <v>69</v>
      </c>
      <c r="F2610" s="8"/>
    </row>
    <row r="2611">
      <c r="A2611" s="5">
        <v>2610.0</v>
      </c>
      <c r="B2611" s="5" t="s">
        <v>61</v>
      </c>
      <c r="C2611" s="11">
        <v>9.9E7</v>
      </c>
      <c r="D2611" s="12" t="s">
        <v>279</v>
      </c>
      <c r="E2611" s="9" t="s">
        <v>70</v>
      </c>
      <c r="F2611" s="8"/>
    </row>
    <row r="2612">
      <c r="A2612" s="5">
        <v>2611.0</v>
      </c>
      <c r="B2612" s="5" t="s">
        <v>61</v>
      </c>
      <c r="C2612" s="11">
        <v>1.21E8</v>
      </c>
      <c r="D2612" s="12" t="s">
        <v>279</v>
      </c>
      <c r="E2612" s="9" t="s">
        <v>71</v>
      </c>
      <c r="F2612" s="8"/>
    </row>
    <row r="2613">
      <c r="A2613" s="5">
        <v>2612.0</v>
      </c>
      <c r="B2613" s="5" t="s">
        <v>61</v>
      </c>
      <c r="C2613" s="8"/>
      <c r="D2613" s="12" t="s">
        <v>279</v>
      </c>
      <c r="E2613" s="9" t="s">
        <v>72</v>
      </c>
      <c r="F2613" s="8"/>
    </row>
    <row r="2614">
      <c r="A2614" s="5">
        <v>2613.0</v>
      </c>
      <c r="B2614" s="5" t="s">
        <v>61</v>
      </c>
      <c r="C2614" s="8"/>
      <c r="D2614" s="12" t="s">
        <v>279</v>
      </c>
      <c r="E2614" s="9" t="s">
        <v>73</v>
      </c>
      <c r="F2614" s="8"/>
    </row>
    <row r="2615">
      <c r="A2615" s="5">
        <v>2614.0</v>
      </c>
      <c r="B2615" s="5" t="s">
        <v>80</v>
      </c>
      <c r="C2615" s="11">
        <v>6.9E7</v>
      </c>
      <c r="D2615" s="12" t="s">
        <v>280</v>
      </c>
      <c r="E2615" s="9" t="s">
        <v>60</v>
      </c>
      <c r="F2615" s="11">
        <v>9000000.0</v>
      </c>
    </row>
    <row r="2616">
      <c r="A2616" s="5">
        <v>2615.0</v>
      </c>
      <c r="B2616" s="5" t="s">
        <v>80</v>
      </c>
      <c r="C2616" s="11">
        <v>5.8E7</v>
      </c>
      <c r="D2616" s="12" t="s">
        <v>280</v>
      </c>
      <c r="E2616" s="9" t="s">
        <v>62</v>
      </c>
      <c r="F2616" s="11">
        <v>8000000.0</v>
      </c>
    </row>
    <row r="2617">
      <c r="A2617" s="5">
        <v>2616.0</v>
      </c>
      <c r="B2617" s="5" t="s">
        <v>80</v>
      </c>
      <c r="C2617" s="11">
        <v>7.2E7</v>
      </c>
      <c r="D2617" s="12" t="s">
        <v>280</v>
      </c>
      <c r="E2617" s="9" t="s">
        <v>63</v>
      </c>
      <c r="F2617" s="11">
        <v>1.1E7</v>
      </c>
    </row>
    <row r="2618">
      <c r="A2618" s="5">
        <v>2617.0</v>
      </c>
      <c r="B2618" s="5" t="s">
        <v>80</v>
      </c>
      <c r="C2618" s="11">
        <v>8.3E7</v>
      </c>
      <c r="D2618" s="12" t="s">
        <v>280</v>
      </c>
      <c r="E2618" s="9" t="s">
        <v>64</v>
      </c>
      <c r="F2618" s="11">
        <v>1.4E7</v>
      </c>
    </row>
    <row r="2619">
      <c r="A2619" s="5">
        <v>2618.0</v>
      </c>
      <c r="B2619" s="5" t="s">
        <v>80</v>
      </c>
      <c r="C2619" s="11">
        <v>9.3E7</v>
      </c>
      <c r="D2619" s="12" t="s">
        <v>280</v>
      </c>
      <c r="E2619" s="9" t="s">
        <v>65</v>
      </c>
      <c r="F2619" s="11">
        <v>1.5E7</v>
      </c>
    </row>
    <row r="2620">
      <c r="A2620" s="5">
        <v>2619.0</v>
      </c>
      <c r="B2620" s="5" t="s">
        <v>80</v>
      </c>
      <c r="C2620" s="11">
        <v>1.04E8</v>
      </c>
      <c r="D2620" s="12" t="s">
        <v>280</v>
      </c>
      <c r="E2620" s="9" t="s">
        <v>66</v>
      </c>
      <c r="F2620" s="11">
        <v>1.3E7</v>
      </c>
    </row>
    <row r="2621">
      <c r="A2621" s="5">
        <v>2620.0</v>
      </c>
      <c r="B2621" s="5" t="s">
        <v>80</v>
      </c>
      <c r="C2621" s="11">
        <v>1.09E8</v>
      </c>
      <c r="D2621" s="12" t="s">
        <v>280</v>
      </c>
      <c r="E2621" s="9" t="s">
        <v>67</v>
      </c>
      <c r="F2621" s="11">
        <v>1.1E7</v>
      </c>
    </row>
    <row r="2622">
      <c r="A2622" s="5">
        <v>2621.0</v>
      </c>
      <c r="B2622" s="5" t="s">
        <v>80</v>
      </c>
      <c r="C2622" s="11">
        <v>1.42E8</v>
      </c>
      <c r="D2622" s="12" t="s">
        <v>280</v>
      </c>
      <c r="E2622" s="9" t="s">
        <v>68</v>
      </c>
      <c r="F2622" s="11">
        <v>1.3E7</v>
      </c>
    </row>
    <row r="2623">
      <c r="A2623" s="5">
        <v>2622.0</v>
      </c>
      <c r="B2623" s="5" t="s">
        <v>80</v>
      </c>
      <c r="C2623" s="11">
        <v>1.88E8</v>
      </c>
      <c r="D2623" s="12" t="s">
        <v>280</v>
      </c>
      <c r="E2623" s="9" t="s">
        <v>69</v>
      </c>
      <c r="F2623" s="11">
        <v>3.2E7</v>
      </c>
    </row>
    <row r="2624">
      <c r="A2624" s="5">
        <v>2623.0</v>
      </c>
      <c r="B2624" s="5" t="s">
        <v>80</v>
      </c>
      <c r="C2624" s="11">
        <v>2.14E8</v>
      </c>
      <c r="D2624" s="12" t="s">
        <v>280</v>
      </c>
      <c r="E2624" s="9" t="s">
        <v>70</v>
      </c>
      <c r="F2624" s="11">
        <v>2.8E7</v>
      </c>
    </row>
    <row r="2625">
      <c r="A2625" s="5">
        <v>2624.0</v>
      </c>
      <c r="B2625" s="5" t="s">
        <v>80</v>
      </c>
      <c r="C2625" s="11">
        <v>2.42E8</v>
      </c>
      <c r="D2625" s="12" t="s">
        <v>280</v>
      </c>
      <c r="E2625" s="9" t="s">
        <v>71</v>
      </c>
      <c r="F2625" s="11">
        <v>3.3E7</v>
      </c>
    </row>
    <row r="2626">
      <c r="A2626" s="5">
        <v>2625.0</v>
      </c>
      <c r="B2626" s="5" t="s">
        <v>80</v>
      </c>
      <c r="C2626" s="11">
        <v>2.52E8</v>
      </c>
      <c r="D2626" s="12" t="s">
        <v>280</v>
      </c>
      <c r="E2626" s="9" t="s">
        <v>72</v>
      </c>
      <c r="F2626" s="11">
        <v>3.9E7</v>
      </c>
    </row>
    <row r="2627">
      <c r="A2627" s="5">
        <v>2626.0</v>
      </c>
      <c r="B2627" s="5" t="s">
        <v>80</v>
      </c>
      <c r="C2627" s="11">
        <v>2.88E8</v>
      </c>
      <c r="D2627" s="12" t="s">
        <v>280</v>
      </c>
      <c r="E2627" s="9" t="s">
        <v>73</v>
      </c>
      <c r="F2627" s="11">
        <v>4.3E7</v>
      </c>
    </row>
    <row r="2628">
      <c r="A2628" s="5">
        <v>2627.0</v>
      </c>
      <c r="B2628" s="5" t="s">
        <v>84</v>
      </c>
      <c r="C2628" s="11">
        <v>4.69E8</v>
      </c>
      <c r="D2628" s="12" t="s">
        <v>281</v>
      </c>
      <c r="E2628" s="9" t="s">
        <v>60</v>
      </c>
      <c r="F2628" s="11">
        <v>1.647E9</v>
      </c>
    </row>
    <row r="2629">
      <c r="A2629" s="5">
        <v>2628.0</v>
      </c>
      <c r="B2629" s="5" t="s">
        <v>84</v>
      </c>
      <c r="C2629" s="11">
        <v>6.77E8</v>
      </c>
      <c r="D2629" s="12" t="s">
        <v>281</v>
      </c>
      <c r="E2629" s="9" t="s">
        <v>62</v>
      </c>
      <c r="F2629" s="11">
        <v>1.718E9</v>
      </c>
    </row>
    <row r="2630">
      <c r="A2630" s="5">
        <v>2629.0</v>
      </c>
      <c r="B2630" s="5" t="s">
        <v>84</v>
      </c>
      <c r="C2630" s="11">
        <v>4.84E8</v>
      </c>
      <c r="D2630" s="12" t="s">
        <v>281</v>
      </c>
      <c r="E2630" s="9" t="s">
        <v>63</v>
      </c>
      <c r="F2630" s="11">
        <v>1.546E9</v>
      </c>
    </row>
    <row r="2631">
      <c r="A2631" s="5">
        <v>2630.0</v>
      </c>
      <c r="B2631" s="5" t="s">
        <v>84</v>
      </c>
      <c r="C2631" s="11">
        <v>3.78E8</v>
      </c>
      <c r="D2631" s="12" t="s">
        <v>281</v>
      </c>
      <c r="E2631" s="9" t="s">
        <v>64</v>
      </c>
      <c r="F2631" s="11">
        <v>1.311E9</v>
      </c>
    </row>
    <row r="2632">
      <c r="A2632" s="5">
        <v>2631.0</v>
      </c>
      <c r="B2632" s="5" t="s">
        <v>84</v>
      </c>
      <c r="C2632" s="11">
        <v>5.54E8</v>
      </c>
      <c r="D2632" s="12" t="s">
        <v>281</v>
      </c>
      <c r="E2632" s="9" t="s">
        <v>65</v>
      </c>
      <c r="F2632" s="11">
        <v>1.604E9</v>
      </c>
    </row>
    <row r="2633">
      <c r="A2633" s="5">
        <v>2632.0</v>
      </c>
      <c r="B2633" s="5" t="s">
        <v>84</v>
      </c>
      <c r="C2633" s="11">
        <v>7.22E8</v>
      </c>
      <c r="D2633" s="12" t="s">
        <v>281</v>
      </c>
      <c r="E2633" s="9" t="s">
        <v>66</v>
      </c>
      <c r="F2633" s="11">
        <v>1.843E9</v>
      </c>
    </row>
    <row r="2634">
      <c r="A2634" s="5">
        <v>2633.0</v>
      </c>
      <c r="B2634" s="5" t="s">
        <v>84</v>
      </c>
      <c r="C2634" s="11">
        <v>8.43E8</v>
      </c>
      <c r="D2634" s="12" t="s">
        <v>281</v>
      </c>
      <c r="E2634" s="9" t="s">
        <v>67</v>
      </c>
      <c r="F2634" s="11">
        <v>1.807E9</v>
      </c>
    </row>
    <row r="2635">
      <c r="A2635" s="5">
        <v>2634.0</v>
      </c>
      <c r="B2635" s="5" t="s">
        <v>84</v>
      </c>
      <c r="C2635" s="11">
        <v>9.72E8</v>
      </c>
      <c r="D2635" s="12" t="s">
        <v>281</v>
      </c>
      <c r="E2635" s="9" t="s">
        <v>68</v>
      </c>
      <c r="F2635" s="11">
        <v>2.249E9</v>
      </c>
    </row>
    <row r="2636">
      <c r="A2636" s="5">
        <v>2635.0</v>
      </c>
      <c r="B2636" s="5" t="s">
        <v>84</v>
      </c>
      <c r="C2636" s="11">
        <v>1.097E9</v>
      </c>
      <c r="D2636" s="12" t="s">
        <v>281</v>
      </c>
      <c r="E2636" s="9" t="s">
        <v>69</v>
      </c>
      <c r="F2636" s="11">
        <v>2.594E9</v>
      </c>
    </row>
    <row r="2637">
      <c r="A2637" s="5">
        <v>2636.0</v>
      </c>
      <c r="B2637" s="5" t="s">
        <v>84</v>
      </c>
      <c r="C2637" s="11">
        <v>1.055E9</v>
      </c>
      <c r="D2637" s="12" t="s">
        <v>281</v>
      </c>
      <c r="E2637" s="9" t="s">
        <v>70</v>
      </c>
      <c r="F2637" s="11">
        <v>2.275E9</v>
      </c>
    </row>
    <row r="2638">
      <c r="A2638" s="5">
        <v>2637.0</v>
      </c>
      <c r="B2638" s="5" t="s">
        <v>84</v>
      </c>
      <c r="C2638" s="11">
        <v>7.94E8</v>
      </c>
      <c r="D2638" s="12" t="s">
        <v>281</v>
      </c>
      <c r="E2638" s="9" t="s">
        <v>71</v>
      </c>
      <c r="F2638" s="11">
        <v>2.238E9</v>
      </c>
    </row>
    <row r="2639">
      <c r="A2639" s="5">
        <v>2638.0</v>
      </c>
      <c r="B2639" s="5" t="s">
        <v>84</v>
      </c>
      <c r="C2639" s="11">
        <v>8.05E8</v>
      </c>
      <c r="D2639" s="12" t="s">
        <v>281</v>
      </c>
      <c r="E2639" s="9" t="s">
        <v>72</v>
      </c>
      <c r="F2639" s="11">
        <v>2.922E9</v>
      </c>
    </row>
    <row r="2640">
      <c r="A2640" s="5">
        <v>2639.0</v>
      </c>
      <c r="B2640" s="5" t="s">
        <v>84</v>
      </c>
      <c r="C2640" s="11">
        <v>9.04E8</v>
      </c>
      <c r="D2640" s="12" t="s">
        <v>281</v>
      </c>
      <c r="E2640" s="9" t="s">
        <v>73</v>
      </c>
      <c r="F2640" s="11">
        <v>3.202E9</v>
      </c>
    </row>
    <row r="2641">
      <c r="A2641" s="5">
        <v>2640.0</v>
      </c>
      <c r="B2641" s="5" t="s">
        <v>61</v>
      </c>
      <c r="C2641" s="8"/>
      <c r="D2641" s="12" t="s">
        <v>282</v>
      </c>
      <c r="E2641" s="9" t="s">
        <v>60</v>
      </c>
      <c r="F2641" s="8"/>
    </row>
    <row r="2642">
      <c r="A2642" s="5">
        <v>2641.0</v>
      </c>
      <c r="B2642" s="5" t="s">
        <v>61</v>
      </c>
      <c r="C2642" s="8"/>
      <c r="D2642" s="12" t="s">
        <v>282</v>
      </c>
      <c r="E2642" s="9" t="s">
        <v>62</v>
      </c>
      <c r="F2642" s="8"/>
    </row>
    <row r="2643">
      <c r="A2643" s="5">
        <v>2642.0</v>
      </c>
      <c r="B2643" s="5" t="s">
        <v>61</v>
      </c>
      <c r="C2643" s="8"/>
      <c r="D2643" s="12" t="s">
        <v>282</v>
      </c>
      <c r="E2643" s="9" t="s">
        <v>63</v>
      </c>
      <c r="F2643" s="8"/>
    </row>
    <row r="2644">
      <c r="A2644" s="5">
        <v>2643.0</v>
      </c>
      <c r="B2644" s="5" t="s">
        <v>61</v>
      </c>
      <c r="C2644" s="11">
        <v>1.4E9</v>
      </c>
      <c r="D2644" s="12" t="s">
        <v>282</v>
      </c>
      <c r="E2644" s="9" t="s">
        <v>64</v>
      </c>
      <c r="F2644" s="8"/>
    </row>
    <row r="2645">
      <c r="A2645" s="5">
        <v>2644.0</v>
      </c>
      <c r="B2645" s="5" t="s">
        <v>61</v>
      </c>
      <c r="C2645" s="11">
        <v>1.7E9</v>
      </c>
      <c r="D2645" s="12" t="s">
        <v>282</v>
      </c>
      <c r="E2645" s="9" t="s">
        <v>65</v>
      </c>
      <c r="F2645" s="8"/>
    </row>
    <row r="2646">
      <c r="A2646" s="5">
        <v>2645.0</v>
      </c>
      <c r="B2646" s="5" t="s">
        <v>61</v>
      </c>
      <c r="C2646" s="11">
        <v>2.3E9</v>
      </c>
      <c r="D2646" s="12" t="s">
        <v>282</v>
      </c>
      <c r="E2646" s="9" t="s">
        <v>66</v>
      </c>
      <c r="F2646" s="11">
        <v>9.0E8</v>
      </c>
    </row>
    <row r="2647">
      <c r="A2647" s="5">
        <v>2646.0</v>
      </c>
      <c r="B2647" s="5" t="s">
        <v>61</v>
      </c>
      <c r="C2647" s="11">
        <v>2.85E9</v>
      </c>
      <c r="D2647" s="12" t="s">
        <v>282</v>
      </c>
      <c r="E2647" s="9" t="s">
        <v>67</v>
      </c>
      <c r="F2647" s="11">
        <v>1.05E9</v>
      </c>
    </row>
    <row r="2648">
      <c r="A2648" s="5">
        <v>2647.0</v>
      </c>
      <c r="B2648" s="5" t="s">
        <v>61</v>
      </c>
      <c r="C2648" s="11">
        <v>3.75E9</v>
      </c>
      <c r="D2648" s="12" t="s">
        <v>282</v>
      </c>
      <c r="E2648" s="9" t="s">
        <v>68</v>
      </c>
      <c r="F2648" s="11">
        <v>1.22E9</v>
      </c>
    </row>
    <row r="2649">
      <c r="A2649" s="5">
        <v>2648.0</v>
      </c>
      <c r="B2649" s="5" t="s">
        <v>61</v>
      </c>
      <c r="C2649" s="11">
        <v>3.93E9</v>
      </c>
      <c r="D2649" s="12" t="s">
        <v>282</v>
      </c>
      <c r="E2649" s="9" t="s">
        <v>69</v>
      </c>
      <c r="F2649" s="11">
        <v>1.3E9</v>
      </c>
    </row>
    <row r="2650">
      <c r="A2650" s="5">
        <v>2649.0</v>
      </c>
      <c r="B2650" s="5" t="s">
        <v>61</v>
      </c>
      <c r="C2650" s="11">
        <v>3.05E9</v>
      </c>
      <c r="D2650" s="12" t="s">
        <v>282</v>
      </c>
      <c r="E2650" s="9" t="s">
        <v>70</v>
      </c>
      <c r="F2650" s="11">
        <v>1.1E9</v>
      </c>
    </row>
    <row r="2651">
      <c r="A2651" s="5">
        <v>2650.0</v>
      </c>
      <c r="B2651" s="5" t="s">
        <v>61</v>
      </c>
      <c r="C2651" s="11">
        <v>4.45E9</v>
      </c>
      <c r="D2651" s="12" t="s">
        <v>282</v>
      </c>
      <c r="E2651" s="9" t="s">
        <v>71</v>
      </c>
      <c r="F2651" s="11">
        <v>1.47E9</v>
      </c>
    </row>
    <row r="2652">
      <c r="A2652" s="5">
        <v>2651.0</v>
      </c>
      <c r="B2652" s="5" t="s">
        <v>61</v>
      </c>
      <c r="C2652" s="11">
        <v>5.71E9</v>
      </c>
      <c r="D2652" s="12" t="s">
        <v>282</v>
      </c>
      <c r="E2652" s="9" t="s">
        <v>72</v>
      </c>
      <c r="F2652" s="11">
        <v>1.71E9</v>
      </c>
    </row>
    <row r="2653">
      <c r="A2653" s="5">
        <v>2652.0</v>
      </c>
      <c r="B2653" s="5" t="s">
        <v>61</v>
      </c>
      <c r="C2653" s="11">
        <v>6.83E9</v>
      </c>
      <c r="D2653" s="12" t="s">
        <v>282</v>
      </c>
      <c r="E2653" s="9" t="s">
        <v>73</v>
      </c>
      <c r="F2653" s="11">
        <v>1.856E9</v>
      </c>
    </row>
    <row r="2654">
      <c r="A2654" s="5">
        <v>2653.0</v>
      </c>
      <c r="B2654" s="5" t="s">
        <v>93</v>
      </c>
      <c r="C2654" s="11">
        <v>7.3E7</v>
      </c>
      <c r="D2654" s="12" t="s">
        <v>283</v>
      </c>
      <c r="E2654" s="9" t="s">
        <v>60</v>
      </c>
      <c r="F2654" s="11">
        <v>1.27E8</v>
      </c>
    </row>
    <row r="2655">
      <c r="A2655" s="5">
        <v>2654.0</v>
      </c>
      <c r="B2655" s="5" t="s">
        <v>93</v>
      </c>
      <c r="C2655" s="11">
        <v>3.8E7</v>
      </c>
      <c r="D2655" s="12" t="s">
        <v>283</v>
      </c>
      <c r="E2655" s="9" t="s">
        <v>62</v>
      </c>
      <c r="F2655" s="11">
        <v>1.36E8</v>
      </c>
    </row>
    <row r="2656">
      <c r="A2656" s="5">
        <v>2655.0</v>
      </c>
      <c r="B2656" s="5" t="s">
        <v>93</v>
      </c>
      <c r="C2656" s="11">
        <v>3.8E7</v>
      </c>
      <c r="D2656" s="12" t="s">
        <v>283</v>
      </c>
      <c r="E2656" s="9" t="s">
        <v>63</v>
      </c>
      <c r="F2656" s="11">
        <v>1.35E8</v>
      </c>
    </row>
    <row r="2657">
      <c r="A2657" s="5">
        <v>2656.0</v>
      </c>
      <c r="B2657" s="5" t="s">
        <v>93</v>
      </c>
      <c r="C2657" s="11">
        <v>1.39E8</v>
      </c>
      <c r="D2657" s="12" t="s">
        <v>283</v>
      </c>
      <c r="E2657" s="9" t="s">
        <v>64</v>
      </c>
      <c r="F2657" s="11">
        <v>1.34E8</v>
      </c>
    </row>
    <row r="2658">
      <c r="A2658" s="5">
        <v>2657.0</v>
      </c>
      <c r="B2658" s="5" t="s">
        <v>93</v>
      </c>
      <c r="C2658" s="11">
        <v>1.39E8</v>
      </c>
      <c r="D2658" s="12" t="s">
        <v>283</v>
      </c>
      <c r="E2658" s="9" t="s">
        <v>65</v>
      </c>
      <c r="F2658" s="11">
        <v>1.83E8</v>
      </c>
    </row>
    <row r="2659">
      <c r="A2659" s="5">
        <v>2658.0</v>
      </c>
      <c r="B2659" s="5" t="s">
        <v>93</v>
      </c>
      <c r="C2659" s="11">
        <v>1.81E8</v>
      </c>
      <c r="D2659" s="12" t="s">
        <v>283</v>
      </c>
      <c r="E2659" s="9" t="s">
        <v>66</v>
      </c>
      <c r="F2659" s="11">
        <v>2.24E8</v>
      </c>
    </row>
    <row r="2660">
      <c r="A2660" s="5">
        <v>2659.0</v>
      </c>
      <c r="B2660" s="5" t="s">
        <v>93</v>
      </c>
      <c r="C2660" s="11">
        <v>1.81E8</v>
      </c>
      <c r="D2660" s="12" t="s">
        <v>283</v>
      </c>
      <c r="E2660" s="9" t="s">
        <v>67</v>
      </c>
      <c r="F2660" s="11">
        <v>2.25E8</v>
      </c>
    </row>
    <row r="2661">
      <c r="A2661" s="5">
        <v>2660.0</v>
      </c>
      <c r="B2661" s="5" t="s">
        <v>93</v>
      </c>
      <c r="C2661" s="11">
        <v>4.25E8</v>
      </c>
      <c r="D2661" s="12" t="s">
        <v>283</v>
      </c>
      <c r="E2661" s="9" t="s">
        <v>68</v>
      </c>
      <c r="F2661" s="11">
        <v>2.47E8</v>
      </c>
    </row>
    <row r="2662">
      <c r="A2662" s="5">
        <v>2661.0</v>
      </c>
      <c r="B2662" s="5" t="s">
        <v>93</v>
      </c>
      <c r="C2662" s="11">
        <v>8.86E8</v>
      </c>
      <c r="D2662" s="12" t="s">
        <v>283</v>
      </c>
      <c r="E2662" s="9" t="s">
        <v>69</v>
      </c>
      <c r="F2662" s="11">
        <v>2.46E8</v>
      </c>
    </row>
    <row r="2663">
      <c r="A2663" s="5">
        <v>2662.0</v>
      </c>
      <c r="B2663" s="5" t="s">
        <v>93</v>
      </c>
      <c r="C2663" s="11">
        <v>8.99E8</v>
      </c>
      <c r="D2663" s="12" t="s">
        <v>283</v>
      </c>
      <c r="E2663" s="9" t="s">
        <v>70</v>
      </c>
      <c r="F2663" s="11">
        <v>2.77E8</v>
      </c>
    </row>
    <row r="2664">
      <c r="A2664" s="5">
        <v>2663.0</v>
      </c>
      <c r="B2664" s="5" t="s">
        <v>93</v>
      </c>
      <c r="C2664" s="11">
        <v>1.161E9</v>
      </c>
      <c r="D2664" s="12" t="s">
        <v>283</v>
      </c>
      <c r="E2664" s="9" t="s">
        <v>71</v>
      </c>
      <c r="F2664" s="11">
        <v>2.52E8</v>
      </c>
    </row>
    <row r="2665">
      <c r="A2665" s="5">
        <v>2664.0</v>
      </c>
      <c r="B2665" s="5" t="s">
        <v>93</v>
      </c>
      <c r="C2665" s="11">
        <v>7.8E8</v>
      </c>
      <c r="D2665" s="12" t="s">
        <v>283</v>
      </c>
      <c r="E2665" s="9" t="s">
        <v>72</v>
      </c>
      <c r="F2665" s="11">
        <v>2.58E8</v>
      </c>
    </row>
    <row r="2666">
      <c r="A2666" s="5">
        <v>2665.0</v>
      </c>
      <c r="B2666" s="5" t="s">
        <v>93</v>
      </c>
      <c r="C2666" s="11">
        <v>1.057E9</v>
      </c>
      <c r="D2666" s="12" t="s">
        <v>283</v>
      </c>
      <c r="E2666" s="9" t="s">
        <v>73</v>
      </c>
      <c r="F2666" s="8"/>
    </row>
    <row r="2667">
      <c r="A2667" s="5">
        <v>2666.0</v>
      </c>
      <c r="B2667" s="5" t="s">
        <v>77</v>
      </c>
      <c r="C2667" s="11">
        <v>6.7E7</v>
      </c>
      <c r="D2667" s="12" t="s">
        <v>284</v>
      </c>
      <c r="E2667" s="9" t="s">
        <v>60</v>
      </c>
      <c r="F2667" s="11">
        <v>1.02E8</v>
      </c>
    </row>
    <row r="2668">
      <c r="A2668" s="5">
        <v>2667.0</v>
      </c>
      <c r="B2668" s="5" t="s">
        <v>77</v>
      </c>
      <c r="C2668" s="11">
        <v>8.0E7</v>
      </c>
      <c r="D2668" s="12" t="s">
        <v>284</v>
      </c>
      <c r="E2668" s="9" t="s">
        <v>62</v>
      </c>
      <c r="F2668" s="11">
        <v>1.02E8</v>
      </c>
    </row>
    <row r="2669">
      <c r="A2669" s="5">
        <v>2668.0</v>
      </c>
      <c r="B2669" s="5" t="s">
        <v>77</v>
      </c>
      <c r="C2669" s="11">
        <v>6.4E7</v>
      </c>
      <c r="D2669" s="12" t="s">
        <v>284</v>
      </c>
      <c r="E2669" s="9" t="s">
        <v>63</v>
      </c>
      <c r="F2669" s="11">
        <v>1.09E8</v>
      </c>
    </row>
    <row r="2670">
      <c r="A2670" s="5">
        <v>2669.0</v>
      </c>
      <c r="B2670" s="5" t="s">
        <v>77</v>
      </c>
      <c r="C2670" s="11">
        <v>8.8E7</v>
      </c>
      <c r="D2670" s="12" t="s">
        <v>284</v>
      </c>
      <c r="E2670" s="9" t="s">
        <v>64</v>
      </c>
      <c r="F2670" s="11">
        <v>1.15E8</v>
      </c>
    </row>
    <row r="2671">
      <c r="A2671" s="5">
        <v>2670.0</v>
      </c>
      <c r="B2671" s="5" t="s">
        <v>77</v>
      </c>
      <c r="C2671" s="11">
        <v>9.2E7</v>
      </c>
      <c r="D2671" s="12" t="s">
        <v>284</v>
      </c>
      <c r="E2671" s="9" t="s">
        <v>65</v>
      </c>
      <c r="F2671" s="11">
        <v>8.6E7</v>
      </c>
    </row>
    <row r="2672">
      <c r="A2672" s="5">
        <v>2671.0</v>
      </c>
      <c r="B2672" s="5" t="s">
        <v>77</v>
      </c>
      <c r="C2672" s="11">
        <v>9.8E7</v>
      </c>
      <c r="D2672" s="12" t="s">
        <v>284</v>
      </c>
      <c r="E2672" s="9" t="s">
        <v>66</v>
      </c>
      <c r="F2672" s="11">
        <v>8.8E7</v>
      </c>
    </row>
    <row r="2673">
      <c r="A2673" s="5">
        <v>2672.0</v>
      </c>
      <c r="B2673" s="5" t="s">
        <v>77</v>
      </c>
      <c r="C2673" s="11">
        <v>1.1E8</v>
      </c>
      <c r="D2673" s="12" t="s">
        <v>284</v>
      </c>
      <c r="E2673" s="9" t="s">
        <v>67</v>
      </c>
      <c r="F2673" s="11">
        <v>9.7E7</v>
      </c>
    </row>
    <row r="2674">
      <c r="A2674" s="5">
        <v>2673.0</v>
      </c>
      <c r="B2674" s="5" t="s">
        <v>77</v>
      </c>
      <c r="C2674" s="11">
        <v>1.38E8</v>
      </c>
      <c r="D2674" s="12" t="s">
        <v>284</v>
      </c>
      <c r="E2674" s="9" t="s">
        <v>68</v>
      </c>
      <c r="F2674" s="11">
        <v>9.8E7</v>
      </c>
    </row>
    <row r="2675">
      <c r="A2675" s="5">
        <v>2674.0</v>
      </c>
      <c r="B2675" s="5" t="s">
        <v>77</v>
      </c>
      <c r="C2675" s="11">
        <v>1.48E8</v>
      </c>
      <c r="D2675" s="12" t="s">
        <v>284</v>
      </c>
      <c r="E2675" s="9" t="s">
        <v>69</v>
      </c>
      <c r="F2675" s="11">
        <v>1.07E8</v>
      </c>
    </row>
    <row r="2676">
      <c r="A2676" s="5">
        <v>2675.0</v>
      </c>
      <c r="B2676" s="5" t="s">
        <v>77</v>
      </c>
      <c r="C2676" s="11">
        <v>9.8E7</v>
      </c>
      <c r="D2676" s="12" t="s">
        <v>284</v>
      </c>
      <c r="E2676" s="9" t="s">
        <v>70</v>
      </c>
      <c r="F2676" s="11">
        <v>8.3E7</v>
      </c>
    </row>
    <row r="2677">
      <c r="A2677" s="5">
        <v>2676.0</v>
      </c>
      <c r="B2677" s="5" t="s">
        <v>77</v>
      </c>
      <c r="C2677" s="11">
        <v>1.25E8</v>
      </c>
      <c r="D2677" s="12" t="s">
        <v>284</v>
      </c>
      <c r="E2677" s="9" t="s">
        <v>71</v>
      </c>
      <c r="F2677" s="11">
        <v>1.28E8</v>
      </c>
    </row>
    <row r="2678">
      <c r="A2678" s="5">
        <v>2677.0</v>
      </c>
      <c r="B2678" s="5" t="s">
        <v>77</v>
      </c>
      <c r="C2678" s="11">
        <v>1.46E8</v>
      </c>
      <c r="D2678" s="12" t="s">
        <v>284</v>
      </c>
      <c r="E2678" s="9" t="s">
        <v>72</v>
      </c>
      <c r="F2678" s="11">
        <v>1.4E8</v>
      </c>
    </row>
    <row r="2679">
      <c r="A2679" s="5">
        <v>2678.0</v>
      </c>
      <c r="B2679" s="5" t="s">
        <v>77</v>
      </c>
      <c r="C2679" s="11">
        <v>1.55E8</v>
      </c>
      <c r="D2679" s="12" t="s">
        <v>284</v>
      </c>
      <c r="E2679" s="9" t="s">
        <v>73</v>
      </c>
      <c r="F2679" s="11">
        <v>1.54E8</v>
      </c>
    </row>
    <row r="2680">
      <c r="A2680" s="5">
        <v>2679.0</v>
      </c>
      <c r="B2680" s="5" t="s">
        <v>77</v>
      </c>
      <c r="C2680" s="11">
        <v>1.25E8</v>
      </c>
      <c r="D2680" s="12" t="s">
        <v>285</v>
      </c>
      <c r="E2680" s="9" t="s">
        <v>60</v>
      </c>
      <c r="F2680" s="8"/>
    </row>
    <row r="2681">
      <c r="A2681" s="5">
        <v>2680.0</v>
      </c>
      <c r="B2681" s="5" t="s">
        <v>77</v>
      </c>
      <c r="C2681" s="11">
        <v>8.1E7</v>
      </c>
      <c r="D2681" s="12" t="s">
        <v>285</v>
      </c>
      <c r="E2681" s="9" t="s">
        <v>62</v>
      </c>
      <c r="F2681" s="8"/>
    </row>
    <row r="2682">
      <c r="A2682" s="5">
        <v>2681.0</v>
      </c>
      <c r="B2682" s="5" t="s">
        <v>77</v>
      </c>
      <c r="C2682" s="11">
        <v>7.6E7</v>
      </c>
      <c r="D2682" s="12" t="s">
        <v>285</v>
      </c>
      <c r="E2682" s="9" t="s">
        <v>63</v>
      </c>
      <c r="F2682" s="8"/>
    </row>
    <row r="2683">
      <c r="A2683" s="5">
        <v>2682.0</v>
      </c>
      <c r="B2683" s="5" t="s">
        <v>77</v>
      </c>
      <c r="C2683" s="11">
        <v>6.1E7</v>
      </c>
      <c r="D2683" s="12" t="s">
        <v>285</v>
      </c>
      <c r="E2683" s="9" t="s">
        <v>64</v>
      </c>
      <c r="F2683" s="8"/>
    </row>
    <row r="2684">
      <c r="A2684" s="5">
        <v>2683.0</v>
      </c>
      <c r="B2684" s="5" t="s">
        <v>77</v>
      </c>
      <c r="C2684" s="11">
        <v>1.94E8</v>
      </c>
      <c r="D2684" s="12" t="s">
        <v>285</v>
      </c>
      <c r="E2684" s="9" t="s">
        <v>65</v>
      </c>
      <c r="F2684" s="8"/>
    </row>
    <row r="2685">
      <c r="A2685" s="5">
        <v>2684.0</v>
      </c>
      <c r="B2685" s="5" t="s">
        <v>77</v>
      </c>
      <c r="C2685" s="11">
        <v>9.9E7</v>
      </c>
      <c r="D2685" s="12" t="s">
        <v>285</v>
      </c>
      <c r="E2685" s="9" t="s">
        <v>66</v>
      </c>
      <c r="F2685" s="8"/>
    </row>
    <row r="2686">
      <c r="A2686" s="5">
        <v>2685.0</v>
      </c>
      <c r="B2686" s="5" t="s">
        <v>77</v>
      </c>
      <c r="C2686" s="11">
        <v>3.38E8</v>
      </c>
      <c r="D2686" s="12" t="s">
        <v>285</v>
      </c>
      <c r="E2686" s="9" t="s">
        <v>67</v>
      </c>
      <c r="F2686" s="8"/>
    </row>
    <row r="2687">
      <c r="A2687" s="5">
        <v>2686.0</v>
      </c>
      <c r="B2687" s="5" t="s">
        <v>77</v>
      </c>
      <c r="C2687" s="11">
        <v>3.65E8</v>
      </c>
      <c r="D2687" s="12" t="s">
        <v>285</v>
      </c>
      <c r="E2687" s="9" t="s">
        <v>68</v>
      </c>
      <c r="F2687" s="8"/>
    </row>
    <row r="2688">
      <c r="A2688" s="5">
        <v>2687.0</v>
      </c>
      <c r="B2688" s="5" t="s">
        <v>77</v>
      </c>
      <c r="C2688" s="11">
        <v>2.94E8</v>
      </c>
      <c r="D2688" s="12" t="s">
        <v>285</v>
      </c>
      <c r="E2688" s="9" t="s">
        <v>69</v>
      </c>
      <c r="F2688" s="8"/>
    </row>
    <row r="2689">
      <c r="A2689" s="5">
        <v>2688.0</v>
      </c>
      <c r="B2689" s="5" t="s">
        <v>77</v>
      </c>
      <c r="C2689" s="11">
        <v>5.23E8</v>
      </c>
      <c r="D2689" s="12" t="s">
        <v>285</v>
      </c>
      <c r="E2689" s="9" t="s">
        <v>70</v>
      </c>
      <c r="F2689" s="8"/>
    </row>
    <row r="2690">
      <c r="A2690" s="5">
        <v>2689.0</v>
      </c>
      <c r="B2690" s="5" t="s">
        <v>77</v>
      </c>
      <c r="C2690" s="11">
        <v>6.34E8</v>
      </c>
      <c r="D2690" s="12" t="s">
        <v>285</v>
      </c>
      <c r="E2690" s="9" t="s">
        <v>71</v>
      </c>
      <c r="F2690" s="8"/>
    </row>
    <row r="2691">
      <c r="A2691" s="5">
        <v>2690.0</v>
      </c>
      <c r="B2691" s="5" t="s">
        <v>77</v>
      </c>
      <c r="C2691" s="11">
        <v>6.64E8</v>
      </c>
      <c r="D2691" s="12" t="s">
        <v>285</v>
      </c>
      <c r="E2691" s="9" t="s">
        <v>72</v>
      </c>
      <c r="F2691" s="8"/>
    </row>
    <row r="2692">
      <c r="A2692" s="5">
        <v>2691.0</v>
      </c>
      <c r="B2692" s="5" t="s">
        <v>77</v>
      </c>
      <c r="C2692" s="11">
        <v>7.49E8</v>
      </c>
      <c r="D2692" s="12" t="s">
        <v>285</v>
      </c>
      <c r="E2692" s="9" t="s">
        <v>73</v>
      </c>
      <c r="F2692" s="8"/>
    </row>
  </sheetData>
  <autoFilter ref="$B$1:$F$2692">
    <sortState ref="B1:F2692">
      <sortCondition ref="D1:D2692"/>
    </sortState>
  </autoFil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75"/>
    <col customWidth="1" min="2" max="2" width="24.0"/>
    <col customWidth="1" min="8" max="8" width="16.38"/>
    <col customWidth="1" min="9" max="9" width="15.13"/>
  </cols>
  <sheetData>
    <row r="1">
      <c r="A1" s="5" t="s">
        <v>5</v>
      </c>
      <c r="B1" s="5" t="s">
        <v>4</v>
      </c>
      <c r="C1" s="5" t="s">
        <v>46</v>
      </c>
      <c r="D1" s="5" t="s">
        <v>48</v>
      </c>
      <c r="E1" s="5" t="s">
        <v>50</v>
      </c>
      <c r="F1" s="5" t="s">
        <v>52</v>
      </c>
      <c r="G1" s="5" t="s">
        <v>54</v>
      </c>
      <c r="H1" s="5" t="s">
        <v>56</v>
      </c>
      <c r="I1" s="6" t="s">
        <v>58</v>
      </c>
    </row>
    <row r="2">
      <c r="A2" s="12" t="s">
        <v>76</v>
      </c>
      <c r="B2" s="5" t="s">
        <v>77</v>
      </c>
      <c r="C2" s="8"/>
      <c r="D2" s="8"/>
      <c r="E2" s="8"/>
      <c r="F2" s="8"/>
      <c r="G2" s="11">
        <v>0.005</v>
      </c>
      <c r="H2" s="11">
        <v>0.003</v>
      </c>
      <c r="I2" s="9" t="s">
        <v>60</v>
      </c>
    </row>
    <row r="3">
      <c r="A3" s="12" t="s">
        <v>82</v>
      </c>
      <c r="B3" s="5" t="s">
        <v>77</v>
      </c>
      <c r="C3" s="8"/>
      <c r="D3" s="8"/>
      <c r="E3" s="8"/>
      <c r="F3" s="8"/>
      <c r="G3" s="11">
        <v>0.001</v>
      </c>
      <c r="H3" s="11">
        <v>0.002</v>
      </c>
      <c r="I3" s="9" t="s">
        <v>60</v>
      </c>
    </row>
    <row r="4">
      <c r="A4" s="12" t="s">
        <v>99</v>
      </c>
      <c r="B4" s="5" t="s">
        <v>77</v>
      </c>
      <c r="C4" s="8"/>
      <c r="D4" s="8"/>
      <c r="E4" s="8"/>
      <c r="F4" s="8"/>
      <c r="G4" s="11">
        <v>0.002</v>
      </c>
      <c r="H4" s="11">
        <v>0.008</v>
      </c>
      <c r="I4" s="9" t="s">
        <v>60</v>
      </c>
    </row>
    <row r="5">
      <c r="A5" s="12" t="s">
        <v>104</v>
      </c>
      <c r="B5" s="5" t="s">
        <v>77</v>
      </c>
      <c r="C5" s="8"/>
      <c r="D5" s="8"/>
      <c r="E5" s="8"/>
      <c r="F5" s="8"/>
      <c r="G5" s="11">
        <v>0.029</v>
      </c>
      <c r="H5" s="11">
        <v>0.127</v>
      </c>
      <c r="I5" s="9" t="s">
        <v>60</v>
      </c>
    </row>
    <row r="6">
      <c r="A6" s="12" t="s">
        <v>108</v>
      </c>
      <c r="B6" s="5" t="s">
        <v>77</v>
      </c>
      <c r="C6" s="8"/>
      <c r="D6" s="8"/>
      <c r="E6" s="8"/>
      <c r="F6" s="8"/>
      <c r="G6" s="11">
        <v>0.001</v>
      </c>
      <c r="H6" s="11">
        <v>0.002</v>
      </c>
      <c r="I6" s="9" t="s">
        <v>60</v>
      </c>
    </row>
    <row r="7">
      <c r="A7" s="12" t="s">
        <v>109</v>
      </c>
      <c r="B7" s="5" t="s">
        <v>77</v>
      </c>
      <c r="C7" s="8"/>
      <c r="D7" s="8"/>
      <c r="E7" s="8"/>
      <c r="F7" s="8"/>
      <c r="G7" s="11">
        <v>0.001</v>
      </c>
      <c r="H7" s="11">
        <v>0.002</v>
      </c>
      <c r="I7" s="9" t="s">
        <v>60</v>
      </c>
    </row>
    <row r="8">
      <c r="A8" s="12" t="s">
        <v>111</v>
      </c>
      <c r="B8" s="5" t="s">
        <v>77</v>
      </c>
      <c r="C8" s="8"/>
      <c r="D8" s="8"/>
      <c r="E8" s="8"/>
      <c r="F8" s="8"/>
      <c r="G8" s="11">
        <v>0.003</v>
      </c>
      <c r="H8" s="11">
        <v>0.006</v>
      </c>
      <c r="I8" s="9" t="s">
        <v>60</v>
      </c>
    </row>
    <row r="9">
      <c r="A9" s="12" t="s">
        <v>114</v>
      </c>
      <c r="B9" s="5" t="s">
        <v>77</v>
      </c>
      <c r="C9" s="8"/>
      <c r="D9" s="8"/>
      <c r="E9" s="8"/>
      <c r="F9" s="8"/>
      <c r="G9" s="11">
        <v>0.001</v>
      </c>
      <c r="H9" s="11">
        <v>0.001</v>
      </c>
      <c r="I9" s="9" t="s">
        <v>60</v>
      </c>
    </row>
    <row r="10">
      <c r="A10" s="12" t="s">
        <v>115</v>
      </c>
      <c r="B10" s="5" t="s">
        <v>77</v>
      </c>
      <c r="C10" s="8"/>
      <c r="D10" s="8"/>
      <c r="E10" s="8"/>
      <c r="F10" s="8"/>
      <c r="G10" s="11">
        <v>0.0</v>
      </c>
      <c r="H10" s="11">
        <v>0.001</v>
      </c>
      <c r="I10" s="9" t="s">
        <v>60</v>
      </c>
    </row>
    <row r="11">
      <c r="A11" s="12" t="s">
        <v>119</v>
      </c>
      <c r="B11" s="5" t="s">
        <v>77</v>
      </c>
      <c r="C11" s="8"/>
      <c r="D11" s="8"/>
      <c r="E11" s="8"/>
      <c r="F11" s="8"/>
      <c r="G11" s="11">
        <v>0.003</v>
      </c>
      <c r="H11" s="8"/>
      <c r="I11" s="9" t="s">
        <v>60</v>
      </c>
    </row>
    <row r="12">
      <c r="A12" s="12" t="s">
        <v>121</v>
      </c>
      <c r="B12" s="5" t="s">
        <v>77</v>
      </c>
      <c r="C12" s="8"/>
      <c r="D12" s="8"/>
      <c r="E12" s="8"/>
      <c r="F12" s="8"/>
      <c r="G12" s="11">
        <v>0.0</v>
      </c>
      <c r="H12" s="11">
        <v>0.0</v>
      </c>
      <c r="I12" s="9" t="s">
        <v>60</v>
      </c>
    </row>
    <row r="13">
      <c r="A13" s="12" t="s">
        <v>120</v>
      </c>
      <c r="B13" s="5" t="s">
        <v>77</v>
      </c>
      <c r="C13" s="8"/>
      <c r="D13" s="8"/>
      <c r="E13" s="8"/>
      <c r="F13" s="8"/>
      <c r="G13" s="11">
        <v>0.0</v>
      </c>
      <c r="H13" s="11">
        <v>0.022</v>
      </c>
      <c r="I13" s="9" t="s">
        <v>60</v>
      </c>
    </row>
    <row r="14">
      <c r="A14" s="12" t="s">
        <v>123</v>
      </c>
      <c r="B14" s="5" t="s">
        <v>77</v>
      </c>
      <c r="C14" s="8"/>
      <c r="D14" s="8"/>
      <c r="E14" s="8"/>
      <c r="F14" s="8"/>
      <c r="G14" s="11">
        <v>0.002</v>
      </c>
      <c r="H14" s="11">
        <v>0.029</v>
      </c>
      <c r="I14" s="9" t="s">
        <v>60</v>
      </c>
    </row>
    <row r="15">
      <c r="A15" s="12" t="s">
        <v>130</v>
      </c>
      <c r="B15" s="5" t="s">
        <v>77</v>
      </c>
      <c r="C15" s="8"/>
      <c r="D15" s="8"/>
      <c r="E15" s="8"/>
      <c r="F15" s="8"/>
      <c r="G15" s="11">
        <v>0.002</v>
      </c>
      <c r="H15" s="11">
        <v>0.0</v>
      </c>
      <c r="I15" s="9" t="s">
        <v>60</v>
      </c>
    </row>
    <row r="16">
      <c r="A16" s="12" t="s">
        <v>134</v>
      </c>
      <c r="B16" s="5" t="s">
        <v>77</v>
      </c>
      <c r="C16" s="8"/>
      <c r="D16" s="8"/>
      <c r="E16" s="8"/>
      <c r="F16" s="8"/>
      <c r="G16" s="11">
        <v>0.006</v>
      </c>
      <c r="H16" s="11">
        <v>0.021</v>
      </c>
      <c r="I16" s="9" t="s">
        <v>60</v>
      </c>
    </row>
    <row r="17">
      <c r="A17" s="12" t="s">
        <v>136</v>
      </c>
      <c r="B17" s="5" t="s">
        <v>77</v>
      </c>
      <c r="C17" s="8"/>
      <c r="D17" s="8"/>
      <c r="E17" s="8"/>
      <c r="F17" s="8"/>
      <c r="G17" s="11">
        <v>0.001</v>
      </c>
      <c r="H17" s="11">
        <v>0.01</v>
      </c>
      <c r="I17" s="9" t="s">
        <v>60</v>
      </c>
    </row>
    <row r="18">
      <c r="A18" s="12" t="s">
        <v>137</v>
      </c>
      <c r="B18" s="5" t="s">
        <v>77</v>
      </c>
      <c r="C18" s="8"/>
      <c r="D18" s="8"/>
      <c r="E18" s="8"/>
      <c r="F18" s="8"/>
      <c r="G18" s="11">
        <v>0.001</v>
      </c>
      <c r="H18" s="8"/>
      <c r="I18" s="9" t="s">
        <v>60</v>
      </c>
    </row>
    <row r="19">
      <c r="A19" s="12" t="s">
        <v>139</v>
      </c>
      <c r="B19" s="5" t="s">
        <v>77</v>
      </c>
      <c r="C19" s="8"/>
      <c r="D19" s="8"/>
      <c r="E19" s="8"/>
      <c r="F19" s="8"/>
      <c r="G19" s="11">
        <v>0.0</v>
      </c>
      <c r="H19" s="11">
        <v>0.0</v>
      </c>
      <c r="I19" s="9" t="s">
        <v>60</v>
      </c>
    </row>
    <row r="20">
      <c r="A20" s="12" t="s">
        <v>145</v>
      </c>
      <c r="B20" s="5" t="s">
        <v>77</v>
      </c>
      <c r="C20" s="8"/>
      <c r="D20" s="8"/>
      <c r="E20" s="8"/>
      <c r="F20" s="8"/>
      <c r="G20" s="11">
        <v>0.012</v>
      </c>
      <c r="H20" s="11">
        <v>0.098</v>
      </c>
      <c r="I20" s="9" t="s">
        <v>60</v>
      </c>
    </row>
    <row r="21">
      <c r="A21" s="12" t="s">
        <v>146</v>
      </c>
      <c r="B21" s="5" t="s">
        <v>77</v>
      </c>
      <c r="C21" s="8"/>
      <c r="D21" s="8"/>
      <c r="E21" s="8"/>
      <c r="F21" s="8"/>
      <c r="G21" s="11">
        <v>0.009</v>
      </c>
      <c r="H21" s="11">
        <v>0.005</v>
      </c>
      <c r="I21" s="9" t="s">
        <v>60</v>
      </c>
    </row>
    <row r="22">
      <c r="A22" s="12" t="s">
        <v>149</v>
      </c>
      <c r="B22" s="5" t="s">
        <v>77</v>
      </c>
      <c r="C22" s="8"/>
      <c r="D22" s="8"/>
      <c r="E22" s="8"/>
      <c r="F22" s="8"/>
      <c r="G22" s="11">
        <v>0.002</v>
      </c>
      <c r="H22" s="11">
        <v>0.007</v>
      </c>
      <c r="I22" s="9" t="s">
        <v>60</v>
      </c>
    </row>
    <row r="23">
      <c r="A23" s="12" t="s">
        <v>155</v>
      </c>
      <c r="B23" s="5" t="s">
        <v>77</v>
      </c>
      <c r="C23" s="8"/>
      <c r="D23" s="8"/>
      <c r="E23" s="8"/>
      <c r="F23" s="8"/>
      <c r="G23" s="11">
        <v>0.001</v>
      </c>
      <c r="H23" s="11">
        <v>0.005</v>
      </c>
      <c r="I23" s="9" t="s">
        <v>60</v>
      </c>
    </row>
    <row r="24">
      <c r="A24" s="12" t="s">
        <v>156</v>
      </c>
      <c r="B24" s="5" t="s">
        <v>77</v>
      </c>
      <c r="C24" s="8"/>
      <c r="D24" s="8"/>
      <c r="E24" s="8"/>
      <c r="F24" s="8"/>
      <c r="G24" s="11">
        <v>0.002</v>
      </c>
      <c r="H24" s="8"/>
      <c r="I24" s="9" t="s">
        <v>60</v>
      </c>
    </row>
    <row r="25">
      <c r="A25" s="12" t="s">
        <v>175</v>
      </c>
      <c r="B25" s="5" t="s">
        <v>77</v>
      </c>
      <c r="C25" s="8"/>
      <c r="D25" s="8"/>
      <c r="E25" s="8"/>
      <c r="F25" s="8"/>
      <c r="G25" s="11">
        <v>0.003</v>
      </c>
      <c r="H25" s="11">
        <v>0.004</v>
      </c>
      <c r="I25" s="9" t="s">
        <v>60</v>
      </c>
    </row>
    <row r="26">
      <c r="A26" s="12" t="s">
        <v>183</v>
      </c>
      <c r="B26" s="5" t="s">
        <v>77</v>
      </c>
      <c r="C26" s="8"/>
      <c r="D26" s="8"/>
      <c r="E26" s="8"/>
      <c r="F26" s="8"/>
      <c r="G26" s="11">
        <v>0.002</v>
      </c>
      <c r="H26" s="11">
        <v>0.012</v>
      </c>
      <c r="I26" s="9" t="s">
        <v>60</v>
      </c>
    </row>
    <row r="27">
      <c r="A27" s="12" t="s">
        <v>184</v>
      </c>
      <c r="B27" s="5" t="s">
        <v>77</v>
      </c>
      <c r="C27" s="8"/>
      <c r="D27" s="8"/>
      <c r="E27" s="8"/>
      <c r="F27" s="8"/>
      <c r="G27" s="11">
        <v>0.0</v>
      </c>
      <c r="H27" s="11">
        <v>0.001</v>
      </c>
      <c r="I27" s="9" t="s">
        <v>60</v>
      </c>
    </row>
    <row r="28">
      <c r="A28" s="12" t="s">
        <v>185</v>
      </c>
      <c r="B28" s="5" t="s">
        <v>77</v>
      </c>
      <c r="C28" s="8"/>
      <c r="D28" s="8"/>
      <c r="E28" s="8"/>
      <c r="F28" s="8"/>
      <c r="G28" s="11">
        <v>0.002</v>
      </c>
      <c r="H28" s="11">
        <v>0.008</v>
      </c>
      <c r="I28" s="9" t="s">
        <v>60</v>
      </c>
    </row>
    <row r="29">
      <c r="A29" s="12" t="s">
        <v>190</v>
      </c>
      <c r="B29" s="5" t="s">
        <v>77</v>
      </c>
      <c r="C29" s="8"/>
      <c r="D29" s="8"/>
      <c r="E29" s="8"/>
      <c r="F29" s="8"/>
      <c r="G29" s="11">
        <v>0.002</v>
      </c>
      <c r="H29" s="11">
        <v>0.004</v>
      </c>
      <c r="I29" s="9" t="s">
        <v>60</v>
      </c>
    </row>
    <row r="30">
      <c r="A30" s="12" t="s">
        <v>191</v>
      </c>
      <c r="B30" s="5" t="s">
        <v>77</v>
      </c>
      <c r="C30" s="8"/>
      <c r="D30" s="8"/>
      <c r="E30" s="8"/>
      <c r="F30" s="8"/>
      <c r="G30" s="11">
        <v>0.001</v>
      </c>
      <c r="H30" s="11">
        <v>0.004</v>
      </c>
      <c r="I30" s="9" t="s">
        <v>60</v>
      </c>
    </row>
    <row r="31">
      <c r="A31" s="12" t="s">
        <v>194</v>
      </c>
      <c r="B31" s="5" t="s">
        <v>77</v>
      </c>
      <c r="C31" s="8"/>
      <c r="D31" s="8"/>
      <c r="E31" s="8"/>
      <c r="F31" s="8"/>
      <c r="G31" s="11">
        <v>0.001</v>
      </c>
      <c r="H31" s="11">
        <v>0.001</v>
      </c>
      <c r="I31" s="9" t="s">
        <v>60</v>
      </c>
    </row>
    <row r="32">
      <c r="A32" s="12" t="s">
        <v>197</v>
      </c>
      <c r="B32" s="5" t="s">
        <v>77</v>
      </c>
      <c r="C32" s="8"/>
      <c r="D32" s="8"/>
      <c r="E32" s="8"/>
      <c r="F32" s="8"/>
      <c r="G32" s="11">
        <v>0.002</v>
      </c>
      <c r="H32" s="11">
        <v>0.006</v>
      </c>
      <c r="I32" s="9" t="s">
        <v>60</v>
      </c>
    </row>
    <row r="33">
      <c r="A33" s="12" t="s">
        <v>198</v>
      </c>
      <c r="B33" s="5" t="s">
        <v>77</v>
      </c>
      <c r="C33" s="8"/>
      <c r="D33" s="8"/>
      <c r="E33" s="8"/>
      <c r="F33" s="8"/>
      <c r="G33" s="11">
        <v>0.073</v>
      </c>
      <c r="H33" s="11">
        <v>0.152</v>
      </c>
      <c r="I33" s="9" t="s">
        <v>60</v>
      </c>
    </row>
    <row r="34">
      <c r="A34" s="12" t="s">
        <v>205</v>
      </c>
      <c r="B34" s="5" t="s">
        <v>77</v>
      </c>
      <c r="C34" s="8"/>
      <c r="D34" s="8"/>
      <c r="E34" s="8"/>
      <c r="F34" s="8"/>
      <c r="G34" s="11">
        <v>0.007</v>
      </c>
      <c r="H34" s="11">
        <v>0.082</v>
      </c>
      <c r="I34" s="9" t="s">
        <v>60</v>
      </c>
    </row>
    <row r="35">
      <c r="A35" s="12" t="s">
        <v>206</v>
      </c>
      <c r="B35" s="5" t="s">
        <v>77</v>
      </c>
      <c r="C35" s="8"/>
      <c r="D35" s="8"/>
      <c r="E35" s="8"/>
      <c r="F35" s="8"/>
      <c r="G35" s="11">
        <v>0.001</v>
      </c>
      <c r="H35" s="11">
        <v>0.003</v>
      </c>
      <c r="I35" s="9" t="s">
        <v>60</v>
      </c>
    </row>
    <row r="36">
      <c r="A36" s="12" t="s">
        <v>208</v>
      </c>
      <c r="B36" s="5" t="s">
        <v>77</v>
      </c>
      <c r="C36" s="8"/>
      <c r="D36" s="8"/>
      <c r="E36" s="8"/>
      <c r="F36" s="8"/>
      <c r="G36" s="11">
        <v>0.016</v>
      </c>
      <c r="H36" s="11">
        <v>0.043</v>
      </c>
      <c r="I36" s="9" t="s">
        <v>60</v>
      </c>
    </row>
    <row r="37">
      <c r="A37" s="12" t="s">
        <v>214</v>
      </c>
      <c r="B37" s="5" t="s">
        <v>77</v>
      </c>
      <c r="C37" s="8"/>
      <c r="D37" s="8"/>
      <c r="E37" s="8"/>
      <c r="F37" s="8"/>
      <c r="G37" s="11">
        <v>0.0</v>
      </c>
      <c r="H37" s="11">
        <v>0.0</v>
      </c>
      <c r="I37" s="9" t="s">
        <v>60</v>
      </c>
    </row>
    <row r="38">
      <c r="A38" s="12" t="s">
        <v>215</v>
      </c>
      <c r="B38" s="5" t="s">
        <v>77</v>
      </c>
      <c r="C38" s="8"/>
      <c r="D38" s="8"/>
      <c r="E38" s="8"/>
      <c r="F38" s="8"/>
      <c r="G38" s="11">
        <v>0.001</v>
      </c>
      <c r="H38" s="11">
        <v>0.0</v>
      </c>
      <c r="I38" s="9" t="s">
        <v>60</v>
      </c>
    </row>
    <row r="39">
      <c r="A39" s="12" t="s">
        <v>232</v>
      </c>
      <c r="B39" s="5" t="s">
        <v>77</v>
      </c>
      <c r="C39" s="8"/>
      <c r="D39" s="8"/>
      <c r="E39" s="8"/>
      <c r="F39" s="8"/>
      <c r="G39" s="11">
        <v>0.001</v>
      </c>
      <c r="H39" s="11">
        <v>0.005</v>
      </c>
      <c r="I39" s="9" t="s">
        <v>60</v>
      </c>
    </row>
    <row r="40">
      <c r="A40" s="12" t="s">
        <v>235</v>
      </c>
      <c r="B40" s="5" t="s">
        <v>77</v>
      </c>
      <c r="C40" s="8"/>
      <c r="D40" s="8"/>
      <c r="E40" s="8"/>
      <c r="F40" s="8"/>
      <c r="G40" s="11">
        <v>0.046</v>
      </c>
      <c r="H40" s="8"/>
      <c r="I40" s="9" t="s">
        <v>60</v>
      </c>
    </row>
    <row r="41">
      <c r="A41" s="12" t="s">
        <v>237</v>
      </c>
      <c r="B41" s="5" t="s">
        <v>77</v>
      </c>
      <c r="C41" s="8"/>
      <c r="D41" s="8"/>
      <c r="E41" s="8"/>
      <c r="F41" s="8"/>
      <c r="G41" s="11">
        <v>0.004</v>
      </c>
      <c r="H41" s="11">
        <v>0.025</v>
      </c>
      <c r="I41" s="9" t="s">
        <v>60</v>
      </c>
    </row>
    <row r="42">
      <c r="A42" s="12" t="s">
        <v>239</v>
      </c>
      <c r="B42" s="5" t="s">
        <v>77</v>
      </c>
      <c r="C42" s="8"/>
      <c r="D42" s="8"/>
      <c r="E42" s="8"/>
      <c r="F42" s="8"/>
      <c r="G42" s="11">
        <v>0.074</v>
      </c>
      <c r="H42" s="11">
        <v>0.325</v>
      </c>
      <c r="I42" s="9" t="s">
        <v>60</v>
      </c>
    </row>
    <row r="43">
      <c r="A43" s="12" t="s">
        <v>240</v>
      </c>
      <c r="B43" s="5" t="s">
        <v>77</v>
      </c>
      <c r="C43" s="8"/>
      <c r="D43" s="8"/>
      <c r="E43" s="8"/>
      <c r="F43" s="8"/>
      <c r="G43" s="11">
        <v>0.001</v>
      </c>
      <c r="H43" s="11">
        <v>0.003</v>
      </c>
      <c r="I43" s="9" t="s">
        <v>60</v>
      </c>
    </row>
    <row r="44">
      <c r="A44" s="12" t="s">
        <v>246</v>
      </c>
      <c r="B44" s="5" t="s">
        <v>77</v>
      </c>
      <c r="C44" s="8"/>
      <c r="D44" s="8"/>
      <c r="E44" s="8"/>
      <c r="F44" s="8"/>
      <c r="G44" s="11">
        <v>0.0</v>
      </c>
      <c r="H44" s="11">
        <v>0.011</v>
      </c>
      <c r="I44" s="9" t="s">
        <v>60</v>
      </c>
    </row>
    <row r="45">
      <c r="A45" s="12" t="s">
        <v>247</v>
      </c>
      <c r="B45" s="5" t="s">
        <v>77</v>
      </c>
      <c r="C45" s="8"/>
      <c r="D45" s="8"/>
      <c r="E45" s="8"/>
      <c r="F45" s="8"/>
      <c r="G45" s="11">
        <v>0.053</v>
      </c>
      <c r="H45" s="11">
        <v>0.186</v>
      </c>
      <c r="I45" s="9" t="s">
        <v>60</v>
      </c>
    </row>
    <row r="46">
      <c r="A46" s="12" t="s">
        <v>249</v>
      </c>
      <c r="B46" s="5" t="s">
        <v>77</v>
      </c>
      <c r="C46" s="8"/>
      <c r="D46" s="8"/>
      <c r="E46" s="8"/>
      <c r="F46" s="8"/>
      <c r="G46" s="8"/>
      <c r="H46" s="8"/>
      <c r="I46" s="9" t="s">
        <v>60</v>
      </c>
    </row>
    <row r="47">
      <c r="A47" s="12" t="s">
        <v>256</v>
      </c>
      <c r="B47" s="5" t="s">
        <v>77</v>
      </c>
      <c r="C47" s="8"/>
      <c r="D47" s="8"/>
      <c r="E47" s="8"/>
      <c r="F47" s="8"/>
      <c r="G47" s="11">
        <v>0.0</v>
      </c>
      <c r="H47" s="11">
        <v>0.001</v>
      </c>
      <c r="I47" s="9" t="s">
        <v>60</v>
      </c>
    </row>
    <row r="48">
      <c r="A48" s="12" t="s">
        <v>258</v>
      </c>
      <c r="B48" s="5" t="s">
        <v>77</v>
      </c>
      <c r="C48" s="8"/>
      <c r="D48" s="8"/>
      <c r="E48" s="8"/>
      <c r="F48" s="8"/>
      <c r="G48" s="11">
        <v>0.009</v>
      </c>
      <c r="H48" s="11">
        <v>0.031</v>
      </c>
      <c r="I48" s="9" t="s">
        <v>60</v>
      </c>
    </row>
    <row r="49">
      <c r="A49" s="12" t="s">
        <v>263</v>
      </c>
      <c r="B49" s="5" t="s">
        <v>77</v>
      </c>
      <c r="C49" s="8"/>
      <c r="D49" s="8"/>
      <c r="E49" s="8"/>
      <c r="F49" s="8"/>
      <c r="G49" s="11">
        <v>0.001</v>
      </c>
      <c r="H49" s="11">
        <v>0.003</v>
      </c>
      <c r="I49" s="9" t="s">
        <v>60</v>
      </c>
    </row>
    <row r="50">
      <c r="A50" s="12" t="s">
        <v>266</v>
      </c>
      <c r="B50" s="5" t="s">
        <v>77</v>
      </c>
      <c r="C50" s="8"/>
      <c r="D50" s="8"/>
      <c r="E50" s="8"/>
      <c r="F50" s="8"/>
      <c r="G50" s="11">
        <v>0.008</v>
      </c>
      <c r="H50" s="11">
        <v>0.01</v>
      </c>
      <c r="I50" s="9" t="s">
        <v>60</v>
      </c>
    </row>
    <row r="51">
      <c r="A51" s="12" t="s">
        <v>269</v>
      </c>
      <c r="B51" s="5" t="s">
        <v>77</v>
      </c>
      <c r="C51" s="8"/>
      <c r="D51" s="8"/>
      <c r="E51" s="8"/>
      <c r="F51" s="8"/>
      <c r="G51" s="11">
        <v>0.028</v>
      </c>
      <c r="H51" s="11">
        <v>0.012</v>
      </c>
      <c r="I51" s="9" t="s">
        <v>60</v>
      </c>
    </row>
    <row r="52">
      <c r="A52" s="12" t="s">
        <v>273</v>
      </c>
      <c r="B52" s="5" t="s">
        <v>77</v>
      </c>
      <c r="C52" s="8"/>
      <c r="D52" s="8"/>
      <c r="E52" s="8"/>
      <c r="F52" s="8"/>
      <c r="G52" s="11">
        <v>0.002</v>
      </c>
      <c r="H52" s="11">
        <v>0.005</v>
      </c>
      <c r="I52" s="9" t="s">
        <v>60</v>
      </c>
    </row>
    <row r="53">
      <c r="A53" s="12" t="s">
        <v>284</v>
      </c>
      <c r="B53" s="5" t="s">
        <v>77</v>
      </c>
      <c r="C53" s="8"/>
      <c r="D53" s="8"/>
      <c r="E53" s="8"/>
      <c r="F53" s="8"/>
      <c r="G53" s="11">
        <v>0.002</v>
      </c>
      <c r="H53" s="11">
        <v>0.01</v>
      </c>
      <c r="I53" s="9" t="s">
        <v>60</v>
      </c>
    </row>
    <row r="54">
      <c r="A54" s="12" t="s">
        <v>285</v>
      </c>
      <c r="B54" s="5" t="s">
        <v>77</v>
      </c>
      <c r="C54" s="8"/>
      <c r="D54" s="8"/>
      <c r="E54" s="8"/>
      <c r="F54" s="8"/>
      <c r="G54" s="11">
        <v>0.004</v>
      </c>
      <c r="H54" s="11">
        <v>0.021</v>
      </c>
      <c r="I54" s="9" t="s">
        <v>60</v>
      </c>
    </row>
    <row r="55">
      <c r="A55" s="12" t="s">
        <v>59</v>
      </c>
      <c r="B55" s="5" t="s">
        <v>61</v>
      </c>
      <c r="C55" s="8"/>
      <c r="D55" s="8"/>
      <c r="E55" s="8"/>
      <c r="F55" s="8"/>
      <c r="G55" s="8"/>
      <c r="H55" s="8"/>
      <c r="I55" s="9" t="s">
        <v>60</v>
      </c>
    </row>
    <row r="56">
      <c r="A56" s="12" t="s">
        <v>86</v>
      </c>
      <c r="B56" s="5" t="s">
        <v>61</v>
      </c>
      <c r="C56" s="8"/>
      <c r="D56" s="8"/>
      <c r="E56" s="8"/>
      <c r="F56" s="8"/>
      <c r="G56" s="11">
        <v>0.013</v>
      </c>
      <c r="H56" s="11">
        <v>0.006</v>
      </c>
      <c r="I56" s="9" t="s">
        <v>60</v>
      </c>
    </row>
    <row r="57">
      <c r="A57" s="12" t="s">
        <v>90</v>
      </c>
      <c r="B57" s="5" t="s">
        <v>61</v>
      </c>
      <c r="C57" s="8"/>
      <c r="D57" s="8"/>
      <c r="E57" s="8"/>
      <c r="F57" s="8"/>
      <c r="G57" s="11">
        <v>0.001</v>
      </c>
      <c r="H57" s="11">
        <v>0.052</v>
      </c>
      <c r="I57" s="9" t="s">
        <v>60</v>
      </c>
    </row>
    <row r="58">
      <c r="A58" s="12" t="s">
        <v>94</v>
      </c>
      <c r="B58" s="5" t="s">
        <v>61</v>
      </c>
      <c r="C58" s="8"/>
      <c r="D58" s="8"/>
      <c r="E58" s="8"/>
      <c r="F58" s="8"/>
      <c r="G58" s="11">
        <v>0.001</v>
      </c>
      <c r="H58" s="11">
        <v>0.002</v>
      </c>
      <c r="I58" s="9" t="s">
        <v>60</v>
      </c>
    </row>
    <row r="59">
      <c r="A59" s="12" t="s">
        <v>101</v>
      </c>
      <c r="B59" s="5" t="s">
        <v>61</v>
      </c>
      <c r="C59" s="8"/>
      <c r="D59" s="8"/>
      <c r="E59" s="8"/>
      <c r="F59" s="8"/>
      <c r="G59" s="11">
        <v>0.004</v>
      </c>
      <c r="H59" s="8"/>
      <c r="I59" s="9" t="s">
        <v>60</v>
      </c>
    </row>
    <row r="60">
      <c r="A60" s="12" t="s">
        <v>106</v>
      </c>
      <c r="B60" s="5" t="s">
        <v>61</v>
      </c>
      <c r="C60" s="8"/>
      <c r="D60" s="8"/>
      <c r="E60" s="8"/>
      <c r="F60" s="8"/>
      <c r="G60" s="11">
        <v>0.09</v>
      </c>
      <c r="H60" s="11">
        <v>0.286</v>
      </c>
      <c r="I60" s="9" t="s">
        <v>60</v>
      </c>
    </row>
    <row r="61">
      <c r="A61" s="12" t="s">
        <v>110</v>
      </c>
      <c r="B61" s="5" t="s">
        <v>61</v>
      </c>
      <c r="C61" s="8"/>
      <c r="D61" s="8"/>
      <c r="E61" s="8"/>
      <c r="F61" s="8"/>
      <c r="G61" s="11">
        <v>0.0</v>
      </c>
      <c r="H61" s="11">
        <v>0.011</v>
      </c>
      <c r="I61" s="9" t="s">
        <v>60</v>
      </c>
    </row>
    <row r="62">
      <c r="A62" s="12" t="s">
        <v>117</v>
      </c>
      <c r="B62" s="5" t="s">
        <v>61</v>
      </c>
      <c r="C62" s="8"/>
      <c r="D62" s="8"/>
      <c r="E62" s="8"/>
      <c r="F62" s="8"/>
      <c r="G62" s="11">
        <v>0.018</v>
      </c>
      <c r="H62" s="11">
        <v>0.067</v>
      </c>
      <c r="I62" s="9" t="s">
        <v>60</v>
      </c>
    </row>
    <row r="63">
      <c r="A63" s="12" t="s">
        <v>147</v>
      </c>
      <c r="B63" s="5" t="s">
        <v>61</v>
      </c>
      <c r="C63" s="8"/>
      <c r="D63" s="8"/>
      <c r="E63" s="8"/>
      <c r="F63" s="8"/>
      <c r="G63" s="11">
        <v>0.005</v>
      </c>
      <c r="H63" s="11">
        <v>0.041</v>
      </c>
      <c r="I63" s="9" t="s">
        <v>60</v>
      </c>
    </row>
    <row r="64">
      <c r="A64" s="12" t="s">
        <v>160</v>
      </c>
      <c r="B64" s="5" t="s">
        <v>61</v>
      </c>
      <c r="C64" s="8"/>
      <c r="D64" s="8"/>
      <c r="E64" s="8"/>
      <c r="F64" s="8"/>
      <c r="G64" s="11">
        <v>0.278</v>
      </c>
      <c r="H64" s="11">
        <v>0.797</v>
      </c>
      <c r="I64" s="9" t="s">
        <v>60</v>
      </c>
    </row>
    <row r="65">
      <c r="A65" s="12" t="s">
        <v>163</v>
      </c>
      <c r="B65" s="5" t="s">
        <v>61</v>
      </c>
      <c r="C65" s="8"/>
      <c r="D65" s="8"/>
      <c r="E65" s="8"/>
      <c r="F65" s="8"/>
      <c r="G65" s="11">
        <v>0.005</v>
      </c>
      <c r="H65" s="11">
        <v>0.003</v>
      </c>
      <c r="I65" s="9" t="s">
        <v>60</v>
      </c>
    </row>
    <row r="66">
      <c r="A66" s="12" t="s">
        <v>164</v>
      </c>
      <c r="B66" s="5" t="s">
        <v>61</v>
      </c>
      <c r="C66" s="8"/>
      <c r="D66" s="8"/>
      <c r="E66" s="8"/>
      <c r="F66" s="8"/>
      <c r="G66" s="11">
        <v>0.009</v>
      </c>
      <c r="H66" s="11">
        <v>0.018</v>
      </c>
      <c r="I66" s="9" t="s">
        <v>60</v>
      </c>
    </row>
    <row r="67">
      <c r="A67" s="12" t="s">
        <v>172</v>
      </c>
      <c r="B67" s="5" t="s">
        <v>61</v>
      </c>
      <c r="C67" s="8"/>
      <c r="D67" s="8"/>
      <c r="E67" s="8"/>
      <c r="F67" s="8"/>
      <c r="G67" s="11">
        <v>0.3</v>
      </c>
      <c r="H67" s="11">
        <v>0.531</v>
      </c>
      <c r="I67" s="9" t="s">
        <v>60</v>
      </c>
    </row>
    <row r="68">
      <c r="A68" s="12" t="s">
        <v>174</v>
      </c>
      <c r="B68" s="5" t="s">
        <v>61</v>
      </c>
      <c r="C68" s="8"/>
      <c r="D68" s="8"/>
      <c r="E68" s="8"/>
      <c r="F68" s="8"/>
      <c r="G68" s="11">
        <v>0.007</v>
      </c>
      <c r="H68" s="11">
        <v>0.014</v>
      </c>
      <c r="I68" s="9" t="s">
        <v>60</v>
      </c>
    </row>
    <row r="69">
      <c r="A69" s="12" t="s">
        <v>216</v>
      </c>
      <c r="B69" s="5" t="s">
        <v>61</v>
      </c>
      <c r="C69" s="8"/>
      <c r="D69" s="8"/>
      <c r="E69" s="8"/>
      <c r="F69" s="8"/>
      <c r="G69" s="8"/>
      <c r="H69" s="8"/>
      <c r="I69" s="9" t="s">
        <v>60</v>
      </c>
    </row>
    <row r="70">
      <c r="A70" s="12" t="s">
        <v>248</v>
      </c>
      <c r="B70" s="5" t="s">
        <v>61</v>
      </c>
      <c r="C70" s="8"/>
      <c r="D70" s="8"/>
      <c r="E70" s="8"/>
      <c r="F70" s="8"/>
      <c r="G70" s="11">
        <v>0.447</v>
      </c>
      <c r="H70" s="11">
        <v>0.583</v>
      </c>
      <c r="I70" s="9" t="s">
        <v>60</v>
      </c>
    </row>
    <row r="71">
      <c r="A71" s="12" t="s">
        <v>179</v>
      </c>
      <c r="B71" s="5" t="s">
        <v>61</v>
      </c>
      <c r="C71" s="8"/>
      <c r="D71" s="8"/>
      <c r="E71" s="8"/>
      <c r="F71" s="8"/>
      <c r="G71" s="11">
        <v>0.01</v>
      </c>
      <c r="H71" s="11">
        <v>0.002</v>
      </c>
      <c r="I71" s="9" t="s">
        <v>60</v>
      </c>
    </row>
    <row r="72">
      <c r="A72" s="12" t="s">
        <v>180</v>
      </c>
      <c r="B72" s="5" t="s">
        <v>61</v>
      </c>
      <c r="C72" s="8"/>
      <c r="D72" s="8"/>
      <c r="E72" s="8"/>
      <c r="F72" s="8"/>
      <c r="G72" s="11">
        <v>0.001</v>
      </c>
      <c r="H72" s="11">
        <v>0.002</v>
      </c>
      <c r="I72" s="9" t="s">
        <v>60</v>
      </c>
    </row>
    <row r="73">
      <c r="A73" s="12" t="s">
        <v>189</v>
      </c>
      <c r="B73" s="5" t="s">
        <v>61</v>
      </c>
      <c r="C73" s="8"/>
      <c r="D73" s="8"/>
      <c r="E73" s="8"/>
      <c r="F73" s="8"/>
      <c r="G73" s="11">
        <v>0.136</v>
      </c>
      <c r="H73" s="11">
        <v>0.327</v>
      </c>
      <c r="I73" s="9" t="s">
        <v>60</v>
      </c>
    </row>
    <row r="74">
      <c r="A74" s="12" t="s">
        <v>192</v>
      </c>
      <c r="B74" s="5" t="s">
        <v>61</v>
      </c>
      <c r="C74" s="8"/>
      <c r="D74" s="8"/>
      <c r="E74" s="8"/>
      <c r="F74" s="8"/>
      <c r="G74" s="11">
        <v>0.214</v>
      </c>
      <c r="H74" s="11">
        <v>0.219</v>
      </c>
      <c r="I74" s="9" t="s">
        <v>60</v>
      </c>
    </row>
    <row r="75">
      <c r="A75" s="12" t="s">
        <v>193</v>
      </c>
      <c r="B75" s="5" t="s">
        <v>61</v>
      </c>
      <c r="C75" s="8"/>
      <c r="D75" s="8"/>
      <c r="E75" s="8"/>
      <c r="F75" s="8"/>
      <c r="G75" s="11">
        <v>0.022</v>
      </c>
      <c r="H75" s="11">
        <v>0.028</v>
      </c>
      <c r="I75" s="9" t="s">
        <v>60</v>
      </c>
    </row>
    <row r="76">
      <c r="A76" s="12" t="s">
        <v>203</v>
      </c>
      <c r="B76" s="5" t="s">
        <v>61</v>
      </c>
      <c r="C76" s="8"/>
      <c r="D76" s="8"/>
      <c r="E76" s="8"/>
      <c r="F76" s="8"/>
      <c r="G76" s="11">
        <v>0.013</v>
      </c>
      <c r="H76" s="11">
        <v>0.064</v>
      </c>
      <c r="I76" s="9" t="s">
        <v>60</v>
      </c>
    </row>
    <row r="77">
      <c r="A77" s="12" t="s">
        <v>207</v>
      </c>
      <c r="B77" s="5" t="s">
        <v>61</v>
      </c>
      <c r="C77" s="8"/>
      <c r="D77" s="8"/>
      <c r="E77" s="8"/>
      <c r="F77" s="8"/>
      <c r="G77" s="8"/>
      <c r="H77" s="11">
        <v>0.0</v>
      </c>
      <c r="I77" s="9" t="s">
        <v>60</v>
      </c>
    </row>
    <row r="78">
      <c r="A78" s="12" t="s">
        <v>209</v>
      </c>
      <c r="B78" s="5" t="s">
        <v>61</v>
      </c>
      <c r="C78" s="8"/>
      <c r="D78" s="8"/>
      <c r="E78" s="8"/>
      <c r="F78" s="8"/>
      <c r="G78" s="11">
        <v>0.002</v>
      </c>
      <c r="H78" s="11">
        <v>0.0</v>
      </c>
      <c r="I78" s="9" t="s">
        <v>60</v>
      </c>
    </row>
    <row r="79">
      <c r="A79" s="12" t="s">
        <v>220</v>
      </c>
      <c r="B79" s="5" t="s">
        <v>61</v>
      </c>
      <c r="C79" s="8"/>
      <c r="D79" s="8"/>
      <c r="E79" s="8"/>
      <c r="F79" s="8"/>
      <c r="G79" s="8"/>
      <c r="H79" s="11">
        <v>0.002</v>
      </c>
      <c r="I79" s="9" t="s">
        <v>60</v>
      </c>
    </row>
    <row r="80">
      <c r="A80" s="12" t="s">
        <v>225</v>
      </c>
      <c r="B80" s="5" t="s">
        <v>61</v>
      </c>
      <c r="C80" s="8"/>
      <c r="D80" s="8"/>
      <c r="E80" s="8"/>
      <c r="F80" s="8"/>
      <c r="G80" s="11">
        <v>0.02</v>
      </c>
      <c r="H80" s="11">
        <v>0.083</v>
      </c>
      <c r="I80" s="9" t="s">
        <v>60</v>
      </c>
    </row>
    <row r="81">
      <c r="A81" s="12" t="s">
        <v>241</v>
      </c>
      <c r="B81" s="5" t="s">
        <v>61</v>
      </c>
      <c r="C81" s="8"/>
      <c r="D81" s="8"/>
      <c r="E81" s="8"/>
      <c r="F81" s="8"/>
      <c r="G81" s="11">
        <v>0.36</v>
      </c>
      <c r="H81" s="11">
        <v>0.701</v>
      </c>
      <c r="I81" s="9" t="s">
        <v>60</v>
      </c>
    </row>
    <row r="82">
      <c r="A82" s="12" t="s">
        <v>251</v>
      </c>
      <c r="B82" s="5" t="s">
        <v>61</v>
      </c>
      <c r="C82" s="8"/>
      <c r="D82" s="8"/>
      <c r="E82" s="8"/>
      <c r="F82" s="8"/>
      <c r="G82" s="11">
        <v>0.006</v>
      </c>
      <c r="H82" s="11">
        <v>0.023</v>
      </c>
      <c r="I82" s="9" t="s">
        <v>60</v>
      </c>
    </row>
    <row r="83">
      <c r="A83" s="12" t="s">
        <v>262</v>
      </c>
      <c r="B83" s="5" t="s">
        <v>61</v>
      </c>
      <c r="C83" s="8"/>
      <c r="D83" s="8"/>
      <c r="E83" s="8"/>
      <c r="F83" s="8"/>
      <c r="G83" s="11">
        <v>0.0</v>
      </c>
      <c r="H83" s="11">
        <v>0.0</v>
      </c>
      <c r="I83" s="9" t="s">
        <v>60</v>
      </c>
    </row>
    <row r="84">
      <c r="A84" s="12" t="s">
        <v>264</v>
      </c>
      <c r="B84" s="5" t="s">
        <v>61</v>
      </c>
      <c r="C84" s="8"/>
      <c r="D84" s="8"/>
      <c r="E84" s="8"/>
      <c r="F84" s="8"/>
      <c r="G84" s="11">
        <v>0.037</v>
      </c>
      <c r="H84" s="11">
        <v>0.049</v>
      </c>
      <c r="I84" s="9" t="s">
        <v>60</v>
      </c>
    </row>
    <row r="85">
      <c r="A85" s="12" t="s">
        <v>265</v>
      </c>
      <c r="B85" s="5" t="s">
        <v>61</v>
      </c>
      <c r="C85" s="8"/>
      <c r="D85" s="8"/>
      <c r="E85" s="8"/>
      <c r="F85" s="8"/>
      <c r="G85" s="8"/>
      <c r="H85" s="8"/>
      <c r="I85" s="9" t="s">
        <v>60</v>
      </c>
    </row>
    <row r="86">
      <c r="A86" s="12" t="s">
        <v>271</v>
      </c>
      <c r="B86" s="5" t="s">
        <v>61</v>
      </c>
      <c r="C86" s="8"/>
      <c r="D86" s="8"/>
      <c r="E86" s="8"/>
      <c r="F86" s="8"/>
      <c r="G86" s="11">
        <v>0.001</v>
      </c>
      <c r="H86" s="11">
        <v>0.002</v>
      </c>
      <c r="I86" s="9" t="s">
        <v>60</v>
      </c>
    </row>
    <row r="87">
      <c r="A87" s="12" t="s">
        <v>279</v>
      </c>
      <c r="B87" s="5" t="s">
        <v>61</v>
      </c>
      <c r="C87" s="8"/>
      <c r="D87" s="8"/>
      <c r="E87" s="8"/>
      <c r="F87" s="8"/>
      <c r="G87" s="11">
        <v>0.005</v>
      </c>
      <c r="H87" s="11">
        <v>0.002</v>
      </c>
      <c r="I87" s="9" t="s">
        <v>60</v>
      </c>
    </row>
    <row r="88">
      <c r="A88" s="12" t="s">
        <v>282</v>
      </c>
      <c r="B88" s="5" t="s">
        <v>61</v>
      </c>
      <c r="C88" s="8"/>
      <c r="D88" s="8"/>
      <c r="E88" s="8"/>
      <c r="F88" s="8"/>
      <c r="G88" s="11">
        <v>0.003</v>
      </c>
      <c r="H88" s="11">
        <v>0.01</v>
      </c>
      <c r="I88" s="9" t="s">
        <v>60</v>
      </c>
    </row>
    <row r="89">
      <c r="A89" s="12" t="s">
        <v>74</v>
      </c>
      <c r="B89" s="5" t="s">
        <v>75</v>
      </c>
      <c r="C89" s="8"/>
      <c r="D89" s="8"/>
      <c r="E89" s="8"/>
      <c r="F89" s="8"/>
      <c r="G89" s="11">
        <v>0.001</v>
      </c>
      <c r="H89" s="11">
        <v>0.009</v>
      </c>
      <c r="I89" s="9" t="s">
        <v>60</v>
      </c>
    </row>
    <row r="90">
      <c r="A90" s="12" t="s">
        <v>81</v>
      </c>
      <c r="B90" s="5" t="s">
        <v>75</v>
      </c>
      <c r="C90" s="8"/>
      <c r="D90" s="8"/>
      <c r="E90" s="8"/>
      <c r="F90" s="8"/>
      <c r="G90" s="11">
        <v>0.105</v>
      </c>
      <c r="H90" s="11">
        <v>0.36</v>
      </c>
      <c r="I90" s="9" t="s">
        <v>60</v>
      </c>
    </row>
    <row r="91">
      <c r="A91" s="12" t="s">
        <v>89</v>
      </c>
      <c r="B91" s="5" t="s">
        <v>75</v>
      </c>
      <c r="C91" s="8"/>
      <c r="D91" s="8"/>
      <c r="E91" s="8"/>
      <c r="F91" s="8"/>
      <c r="G91" s="11">
        <v>0.337</v>
      </c>
      <c r="H91" s="11">
        <v>0.763</v>
      </c>
      <c r="I91" s="9" t="s">
        <v>60</v>
      </c>
    </row>
    <row r="92">
      <c r="A92" s="12" t="s">
        <v>96</v>
      </c>
      <c r="B92" s="5" t="s">
        <v>75</v>
      </c>
      <c r="C92" s="8"/>
      <c r="D92" s="8"/>
      <c r="E92" s="8"/>
      <c r="F92" s="8"/>
      <c r="G92" s="11">
        <v>0.019</v>
      </c>
      <c r="H92" s="11">
        <v>0.005</v>
      </c>
      <c r="I92" s="9" t="s">
        <v>60</v>
      </c>
    </row>
    <row r="93">
      <c r="A93" s="12" t="s">
        <v>97</v>
      </c>
      <c r="B93" s="5" t="s">
        <v>75</v>
      </c>
      <c r="C93" s="8"/>
      <c r="D93" s="8"/>
      <c r="E93" s="8"/>
      <c r="F93" s="8"/>
      <c r="G93" s="11">
        <v>0.294</v>
      </c>
      <c r="H93" s="11">
        <v>0.548</v>
      </c>
      <c r="I93" s="9" t="s">
        <v>60</v>
      </c>
    </row>
    <row r="94">
      <c r="A94" s="12" t="s">
        <v>103</v>
      </c>
      <c r="B94" s="5" t="s">
        <v>75</v>
      </c>
      <c r="C94" s="8"/>
      <c r="D94" s="8"/>
      <c r="E94" s="8"/>
      <c r="F94" s="8"/>
      <c r="G94" s="11">
        <v>0.011</v>
      </c>
      <c r="H94" s="11">
        <v>0.024</v>
      </c>
      <c r="I94" s="9" t="s">
        <v>60</v>
      </c>
    </row>
    <row r="95">
      <c r="A95" s="12" t="s">
        <v>107</v>
      </c>
      <c r="B95" s="5" t="s">
        <v>75</v>
      </c>
      <c r="C95" s="8"/>
      <c r="D95" s="8"/>
      <c r="E95" s="8"/>
      <c r="F95" s="8"/>
      <c r="G95" s="11">
        <v>0.054</v>
      </c>
      <c r="H95" s="11">
        <v>0.092</v>
      </c>
      <c r="I95" s="9" t="s">
        <v>60</v>
      </c>
    </row>
    <row r="96">
      <c r="A96" s="12" t="s">
        <v>124</v>
      </c>
      <c r="B96" s="5" t="s">
        <v>75</v>
      </c>
      <c r="C96" s="8"/>
      <c r="D96" s="8"/>
      <c r="E96" s="8"/>
      <c r="F96" s="8"/>
      <c r="G96" s="11">
        <v>0.066</v>
      </c>
      <c r="H96" s="11">
        <v>0.231</v>
      </c>
      <c r="I96" s="9" t="s">
        <v>60</v>
      </c>
    </row>
    <row r="97">
      <c r="A97" s="12" t="s">
        <v>127</v>
      </c>
      <c r="B97" s="5" t="s">
        <v>75</v>
      </c>
      <c r="C97" s="8"/>
      <c r="D97" s="8"/>
      <c r="E97" s="8"/>
      <c r="F97" s="8"/>
      <c r="G97" s="11">
        <v>0.153</v>
      </c>
      <c r="H97" s="11">
        <v>0.231</v>
      </c>
      <c r="I97" s="9" t="s">
        <v>60</v>
      </c>
    </row>
    <row r="98">
      <c r="A98" s="12" t="s">
        <v>128</v>
      </c>
      <c r="B98" s="5" t="s">
        <v>75</v>
      </c>
      <c r="C98" s="8"/>
      <c r="D98" s="8"/>
      <c r="E98" s="8"/>
      <c r="F98" s="8"/>
      <c r="G98" s="11">
        <v>0.098</v>
      </c>
      <c r="H98" s="11">
        <v>0.424</v>
      </c>
      <c r="I98" s="9" t="s">
        <v>60</v>
      </c>
    </row>
    <row r="99">
      <c r="A99" s="12" t="s">
        <v>129</v>
      </c>
      <c r="B99" s="5" t="s">
        <v>75</v>
      </c>
      <c r="C99" s="8"/>
      <c r="D99" s="8"/>
      <c r="E99" s="8"/>
      <c r="F99" s="8"/>
      <c r="G99" s="11">
        <v>0.392</v>
      </c>
      <c r="H99" s="11">
        <v>0.63</v>
      </c>
      <c r="I99" s="9" t="s">
        <v>60</v>
      </c>
    </row>
    <row r="100">
      <c r="A100" s="12" t="s">
        <v>138</v>
      </c>
      <c r="B100" s="5" t="s">
        <v>75</v>
      </c>
      <c r="C100" s="8"/>
      <c r="D100" s="8"/>
      <c r="E100" s="8"/>
      <c r="F100" s="8"/>
      <c r="G100" s="11">
        <v>0.286</v>
      </c>
      <c r="H100" s="11">
        <v>0.408</v>
      </c>
      <c r="I100" s="9" t="s">
        <v>60</v>
      </c>
    </row>
    <row r="101">
      <c r="A101" s="12" t="s">
        <v>140</v>
      </c>
      <c r="B101" s="5" t="s">
        <v>75</v>
      </c>
      <c r="C101" s="8"/>
      <c r="D101" s="8"/>
      <c r="E101" s="8"/>
      <c r="F101" s="8"/>
      <c r="G101" s="11">
        <v>0.329</v>
      </c>
      <c r="H101" s="11">
        <v>0.365</v>
      </c>
      <c r="I101" s="9" t="s">
        <v>60</v>
      </c>
    </row>
    <row r="102">
      <c r="A102" s="12" t="s">
        <v>142</v>
      </c>
      <c r="B102" s="5" t="s">
        <v>75</v>
      </c>
      <c r="C102" s="8"/>
      <c r="D102" s="8"/>
      <c r="E102" s="8"/>
      <c r="F102" s="8"/>
      <c r="G102" s="11">
        <v>0.372</v>
      </c>
      <c r="H102" s="11">
        <v>0.72</v>
      </c>
      <c r="I102" s="9" t="s">
        <v>60</v>
      </c>
    </row>
    <row r="103">
      <c r="A103" s="12" t="s">
        <v>143</v>
      </c>
      <c r="B103" s="5" t="s">
        <v>75</v>
      </c>
      <c r="C103" s="8"/>
      <c r="D103" s="8"/>
      <c r="E103" s="8"/>
      <c r="F103" s="8"/>
      <c r="G103" s="11">
        <v>0.143</v>
      </c>
      <c r="H103" s="11">
        <v>0.491</v>
      </c>
      <c r="I103" s="9" t="s">
        <v>60</v>
      </c>
    </row>
    <row r="104">
      <c r="A104" s="12" t="s">
        <v>148</v>
      </c>
      <c r="B104" s="5" t="s">
        <v>75</v>
      </c>
      <c r="C104" s="8"/>
      <c r="D104" s="8"/>
      <c r="E104" s="8"/>
      <c r="F104" s="8"/>
      <c r="G104" s="11">
        <v>0.302</v>
      </c>
      <c r="H104" s="11">
        <v>0.577</v>
      </c>
      <c r="I104" s="9" t="s">
        <v>60</v>
      </c>
    </row>
    <row r="105">
      <c r="A105" s="12" t="s">
        <v>150</v>
      </c>
      <c r="B105" s="5" t="s">
        <v>75</v>
      </c>
      <c r="C105" s="8"/>
      <c r="D105" s="8"/>
      <c r="E105" s="8"/>
      <c r="F105" s="8"/>
      <c r="G105" s="11">
        <v>0.091</v>
      </c>
      <c r="H105" s="11">
        <v>0.54</v>
      </c>
      <c r="I105" s="9" t="s">
        <v>60</v>
      </c>
    </row>
    <row r="106">
      <c r="A106" s="12" t="s">
        <v>161</v>
      </c>
      <c r="B106" s="5" t="s">
        <v>75</v>
      </c>
      <c r="C106" s="8"/>
      <c r="D106" s="8"/>
      <c r="E106" s="8"/>
      <c r="F106" s="8"/>
      <c r="G106" s="11">
        <v>0.07</v>
      </c>
      <c r="H106" s="11">
        <v>0.301</v>
      </c>
      <c r="I106" s="9" t="s">
        <v>60</v>
      </c>
    </row>
    <row r="107">
      <c r="A107" s="12" t="s">
        <v>162</v>
      </c>
      <c r="B107" s="5" t="s">
        <v>75</v>
      </c>
      <c r="C107" s="8"/>
      <c r="D107" s="8"/>
      <c r="E107" s="8"/>
      <c r="F107" s="8"/>
      <c r="G107" s="11">
        <v>0.445</v>
      </c>
      <c r="H107" s="11">
        <v>0.764</v>
      </c>
      <c r="I107" s="9" t="s">
        <v>60</v>
      </c>
    </row>
    <row r="108">
      <c r="A108" s="12" t="s">
        <v>167</v>
      </c>
      <c r="B108" s="5" t="s">
        <v>75</v>
      </c>
      <c r="C108" s="8"/>
      <c r="D108" s="8"/>
      <c r="E108" s="8"/>
      <c r="F108" s="8"/>
      <c r="G108" s="11">
        <v>0.179</v>
      </c>
      <c r="H108" s="11">
        <v>0.647</v>
      </c>
      <c r="I108" s="9" t="s">
        <v>60</v>
      </c>
    </row>
    <row r="109">
      <c r="A109" s="12" t="s">
        <v>168</v>
      </c>
      <c r="B109" s="5" t="s">
        <v>75</v>
      </c>
      <c r="C109" s="8"/>
      <c r="D109" s="8"/>
      <c r="E109" s="8"/>
      <c r="F109" s="8"/>
      <c r="G109" s="8"/>
      <c r="H109" s="8"/>
      <c r="I109" s="9" t="s">
        <v>60</v>
      </c>
    </row>
    <row r="110">
      <c r="A110" s="12" t="s">
        <v>170</v>
      </c>
      <c r="B110" s="5" t="s">
        <v>75</v>
      </c>
      <c r="C110" s="8"/>
      <c r="D110" s="8"/>
      <c r="E110" s="8"/>
      <c r="F110" s="8"/>
      <c r="G110" s="11">
        <v>0.231</v>
      </c>
      <c r="H110" s="11">
        <v>0.741</v>
      </c>
      <c r="I110" s="9" t="s">
        <v>60</v>
      </c>
    </row>
    <row r="111">
      <c r="A111" s="12" t="s">
        <v>177</v>
      </c>
      <c r="B111" s="5" t="s">
        <v>75</v>
      </c>
      <c r="C111" s="8"/>
      <c r="D111" s="8"/>
      <c r="E111" s="8"/>
      <c r="F111" s="8"/>
      <c r="G111" s="8"/>
      <c r="H111" s="8"/>
      <c r="I111" s="9" t="s">
        <v>60</v>
      </c>
    </row>
    <row r="112">
      <c r="A112" s="12" t="s">
        <v>181</v>
      </c>
      <c r="B112" s="5" t="s">
        <v>75</v>
      </c>
      <c r="C112" s="8"/>
      <c r="D112" s="8"/>
      <c r="E112" s="8"/>
      <c r="F112" s="8"/>
      <c r="G112" s="11">
        <v>0.063</v>
      </c>
      <c r="H112" s="11">
        <v>0.169</v>
      </c>
      <c r="I112" s="9" t="s">
        <v>60</v>
      </c>
    </row>
    <row r="113">
      <c r="A113" s="12" t="s">
        <v>186</v>
      </c>
      <c r="B113" s="5" t="s">
        <v>75</v>
      </c>
      <c r="C113" s="8"/>
      <c r="D113" s="8"/>
      <c r="E113" s="8"/>
      <c r="F113" s="8"/>
      <c r="G113" s="11">
        <v>0.365</v>
      </c>
      <c r="H113" s="11">
        <v>0.302</v>
      </c>
      <c r="I113" s="9" t="s">
        <v>60</v>
      </c>
    </row>
    <row r="114">
      <c r="A114" s="12" t="s">
        <v>187</v>
      </c>
      <c r="B114" s="5" t="s">
        <v>75</v>
      </c>
      <c r="C114" s="8"/>
      <c r="D114" s="8"/>
      <c r="E114" s="8"/>
      <c r="F114" s="8"/>
      <c r="G114" s="11">
        <v>0.064</v>
      </c>
      <c r="H114" s="11">
        <v>0.15</v>
      </c>
      <c r="I114" s="9" t="s">
        <v>60</v>
      </c>
    </row>
    <row r="115">
      <c r="A115" s="12" t="s">
        <v>188</v>
      </c>
      <c r="B115" s="5" t="s">
        <v>75</v>
      </c>
      <c r="C115" s="8"/>
      <c r="D115" s="8"/>
      <c r="E115" s="8"/>
      <c r="F115" s="8"/>
      <c r="G115" s="11">
        <v>0.229</v>
      </c>
      <c r="H115" s="11">
        <v>0.695</v>
      </c>
      <c r="I115" s="9" t="s">
        <v>60</v>
      </c>
    </row>
    <row r="116">
      <c r="A116" s="12" t="s">
        <v>217</v>
      </c>
      <c r="B116" s="5" t="s">
        <v>75</v>
      </c>
      <c r="C116" s="8"/>
      <c r="D116" s="8"/>
      <c r="E116" s="8"/>
      <c r="F116" s="8"/>
      <c r="G116" s="11">
        <v>0.025</v>
      </c>
      <c r="H116" s="11">
        <v>0.056</v>
      </c>
      <c r="I116" s="9" t="s">
        <v>60</v>
      </c>
    </row>
    <row r="117">
      <c r="A117" s="12" t="s">
        <v>195</v>
      </c>
      <c r="B117" s="5" t="s">
        <v>75</v>
      </c>
      <c r="C117" s="8"/>
      <c r="D117" s="8"/>
      <c r="E117" s="8"/>
      <c r="F117" s="8"/>
      <c r="G117" s="11">
        <v>0.131</v>
      </c>
      <c r="H117" s="11">
        <v>0.281</v>
      </c>
      <c r="I117" s="9" t="s">
        <v>60</v>
      </c>
    </row>
    <row r="118">
      <c r="A118" s="12" t="s">
        <v>201</v>
      </c>
      <c r="B118" s="5" t="s">
        <v>75</v>
      </c>
      <c r="C118" s="8"/>
      <c r="D118" s="8"/>
      <c r="E118" s="8"/>
      <c r="F118" s="8"/>
      <c r="G118" s="11">
        <v>0.013</v>
      </c>
      <c r="H118" s="11">
        <v>0.034</v>
      </c>
      <c r="I118" s="9" t="s">
        <v>60</v>
      </c>
    </row>
    <row r="119">
      <c r="A119" s="12" t="s">
        <v>202</v>
      </c>
      <c r="B119" s="5" t="s">
        <v>75</v>
      </c>
      <c r="C119" s="8"/>
      <c r="D119" s="8"/>
      <c r="E119" s="8"/>
      <c r="F119" s="8"/>
      <c r="G119" s="11">
        <v>0.422</v>
      </c>
      <c r="H119" s="11">
        <v>0.434</v>
      </c>
      <c r="I119" s="9" t="s">
        <v>60</v>
      </c>
    </row>
    <row r="120">
      <c r="A120" s="12" t="s">
        <v>204</v>
      </c>
      <c r="B120" s="5" t="s">
        <v>75</v>
      </c>
      <c r="C120" s="8"/>
      <c r="D120" s="8"/>
      <c r="E120" s="8"/>
      <c r="F120" s="8"/>
      <c r="G120" s="8"/>
      <c r="H120" s="8"/>
      <c r="I120" s="9" t="s">
        <v>60</v>
      </c>
    </row>
    <row r="121">
      <c r="A121" s="12" t="s">
        <v>210</v>
      </c>
      <c r="B121" s="5" t="s">
        <v>75</v>
      </c>
      <c r="C121" s="8"/>
      <c r="D121" s="8"/>
      <c r="E121" s="8"/>
      <c r="F121" s="8"/>
      <c r="G121" s="11">
        <v>0.44</v>
      </c>
      <c r="H121" s="11">
        <v>0.678</v>
      </c>
      <c r="I121" s="9" t="s">
        <v>60</v>
      </c>
    </row>
    <row r="122">
      <c r="A122" s="12" t="s">
        <v>218</v>
      </c>
      <c r="B122" s="5" t="s">
        <v>75</v>
      </c>
      <c r="C122" s="8"/>
      <c r="D122" s="8"/>
      <c r="E122" s="8"/>
      <c r="F122" s="8"/>
      <c r="G122" s="11">
        <v>0.52</v>
      </c>
      <c r="H122" s="11">
        <v>0.718</v>
      </c>
      <c r="I122" s="9" t="s">
        <v>60</v>
      </c>
    </row>
    <row r="123">
      <c r="A123" s="12" t="s">
        <v>226</v>
      </c>
      <c r="B123" s="5" t="s">
        <v>75</v>
      </c>
      <c r="C123" s="8"/>
      <c r="D123" s="8"/>
      <c r="E123" s="8"/>
      <c r="F123" s="8"/>
      <c r="G123" s="11">
        <v>0.073</v>
      </c>
      <c r="H123" s="11">
        <v>0.176</v>
      </c>
      <c r="I123" s="9" t="s">
        <v>60</v>
      </c>
    </row>
    <row r="124">
      <c r="A124" s="12" t="s">
        <v>227</v>
      </c>
      <c r="B124" s="5" t="s">
        <v>75</v>
      </c>
      <c r="C124" s="8"/>
      <c r="D124" s="8"/>
      <c r="E124" s="8"/>
      <c r="F124" s="8"/>
      <c r="G124" s="11">
        <v>0.164</v>
      </c>
      <c r="H124" s="11">
        <v>0.647</v>
      </c>
      <c r="I124" s="9" t="s">
        <v>60</v>
      </c>
    </row>
    <row r="125">
      <c r="A125" s="12" t="s">
        <v>230</v>
      </c>
      <c r="B125" s="5" t="s">
        <v>75</v>
      </c>
      <c r="C125" s="8"/>
      <c r="D125" s="8"/>
      <c r="E125" s="8"/>
      <c r="F125" s="8"/>
      <c r="G125" s="11">
        <v>0.036</v>
      </c>
      <c r="H125" s="11">
        <v>0.112</v>
      </c>
      <c r="I125" s="9" t="s">
        <v>60</v>
      </c>
    </row>
    <row r="126">
      <c r="A126" s="12" t="s">
        <v>231</v>
      </c>
      <c r="B126" s="5" t="s">
        <v>75</v>
      </c>
      <c r="C126" s="8"/>
      <c r="D126" s="8"/>
      <c r="E126" s="8"/>
      <c r="F126" s="8"/>
      <c r="G126" s="11">
        <v>0.02</v>
      </c>
      <c r="H126" s="11">
        <v>0.022</v>
      </c>
      <c r="I126" s="9" t="s">
        <v>60</v>
      </c>
    </row>
    <row r="127">
      <c r="A127" s="12" t="s">
        <v>234</v>
      </c>
      <c r="B127" s="5" t="s">
        <v>75</v>
      </c>
      <c r="C127" s="8"/>
      <c r="D127" s="8"/>
      <c r="E127" s="8"/>
      <c r="F127" s="8"/>
      <c r="G127" s="11">
        <v>0.488</v>
      </c>
      <c r="H127" s="11">
        <v>0.538</v>
      </c>
      <c r="I127" s="9" t="s">
        <v>60</v>
      </c>
    </row>
    <row r="128">
      <c r="A128" s="12" t="s">
        <v>238</v>
      </c>
      <c r="B128" s="5" t="s">
        <v>75</v>
      </c>
      <c r="C128" s="8"/>
      <c r="D128" s="8"/>
      <c r="E128" s="8"/>
      <c r="F128" s="8"/>
      <c r="G128" s="8"/>
      <c r="H128" s="8"/>
      <c r="I128" s="9" t="s">
        <v>60</v>
      </c>
    </row>
    <row r="129">
      <c r="A129" s="12" t="s">
        <v>243</v>
      </c>
      <c r="B129" s="5" t="s">
        <v>75</v>
      </c>
      <c r="C129" s="8"/>
      <c r="D129" s="8"/>
      <c r="E129" s="8"/>
      <c r="F129" s="8"/>
      <c r="G129" s="11">
        <v>0.094</v>
      </c>
      <c r="H129" s="11">
        <v>0.231</v>
      </c>
      <c r="I129" s="9" t="s">
        <v>60</v>
      </c>
    </row>
    <row r="130">
      <c r="A130" s="12" t="s">
        <v>244</v>
      </c>
      <c r="B130" s="5" t="s">
        <v>75</v>
      </c>
      <c r="C130" s="8"/>
      <c r="D130" s="8"/>
      <c r="E130" s="8"/>
      <c r="F130" s="8"/>
      <c r="G130" s="11">
        <v>0.151</v>
      </c>
      <c r="H130" s="11">
        <v>0.611</v>
      </c>
      <c r="I130" s="9" t="s">
        <v>60</v>
      </c>
    </row>
    <row r="131">
      <c r="A131" s="12" t="s">
        <v>250</v>
      </c>
      <c r="B131" s="5" t="s">
        <v>75</v>
      </c>
      <c r="C131" s="8"/>
      <c r="D131" s="8"/>
      <c r="E131" s="8"/>
      <c r="F131" s="8"/>
      <c r="G131" s="11">
        <v>0.136</v>
      </c>
      <c r="H131" s="11">
        <v>0.602</v>
      </c>
      <c r="I131" s="9" t="s">
        <v>60</v>
      </c>
    </row>
    <row r="132">
      <c r="A132" s="12" t="s">
        <v>259</v>
      </c>
      <c r="B132" s="5" t="s">
        <v>75</v>
      </c>
      <c r="C132" s="8"/>
      <c r="D132" s="8"/>
      <c r="E132" s="8"/>
      <c r="F132" s="8"/>
      <c r="G132" s="11">
        <v>0.457</v>
      </c>
      <c r="H132" s="11">
        <v>0.718</v>
      </c>
      <c r="I132" s="9" t="s">
        <v>60</v>
      </c>
    </row>
    <row r="133">
      <c r="A133" s="12" t="s">
        <v>260</v>
      </c>
      <c r="B133" s="5" t="s">
        <v>75</v>
      </c>
      <c r="C133" s="8"/>
      <c r="D133" s="8"/>
      <c r="E133" s="8"/>
      <c r="F133" s="8"/>
      <c r="G133" s="11">
        <v>0.471</v>
      </c>
      <c r="H133" s="11">
        <v>0.647</v>
      </c>
      <c r="I133" s="9" t="s">
        <v>60</v>
      </c>
    </row>
    <row r="134">
      <c r="A134" s="12" t="s">
        <v>270</v>
      </c>
      <c r="B134" s="5" t="s">
        <v>75</v>
      </c>
      <c r="C134" s="8"/>
      <c r="D134" s="8"/>
      <c r="E134" s="8"/>
      <c r="F134" s="8"/>
      <c r="G134" s="11">
        <v>0.038</v>
      </c>
      <c r="H134" s="11">
        <v>0.255</v>
      </c>
      <c r="I134" s="9" t="s">
        <v>60</v>
      </c>
    </row>
    <row r="135">
      <c r="A135" s="12" t="s">
        <v>274</v>
      </c>
      <c r="B135" s="5" t="s">
        <v>75</v>
      </c>
      <c r="C135" s="8"/>
      <c r="D135" s="8"/>
      <c r="E135" s="8"/>
      <c r="F135" s="8"/>
      <c r="G135" s="11">
        <v>0.007</v>
      </c>
      <c r="H135" s="11">
        <v>0.017</v>
      </c>
      <c r="I135" s="9" t="s">
        <v>60</v>
      </c>
    </row>
    <row r="136">
      <c r="A136" s="12" t="s">
        <v>276</v>
      </c>
      <c r="B136" s="5" t="s">
        <v>75</v>
      </c>
      <c r="C136" s="8"/>
      <c r="D136" s="8"/>
      <c r="E136" s="8"/>
      <c r="F136" s="8"/>
      <c r="G136" s="11">
        <v>0.268</v>
      </c>
      <c r="H136" s="11">
        <v>0.737</v>
      </c>
      <c r="I136" s="9" t="s">
        <v>60</v>
      </c>
    </row>
    <row r="137">
      <c r="A137" s="12" t="s">
        <v>92</v>
      </c>
      <c r="B137" s="5" t="s">
        <v>93</v>
      </c>
      <c r="C137" s="8"/>
      <c r="D137" s="8"/>
      <c r="E137" s="8"/>
      <c r="F137" s="8"/>
      <c r="G137" s="11">
        <v>0.062</v>
      </c>
      <c r="H137" s="11">
        <v>0.308</v>
      </c>
      <c r="I137" s="9" t="s">
        <v>60</v>
      </c>
    </row>
    <row r="138">
      <c r="A138" s="12" t="s">
        <v>165</v>
      </c>
      <c r="B138" s="5" t="s">
        <v>93</v>
      </c>
      <c r="C138" s="8"/>
      <c r="D138" s="8"/>
      <c r="E138" s="8"/>
      <c r="F138" s="8"/>
      <c r="G138" s="11">
        <v>0.009</v>
      </c>
      <c r="H138" s="11">
        <v>0.015</v>
      </c>
      <c r="I138" s="9" t="s">
        <v>60</v>
      </c>
    </row>
    <row r="139">
      <c r="A139" s="12" t="s">
        <v>166</v>
      </c>
      <c r="B139" s="5" t="s">
        <v>93</v>
      </c>
      <c r="C139" s="8"/>
      <c r="D139" s="8"/>
      <c r="E139" s="8"/>
      <c r="F139" s="8"/>
      <c r="G139" s="8"/>
      <c r="H139" s="8"/>
      <c r="I139" s="9" t="s">
        <v>60</v>
      </c>
    </row>
    <row r="140">
      <c r="A140" s="12" t="s">
        <v>169</v>
      </c>
      <c r="B140" s="5" t="s">
        <v>93</v>
      </c>
      <c r="C140" s="8"/>
      <c r="D140" s="8"/>
      <c r="E140" s="8"/>
      <c r="F140" s="8"/>
      <c r="G140" s="11">
        <v>0.209</v>
      </c>
      <c r="H140" s="11">
        <v>0.732</v>
      </c>
      <c r="I140" s="9" t="s">
        <v>60</v>
      </c>
    </row>
    <row r="141">
      <c r="A141" s="12" t="s">
        <v>173</v>
      </c>
      <c r="B141" s="5" t="s">
        <v>93</v>
      </c>
      <c r="C141" s="8"/>
      <c r="D141" s="8"/>
      <c r="E141" s="8"/>
      <c r="F141" s="8"/>
      <c r="G141" s="11">
        <v>0.026</v>
      </c>
      <c r="H141" s="11">
        <v>0.082</v>
      </c>
      <c r="I141" s="9" t="s">
        <v>60</v>
      </c>
    </row>
    <row r="142">
      <c r="A142" s="12" t="s">
        <v>178</v>
      </c>
      <c r="B142" s="5" t="s">
        <v>93</v>
      </c>
      <c r="C142" s="8"/>
      <c r="D142" s="8"/>
      <c r="E142" s="8"/>
      <c r="F142" s="8"/>
      <c r="G142" s="11">
        <v>0.067</v>
      </c>
      <c r="H142" s="11">
        <v>0.25</v>
      </c>
      <c r="I142" s="9" t="s">
        <v>60</v>
      </c>
    </row>
    <row r="143">
      <c r="A143" s="12" t="s">
        <v>182</v>
      </c>
      <c r="B143" s="5" t="s">
        <v>93</v>
      </c>
      <c r="C143" s="8"/>
      <c r="D143" s="8"/>
      <c r="E143" s="8"/>
      <c r="F143" s="8"/>
      <c r="G143" s="11">
        <v>0.08</v>
      </c>
      <c r="H143" s="11">
        <v>0.23</v>
      </c>
      <c r="I143" s="9" t="s">
        <v>60</v>
      </c>
    </row>
    <row r="144">
      <c r="A144" s="12" t="s">
        <v>219</v>
      </c>
      <c r="B144" s="5" t="s">
        <v>93</v>
      </c>
      <c r="C144" s="8"/>
      <c r="D144" s="8"/>
      <c r="E144" s="8"/>
      <c r="F144" s="8"/>
      <c r="G144" s="11">
        <v>0.035</v>
      </c>
      <c r="H144" s="11">
        <v>0.074</v>
      </c>
      <c r="I144" s="9" t="s">
        <v>60</v>
      </c>
    </row>
    <row r="145">
      <c r="A145" s="12" t="s">
        <v>229</v>
      </c>
      <c r="B145" s="5" t="s">
        <v>93</v>
      </c>
      <c r="C145" s="8"/>
      <c r="D145" s="8"/>
      <c r="E145" s="8"/>
      <c r="F145" s="8"/>
      <c r="G145" s="11">
        <v>0.049</v>
      </c>
      <c r="H145" s="11">
        <v>0.204</v>
      </c>
      <c r="I145" s="9" t="s">
        <v>60</v>
      </c>
    </row>
    <row r="146">
      <c r="A146" s="12" t="s">
        <v>236</v>
      </c>
      <c r="B146" s="5" t="s">
        <v>93</v>
      </c>
      <c r="C146" s="8"/>
      <c r="D146" s="8"/>
      <c r="E146" s="8"/>
      <c r="F146" s="8"/>
      <c r="G146" s="11">
        <v>0.022</v>
      </c>
      <c r="H146" s="11">
        <v>0.068</v>
      </c>
      <c r="I146" s="9" t="s">
        <v>60</v>
      </c>
    </row>
    <row r="147">
      <c r="A147" s="12" t="s">
        <v>261</v>
      </c>
      <c r="B147" s="5" t="s">
        <v>93</v>
      </c>
      <c r="C147" s="8"/>
      <c r="D147" s="8"/>
      <c r="E147" s="8"/>
      <c r="F147" s="8"/>
      <c r="G147" s="11">
        <v>0.002</v>
      </c>
      <c r="H147" s="11">
        <v>0.002</v>
      </c>
      <c r="I147" s="9" t="s">
        <v>60</v>
      </c>
    </row>
    <row r="148">
      <c r="A148" s="12" t="s">
        <v>275</v>
      </c>
      <c r="B148" s="5" t="s">
        <v>93</v>
      </c>
      <c r="C148" s="8"/>
      <c r="D148" s="8"/>
      <c r="E148" s="8"/>
      <c r="F148" s="8"/>
      <c r="G148" s="11">
        <v>0.236</v>
      </c>
      <c r="H148" s="11">
        <v>0.472</v>
      </c>
      <c r="I148" s="9" t="s">
        <v>60</v>
      </c>
    </row>
    <row r="149">
      <c r="A149" s="12" t="s">
        <v>283</v>
      </c>
      <c r="B149" s="5" t="s">
        <v>93</v>
      </c>
      <c r="C149" s="8"/>
      <c r="D149" s="8"/>
      <c r="E149" s="8"/>
      <c r="F149" s="8"/>
      <c r="G149" s="11">
        <v>0.001</v>
      </c>
      <c r="H149" s="11">
        <v>0.002</v>
      </c>
      <c r="I149" s="9" t="s">
        <v>60</v>
      </c>
    </row>
    <row r="150">
      <c r="A150" s="12" t="s">
        <v>79</v>
      </c>
      <c r="B150" s="5" t="s">
        <v>80</v>
      </c>
      <c r="C150" s="8"/>
      <c r="D150" s="8"/>
      <c r="E150" s="8"/>
      <c r="F150" s="8"/>
      <c r="G150" s="8"/>
      <c r="H150" s="11">
        <v>0.035</v>
      </c>
      <c r="I150" s="9" t="s">
        <v>60</v>
      </c>
    </row>
    <row r="151">
      <c r="A151" s="12" t="s">
        <v>88</v>
      </c>
      <c r="B151" s="5" t="s">
        <v>80</v>
      </c>
      <c r="C151" s="8"/>
      <c r="D151" s="8"/>
      <c r="E151" s="8"/>
      <c r="F151" s="8"/>
      <c r="G151" s="11">
        <v>0.468</v>
      </c>
      <c r="H151" s="11">
        <v>0.445</v>
      </c>
      <c r="I151" s="9" t="s">
        <v>60</v>
      </c>
    </row>
    <row r="152">
      <c r="A152" s="12" t="s">
        <v>141</v>
      </c>
      <c r="B152" s="5" t="s">
        <v>80</v>
      </c>
      <c r="C152" s="8"/>
      <c r="D152" s="8"/>
      <c r="E152" s="8"/>
      <c r="F152" s="8"/>
      <c r="G152" s="11">
        <v>0.015</v>
      </c>
      <c r="H152" s="11">
        <v>0.068</v>
      </c>
      <c r="I152" s="9" t="s">
        <v>60</v>
      </c>
    </row>
    <row r="153">
      <c r="A153" s="12" t="s">
        <v>144</v>
      </c>
      <c r="B153" s="5" t="s">
        <v>80</v>
      </c>
      <c r="C153" s="8"/>
      <c r="D153" s="8"/>
      <c r="E153" s="8"/>
      <c r="F153" s="8"/>
      <c r="G153" s="11">
        <v>0.064</v>
      </c>
      <c r="H153" s="11">
        <v>0.168</v>
      </c>
      <c r="I153" s="9" t="s">
        <v>60</v>
      </c>
    </row>
    <row r="154">
      <c r="A154" s="12" t="s">
        <v>153</v>
      </c>
      <c r="B154" s="5" t="s">
        <v>80</v>
      </c>
      <c r="C154" s="8"/>
      <c r="D154" s="8"/>
      <c r="E154" s="8"/>
      <c r="F154" s="8"/>
      <c r="G154" s="11">
        <v>0.161</v>
      </c>
      <c r="H154" s="11">
        <v>0.175</v>
      </c>
      <c r="I154" s="9" t="s">
        <v>60</v>
      </c>
    </row>
    <row r="155">
      <c r="A155" s="12" t="s">
        <v>176</v>
      </c>
      <c r="B155" s="5" t="s">
        <v>80</v>
      </c>
      <c r="C155" s="8"/>
      <c r="D155" s="8"/>
      <c r="E155" s="8"/>
      <c r="F155" s="8"/>
      <c r="G155" s="11">
        <v>0.018</v>
      </c>
      <c r="H155" s="11">
        <v>0.004</v>
      </c>
      <c r="I155" s="9" t="s">
        <v>60</v>
      </c>
    </row>
    <row r="156">
      <c r="A156" s="12" t="s">
        <v>196</v>
      </c>
      <c r="B156" s="5" t="s">
        <v>80</v>
      </c>
      <c r="C156" s="8"/>
      <c r="D156" s="8"/>
      <c r="E156" s="8"/>
      <c r="F156" s="8"/>
      <c r="G156" s="11">
        <v>0.015</v>
      </c>
      <c r="H156" s="11">
        <v>0.009</v>
      </c>
      <c r="I156" s="9" t="s">
        <v>60</v>
      </c>
    </row>
    <row r="157">
      <c r="A157" s="12" t="s">
        <v>200</v>
      </c>
      <c r="B157" s="5" t="s">
        <v>80</v>
      </c>
      <c r="C157" s="8"/>
      <c r="D157" s="8"/>
      <c r="E157" s="8"/>
      <c r="F157" s="8"/>
      <c r="G157" s="11">
        <v>0.037</v>
      </c>
      <c r="H157" s="8"/>
      <c r="I157" s="9" t="s">
        <v>60</v>
      </c>
    </row>
    <row r="158">
      <c r="A158" s="12" t="s">
        <v>211</v>
      </c>
      <c r="B158" s="5" t="s">
        <v>80</v>
      </c>
      <c r="C158" s="8"/>
      <c r="D158" s="8"/>
      <c r="E158" s="8"/>
      <c r="F158" s="8"/>
      <c r="G158" s="11">
        <v>0.139</v>
      </c>
      <c r="H158" s="11">
        <v>0.238</v>
      </c>
      <c r="I158" s="9" t="s">
        <v>60</v>
      </c>
    </row>
    <row r="159">
      <c r="A159" s="12" t="s">
        <v>212</v>
      </c>
      <c r="B159" s="5" t="s">
        <v>80</v>
      </c>
      <c r="C159" s="8"/>
      <c r="D159" s="8"/>
      <c r="E159" s="8"/>
      <c r="F159" s="8"/>
      <c r="G159" s="11">
        <v>0.474</v>
      </c>
      <c r="H159" s="11">
        <v>0.4</v>
      </c>
      <c r="I159" s="9" t="s">
        <v>60</v>
      </c>
    </row>
    <row r="160">
      <c r="A160" s="12" t="s">
        <v>222</v>
      </c>
      <c r="B160" s="5" t="s">
        <v>80</v>
      </c>
      <c r="C160" s="8"/>
      <c r="D160" s="8"/>
      <c r="E160" s="8"/>
      <c r="F160" s="8"/>
      <c r="G160" s="11">
        <v>0.008</v>
      </c>
      <c r="H160" s="11">
        <v>0.002</v>
      </c>
      <c r="I160" s="9" t="s">
        <v>60</v>
      </c>
    </row>
    <row r="161">
      <c r="A161" s="12" t="s">
        <v>233</v>
      </c>
      <c r="B161" s="5" t="s">
        <v>80</v>
      </c>
      <c r="C161" s="8"/>
      <c r="D161" s="8"/>
      <c r="E161" s="8"/>
      <c r="F161" s="8"/>
      <c r="G161" s="11">
        <v>0.006</v>
      </c>
      <c r="H161" s="11">
        <v>0.014</v>
      </c>
      <c r="I161" s="9" t="s">
        <v>60</v>
      </c>
    </row>
    <row r="162">
      <c r="A162" s="12" t="s">
        <v>245</v>
      </c>
      <c r="B162" s="5" t="s">
        <v>80</v>
      </c>
      <c r="C162" s="8"/>
      <c r="D162" s="8"/>
      <c r="E162" s="8"/>
      <c r="F162" s="8"/>
      <c r="G162" s="11">
        <v>0.005</v>
      </c>
      <c r="H162" s="11">
        <v>0.003</v>
      </c>
      <c r="I162" s="9" t="s">
        <v>60</v>
      </c>
    </row>
    <row r="163">
      <c r="A163" s="12" t="s">
        <v>267</v>
      </c>
      <c r="B163" s="5" t="s">
        <v>80</v>
      </c>
      <c r="C163" s="8"/>
      <c r="D163" s="8"/>
      <c r="E163" s="8"/>
      <c r="F163" s="8"/>
      <c r="G163" s="11">
        <v>0.024</v>
      </c>
      <c r="H163" s="11">
        <v>0.002</v>
      </c>
      <c r="I163" s="9" t="s">
        <v>60</v>
      </c>
    </row>
    <row r="164">
      <c r="A164" s="12" t="s">
        <v>280</v>
      </c>
      <c r="B164" s="5" t="s">
        <v>80</v>
      </c>
      <c r="C164" s="8"/>
      <c r="D164" s="8"/>
      <c r="E164" s="8"/>
      <c r="F164" s="8"/>
      <c r="G164" s="11">
        <v>0.021</v>
      </c>
      <c r="H164" s="11">
        <v>0.002</v>
      </c>
      <c r="I164" s="9" t="s">
        <v>60</v>
      </c>
    </row>
    <row r="165">
      <c r="A165" s="12" t="s">
        <v>83</v>
      </c>
      <c r="B165" s="5" t="s">
        <v>84</v>
      </c>
      <c r="C165" s="8"/>
      <c r="D165" s="8"/>
      <c r="E165" s="8"/>
      <c r="F165" s="8"/>
      <c r="G165" s="11">
        <v>0.065</v>
      </c>
      <c r="H165" s="11">
        <v>0.283</v>
      </c>
      <c r="I165" s="9" t="s">
        <v>60</v>
      </c>
    </row>
    <row r="166">
      <c r="A166" s="12" t="s">
        <v>85</v>
      </c>
      <c r="B166" s="5" t="s">
        <v>84</v>
      </c>
      <c r="C166" s="8"/>
      <c r="D166" s="8"/>
      <c r="E166" s="8"/>
      <c r="F166" s="8"/>
      <c r="G166" s="11">
        <v>0.07</v>
      </c>
      <c r="H166" s="11">
        <v>0.176</v>
      </c>
      <c r="I166" s="9" t="s">
        <v>60</v>
      </c>
    </row>
    <row r="167">
      <c r="A167" s="12" t="s">
        <v>87</v>
      </c>
      <c r="B167" s="5" t="s">
        <v>84</v>
      </c>
      <c r="C167" s="8"/>
      <c r="D167" s="8"/>
      <c r="E167" s="8"/>
      <c r="F167" s="8"/>
      <c r="G167" s="11">
        <v>0.154</v>
      </c>
      <c r="H167" s="11">
        <v>0.165</v>
      </c>
      <c r="I167" s="9" t="s">
        <v>60</v>
      </c>
    </row>
    <row r="168">
      <c r="A168" s="12" t="s">
        <v>91</v>
      </c>
      <c r="B168" s="5" t="s">
        <v>84</v>
      </c>
      <c r="C168" s="8"/>
      <c r="D168" s="8"/>
      <c r="E168" s="8"/>
      <c r="F168" s="8"/>
      <c r="G168" s="11">
        <v>0.08</v>
      </c>
      <c r="H168" s="11">
        <v>0.106</v>
      </c>
      <c r="I168" s="9" t="s">
        <v>60</v>
      </c>
    </row>
    <row r="169">
      <c r="A169" s="12" t="s">
        <v>95</v>
      </c>
      <c r="B169" s="5" t="s">
        <v>84</v>
      </c>
      <c r="C169" s="8"/>
      <c r="D169" s="8"/>
      <c r="E169" s="8"/>
      <c r="F169" s="8"/>
      <c r="G169" s="11">
        <v>0.04</v>
      </c>
      <c r="H169" s="11">
        <v>0.107</v>
      </c>
      <c r="I169" s="9" t="s">
        <v>60</v>
      </c>
    </row>
    <row r="170">
      <c r="A170" s="12" t="s">
        <v>98</v>
      </c>
      <c r="B170" s="5" t="s">
        <v>84</v>
      </c>
      <c r="C170" s="8"/>
      <c r="D170" s="8"/>
      <c r="E170" s="8"/>
      <c r="F170" s="8"/>
      <c r="G170" s="11">
        <v>0.06</v>
      </c>
      <c r="H170" s="11">
        <v>0.07</v>
      </c>
      <c r="I170" s="9" t="s">
        <v>60</v>
      </c>
    </row>
    <row r="171">
      <c r="A171" s="12" t="s">
        <v>100</v>
      </c>
      <c r="B171" s="5" t="s">
        <v>84</v>
      </c>
      <c r="C171" s="8"/>
      <c r="D171" s="8"/>
      <c r="E171" s="8"/>
      <c r="F171" s="8"/>
      <c r="G171" s="11">
        <v>0.429</v>
      </c>
      <c r="H171" s="11">
        <v>0.207</v>
      </c>
      <c r="I171" s="9" t="s">
        <v>60</v>
      </c>
    </row>
    <row r="172">
      <c r="A172" s="12" t="s">
        <v>102</v>
      </c>
      <c r="B172" s="5" t="s">
        <v>84</v>
      </c>
      <c r="C172" s="8"/>
      <c r="D172" s="8"/>
      <c r="E172" s="8"/>
      <c r="F172" s="8"/>
      <c r="G172" s="11">
        <v>0.014</v>
      </c>
      <c r="H172" s="11">
        <v>0.069</v>
      </c>
      <c r="I172" s="9" t="s">
        <v>60</v>
      </c>
    </row>
    <row r="173">
      <c r="A173" s="12" t="s">
        <v>105</v>
      </c>
      <c r="B173" s="5" t="s">
        <v>84</v>
      </c>
      <c r="C173" s="8"/>
      <c r="D173" s="8"/>
      <c r="E173" s="8"/>
      <c r="F173" s="8"/>
      <c r="G173" s="11">
        <v>0.029</v>
      </c>
      <c r="H173" s="11">
        <v>0.133</v>
      </c>
      <c r="I173" s="9" t="s">
        <v>60</v>
      </c>
    </row>
    <row r="174">
      <c r="A174" s="12" t="s">
        <v>112</v>
      </c>
      <c r="B174" s="5" t="s">
        <v>84</v>
      </c>
      <c r="C174" s="8"/>
      <c r="D174" s="8"/>
      <c r="E174" s="8"/>
      <c r="F174" s="8"/>
      <c r="G174" s="11">
        <v>0.513</v>
      </c>
      <c r="H174" s="11">
        <v>0.284</v>
      </c>
      <c r="I174" s="9" t="s">
        <v>60</v>
      </c>
    </row>
    <row r="175">
      <c r="A175" s="12" t="s">
        <v>113</v>
      </c>
      <c r="B175" s="5" t="s">
        <v>84</v>
      </c>
      <c r="C175" s="8"/>
      <c r="D175" s="8"/>
      <c r="E175" s="8"/>
      <c r="F175" s="8"/>
      <c r="G175" s="8"/>
      <c r="H175" s="11">
        <v>0.257</v>
      </c>
      <c r="I175" s="9" t="s">
        <v>60</v>
      </c>
    </row>
    <row r="176">
      <c r="A176" s="12" t="s">
        <v>116</v>
      </c>
      <c r="B176" s="5" t="s">
        <v>84</v>
      </c>
      <c r="C176" s="8"/>
      <c r="D176" s="8"/>
      <c r="E176" s="8"/>
      <c r="F176" s="8"/>
      <c r="G176" s="11">
        <v>0.166</v>
      </c>
      <c r="H176" s="11">
        <v>0.22</v>
      </c>
      <c r="I176" s="9" t="s">
        <v>60</v>
      </c>
    </row>
    <row r="177">
      <c r="A177" s="12" t="s">
        <v>118</v>
      </c>
      <c r="B177" s="5" t="s">
        <v>84</v>
      </c>
      <c r="C177" s="8"/>
      <c r="D177" s="8"/>
      <c r="E177" s="8"/>
      <c r="F177" s="8"/>
      <c r="G177" s="11">
        <v>0.022</v>
      </c>
      <c r="H177" s="11">
        <v>0.057</v>
      </c>
      <c r="I177" s="9" t="s">
        <v>60</v>
      </c>
    </row>
    <row r="178">
      <c r="A178" s="12" t="s">
        <v>122</v>
      </c>
      <c r="B178" s="5" t="s">
        <v>84</v>
      </c>
      <c r="C178" s="8"/>
      <c r="D178" s="8"/>
      <c r="E178" s="8"/>
      <c r="F178" s="8"/>
      <c r="G178" s="11">
        <v>0.058</v>
      </c>
      <c r="H178" s="11">
        <v>0.054</v>
      </c>
      <c r="I178" s="9" t="s">
        <v>60</v>
      </c>
    </row>
    <row r="179">
      <c r="A179" s="12" t="s">
        <v>125</v>
      </c>
      <c r="B179" s="5" t="s">
        <v>84</v>
      </c>
      <c r="C179" s="8"/>
      <c r="D179" s="8"/>
      <c r="E179" s="8"/>
      <c r="F179" s="8"/>
      <c r="G179" s="11">
        <v>0.005</v>
      </c>
      <c r="H179" s="11">
        <v>0.001</v>
      </c>
      <c r="I179" s="9" t="s">
        <v>60</v>
      </c>
    </row>
    <row r="180">
      <c r="A180" s="12" t="s">
        <v>126</v>
      </c>
      <c r="B180" s="5" t="s">
        <v>84</v>
      </c>
      <c r="C180" s="8"/>
      <c r="D180" s="8"/>
      <c r="E180" s="8"/>
      <c r="F180" s="8"/>
      <c r="G180" s="8"/>
      <c r="H180" s="8"/>
      <c r="I180" s="9" t="s">
        <v>60</v>
      </c>
    </row>
    <row r="181">
      <c r="A181" s="12" t="s">
        <v>131</v>
      </c>
      <c r="B181" s="5" t="s">
        <v>84</v>
      </c>
      <c r="C181" s="8"/>
      <c r="D181" s="8"/>
      <c r="E181" s="8"/>
      <c r="F181" s="8"/>
      <c r="G181" s="11">
        <v>0.088</v>
      </c>
      <c r="H181" s="11">
        <v>0.017</v>
      </c>
      <c r="I181" s="9" t="s">
        <v>60</v>
      </c>
    </row>
    <row r="182">
      <c r="A182" s="12" t="s">
        <v>132</v>
      </c>
      <c r="B182" s="5" t="s">
        <v>84</v>
      </c>
      <c r="C182" s="8"/>
      <c r="D182" s="8"/>
      <c r="E182" s="8"/>
      <c r="F182" s="8"/>
      <c r="G182" s="11">
        <v>0.037</v>
      </c>
      <c r="H182" s="11">
        <v>0.081</v>
      </c>
      <c r="I182" s="9" t="s">
        <v>60</v>
      </c>
    </row>
    <row r="183">
      <c r="A183" s="12" t="s">
        <v>133</v>
      </c>
      <c r="B183" s="5" t="s">
        <v>84</v>
      </c>
      <c r="C183" s="8"/>
      <c r="D183" s="8"/>
      <c r="E183" s="8"/>
      <c r="F183" s="8"/>
      <c r="G183" s="11">
        <v>0.015</v>
      </c>
      <c r="H183" s="11">
        <v>0.038</v>
      </c>
      <c r="I183" s="9" t="s">
        <v>60</v>
      </c>
    </row>
    <row r="184">
      <c r="A184" s="12" t="s">
        <v>135</v>
      </c>
      <c r="B184" s="5" t="s">
        <v>84</v>
      </c>
      <c r="C184" s="8"/>
      <c r="D184" s="8"/>
      <c r="E184" s="8"/>
      <c r="F184" s="8"/>
      <c r="G184" s="11">
        <v>0.012</v>
      </c>
      <c r="H184" s="11">
        <v>0.125</v>
      </c>
      <c r="I184" s="9" t="s">
        <v>60</v>
      </c>
    </row>
    <row r="185">
      <c r="A185" s="12" t="s">
        <v>151</v>
      </c>
      <c r="B185" s="5" t="s">
        <v>84</v>
      </c>
      <c r="C185" s="8"/>
      <c r="D185" s="8"/>
      <c r="E185" s="8"/>
      <c r="F185" s="8"/>
      <c r="G185" s="11">
        <v>0.317</v>
      </c>
      <c r="H185" s="11">
        <v>0.269</v>
      </c>
      <c r="I185" s="9" t="s">
        <v>60</v>
      </c>
    </row>
    <row r="186">
      <c r="A186" s="12" t="s">
        <v>152</v>
      </c>
      <c r="B186" s="5" t="s">
        <v>84</v>
      </c>
      <c r="C186" s="8"/>
      <c r="D186" s="8"/>
      <c r="E186" s="8"/>
      <c r="F186" s="8"/>
      <c r="G186" s="11">
        <v>0.041</v>
      </c>
      <c r="H186" s="11">
        <v>0.042</v>
      </c>
      <c r="I186" s="9" t="s">
        <v>60</v>
      </c>
    </row>
    <row r="187">
      <c r="A187" s="12" t="s">
        <v>154</v>
      </c>
      <c r="B187" s="5" t="s">
        <v>84</v>
      </c>
      <c r="C187" s="8"/>
      <c r="D187" s="8"/>
      <c r="E187" s="8"/>
      <c r="F187" s="8"/>
      <c r="G187" s="11">
        <v>0.007</v>
      </c>
      <c r="H187" s="11">
        <v>0.076</v>
      </c>
      <c r="I187" s="9" t="s">
        <v>60</v>
      </c>
    </row>
    <row r="188">
      <c r="A188" s="12" t="s">
        <v>157</v>
      </c>
      <c r="B188" s="5" t="s">
        <v>84</v>
      </c>
      <c r="C188" s="8"/>
      <c r="D188" s="8"/>
      <c r="E188" s="8"/>
      <c r="F188" s="8"/>
      <c r="G188" s="11">
        <v>0.066</v>
      </c>
      <c r="H188" s="11">
        <v>0.054</v>
      </c>
      <c r="I188" s="9" t="s">
        <v>60</v>
      </c>
    </row>
    <row r="189">
      <c r="A189" s="12" t="s">
        <v>158</v>
      </c>
      <c r="B189" s="5" t="s">
        <v>84</v>
      </c>
      <c r="C189" s="8"/>
      <c r="D189" s="8"/>
      <c r="E189" s="8"/>
      <c r="F189" s="8"/>
      <c r="G189" s="11">
        <v>0.002</v>
      </c>
      <c r="H189" s="11">
        <v>0.006</v>
      </c>
      <c r="I189" s="9" t="s">
        <v>60</v>
      </c>
    </row>
    <row r="190">
      <c r="A190" s="12" t="s">
        <v>159</v>
      </c>
      <c r="B190" s="5" t="s">
        <v>84</v>
      </c>
      <c r="C190" s="8"/>
      <c r="D190" s="8"/>
      <c r="E190" s="8"/>
      <c r="F190" s="8"/>
      <c r="G190" s="11">
        <v>0.012</v>
      </c>
      <c r="H190" s="11">
        <v>0.025</v>
      </c>
      <c r="I190" s="9" t="s">
        <v>60</v>
      </c>
    </row>
    <row r="191">
      <c r="A191" s="12" t="s">
        <v>171</v>
      </c>
      <c r="B191" s="5" t="s">
        <v>84</v>
      </c>
      <c r="C191" s="8"/>
      <c r="D191" s="8"/>
      <c r="E191" s="8"/>
      <c r="F191" s="8"/>
      <c r="G191" s="11">
        <v>0.031</v>
      </c>
      <c r="H191" s="11">
        <v>0.142</v>
      </c>
      <c r="I191" s="9" t="s">
        <v>60</v>
      </c>
    </row>
    <row r="192">
      <c r="A192" s="12" t="s">
        <v>199</v>
      </c>
      <c r="B192" s="5" t="s">
        <v>84</v>
      </c>
      <c r="C192" s="8"/>
      <c r="D192" s="8"/>
      <c r="E192" s="8"/>
      <c r="F192" s="8"/>
      <c r="G192" s="11">
        <v>0.051</v>
      </c>
      <c r="H192" s="11">
        <v>0.136</v>
      </c>
      <c r="I192" s="9" t="s">
        <v>60</v>
      </c>
    </row>
    <row r="193">
      <c r="A193" s="12" t="s">
        <v>213</v>
      </c>
      <c r="B193" s="5" t="s">
        <v>84</v>
      </c>
      <c r="C193" s="8"/>
      <c r="D193" s="8"/>
      <c r="E193" s="8"/>
      <c r="F193" s="8"/>
      <c r="G193" s="11">
        <v>0.01</v>
      </c>
      <c r="H193" s="11">
        <v>0.018</v>
      </c>
      <c r="I193" s="9" t="s">
        <v>60</v>
      </c>
    </row>
    <row r="194">
      <c r="A194" s="12" t="s">
        <v>221</v>
      </c>
      <c r="B194" s="5" t="s">
        <v>84</v>
      </c>
      <c r="C194" s="8"/>
      <c r="D194" s="8"/>
      <c r="E194" s="8"/>
      <c r="F194" s="8"/>
      <c r="G194" s="11">
        <v>0.066</v>
      </c>
      <c r="H194" s="11">
        <v>0.134</v>
      </c>
      <c r="I194" s="9" t="s">
        <v>60</v>
      </c>
    </row>
    <row r="195">
      <c r="A195" s="12" t="s">
        <v>223</v>
      </c>
      <c r="B195" s="5" t="s">
        <v>84</v>
      </c>
      <c r="C195" s="8"/>
      <c r="D195" s="8"/>
      <c r="E195" s="8"/>
      <c r="F195" s="8"/>
      <c r="G195" s="11">
        <v>0.007</v>
      </c>
      <c r="H195" s="11">
        <v>0.153</v>
      </c>
      <c r="I195" s="9" t="s">
        <v>60</v>
      </c>
    </row>
    <row r="196">
      <c r="A196" s="12" t="s">
        <v>224</v>
      </c>
      <c r="B196" s="5" t="s">
        <v>84</v>
      </c>
      <c r="C196" s="8"/>
      <c r="D196" s="8"/>
      <c r="E196" s="8"/>
      <c r="F196" s="8"/>
      <c r="G196" s="11">
        <v>0.031</v>
      </c>
      <c r="H196" s="11">
        <v>0.049</v>
      </c>
      <c r="I196" s="9" t="s">
        <v>60</v>
      </c>
    </row>
    <row r="197">
      <c r="A197" s="12" t="s">
        <v>228</v>
      </c>
      <c r="B197" s="5" t="s">
        <v>84</v>
      </c>
      <c r="C197" s="8"/>
      <c r="D197" s="8"/>
      <c r="E197" s="8"/>
      <c r="F197" s="8"/>
      <c r="G197" s="11">
        <v>0.105</v>
      </c>
      <c r="H197" s="11">
        <v>0.347</v>
      </c>
      <c r="I197" s="9" t="s">
        <v>60</v>
      </c>
    </row>
    <row r="198">
      <c r="A198" s="12" t="s">
        <v>242</v>
      </c>
      <c r="B198" s="5" t="s">
        <v>84</v>
      </c>
      <c r="C198" s="8"/>
      <c r="D198" s="8"/>
      <c r="E198" s="8"/>
      <c r="F198" s="8"/>
      <c r="G198" s="8"/>
      <c r="H198" s="8"/>
      <c r="I198" s="9" t="s">
        <v>60</v>
      </c>
    </row>
    <row r="199">
      <c r="A199" s="12" t="s">
        <v>252</v>
      </c>
      <c r="B199" s="5" t="s">
        <v>84</v>
      </c>
      <c r="C199" s="8"/>
      <c r="D199" s="8"/>
      <c r="E199" s="8"/>
      <c r="F199" s="8"/>
      <c r="G199" s="11">
        <v>0.059</v>
      </c>
      <c r="H199" s="11">
        <v>0.026</v>
      </c>
      <c r="I199" s="9" t="s">
        <v>60</v>
      </c>
    </row>
    <row r="200">
      <c r="A200" s="12" t="s">
        <v>253</v>
      </c>
      <c r="B200" s="5" t="s">
        <v>84</v>
      </c>
      <c r="C200" s="8"/>
      <c r="D200" s="8"/>
      <c r="E200" s="8"/>
      <c r="F200" s="8"/>
      <c r="G200" s="11">
        <v>0.051</v>
      </c>
      <c r="H200" s="11">
        <v>0.016</v>
      </c>
      <c r="I200" s="9" t="s">
        <v>60</v>
      </c>
    </row>
    <row r="201">
      <c r="A201" s="12" t="s">
        <v>254</v>
      </c>
      <c r="B201" s="5" t="s">
        <v>84</v>
      </c>
      <c r="C201" s="8"/>
      <c r="D201" s="8"/>
      <c r="E201" s="8"/>
      <c r="F201" s="8"/>
      <c r="G201" s="8"/>
      <c r="H201" s="8"/>
      <c r="I201" s="9" t="s">
        <v>60</v>
      </c>
    </row>
    <row r="202">
      <c r="A202" s="12" t="s">
        <v>255</v>
      </c>
      <c r="B202" s="5" t="s">
        <v>84</v>
      </c>
      <c r="C202" s="8"/>
      <c r="D202" s="8"/>
      <c r="E202" s="8"/>
      <c r="F202" s="8"/>
      <c r="G202" s="11">
        <v>0.032</v>
      </c>
      <c r="H202" s="11">
        <v>0.022</v>
      </c>
      <c r="I202" s="9" t="s">
        <v>60</v>
      </c>
    </row>
    <row r="203">
      <c r="A203" s="12" t="s">
        <v>257</v>
      </c>
      <c r="B203" s="5" t="s">
        <v>84</v>
      </c>
      <c r="C203" s="8"/>
      <c r="D203" s="8"/>
      <c r="E203" s="8"/>
      <c r="F203" s="8"/>
      <c r="G203" s="11">
        <v>0.025</v>
      </c>
      <c r="H203" s="11">
        <v>0.088</v>
      </c>
      <c r="I203" s="9" t="s">
        <v>60</v>
      </c>
    </row>
    <row r="204">
      <c r="A204" s="12" t="s">
        <v>268</v>
      </c>
      <c r="B204" s="5" t="s">
        <v>84</v>
      </c>
      <c r="C204" s="8"/>
      <c r="D204" s="8"/>
      <c r="E204" s="8"/>
      <c r="F204" s="8"/>
      <c r="G204" s="11">
        <v>0.077</v>
      </c>
      <c r="H204" s="11">
        <v>0.128</v>
      </c>
      <c r="I204" s="9" t="s">
        <v>60</v>
      </c>
    </row>
    <row r="205">
      <c r="A205" s="12" t="s">
        <v>272</v>
      </c>
      <c r="B205" s="5" t="s">
        <v>84</v>
      </c>
      <c r="C205" s="8"/>
      <c r="D205" s="8"/>
      <c r="E205" s="8"/>
      <c r="F205" s="8"/>
      <c r="G205" s="8"/>
      <c r="H205" s="8"/>
      <c r="I205" s="9" t="s">
        <v>60</v>
      </c>
    </row>
    <row r="206">
      <c r="A206" s="12" t="s">
        <v>277</v>
      </c>
      <c r="B206" s="5" t="s">
        <v>84</v>
      </c>
      <c r="C206" s="8"/>
      <c r="D206" s="8"/>
      <c r="E206" s="8"/>
      <c r="F206" s="8"/>
      <c r="G206" s="11">
        <v>0.431</v>
      </c>
      <c r="H206" s="11">
        <v>0.385</v>
      </c>
      <c r="I206" s="9" t="s">
        <v>60</v>
      </c>
    </row>
    <row r="207">
      <c r="A207" s="12" t="s">
        <v>278</v>
      </c>
      <c r="B207" s="5" t="s">
        <v>84</v>
      </c>
      <c r="C207" s="8"/>
      <c r="D207" s="8"/>
      <c r="E207" s="8"/>
      <c r="F207" s="8"/>
      <c r="G207" s="11">
        <v>0.105</v>
      </c>
      <c r="H207" s="11">
        <v>0.124</v>
      </c>
      <c r="I207" s="9" t="s">
        <v>60</v>
      </c>
    </row>
    <row r="208">
      <c r="A208" s="12" t="s">
        <v>281</v>
      </c>
      <c r="B208" s="5" t="s">
        <v>84</v>
      </c>
      <c r="C208" s="8"/>
      <c r="D208" s="8"/>
      <c r="E208" s="8"/>
      <c r="F208" s="8"/>
      <c r="G208" s="11">
        <v>0.034</v>
      </c>
      <c r="H208" s="11">
        <v>0.223</v>
      </c>
      <c r="I208" s="9" t="s">
        <v>60</v>
      </c>
    </row>
    <row r="209">
      <c r="A209" s="12" t="s">
        <v>76</v>
      </c>
      <c r="B209" s="5" t="s">
        <v>77</v>
      </c>
      <c r="C209" s="8"/>
      <c r="D209" s="8"/>
      <c r="E209" s="8"/>
      <c r="F209" s="8"/>
      <c r="G209" s="11">
        <v>0.006</v>
      </c>
      <c r="H209" s="11">
        <v>0.003</v>
      </c>
      <c r="I209" s="9" t="s">
        <v>62</v>
      </c>
    </row>
    <row r="210">
      <c r="A210" s="12" t="s">
        <v>82</v>
      </c>
      <c r="B210" s="5" t="s">
        <v>77</v>
      </c>
      <c r="C210" s="8"/>
      <c r="D210" s="8"/>
      <c r="E210" s="8"/>
      <c r="F210" s="8"/>
      <c r="G210" s="11">
        <v>0.001</v>
      </c>
      <c r="H210" s="11">
        <v>0.005</v>
      </c>
      <c r="I210" s="9" t="s">
        <v>62</v>
      </c>
    </row>
    <row r="211">
      <c r="A211" s="12" t="s">
        <v>99</v>
      </c>
      <c r="B211" s="5" t="s">
        <v>77</v>
      </c>
      <c r="C211" s="8"/>
      <c r="D211" s="8"/>
      <c r="E211" s="8"/>
      <c r="F211" s="8"/>
      <c r="G211" s="11">
        <v>0.004</v>
      </c>
      <c r="H211" s="11">
        <v>0.017</v>
      </c>
      <c r="I211" s="9" t="s">
        <v>62</v>
      </c>
    </row>
    <row r="212">
      <c r="A212" s="12" t="s">
        <v>104</v>
      </c>
      <c r="B212" s="5" t="s">
        <v>77</v>
      </c>
      <c r="C212" s="8"/>
      <c r="D212" s="8"/>
      <c r="E212" s="8"/>
      <c r="F212" s="8"/>
      <c r="G212" s="11">
        <v>0.034</v>
      </c>
      <c r="H212" s="11">
        <v>0.186</v>
      </c>
      <c r="I212" s="9" t="s">
        <v>62</v>
      </c>
    </row>
    <row r="213">
      <c r="A213" s="12" t="s">
        <v>108</v>
      </c>
      <c r="B213" s="5" t="s">
        <v>77</v>
      </c>
      <c r="C213" s="8"/>
      <c r="D213" s="8"/>
      <c r="E213" s="8"/>
      <c r="F213" s="8"/>
      <c r="G213" s="11">
        <v>0.002</v>
      </c>
      <c r="H213" s="11">
        <v>0.006</v>
      </c>
      <c r="I213" s="9" t="s">
        <v>62</v>
      </c>
    </row>
    <row r="214">
      <c r="A214" s="12" t="s">
        <v>109</v>
      </c>
      <c r="B214" s="5" t="s">
        <v>77</v>
      </c>
      <c r="C214" s="8"/>
      <c r="D214" s="8"/>
      <c r="E214" s="8"/>
      <c r="F214" s="8"/>
      <c r="G214" s="11">
        <v>0.001</v>
      </c>
      <c r="H214" s="11">
        <v>0.005</v>
      </c>
      <c r="I214" s="9" t="s">
        <v>62</v>
      </c>
    </row>
    <row r="215">
      <c r="A215" s="12" t="s">
        <v>111</v>
      </c>
      <c r="B215" s="5" t="s">
        <v>77</v>
      </c>
      <c r="C215" s="8"/>
      <c r="D215" s="8"/>
      <c r="E215" s="8"/>
      <c r="F215" s="8"/>
      <c r="G215" s="11">
        <v>0.003</v>
      </c>
      <c r="H215" s="11">
        <v>0.026</v>
      </c>
      <c r="I215" s="9" t="s">
        <v>62</v>
      </c>
    </row>
    <row r="216">
      <c r="A216" s="12" t="s">
        <v>114</v>
      </c>
      <c r="B216" s="5" t="s">
        <v>77</v>
      </c>
      <c r="C216" s="8"/>
      <c r="D216" s="8"/>
      <c r="E216" s="8"/>
      <c r="F216" s="8"/>
      <c r="G216" s="11">
        <v>0.001</v>
      </c>
      <c r="H216" s="11">
        <v>0.003</v>
      </c>
      <c r="I216" s="9" t="s">
        <v>62</v>
      </c>
    </row>
    <row r="217">
      <c r="A217" s="12" t="s">
        <v>115</v>
      </c>
      <c r="B217" s="5" t="s">
        <v>77</v>
      </c>
      <c r="C217" s="8"/>
      <c r="D217" s="8"/>
      <c r="E217" s="8"/>
      <c r="F217" s="8"/>
      <c r="G217" s="11">
        <v>0.0</v>
      </c>
      <c r="H217" s="11">
        <v>0.003</v>
      </c>
      <c r="I217" s="9" t="s">
        <v>62</v>
      </c>
    </row>
    <row r="218">
      <c r="A218" s="12" t="s">
        <v>119</v>
      </c>
      <c r="B218" s="5" t="s">
        <v>77</v>
      </c>
      <c r="C218" s="8"/>
      <c r="D218" s="8"/>
      <c r="E218" s="8"/>
      <c r="F218" s="8"/>
      <c r="G218" s="11">
        <v>0.004</v>
      </c>
      <c r="H218" s="8"/>
      <c r="I218" s="9" t="s">
        <v>62</v>
      </c>
    </row>
    <row r="219">
      <c r="A219" s="12" t="s">
        <v>121</v>
      </c>
      <c r="B219" s="5" t="s">
        <v>77</v>
      </c>
      <c r="C219" s="8"/>
      <c r="D219" s="8"/>
      <c r="E219" s="8"/>
      <c r="F219" s="8"/>
      <c r="G219" s="11">
        <v>0.0</v>
      </c>
      <c r="H219" s="11">
        <v>0.003</v>
      </c>
      <c r="I219" s="9" t="s">
        <v>62</v>
      </c>
    </row>
    <row r="220">
      <c r="A220" s="12" t="s">
        <v>120</v>
      </c>
      <c r="B220" s="5" t="s">
        <v>77</v>
      </c>
      <c r="C220" s="8"/>
      <c r="D220" s="8"/>
      <c r="E220" s="8"/>
      <c r="F220" s="8"/>
      <c r="G220" s="11">
        <v>0.0</v>
      </c>
      <c r="H220" s="11">
        <v>0.047</v>
      </c>
      <c r="I220" s="9" t="s">
        <v>62</v>
      </c>
    </row>
    <row r="221">
      <c r="A221" s="12" t="s">
        <v>123</v>
      </c>
      <c r="B221" s="5" t="s">
        <v>77</v>
      </c>
      <c r="C221" s="8"/>
      <c r="D221" s="8"/>
      <c r="E221" s="8"/>
      <c r="F221" s="8"/>
      <c r="G221" s="11">
        <v>0.004</v>
      </c>
      <c r="H221" s="11">
        <v>0.044</v>
      </c>
      <c r="I221" s="9" t="s">
        <v>62</v>
      </c>
    </row>
    <row r="222">
      <c r="A222" s="12" t="s">
        <v>130</v>
      </c>
      <c r="B222" s="5" t="s">
        <v>77</v>
      </c>
      <c r="C222" s="8"/>
      <c r="D222" s="8"/>
      <c r="E222" s="8"/>
      <c r="F222" s="8"/>
      <c r="G222" s="11">
        <v>0.003</v>
      </c>
      <c r="H222" s="11">
        <v>0.004</v>
      </c>
      <c r="I222" s="9" t="s">
        <v>62</v>
      </c>
    </row>
    <row r="223">
      <c r="A223" s="12" t="s">
        <v>134</v>
      </c>
      <c r="B223" s="5" t="s">
        <v>77</v>
      </c>
      <c r="C223" s="8"/>
      <c r="D223" s="8"/>
      <c r="E223" s="8"/>
      <c r="F223" s="8"/>
      <c r="G223" s="11">
        <v>0.008</v>
      </c>
      <c r="H223" s="11">
        <v>0.042</v>
      </c>
      <c r="I223" s="9" t="s">
        <v>62</v>
      </c>
    </row>
    <row r="224">
      <c r="A224" s="12" t="s">
        <v>136</v>
      </c>
      <c r="B224" s="5" t="s">
        <v>77</v>
      </c>
      <c r="C224" s="8"/>
      <c r="D224" s="8"/>
      <c r="E224" s="8"/>
      <c r="F224" s="8"/>
      <c r="G224" s="11">
        <v>0.002</v>
      </c>
      <c r="H224" s="11">
        <v>0.028</v>
      </c>
      <c r="I224" s="9" t="s">
        <v>62</v>
      </c>
    </row>
    <row r="225">
      <c r="A225" s="12" t="s">
        <v>137</v>
      </c>
      <c r="B225" s="5" t="s">
        <v>77</v>
      </c>
      <c r="C225" s="8"/>
      <c r="D225" s="8"/>
      <c r="E225" s="8"/>
      <c r="F225" s="8"/>
      <c r="G225" s="11">
        <v>0.002</v>
      </c>
      <c r="H225" s="8"/>
      <c r="I225" s="9" t="s">
        <v>62</v>
      </c>
    </row>
    <row r="226">
      <c r="A226" s="12" t="s">
        <v>139</v>
      </c>
      <c r="B226" s="5" t="s">
        <v>77</v>
      </c>
      <c r="C226" s="8"/>
      <c r="D226" s="8"/>
      <c r="E226" s="8"/>
      <c r="F226" s="8"/>
      <c r="G226" s="11">
        <v>0.0</v>
      </c>
      <c r="H226" s="11">
        <v>0.0</v>
      </c>
      <c r="I226" s="9" t="s">
        <v>62</v>
      </c>
    </row>
    <row r="227">
      <c r="A227" s="12" t="s">
        <v>145</v>
      </c>
      <c r="B227" s="5" t="s">
        <v>77</v>
      </c>
      <c r="C227" s="8"/>
      <c r="D227" s="8"/>
      <c r="E227" s="8"/>
      <c r="F227" s="8"/>
      <c r="G227" s="11">
        <v>0.013</v>
      </c>
      <c r="H227" s="11">
        <v>0.119</v>
      </c>
      <c r="I227" s="9" t="s">
        <v>62</v>
      </c>
    </row>
    <row r="228">
      <c r="A228" s="12" t="s">
        <v>146</v>
      </c>
      <c r="B228" s="5" t="s">
        <v>77</v>
      </c>
      <c r="C228" s="8"/>
      <c r="D228" s="8"/>
      <c r="E228" s="8"/>
      <c r="F228" s="8"/>
      <c r="G228" s="11">
        <v>0.013</v>
      </c>
      <c r="H228" s="11">
        <v>0.043</v>
      </c>
      <c r="I228" s="9" t="s">
        <v>62</v>
      </c>
    </row>
    <row r="229">
      <c r="A229" s="12" t="s">
        <v>149</v>
      </c>
      <c r="B229" s="5" t="s">
        <v>77</v>
      </c>
      <c r="C229" s="8"/>
      <c r="D229" s="8"/>
      <c r="E229" s="8"/>
      <c r="F229" s="8"/>
      <c r="G229" s="11">
        <v>0.002</v>
      </c>
      <c r="H229" s="11">
        <v>0.013</v>
      </c>
      <c r="I229" s="9" t="s">
        <v>62</v>
      </c>
    </row>
    <row r="230">
      <c r="A230" s="12" t="s">
        <v>155</v>
      </c>
      <c r="B230" s="5" t="s">
        <v>77</v>
      </c>
      <c r="C230" s="8"/>
      <c r="D230" s="8"/>
      <c r="E230" s="8"/>
      <c r="F230" s="8"/>
      <c r="G230" s="11">
        <v>0.002</v>
      </c>
      <c r="H230" s="11">
        <v>0.006</v>
      </c>
      <c r="I230" s="9" t="s">
        <v>62</v>
      </c>
    </row>
    <row r="231">
      <c r="A231" s="12" t="s">
        <v>156</v>
      </c>
      <c r="B231" s="5" t="s">
        <v>77</v>
      </c>
      <c r="C231" s="8"/>
      <c r="D231" s="8"/>
      <c r="E231" s="8"/>
      <c r="F231" s="8"/>
      <c r="G231" s="11">
        <v>0.003</v>
      </c>
      <c r="H231" s="8"/>
      <c r="I231" s="9" t="s">
        <v>62</v>
      </c>
    </row>
    <row r="232">
      <c r="A232" s="12" t="s">
        <v>175</v>
      </c>
      <c r="B232" s="5" t="s">
        <v>77</v>
      </c>
      <c r="C232" s="8"/>
      <c r="D232" s="8"/>
      <c r="E232" s="8"/>
      <c r="F232" s="8"/>
      <c r="G232" s="11">
        <v>0.006</v>
      </c>
      <c r="H232" s="11">
        <v>0.019</v>
      </c>
      <c r="I232" s="9" t="s">
        <v>62</v>
      </c>
    </row>
    <row r="233">
      <c r="A233" s="12" t="s">
        <v>183</v>
      </c>
      <c r="B233" s="5" t="s">
        <v>77</v>
      </c>
      <c r="C233" s="8"/>
      <c r="D233" s="8"/>
      <c r="E233" s="8"/>
      <c r="F233" s="8"/>
      <c r="G233" s="11">
        <v>0.003</v>
      </c>
      <c r="H233" s="11">
        <v>0.03</v>
      </c>
      <c r="I233" s="9" t="s">
        <v>62</v>
      </c>
    </row>
    <row r="234">
      <c r="A234" s="12" t="s">
        <v>184</v>
      </c>
      <c r="B234" s="5" t="s">
        <v>77</v>
      </c>
      <c r="C234" s="8"/>
      <c r="D234" s="8"/>
      <c r="E234" s="8"/>
      <c r="F234" s="8"/>
      <c r="G234" s="11">
        <v>0.0</v>
      </c>
      <c r="H234" s="11">
        <v>0.001</v>
      </c>
      <c r="I234" s="9" t="s">
        <v>62</v>
      </c>
    </row>
    <row r="235">
      <c r="A235" s="12" t="s">
        <v>185</v>
      </c>
      <c r="B235" s="5" t="s">
        <v>77</v>
      </c>
      <c r="C235" s="8"/>
      <c r="D235" s="8"/>
      <c r="E235" s="8"/>
      <c r="F235" s="8"/>
      <c r="G235" s="11">
        <v>0.004</v>
      </c>
      <c r="H235" s="11">
        <v>0.01</v>
      </c>
      <c r="I235" s="9" t="s">
        <v>62</v>
      </c>
    </row>
    <row r="236">
      <c r="A236" s="12" t="s">
        <v>190</v>
      </c>
      <c r="B236" s="5" t="s">
        <v>77</v>
      </c>
      <c r="C236" s="8"/>
      <c r="D236" s="8"/>
      <c r="E236" s="8"/>
      <c r="F236" s="8"/>
      <c r="G236" s="11">
        <v>0.002</v>
      </c>
      <c r="H236" s="11">
        <v>0.009</v>
      </c>
      <c r="I236" s="9" t="s">
        <v>62</v>
      </c>
    </row>
    <row r="237">
      <c r="A237" s="12" t="s">
        <v>191</v>
      </c>
      <c r="B237" s="5" t="s">
        <v>77</v>
      </c>
      <c r="C237" s="8"/>
      <c r="D237" s="8"/>
      <c r="E237" s="8"/>
      <c r="F237" s="8"/>
      <c r="G237" s="11">
        <v>0.002</v>
      </c>
      <c r="H237" s="11">
        <v>0.005</v>
      </c>
      <c r="I237" s="9" t="s">
        <v>62</v>
      </c>
    </row>
    <row r="238">
      <c r="A238" s="12" t="s">
        <v>194</v>
      </c>
      <c r="B238" s="5" t="s">
        <v>77</v>
      </c>
      <c r="C238" s="8"/>
      <c r="D238" s="8"/>
      <c r="E238" s="8"/>
      <c r="F238" s="8"/>
      <c r="G238" s="11">
        <v>0.002</v>
      </c>
      <c r="H238" s="11">
        <v>0.002</v>
      </c>
      <c r="I238" s="9" t="s">
        <v>62</v>
      </c>
    </row>
    <row r="239">
      <c r="A239" s="12" t="s">
        <v>197</v>
      </c>
      <c r="B239" s="5" t="s">
        <v>77</v>
      </c>
      <c r="C239" s="8"/>
      <c r="D239" s="8"/>
      <c r="E239" s="8"/>
      <c r="F239" s="8"/>
      <c r="G239" s="11">
        <v>0.003</v>
      </c>
      <c r="H239" s="11">
        <v>0.04</v>
      </c>
      <c r="I239" s="9" t="s">
        <v>62</v>
      </c>
    </row>
    <row r="240">
      <c r="A240" s="12" t="s">
        <v>198</v>
      </c>
      <c r="B240" s="5" t="s">
        <v>77</v>
      </c>
      <c r="C240" s="8"/>
      <c r="D240" s="8"/>
      <c r="E240" s="8"/>
      <c r="F240" s="8"/>
      <c r="G240" s="11">
        <v>0.088</v>
      </c>
      <c r="H240" s="11">
        <v>0.228</v>
      </c>
      <c r="I240" s="9" t="s">
        <v>62</v>
      </c>
    </row>
    <row r="241">
      <c r="A241" s="12" t="s">
        <v>205</v>
      </c>
      <c r="B241" s="5" t="s">
        <v>77</v>
      </c>
      <c r="C241" s="8"/>
      <c r="D241" s="8"/>
      <c r="E241" s="8"/>
      <c r="F241" s="8"/>
      <c r="G241" s="11">
        <v>0.014</v>
      </c>
      <c r="H241" s="11">
        <v>0.164</v>
      </c>
      <c r="I241" s="9" t="s">
        <v>62</v>
      </c>
    </row>
    <row r="242">
      <c r="A242" s="12" t="s">
        <v>206</v>
      </c>
      <c r="B242" s="5" t="s">
        <v>77</v>
      </c>
      <c r="C242" s="8"/>
      <c r="D242" s="8"/>
      <c r="E242" s="8"/>
      <c r="F242" s="8"/>
      <c r="G242" s="11">
        <v>0.002</v>
      </c>
      <c r="H242" s="11">
        <v>0.008</v>
      </c>
      <c r="I242" s="9" t="s">
        <v>62</v>
      </c>
    </row>
    <row r="243">
      <c r="A243" s="12" t="s">
        <v>208</v>
      </c>
      <c r="B243" s="5" t="s">
        <v>77</v>
      </c>
      <c r="C243" s="8"/>
      <c r="D243" s="8"/>
      <c r="E243" s="8"/>
      <c r="F243" s="8"/>
      <c r="G243" s="11">
        <v>0.024</v>
      </c>
      <c r="H243" s="11">
        <v>0.055</v>
      </c>
      <c r="I243" s="9" t="s">
        <v>62</v>
      </c>
    </row>
    <row r="244">
      <c r="A244" s="12" t="s">
        <v>214</v>
      </c>
      <c r="B244" s="5" t="s">
        <v>77</v>
      </c>
      <c r="C244" s="8"/>
      <c r="D244" s="8"/>
      <c r="E244" s="8"/>
      <c r="F244" s="8"/>
      <c r="G244" s="11">
        <v>0.001</v>
      </c>
      <c r="H244" s="11">
        <v>0.0</v>
      </c>
      <c r="I244" s="9" t="s">
        <v>62</v>
      </c>
    </row>
    <row r="245">
      <c r="A245" s="12" t="s">
        <v>215</v>
      </c>
      <c r="B245" s="5" t="s">
        <v>77</v>
      </c>
      <c r="C245" s="8"/>
      <c r="D245" s="8"/>
      <c r="E245" s="8"/>
      <c r="F245" s="8"/>
      <c r="G245" s="11">
        <v>0.001</v>
      </c>
      <c r="H245" s="11">
        <v>0.002</v>
      </c>
      <c r="I245" s="9" t="s">
        <v>62</v>
      </c>
    </row>
    <row r="246">
      <c r="A246" s="12" t="s">
        <v>232</v>
      </c>
      <c r="B246" s="5" t="s">
        <v>77</v>
      </c>
      <c r="C246" s="8"/>
      <c r="D246" s="8"/>
      <c r="E246" s="8"/>
      <c r="F246" s="8"/>
      <c r="G246" s="11">
        <v>0.002</v>
      </c>
      <c r="H246" s="11">
        <v>0.007</v>
      </c>
      <c r="I246" s="9" t="s">
        <v>62</v>
      </c>
    </row>
    <row r="247">
      <c r="A247" s="12" t="s">
        <v>235</v>
      </c>
      <c r="B247" s="5" t="s">
        <v>77</v>
      </c>
      <c r="C247" s="8"/>
      <c r="D247" s="8"/>
      <c r="E247" s="8"/>
      <c r="F247" s="8"/>
      <c r="G247" s="11">
        <v>0.063</v>
      </c>
      <c r="H247" s="8"/>
      <c r="I247" s="9" t="s">
        <v>62</v>
      </c>
    </row>
    <row r="248">
      <c r="A248" s="12" t="s">
        <v>237</v>
      </c>
      <c r="B248" s="5" t="s">
        <v>77</v>
      </c>
      <c r="C248" s="8"/>
      <c r="D248" s="8"/>
      <c r="E248" s="8"/>
      <c r="F248" s="8"/>
      <c r="G248" s="11">
        <v>0.01</v>
      </c>
      <c r="H248" s="11">
        <v>0.03</v>
      </c>
      <c r="I248" s="9" t="s">
        <v>62</v>
      </c>
    </row>
    <row r="249">
      <c r="A249" s="12" t="s">
        <v>239</v>
      </c>
      <c r="B249" s="5" t="s">
        <v>77</v>
      </c>
      <c r="C249" s="8"/>
      <c r="D249" s="8"/>
      <c r="E249" s="8"/>
      <c r="F249" s="8"/>
      <c r="G249" s="11">
        <v>0.11</v>
      </c>
      <c r="H249" s="11">
        <v>0.452</v>
      </c>
      <c r="I249" s="9" t="s">
        <v>62</v>
      </c>
    </row>
    <row r="250">
      <c r="A250" s="12" t="s">
        <v>240</v>
      </c>
      <c r="B250" s="5" t="s">
        <v>77</v>
      </c>
      <c r="C250" s="8"/>
      <c r="D250" s="8"/>
      <c r="E250" s="8"/>
      <c r="F250" s="8"/>
      <c r="G250" s="11">
        <v>0.002</v>
      </c>
      <c r="H250" s="11">
        <v>0.006</v>
      </c>
      <c r="I250" s="9" t="s">
        <v>62</v>
      </c>
    </row>
    <row r="251">
      <c r="A251" s="12" t="s">
        <v>246</v>
      </c>
      <c r="B251" s="5" t="s">
        <v>77</v>
      </c>
      <c r="C251" s="8"/>
      <c r="D251" s="8"/>
      <c r="E251" s="8"/>
      <c r="F251" s="8"/>
      <c r="G251" s="11">
        <v>0.001</v>
      </c>
      <c r="H251" s="11">
        <v>0.011</v>
      </c>
      <c r="I251" s="9" t="s">
        <v>62</v>
      </c>
    </row>
    <row r="252">
      <c r="A252" s="12" t="s">
        <v>247</v>
      </c>
      <c r="B252" s="5" t="s">
        <v>77</v>
      </c>
      <c r="C252" s="8"/>
      <c r="D252" s="8"/>
      <c r="E252" s="8"/>
      <c r="F252" s="8"/>
      <c r="G252" s="11">
        <v>0.063</v>
      </c>
      <c r="H252" s="11">
        <v>0.237</v>
      </c>
      <c r="I252" s="9" t="s">
        <v>62</v>
      </c>
    </row>
    <row r="253">
      <c r="A253" s="12" t="s">
        <v>249</v>
      </c>
      <c r="B253" s="5" t="s">
        <v>77</v>
      </c>
      <c r="C253" s="8"/>
      <c r="D253" s="8"/>
      <c r="E253" s="8"/>
      <c r="F253" s="8"/>
      <c r="G253" s="8"/>
      <c r="H253" s="8"/>
      <c r="I253" s="9" t="s">
        <v>62</v>
      </c>
    </row>
    <row r="254">
      <c r="A254" s="12" t="s">
        <v>256</v>
      </c>
      <c r="B254" s="5" t="s">
        <v>77</v>
      </c>
      <c r="C254" s="8"/>
      <c r="D254" s="8"/>
      <c r="E254" s="8"/>
      <c r="F254" s="8"/>
      <c r="G254" s="11">
        <v>0.001</v>
      </c>
      <c r="H254" s="11">
        <v>0.003</v>
      </c>
      <c r="I254" s="9" t="s">
        <v>62</v>
      </c>
    </row>
    <row r="255">
      <c r="A255" s="12" t="s">
        <v>258</v>
      </c>
      <c r="B255" s="5" t="s">
        <v>77</v>
      </c>
      <c r="C255" s="8"/>
      <c r="D255" s="8"/>
      <c r="E255" s="8"/>
      <c r="F255" s="8"/>
      <c r="G255" s="11">
        <v>0.013</v>
      </c>
      <c r="H255" s="11">
        <v>0.051</v>
      </c>
      <c r="I255" s="9" t="s">
        <v>62</v>
      </c>
    </row>
    <row r="256">
      <c r="A256" s="12" t="s">
        <v>263</v>
      </c>
      <c r="B256" s="5" t="s">
        <v>77</v>
      </c>
      <c r="C256" s="8"/>
      <c r="D256" s="8"/>
      <c r="E256" s="8"/>
      <c r="F256" s="8"/>
      <c r="G256" s="11">
        <v>0.002</v>
      </c>
      <c r="H256" s="11">
        <v>0.008</v>
      </c>
      <c r="I256" s="9" t="s">
        <v>62</v>
      </c>
    </row>
    <row r="257">
      <c r="A257" s="12" t="s">
        <v>266</v>
      </c>
      <c r="B257" s="5" t="s">
        <v>77</v>
      </c>
      <c r="C257" s="8"/>
      <c r="D257" s="8"/>
      <c r="E257" s="8"/>
      <c r="F257" s="8"/>
      <c r="G257" s="11">
        <v>0.009</v>
      </c>
      <c r="H257" s="11">
        <v>0.019</v>
      </c>
      <c r="I257" s="9" t="s">
        <v>62</v>
      </c>
    </row>
    <row r="258">
      <c r="A258" s="12" t="s">
        <v>269</v>
      </c>
      <c r="B258" s="5" t="s">
        <v>77</v>
      </c>
      <c r="C258" s="8"/>
      <c r="D258" s="8"/>
      <c r="E258" s="8"/>
      <c r="F258" s="8"/>
      <c r="G258" s="11">
        <v>0.043</v>
      </c>
      <c r="H258" s="11">
        <v>0.04</v>
      </c>
      <c r="I258" s="9" t="s">
        <v>62</v>
      </c>
    </row>
    <row r="259">
      <c r="A259" s="12" t="s">
        <v>273</v>
      </c>
      <c r="B259" s="5" t="s">
        <v>77</v>
      </c>
      <c r="C259" s="8"/>
      <c r="D259" s="8"/>
      <c r="E259" s="8"/>
      <c r="F259" s="8"/>
      <c r="G259" s="11">
        <v>0.002</v>
      </c>
      <c r="H259" s="11">
        <v>0.011</v>
      </c>
      <c r="I259" s="9" t="s">
        <v>62</v>
      </c>
    </row>
    <row r="260">
      <c r="A260" s="12" t="s">
        <v>284</v>
      </c>
      <c r="B260" s="5" t="s">
        <v>77</v>
      </c>
      <c r="C260" s="8"/>
      <c r="D260" s="8"/>
      <c r="E260" s="8"/>
      <c r="F260" s="8"/>
      <c r="G260" s="11">
        <v>0.002</v>
      </c>
      <c r="H260" s="11">
        <v>0.012</v>
      </c>
      <c r="I260" s="9" t="s">
        <v>62</v>
      </c>
    </row>
    <row r="261">
      <c r="A261" s="12" t="s">
        <v>285</v>
      </c>
      <c r="B261" s="5" t="s">
        <v>77</v>
      </c>
      <c r="C261" s="8"/>
      <c r="D261" s="8"/>
      <c r="E261" s="8"/>
      <c r="F261" s="8"/>
      <c r="G261" s="11">
        <v>0.008</v>
      </c>
      <c r="H261" s="11">
        <v>0.025</v>
      </c>
      <c r="I261" s="9" t="s">
        <v>62</v>
      </c>
    </row>
    <row r="262">
      <c r="A262" s="12" t="s">
        <v>59</v>
      </c>
      <c r="B262" s="5" t="s">
        <v>61</v>
      </c>
      <c r="C262" s="8"/>
      <c r="D262" s="8"/>
      <c r="E262" s="8"/>
      <c r="F262" s="8"/>
      <c r="G262" s="11">
        <v>0.0</v>
      </c>
      <c r="H262" s="8"/>
      <c r="I262" s="9" t="s">
        <v>62</v>
      </c>
    </row>
    <row r="263">
      <c r="A263" s="12" t="s">
        <v>86</v>
      </c>
      <c r="B263" s="5" t="s">
        <v>61</v>
      </c>
      <c r="C263" s="8"/>
      <c r="D263" s="8"/>
      <c r="E263" s="8"/>
      <c r="F263" s="8"/>
      <c r="G263" s="11">
        <v>0.016</v>
      </c>
      <c r="H263" s="11">
        <v>0.008</v>
      </c>
      <c r="I263" s="9" t="s">
        <v>62</v>
      </c>
    </row>
    <row r="264">
      <c r="A264" s="12" t="s">
        <v>90</v>
      </c>
      <c r="B264" s="5" t="s">
        <v>61</v>
      </c>
      <c r="C264" s="8"/>
      <c r="D264" s="8"/>
      <c r="E264" s="8"/>
      <c r="F264" s="8"/>
      <c r="G264" s="11">
        <v>0.003</v>
      </c>
      <c r="H264" s="11">
        <v>0.089</v>
      </c>
      <c r="I264" s="9" t="s">
        <v>62</v>
      </c>
    </row>
    <row r="265">
      <c r="A265" s="12" t="s">
        <v>94</v>
      </c>
      <c r="B265" s="5" t="s">
        <v>61</v>
      </c>
      <c r="C265" s="8"/>
      <c r="D265" s="8"/>
      <c r="E265" s="8"/>
      <c r="F265" s="8"/>
      <c r="G265" s="11">
        <v>0.001</v>
      </c>
      <c r="H265" s="11">
        <v>0.004</v>
      </c>
      <c r="I265" s="9" t="s">
        <v>62</v>
      </c>
    </row>
    <row r="266">
      <c r="A266" s="12" t="s">
        <v>101</v>
      </c>
      <c r="B266" s="5" t="s">
        <v>61</v>
      </c>
      <c r="C266" s="8"/>
      <c r="D266" s="8"/>
      <c r="E266" s="8"/>
      <c r="F266" s="8"/>
      <c r="G266" s="11">
        <v>0.009</v>
      </c>
      <c r="H266" s="8"/>
      <c r="I266" s="9" t="s">
        <v>62</v>
      </c>
    </row>
    <row r="267">
      <c r="A267" s="12" t="s">
        <v>106</v>
      </c>
      <c r="B267" s="5" t="s">
        <v>61</v>
      </c>
      <c r="C267" s="8"/>
      <c r="D267" s="8"/>
      <c r="E267" s="8"/>
      <c r="F267" s="8"/>
      <c r="G267" s="11">
        <v>0.129</v>
      </c>
      <c r="H267" s="11">
        <v>0.422</v>
      </c>
      <c r="I267" s="9" t="s">
        <v>62</v>
      </c>
    </row>
    <row r="268">
      <c r="A268" s="12" t="s">
        <v>110</v>
      </c>
      <c r="B268" s="5" t="s">
        <v>61</v>
      </c>
      <c r="C268" s="8"/>
      <c r="D268" s="8"/>
      <c r="E268" s="8"/>
      <c r="F268" s="8"/>
      <c r="G268" s="11">
        <v>0.001</v>
      </c>
      <c r="H268" s="11">
        <v>0.018</v>
      </c>
      <c r="I268" s="9" t="s">
        <v>62</v>
      </c>
    </row>
    <row r="269">
      <c r="A269" s="12" t="s">
        <v>117</v>
      </c>
      <c r="B269" s="5" t="s">
        <v>61</v>
      </c>
      <c r="C269" s="8"/>
      <c r="D269" s="8"/>
      <c r="E269" s="8"/>
      <c r="F269" s="8"/>
      <c r="G269" s="11">
        <v>0.026</v>
      </c>
      <c r="H269" s="11">
        <v>0.112</v>
      </c>
      <c r="I269" s="9" t="s">
        <v>62</v>
      </c>
    </row>
    <row r="270">
      <c r="A270" s="12" t="s">
        <v>147</v>
      </c>
      <c r="B270" s="5" t="s">
        <v>61</v>
      </c>
      <c r="C270" s="8"/>
      <c r="D270" s="8"/>
      <c r="E270" s="8"/>
      <c r="F270" s="8"/>
      <c r="G270" s="11">
        <v>0.01</v>
      </c>
      <c r="H270" s="11">
        <v>0.064</v>
      </c>
      <c r="I270" s="9" t="s">
        <v>62</v>
      </c>
    </row>
    <row r="271">
      <c r="A271" s="12" t="s">
        <v>160</v>
      </c>
      <c r="B271" s="5" t="s">
        <v>61</v>
      </c>
      <c r="C271" s="8"/>
      <c r="D271" s="8"/>
      <c r="E271" s="8"/>
      <c r="F271" s="8"/>
      <c r="G271" s="11">
        <v>0.387</v>
      </c>
      <c r="H271" s="11">
        <v>0.838</v>
      </c>
      <c r="I271" s="9" t="s">
        <v>62</v>
      </c>
    </row>
    <row r="272">
      <c r="A272" s="12" t="s">
        <v>163</v>
      </c>
      <c r="B272" s="5" t="s">
        <v>61</v>
      </c>
      <c r="C272" s="8"/>
      <c r="D272" s="8"/>
      <c r="E272" s="8"/>
      <c r="F272" s="8"/>
      <c r="G272" s="11">
        <v>0.007</v>
      </c>
      <c r="H272" s="11">
        <v>0.006</v>
      </c>
      <c r="I272" s="9" t="s">
        <v>62</v>
      </c>
    </row>
    <row r="273">
      <c r="A273" s="12" t="s">
        <v>164</v>
      </c>
      <c r="B273" s="5" t="s">
        <v>61</v>
      </c>
      <c r="C273" s="8"/>
      <c r="D273" s="8"/>
      <c r="E273" s="8"/>
      <c r="F273" s="8"/>
      <c r="G273" s="11">
        <v>0.02</v>
      </c>
      <c r="H273" s="11">
        <v>0.031</v>
      </c>
      <c r="I273" s="9" t="s">
        <v>62</v>
      </c>
    </row>
    <row r="274">
      <c r="A274" s="12" t="s">
        <v>172</v>
      </c>
      <c r="B274" s="5" t="s">
        <v>61</v>
      </c>
      <c r="C274" s="8"/>
      <c r="D274" s="8"/>
      <c r="E274" s="8"/>
      <c r="F274" s="8"/>
      <c r="G274" s="11">
        <v>0.385</v>
      </c>
      <c r="H274" s="11">
        <v>0.594</v>
      </c>
      <c r="I274" s="9" t="s">
        <v>62</v>
      </c>
    </row>
    <row r="275">
      <c r="A275" s="12" t="s">
        <v>174</v>
      </c>
      <c r="B275" s="5" t="s">
        <v>61</v>
      </c>
      <c r="C275" s="8"/>
      <c r="D275" s="8"/>
      <c r="E275" s="8"/>
      <c r="F275" s="8"/>
      <c r="G275" s="11">
        <v>0.01</v>
      </c>
      <c r="H275" s="11">
        <v>0.04</v>
      </c>
      <c r="I275" s="9" t="s">
        <v>62</v>
      </c>
    </row>
    <row r="276">
      <c r="A276" s="12" t="s">
        <v>216</v>
      </c>
      <c r="B276" s="5" t="s">
        <v>61</v>
      </c>
      <c r="C276" s="8"/>
      <c r="D276" s="8"/>
      <c r="E276" s="8"/>
      <c r="F276" s="8"/>
      <c r="G276" s="8"/>
      <c r="H276" s="8"/>
      <c r="I276" s="9" t="s">
        <v>62</v>
      </c>
    </row>
    <row r="277">
      <c r="A277" s="12" t="s">
        <v>248</v>
      </c>
      <c r="B277" s="5" t="s">
        <v>61</v>
      </c>
      <c r="C277" s="8"/>
      <c r="D277" s="8"/>
      <c r="E277" s="8"/>
      <c r="F277" s="8"/>
      <c r="G277" s="11">
        <v>0.566</v>
      </c>
      <c r="H277" s="11">
        <v>0.629</v>
      </c>
      <c r="I277" s="9" t="s">
        <v>62</v>
      </c>
    </row>
    <row r="278">
      <c r="A278" s="12" t="s">
        <v>179</v>
      </c>
      <c r="B278" s="5" t="s">
        <v>61</v>
      </c>
      <c r="C278" s="8"/>
      <c r="D278" s="8"/>
      <c r="E278" s="8"/>
      <c r="F278" s="8"/>
      <c r="G278" s="11">
        <v>0.03</v>
      </c>
      <c r="H278" s="11">
        <v>0.005</v>
      </c>
      <c r="I278" s="9" t="s">
        <v>62</v>
      </c>
    </row>
    <row r="279">
      <c r="A279" s="12" t="s">
        <v>180</v>
      </c>
      <c r="B279" s="5" t="s">
        <v>61</v>
      </c>
      <c r="C279" s="8"/>
      <c r="D279" s="8"/>
      <c r="E279" s="8"/>
      <c r="F279" s="8"/>
      <c r="G279" s="11">
        <v>0.002</v>
      </c>
      <c r="H279" s="11">
        <v>0.005</v>
      </c>
      <c r="I279" s="9" t="s">
        <v>62</v>
      </c>
    </row>
    <row r="280">
      <c r="A280" s="12" t="s">
        <v>189</v>
      </c>
      <c r="B280" s="5" t="s">
        <v>61</v>
      </c>
      <c r="C280" s="8"/>
      <c r="D280" s="8"/>
      <c r="E280" s="8"/>
      <c r="F280" s="8"/>
      <c r="G280" s="11">
        <v>0.225</v>
      </c>
      <c r="H280" s="11">
        <v>0.444</v>
      </c>
      <c r="I280" s="9" t="s">
        <v>62</v>
      </c>
    </row>
    <row r="281">
      <c r="A281" s="12" t="s">
        <v>192</v>
      </c>
      <c r="B281" s="5" t="s">
        <v>61</v>
      </c>
      <c r="C281" s="8"/>
      <c r="D281" s="8"/>
      <c r="E281" s="8"/>
      <c r="F281" s="8"/>
      <c r="G281" s="11">
        <v>0.267</v>
      </c>
      <c r="H281" s="11">
        <v>0.309</v>
      </c>
      <c r="I281" s="9" t="s">
        <v>62</v>
      </c>
    </row>
    <row r="282">
      <c r="A282" s="12" t="s">
        <v>193</v>
      </c>
      <c r="B282" s="5" t="s">
        <v>61</v>
      </c>
      <c r="C282" s="8"/>
      <c r="D282" s="8"/>
      <c r="E282" s="8"/>
      <c r="F282" s="8"/>
      <c r="G282" s="11">
        <v>0.036</v>
      </c>
      <c r="H282" s="11">
        <v>0.068</v>
      </c>
      <c r="I282" s="9" t="s">
        <v>62</v>
      </c>
    </row>
    <row r="283">
      <c r="A283" s="12" t="s">
        <v>203</v>
      </c>
      <c r="B283" s="5" t="s">
        <v>61</v>
      </c>
      <c r="C283" s="8"/>
      <c r="D283" s="8"/>
      <c r="E283" s="8"/>
      <c r="F283" s="8"/>
      <c r="G283" s="11">
        <v>0.017</v>
      </c>
      <c r="H283" s="11">
        <v>0.081</v>
      </c>
      <c r="I283" s="9" t="s">
        <v>62</v>
      </c>
    </row>
    <row r="284">
      <c r="A284" s="12" t="s">
        <v>207</v>
      </c>
      <c r="B284" s="5" t="s">
        <v>61</v>
      </c>
      <c r="C284" s="8"/>
      <c r="D284" s="8"/>
      <c r="E284" s="8"/>
      <c r="F284" s="8"/>
      <c r="G284" s="11">
        <v>0.0</v>
      </c>
      <c r="H284" s="11">
        <v>0.0</v>
      </c>
      <c r="I284" s="9" t="s">
        <v>62</v>
      </c>
    </row>
    <row r="285">
      <c r="A285" s="12" t="s">
        <v>209</v>
      </c>
      <c r="B285" s="5" t="s">
        <v>61</v>
      </c>
      <c r="C285" s="8"/>
      <c r="D285" s="8"/>
      <c r="E285" s="8"/>
      <c r="F285" s="8"/>
      <c r="G285" s="11">
        <v>0.002</v>
      </c>
      <c r="H285" s="11">
        <v>0.001</v>
      </c>
      <c r="I285" s="9" t="s">
        <v>62</v>
      </c>
    </row>
    <row r="286">
      <c r="A286" s="12" t="s">
        <v>220</v>
      </c>
      <c r="B286" s="5" t="s">
        <v>61</v>
      </c>
      <c r="C286" s="8"/>
      <c r="D286" s="8"/>
      <c r="E286" s="8"/>
      <c r="F286" s="8"/>
      <c r="G286" s="11">
        <v>0.013</v>
      </c>
      <c r="H286" s="11">
        <v>0.005</v>
      </c>
      <c r="I286" s="9" t="s">
        <v>62</v>
      </c>
    </row>
    <row r="287">
      <c r="A287" s="12" t="s">
        <v>225</v>
      </c>
      <c r="B287" s="5" t="s">
        <v>61</v>
      </c>
      <c r="C287" s="8"/>
      <c r="D287" s="8"/>
      <c r="E287" s="8"/>
      <c r="F287" s="8"/>
      <c r="G287" s="11">
        <v>0.025</v>
      </c>
      <c r="H287" s="11">
        <v>0.153</v>
      </c>
      <c r="I287" s="9" t="s">
        <v>62</v>
      </c>
    </row>
    <row r="288">
      <c r="A288" s="12" t="s">
        <v>241</v>
      </c>
      <c r="B288" s="5" t="s">
        <v>61</v>
      </c>
      <c r="C288" s="8"/>
      <c r="D288" s="8"/>
      <c r="E288" s="8"/>
      <c r="F288" s="8"/>
      <c r="G288" s="11">
        <v>0.417</v>
      </c>
      <c r="H288" s="11">
        <v>0.744</v>
      </c>
      <c r="I288" s="9" t="s">
        <v>62</v>
      </c>
    </row>
    <row r="289">
      <c r="A289" s="12" t="s">
        <v>251</v>
      </c>
      <c r="B289" s="5" t="s">
        <v>61</v>
      </c>
      <c r="C289" s="8"/>
      <c r="D289" s="8"/>
      <c r="E289" s="8"/>
      <c r="F289" s="8"/>
      <c r="G289" s="11">
        <v>0.008</v>
      </c>
      <c r="H289" s="11">
        <v>0.035</v>
      </c>
      <c r="I289" s="9" t="s">
        <v>62</v>
      </c>
    </row>
    <row r="290">
      <c r="A290" s="12" t="s">
        <v>262</v>
      </c>
      <c r="B290" s="5" t="s">
        <v>61</v>
      </c>
      <c r="C290" s="8"/>
      <c r="D290" s="8"/>
      <c r="E290" s="8"/>
      <c r="F290" s="8"/>
      <c r="G290" s="11">
        <v>0.001</v>
      </c>
      <c r="H290" s="11">
        <v>0.0</v>
      </c>
      <c r="I290" s="9" t="s">
        <v>62</v>
      </c>
    </row>
    <row r="291">
      <c r="A291" s="12" t="s">
        <v>264</v>
      </c>
      <c r="B291" s="5" t="s">
        <v>61</v>
      </c>
      <c r="C291" s="8"/>
      <c r="D291" s="8"/>
      <c r="E291" s="8"/>
      <c r="F291" s="8"/>
      <c r="G291" s="11">
        <v>0.056</v>
      </c>
      <c r="H291" s="11">
        <v>0.12</v>
      </c>
      <c r="I291" s="9" t="s">
        <v>62</v>
      </c>
    </row>
    <row r="292">
      <c r="A292" s="12" t="s">
        <v>265</v>
      </c>
      <c r="B292" s="5" t="s">
        <v>61</v>
      </c>
      <c r="C292" s="8"/>
      <c r="D292" s="8"/>
      <c r="E292" s="8"/>
      <c r="F292" s="8"/>
      <c r="G292" s="8"/>
      <c r="H292" s="8"/>
      <c r="I292" s="9" t="s">
        <v>62</v>
      </c>
    </row>
    <row r="293">
      <c r="A293" s="12" t="s">
        <v>271</v>
      </c>
      <c r="B293" s="5" t="s">
        <v>61</v>
      </c>
      <c r="C293" s="8"/>
      <c r="D293" s="8"/>
      <c r="E293" s="8"/>
      <c r="F293" s="8"/>
      <c r="G293" s="11">
        <v>0.002</v>
      </c>
      <c r="H293" s="11">
        <v>0.002</v>
      </c>
      <c r="I293" s="9" t="s">
        <v>62</v>
      </c>
    </row>
    <row r="294">
      <c r="A294" s="12" t="s">
        <v>279</v>
      </c>
      <c r="B294" s="5" t="s">
        <v>61</v>
      </c>
      <c r="C294" s="8"/>
      <c r="D294" s="8"/>
      <c r="E294" s="8"/>
      <c r="F294" s="8"/>
      <c r="G294" s="11">
        <v>0.006</v>
      </c>
      <c r="H294" s="11">
        <v>0.005</v>
      </c>
      <c r="I294" s="9" t="s">
        <v>62</v>
      </c>
    </row>
    <row r="295">
      <c r="A295" s="12" t="s">
        <v>282</v>
      </c>
      <c r="B295" s="5" t="s">
        <v>61</v>
      </c>
      <c r="C295" s="8"/>
      <c r="D295" s="8"/>
      <c r="E295" s="8"/>
      <c r="F295" s="8"/>
      <c r="G295" s="11">
        <v>0.013</v>
      </c>
      <c r="H295" s="11">
        <v>0.015</v>
      </c>
      <c r="I295" s="9" t="s">
        <v>62</v>
      </c>
    </row>
    <row r="296">
      <c r="A296" s="12" t="s">
        <v>74</v>
      </c>
      <c r="B296" s="5" t="s">
        <v>75</v>
      </c>
      <c r="C296" s="8"/>
      <c r="D296" s="8"/>
      <c r="E296" s="8"/>
      <c r="F296" s="8"/>
      <c r="G296" s="11">
        <v>0.003</v>
      </c>
      <c r="H296" s="11">
        <v>0.119</v>
      </c>
      <c r="I296" s="9" t="s">
        <v>62</v>
      </c>
    </row>
    <row r="297">
      <c r="A297" s="12" t="s">
        <v>81</v>
      </c>
      <c r="B297" s="5" t="s">
        <v>75</v>
      </c>
      <c r="C297" s="8"/>
      <c r="D297" s="8"/>
      <c r="E297" s="8"/>
      <c r="F297" s="8"/>
      <c r="G297" s="8"/>
      <c r="H297" s="11">
        <v>0.433</v>
      </c>
      <c r="I297" s="9" t="s">
        <v>62</v>
      </c>
    </row>
    <row r="298">
      <c r="A298" s="12" t="s">
        <v>89</v>
      </c>
      <c r="B298" s="5" t="s">
        <v>75</v>
      </c>
      <c r="C298" s="8"/>
      <c r="D298" s="8"/>
      <c r="E298" s="8"/>
      <c r="F298" s="8"/>
      <c r="G298" s="11">
        <v>0.392</v>
      </c>
      <c r="H298" s="11">
        <v>0.813</v>
      </c>
      <c r="I298" s="9" t="s">
        <v>62</v>
      </c>
    </row>
    <row r="299">
      <c r="A299" s="12" t="s">
        <v>96</v>
      </c>
      <c r="B299" s="5" t="s">
        <v>75</v>
      </c>
      <c r="C299" s="8"/>
      <c r="D299" s="8"/>
      <c r="E299" s="8"/>
      <c r="F299" s="8"/>
      <c r="G299" s="11">
        <v>0.043</v>
      </c>
      <c r="H299" s="11">
        <v>0.014</v>
      </c>
      <c r="I299" s="9" t="s">
        <v>62</v>
      </c>
    </row>
    <row r="300">
      <c r="A300" s="12" t="s">
        <v>97</v>
      </c>
      <c r="B300" s="5" t="s">
        <v>75</v>
      </c>
      <c r="C300" s="8"/>
      <c r="D300" s="8"/>
      <c r="E300" s="8"/>
      <c r="F300" s="8"/>
      <c r="G300" s="11">
        <v>0.313</v>
      </c>
      <c r="H300" s="11">
        <v>0.747</v>
      </c>
      <c r="I300" s="9" t="s">
        <v>62</v>
      </c>
    </row>
    <row r="301">
      <c r="A301" s="12" t="s">
        <v>103</v>
      </c>
      <c r="B301" s="5" t="s">
        <v>75</v>
      </c>
      <c r="C301" s="8"/>
      <c r="D301" s="8"/>
      <c r="E301" s="8"/>
      <c r="F301" s="8"/>
      <c r="G301" s="11">
        <v>0.012</v>
      </c>
      <c r="H301" s="11">
        <v>0.115</v>
      </c>
      <c r="I301" s="9" t="s">
        <v>62</v>
      </c>
    </row>
    <row r="302">
      <c r="A302" s="12" t="s">
        <v>107</v>
      </c>
      <c r="B302" s="5" t="s">
        <v>75</v>
      </c>
      <c r="C302" s="8"/>
      <c r="D302" s="8"/>
      <c r="E302" s="8"/>
      <c r="F302" s="8"/>
      <c r="G302" s="11">
        <v>0.076</v>
      </c>
      <c r="H302" s="11">
        <v>0.195</v>
      </c>
      <c r="I302" s="9" t="s">
        <v>62</v>
      </c>
    </row>
    <row r="303">
      <c r="A303" s="12" t="s">
        <v>124</v>
      </c>
      <c r="B303" s="5" t="s">
        <v>75</v>
      </c>
      <c r="C303" s="8"/>
      <c r="D303" s="8"/>
      <c r="E303" s="8"/>
      <c r="F303" s="8"/>
      <c r="G303" s="11">
        <v>0.116</v>
      </c>
      <c r="H303" s="11">
        <v>0.395</v>
      </c>
      <c r="I303" s="9" t="s">
        <v>62</v>
      </c>
    </row>
    <row r="304">
      <c r="A304" s="12" t="s">
        <v>127</v>
      </c>
      <c r="B304" s="5" t="s">
        <v>75</v>
      </c>
      <c r="C304" s="8"/>
      <c r="D304" s="8"/>
      <c r="E304" s="8"/>
      <c r="F304" s="8"/>
      <c r="G304" s="11">
        <v>0.188</v>
      </c>
      <c r="H304" s="11">
        <v>0.327</v>
      </c>
      <c r="I304" s="9" t="s">
        <v>62</v>
      </c>
    </row>
    <row r="305">
      <c r="A305" s="12" t="s">
        <v>128</v>
      </c>
      <c r="B305" s="5" t="s">
        <v>75</v>
      </c>
      <c r="C305" s="8"/>
      <c r="D305" s="8"/>
      <c r="E305" s="8"/>
      <c r="F305" s="8"/>
      <c r="G305" s="11">
        <v>0.147</v>
      </c>
      <c r="H305" s="11">
        <v>0.679</v>
      </c>
      <c r="I305" s="9" t="s">
        <v>62</v>
      </c>
    </row>
    <row r="306">
      <c r="A306" s="12" t="s">
        <v>129</v>
      </c>
      <c r="B306" s="5" t="s">
        <v>75</v>
      </c>
      <c r="C306" s="8"/>
      <c r="D306" s="8"/>
      <c r="E306" s="8"/>
      <c r="F306" s="8"/>
      <c r="G306" s="11">
        <v>0.43</v>
      </c>
      <c r="H306" s="11">
        <v>0.74</v>
      </c>
      <c r="I306" s="9" t="s">
        <v>62</v>
      </c>
    </row>
    <row r="307">
      <c r="A307" s="12" t="s">
        <v>138</v>
      </c>
      <c r="B307" s="5" t="s">
        <v>75</v>
      </c>
      <c r="C307" s="8"/>
      <c r="D307" s="8"/>
      <c r="E307" s="8"/>
      <c r="F307" s="8"/>
      <c r="G307" s="11">
        <v>0.315</v>
      </c>
      <c r="H307" s="11">
        <v>0.48</v>
      </c>
      <c r="I307" s="9" t="s">
        <v>62</v>
      </c>
    </row>
    <row r="308">
      <c r="A308" s="12" t="s">
        <v>140</v>
      </c>
      <c r="B308" s="5" t="s">
        <v>75</v>
      </c>
      <c r="C308" s="8"/>
      <c r="D308" s="8"/>
      <c r="E308" s="8"/>
      <c r="F308" s="8"/>
      <c r="G308" s="11">
        <v>0.432</v>
      </c>
      <c r="H308" s="11">
        <v>0.52</v>
      </c>
      <c r="I308" s="9" t="s">
        <v>62</v>
      </c>
    </row>
    <row r="309">
      <c r="A309" s="12" t="s">
        <v>142</v>
      </c>
      <c r="B309" s="5" t="s">
        <v>75</v>
      </c>
      <c r="C309" s="8"/>
      <c r="D309" s="8"/>
      <c r="E309" s="8"/>
      <c r="F309" s="8"/>
      <c r="G309" s="11">
        <v>0.431</v>
      </c>
      <c r="H309" s="11">
        <v>0.805</v>
      </c>
      <c r="I309" s="9" t="s">
        <v>62</v>
      </c>
    </row>
    <row r="310">
      <c r="A310" s="12" t="s">
        <v>143</v>
      </c>
      <c r="B310" s="5" t="s">
        <v>75</v>
      </c>
      <c r="C310" s="8"/>
      <c r="D310" s="8"/>
      <c r="E310" s="8"/>
      <c r="F310" s="8"/>
      <c r="G310" s="11">
        <v>0.263</v>
      </c>
      <c r="H310" s="11">
        <v>0.621</v>
      </c>
      <c r="I310" s="9" t="s">
        <v>62</v>
      </c>
    </row>
    <row r="311">
      <c r="A311" s="12" t="s">
        <v>148</v>
      </c>
      <c r="B311" s="5" t="s">
        <v>75</v>
      </c>
      <c r="C311" s="8"/>
      <c r="D311" s="8"/>
      <c r="E311" s="8"/>
      <c r="F311" s="8"/>
      <c r="G311" s="11">
        <v>0.317</v>
      </c>
      <c r="H311" s="11">
        <v>0.671</v>
      </c>
      <c r="I311" s="9" t="s">
        <v>62</v>
      </c>
    </row>
    <row r="312">
      <c r="A312" s="12" t="s">
        <v>150</v>
      </c>
      <c r="B312" s="5" t="s">
        <v>75</v>
      </c>
      <c r="C312" s="8"/>
      <c r="D312" s="8"/>
      <c r="E312" s="8"/>
      <c r="F312" s="8"/>
      <c r="G312" s="11">
        <v>0.109</v>
      </c>
      <c r="H312" s="11">
        <v>0.723</v>
      </c>
      <c r="I312" s="9" t="s">
        <v>62</v>
      </c>
    </row>
    <row r="313">
      <c r="A313" s="12" t="s">
        <v>161</v>
      </c>
      <c r="B313" s="5" t="s">
        <v>75</v>
      </c>
      <c r="C313" s="8"/>
      <c r="D313" s="8"/>
      <c r="E313" s="8"/>
      <c r="F313" s="8"/>
      <c r="G313" s="11">
        <v>0.145</v>
      </c>
      <c r="H313" s="11">
        <v>0.487</v>
      </c>
      <c r="I313" s="9" t="s">
        <v>62</v>
      </c>
    </row>
    <row r="314">
      <c r="A314" s="12" t="s">
        <v>162</v>
      </c>
      <c r="B314" s="5" t="s">
        <v>75</v>
      </c>
      <c r="C314" s="8"/>
      <c r="D314" s="8"/>
      <c r="E314" s="8"/>
      <c r="F314" s="8"/>
      <c r="G314" s="11">
        <v>0.494</v>
      </c>
      <c r="H314" s="11">
        <v>0.874</v>
      </c>
      <c r="I314" s="9" t="s">
        <v>62</v>
      </c>
    </row>
    <row r="315">
      <c r="A315" s="12" t="s">
        <v>167</v>
      </c>
      <c r="B315" s="5" t="s">
        <v>75</v>
      </c>
      <c r="C315" s="8"/>
      <c r="D315" s="8"/>
      <c r="E315" s="8"/>
      <c r="F315" s="8"/>
      <c r="G315" s="11">
        <v>0.231</v>
      </c>
      <c r="H315" s="11">
        <v>0.768</v>
      </c>
      <c r="I315" s="9" t="s">
        <v>62</v>
      </c>
    </row>
    <row r="316">
      <c r="A316" s="12" t="s">
        <v>168</v>
      </c>
      <c r="B316" s="5" t="s">
        <v>75</v>
      </c>
      <c r="C316" s="8"/>
      <c r="D316" s="8"/>
      <c r="E316" s="8"/>
      <c r="F316" s="8"/>
      <c r="G316" s="8"/>
      <c r="H316" s="8"/>
      <c r="I316" s="9" t="s">
        <v>62</v>
      </c>
    </row>
    <row r="317">
      <c r="A317" s="12" t="s">
        <v>170</v>
      </c>
      <c r="B317" s="5" t="s">
        <v>75</v>
      </c>
      <c r="C317" s="8"/>
      <c r="D317" s="8"/>
      <c r="E317" s="8"/>
      <c r="F317" s="8"/>
      <c r="G317" s="11">
        <v>0.272</v>
      </c>
      <c r="H317" s="11">
        <v>0.896</v>
      </c>
      <c r="I317" s="9" t="s">
        <v>62</v>
      </c>
    </row>
    <row r="318">
      <c r="A318" s="12" t="s">
        <v>177</v>
      </c>
      <c r="B318" s="5" t="s">
        <v>75</v>
      </c>
      <c r="C318" s="8"/>
      <c r="D318" s="8"/>
      <c r="E318" s="8"/>
      <c r="F318" s="8"/>
      <c r="G318" s="8"/>
      <c r="H318" s="8"/>
      <c r="I318" s="9" t="s">
        <v>62</v>
      </c>
    </row>
    <row r="319">
      <c r="A319" s="12" t="s">
        <v>181</v>
      </c>
      <c r="B319" s="5" t="s">
        <v>75</v>
      </c>
      <c r="C319" s="8"/>
      <c r="D319" s="8"/>
      <c r="E319" s="8"/>
      <c r="F319" s="8"/>
      <c r="G319" s="11">
        <v>0.072</v>
      </c>
      <c r="H319" s="11">
        <v>0.28</v>
      </c>
      <c r="I319" s="9" t="s">
        <v>62</v>
      </c>
    </row>
    <row r="320">
      <c r="A320" s="12" t="s">
        <v>186</v>
      </c>
      <c r="B320" s="5" t="s">
        <v>75</v>
      </c>
      <c r="C320" s="8"/>
      <c r="D320" s="8"/>
      <c r="E320" s="8"/>
      <c r="F320" s="8"/>
      <c r="G320" s="11">
        <v>0.451</v>
      </c>
      <c r="H320" s="11">
        <v>0.329</v>
      </c>
      <c r="I320" s="9" t="s">
        <v>62</v>
      </c>
    </row>
    <row r="321">
      <c r="A321" s="12" t="s">
        <v>187</v>
      </c>
      <c r="B321" s="5" t="s">
        <v>75</v>
      </c>
      <c r="C321" s="8"/>
      <c r="D321" s="8"/>
      <c r="E321" s="8"/>
      <c r="F321" s="8"/>
      <c r="G321" s="11">
        <v>0.072</v>
      </c>
      <c r="H321" s="11">
        <v>0.294</v>
      </c>
      <c r="I321" s="9" t="s">
        <v>62</v>
      </c>
    </row>
    <row r="322">
      <c r="A322" s="12" t="s">
        <v>188</v>
      </c>
      <c r="B322" s="5" t="s">
        <v>75</v>
      </c>
      <c r="C322" s="8"/>
      <c r="D322" s="8"/>
      <c r="E322" s="8"/>
      <c r="F322" s="8"/>
      <c r="G322" s="11">
        <v>0.362</v>
      </c>
      <c r="H322" s="11">
        <v>0.929</v>
      </c>
      <c r="I322" s="9" t="s">
        <v>62</v>
      </c>
    </row>
    <row r="323">
      <c r="A323" s="12" t="s">
        <v>217</v>
      </c>
      <c r="B323" s="5" t="s">
        <v>75</v>
      </c>
      <c r="C323" s="8"/>
      <c r="D323" s="8"/>
      <c r="E323" s="8"/>
      <c r="F323" s="8"/>
      <c r="G323" s="11">
        <v>0.035</v>
      </c>
      <c r="H323" s="11">
        <v>0.108</v>
      </c>
      <c r="I323" s="9" t="s">
        <v>62</v>
      </c>
    </row>
    <row r="324">
      <c r="A324" s="12" t="s">
        <v>195</v>
      </c>
      <c r="B324" s="5" t="s">
        <v>75</v>
      </c>
      <c r="C324" s="8"/>
      <c r="D324" s="8"/>
      <c r="E324" s="8"/>
      <c r="F324" s="8"/>
      <c r="G324" s="11">
        <v>0.179</v>
      </c>
      <c r="H324" s="11">
        <v>0.585</v>
      </c>
      <c r="I324" s="9" t="s">
        <v>62</v>
      </c>
    </row>
    <row r="325">
      <c r="A325" s="12" t="s">
        <v>201</v>
      </c>
      <c r="B325" s="5" t="s">
        <v>75</v>
      </c>
      <c r="C325" s="8"/>
      <c r="D325" s="8"/>
      <c r="E325" s="8"/>
      <c r="F325" s="8"/>
      <c r="G325" s="11">
        <v>0.015</v>
      </c>
      <c r="H325" s="11">
        <v>0.056</v>
      </c>
      <c r="I325" s="9" t="s">
        <v>62</v>
      </c>
    </row>
    <row r="326">
      <c r="A326" s="12" t="s">
        <v>202</v>
      </c>
      <c r="B326" s="5" t="s">
        <v>75</v>
      </c>
      <c r="C326" s="8"/>
      <c r="D326" s="8"/>
      <c r="E326" s="8"/>
      <c r="F326" s="8"/>
      <c r="G326" s="11">
        <v>0.466</v>
      </c>
      <c r="H326" s="11">
        <v>0.442</v>
      </c>
      <c r="I326" s="9" t="s">
        <v>62</v>
      </c>
    </row>
    <row r="327">
      <c r="A327" s="12" t="s">
        <v>204</v>
      </c>
      <c r="B327" s="5" t="s">
        <v>75</v>
      </c>
      <c r="C327" s="8"/>
      <c r="D327" s="8"/>
      <c r="E327" s="8"/>
      <c r="F327" s="8"/>
      <c r="G327" s="8"/>
      <c r="H327" s="8"/>
      <c r="I327" s="9" t="s">
        <v>62</v>
      </c>
    </row>
    <row r="328">
      <c r="A328" s="12" t="s">
        <v>210</v>
      </c>
      <c r="B328" s="5" t="s">
        <v>75</v>
      </c>
      <c r="C328" s="8"/>
      <c r="D328" s="8"/>
      <c r="E328" s="8"/>
      <c r="F328" s="8"/>
      <c r="G328" s="11">
        <v>0.494</v>
      </c>
      <c r="H328" s="11">
        <v>0.765</v>
      </c>
      <c r="I328" s="9" t="s">
        <v>62</v>
      </c>
    </row>
    <row r="329">
      <c r="A329" s="12" t="s">
        <v>218</v>
      </c>
      <c r="B329" s="5" t="s">
        <v>75</v>
      </c>
      <c r="C329" s="8"/>
      <c r="D329" s="8"/>
      <c r="E329" s="8"/>
      <c r="F329" s="8"/>
      <c r="G329" s="11">
        <v>0.64</v>
      </c>
      <c r="H329" s="11">
        <v>0.796</v>
      </c>
      <c r="I329" s="9" t="s">
        <v>62</v>
      </c>
    </row>
    <row r="330">
      <c r="A330" s="12" t="s">
        <v>226</v>
      </c>
      <c r="B330" s="5" t="s">
        <v>75</v>
      </c>
      <c r="C330" s="8"/>
      <c r="D330" s="8"/>
      <c r="E330" s="8"/>
      <c r="F330" s="8"/>
      <c r="G330" s="11">
        <v>0.099</v>
      </c>
      <c r="H330" s="11">
        <v>0.261</v>
      </c>
      <c r="I330" s="9" t="s">
        <v>62</v>
      </c>
    </row>
    <row r="331">
      <c r="A331" s="12" t="s">
        <v>227</v>
      </c>
      <c r="B331" s="5" t="s">
        <v>75</v>
      </c>
      <c r="C331" s="8"/>
      <c r="D331" s="8"/>
      <c r="E331" s="8"/>
      <c r="F331" s="8"/>
      <c r="G331" s="11">
        <v>0.181</v>
      </c>
      <c r="H331" s="11">
        <v>0.771</v>
      </c>
      <c r="I331" s="9" t="s">
        <v>62</v>
      </c>
    </row>
    <row r="332">
      <c r="A332" s="12" t="s">
        <v>230</v>
      </c>
      <c r="B332" s="5" t="s">
        <v>75</v>
      </c>
      <c r="C332" s="8"/>
      <c r="D332" s="8"/>
      <c r="E332" s="8"/>
      <c r="F332" s="8"/>
      <c r="G332" s="11">
        <v>0.045</v>
      </c>
      <c r="H332" s="11">
        <v>0.172</v>
      </c>
      <c r="I332" s="9" t="s">
        <v>62</v>
      </c>
    </row>
    <row r="333">
      <c r="A333" s="12" t="s">
        <v>231</v>
      </c>
      <c r="B333" s="5" t="s">
        <v>75</v>
      </c>
      <c r="C333" s="8"/>
      <c r="D333" s="8"/>
      <c r="E333" s="8"/>
      <c r="F333" s="8"/>
      <c r="G333" s="11">
        <v>0.029</v>
      </c>
      <c r="H333" s="11">
        <v>0.053</v>
      </c>
      <c r="I333" s="9" t="s">
        <v>62</v>
      </c>
    </row>
    <row r="334">
      <c r="A334" s="12" t="s">
        <v>234</v>
      </c>
      <c r="B334" s="5" t="s">
        <v>75</v>
      </c>
      <c r="C334" s="8"/>
      <c r="D334" s="8"/>
      <c r="E334" s="8"/>
      <c r="F334" s="8"/>
      <c r="G334" s="11">
        <v>0.503</v>
      </c>
      <c r="H334" s="11">
        <v>0.577</v>
      </c>
      <c r="I334" s="9" t="s">
        <v>62</v>
      </c>
    </row>
    <row r="335">
      <c r="A335" s="12" t="s">
        <v>238</v>
      </c>
      <c r="B335" s="5" t="s">
        <v>75</v>
      </c>
      <c r="C335" s="8"/>
      <c r="D335" s="8"/>
      <c r="E335" s="8"/>
      <c r="F335" s="8"/>
      <c r="G335" s="8"/>
      <c r="H335" s="8"/>
      <c r="I335" s="9" t="s">
        <v>62</v>
      </c>
    </row>
    <row r="336">
      <c r="A336" s="12" t="s">
        <v>243</v>
      </c>
      <c r="B336" s="5" t="s">
        <v>75</v>
      </c>
      <c r="C336" s="8"/>
      <c r="D336" s="8"/>
      <c r="E336" s="8"/>
      <c r="F336" s="8"/>
      <c r="G336" s="11">
        <v>0.125</v>
      </c>
      <c r="H336" s="11">
        <v>0.399</v>
      </c>
      <c r="I336" s="9" t="s">
        <v>62</v>
      </c>
    </row>
    <row r="337">
      <c r="A337" s="12" t="s">
        <v>244</v>
      </c>
      <c r="B337" s="5" t="s">
        <v>75</v>
      </c>
      <c r="C337" s="8"/>
      <c r="D337" s="8"/>
      <c r="E337" s="8"/>
      <c r="F337" s="8"/>
      <c r="G337" s="11">
        <v>0.302</v>
      </c>
      <c r="H337" s="11">
        <v>0.739</v>
      </c>
      <c r="I337" s="9" t="s">
        <v>62</v>
      </c>
    </row>
    <row r="338">
      <c r="A338" s="12" t="s">
        <v>250</v>
      </c>
      <c r="B338" s="5" t="s">
        <v>75</v>
      </c>
      <c r="C338" s="8"/>
      <c r="D338" s="8"/>
      <c r="E338" s="8"/>
      <c r="F338" s="8"/>
      <c r="G338" s="11">
        <v>0.181</v>
      </c>
      <c r="H338" s="11">
        <v>0.728</v>
      </c>
      <c r="I338" s="9" t="s">
        <v>62</v>
      </c>
    </row>
    <row r="339">
      <c r="A339" s="12" t="s">
        <v>259</v>
      </c>
      <c r="B339" s="5" t="s">
        <v>75</v>
      </c>
      <c r="C339" s="8"/>
      <c r="D339" s="8"/>
      <c r="E339" s="8"/>
      <c r="F339" s="8"/>
      <c r="G339" s="11">
        <v>0.518</v>
      </c>
      <c r="H339" s="11">
        <v>0.808</v>
      </c>
      <c r="I339" s="9" t="s">
        <v>62</v>
      </c>
    </row>
    <row r="340">
      <c r="A340" s="12" t="s">
        <v>260</v>
      </c>
      <c r="B340" s="5" t="s">
        <v>75</v>
      </c>
      <c r="C340" s="8"/>
      <c r="D340" s="8"/>
      <c r="E340" s="8"/>
      <c r="F340" s="8"/>
      <c r="G340" s="11">
        <v>0.551</v>
      </c>
      <c r="H340" s="11">
        <v>0.733</v>
      </c>
      <c r="I340" s="9" t="s">
        <v>62</v>
      </c>
    </row>
    <row r="341">
      <c r="A341" s="12" t="s">
        <v>270</v>
      </c>
      <c r="B341" s="5" t="s">
        <v>75</v>
      </c>
      <c r="C341" s="8"/>
      <c r="D341" s="8"/>
      <c r="E341" s="8"/>
      <c r="F341" s="8"/>
      <c r="G341" s="11">
        <v>0.052</v>
      </c>
      <c r="H341" s="11">
        <v>0.305</v>
      </c>
      <c r="I341" s="9" t="s">
        <v>62</v>
      </c>
    </row>
    <row r="342">
      <c r="A342" s="12" t="s">
        <v>274</v>
      </c>
      <c r="B342" s="5" t="s">
        <v>75</v>
      </c>
      <c r="C342" s="8"/>
      <c r="D342" s="8"/>
      <c r="E342" s="8"/>
      <c r="F342" s="8"/>
      <c r="G342" s="11">
        <v>0.012</v>
      </c>
      <c r="H342" s="11">
        <v>0.046</v>
      </c>
      <c r="I342" s="9" t="s">
        <v>62</v>
      </c>
    </row>
    <row r="343">
      <c r="A343" s="12" t="s">
        <v>276</v>
      </c>
      <c r="B343" s="5" t="s">
        <v>75</v>
      </c>
      <c r="C343" s="8"/>
      <c r="D343" s="8"/>
      <c r="E343" s="8"/>
      <c r="F343" s="8"/>
      <c r="G343" s="11">
        <v>0.335</v>
      </c>
      <c r="H343" s="11">
        <v>0.782</v>
      </c>
      <c r="I343" s="9" t="s">
        <v>62</v>
      </c>
    </row>
    <row r="344">
      <c r="A344" s="12" t="s">
        <v>92</v>
      </c>
      <c r="B344" s="5" t="s">
        <v>93</v>
      </c>
      <c r="C344" s="8"/>
      <c r="D344" s="8"/>
      <c r="E344" s="8"/>
      <c r="F344" s="8"/>
      <c r="G344" s="11">
        <v>0.15</v>
      </c>
      <c r="H344" s="11">
        <v>0.429</v>
      </c>
      <c r="I344" s="9" t="s">
        <v>62</v>
      </c>
    </row>
    <row r="345">
      <c r="A345" s="12" t="s">
        <v>165</v>
      </c>
      <c r="B345" s="5" t="s">
        <v>93</v>
      </c>
      <c r="C345" s="8"/>
      <c r="D345" s="8"/>
      <c r="E345" s="8"/>
      <c r="F345" s="8"/>
      <c r="G345" s="11">
        <v>0.015</v>
      </c>
      <c r="H345" s="11">
        <v>0.031</v>
      </c>
      <c r="I345" s="9" t="s">
        <v>62</v>
      </c>
    </row>
    <row r="346">
      <c r="A346" s="12" t="s">
        <v>166</v>
      </c>
      <c r="B346" s="5" t="s">
        <v>93</v>
      </c>
      <c r="C346" s="8"/>
      <c r="D346" s="8"/>
      <c r="E346" s="8"/>
      <c r="F346" s="8"/>
      <c r="G346" s="11">
        <v>0.001</v>
      </c>
      <c r="H346" s="8"/>
      <c r="I346" s="9" t="s">
        <v>62</v>
      </c>
    </row>
    <row r="347">
      <c r="A347" s="12" t="s">
        <v>169</v>
      </c>
      <c r="B347" s="5" t="s">
        <v>93</v>
      </c>
      <c r="C347" s="8"/>
      <c r="D347" s="8"/>
      <c r="E347" s="8"/>
      <c r="F347" s="8"/>
      <c r="G347" s="11">
        <v>0.174</v>
      </c>
      <c r="H347" s="11">
        <v>0.897</v>
      </c>
      <c r="I347" s="9" t="s">
        <v>62</v>
      </c>
    </row>
    <row r="348">
      <c r="A348" s="12" t="s">
        <v>173</v>
      </c>
      <c r="B348" s="5" t="s">
        <v>93</v>
      </c>
      <c r="C348" s="8"/>
      <c r="D348" s="8"/>
      <c r="E348" s="8"/>
      <c r="F348" s="8"/>
      <c r="G348" s="11">
        <v>0.047</v>
      </c>
      <c r="H348" s="11">
        <v>0.179</v>
      </c>
      <c r="I348" s="9" t="s">
        <v>62</v>
      </c>
    </row>
    <row r="349">
      <c r="A349" s="12" t="s">
        <v>178</v>
      </c>
      <c r="B349" s="5" t="s">
        <v>93</v>
      </c>
      <c r="C349" s="8"/>
      <c r="D349" s="8"/>
      <c r="E349" s="8"/>
      <c r="F349" s="8"/>
      <c r="G349" s="11">
        <v>0.086</v>
      </c>
      <c r="H349" s="11">
        <v>0.443</v>
      </c>
      <c r="I349" s="9" t="s">
        <v>62</v>
      </c>
    </row>
    <row r="350">
      <c r="A350" s="12" t="s">
        <v>182</v>
      </c>
      <c r="B350" s="5" t="s">
        <v>93</v>
      </c>
      <c r="C350" s="8"/>
      <c r="D350" s="8"/>
      <c r="E350" s="8"/>
      <c r="F350" s="8"/>
      <c r="G350" s="11">
        <v>0.068</v>
      </c>
      <c r="H350" s="11">
        <v>0.228</v>
      </c>
      <c r="I350" s="9" t="s">
        <v>62</v>
      </c>
    </row>
    <row r="351">
      <c r="A351" s="12" t="s">
        <v>219</v>
      </c>
      <c r="B351" s="5" t="s">
        <v>93</v>
      </c>
      <c r="C351" s="8"/>
      <c r="D351" s="8"/>
      <c r="E351" s="8"/>
      <c r="F351" s="8"/>
      <c r="G351" s="11">
        <v>0.059</v>
      </c>
      <c r="H351" s="11">
        <v>0.144</v>
      </c>
      <c r="I351" s="9" t="s">
        <v>62</v>
      </c>
    </row>
    <row r="352">
      <c r="A352" s="12" t="s">
        <v>229</v>
      </c>
      <c r="B352" s="5" t="s">
        <v>93</v>
      </c>
      <c r="C352" s="8"/>
      <c r="D352" s="8"/>
      <c r="E352" s="8"/>
      <c r="F352" s="8"/>
      <c r="G352" s="11">
        <v>0.062</v>
      </c>
      <c r="H352" s="11">
        <v>0.291</v>
      </c>
      <c r="I352" s="9" t="s">
        <v>62</v>
      </c>
    </row>
    <row r="353">
      <c r="A353" s="12" t="s">
        <v>236</v>
      </c>
      <c r="B353" s="5" t="s">
        <v>93</v>
      </c>
      <c r="C353" s="8"/>
      <c r="D353" s="8"/>
      <c r="E353" s="8"/>
      <c r="F353" s="8"/>
      <c r="G353" s="11">
        <v>0.047</v>
      </c>
      <c r="H353" s="11">
        <v>0.121</v>
      </c>
      <c r="I353" s="9" t="s">
        <v>62</v>
      </c>
    </row>
    <row r="354">
      <c r="A354" s="12" t="s">
        <v>261</v>
      </c>
      <c r="B354" s="5" t="s">
        <v>93</v>
      </c>
      <c r="C354" s="8"/>
      <c r="D354" s="8"/>
      <c r="E354" s="8"/>
      <c r="F354" s="8"/>
      <c r="G354" s="11">
        <v>0.004</v>
      </c>
      <c r="H354" s="11">
        <v>0.012</v>
      </c>
      <c r="I354" s="9" t="s">
        <v>62</v>
      </c>
    </row>
    <row r="355">
      <c r="A355" s="12" t="s">
        <v>275</v>
      </c>
      <c r="B355" s="5" t="s">
        <v>93</v>
      </c>
      <c r="C355" s="8"/>
      <c r="D355" s="8"/>
      <c r="E355" s="8"/>
      <c r="F355" s="8"/>
      <c r="G355" s="11">
        <v>0.263</v>
      </c>
      <c r="H355" s="11">
        <v>0.61</v>
      </c>
      <c r="I355" s="9" t="s">
        <v>62</v>
      </c>
    </row>
    <row r="356">
      <c r="A356" s="12" t="s">
        <v>283</v>
      </c>
      <c r="B356" s="5" t="s">
        <v>93</v>
      </c>
      <c r="C356" s="8"/>
      <c r="D356" s="8"/>
      <c r="E356" s="8"/>
      <c r="F356" s="8"/>
      <c r="G356" s="11">
        <v>0.001</v>
      </c>
      <c r="H356" s="11">
        <v>0.008</v>
      </c>
      <c r="I356" s="9" t="s">
        <v>62</v>
      </c>
    </row>
    <row r="357">
      <c r="A357" s="12" t="s">
        <v>79</v>
      </c>
      <c r="B357" s="5" t="s">
        <v>80</v>
      </c>
      <c r="C357" s="8"/>
      <c r="D357" s="8"/>
      <c r="E357" s="8"/>
      <c r="F357" s="8"/>
      <c r="G357" s="8"/>
      <c r="H357" s="11">
        <v>0.037</v>
      </c>
      <c r="I357" s="9" t="s">
        <v>62</v>
      </c>
    </row>
    <row r="358">
      <c r="A358" s="12" t="s">
        <v>88</v>
      </c>
      <c r="B358" s="5" t="s">
        <v>80</v>
      </c>
      <c r="C358" s="8"/>
      <c r="D358" s="8"/>
      <c r="E358" s="8"/>
      <c r="F358" s="8"/>
      <c r="G358" s="11">
        <v>0.527</v>
      </c>
      <c r="H358" s="11">
        <v>0.571</v>
      </c>
      <c r="I358" s="9" t="s">
        <v>62</v>
      </c>
    </row>
    <row r="359">
      <c r="A359" s="12" t="s">
        <v>141</v>
      </c>
      <c r="B359" s="5" t="s">
        <v>80</v>
      </c>
      <c r="C359" s="8"/>
      <c r="D359" s="8"/>
      <c r="E359" s="8"/>
      <c r="F359" s="8"/>
      <c r="G359" s="11">
        <v>0.019</v>
      </c>
      <c r="H359" s="11">
        <v>0.099</v>
      </c>
      <c r="I359" s="9" t="s">
        <v>62</v>
      </c>
    </row>
    <row r="360">
      <c r="A360" s="12" t="s">
        <v>144</v>
      </c>
      <c r="B360" s="5" t="s">
        <v>80</v>
      </c>
      <c r="C360" s="8"/>
      <c r="D360" s="8"/>
      <c r="E360" s="8"/>
      <c r="F360" s="8"/>
      <c r="G360" s="11">
        <v>0.063</v>
      </c>
      <c r="H360" s="11">
        <v>0.279</v>
      </c>
      <c r="I360" s="9" t="s">
        <v>62</v>
      </c>
    </row>
    <row r="361">
      <c r="A361" s="12" t="s">
        <v>153</v>
      </c>
      <c r="B361" s="5" t="s">
        <v>80</v>
      </c>
      <c r="C361" s="8"/>
      <c r="D361" s="8"/>
      <c r="E361" s="8"/>
      <c r="F361" s="8"/>
      <c r="G361" s="11">
        <v>0.254</v>
      </c>
      <c r="H361" s="11">
        <v>0.208</v>
      </c>
      <c r="I361" s="9" t="s">
        <v>62</v>
      </c>
    </row>
    <row r="362">
      <c r="A362" s="12" t="s">
        <v>176</v>
      </c>
      <c r="B362" s="5" t="s">
        <v>80</v>
      </c>
      <c r="C362" s="8"/>
      <c r="D362" s="8"/>
      <c r="E362" s="8"/>
      <c r="F362" s="8"/>
      <c r="G362" s="11">
        <v>0.023</v>
      </c>
      <c r="H362" s="11">
        <v>0.005</v>
      </c>
      <c r="I362" s="9" t="s">
        <v>62</v>
      </c>
    </row>
    <row r="363">
      <c r="A363" s="12" t="s">
        <v>196</v>
      </c>
      <c r="B363" s="5" t="s">
        <v>80</v>
      </c>
      <c r="C363" s="8"/>
      <c r="D363" s="8"/>
      <c r="E363" s="8"/>
      <c r="F363" s="8"/>
      <c r="G363" s="11">
        <v>0.017</v>
      </c>
      <c r="H363" s="11">
        <v>0.009</v>
      </c>
      <c r="I363" s="9" t="s">
        <v>62</v>
      </c>
    </row>
    <row r="364">
      <c r="A364" s="12" t="s">
        <v>200</v>
      </c>
      <c r="B364" s="5" t="s">
        <v>80</v>
      </c>
      <c r="C364" s="8"/>
      <c r="D364" s="8"/>
      <c r="E364" s="8"/>
      <c r="F364" s="8"/>
      <c r="G364" s="11">
        <v>0.047</v>
      </c>
      <c r="H364" s="8"/>
      <c r="I364" s="9" t="s">
        <v>62</v>
      </c>
    </row>
    <row r="365">
      <c r="A365" s="12" t="s">
        <v>211</v>
      </c>
      <c r="B365" s="5" t="s">
        <v>80</v>
      </c>
      <c r="C365" s="8"/>
      <c r="D365" s="8"/>
      <c r="E365" s="8"/>
      <c r="F365" s="8"/>
      <c r="G365" s="11">
        <v>0.182</v>
      </c>
      <c r="H365" s="11">
        <v>0.317</v>
      </c>
      <c r="I365" s="9" t="s">
        <v>62</v>
      </c>
    </row>
    <row r="366">
      <c r="A366" s="12" t="s">
        <v>212</v>
      </c>
      <c r="B366" s="5" t="s">
        <v>80</v>
      </c>
      <c r="C366" s="8"/>
      <c r="D366" s="8"/>
      <c r="E366" s="8"/>
      <c r="F366" s="8"/>
      <c r="G366" s="11">
        <v>0.532</v>
      </c>
      <c r="H366" s="11">
        <v>0.586</v>
      </c>
      <c r="I366" s="9" t="s">
        <v>62</v>
      </c>
    </row>
    <row r="367">
      <c r="A367" s="12" t="s">
        <v>222</v>
      </c>
      <c r="B367" s="5" t="s">
        <v>80</v>
      </c>
      <c r="C367" s="8"/>
      <c r="D367" s="8"/>
      <c r="E367" s="8"/>
      <c r="F367" s="8"/>
      <c r="G367" s="11">
        <v>0.009</v>
      </c>
      <c r="H367" s="11">
        <v>0.002</v>
      </c>
      <c r="I367" s="9" t="s">
        <v>62</v>
      </c>
    </row>
    <row r="368">
      <c r="A368" s="12" t="s">
        <v>233</v>
      </c>
      <c r="B368" s="5" t="s">
        <v>80</v>
      </c>
      <c r="C368" s="8"/>
      <c r="D368" s="8"/>
      <c r="E368" s="8"/>
      <c r="F368" s="8"/>
      <c r="G368" s="11">
        <v>0.017</v>
      </c>
      <c r="H368" s="11">
        <v>0.014</v>
      </c>
      <c r="I368" s="9" t="s">
        <v>62</v>
      </c>
    </row>
    <row r="369">
      <c r="A369" s="12" t="s">
        <v>245</v>
      </c>
      <c r="B369" s="5" t="s">
        <v>80</v>
      </c>
      <c r="C369" s="8"/>
      <c r="D369" s="8"/>
      <c r="E369" s="8"/>
      <c r="F369" s="8"/>
      <c r="G369" s="11">
        <v>0.005</v>
      </c>
      <c r="H369" s="11">
        <v>0.002</v>
      </c>
      <c r="I369" s="9" t="s">
        <v>62</v>
      </c>
    </row>
    <row r="370">
      <c r="A370" s="12" t="s">
        <v>267</v>
      </c>
      <c r="B370" s="5" t="s">
        <v>80</v>
      </c>
      <c r="C370" s="8"/>
      <c r="D370" s="8"/>
      <c r="E370" s="8"/>
      <c r="F370" s="8"/>
      <c r="G370" s="11">
        <v>0.028</v>
      </c>
      <c r="H370" s="11">
        <v>0.002</v>
      </c>
      <c r="I370" s="9" t="s">
        <v>62</v>
      </c>
    </row>
    <row r="371">
      <c r="A371" s="12" t="s">
        <v>280</v>
      </c>
      <c r="B371" s="5" t="s">
        <v>80</v>
      </c>
      <c r="C371" s="8"/>
      <c r="D371" s="8"/>
      <c r="E371" s="8"/>
      <c r="F371" s="8"/>
      <c r="G371" s="11">
        <v>0.028</v>
      </c>
      <c r="H371" s="11">
        <v>0.002</v>
      </c>
      <c r="I371" s="9" t="s">
        <v>62</v>
      </c>
    </row>
    <row r="372">
      <c r="A372" s="12" t="s">
        <v>83</v>
      </c>
      <c r="B372" s="5" t="s">
        <v>84</v>
      </c>
      <c r="C372" s="8"/>
      <c r="D372" s="8"/>
      <c r="E372" s="8"/>
      <c r="F372" s="8"/>
      <c r="G372" s="11">
        <v>0.089</v>
      </c>
      <c r="H372" s="11">
        <v>0.317</v>
      </c>
      <c r="I372" s="9" t="s">
        <v>62</v>
      </c>
    </row>
    <row r="373">
      <c r="A373" s="12" t="s">
        <v>85</v>
      </c>
      <c r="B373" s="5" t="s">
        <v>84</v>
      </c>
      <c r="C373" s="8"/>
      <c r="D373" s="8"/>
      <c r="E373" s="8"/>
      <c r="F373" s="8"/>
      <c r="G373" s="11">
        <v>0.098</v>
      </c>
      <c r="H373" s="11">
        <v>0.181</v>
      </c>
      <c r="I373" s="9" t="s">
        <v>62</v>
      </c>
    </row>
    <row r="374">
      <c r="A374" s="12" t="s">
        <v>87</v>
      </c>
      <c r="B374" s="5" t="s">
        <v>84</v>
      </c>
      <c r="C374" s="8"/>
      <c r="D374" s="8"/>
      <c r="E374" s="8"/>
      <c r="F374" s="8"/>
      <c r="G374" s="11">
        <v>0.171</v>
      </c>
      <c r="H374" s="11">
        <v>0.571</v>
      </c>
      <c r="I374" s="9" t="s">
        <v>62</v>
      </c>
    </row>
    <row r="375">
      <c r="A375" s="12" t="s">
        <v>91</v>
      </c>
      <c r="B375" s="5" t="s">
        <v>84</v>
      </c>
      <c r="C375" s="8"/>
      <c r="D375" s="8"/>
      <c r="E375" s="8"/>
      <c r="F375" s="8"/>
      <c r="G375" s="11">
        <v>0.118</v>
      </c>
      <c r="H375" s="11">
        <v>0.2</v>
      </c>
      <c r="I375" s="9" t="s">
        <v>62</v>
      </c>
    </row>
    <row r="376">
      <c r="A376" s="12" t="s">
        <v>95</v>
      </c>
      <c r="B376" s="5" t="s">
        <v>84</v>
      </c>
      <c r="C376" s="8"/>
      <c r="D376" s="8"/>
      <c r="E376" s="8"/>
      <c r="F376" s="8"/>
      <c r="G376" s="11">
        <v>0.119</v>
      </c>
      <c r="H376" s="11">
        <v>0.198</v>
      </c>
      <c r="I376" s="9" t="s">
        <v>62</v>
      </c>
    </row>
    <row r="377">
      <c r="A377" s="12" t="s">
        <v>98</v>
      </c>
      <c r="B377" s="5" t="s">
        <v>84</v>
      </c>
      <c r="C377" s="8"/>
      <c r="D377" s="8"/>
      <c r="E377" s="8"/>
      <c r="F377" s="8"/>
      <c r="G377" s="8"/>
      <c r="H377" s="11">
        <v>0.16</v>
      </c>
      <c r="I377" s="9" t="s">
        <v>62</v>
      </c>
    </row>
    <row r="378">
      <c r="A378" s="12" t="s">
        <v>100</v>
      </c>
      <c r="B378" s="5" t="s">
        <v>84</v>
      </c>
      <c r="C378" s="8"/>
      <c r="D378" s="8"/>
      <c r="E378" s="8"/>
      <c r="F378" s="8"/>
      <c r="G378" s="11">
        <v>0.475</v>
      </c>
      <c r="H378" s="11">
        <v>0.211</v>
      </c>
      <c r="I378" s="9" t="s">
        <v>62</v>
      </c>
    </row>
    <row r="379">
      <c r="A379" s="12" t="s">
        <v>102</v>
      </c>
      <c r="B379" s="5" t="s">
        <v>84</v>
      </c>
      <c r="C379" s="8"/>
      <c r="D379" s="8"/>
      <c r="E379" s="8"/>
      <c r="F379" s="8"/>
      <c r="G379" s="11">
        <v>0.021</v>
      </c>
      <c r="H379" s="11">
        <v>0.09</v>
      </c>
      <c r="I379" s="9" t="s">
        <v>62</v>
      </c>
    </row>
    <row r="380">
      <c r="A380" s="12" t="s">
        <v>105</v>
      </c>
      <c r="B380" s="5" t="s">
        <v>84</v>
      </c>
      <c r="C380" s="8"/>
      <c r="D380" s="8"/>
      <c r="E380" s="8"/>
      <c r="F380" s="8"/>
      <c r="G380" s="11">
        <v>0.045</v>
      </c>
      <c r="H380" s="11">
        <v>0.162</v>
      </c>
      <c r="I380" s="9" t="s">
        <v>62</v>
      </c>
    </row>
    <row r="381">
      <c r="A381" s="12" t="s">
        <v>112</v>
      </c>
      <c r="B381" s="5" t="s">
        <v>84</v>
      </c>
      <c r="C381" s="8"/>
      <c r="D381" s="8"/>
      <c r="E381" s="8"/>
      <c r="F381" s="8"/>
      <c r="G381" s="11">
        <v>0.602</v>
      </c>
      <c r="H381" s="11">
        <v>0.344</v>
      </c>
      <c r="I381" s="9" t="s">
        <v>62</v>
      </c>
    </row>
    <row r="382">
      <c r="A382" s="12" t="s">
        <v>113</v>
      </c>
      <c r="B382" s="5" t="s">
        <v>84</v>
      </c>
      <c r="C382" s="8"/>
      <c r="D382" s="8"/>
      <c r="E382" s="8"/>
      <c r="F382" s="8"/>
      <c r="G382" s="8"/>
      <c r="H382" s="11">
        <v>0.392</v>
      </c>
      <c r="I382" s="9" t="s">
        <v>62</v>
      </c>
    </row>
    <row r="383">
      <c r="A383" s="12" t="s">
        <v>116</v>
      </c>
      <c r="B383" s="5" t="s">
        <v>84</v>
      </c>
      <c r="C383" s="8"/>
      <c r="D383" s="8"/>
      <c r="E383" s="8"/>
      <c r="F383" s="8"/>
      <c r="G383" s="11">
        <v>0.191</v>
      </c>
      <c r="H383" s="11">
        <v>0.326</v>
      </c>
      <c r="I383" s="9" t="s">
        <v>62</v>
      </c>
    </row>
    <row r="384">
      <c r="A384" s="12" t="s">
        <v>118</v>
      </c>
      <c r="B384" s="5" t="s">
        <v>84</v>
      </c>
      <c r="C384" s="8"/>
      <c r="D384" s="8"/>
      <c r="E384" s="8"/>
      <c r="F384" s="8"/>
      <c r="G384" s="11">
        <v>0.029</v>
      </c>
      <c r="H384" s="11">
        <v>0.081</v>
      </c>
      <c r="I384" s="9" t="s">
        <v>62</v>
      </c>
    </row>
    <row r="385">
      <c r="A385" s="12" t="s">
        <v>122</v>
      </c>
      <c r="B385" s="5" t="s">
        <v>84</v>
      </c>
      <c r="C385" s="8"/>
      <c r="D385" s="8"/>
      <c r="E385" s="8"/>
      <c r="F385" s="8"/>
      <c r="G385" s="11">
        <v>0.096</v>
      </c>
      <c r="H385" s="11">
        <v>0.081</v>
      </c>
      <c r="I385" s="9" t="s">
        <v>62</v>
      </c>
    </row>
    <row r="386">
      <c r="A386" s="12" t="s">
        <v>125</v>
      </c>
      <c r="B386" s="5" t="s">
        <v>84</v>
      </c>
      <c r="C386" s="8"/>
      <c r="D386" s="8"/>
      <c r="E386" s="8"/>
      <c r="F386" s="8"/>
      <c r="G386" s="11">
        <v>0.011</v>
      </c>
      <c r="H386" s="11">
        <v>0.001</v>
      </c>
      <c r="I386" s="9" t="s">
        <v>62</v>
      </c>
    </row>
    <row r="387">
      <c r="A387" s="12" t="s">
        <v>126</v>
      </c>
      <c r="B387" s="5" t="s">
        <v>84</v>
      </c>
      <c r="C387" s="8"/>
      <c r="D387" s="8"/>
      <c r="E387" s="8"/>
      <c r="F387" s="8"/>
      <c r="G387" s="8"/>
      <c r="H387" s="8"/>
      <c r="I387" s="9" t="s">
        <v>62</v>
      </c>
    </row>
    <row r="388">
      <c r="A388" s="12" t="s">
        <v>131</v>
      </c>
      <c r="B388" s="5" t="s">
        <v>84</v>
      </c>
      <c r="C388" s="8"/>
      <c r="D388" s="8"/>
      <c r="E388" s="8"/>
      <c r="F388" s="8"/>
      <c r="G388" s="11">
        <v>0.132</v>
      </c>
      <c r="H388" s="11">
        <v>0.111</v>
      </c>
      <c r="I388" s="9" t="s">
        <v>62</v>
      </c>
    </row>
    <row r="389">
      <c r="A389" s="12" t="s">
        <v>132</v>
      </c>
      <c r="B389" s="5" t="s">
        <v>84</v>
      </c>
      <c r="C389" s="8"/>
      <c r="D389" s="8"/>
      <c r="E389" s="8"/>
      <c r="F389" s="8"/>
      <c r="G389" s="11">
        <v>0.044</v>
      </c>
      <c r="H389" s="11">
        <v>0.144</v>
      </c>
      <c r="I389" s="9" t="s">
        <v>62</v>
      </c>
    </row>
    <row r="390">
      <c r="A390" s="12" t="s">
        <v>133</v>
      </c>
      <c r="B390" s="5" t="s">
        <v>84</v>
      </c>
      <c r="C390" s="8"/>
      <c r="D390" s="8"/>
      <c r="E390" s="8"/>
      <c r="F390" s="8"/>
      <c r="G390" s="11">
        <v>0.027</v>
      </c>
      <c r="H390" s="11">
        <v>0.067</v>
      </c>
      <c r="I390" s="9" t="s">
        <v>62</v>
      </c>
    </row>
    <row r="391">
      <c r="A391" s="12" t="s">
        <v>135</v>
      </c>
      <c r="B391" s="5" t="s">
        <v>84</v>
      </c>
      <c r="C391" s="8"/>
      <c r="D391" s="8"/>
      <c r="E391" s="8"/>
      <c r="F391" s="8"/>
      <c r="G391" s="11">
        <v>0.015</v>
      </c>
      <c r="H391" s="11">
        <v>0.143</v>
      </c>
      <c r="I391" s="9" t="s">
        <v>62</v>
      </c>
    </row>
    <row r="392">
      <c r="A392" s="12" t="s">
        <v>151</v>
      </c>
      <c r="B392" s="5" t="s">
        <v>84</v>
      </c>
      <c r="C392" s="8"/>
      <c r="D392" s="8"/>
      <c r="E392" s="8"/>
      <c r="F392" s="8"/>
      <c r="G392" s="11">
        <v>0.355</v>
      </c>
      <c r="H392" s="11">
        <v>0.282</v>
      </c>
      <c r="I392" s="9" t="s">
        <v>62</v>
      </c>
    </row>
    <row r="393">
      <c r="A393" s="12" t="s">
        <v>152</v>
      </c>
      <c r="B393" s="5" t="s">
        <v>84</v>
      </c>
      <c r="C393" s="8"/>
      <c r="D393" s="8"/>
      <c r="E393" s="8"/>
      <c r="F393" s="8"/>
      <c r="G393" s="11">
        <v>0.051</v>
      </c>
      <c r="H393" s="11">
        <v>0.063</v>
      </c>
      <c r="I393" s="9" t="s">
        <v>62</v>
      </c>
    </row>
    <row r="394">
      <c r="A394" s="12" t="s">
        <v>154</v>
      </c>
      <c r="B394" s="5" t="s">
        <v>84</v>
      </c>
      <c r="C394" s="8"/>
      <c r="D394" s="8"/>
      <c r="E394" s="8"/>
      <c r="F394" s="8"/>
      <c r="G394" s="11">
        <v>0.017</v>
      </c>
      <c r="H394" s="11">
        <v>0.1</v>
      </c>
      <c r="I394" s="9" t="s">
        <v>62</v>
      </c>
    </row>
    <row r="395">
      <c r="A395" s="12" t="s">
        <v>157</v>
      </c>
      <c r="B395" s="5" t="s">
        <v>84</v>
      </c>
      <c r="C395" s="8"/>
      <c r="D395" s="8"/>
      <c r="E395" s="8"/>
      <c r="F395" s="8"/>
      <c r="G395" s="11">
        <v>0.132</v>
      </c>
      <c r="H395" s="11">
        <v>0.101</v>
      </c>
      <c r="I395" s="9" t="s">
        <v>62</v>
      </c>
    </row>
    <row r="396">
      <c r="A396" s="12" t="s">
        <v>158</v>
      </c>
      <c r="B396" s="5" t="s">
        <v>84</v>
      </c>
      <c r="C396" s="8"/>
      <c r="D396" s="8"/>
      <c r="E396" s="8"/>
      <c r="F396" s="8"/>
      <c r="G396" s="11">
        <v>0.003</v>
      </c>
      <c r="H396" s="11">
        <v>0.01</v>
      </c>
      <c r="I396" s="9" t="s">
        <v>62</v>
      </c>
    </row>
    <row r="397">
      <c r="A397" s="12" t="s">
        <v>159</v>
      </c>
      <c r="B397" s="5" t="s">
        <v>84</v>
      </c>
      <c r="C397" s="8"/>
      <c r="D397" s="8"/>
      <c r="E397" s="8"/>
      <c r="F397" s="8"/>
      <c r="G397" s="11">
        <v>0.014</v>
      </c>
      <c r="H397" s="11">
        <v>0.037</v>
      </c>
      <c r="I397" s="9" t="s">
        <v>62</v>
      </c>
    </row>
    <row r="398">
      <c r="A398" s="12" t="s">
        <v>171</v>
      </c>
      <c r="B398" s="5" t="s">
        <v>84</v>
      </c>
      <c r="C398" s="8"/>
      <c r="D398" s="8"/>
      <c r="E398" s="8"/>
      <c r="F398" s="8"/>
      <c r="G398" s="11">
        <v>0.039</v>
      </c>
      <c r="H398" s="11">
        <v>0.229</v>
      </c>
      <c r="I398" s="9" t="s">
        <v>62</v>
      </c>
    </row>
    <row r="399">
      <c r="A399" s="12" t="s">
        <v>199</v>
      </c>
      <c r="B399" s="5" t="s">
        <v>84</v>
      </c>
      <c r="C399" s="8"/>
      <c r="D399" s="8"/>
      <c r="E399" s="8"/>
      <c r="F399" s="8"/>
      <c r="G399" s="11">
        <v>0.07</v>
      </c>
      <c r="H399" s="11">
        <v>0.207</v>
      </c>
      <c r="I399" s="9" t="s">
        <v>62</v>
      </c>
    </row>
    <row r="400">
      <c r="A400" s="12" t="s">
        <v>213</v>
      </c>
      <c r="B400" s="5" t="s">
        <v>84</v>
      </c>
      <c r="C400" s="8"/>
      <c r="D400" s="8"/>
      <c r="E400" s="8"/>
      <c r="F400" s="8"/>
      <c r="G400" s="11">
        <v>0.014</v>
      </c>
      <c r="H400" s="11">
        <v>0.032</v>
      </c>
      <c r="I400" s="9" t="s">
        <v>62</v>
      </c>
    </row>
    <row r="401">
      <c r="A401" s="12" t="s">
        <v>221</v>
      </c>
      <c r="B401" s="5" t="s">
        <v>84</v>
      </c>
      <c r="C401" s="8"/>
      <c r="D401" s="8"/>
      <c r="E401" s="8"/>
      <c r="F401" s="8"/>
      <c r="G401" s="11">
        <v>0.073</v>
      </c>
      <c r="H401" s="11">
        <v>0.152</v>
      </c>
      <c r="I401" s="9" t="s">
        <v>62</v>
      </c>
    </row>
    <row r="402">
      <c r="A402" s="12" t="s">
        <v>223</v>
      </c>
      <c r="B402" s="5" t="s">
        <v>84</v>
      </c>
      <c r="C402" s="8"/>
      <c r="D402" s="8"/>
      <c r="E402" s="8"/>
      <c r="F402" s="8"/>
      <c r="G402" s="11">
        <v>0.011</v>
      </c>
      <c r="H402" s="11">
        <v>0.211</v>
      </c>
      <c r="I402" s="9" t="s">
        <v>62</v>
      </c>
    </row>
    <row r="403">
      <c r="A403" s="12" t="s">
        <v>224</v>
      </c>
      <c r="B403" s="5" t="s">
        <v>84</v>
      </c>
      <c r="C403" s="8"/>
      <c r="D403" s="8"/>
      <c r="E403" s="8"/>
      <c r="F403" s="8"/>
      <c r="G403" s="11">
        <v>0.076</v>
      </c>
      <c r="H403" s="11">
        <v>0.068</v>
      </c>
      <c r="I403" s="9" t="s">
        <v>62</v>
      </c>
    </row>
    <row r="404">
      <c r="A404" s="12" t="s">
        <v>228</v>
      </c>
      <c r="B404" s="5" t="s">
        <v>84</v>
      </c>
      <c r="C404" s="8"/>
      <c r="D404" s="8"/>
      <c r="E404" s="8"/>
      <c r="F404" s="8"/>
      <c r="G404" s="11">
        <v>0.156</v>
      </c>
      <c r="H404" s="11">
        <v>0.429</v>
      </c>
      <c r="I404" s="9" t="s">
        <v>62</v>
      </c>
    </row>
    <row r="405">
      <c r="A405" s="12" t="s">
        <v>242</v>
      </c>
      <c r="B405" s="5" t="s">
        <v>84</v>
      </c>
      <c r="C405" s="8"/>
      <c r="D405" s="8"/>
      <c r="E405" s="8"/>
      <c r="F405" s="8"/>
      <c r="G405" s="8"/>
      <c r="H405" s="8"/>
      <c r="I405" s="9" t="s">
        <v>62</v>
      </c>
    </row>
    <row r="406">
      <c r="A406" s="12" t="s">
        <v>252</v>
      </c>
      <c r="B406" s="5" t="s">
        <v>84</v>
      </c>
      <c r="C406" s="8"/>
      <c r="D406" s="8"/>
      <c r="E406" s="8"/>
      <c r="F406" s="8"/>
      <c r="G406" s="11">
        <v>0.077</v>
      </c>
      <c r="H406" s="11">
        <v>0.045</v>
      </c>
      <c r="I406" s="9" t="s">
        <v>62</v>
      </c>
    </row>
    <row r="407">
      <c r="A407" s="12" t="s">
        <v>253</v>
      </c>
      <c r="B407" s="5" t="s">
        <v>84</v>
      </c>
      <c r="C407" s="8"/>
      <c r="D407" s="8"/>
      <c r="E407" s="8"/>
      <c r="F407" s="8"/>
      <c r="G407" s="11">
        <v>0.082</v>
      </c>
      <c r="H407" s="11">
        <v>0.017</v>
      </c>
      <c r="I407" s="9" t="s">
        <v>62</v>
      </c>
    </row>
    <row r="408">
      <c r="A408" s="12" t="s">
        <v>254</v>
      </c>
      <c r="B408" s="5" t="s">
        <v>84</v>
      </c>
      <c r="C408" s="8"/>
      <c r="D408" s="8"/>
      <c r="E408" s="8"/>
      <c r="F408" s="8"/>
      <c r="G408" s="8"/>
      <c r="H408" s="8"/>
      <c r="I408" s="9" t="s">
        <v>62</v>
      </c>
    </row>
    <row r="409">
      <c r="A409" s="12" t="s">
        <v>255</v>
      </c>
      <c r="B409" s="5" t="s">
        <v>84</v>
      </c>
      <c r="C409" s="8"/>
      <c r="D409" s="8"/>
      <c r="E409" s="8"/>
      <c r="F409" s="8"/>
      <c r="G409" s="11">
        <v>0.051</v>
      </c>
      <c r="H409" s="11">
        <v>0.069</v>
      </c>
      <c r="I409" s="9" t="s">
        <v>62</v>
      </c>
    </row>
    <row r="410">
      <c r="A410" s="12" t="s">
        <v>257</v>
      </c>
      <c r="B410" s="5" t="s">
        <v>84</v>
      </c>
      <c r="C410" s="8"/>
      <c r="D410" s="8"/>
      <c r="E410" s="8"/>
      <c r="F410" s="8"/>
      <c r="G410" s="11">
        <v>0.031</v>
      </c>
      <c r="H410" s="11">
        <v>0.184</v>
      </c>
      <c r="I410" s="9" t="s">
        <v>62</v>
      </c>
    </row>
    <row r="411">
      <c r="A411" s="12" t="s">
        <v>268</v>
      </c>
      <c r="B411" s="5" t="s">
        <v>84</v>
      </c>
      <c r="C411" s="8"/>
      <c r="D411" s="8"/>
      <c r="E411" s="8"/>
      <c r="F411" s="8"/>
      <c r="G411" s="11">
        <v>0.154</v>
      </c>
      <c r="H411" s="11">
        <v>0.201</v>
      </c>
      <c r="I411" s="9" t="s">
        <v>62</v>
      </c>
    </row>
    <row r="412">
      <c r="A412" s="12" t="s">
        <v>272</v>
      </c>
      <c r="B412" s="5" t="s">
        <v>84</v>
      </c>
      <c r="C412" s="8"/>
      <c r="D412" s="8"/>
      <c r="E412" s="8"/>
      <c r="F412" s="8"/>
      <c r="G412" s="8"/>
      <c r="H412" s="8"/>
      <c r="I412" s="9" t="s">
        <v>62</v>
      </c>
    </row>
    <row r="413">
      <c r="A413" s="12" t="s">
        <v>277</v>
      </c>
      <c r="B413" s="5" t="s">
        <v>84</v>
      </c>
      <c r="C413" s="8"/>
      <c r="D413" s="8"/>
      <c r="E413" s="8"/>
      <c r="F413" s="8"/>
      <c r="G413" s="11">
        <v>0.491</v>
      </c>
      <c r="H413" s="11">
        <v>0.447</v>
      </c>
      <c r="I413" s="9" t="s">
        <v>62</v>
      </c>
    </row>
    <row r="414">
      <c r="A414" s="12" t="s">
        <v>278</v>
      </c>
      <c r="B414" s="5" t="s">
        <v>84</v>
      </c>
      <c r="C414" s="8"/>
      <c r="D414" s="8"/>
      <c r="E414" s="8"/>
      <c r="F414" s="8"/>
      <c r="G414" s="11">
        <v>0.111</v>
      </c>
      <c r="H414" s="11">
        <v>0.156</v>
      </c>
      <c r="I414" s="9" t="s">
        <v>62</v>
      </c>
    </row>
    <row r="415">
      <c r="A415" s="12" t="s">
        <v>281</v>
      </c>
      <c r="B415" s="5" t="s">
        <v>84</v>
      </c>
      <c r="C415" s="8"/>
      <c r="D415" s="8"/>
      <c r="E415" s="8"/>
      <c r="F415" s="8"/>
      <c r="G415" s="11">
        <v>0.046</v>
      </c>
      <c r="H415" s="11">
        <v>0.26</v>
      </c>
      <c r="I415" s="9" t="s">
        <v>62</v>
      </c>
    </row>
    <row r="416">
      <c r="A416" s="12" t="s">
        <v>76</v>
      </c>
      <c r="B416" s="5" t="s">
        <v>77</v>
      </c>
      <c r="C416" s="8"/>
      <c r="D416" s="8"/>
      <c r="E416" s="8"/>
      <c r="F416" s="8"/>
      <c r="G416" s="11">
        <v>0.016</v>
      </c>
      <c r="H416" s="11">
        <v>0.014</v>
      </c>
      <c r="I416" s="9" t="s">
        <v>63</v>
      </c>
    </row>
    <row r="417">
      <c r="A417" s="12" t="s">
        <v>82</v>
      </c>
      <c r="B417" s="5" t="s">
        <v>77</v>
      </c>
      <c r="C417" s="8"/>
      <c r="D417" s="8"/>
      <c r="E417" s="8"/>
      <c r="F417" s="8"/>
      <c r="G417" s="11">
        <v>0.003</v>
      </c>
      <c r="H417" s="11">
        <v>0.009</v>
      </c>
      <c r="I417" s="9" t="s">
        <v>63</v>
      </c>
    </row>
    <row r="418">
      <c r="A418" s="12" t="s">
        <v>99</v>
      </c>
      <c r="B418" s="5" t="s">
        <v>77</v>
      </c>
      <c r="C418" s="8"/>
      <c r="D418" s="8"/>
      <c r="E418" s="8"/>
      <c r="F418" s="8"/>
      <c r="G418" s="11">
        <v>0.007</v>
      </c>
      <c r="H418" s="11">
        <v>0.03</v>
      </c>
      <c r="I418" s="9" t="s">
        <v>63</v>
      </c>
    </row>
    <row r="419">
      <c r="A419" s="12" t="s">
        <v>104</v>
      </c>
      <c r="B419" s="5" t="s">
        <v>77</v>
      </c>
      <c r="C419" s="8"/>
      <c r="D419" s="8"/>
      <c r="E419" s="8"/>
      <c r="F419" s="8"/>
      <c r="G419" s="11">
        <v>0.034</v>
      </c>
      <c r="H419" s="11">
        <v>0.184</v>
      </c>
      <c r="I419" s="9" t="s">
        <v>63</v>
      </c>
    </row>
    <row r="420">
      <c r="A420" s="12" t="s">
        <v>108</v>
      </c>
      <c r="B420" s="5" t="s">
        <v>77</v>
      </c>
      <c r="C420" s="8"/>
      <c r="D420" s="8"/>
      <c r="E420" s="8"/>
      <c r="F420" s="8"/>
      <c r="G420" s="11">
        <v>0.002</v>
      </c>
      <c r="H420" s="11">
        <v>0.009</v>
      </c>
      <c r="I420" s="9" t="s">
        <v>63</v>
      </c>
    </row>
    <row r="421">
      <c r="A421" s="12" t="s">
        <v>109</v>
      </c>
      <c r="B421" s="5" t="s">
        <v>77</v>
      </c>
      <c r="C421" s="8"/>
      <c r="D421" s="8"/>
      <c r="E421" s="8"/>
      <c r="F421" s="8"/>
      <c r="G421" s="11">
        <v>0.001</v>
      </c>
      <c r="H421" s="11">
        <v>0.007</v>
      </c>
      <c r="I421" s="9" t="s">
        <v>63</v>
      </c>
    </row>
    <row r="422">
      <c r="A422" s="12" t="s">
        <v>111</v>
      </c>
      <c r="B422" s="5" t="s">
        <v>77</v>
      </c>
      <c r="C422" s="8"/>
      <c r="D422" s="8"/>
      <c r="E422" s="8"/>
      <c r="F422" s="8"/>
      <c r="G422" s="11">
        <v>0.004</v>
      </c>
      <c r="H422" s="11">
        <v>0.042</v>
      </c>
      <c r="I422" s="9" t="s">
        <v>63</v>
      </c>
    </row>
    <row r="423">
      <c r="A423" s="12" t="s">
        <v>114</v>
      </c>
      <c r="B423" s="5" t="s">
        <v>77</v>
      </c>
      <c r="C423" s="8"/>
      <c r="D423" s="8"/>
      <c r="E423" s="8"/>
      <c r="F423" s="8"/>
      <c r="G423" s="11">
        <v>0.001</v>
      </c>
      <c r="H423" s="11">
        <v>0.003</v>
      </c>
      <c r="I423" s="9" t="s">
        <v>63</v>
      </c>
    </row>
    <row r="424">
      <c r="A424" s="12" t="s">
        <v>115</v>
      </c>
      <c r="B424" s="5" t="s">
        <v>77</v>
      </c>
      <c r="C424" s="8"/>
      <c r="D424" s="8"/>
      <c r="E424" s="8"/>
      <c r="F424" s="8"/>
      <c r="G424" s="11">
        <v>0.002</v>
      </c>
      <c r="H424" s="11">
        <v>0.004</v>
      </c>
      <c r="I424" s="9" t="s">
        <v>63</v>
      </c>
    </row>
    <row r="425">
      <c r="A425" s="12" t="s">
        <v>119</v>
      </c>
      <c r="B425" s="5" t="s">
        <v>77</v>
      </c>
      <c r="C425" s="8"/>
      <c r="D425" s="8"/>
      <c r="E425" s="8"/>
      <c r="F425" s="8"/>
      <c r="G425" s="11">
        <v>0.006</v>
      </c>
      <c r="H425" s="8"/>
      <c r="I425" s="9" t="s">
        <v>63</v>
      </c>
    </row>
    <row r="426">
      <c r="A426" s="12" t="s">
        <v>121</v>
      </c>
      <c r="B426" s="5" t="s">
        <v>77</v>
      </c>
      <c r="C426" s="8"/>
      <c r="D426" s="8"/>
      <c r="E426" s="8"/>
      <c r="F426" s="8"/>
      <c r="G426" s="11">
        <v>0.001</v>
      </c>
      <c r="H426" s="11">
        <v>0.011</v>
      </c>
      <c r="I426" s="9" t="s">
        <v>63</v>
      </c>
    </row>
    <row r="427">
      <c r="A427" s="12" t="s">
        <v>120</v>
      </c>
      <c r="B427" s="5" t="s">
        <v>77</v>
      </c>
      <c r="C427" s="8"/>
      <c r="D427" s="8"/>
      <c r="E427" s="8"/>
      <c r="F427" s="8"/>
      <c r="G427" s="11">
        <v>0.002</v>
      </c>
      <c r="H427" s="11">
        <v>0.068</v>
      </c>
      <c r="I427" s="9" t="s">
        <v>63</v>
      </c>
    </row>
    <row r="428">
      <c r="A428" s="12" t="s">
        <v>123</v>
      </c>
      <c r="B428" s="5" t="s">
        <v>77</v>
      </c>
      <c r="C428" s="8"/>
      <c r="D428" s="8"/>
      <c r="E428" s="8"/>
      <c r="F428" s="8"/>
      <c r="G428" s="11">
        <v>0.005</v>
      </c>
      <c r="H428" s="11">
        <v>0.062</v>
      </c>
      <c r="I428" s="9" t="s">
        <v>63</v>
      </c>
    </row>
    <row r="429">
      <c r="A429" s="12" t="s">
        <v>130</v>
      </c>
      <c r="B429" s="5" t="s">
        <v>77</v>
      </c>
      <c r="C429" s="8"/>
      <c r="D429" s="8"/>
      <c r="E429" s="8"/>
      <c r="F429" s="8"/>
      <c r="G429" s="11">
        <v>0.005</v>
      </c>
      <c r="H429" s="11">
        <v>0.02</v>
      </c>
      <c r="I429" s="9" t="s">
        <v>63</v>
      </c>
    </row>
    <row r="430">
      <c r="A430" s="12" t="s">
        <v>134</v>
      </c>
      <c r="B430" s="5" t="s">
        <v>77</v>
      </c>
      <c r="C430" s="8"/>
      <c r="D430" s="8"/>
      <c r="E430" s="8"/>
      <c r="F430" s="8"/>
      <c r="G430" s="11">
        <v>0.027</v>
      </c>
      <c r="H430" s="11">
        <v>0.066</v>
      </c>
      <c r="I430" s="9" t="s">
        <v>63</v>
      </c>
    </row>
    <row r="431">
      <c r="A431" s="12" t="s">
        <v>136</v>
      </c>
      <c r="B431" s="5" t="s">
        <v>77</v>
      </c>
      <c r="C431" s="8"/>
      <c r="D431" s="8"/>
      <c r="E431" s="8"/>
      <c r="F431" s="8"/>
      <c r="G431" s="11">
        <v>0.003</v>
      </c>
      <c r="H431" s="11">
        <v>0.058</v>
      </c>
      <c r="I431" s="9" t="s">
        <v>63</v>
      </c>
    </row>
    <row r="432">
      <c r="A432" s="12" t="s">
        <v>137</v>
      </c>
      <c r="B432" s="5" t="s">
        <v>77</v>
      </c>
      <c r="C432" s="8"/>
      <c r="D432" s="8"/>
      <c r="E432" s="8"/>
      <c r="F432" s="8"/>
      <c r="G432" s="11">
        <v>0.002</v>
      </c>
      <c r="H432" s="8"/>
      <c r="I432" s="9" t="s">
        <v>63</v>
      </c>
    </row>
    <row r="433">
      <c r="A433" s="12" t="s">
        <v>139</v>
      </c>
      <c r="B433" s="5" t="s">
        <v>77</v>
      </c>
      <c r="C433" s="8"/>
      <c r="D433" s="8"/>
      <c r="E433" s="8"/>
      <c r="F433" s="8"/>
      <c r="G433" s="11">
        <v>0.001</v>
      </c>
      <c r="H433" s="11">
        <v>0.001</v>
      </c>
      <c r="I433" s="9" t="s">
        <v>63</v>
      </c>
    </row>
    <row r="434">
      <c r="A434" s="12" t="s">
        <v>145</v>
      </c>
      <c r="B434" s="5" t="s">
        <v>77</v>
      </c>
      <c r="C434" s="8"/>
      <c r="D434" s="8"/>
      <c r="E434" s="8"/>
      <c r="F434" s="8"/>
      <c r="G434" s="11">
        <v>0.019</v>
      </c>
      <c r="H434" s="11">
        <v>0.217</v>
      </c>
      <c r="I434" s="9" t="s">
        <v>63</v>
      </c>
    </row>
    <row r="435">
      <c r="A435" s="12" t="s">
        <v>146</v>
      </c>
      <c r="B435" s="5" t="s">
        <v>77</v>
      </c>
      <c r="C435" s="8"/>
      <c r="D435" s="8"/>
      <c r="E435" s="8"/>
      <c r="F435" s="8"/>
      <c r="G435" s="11">
        <v>0.018</v>
      </c>
      <c r="H435" s="11">
        <v>0.077</v>
      </c>
      <c r="I435" s="9" t="s">
        <v>63</v>
      </c>
    </row>
    <row r="436">
      <c r="A436" s="12" t="s">
        <v>149</v>
      </c>
      <c r="B436" s="5" t="s">
        <v>77</v>
      </c>
      <c r="C436" s="8"/>
      <c r="D436" s="8"/>
      <c r="E436" s="8"/>
      <c r="F436" s="8"/>
      <c r="G436" s="11">
        <v>0.008</v>
      </c>
      <c r="H436" s="11">
        <v>0.02</v>
      </c>
      <c r="I436" s="9" t="s">
        <v>63</v>
      </c>
    </row>
    <row r="437">
      <c r="A437" s="12" t="s">
        <v>155</v>
      </c>
      <c r="B437" s="5" t="s">
        <v>77</v>
      </c>
      <c r="C437" s="8"/>
      <c r="D437" s="8"/>
      <c r="E437" s="8"/>
      <c r="F437" s="8"/>
      <c r="G437" s="11">
        <v>0.004</v>
      </c>
      <c r="H437" s="11">
        <v>0.01</v>
      </c>
      <c r="I437" s="9" t="s">
        <v>63</v>
      </c>
    </row>
    <row r="438">
      <c r="A438" s="12" t="s">
        <v>156</v>
      </c>
      <c r="B438" s="5" t="s">
        <v>77</v>
      </c>
      <c r="C438" s="8"/>
      <c r="D438" s="8"/>
      <c r="E438" s="8"/>
      <c r="F438" s="8"/>
      <c r="G438" s="11">
        <v>0.01</v>
      </c>
      <c r="H438" s="8"/>
      <c r="I438" s="9" t="s">
        <v>63</v>
      </c>
    </row>
    <row r="439">
      <c r="A439" s="12" t="s">
        <v>175</v>
      </c>
      <c r="B439" s="5" t="s">
        <v>77</v>
      </c>
      <c r="C439" s="8"/>
      <c r="D439" s="8"/>
      <c r="E439" s="8"/>
      <c r="F439" s="8"/>
      <c r="G439" s="11">
        <v>0.012</v>
      </c>
      <c r="H439" s="11">
        <v>0.036</v>
      </c>
      <c r="I439" s="9" t="s">
        <v>63</v>
      </c>
    </row>
    <row r="440">
      <c r="A440" s="12" t="s">
        <v>183</v>
      </c>
      <c r="B440" s="5" t="s">
        <v>77</v>
      </c>
      <c r="C440" s="8"/>
      <c r="D440" s="8"/>
      <c r="E440" s="8"/>
      <c r="F440" s="8"/>
      <c r="G440" s="11">
        <v>0.011</v>
      </c>
      <c r="H440" s="11">
        <v>0.073</v>
      </c>
      <c r="I440" s="9" t="s">
        <v>63</v>
      </c>
    </row>
    <row r="441">
      <c r="A441" s="12" t="s">
        <v>184</v>
      </c>
      <c r="B441" s="5" t="s">
        <v>77</v>
      </c>
      <c r="C441" s="8"/>
      <c r="D441" s="8"/>
      <c r="E441" s="8"/>
      <c r="F441" s="8"/>
      <c r="G441" s="11">
        <v>0.0</v>
      </c>
      <c r="H441" s="11">
        <v>0.002</v>
      </c>
      <c r="I441" s="9" t="s">
        <v>63</v>
      </c>
    </row>
    <row r="442">
      <c r="A442" s="12" t="s">
        <v>185</v>
      </c>
      <c r="B442" s="5" t="s">
        <v>77</v>
      </c>
      <c r="C442" s="8"/>
      <c r="D442" s="8"/>
      <c r="E442" s="8"/>
      <c r="F442" s="8"/>
      <c r="G442" s="11">
        <v>0.022</v>
      </c>
      <c r="H442" s="11">
        <v>0.013</v>
      </c>
      <c r="I442" s="9" t="s">
        <v>63</v>
      </c>
    </row>
    <row r="443">
      <c r="A443" s="12" t="s">
        <v>190</v>
      </c>
      <c r="B443" s="5" t="s">
        <v>77</v>
      </c>
      <c r="C443" s="8"/>
      <c r="D443" s="8"/>
      <c r="E443" s="8"/>
      <c r="F443" s="8"/>
      <c r="G443" s="11">
        <v>0.003</v>
      </c>
      <c r="H443" s="11">
        <v>0.01</v>
      </c>
      <c r="I443" s="9" t="s">
        <v>63</v>
      </c>
    </row>
    <row r="444">
      <c r="A444" s="12" t="s">
        <v>191</v>
      </c>
      <c r="B444" s="5" t="s">
        <v>77</v>
      </c>
      <c r="C444" s="8"/>
      <c r="D444" s="8"/>
      <c r="E444" s="8"/>
      <c r="F444" s="8"/>
      <c r="G444" s="11">
        <v>0.002</v>
      </c>
      <c r="H444" s="11">
        <v>0.007</v>
      </c>
      <c r="I444" s="9" t="s">
        <v>63</v>
      </c>
    </row>
    <row r="445">
      <c r="A445" s="12" t="s">
        <v>194</v>
      </c>
      <c r="B445" s="5" t="s">
        <v>77</v>
      </c>
      <c r="C445" s="8"/>
      <c r="D445" s="8"/>
      <c r="E445" s="8"/>
      <c r="F445" s="8"/>
      <c r="G445" s="11">
        <v>0.002</v>
      </c>
      <c r="H445" s="11">
        <v>0.004</v>
      </c>
      <c r="I445" s="9" t="s">
        <v>63</v>
      </c>
    </row>
    <row r="446">
      <c r="A446" s="12" t="s">
        <v>197</v>
      </c>
      <c r="B446" s="5" t="s">
        <v>77</v>
      </c>
      <c r="C446" s="8"/>
      <c r="D446" s="8"/>
      <c r="E446" s="8"/>
      <c r="F446" s="8"/>
      <c r="G446" s="11">
        <v>0.004</v>
      </c>
      <c r="H446" s="11">
        <v>0.086</v>
      </c>
      <c r="I446" s="9" t="s">
        <v>63</v>
      </c>
    </row>
    <row r="447">
      <c r="A447" s="12" t="s">
        <v>198</v>
      </c>
      <c r="B447" s="5" t="s">
        <v>77</v>
      </c>
      <c r="C447" s="8"/>
      <c r="D447" s="8"/>
      <c r="E447" s="8"/>
      <c r="F447" s="8"/>
      <c r="G447" s="11">
        <v>0.103</v>
      </c>
      <c r="H447" s="11">
        <v>0.29</v>
      </c>
      <c r="I447" s="9" t="s">
        <v>63</v>
      </c>
    </row>
    <row r="448">
      <c r="A448" s="12" t="s">
        <v>205</v>
      </c>
      <c r="B448" s="5" t="s">
        <v>77</v>
      </c>
      <c r="C448" s="8"/>
      <c r="D448" s="8"/>
      <c r="E448" s="8"/>
      <c r="F448" s="8"/>
      <c r="G448" s="11">
        <v>0.024</v>
      </c>
      <c r="H448" s="11">
        <v>0.211</v>
      </c>
      <c r="I448" s="9" t="s">
        <v>63</v>
      </c>
    </row>
    <row r="449">
      <c r="A449" s="12" t="s">
        <v>206</v>
      </c>
      <c r="B449" s="5" t="s">
        <v>77</v>
      </c>
      <c r="C449" s="8"/>
      <c r="D449" s="8"/>
      <c r="E449" s="8"/>
      <c r="F449" s="8"/>
      <c r="G449" s="11">
        <v>0.003</v>
      </c>
      <c r="H449" s="11">
        <v>0.013</v>
      </c>
      <c r="I449" s="9" t="s">
        <v>63</v>
      </c>
    </row>
    <row r="450">
      <c r="A450" s="12" t="s">
        <v>208</v>
      </c>
      <c r="B450" s="5" t="s">
        <v>77</v>
      </c>
      <c r="C450" s="8"/>
      <c r="D450" s="8"/>
      <c r="E450" s="8"/>
      <c r="F450" s="8"/>
      <c r="G450" s="11">
        <v>0.026</v>
      </c>
      <c r="H450" s="11">
        <v>0.077</v>
      </c>
      <c r="I450" s="9" t="s">
        <v>63</v>
      </c>
    </row>
    <row r="451">
      <c r="A451" s="12" t="s">
        <v>214</v>
      </c>
      <c r="B451" s="5" t="s">
        <v>77</v>
      </c>
      <c r="C451" s="8"/>
      <c r="D451" s="8"/>
      <c r="E451" s="8"/>
      <c r="F451" s="8"/>
      <c r="G451" s="11">
        <v>0.001</v>
      </c>
      <c r="H451" s="11">
        <v>0.005</v>
      </c>
      <c r="I451" s="9" t="s">
        <v>63</v>
      </c>
    </row>
    <row r="452">
      <c r="A452" s="12" t="s">
        <v>215</v>
      </c>
      <c r="B452" s="5" t="s">
        <v>77</v>
      </c>
      <c r="C452" s="8"/>
      <c r="D452" s="8"/>
      <c r="E452" s="8"/>
      <c r="F452" s="8"/>
      <c r="G452" s="11">
        <v>0.003</v>
      </c>
      <c r="H452" s="11">
        <v>0.012</v>
      </c>
      <c r="I452" s="9" t="s">
        <v>63</v>
      </c>
    </row>
    <row r="453">
      <c r="A453" s="12" t="s">
        <v>232</v>
      </c>
      <c r="B453" s="5" t="s">
        <v>77</v>
      </c>
      <c r="C453" s="8"/>
      <c r="D453" s="8"/>
      <c r="E453" s="8"/>
      <c r="F453" s="8"/>
      <c r="G453" s="11">
        <v>0.003</v>
      </c>
      <c r="H453" s="11">
        <v>0.009</v>
      </c>
      <c r="I453" s="9" t="s">
        <v>63</v>
      </c>
    </row>
    <row r="454">
      <c r="A454" s="12" t="s">
        <v>235</v>
      </c>
      <c r="B454" s="5" t="s">
        <v>77</v>
      </c>
      <c r="C454" s="8"/>
      <c r="D454" s="8"/>
      <c r="E454" s="8"/>
      <c r="F454" s="8"/>
      <c r="G454" s="11">
        <v>0.076</v>
      </c>
      <c r="H454" s="11">
        <v>0.014</v>
      </c>
      <c r="I454" s="9" t="s">
        <v>63</v>
      </c>
    </row>
    <row r="455">
      <c r="A455" s="12" t="s">
        <v>237</v>
      </c>
      <c r="B455" s="5" t="s">
        <v>77</v>
      </c>
      <c r="C455" s="8"/>
      <c r="D455" s="8"/>
      <c r="E455" s="8"/>
      <c r="F455" s="8"/>
      <c r="G455" s="11">
        <v>0.01</v>
      </c>
      <c r="H455" s="11">
        <v>0.053</v>
      </c>
      <c r="I455" s="9" t="s">
        <v>63</v>
      </c>
    </row>
    <row r="456">
      <c r="A456" s="12" t="s">
        <v>239</v>
      </c>
      <c r="B456" s="5" t="s">
        <v>77</v>
      </c>
      <c r="C456" s="8"/>
      <c r="D456" s="8"/>
      <c r="E456" s="8"/>
      <c r="F456" s="8"/>
      <c r="G456" s="11">
        <v>0.143</v>
      </c>
      <c r="H456" s="11">
        <v>0.541</v>
      </c>
      <c r="I456" s="9" t="s">
        <v>63</v>
      </c>
    </row>
    <row r="457">
      <c r="A457" s="12" t="s">
        <v>240</v>
      </c>
      <c r="B457" s="5" t="s">
        <v>77</v>
      </c>
      <c r="C457" s="8"/>
      <c r="D457" s="8"/>
      <c r="E457" s="8"/>
      <c r="F457" s="8"/>
      <c r="G457" s="11">
        <v>0.002</v>
      </c>
      <c r="H457" s="11">
        <v>0.015</v>
      </c>
      <c r="I457" s="9" t="s">
        <v>63</v>
      </c>
    </row>
    <row r="458">
      <c r="A458" s="12" t="s">
        <v>246</v>
      </c>
      <c r="B458" s="5" t="s">
        <v>77</v>
      </c>
      <c r="C458" s="8"/>
      <c r="D458" s="8"/>
      <c r="E458" s="8"/>
      <c r="F458" s="8"/>
      <c r="G458" s="11">
        <v>0.001</v>
      </c>
      <c r="H458" s="11">
        <v>0.013</v>
      </c>
      <c r="I458" s="9" t="s">
        <v>63</v>
      </c>
    </row>
    <row r="459">
      <c r="A459" s="12" t="s">
        <v>247</v>
      </c>
      <c r="B459" s="5" t="s">
        <v>77</v>
      </c>
      <c r="C459" s="8"/>
      <c r="D459" s="8"/>
      <c r="E459" s="8"/>
      <c r="F459" s="8"/>
      <c r="G459" s="11">
        <v>0.067</v>
      </c>
      <c r="H459" s="11">
        <v>0.297</v>
      </c>
      <c r="I459" s="9" t="s">
        <v>63</v>
      </c>
    </row>
    <row r="460">
      <c r="A460" s="12" t="s">
        <v>249</v>
      </c>
      <c r="B460" s="5" t="s">
        <v>77</v>
      </c>
      <c r="C460" s="8"/>
      <c r="D460" s="8"/>
      <c r="E460" s="8"/>
      <c r="F460" s="8"/>
      <c r="G460" s="8"/>
      <c r="H460" s="8"/>
      <c r="I460" s="9" t="s">
        <v>63</v>
      </c>
    </row>
    <row r="461">
      <c r="A461" s="12" t="s">
        <v>256</v>
      </c>
      <c r="B461" s="5" t="s">
        <v>77</v>
      </c>
      <c r="C461" s="8"/>
      <c r="D461" s="8"/>
      <c r="E461" s="8"/>
      <c r="F461" s="8"/>
      <c r="G461" s="11">
        <v>0.004</v>
      </c>
      <c r="H461" s="11">
        <v>0.005</v>
      </c>
      <c r="I461" s="9" t="s">
        <v>63</v>
      </c>
    </row>
    <row r="462">
      <c r="A462" s="12" t="s">
        <v>258</v>
      </c>
      <c r="B462" s="5" t="s">
        <v>77</v>
      </c>
      <c r="C462" s="8"/>
      <c r="D462" s="8"/>
      <c r="E462" s="8"/>
      <c r="F462" s="8"/>
      <c r="G462" s="11">
        <v>0.018</v>
      </c>
      <c r="H462" s="11">
        <v>0.063</v>
      </c>
      <c r="I462" s="9" t="s">
        <v>63</v>
      </c>
    </row>
    <row r="463">
      <c r="A463" s="12" t="s">
        <v>263</v>
      </c>
      <c r="B463" s="5" t="s">
        <v>77</v>
      </c>
      <c r="C463" s="8"/>
      <c r="D463" s="8"/>
      <c r="E463" s="8"/>
      <c r="F463" s="8"/>
      <c r="G463" s="11">
        <v>0.002</v>
      </c>
      <c r="H463" s="11">
        <v>0.017</v>
      </c>
      <c r="I463" s="9" t="s">
        <v>63</v>
      </c>
    </row>
    <row r="464">
      <c r="A464" s="12" t="s">
        <v>266</v>
      </c>
      <c r="B464" s="5" t="s">
        <v>77</v>
      </c>
      <c r="C464" s="8"/>
      <c r="D464" s="8"/>
      <c r="E464" s="8"/>
      <c r="F464" s="8"/>
      <c r="G464" s="11">
        <v>0.01</v>
      </c>
      <c r="H464" s="11">
        <v>0.032</v>
      </c>
      <c r="I464" s="9" t="s">
        <v>63</v>
      </c>
    </row>
    <row r="465">
      <c r="A465" s="12" t="s">
        <v>269</v>
      </c>
      <c r="B465" s="5" t="s">
        <v>77</v>
      </c>
      <c r="C465" s="8"/>
      <c r="D465" s="8"/>
      <c r="E465" s="8"/>
      <c r="F465" s="8"/>
      <c r="G465" s="11">
        <v>0.053</v>
      </c>
      <c r="H465" s="11">
        <v>0.059</v>
      </c>
      <c r="I465" s="9" t="s">
        <v>63</v>
      </c>
    </row>
    <row r="466">
      <c r="A466" s="12" t="s">
        <v>273</v>
      </c>
      <c r="B466" s="5" t="s">
        <v>77</v>
      </c>
      <c r="C466" s="8"/>
      <c r="D466" s="8"/>
      <c r="E466" s="8"/>
      <c r="F466" s="8"/>
      <c r="G466" s="11">
        <v>0.004</v>
      </c>
      <c r="H466" s="11">
        <v>0.015</v>
      </c>
      <c r="I466" s="9" t="s">
        <v>63</v>
      </c>
    </row>
    <row r="467">
      <c r="A467" s="12" t="s">
        <v>284</v>
      </c>
      <c r="B467" s="5" t="s">
        <v>77</v>
      </c>
      <c r="C467" s="8"/>
      <c r="D467" s="8"/>
      <c r="E467" s="8"/>
      <c r="F467" s="8"/>
      <c r="G467" s="11">
        <v>0.005</v>
      </c>
      <c r="H467" s="11">
        <v>0.013</v>
      </c>
      <c r="I467" s="9" t="s">
        <v>63</v>
      </c>
    </row>
    <row r="468">
      <c r="A468" s="12" t="s">
        <v>285</v>
      </c>
      <c r="B468" s="5" t="s">
        <v>77</v>
      </c>
      <c r="C468" s="8"/>
      <c r="D468" s="8"/>
      <c r="E468" s="8"/>
      <c r="F468" s="8"/>
      <c r="G468" s="11">
        <v>0.04</v>
      </c>
      <c r="H468" s="11">
        <v>0.027</v>
      </c>
      <c r="I468" s="9" t="s">
        <v>63</v>
      </c>
    </row>
    <row r="469">
      <c r="A469" s="12" t="s">
        <v>59</v>
      </c>
      <c r="B469" s="5" t="s">
        <v>61</v>
      </c>
      <c r="C469" s="8"/>
      <c r="D469" s="8"/>
      <c r="E469" s="8"/>
      <c r="F469" s="8"/>
      <c r="G469" s="11">
        <v>0.0</v>
      </c>
      <c r="H469" s="11">
        <v>0.001</v>
      </c>
      <c r="I469" s="9" t="s">
        <v>63</v>
      </c>
    </row>
    <row r="470">
      <c r="A470" s="12" t="s">
        <v>86</v>
      </c>
      <c r="B470" s="5" t="s">
        <v>61</v>
      </c>
      <c r="C470" s="8"/>
      <c r="D470" s="8"/>
      <c r="E470" s="8"/>
      <c r="F470" s="8"/>
      <c r="G470" s="11">
        <v>0.02</v>
      </c>
      <c r="H470" s="11">
        <v>0.023</v>
      </c>
      <c r="I470" s="9" t="s">
        <v>63</v>
      </c>
    </row>
    <row r="471">
      <c r="A471" s="12" t="s">
        <v>90</v>
      </c>
      <c r="B471" s="5" t="s">
        <v>61</v>
      </c>
      <c r="C471" s="8"/>
      <c r="D471" s="8"/>
      <c r="E471" s="8"/>
      <c r="F471" s="8"/>
      <c r="G471" s="11">
        <v>0.05</v>
      </c>
      <c r="H471" s="11">
        <v>0.096</v>
      </c>
      <c r="I471" s="9" t="s">
        <v>63</v>
      </c>
    </row>
    <row r="472">
      <c r="A472" s="12" t="s">
        <v>94</v>
      </c>
      <c r="B472" s="5" t="s">
        <v>61</v>
      </c>
      <c r="C472" s="8"/>
      <c r="D472" s="8"/>
      <c r="E472" s="8"/>
      <c r="F472" s="8"/>
      <c r="G472" s="11">
        <v>0.001</v>
      </c>
      <c r="H472" s="11">
        <v>0.008</v>
      </c>
      <c r="I472" s="9" t="s">
        <v>63</v>
      </c>
    </row>
    <row r="473">
      <c r="A473" s="12" t="s">
        <v>101</v>
      </c>
      <c r="B473" s="5" t="s">
        <v>61</v>
      </c>
      <c r="C473" s="8"/>
      <c r="D473" s="8"/>
      <c r="E473" s="8"/>
      <c r="F473" s="8"/>
      <c r="G473" s="11">
        <v>0.017</v>
      </c>
      <c r="H473" s="8"/>
      <c r="I473" s="9" t="s">
        <v>63</v>
      </c>
    </row>
    <row r="474">
      <c r="A474" s="12" t="s">
        <v>106</v>
      </c>
      <c r="B474" s="5" t="s">
        <v>61</v>
      </c>
      <c r="C474" s="8"/>
      <c r="D474" s="8"/>
      <c r="E474" s="8"/>
      <c r="F474" s="8"/>
      <c r="G474" s="11">
        <v>0.153</v>
      </c>
      <c r="H474" s="11">
        <v>0.444</v>
      </c>
      <c r="I474" s="9" t="s">
        <v>63</v>
      </c>
    </row>
    <row r="475">
      <c r="A475" s="12" t="s">
        <v>110</v>
      </c>
      <c r="B475" s="5" t="s">
        <v>61</v>
      </c>
      <c r="C475" s="8"/>
      <c r="D475" s="8"/>
      <c r="E475" s="8"/>
      <c r="F475" s="8"/>
      <c r="G475" s="11">
        <v>0.002</v>
      </c>
      <c r="H475" s="11">
        <v>0.03</v>
      </c>
      <c r="I475" s="9" t="s">
        <v>63</v>
      </c>
    </row>
    <row r="476">
      <c r="A476" s="12" t="s">
        <v>117</v>
      </c>
      <c r="B476" s="5" t="s">
        <v>61</v>
      </c>
      <c r="C476" s="8"/>
      <c r="D476" s="8"/>
      <c r="E476" s="8"/>
      <c r="F476" s="8"/>
      <c r="G476" s="11">
        <v>0.046</v>
      </c>
      <c r="H476" s="11">
        <v>0.159</v>
      </c>
      <c r="I476" s="9" t="s">
        <v>63</v>
      </c>
    </row>
    <row r="477">
      <c r="A477" s="12" t="s">
        <v>147</v>
      </c>
      <c r="B477" s="5" t="s">
        <v>61</v>
      </c>
      <c r="C477" s="8"/>
      <c r="D477" s="8"/>
      <c r="E477" s="8"/>
      <c r="F477" s="8"/>
      <c r="G477" s="11">
        <v>0.016</v>
      </c>
      <c r="H477" s="11">
        <v>0.109</v>
      </c>
      <c r="I477" s="9" t="s">
        <v>63</v>
      </c>
    </row>
    <row r="478">
      <c r="A478" s="12" t="s">
        <v>160</v>
      </c>
      <c r="B478" s="5" t="s">
        <v>61</v>
      </c>
      <c r="C478" s="8"/>
      <c r="D478" s="8"/>
      <c r="E478" s="8"/>
      <c r="F478" s="8"/>
      <c r="G478" s="11">
        <v>0.431</v>
      </c>
      <c r="H478" s="11">
        <v>0.925</v>
      </c>
      <c r="I478" s="9" t="s">
        <v>63</v>
      </c>
    </row>
    <row r="479">
      <c r="A479" s="12" t="s">
        <v>163</v>
      </c>
      <c r="B479" s="5" t="s">
        <v>61</v>
      </c>
      <c r="C479" s="8"/>
      <c r="D479" s="8"/>
      <c r="E479" s="8"/>
      <c r="F479" s="8"/>
      <c r="G479" s="11">
        <v>0.015</v>
      </c>
      <c r="H479" s="11">
        <v>0.012</v>
      </c>
      <c r="I479" s="9" t="s">
        <v>63</v>
      </c>
    </row>
    <row r="480">
      <c r="A480" s="12" t="s">
        <v>164</v>
      </c>
      <c r="B480" s="5" t="s">
        <v>61</v>
      </c>
      <c r="C480" s="8"/>
      <c r="D480" s="8"/>
      <c r="E480" s="8"/>
      <c r="F480" s="8"/>
      <c r="G480" s="11">
        <v>0.021</v>
      </c>
      <c r="H480" s="11">
        <v>0.054</v>
      </c>
      <c r="I480" s="9" t="s">
        <v>63</v>
      </c>
    </row>
    <row r="481">
      <c r="A481" s="12" t="s">
        <v>172</v>
      </c>
      <c r="B481" s="5" t="s">
        <v>61</v>
      </c>
      <c r="C481" s="8"/>
      <c r="D481" s="8"/>
      <c r="E481" s="8"/>
      <c r="F481" s="8"/>
      <c r="G481" s="11">
        <v>0.466</v>
      </c>
      <c r="H481" s="11">
        <v>0.643</v>
      </c>
      <c r="I481" s="9" t="s">
        <v>63</v>
      </c>
    </row>
    <row r="482">
      <c r="A482" s="12" t="s">
        <v>174</v>
      </c>
      <c r="B482" s="5" t="s">
        <v>61</v>
      </c>
      <c r="C482" s="8"/>
      <c r="D482" s="8"/>
      <c r="E482" s="8"/>
      <c r="F482" s="8"/>
      <c r="G482" s="11">
        <v>0.017</v>
      </c>
      <c r="H482" s="11">
        <v>0.07</v>
      </c>
      <c r="I482" s="9" t="s">
        <v>63</v>
      </c>
    </row>
    <row r="483">
      <c r="A483" s="12" t="s">
        <v>216</v>
      </c>
      <c r="B483" s="5" t="s">
        <v>61</v>
      </c>
      <c r="C483" s="8"/>
      <c r="D483" s="8"/>
      <c r="E483" s="8"/>
      <c r="F483" s="8"/>
      <c r="G483" s="8"/>
      <c r="H483" s="8"/>
      <c r="I483" s="9" t="s">
        <v>63</v>
      </c>
    </row>
    <row r="484">
      <c r="A484" s="12" t="s">
        <v>248</v>
      </c>
      <c r="B484" s="5" t="s">
        <v>61</v>
      </c>
      <c r="C484" s="8"/>
      <c r="D484" s="8"/>
      <c r="E484" s="8"/>
      <c r="F484" s="8"/>
      <c r="G484" s="11">
        <v>0.594</v>
      </c>
      <c r="H484" s="11">
        <v>0.697</v>
      </c>
      <c r="I484" s="9" t="s">
        <v>63</v>
      </c>
    </row>
    <row r="485">
      <c r="A485" s="12" t="s">
        <v>179</v>
      </c>
      <c r="B485" s="5" t="s">
        <v>61</v>
      </c>
      <c r="C485" s="8"/>
      <c r="D485" s="8"/>
      <c r="E485" s="8"/>
      <c r="F485" s="8"/>
      <c r="G485" s="11">
        <v>0.03</v>
      </c>
      <c r="H485" s="11">
        <v>0.011</v>
      </c>
      <c r="I485" s="9" t="s">
        <v>63</v>
      </c>
    </row>
    <row r="486">
      <c r="A486" s="12" t="s">
        <v>180</v>
      </c>
      <c r="B486" s="5" t="s">
        <v>61</v>
      </c>
      <c r="C486" s="8"/>
      <c r="D486" s="8"/>
      <c r="E486" s="8"/>
      <c r="F486" s="8"/>
      <c r="G486" s="11">
        <v>0.003</v>
      </c>
      <c r="H486" s="11">
        <v>0.01</v>
      </c>
      <c r="I486" s="9" t="s">
        <v>63</v>
      </c>
    </row>
    <row r="487">
      <c r="A487" s="12" t="s">
        <v>189</v>
      </c>
      <c r="B487" s="5" t="s">
        <v>61</v>
      </c>
      <c r="C487" s="8"/>
      <c r="D487" s="8"/>
      <c r="E487" s="8"/>
      <c r="F487" s="8"/>
      <c r="G487" s="11">
        <v>0.252</v>
      </c>
      <c r="H487" s="11">
        <v>0.622</v>
      </c>
      <c r="I487" s="9" t="s">
        <v>63</v>
      </c>
    </row>
    <row r="488">
      <c r="A488" s="12" t="s">
        <v>192</v>
      </c>
      <c r="B488" s="5" t="s">
        <v>61</v>
      </c>
      <c r="C488" s="8"/>
      <c r="D488" s="8"/>
      <c r="E488" s="8"/>
      <c r="F488" s="8"/>
      <c r="G488" s="11">
        <v>0.323</v>
      </c>
      <c r="H488" s="11">
        <v>0.371</v>
      </c>
      <c r="I488" s="9" t="s">
        <v>63</v>
      </c>
    </row>
    <row r="489">
      <c r="A489" s="12" t="s">
        <v>193</v>
      </c>
      <c r="B489" s="5" t="s">
        <v>61</v>
      </c>
      <c r="C489" s="8"/>
      <c r="D489" s="8"/>
      <c r="E489" s="8"/>
      <c r="F489" s="8"/>
      <c r="G489" s="11">
        <v>0.053</v>
      </c>
      <c r="H489" s="11">
        <v>0.148</v>
      </c>
      <c r="I489" s="9" t="s">
        <v>63</v>
      </c>
    </row>
    <row r="490">
      <c r="A490" s="12" t="s">
        <v>203</v>
      </c>
      <c r="B490" s="5" t="s">
        <v>61</v>
      </c>
      <c r="C490" s="8"/>
      <c r="D490" s="8"/>
      <c r="E490" s="8"/>
      <c r="F490" s="8"/>
      <c r="G490" s="11">
        <v>0.02</v>
      </c>
      <c r="H490" s="11">
        <v>0.088</v>
      </c>
      <c r="I490" s="9" t="s">
        <v>63</v>
      </c>
    </row>
    <row r="491">
      <c r="A491" s="12" t="s">
        <v>207</v>
      </c>
      <c r="B491" s="5" t="s">
        <v>61</v>
      </c>
      <c r="C491" s="8"/>
      <c r="D491" s="8"/>
      <c r="E491" s="8"/>
      <c r="F491" s="8"/>
      <c r="G491" s="11">
        <v>0.0</v>
      </c>
      <c r="H491" s="11">
        <v>0.001</v>
      </c>
      <c r="I491" s="9" t="s">
        <v>63</v>
      </c>
    </row>
    <row r="492">
      <c r="A492" s="12" t="s">
        <v>209</v>
      </c>
      <c r="B492" s="5" t="s">
        <v>61</v>
      </c>
      <c r="C492" s="8"/>
      <c r="D492" s="8"/>
      <c r="E492" s="8"/>
      <c r="F492" s="8"/>
      <c r="G492" s="11">
        <v>0.003</v>
      </c>
      <c r="H492" s="11">
        <v>0.001</v>
      </c>
      <c r="I492" s="9" t="s">
        <v>63</v>
      </c>
    </row>
    <row r="493">
      <c r="A493" s="12" t="s">
        <v>220</v>
      </c>
      <c r="B493" s="5" t="s">
        <v>61</v>
      </c>
      <c r="C493" s="8"/>
      <c r="D493" s="8"/>
      <c r="E493" s="8"/>
      <c r="F493" s="8"/>
      <c r="G493" s="11">
        <v>0.026</v>
      </c>
      <c r="H493" s="11">
        <v>0.011</v>
      </c>
      <c r="I493" s="9" t="s">
        <v>63</v>
      </c>
    </row>
    <row r="494">
      <c r="A494" s="12" t="s">
        <v>225</v>
      </c>
      <c r="B494" s="5" t="s">
        <v>61</v>
      </c>
      <c r="C494" s="8"/>
      <c r="D494" s="8"/>
      <c r="E494" s="8"/>
      <c r="F494" s="8"/>
      <c r="G494" s="11">
        <v>0.043</v>
      </c>
      <c r="H494" s="11">
        <v>0.19</v>
      </c>
      <c r="I494" s="9" t="s">
        <v>63</v>
      </c>
    </row>
    <row r="495">
      <c r="A495" s="12" t="s">
        <v>241</v>
      </c>
      <c r="B495" s="5" t="s">
        <v>61</v>
      </c>
      <c r="C495" s="8"/>
      <c r="D495" s="8"/>
      <c r="E495" s="8"/>
      <c r="F495" s="8"/>
      <c r="G495" s="11">
        <v>0.47</v>
      </c>
      <c r="H495" s="11">
        <v>0.801</v>
      </c>
      <c r="I495" s="9" t="s">
        <v>63</v>
      </c>
    </row>
    <row r="496">
      <c r="A496" s="12" t="s">
        <v>251</v>
      </c>
      <c r="B496" s="5" t="s">
        <v>61</v>
      </c>
      <c r="C496" s="8"/>
      <c r="D496" s="8"/>
      <c r="E496" s="8"/>
      <c r="F496" s="8"/>
      <c r="G496" s="11">
        <v>0.011</v>
      </c>
      <c r="H496" s="11">
        <v>0.048</v>
      </c>
      <c r="I496" s="9" t="s">
        <v>63</v>
      </c>
    </row>
    <row r="497">
      <c r="A497" s="12" t="s">
        <v>262</v>
      </c>
      <c r="B497" s="5" t="s">
        <v>61</v>
      </c>
      <c r="C497" s="8"/>
      <c r="D497" s="8"/>
      <c r="E497" s="8"/>
      <c r="F497" s="8"/>
      <c r="G497" s="11">
        <v>0.001</v>
      </c>
      <c r="H497" s="11">
        <v>0.002</v>
      </c>
      <c r="I497" s="9" t="s">
        <v>63</v>
      </c>
    </row>
    <row r="498">
      <c r="A498" s="12" t="s">
        <v>264</v>
      </c>
      <c r="B498" s="5" t="s">
        <v>61</v>
      </c>
      <c r="C498" s="8"/>
      <c r="D498" s="8"/>
      <c r="E498" s="8"/>
      <c r="F498" s="8"/>
      <c r="G498" s="11">
        <v>0.075</v>
      </c>
      <c r="H498" s="11">
        <v>0.274</v>
      </c>
      <c r="I498" s="9" t="s">
        <v>63</v>
      </c>
    </row>
    <row r="499">
      <c r="A499" s="12" t="s">
        <v>265</v>
      </c>
      <c r="B499" s="5" t="s">
        <v>61</v>
      </c>
      <c r="C499" s="8"/>
      <c r="D499" s="8"/>
      <c r="E499" s="8"/>
      <c r="F499" s="8"/>
      <c r="G499" s="8"/>
      <c r="H499" s="8"/>
      <c r="I499" s="9" t="s">
        <v>63</v>
      </c>
    </row>
    <row r="500">
      <c r="A500" s="12" t="s">
        <v>271</v>
      </c>
      <c r="B500" s="5" t="s">
        <v>61</v>
      </c>
      <c r="C500" s="8"/>
      <c r="D500" s="8"/>
      <c r="E500" s="8"/>
      <c r="F500" s="8"/>
      <c r="G500" s="11">
        <v>0.003</v>
      </c>
      <c r="H500" s="11">
        <v>0.002</v>
      </c>
      <c r="I500" s="9" t="s">
        <v>63</v>
      </c>
    </row>
    <row r="501">
      <c r="A501" s="12" t="s">
        <v>279</v>
      </c>
      <c r="B501" s="5" t="s">
        <v>61</v>
      </c>
      <c r="C501" s="8"/>
      <c r="D501" s="8"/>
      <c r="E501" s="8"/>
      <c r="F501" s="8"/>
      <c r="G501" s="11">
        <v>0.011</v>
      </c>
      <c r="H501" s="11">
        <v>0.007</v>
      </c>
      <c r="I501" s="9" t="s">
        <v>63</v>
      </c>
    </row>
    <row r="502">
      <c r="A502" s="12" t="s">
        <v>282</v>
      </c>
      <c r="B502" s="5" t="s">
        <v>61</v>
      </c>
      <c r="C502" s="8"/>
      <c r="D502" s="8"/>
      <c r="E502" s="8"/>
      <c r="F502" s="8"/>
      <c r="G502" s="11">
        <v>0.019</v>
      </c>
      <c r="H502" s="11">
        <v>0.023</v>
      </c>
      <c r="I502" s="9" t="s">
        <v>63</v>
      </c>
    </row>
    <row r="503">
      <c r="A503" s="12" t="s">
        <v>74</v>
      </c>
      <c r="B503" s="5" t="s">
        <v>75</v>
      </c>
      <c r="C503" s="8"/>
      <c r="D503" s="8"/>
      <c r="E503" s="8"/>
      <c r="F503" s="8"/>
      <c r="G503" s="11">
        <v>0.004</v>
      </c>
      <c r="H503" s="11">
        <v>0.261</v>
      </c>
      <c r="I503" s="9" t="s">
        <v>63</v>
      </c>
    </row>
    <row r="504">
      <c r="A504" s="12" t="s">
        <v>81</v>
      </c>
      <c r="B504" s="5" t="s">
        <v>75</v>
      </c>
      <c r="C504" s="8"/>
      <c r="D504" s="8"/>
      <c r="E504" s="8"/>
      <c r="F504" s="8"/>
      <c r="G504" s="11">
        <v>0.113</v>
      </c>
      <c r="H504" s="11">
        <v>0.458</v>
      </c>
      <c r="I504" s="9" t="s">
        <v>63</v>
      </c>
    </row>
    <row r="505">
      <c r="A505" s="12" t="s">
        <v>89</v>
      </c>
      <c r="B505" s="5" t="s">
        <v>75</v>
      </c>
      <c r="C505" s="8"/>
      <c r="D505" s="8"/>
      <c r="E505" s="8"/>
      <c r="F505" s="8"/>
      <c r="G505" s="11">
        <v>0.366</v>
      </c>
      <c r="H505" s="11">
        <v>0.832</v>
      </c>
      <c r="I505" s="9" t="s">
        <v>63</v>
      </c>
    </row>
    <row r="506">
      <c r="A506" s="12" t="s">
        <v>96</v>
      </c>
      <c r="B506" s="5" t="s">
        <v>75</v>
      </c>
      <c r="C506" s="8"/>
      <c r="D506" s="8"/>
      <c r="E506" s="8"/>
      <c r="F506" s="8"/>
      <c r="G506" s="11">
        <v>0.09</v>
      </c>
      <c r="H506" s="11">
        <v>0.047</v>
      </c>
      <c r="I506" s="9" t="s">
        <v>63</v>
      </c>
    </row>
    <row r="507">
      <c r="A507" s="12" t="s">
        <v>97</v>
      </c>
      <c r="B507" s="5" t="s">
        <v>75</v>
      </c>
      <c r="C507" s="8"/>
      <c r="D507" s="8"/>
      <c r="E507" s="8"/>
      <c r="F507" s="8"/>
      <c r="G507" s="11">
        <v>0.463</v>
      </c>
      <c r="H507" s="11">
        <v>0.784</v>
      </c>
      <c r="I507" s="9" t="s">
        <v>63</v>
      </c>
    </row>
    <row r="508">
      <c r="A508" s="12" t="s">
        <v>103</v>
      </c>
      <c r="B508" s="5" t="s">
        <v>75</v>
      </c>
      <c r="C508" s="8"/>
      <c r="D508" s="8"/>
      <c r="E508" s="8"/>
      <c r="F508" s="8"/>
      <c r="G508" s="11">
        <v>0.026</v>
      </c>
      <c r="H508" s="11">
        <v>0.192</v>
      </c>
      <c r="I508" s="9" t="s">
        <v>63</v>
      </c>
    </row>
    <row r="509">
      <c r="A509" s="12" t="s">
        <v>107</v>
      </c>
      <c r="B509" s="5" t="s">
        <v>75</v>
      </c>
      <c r="C509" s="8"/>
      <c r="D509" s="8"/>
      <c r="E509" s="8"/>
      <c r="F509" s="8"/>
      <c r="G509" s="11">
        <v>0.091</v>
      </c>
      <c r="H509" s="11">
        <v>0.33</v>
      </c>
      <c r="I509" s="9" t="s">
        <v>63</v>
      </c>
    </row>
    <row r="510">
      <c r="A510" s="12" t="s">
        <v>124</v>
      </c>
      <c r="B510" s="5" t="s">
        <v>75</v>
      </c>
      <c r="C510" s="8"/>
      <c r="D510" s="8"/>
      <c r="E510" s="8"/>
      <c r="F510" s="8"/>
      <c r="G510" s="11">
        <v>0.178</v>
      </c>
      <c r="H510" s="11">
        <v>0.522</v>
      </c>
      <c r="I510" s="9" t="s">
        <v>63</v>
      </c>
    </row>
    <row r="511">
      <c r="A511" s="12" t="s">
        <v>127</v>
      </c>
      <c r="B511" s="5" t="s">
        <v>75</v>
      </c>
      <c r="C511" s="8"/>
      <c r="D511" s="8"/>
      <c r="E511" s="8"/>
      <c r="F511" s="8"/>
      <c r="G511" s="11">
        <v>0.283</v>
      </c>
      <c r="H511" s="11">
        <v>0.427</v>
      </c>
      <c r="I511" s="9" t="s">
        <v>63</v>
      </c>
    </row>
    <row r="512">
      <c r="A512" s="12" t="s">
        <v>128</v>
      </c>
      <c r="B512" s="5" t="s">
        <v>75</v>
      </c>
      <c r="C512" s="8"/>
      <c r="D512" s="8"/>
      <c r="E512" s="8"/>
      <c r="F512" s="8"/>
      <c r="G512" s="11">
        <v>0.239</v>
      </c>
      <c r="H512" s="11">
        <v>0.843</v>
      </c>
      <c r="I512" s="9" t="s">
        <v>63</v>
      </c>
    </row>
    <row r="513">
      <c r="A513" s="12" t="s">
        <v>129</v>
      </c>
      <c r="B513" s="5" t="s">
        <v>75</v>
      </c>
      <c r="C513" s="8"/>
      <c r="D513" s="8"/>
      <c r="E513" s="8"/>
      <c r="F513" s="8"/>
      <c r="G513" s="11">
        <v>0.643</v>
      </c>
      <c r="H513" s="11">
        <v>0.834</v>
      </c>
      <c r="I513" s="9" t="s">
        <v>63</v>
      </c>
    </row>
    <row r="514">
      <c r="A514" s="12" t="s">
        <v>138</v>
      </c>
      <c r="B514" s="5" t="s">
        <v>75</v>
      </c>
      <c r="C514" s="8"/>
      <c r="D514" s="8"/>
      <c r="E514" s="8"/>
      <c r="F514" s="8"/>
      <c r="G514" s="11">
        <v>0.415</v>
      </c>
      <c r="H514" s="11">
        <v>0.654</v>
      </c>
      <c r="I514" s="9" t="s">
        <v>63</v>
      </c>
    </row>
    <row r="515">
      <c r="A515" s="12" t="s">
        <v>140</v>
      </c>
      <c r="B515" s="5" t="s">
        <v>75</v>
      </c>
      <c r="C515" s="8"/>
      <c r="D515" s="8"/>
      <c r="E515" s="8"/>
      <c r="F515" s="8"/>
      <c r="G515" s="11">
        <v>0.533</v>
      </c>
      <c r="H515" s="11">
        <v>0.727</v>
      </c>
      <c r="I515" s="9" t="s">
        <v>63</v>
      </c>
    </row>
    <row r="516">
      <c r="A516" s="12" t="s">
        <v>142</v>
      </c>
      <c r="B516" s="5" t="s">
        <v>75</v>
      </c>
      <c r="C516" s="8"/>
      <c r="D516" s="8"/>
      <c r="E516" s="8"/>
      <c r="F516" s="8"/>
      <c r="G516" s="11">
        <v>0.624</v>
      </c>
      <c r="H516" s="11">
        <v>0.869</v>
      </c>
      <c r="I516" s="9" t="s">
        <v>63</v>
      </c>
    </row>
    <row r="517">
      <c r="A517" s="12" t="s">
        <v>143</v>
      </c>
      <c r="B517" s="5" t="s">
        <v>75</v>
      </c>
      <c r="C517" s="8"/>
      <c r="D517" s="8"/>
      <c r="E517" s="8"/>
      <c r="F517" s="8"/>
      <c r="G517" s="11">
        <v>0.302</v>
      </c>
      <c r="H517" s="11">
        <v>0.643</v>
      </c>
      <c r="I517" s="9" t="s">
        <v>63</v>
      </c>
    </row>
    <row r="518">
      <c r="A518" s="12" t="s">
        <v>148</v>
      </c>
      <c r="B518" s="5" t="s">
        <v>75</v>
      </c>
      <c r="C518" s="8"/>
      <c r="D518" s="8"/>
      <c r="E518" s="8"/>
      <c r="F518" s="8"/>
      <c r="G518" s="11">
        <v>0.488</v>
      </c>
      <c r="H518" s="11">
        <v>0.707</v>
      </c>
      <c r="I518" s="9" t="s">
        <v>63</v>
      </c>
    </row>
    <row r="519">
      <c r="A519" s="12" t="s">
        <v>150</v>
      </c>
      <c r="B519" s="5" t="s">
        <v>75</v>
      </c>
      <c r="C519" s="8"/>
      <c r="D519" s="8"/>
      <c r="E519" s="8"/>
      <c r="F519" s="8"/>
      <c r="G519" s="11">
        <v>0.147</v>
      </c>
      <c r="H519" s="11">
        <v>0.845</v>
      </c>
      <c r="I519" s="9" t="s">
        <v>63</v>
      </c>
    </row>
    <row r="520">
      <c r="A520" s="12" t="s">
        <v>161</v>
      </c>
      <c r="B520" s="5" t="s">
        <v>75</v>
      </c>
      <c r="C520" s="8"/>
      <c r="D520" s="8"/>
      <c r="E520" s="8"/>
      <c r="F520" s="8"/>
      <c r="G520" s="11">
        <v>0.167</v>
      </c>
      <c r="H520" s="11">
        <v>0.677</v>
      </c>
      <c r="I520" s="9" t="s">
        <v>63</v>
      </c>
    </row>
    <row r="521">
      <c r="A521" s="12" t="s">
        <v>162</v>
      </c>
      <c r="B521" s="5" t="s">
        <v>75</v>
      </c>
      <c r="C521" s="8"/>
      <c r="D521" s="8"/>
      <c r="E521" s="8"/>
      <c r="F521" s="8"/>
      <c r="G521" s="11">
        <v>0.791</v>
      </c>
      <c r="H521" s="11">
        <v>0.908</v>
      </c>
      <c r="I521" s="9" t="s">
        <v>63</v>
      </c>
    </row>
    <row r="522">
      <c r="A522" s="12" t="s">
        <v>167</v>
      </c>
      <c r="B522" s="5" t="s">
        <v>75</v>
      </c>
      <c r="C522" s="8"/>
      <c r="D522" s="8"/>
      <c r="E522" s="8"/>
      <c r="F522" s="8"/>
      <c r="G522" s="11">
        <v>0.259</v>
      </c>
      <c r="H522" s="11">
        <v>0.762</v>
      </c>
      <c r="I522" s="9" t="s">
        <v>63</v>
      </c>
    </row>
    <row r="523">
      <c r="A523" s="12" t="s">
        <v>168</v>
      </c>
      <c r="B523" s="5" t="s">
        <v>75</v>
      </c>
      <c r="C523" s="8"/>
      <c r="D523" s="8"/>
      <c r="E523" s="8"/>
      <c r="F523" s="8"/>
      <c r="G523" s="8"/>
      <c r="H523" s="8"/>
      <c r="I523" s="9" t="s">
        <v>63</v>
      </c>
    </row>
    <row r="524">
      <c r="A524" s="12" t="s">
        <v>170</v>
      </c>
      <c r="B524" s="5" t="s">
        <v>75</v>
      </c>
      <c r="C524" s="8"/>
      <c r="D524" s="8"/>
      <c r="E524" s="8"/>
      <c r="F524" s="8"/>
      <c r="G524" s="11">
        <v>0.28</v>
      </c>
      <c r="H524" s="11">
        <v>0.943</v>
      </c>
      <c r="I524" s="9" t="s">
        <v>63</v>
      </c>
    </row>
    <row r="525">
      <c r="A525" s="12" t="s">
        <v>177</v>
      </c>
      <c r="B525" s="5" t="s">
        <v>75</v>
      </c>
      <c r="C525" s="8"/>
      <c r="D525" s="8"/>
      <c r="E525" s="8"/>
      <c r="F525" s="8"/>
      <c r="G525" s="8"/>
      <c r="H525" s="8"/>
      <c r="I525" s="9" t="s">
        <v>63</v>
      </c>
    </row>
    <row r="526">
      <c r="A526" s="12" t="s">
        <v>181</v>
      </c>
      <c r="B526" s="5" t="s">
        <v>75</v>
      </c>
      <c r="C526" s="8"/>
      <c r="D526" s="8"/>
      <c r="E526" s="8"/>
      <c r="F526" s="8"/>
      <c r="G526" s="11">
        <v>0.219</v>
      </c>
      <c r="H526" s="11">
        <v>0.396</v>
      </c>
      <c r="I526" s="9" t="s">
        <v>63</v>
      </c>
    </row>
    <row r="527">
      <c r="A527" s="12" t="s">
        <v>186</v>
      </c>
      <c r="B527" s="5" t="s">
        <v>75</v>
      </c>
      <c r="C527" s="8"/>
      <c r="D527" s="8"/>
      <c r="E527" s="8"/>
      <c r="F527" s="8"/>
      <c r="G527" s="11">
        <v>0.595</v>
      </c>
      <c r="H527" s="11">
        <v>0.337</v>
      </c>
      <c r="I527" s="9" t="s">
        <v>63</v>
      </c>
    </row>
    <row r="528">
      <c r="A528" s="12" t="s">
        <v>187</v>
      </c>
      <c r="B528" s="5" t="s">
        <v>75</v>
      </c>
      <c r="C528" s="8"/>
      <c r="D528" s="8"/>
      <c r="E528" s="8"/>
      <c r="F528" s="8"/>
      <c r="G528" s="11">
        <v>0.177</v>
      </c>
      <c r="H528" s="11">
        <v>0.481</v>
      </c>
      <c r="I528" s="9" t="s">
        <v>63</v>
      </c>
    </row>
    <row r="529">
      <c r="A529" s="12" t="s">
        <v>188</v>
      </c>
      <c r="B529" s="5" t="s">
        <v>75</v>
      </c>
      <c r="C529" s="8"/>
      <c r="D529" s="8"/>
      <c r="E529" s="8"/>
      <c r="F529" s="8"/>
      <c r="G529" s="11">
        <v>0.398</v>
      </c>
      <c r="H529" s="11">
        <v>1.066</v>
      </c>
      <c r="I529" s="9" t="s">
        <v>63</v>
      </c>
    </row>
    <row r="530">
      <c r="A530" s="12" t="s">
        <v>217</v>
      </c>
      <c r="B530" s="5" t="s">
        <v>75</v>
      </c>
      <c r="C530" s="8"/>
      <c r="D530" s="8"/>
      <c r="E530" s="8"/>
      <c r="F530" s="8"/>
      <c r="G530" s="11">
        <v>0.173</v>
      </c>
      <c r="H530" s="11">
        <v>0.176</v>
      </c>
      <c r="I530" s="9" t="s">
        <v>63</v>
      </c>
    </row>
    <row r="531">
      <c r="A531" s="12" t="s">
        <v>195</v>
      </c>
      <c r="B531" s="5" t="s">
        <v>75</v>
      </c>
      <c r="C531" s="8"/>
      <c r="D531" s="8"/>
      <c r="E531" s="8"/>
      <c r="F531" s="8"/>
      <c r="G531" s="11">
        <v>0.289</v>
      </c>
      <c r="H531" s="11">
        <v>0.674</v>
      </c>
      <c r="I531" s="9" t="s">
        <v>63</v>
      </c>
    </row>
    <row r="532">
      <c r="A532" s="12" t="s">
        <v>201</v>
      </c>
      <c r="B532" s="5" t="s">
        <v>75</v>
      </c>
      <c r="C532" s="8"/>
      <c r="D532" s="8"/>
      <c r="E532" s="8"/>
      <c r="F532" s="8"/>
      <c r="G532" s="11">
        <v>0.038</v>
      </c>
      <c r="H532" s="11">
        <v>0.085</v>
      </c>
      <c r="I532" s="9" t="s">
        <v>63</v>
      </c>
    </row>
    <row r="533">
      <c r="A533" s="12" t="s">
        <v>202</v>
      </c>
      <c r="B533" s="5" t="s">
        <v>75</v>
      </c>
      <c r="C533" s="8"/>
      <c r="D533" s="8"/>
      <c r="E533" s="8"/>
      <c r="F533" s="8"/>
      <c r="G533" s="11">
        <v>0.48</v>
      </c>
      <c r="H533" s="11">
        <v>0.456</v>
      </c>
      <c r="I533" s="9" t="s">
        <v>63</v>
      </c>
    </row>
    <row r="534">
      <c r="A534" s="12" t="s">
        <v>204</v>
      </c>
      <c r="B534" s="5" t="s">
        <v>75</v>
      </c>
      <c r="C534" s="8"/>
      <c r="D534" s="8"/>
      <c r="E534" s="8"/>
      <c r="F534" s="8"/>
      <c r="G534" s="8"/>
      <c r="H534" s="8"/>
      <c r="I534" s="9" t="s">
        <v>63</v>
      </c>
    </row>
    <row r="535">
      <c r="A535" s="12" t="s">
        <v>210</v>
      </c>
      <c r="B535" s="5" t="s">
        <v>75</v>
      </c>
      <c r="C535" s="8"/>
      <c r="D535" s="8"/>
      <c r="E535" s="8"/>
      <c r="F535" s="8"/>
      <c r="G535" s="11">
        <v>0.613</v>
      </c>
      <c r="H535" s="11">
        <v>0.754</v>
      </c>
      <c r="I535" s="9" t="s">
        <v>63</v>
      </c>
    </row>
    <row r="536">
      <c r="A536" s="12" t="s">
        <v>218</v>
      </c>
      <c r="B536" s="5" t="s">
        <v>75</v>
      </c>
      <c r="C536" s="8"/>
      <c r="D536" s="8"/>
      <c r="E536" s="8"/>
      <c r="F536" s="8"/>
      <c r="G536" s="11">
        <v>0.728</v>
      </c>
      <c r="H536" s="11">
        <v>0.835</v>
      </c>
      <c r="I536" s="9" t="s">
        <v>63</v>
      </c>
    </row>
    <row r="537">
      <c r="A537" s="12" t="s">
        <v>226</v>
      </c>
      <c r="B537" s="5" t="s">
        <v>75</v>
      </c>
      <c r="C537" s="8"/>
      <c r="D537" s="8"/>
      <c r="E537" s="8"/>
      <c r="F537" s="8"/>
      <c r="G537" s="11">
        <v>0.212</v>
      </c>
      <c r="H537" s="11">
        <v>0.363</v>
      </c>
      <c r="I537" s="9" t="s">
        <v>63</v>
      </c>
    </row>
    <row r="538">
      <c r="A538" s="12" t="s">
        <v>227</v>
      </c>
      <c r="B538" s="5" t="s">
        <v>75</v>
      </c>
      <c r="C538" s="8"/>
      <c r="D538" s="8"/>
      <c r="E538" s="8"/>
      <c r="F538" s="8"/>
      <c r="G538" s="11">
        <v>0.194</v>
      </c>
      <c r="H538" s="11">
        <v>0.834</v>
      </c>
      <c r="I538" s="9" t="s">
        <v>63</v>
      </c>
    </row>
    <row r="539">
      <c r="A539" s="12" t="s">
        <v>230</v>
      </c>
      <c r="B539" s="5" t="s">
        <v>75</v>
      </c>
      <c r="C539" s="8"/>
      <c r="D539" s="8"/>
      <c r="E539" s="8"/>
      <c r="F539" s="8"/>
      <c r="G539" s="11">
        <v>0.066</v>
      </c>
      <c r="H539" s="11">
        <v>0.23</v>
      </c>
      <c r="I539" s="9" t="s">
        <v>63</v>
      </c>
    </row>
    <row r="540">
      <c r="A540" s="12" t="s">
        <v>231</v>
      </c>
      <c r="B540" s="5" t="s">
        <v>75</v>
      </c>
      <c r="C540" s="8"/>
      <c r="D540" s="8"/>
      <c r="E540" s="8"/>
      <c r="F540" s="8"/>
      <c r="G540" s="11">
        <v>0.041</v>
      </c>
      <c r="H540" s="11">
        <v>0.121</v>
      </c>
      <c r="I540" s="9" t="s">
        <v>63</v>
      </c>
    </row>
    <row r="541">
      <c r="A541" s="12" t="s">
        <v>234</v>
      </c>
      <c r="B541" s="5" t="s">
        <v>75</v>
      </c>
      <c r="C541" s="8"/>
      <c r="D541" s="8"/>
      <c r="E541" s="8"/>
      <c r="F541" s="8"/>
      <c r="G541" s="11">
        <v>0.508</v>
      </c>
      <c r="H541" s="11">
        <v>0.597</v>
      </c>
      <c r="I541" s="9" t="s">
        <v>63</v>
      </c>
    </row>
    <row r="542">
      <c r="A542" s="12" t="s">
        <v>238</v>
      </c>
      <c r="B542" s="5" t="s">
        <v>75</v>
      </c>
      <c r="C542" s="8"/>
      <c r="D542" s="8"/>
      <c r="E542" s="8"/>
      <c r="F542" s="8"/>
      <c r="G542" s="8"/>
      <c r="H542" s="8"/>
      <c r="I542" s="9" t="s">
        <v>63</v>
      </c>
    </row>
    <row r="543">
      <c r="A543" s="12" t="s">
        <v>243</v>
      </c>
      <c r="B543" s="5" t="s">
        <v>75</v>
      </c>
      <c r="C543" s="8"/>
      <c r="D543" s="8"/>
      <c r="E543" s="8"/>
      <c r="F543" s="8"/>
      <c r="G543" s="11">
        <v>0.401</v>
      </c>
      <c r="H543" s="11">
        <v>0.543</v>
      </c>
      <c r="I543" s="9" t="s">
        <v>63</v>
      </c>
    </row>
    <row r="544">
      <c r="A544" s="12" t="s">
        <v>244</v>
      </c>
      <c r="B544" s="5" t="s">
        <v>75</v>
      </c>
      <c r="C544" s="8"/>
      <c r="D544" s="8"/>
      <c r="E544" s="8"/>
      <c r="F544" s="8"/>
      <c r="G544" s="11">
        <v>0.278</v>
      </c>
      <c r="H544" s="11">
        <v>0.838</v>
      </c>
      <c r="I544" s="9" t="s">
        <v>63</v>
      </c>
    </row>
    <row r="545">
      <c r="A545" s="12" t="s">
        <v>250</v>
      </c>
      <c r="B545" s="5" t="s">
        <v>75</v>
      </c>
      <c r="C545" s="8"/>
      <c r="D545" s="8"/>
      <c r="E545" s="8"/>
      <c r="F545" s="8"/>
      <c r="G545" s="11">
        <v>0.204</v>
      </c>
      <c r="H545" s="11">
        <v>0.811</v>
      </c>
      <c r="I545" s="9" t="s">
        <v>63</v>
      </c>
    </row>
    <row r="546">
      <c r="A546" s="12" t="s">
        <v>259</v>
      </c>
      <c r="B546" s="5" t="s">
        <v>75</v>
      </c>
      <c r="C546" s="8"/>
      <c r="D546" s="8"/>
      <c r="E546" s="8"/>
      <c r="F546" s="8"/>
      <c r="G546" s="11">
        <v>0.706</v>
      </c>
      <c r="H546" s="11">
        <v>0.892</v>
      </c>
      <c r="I546" s="9" t="s">
        <v>63</v>
      </c>
    </row>
    <row r="547">
      <c r="A547" s="12" t="s">
        <v>260</v>
      </c>
      <c r="B547" s="5" t="s">
        <v>75</v>
      </c>
      <c r="C547" s="8"/>
      <c r="D547" s="8"/>
      <c r="E547" s="8"/>
      <c r="F547" s="8"/>
      <c r="G547" s="11">
        <v>0.614</v>
      </c>
      <c r="H547" s="11">
        <v>0.792</v>
      </c>
      <c r="I547" s="9" t="s">
        <v>63</v>
      </c>
    </row>
    <row r="548">
      <c r="A548" s="12" t="s">
        <v>270</v>
      </c>
      <c r="B548" s="5" t="s">
        <v>75</v>
      </c>
      <c r="C548" s="8"/>
      <c r="D548" s="8"/>
      <c r="E548" s="8"/>
      <c r="F548" s="8"/>
      <c r="G548" s="11">
        <v>0.114</v>
      </c>
      <c r="H548" s="11">
        <v>0.359</v>
      </c>
      <c r="I548" s="9" t="s">
        <v>63</v>
      </c>
    </row>
    <row r="549">
      <c r="A549" s="12" t="s">
        <v>274</v>
      </c>
      <c r="B549" s="5" t="s">
        <v>75</v>
      </c>
      <c r="C549" s="8"/>
      <c r="D549" s="8"/>
      <c r="E549" s="8"/>
      <c r="F549" s="8"/>
      <c r="G549" s="11">
        <v>0.019</v>
      </c>
      <c r="H549" s="11">
        <v>0.077</v>
      </c>
      <c r="I549" s="9" t="s">
        <v>63</v>
      </c>
    </row>
    <row r="550">
      <c r="A550" s="12" t="s">
        <v>276</v>
      </c>
      <c r="B550" s="5" t="s">
        <v>75</v>
      </c>
      <c r="C550" s="8"/>
      <c r="D550" s="8"/>
      <c r="E550" s="8"/>
      <c r="F550" s="8"/>
      <c r="G550" s="11">
        <v>0.565</v>
      </c>
      <c r="H550" s="11">
        <v>0.828</v>
      </c>
      <c r="I550" s="9" t="s">
        <v>63</v>
      </c>
    </row>
    <row r="551">
      <c r="A551" s="12" t="s">
        <v>92</v>
      </c>
      <c r="B551" s="5" t="s">
        <v>93</v>
      </c>
      <c r="C551" s="8"/>
      <c r="D551" s="8"/>
      <c r="E551" s="8"/>
      <c r="F551" s="8"/>
      <c r="G551" s="11">
        <v>0.181</v>
      </c>
      <c r="H551" s="11">
        <v>0.531</v>
      </c>
      <c r="I551" s="9" t="s">
        <v>63</v>
      </c>
    </row>
    <row r="552">
      <c r="A552" s="12" t="s">
        <v>165</v>
      </c>
      <c r="B552" s="5" t="s">
        <v>93</v>
      </c>
      <c r="C552" s="8"/>
      <c r="D552" s="8"/>
      <c r="E552" s="8"/>
      <c r="F552" s="8"/>
      <c r="G552" s="11">
        <v>0.046</v>
      </c>
      <c r="H552" s="11">
        <v>0.034</v>
      </c>
      <c r="I552" s="9" t="s">
        <v>63</v>
      </c>
    </row>
    <row r="553">
      <c r="A553" s="12" t="s">
        <v>166</v>
      </c>
      <c r="B553" s="5" t="s">
        <v>93</v>
      </c>
      <c r="C553" s="8"/>
      <c r="D553" s="8"/>
      <c r="E553" s="8"/>
      <c r="F553" s="8"/>
      <c r="G553" s="11">
        <v>0.005</v>
      </c>
      <c r="H553" s="11">
        <v>0.001</v>
      </c>
      <c r="I553" s="9" t="s">
        <v>63</v>
      </c>
    </row>
    <row r="554">
      <c r="A554" s="12" t="s">
        <v>169</v>
      </c>
      <c r="B554" s="5" t="s">
        <v>93</v>
      </c>
      <c r="C554" s="8"/>
      <c r="D554" s="8"/>
      <c r="E554" s="8"/>
      <c r="F554" s="8"/>
      <c r="G554" s="11">
        <v>0.178</v>
      </c>
      <c r="H554" s="11">
        <v>1.01</v>
      </c>
      <c r="I554" s="9" t="s">
        <v>63</v>
      </c>
    </row>
    <row r="555">
      <c r="A555" s="12" t="s">
        <v>173</v>
      </c>
      <c r="B555" s="5" t="s">
        <v>93</v>
      </c>
      <c r="C555" s="8"/>
      <c r="D555" s="8"/>
      <c r="E555" s="8"/>
      <c r="F555" s="8"/>
      <c r="G555" s="11">
        <v>0.06</v>
      </c>
      <c r="H555" s="11">
        <v>0.249</v>
      </c>
      <c r="I555" s="9" t="s">
        <v>63</v>
      </c>
    </row>
    <row r="556">
      <c r="A556" s="12" t="s">
        <v>178</v>
      </c>
      <c r="B556" s="5" t="s">
        <v>93</v>
      </c>
      <c r="C556" s="8"/>
      <c r="D556" s="8"/>
      <c r="E556" s="8"/>
      <c r="F556" s="8"/>
      <c r="G556" s="11">
        <v>0.102</v>
      </c>
      <c r="H556" s="11">
        <v>0.599</v>
      </c>
      <c r="I556" s="9" t="s">
        <v>63</v>
      </c>
    </row>
    <row r="557">
      <c r="A557" s="12" t="s">
        <v>182</v>
      </c>
      <c r="B557" s="5" t="s">
        <v>93</v>
      </c>
      <c r="C557" s="8"/>
      <c r="D557" s="8"/>
      <c r="E557" s="8"/>
      <c r="F557" s="8"/>
      <c r="G557" s="11">
        <v>0.07</v>
      </c>
      <c r="H557" s="11">
        <v>0.22</v>
      </c>
      <c r="I557" s="9" t="s">
        <v>63</v>
      </c>
    </row>
    <row r="558">
      <c r="A558" s="12" t="s">
        <v>219</v>
      </c>
      <c r="B558" s="5" t="s">
        <v>93</v>
      </c>
      <c r="C558" s="8"/>
      <c r="D558" s="8"/>
      <c r="E558" s="8"/>
      <c r="F558" s="8"/>
      <c r="G558" s="11">
        <v>0.069</v>
      </c>
      <c r="H558" s="11">
        <v>0.201</v>
      </c>
      <c r="I558" s="9" t="s">
        <v>63</v>
      </c>
    </row>
    <row r="559">
      <c r="A559" s="12" t="s">
        <v>229</v>
      </c>
      <c r="B559" s="5" t="s">
        <v>93</v>
      </c>
      <c r="C559" s="8"/>
      <c r="D559" s="8"/>
      <c r="E559" s="8"/>
      <c r="F559" s="8"/>
      <c r="G559" s="11">
        <v>0.102</v>
      </c>
      <c r="H559" s="11">
        <v>0.424</v>
      </c>
      <c r="I559" s="9" t="s">
        <v>63</v>
      </c>
    </row>
    <row r="560">
      <c r="A560" s="12" t="s">
        <v>236</v>
      </c>
      <c r="B560" s="5" t="s">
        <v>93</v>
      </c>
      <c r="C560" s="8"/>
      <c r="D560" s="8"/>
      <c r="E560" s="8"/>
      <c r="F560" s="8"/>
      <c r="G560" s="11">
        <v>0.064</v>
      </c>
      <c r="H560" s="11">
        <v>0.229</v>
      </c>
      <c r="I560" s="9" t="s">
        <v>63</v>
      </c>
    </row>
    <row r="561">
      <c r="A561" s="12" t="s">
        <v>261</v>
      </c>
      <c r="B561" s="5" t="s">
        <v>93</v>
      </c>
      <c r="C561" s="8"/>
      <c r="D561" s="8"/>
      <c r="E561" s="8"/>
      <c r="F561" s="8"/>
      <c r="G561" s="11">
        <v>0.021</v>
      </c>
      <c r="H561" s="11">
        <v>0.024</v>
      </c>
      <c r="I561" s="9" t="s">
        <v>63</v>
      </c>
    </row>
    <row r="562">
      <c r="A562" s="12" t="s">
        <v>275</v>
      </c>
      <c r="B562" s="5" t="s">
        <v>93</v>
      </c>
      <c r="C562" s="8"/>
      <c r="D562" s="8"/>
      <c r="E562" s="8"/>
      <c r="F562" s="8"/>
      <c r="G562" s="11">
        <v>0.283</v>
      </c>
      <c r="H562" s="11">
        <v>0.753</v>
      </c>
      <c r="I562" s="9" t="s">
        <v>63</v>
      </c>
    </row>
    <row r="563">
      <c r="A563" s="12" t="s">
        <v>283</v>
      </c>
      <c r="B563" s="5" t="s">
        <v>93</v>
      </c>
      <c r="C563" s="8"/>
      <c r="D563" s="8"/>
      <c r="E563" s="8"/>
      <c r="F563" s="8"/>
      <c r="G563" s="11">
        <v>0.005</v>
      </c>
      <c r="H563" s="11">
        <v>0.026</v>
      </c>
      <c r="I563" s="9" t="s">
        <v>63</v>
      </c>
    </row>
    <row r="564">
      <c r="A564" s="12" t="s">
        <v>79</v>
      </c>
      <c r="B564" s="5" t="s">
        <v>80</v>
      </c>
      <c r="C564" s="8"/>
      <c r="D564" s="8"/>
      <c r="E564" s="8"/>
      <c r="F564" s="8"/>
      <c r="G564" s="8"/>
      <c r="H564" s="11">
        <v>0.035</v>
      </c>
      <c r="I564" s="9" t="s">
        <v>63</v>
      </c>
    </row>
    <row r="565">
      <c r="A565" s="12" t="s">
        <v>88</v>
      </c>
      <c r="B565" s="5" t="s">
        <v>80</v>
      </c>
      <c r="C565" s="8"/>
      <c r="D565" s="8"/>
      <c r="E565" s="8"/>
      <c r="F565" s="8"/>
      <c r="G565" s="8"/>
      <c r="H565" s="11">
        <v>0.643</v>
      </c>
      <c r="I565" s="9" t="s">
        <v>63</v>
      </c>
    </row>
    <row r="566">
      <c r="A566" s="12" t="s">
        <v>141</v>
      </c>
      <c r="B566" s="5" t="s">
        <v>80</v>
      </c>
      <c r="C566" s="8"/>
      <c r="D566" s="8"/>
      <c r="E566" s="8"/>
      <c r="F566" s="8"/>
      <c r="G566" s="11">
        <v>0.062</v>
      </c>
      <c r="H566" s="11">
        <v>0.11</v>
      </c>
      <c r="I566" s="9" t="s">
        <v>63</v>
      </c>
    </row>
    <row r="567">
      <c r="A567" s="12" t="s">
        <v>144</v>
      </c>
      <c r="B567" s="5" t="s">
        <v>80</v>
      </c>
      <c r="C567" s="8"/>
      <c r="D567" s="8"/>
      <c r="E567" s="8"/>
      <c r="F567" s="8"/>
      <c r="G567" s="11">
        <v>0.082</v>
      </c>
      <c r="H567" s="11">
        <v>0.213</v>
      </c>
      <c r="I567" s="9" t="s">
        <v>63</v>
      </c>
    </row>
    <row r="568">
      <c r="A568" s="12" t="s">
        <v>153</v>
      </c>
      <c r="B568" s="5" t="s">
        <v>80</v>
      </c>
      <c r="C568" s="8"/>
      <c r="D568" s="8"/>
      <c r="E568" s="8"/>
      <c r="F568" s="8"/>
      <c r="G568" s="11">
        <v>0.312</v>
      </c>
      <c r="H568" s="11">
        <v>0.448</v>
      </c>
      <c r="I568" s="9" t="s">
        <v>63</v>
      </c>
    </row>
    <row r="569">
      <c r="A569" s="12" t="s">
        <v>176</v>
      </c>
      <c r="B569" s="5" t="s">
        <v>80</v>
      </c>
      <c r="C569" s="8"/>
      <c r="D569" s="8"/>
      <c r="E569" s="8"/>
      <c r="F569" s="8"/>
      <c r="G569" s="11">
        <v>0.025</v>
      </c>
      <c r="H569" s="11">
        <v>0.006</v>
      </c>
      <c r="I569" s="9" t="s">
        <v>63</v>
      </c>
    </row>
    <row r="570">
      <c r="A570" s="12" t="s">
        <v>196</v>
      </c>
      <c r="B570" s="5" t="s">
        <v>80</v>
      </c>
      <c r="C570" s="8"/>
      <c r="D570" s="8"/>
      <c r="E570" s="8"/>
      <c r="F570" s="8"/>
      <c r="G570" s="11">
        <v>0.023</v>
      </c>
      <c r="H570" s="11">
        <v>0.011</v>
      </c>
      <c r="I570" s="9" t="s">
        <v>63</v>
      </c>
    </row>
    <row r="571">
      <c r="A571" s="12" t="s">
        <v>200</v>
      </c>
      <c r="B571" s="5" t="s">
        <v>80</v>
      </c>
      <c r="C571" s="8"/>
      <c r="D571" s="8"/>
      <c r="E571" s="8"/>
      <c r="F571" s="8"/>
      <c r="G571" s="11">
        <v>0.056</v>
      </c>
      <c r="H571" s="11">
        <v>0.001</v>
      </c>
      <c r="I571" s="9" t="s">
        <v>63</v>
      </c>
    </row>
    <row r="572">
      <c r="A572" s="12" t="s">
        <v>211</v>
      </c>
      <c r="B572" s="5" t="s">
        <v>80</v>
      </c>
      <c r="C572" s="8"/>
      <c r="D572" s="8"/>
      <c r="E572" s="8"/>
      <c r="F572" s="8"/>
      <c r="G572" s="11">
        <v>0.224</v>
      </c>
      <c r="H572" s="11">
        <v>0.367</v>
      </c>
      <c r="I572" s="9" t="s">
        <v>63</v>
      </c>
    </row>
    <row r="573">
      <c r="A573" s="12" t="s">
        <v>212</v>
      </c>
      <c r="B573" s="5" t="s">
        <v>80</v>
      </c>
      <c r="C573" s="8"/>
      <c r="D573" s="8"/>
      <c r="E573" s="8"/>
      <c r="F573" s="8"/>
      <c r="G573" s="11">
        <v>0.591</v>
      </c>
      <c r="H573" s="11">
        <v>0.618</v>
      </c>
      <c r="I573" s="9" t="s">
        <v>63</v>
      </c>
    </row>
    <row r="574">
      <c r="A574" s="12" t="s">
        <v>222</v>
      </c>
      <c r="B574" s="5" t="s">
        <v>80</v>
      </c>
      <c r="C574" s="8"/>
      <c r="D574" s="8"/>
      <c r="E574" s="8"/>
      <c r="F574" s="8"/>
      <c r="G574" s="11">
        <v>0.013</v>
      </c>
      <c r="H574" s="11">
        <v>0.003</v>
      </c>
      <c r="I574" s="9" t="s">
        <v>63</v>
      </c>
    </row>
    <row r="575">
      <c r="A575" s="12" t="s">
        <v>233</v>
      </c>
      <c r="B575" s="5" t="s">
        <v>80</v>
      </c>
      <c r="C575" s="8"/>
      <c r="D575" s="8"/>
      <c r="E575" s="8"/>
      <c r="F575" s="8"/>
      <c r="G575" s="11">
        <v>0.022</v>
      </c>
      <c r="H575" s="11">
        <v>0.015</v>
      </c>
      <c r="I575" s="9" t="s">
        <v>63</v>
      </c>
    </row>
    <row r="576">
      <c r="A576" s="12" t="s">
        <v>245</v>
      </c>
      <c r="B576" s="5" t="s">
        <v>80</v>
      </c>
      <c r="C576" s="8"/>
      <c r="D576" s="8"/>
      <c r="E576" s="8"/>
      <c r="F576" s="8"/>
      <c r="G576" s="11">
        <v>0.005</v>
      </c>
      <c r="H576" s="11">
        <v>0.002</v>
      </c>
      <c r="I576" s="9" t="s">
        <v>63</v>
      </c>
    </row>
    <row r="577">
      <c r="A577" s="12" t="s">
        <v>267</v>
      </c>
      <c r="B577" s="5" t="s">
        <v>80</v>
      </c>
      <c r="C577" s="8"/>
      <c r="D577" s="8"/>
      <c r="E577" s="8"/>
      <c r="F577" s="8"/>
      <c r="G577" s="11">
        <v>0.029</v>
      </c>
      <c r="H577" s="11">
        <v>0.034</v>
      </c>
      <c r="I577" s="9" t="s">
        <v>63</v>
      </c>
    </row>
    <row r="578">
      <c r="A578" s="12" t="s">
        <v>280</v>
      </c>
      <c r="B578" s="5" t="s">
        <v>80</v>
      </c>
      <c r="C578" s="8"/>
      <c r="D578" s="8"/>
      <c r="E578" s="8"/>
      <c r="F578" s="8"/>
      <c r="G578" s="11">
        <v>0.035</v>
      </c>
      <c r="H578" s="11">
        <v>0.025</v>
      </c>
      <c r="I578" s="9" t="s">
        <v>63</v>
      </c>
    </row>
    <row r="579">
      <c r="A579" s="12" t="s">
        <v>83</v>
      </c>
      <c r="B579" s="5" t="s">
        <v>84</v>
      </c>
      <c r="C579" s="8"/>
      <c r="D579" s="8"/>
      <c r="E579" s="8"/>
      <c r="F579" s="8"/>
      <c r="G579" s="11">
        <v>0.125</v>
      </c>
      <c r="H579" s="11">
        <v>0.477</v>
      </c>
      <c r="I579" s="9" t="s">
        <v>63</v>
      </c>
    </row>
    <row r="580">
      <c r="A580" s="12" t="s">
        <v>85</v>
      </c>
      <c r="B580" s="5" t="s">
        <v>84</v>
      </c>
      <c r="C580" s="8"/>
      <c r="D580" s="8"/>
      <c r="E580" s="8"/>
      <c r="F580" s="8"/>
      <c r="G580" s="11">
        <v>0.109</v>
      </c>
      <c r="H580" s="11">
        <v>0.175</v>
      </c>
      <c r="I580" s="9" t="s">
        <v>63</v>
      </c>
    </row>
    <row r="581">
      <c r="A581" s="12" t="s">
        <v>87</v>
      </c>
      <c r="B581" s="5" t="s">
        <v>84</v>
      </c>
      <c r="C581" s="8"/>
      <c r="D581" s="8"/>
      <c r="E581" s="8"/>
      <c r="F581" s="8"/>
      <c r="G581" s="11">
        <v>0.188</v>
      </c>
      <c r="H581" s="11">
        <v>0.651</v>
      </c>
      <c r="I581" s="9" t="s">
        <v>63</v>
      </c>
    </row>
    <row r="582">
      <c r="A582" s="12" t="s">
        <v>91</v>
      </c>
      <c r="B582" s="5" t="s">
        <v>84</v>
      </c>
      <c r="C582" s="8"/>
      <c r="D582" s="8"/>
      <c r="E582" s="8"/>
      <c r="F582" s="8"/>
      <c r="G582" s="11">
        <v>0.18</v>
      </c>
      <c r="H582" s="11">
        <v>0.394</v>
      </c>
      <c r="I582" s="9" t="s">
        <v>63</v>
      </c>
    </row>
    <row r="583">
      <c r="A583" s="12" t="s">
        <v>95</v>
      </c>
      <c r="B583" s="5" t="s">
        <v>84</v>
      </c>
      <c r="C583" s="8"/>
      <c r="D583" s="8"/>
      <c r="E583" s="8"/>
      <c r="F583" s="8"/>
      <c r="G583" s="11">
        <v>0.278</v>
      </c>
      <c r="H583" s="11">
        <v>0.361</v>
      </c>
      <c r="I583" s="9" t="s">
        <v>63</v>
      </c>
    </row>
    <row r="584">
      <c r="A584" s="12" t="s">
        <v>98</v>
      </c>
      <c r="B584" s="5" t="s">
        <v>84</v>
      </c>
      <c r="C584" s="8"/>
      <c r="D584" s="8"/>
      <c r="E584" s="8"/>
      <c r="F584" s="8"/>
      <c r="G584" s="11">
        <v>0.057</v>
      </c>
      <c r="H584" s="11">
        <v>0.205</v>
      </c>
      <c r="I584" s="9" t="s">
        <v>63</v>
      </c>
    </row>
    <row r="585">
      <c r="A585" s="12" t="s">
        <v>100</v>
      </c>
      <c r="B585" s="5" t="s">
        <v>84</v>
      </c>
      <c r="C585" s="8"/>
      <c r="D585" s="8"/>
      <c r="E585" s="8"/>
      <c r="F585" s="8"/>
      <c r="G585" s="11">
        <v>0.52</v>
      </c>
      <c r="H585" s="11">
        <v>0.473</v>
      </c>
      <c r="I585" s="9" t="s">
        <v>63</v>
      </c>
    </row>
    <row r="586">
      <c r="A586" s="12" t="s">
        <v>102</v>
      </c>
      <c r="B586" s="5" t="s">
        <v>84</v>
      </c>
      <c r="C586" s="8"/>
      <c r="D586" s="8"/>
      <c r="E586" s="8"/>
      <c r="F586" s="8"/>
      <c r="G586" s="11">
        <v>0.031</v>
      </c>
      <c r="H586" s="11">
        <v>0.116</v>
      </c>
      <c r="I586" s="9" t="s">
        <v>63</v>
      </c>
    </row>
    <row r="587">
      <c r="A587" s="12" t="s">
        <v>105</v>
      </c>
      <c r="B587" s="5" t="s">
        <v>84</v>
      </c>
      <c r="C587" s="8"/>
      <c r="D587" s="8"/>
      <c r="E587" s="8"/>
      <c r="F587" s="8"/>
      <c r="G587" s="11">
        <v>0.091</v>
      </c>
      <c r="H587" s="11">
        <v>0.194</v>
      </c>
      <c r="I587" s="9" t="s">
        <v>63</v>
      </c>
    </row>
    <row r="588">
      <c r="A588" s="12" t="s">
        <v>112</v>
      </c>
      <c r="B588" s="5" t="s">
        <v>84</v>
      </c>
      <c r="C588" s="8"/>
      <c r="D588" s="8"/>
      <c r="E588" s="8"/>
      <c r="F588" s="8"/>
      <c r="G588" s="11">
        <v>0.616</v>
      </c>
      <c r="H588" s="11">
        <v>0.379</v>
      </c>
      <c r="I588" s="9" t="s">
        <v>63</v>
      </c>
    </row>
    <row r="589">
      <c r="A589" s="12" t="s">
        <v>113</v>
      </c>
      <c r="B589" s="5" t="s">
        <v>84</v>
      </c>
      <c r="C589" s="8"/>
      <c r="D589" s="8"/>
      <c r="E589" s="8"/>
      <c r="F589" s="8"/>
      <c r="G589" s="8"/>
      <c r="H589" s="11">
        <v>0.425</v>
      </c>
      <c r="I589" s="9" t="s">
        <v>63</v>
      </c>
    </row>
    <row r="590">
      <c r="A590" s="12" t="s">
        <v>116</v>
      </c>
      <c r="B590" s="5" t="s">
        <v>84</v>
      </c>
      <c r="C590" s="8"/>
      <c r="D590" s="8"/>
      <c r="E590" s="8"/>
      <c r="F590" s="8"/>
      <c r="G590" s="11">
        <v>0.221</v>
      </c>
      <c r="H590" s="11">
        <v>0.395</v>
      </c>
      <c r="I590" s="9" t="s">
        <v>63</v>
      </c>
    </row>
    <row r="591">
      <c r="A591" s="12" t="s">
        <v>118</v>
      </c>
      <c r="B591" s="5" t="s">
        <v>84</v>
      </c>
      <c r="C591" s="8"/>
      <c r="D591" s="8"/>
      <c r="E591" s="8"/>
      <c r="F591" s="8"/>
      <c r="G591" s="11">
        <v>0.046</v>
      </c>
      <c r="H591" s="11">
        <v>0.112</v>
      </c>
      <c r="I591" s="9" t="s">
        <v>63</v>
      </c>
    </row>
    <row r="592">
      <c r="A592" s="12" t="s">
        <v>122</v>
      </c>
      <c r="B592" s="5" t="s">
        <v>84</v>
      </c>
      <c r="C592" s="8"/>
      <c r="D592" s="8"/>
      <c r="E592" s="8"/>
      <c r="F592" s="8"/>
      <c r="G592" s="11">
        <v>0.199</v>
      </c>
      <c r="H592" s="11">
        <v>0.123</v>
      </c>
      <c r="I592" s="9" t="s">
        <v>63</v>
      </c>
    </row>
    <row r="593">
      <c r="A593" s="12" t="s">
        <v>125</v>
      </c>
      <c r="B593" s="5" t="s">
        <v>84</v>
      </c>
      <c r="C593" s="8"/>
      <c r="D593" s="8"/>
      <c r="E593" s="8"/>
      <c r="F593" s="8"/>
      <c r="G593" s="11">
        <v>0.038</v>
      </c>
      <c r="H593" s="11">
        <v>0.002</v>
      </c>
      <c r="I593" s="9" t="s">
        <v>63</v>
      </c>
    </row>
    <row r="594">
      <c r="A594" s="12" t="s">
        <v>126</v>
      </c>
      <c r="B594" s="5" t="s">
        <v>84</v>
      </c>
      <c r="C594" s="8"/>
      <c r="D594" s="8"/>
      <c r="E594" s="8"/>
      <c r="F594" s="8"/>
      <c r="G594" s="8"/>
      <c r="H594" s="8"/>
      <c r="I594" s="9" t="s">
        <v>63</v>
      </c>
    </row>
    <row r="595">
      <c r="A595" s="12" t="s">
        <v>131</v>
      </c>
      <c r="B595" s="5" t="s">
        <v>84</v>
      </c>
      <c r="C595" s="8"/>
      <c r="D595" s="8"/>
      <c r="E595" s="8"/>
      <c r="F595" s="8"/>
      <c r="G595" s="11">
        <v>0.184</v>
      </c>
      <c r="H595" s="11">
        <v>0.174</v>
      </c>
      <c r="I595" s="9" t="s">
        <v>63</v>
      </c>
    </row>
    <row r="596">
      <c r="A596" s="12" t="s">
        <v>132</v>
      </c>
      <c r="B596" s="5" t="s">
        <v>84</v>
      </c>
      <c r="C596" s="8"/>
      <c r="D596" s="8"/>
      <c r="E596" s="8"/>
      <c r="F596" s="8"/>
      <c r="G596" s="11">
        <v>0.068</v>
      </c>
      <c r="H596" s="11">
        <v>0.19</v>
      </c>
      <c r="I596" s="9" t="s">
        <v>63</v>
      </c>
    </row>
    <row r="597">
      <c r="A597" s="12" t="s">
        <v>133</v>
      </c>
      <c r="B597" s="5" t="s">
        <v>84</v>
      </c>
      <c r="C597" s="8"/>
      <c r="D597" s="8"/>
      <c r="E597" s="8"/>
      <c r="F597" s="8"/>
      <c r="G597" s="11">
        <v>0.043</v>
      </c>
      <c r="H597" s="11">
        <v>0.12</v>
      </c>
      <c r="I597" s="9" t="s">
        <v>63</v>
      </c>
    </row>
    <row r="598">
      <c r="A598" s="12" t="s">
        <v>135</v>
      </c>
      <c r="B598" s="5" t="s">
        <v>84</v>
      </c>
      <c r="C598" s="8"/>
      <c r="D598" s="8"/>
      <c r="E598" s="8"/>
      <c r="F598" s="8"/>
      <c r="G598" s="11">
        <v>0.019</v>
      </c>
      <c r="H598" s="11">
        <v>0.148</v>
      </c>
      <c r="I598" s="9" t="s">
        <v>63</v>
      </c>
    </row>
    <row r="599">
      <c r="A599" s="12" t="s">
        <v>151</v>
      </c>
      <c r="B599" s="5" t="s">
        <v>84</v>
      </c>
      <c r="C599" s="8"/>
      <c r="D599" s="8"/>
      <c r="E599" s="8"/>
      <c r="F599" s="8"/>
      <c r="G599" s="11">
        <v>0.442</v>
      </c>
      <c r="H599" s="11">
        <v>0.352</v>
      </c>
      <c r="I599" s="9" t="s">
        <v>63</v>
      </c>
    </row>
    <row r="600">
      <c r="A600" s="12" t="s">
        <v>152</v>
      </c>
      <c r="B600" s="5" t="s">
        <v>84</v>
      </c>
      <c r="C600" s="8"/>
      <c r="D600" s="8"/>
      <c r="E600" s="8"/>
      <c r="F600" s="8"/>
      <c r="G600" s="11">
        <v>0.148</v>
      </c>
      <c r="H600" s="11">
        <v>0.074</v>
      </c>
      <c r="I600" s="9" t="s">
        <v>63</v>
      </c>
    </row>
    <row r="601">
      <c r="A601" s="12" t="s">
        <v>154</v>
      </c>
      <c r="B601" s="5" t="s">
        <v>84</v>
      </c>
      <c r="C601" s="8"/>
      <c r="D601" s="8"/>
      <c r="E601" s="8"/>
      <c r="F601" s="8"/>
      <c r="G601" s="11">
        <v>0.034</v>
      </c>
      <c r="H601" s="11">
        <v>0.134</v>
      </c>
      <c r="I601" s="9" t="s">
        <v>63</v>
      </c>
    </row>
    <row r="602">
      <c r="A602" s="12" t="s">
        <v>157</v>
      </c>
      <c r="B602" s="5" t="s">
        <v>84</v>
      </c>
      <c r="C602" s="8"/>
      <c r="D602" s="8"/>
      <c r="E602" s="8"/>
      <c r="F602" s="8"/>
      <c r="G602" s="8"/>
      <c r="H602" s="11">
        <v>0.106</v>
      </c>
      <c r="I602" s="9" t="s">
        <v>63</v>
      </c>
    </row>
    <row r="603">
      <c r="A603" s="12" t="s">
        <v>158</v>
      </c>
      <c r="B603" s="5" t="s">
        <v>84</v>
      </c>
      <c r="C603" s="8"/>
      <c r="D603" s="8"/>
      <c r="E603" s="8"/>
      <c r="F603" s="8"/>
      <c r="G603" s="11">
        <v>0.009</v>
      </c>
      <c r="H603" s="11">
        <v>0.016</v>
      </c>
      <c r="I603" s="9" t="s">
        <v>63</v>
      </c>
    </row>
    <row r="604">
      <c r="A604" s="12" t="s">
        <v>159</v>
      </c>
      <c r="B604" s="5" t="s">
        <v>84</v>
      </c>
      <c r="C604" s="8"/>
      <c r="D604" s="8"/>
      <c r="E604" s="8"/>
      <c r="F604" s="8"/>
      <c r="G604" s="11">
        <v>0.026</v>
      </c>
      <c r="H604" s="11">
        <v>0.05</v>
      </c>
      <c r="I604" s="9" t="s">
        <v>63</v>
      </c>
    </row>
    <row r="605">
      <c r="A605" s="12" t="s">
        <v>171</v>
      </c>
      <c r="B605" s="5" t="s">
        <v>84</v>
      </c>
      <c r="C605" s="8"/>
      <c r="D605" s="8"/>
      <c r="E605" s="8"/>
      <c r="F605" s="8"/>
      <c r="G605" s="11">
        <v>0.061</v>
      </c>
      <c r="H605" s="11">
        <v>0.474</v>
      </c>
      <c r="I605" s="9" t="s">
        <v>63</v>
      </c>
    </row>
    <row r="606">
      <c r="A606" s="12" t="s">
        <v>199</v>
      </c>
      <c r="B606" s="5" t="s">
        <v>84</v>
      </c>
      <c r="C606" s="8"/>
      <c r="D606" s="8"/>
      <c r="E606" s="8"/>
      <c r="F606" s="8"/>
      <c r="G606" s="11">
        <v>0.119</v>
      </c>
      <c r="H606" s="11">
        <v>0.243</v>
      </c>
      <c r="I606" s="9" t="s">
        <v>63</v>
      </c>
    </row>
    <row r="607">
      <c r="A607" s="12" t="s">
        <v>213</v>
      </c>
      <c r="B607" s="5" t="s">
        <v>84</v>
      </c>
      <c r="C607" s="8"/>
      <c r="D607" s="8"/>
      <c r="E607" s="8"/>
      <c r="F607" s="8"/>
      <c r="G607" s="11">
        <v>0.017</v>
      </c>
      <c r="H607" s="11">
        <v>0.045</v>
      </c>
      <c r="I607" s="9" t="s">
        <v>63</v>
      </c>
    </row>
    <row r="608">
      <c r="A608" s="12" t="s">
        <v>221</v>
      </c>
      <c r="B608" s="5" t="s">
        <v>84</v>
      </c>
      <c r="C608" s="8"/>
      <c r="D608" s="8"/>
      <c r="E608" s="8"/>
      <c r="F608" s="8"/>
      <c r="G608" s="11">
        <v>0.085</v>
      </c>
      <c r="H608" s="11">
        <v>0.165</v>
      </c>
      <c r="I608" s="9" t="s">
        <v>63</v>
      </c>
    </row>
    <row r="609">
      <c r="A609" s="12" t="s">
        <v>223</v>
      </c>
      <c r="B609" s="5" t="s">
        <v>84</v>
      </c>
      <c r="C609" s="8"/>
      <c r="D609" s="8"/>
      <c r="E609" s="8"/>
      <c r="F609" s="8"/>
      <c r="G609" s="11">
        <v>0.018</v>
      </c>
      <c r="H609" s="11">
        <v>0.299</v>
      </c>
      <c r="I609" s="9" t="s">
        <v>63</v>
      </c>
    </row>
    <row r="610">
      <c r="A610" s="12" t="s">
        <v>224</v>
      </c>
      <c r="B610" s="5" t="s">
        <v>84</v>
      </c>
      <c r="C610" s="8"/>
      <c r="D610" s="8"/>
      <c r="E610" s="8"/>
      <c r="F610" s="8"/>
      <c r="G610" s="11">
        <v>0.09</v>
      </c>
      <c r="H610" s="11">
        <v>0.086</v>
      </c>
      <c r="I610" s="9" t="s">
        <v>63</v>
      </c>
    </row>
    <row r="611">
      <c r="A611" s="12" t="s">
        <v>228</v>
      </c>
      <c r="B611" s="5" t="s">
        <v>84</v>
      </c>
      <c r="C611" s="8"/>
      <c r="D611" s="8"/>
      <c r="E611" s="8"/>
      <c r="F611" s="8"/>
      <c r="G611" s="11">
        <v>0.175</v>
      </c>
      <c r="H611" s="11">
        <v>0.434</v>
      </c>
      <c r="I611" s="9" t="s">
        <v>63</v>
      </c>
    </row>
    <row r="612">
      <c r="A612" s="12" t="s">
        <v>242</v>
      </c>
      <c r="B612" s="5" t="s">
        <v>84</v>
      </c>
      <c r="C612" s="8"/>
      <c r="D612" s="8"/>
      <c r="E612" s="8"/>
      <c r="F612" s="8"/>
      <c r="G612" s="8"/>
      <c r="H612" s="8"/>
      <c r="I612" s="9" t="s">
        <v>63</v>
      </c>
    </row>
    <row r="613">
      <c r="A613" s="12" t="s">
        <v>252</v>
      </c>
      <c r="B613" s="5" t="s">
        <v>84</v>
      </c>
      <c r="C613" s="8"/>
      <c r="D613" s="8"/>
      <c r="E613" s="8"/>
      <c r="F613" s="8"/>
      <c r="G613" s="11">
        <v>0.212</v>
      </c>
      <c r="H613" s="11">
        <v>0.107</v>
      </c>
      <c r="I613" s="9" t="s">
        <v>63</v>
      </c>
    </row>
    <row r="614">
      <c r="A614" s="12" t="s">
        <v>253</v>
      </c>
      <c r="B614" s="5" t="s">
        <v>84</v>
      </c>
      <c r="C614" s="8"/>
      <c r="D614" s="8"/>
      <c r="E614" s="8"/>
      <c r="F614" s="8"/>
      <c r="G614" s="11">
        <v>0.146</v>
      </c>
      <c r="H614" s="11">
        <v>0.089</v>
      </c>
      <c r="I614" s="9" t="s">
        <v>63</v>
      </c>
    </row>
    <row r="615">
      <c r="A615" s="12" t="s">
        <v>254</v>
      </c>
      <c r="B615" s="5" t="s">
        <v>84</v>
      </c>
      <c r="C615" s="8"/>
      <c r="D615" s="8"/>
      <c r="E615" s="8"/>
      <c r="F615" s="8"/>
      <c r="G615" s="8"/>
      <c r="H615" s="8"/>
      <c r="I615" s="9" t="s">
        <v>63</v>
      </c>
    </row>
    <row r="616">
      <c r="A616" s="12" t="s">
        <v>255</v>
      </c>
      <c r="B616" s="5" t="s">
        <v>84</v>
      </c>
      <c r="C616" s="8"/>
      <c r="D616" s="8"/>
      <c r="E616" s="8"/>
      <c r="F616" s="8"/>
      <c r="G616" s="11">
        <v>0.055</v>
      </c>
      <c r="H616" s="11">
        <v>0.092</v>
      </c>
      <c r="I616" s="9" t="s">
        <v>63</v>
      </c>
    </row>
    <row r="617">
      <c r="A617" s="12" t="s">
        <v>257</v>
      </c>
      <c r="B617" s="5" t="s">
        <v>84</v>
      </c>
      <c r="C617" s="8"/>
      <c r="D617" s="8"/>
      <c r="E617" s="8"/>
      <c r="F617" s="8"/>
      <c r="G617" s="11">
        <v>0.042</v>
      </c>
      <c r="H617" s="11">
        <v>0.226</v>
      </c>
      <c r="I617" s="9" t="s">
        <v>63</v>
      </c>
    </row>
    <row r="618">
      <c r="A618" s="12" t="s">
        <v>268</v>
      </c>
      <c r="B618" s="5" t="s">
        <v>84</v>
      </c>
      <c r="C618" s="8"/>
      <c r="D618" s="8"/>
      <c r="E618" s="8"/>
      <c r="F618" s="8"/>
      <c r="G618" s="11">
        <v>0.22</v>
      </c>
      <c r="H618" s="11">
        <v>0.206</v>
      </c>
      <c r="I618" s="9" t="s">
        <v>63</v>
      </c>
    </row>
    <row r="619">
      <c r="A619" s="12" t="s">
        <v>272</v>
      </c>
      <c r="B619" s="5" t="s">
        <v>84</v>
      </c>
      <c r="C619" s="8"/>
      <c r="D619" s="8"/>
      <c r="E619" s="8"/>
      <c r="F619" s="8"/>
      <c r="G619" s="8"/>
      <c r="H619" s="8"/>
      <c r="I619" s="9" t="s">
        <v>63</v>
      </c>
    </row>
    <row r="620">
      <c r="A620" s="12" t="s">
        <v>277</v>
      </c>
      <c r="B620" s="5" t="s">
        <v>84</v>
      </c>
      <c r="C620" s="8"/>
      <c r="D620" s="8"/>
      <c r="E620" s="8"/>
      <c r="F620" s="8"/>
      <c r="G620" s="11">
        <v>0.588</v>
      </c>
      <c r="H620" s="11">
        <v>0.489</v>
      </c>
      <c r="I620" s="9" t="s">
        <v>63</v>
      </c>
    </row>
    <row r="621">
      <c r="A621" s="12" t="s">
        <v>278</v>
      </c>
      <c r="B621" s="5" t="s">
        <v>84</v>
      </c>
      <c r="C621" s="8"/>
      <c r="D621" s="8"/>
      <c r="E621" s="8"/>
      <c r="F621" s="8"/>
      <c r="G621" s="11">
        <v>0.114</v>
      </c>
      <c r="H621" s="11">
        <v>0.154</v>
      </c>
      <c r="I621" s="9" t="s">
        <v>63</v>
      </c>
    </row>
    <row r="622">
      <c r="A622" s="12" t="s">
        <v>281</v>
      </c>
      <c r="B622" s="5" t="s">
        <v>84</v>
      </c>
      <c r="C622" s="8"/>
      <c r="D622" s="8"/>
      <c r="E622" s="8"/>
      <c r="F622" s="8"/>
      <c r="G622" s="11">
        <v>0.049</v>
      </c>
      <c r="H622" s="11">
        <v>0.258</v>
      </c>
      <c r="I622" s="9" t="s">
        <v>63</v>
      </c>
    </row>
    <row r="623">
      <c r="A623" s="12" t="s">
        <v>76</v>
      </c>
      <c r="B623" s="5" t="s">
        <v>77</v>
      </c>
      <c r="C623" s="8"/>
      <c r="D623" s="11">
        <v>25.0</v>
      </c>
      <c r="E623" s="8"/>
      <c r="F623" s="8"/>
      <c r="G623" s="11">
        <v>0.022</v>
      </c>
      <c r="H623" s="11">
        <v>0.044</v>
      </c>
      <c r="I623" s="9" t="s">
        <v>64</v>
      </c>
    </row>
    <row r="624">
      <c r="A624" s="12" t="s">
        <v>82</v>
      </c>
      <c r="B624" s="5" t="s">
        <v>77</v>
      </c>
      <c r="C624" s="8"/>
      <c r="D624" s="11">
        <v>119.0</v>
      </c>
      <c r="E624" s="8"/>
      <c r="F624" s="8"/>
      <c r="G624" s="11">
        <v>0.004</v>
      </c>
      <c r="H624" s="11">
        <v>0.023</v>
      </c>
      <c r="I624" s="9" t="s">
        <v>64</v>
      </c>
    </row>
    <row r="625">
      <c r="A625" s="12" t="s">
        <v>99</v>
      </c>
      <c r="B625" s="5" t="s">
        <v>77</v>
      </c>
      <c r="C625" s="8"/>
      <c r="D625" s="11">
        <v>32.0</v>
      </c>
      <c r="E625" s="8"/>
      <c r="F625" s="8"/>
      <c r="G625" s="11">
        <v>0.01</v>
      </c>
      <c r="H625" s="11">
        <v>0.031</v>
      </c>
      <c r="I625" s="9" t="s">
        <v>64</v>
      </c>
    </row>
    <row r="626">
      <c r="A626" s="12" t="s">
        <v>104</v>
      </c>
      <c r="B626" s="5" t="s">
        <v>77</v>
      </c>
      <c r="C626" s="8"/>
      <c r="D626" s="11">
        <v>107.0</v>
      </c>
      <c r="E626" s="8"/>
      <c r="F626" s="8"/>
      <c r="G626" s="11">
        <v>0.033</v>
      </c>
      <c r="H626" s="11">
        <v>0.243</v>
      </c>
      <c r="I626" s="9" t="s">
        <v>64</v>
      </c>
    </row>
    <row r="627">
      <c r="A627" s="12" t="s">
        <v>108</v>
      </c>
      <c r="B627" s="5" t="s">
        <v>77</v>
      </c>
      <c r="C627" s="8"/>
      <c r="D627" s="11">
        <v>40.0</v>
      </c>
      <c r="E627" s="8"/>
      <c r="F627" s="8"/>
      <c r="G627" s="11">
        <v>0.004</v>
      </c>
      <c r="H627" s="11">
        <v>0.019</v>
      </c>
      <c r="I627" s="9" t="s">
        <v>64</v>
      </c>
    </row>
    <row r="628">
      <c r="A628" s="12" t="s">
        <v>109</v>
      </c>
      <c r="B628" s="5" t="s">
        <v>77</v>
      </c>
      <c r="C628" s="8"/>
      <c r="D628" s="11">
        <v>13.0</v>
      </c>
      <c r="E628" s="8"/>
      <c r="F628" s="8"/>
      <c r="G628" s="11">
        <v>0.002</v>
      </c>
      <c r="H628" s="11">
        <v>0.009</v>
      </c>
      <c r="I628" s="9" t="s">
        <v>64</v>
      </c>
    </row>
    <row r="629">
      <c r="A629" s="12" t="s">
        <v>111</v>
      </c>
      <c r="B629" s="5" t="s">
        <v>77</v>
      </c>
      <c r="C629" s="8"/>
      <c r="D629" s="11">
        <v>45.0</v>
      </c>
      <c r="E629" s="8"/>
      <c r="F629" s="8"/>
      <c r="G629" s="11">
        <v>0.006</v>
      </c>
      <c r="H629" s="11">
        <v>0.063</v>
      </c>
      <c r="I629" s="9" t="s">
        <v>64</v>
      </c>
    </row>
    <row r="630">
      <c r="A630" s="12" t="s">
        <v>114</v>
      </c>
      <c r="B630" s="5" t="s">
        <v>77</v>
      </c>
      <c r="C630" s="8"/>
      <c r="D630" s="11">
        <v>22.0</v>
      </c>
      <c r="E630" s="8"/>
      <c r="F630" s="8"/>
      <c r="G630" s="11">
        <v>0.002</v>
      </c>
      <c r="H630" s="11">
        <v>0.01</v>
      </c>
      <c r="I630" s="9" t="s">
        <v>64</v>
      </c>
    </row>
    <row r="631">
      <c r="A631" s="12" t="s">
        <v>115</v>
      </c>
      <c r="B631" s="5" t="s">
        <v>77</v>
      </c>
      <c r="C631" s="8"/>
      <c r="D631" s="11">
        <v>64.0</v>
      </c>
      <c r="E631" s="8"/>
      <c r="F631" s="8"/>
      <c r="G631" s="11">
        <v>0.003</v>
      </c>
      <c r="H631" s="11">
        <v>0.007</v>
      </c>
      <c r="I631" s="9" t="s">
        <v>64</v>
      </c>
    </row>
    <row r="632">
      <c r="A632" s="12" t="s">
        <v>119</v>
      </c>
      <c r="B632" s="5" t="s">
        <v>77</v>
      </c>
      <c r="C632" s="8"/>
      <c r="D632" s="8"/>
      <c r="E632" s="8"/>
      <c r="F632" s="8"/>
      <c r="G632" s="11">
        <v>0.008</v>
      </c>
      <c r="H632" s="11">
        <v>0.004</v>
      </c>
      <c r="I632" s="9" t="s">
        <v>64</v>
      </c>
    </row>
    <row r="633">
      <c r="A633" s="12" t="s">
        <v>121</v>
      </c>
      <c r="B633" s="5" t="s">
        <v>77</v>
      </c>
      <c r="C633" s="8"/>
      <c r="D633" s="11">
        <v>166.0</v>
      </c>
      <c r="E633" s="8"/>
      <c r="F633" s="8"/>
      <c r="G633" s="11">
        <v>0.001</v>
      </c>
      <c r="H633" s="11">
        <v>0.024</v>
      </c>
      <c r="I633" s="9" t="s">
        <v>64</v>
      </c>
    </row>
    <row r="634">
      <c r="A634" s="12" t="s">
        <v>120</v>
      </c>
      <c r="B634" s="5" t="s">
        <v>77</v>
      </c>
      <c r="C634" s="8"/>
      <c r="D634" s="11">
        <v>37.0</v>
      </c>
      <c r="E634" s="8"/>
      <c r="F634" s="8"/>
      <c r="G634" s="11">
        <v>0.005</v>
      </c>
      <c r="H634" s="11">
        <v>0.098</v>
      </c>
      <c r="I634" s="9" t="s">
        <v>64</v>
      </c>
    </row>
    <row r="635">
      <c r="A635" s="12" t="s">
        <v>123</v>
      </c>
      <c r="B635" s="5" t="s">
        <v>77</v>
      </c>
      <c r="C635" s="8"/>
      <c r="D635" s="11">
        <v>62.0</v>
      </c>
      <c r="E635" s="8"/>
      <c r="F635" s="8"/>
      <c r="G635" s="11">
        <v>0.008</v>
      </c>
      <c r="H635" s="11">
        <v>0.076</v>
      </c>
      <c r="I635" s="9" t="s">
        <v>64</v>
      </c>
    </row>
    <row r="636">
      <c r="A636" s="12" t="s">
        <v>130</v>
      </c>
      <c r="B636" s="5" t="s">
        <v>77</v>
      </c>
      <c r="C636" s="8"/>
      <c r="D636" s="8"/>
      <c r="E636" s="8"/>
      <c r="F636" s="8"/>
      <c r="G636" s="11">
        <v>0.006</v>
      </c>
      <c r="H636" s="11">
        <v>0.03</v>
      </c>
      <c r="I636" s="9" t="s">
        <v>64</v>
      </c>
    </row>
    <row r="637">
      <c r="A637" s="12" t="s">
        <v>134</v>
      </c>
      <c r="B637" s="5" t="s">
        <v>77</v>
      </c>
      <c r="C637" s="8"/>
      <c r="D637" s="11">
        <v>37.0</v>
      </c>
      <c r="E637" s="8"/>
      <c r="F637" s="8"/>
      <c r="G637" s="11">
        <v>0.04</v>
      </c>
      <c r="H637" s="11">
        <v>0.083</v>
      </c>
      <c r="I637" s="9" t="s">
        <v>64</v>
      </c>
    </row>
    <row r="638">
      <c r="A638" s="12" t="s">
        <v>136</v>
      </c>
      <c r="B638" s="5" t="s">
        <v>77</v>
      </c>
      <c r="C638" s="8"/>
      <c r="D638" s="8"/>
      <c r="E638" s="8"/>
      <c r="F638" s="8"/>
      <c r="G638" s="11">
        <v>0.005</v>
      </c>
      <c r="H638" s="11">
        <v>0.073</v>
      </c>
      <c r="I638" s="9" t="s">
        <v>64</v>
      </c>
    </row>
    <row r="639">
      <c r="A639" s="12" t="s">
        <v>137</v>
      </c>
      <c r="B639" s="5" t="s">
        <v>77</v>
      </c>
      <c r="C639" s="8"/>
      <c r="D639" s="8"/>
      <c r="E639" s="8"/>
      <c r="F639" s="8"/>
      <c r="G639" s="8"/>
      <c r="H639" s="8"/>
      <c r="I639" s="9" t="s">
        <v>64</v>
      </c>
    </row>
    <row r="640">
      <c r="A640" s="12" t="s">
        <v>139</v>
      </c>
      <c r="B640" s="5" t="s">
        <v>77</v>
      </c>
      <c r="C640" s="8"/>
      <c r="D640" s="11">
        <v>46.0</v>
      </c>
      <c r="E640" s="8"/>
      <c r="F640" s="8"/>
      <c r="G640" s="11">
        <v>0.001</v>
      </c>
      <c r="H640" s="11">
        <v>0.001</v>
      </c>
      <c r="I640" s="9" t="s">
        <v>64</v>
      </c>
    </row>
    <row r="641">
      <c r="A641" s="12" t="s">
        <v>145</v>
      </c>
      <c r="B641" s="5" t="s">
        <v>77</v>
      </c>
      <c r="C641" s="8"/>
      <c r="D641" s="8"/>
      <c r="E641" s="8"/>
      <c r="F641" s="8"/>
      <c r="G641" s="11">
        <v>0.027</v>
      </c>
      <c r="H641" s="11">
        <v>0.228</v>
      </c>
      <c r="I641" s="9" t="s">
        <v>64</v>
      </c>
    </row>
    <row r="642">
      <c r="A642" s="12" t="s">
        <v>146</v>
      </c>
      <c r="B642" s="5" t="s">
        <v>77</v>
      </c>
      <c r="C642" s="8"/>
      <c r="D642" s="8"/>
      <c r="E642" s="8"/>
      <c r="F642" s="8"/>
      <c r="G642" s="11">
        <v>0.024</v>
      </c>
      <c r="H642" s="11">
        <v>0.111</v>
      </c>
      <c r="I642" s="9" t="s">
        <v>64</v>
      </c>
    </row>
    <row r="643">
      <c r="A643" s="12" t="s">
        <v>149</v>
      </c>
      <c r="B643" s="5" t="s">
        <v>77</v>
      </c>
      <c r="C643" s="8"/>
      <c r="D643" s="11">
        <v>22.0</v>
      </c>
      <c r="E643" s="8"/>
      <c r="F643" s="8"/>
      <c r="G643" s="11">
        <v>0.012</v>
      </c>
      <c r="H643" s="11">
        <v>0.039</v>
      </c>
      <c r="I643" s="9" t="s">
        <v>64</v>
      </c>
    </row>
    <row r="644">
      <c r="A644" s="12" t="s">
        <v>155</v>
      </c>
      <c r="B644" s="5" t="s">
        <v>77</v>
      </c>
      <c r="C644" s="8"/>
      <c r="D644" s="11">
        <v>40.0</v>
      </c>
      <c r="E644" s="8"/>
      <c r="F644" s="8"/>
      <c r="G644" s="11">
        <v>0.005</v>
      </c>
      <c r="H644" s="11">
        <v>0.012</v>
      </c>
      <c r="I644" s="9" t="s">
        <v>64</v>
      </c>
    </row>
    <row r="645">
      <c r="A645" s="12" t="s">
        <v>156</v>
      </c>
      <c r="B645" s="5" t="s">
        <v>77</v>
      </c>
      <c r="C645" s="8"/>
      <c r="D645" s="8"/>
      <c r="E645" s="8"/>
      <c r="F645" s="8"/>
      <c r="G645" s="11">
        <v>0.014</v>
      </c>
      <c r="H645" s="11">
        <v>0.001</v>
      </c>
      <c r="I645" s="9" t="s">
        <v>64</v>
      </c>
    </row>
    <row r="646">
      <c r="A646" s="12" t="s">
        <v>175</v>
      </c>
      <c r="B646" s="5" t="s">
        <v>77</v>
      </c>
      <c r="C646" s="8"/>
      <c r="D646" s="11">
        <v>60.0</v>
      </c>
      <c r="E646" s="8"/>
      <c r="F646" s="8"/>
      <c r="G646" s="11">
        <v>0.029</v>
      </c>
      <c r="H646" s="11">
        <v>0.047</v>
      </c>
      <c r="I646" s="9" t="s">
        <v>64</v>
      </c>
    </row>
    <row r="647">
      <c r="A647" s="12" t="s">
        <v>183</v>
      </c>
      <c r="B647" s="5" t="s">
        <v>77</v>
      </c>
      <c r="C647" s="8"/>
      <c r="D647" s="11">
        <v>93.0</v>
      </c>
      <c r="E647" s="8"/>
      <c r="F647" s="8"/>
      <c r="G647" s="11">
        <v>0.015</v>
      </c>
      <c r="H647" s="11">
        <v>0.066</v>
      </c>
      <c r="I647" s="9" t="s">
        <v>64</v>
      </c>
    </row>
    <row r="648">
      <c r="A648" s="12" t="s">
        <v>184</v>
      </c>
      <c r="B648" s="5" t="s">
        <v>77</v>
      </c>
      <c r="C648" s="8"/>
      <c r="D648" s="8"/>
      <c r="E648" s="8"/>
      <c r="F648" s="8"/>
      <c r="G648" s="11">
        <v>0.0</v>
      </c>
      <c r="H648" s="11">
        <v>0.015</v>
      </c>
      <c r="I648" s="9" t="s">
        <v>64</v>
      </c>
    </row>
    <row r="649">
      <c r="A649" s="12" t="s">
        <v>185</v>
      </c>
      <c r="B649" s="5" t="s">
        <v>77</v>
      </c>
      <c r="C649" s="8"/>
      <c r="D649" s="8"/>
      <c r="E649" s="8"/>
      <c r="F649" s="8"/>
      <c r="G649" s="11">
        <v>0.028</v>
      </c>
      <c r="H649" s="11">
        <v>0.023</v>
      </c>
      <c r="I649" s="9" t="s">
        <v>64</v>
      </c>
    </row>
    <row r="650">
      <c r="A650" s="12" t="s">
        <v>190</v>
      </c>
      <c r="B650" s="5" t="s">
        <v>77</v>
      </c>
      <c r="C650" s="8"/>
      <c r="D650" s="11">
        <v>67.0</v>
      </c>
      <c r="E650" s="8"/>
      <c r="F650" s="8"/>
      <c r="G650" s="11">
        <v>0.004</v>
      </c>
      <c r="H650" s="11">
        <v>0.016</v>
      </c>
      <c r="I650" s="9" t="s">
        <v>64</v>
      </c>
    </row>
    <row r="651">
      <c r="A651" s="12" t="s">
        <v>191</v>
      </c>
      <c r="B651" s="5" t="s">
        <v>77</v>
      </c>
      <c r="C651" s="8"/>
      <c r="D651" s="11">
        <v>45.0</v>
      </c>
      <c r="E651" s="8"/>
      <c r="F651" s="8"/>
      <c r="G651" s="11">
        <v>0.003</v>
      </c>
      <c r="H651" s="11">
        <v>0.011</v>
      </c>
      <c r="I651" s="9" t="s">
        <v>64</v>
      </c>
    </row>
    <row r="652">
      <c r="A652" s="12" t="s">
        <v>194</v>
      </c>
      <c r="B652" s="5" t="s">
        <v>77</v>
      </c>
      <c r="C652" s="8"/>
      <c r="D652" s="11">
        <v>41.0</v>
      </c>
      <c r="E652" s="8"/>
      <c r="F652" s="8"/>
      <c r="G652" s="11">
        <v>0.003</v>
      </c>
      <c r="H652" s="11">
        <v>0.022</v>
      </c>
      <c r="I652" s="9" t="s">
        <v>64</v>
      </c>
    </row>
    <row r="653">
      <c r="A653" s="12" t="s">
        <v>197</v>
      </c>
      <c r="B653" s="5" t="s">
        <v>77</v>
      </c>
      <c r="C653" s="8"/>
      <c r="D653" s="11">
        <v>82.0</v>
      </c>
      <c r="E653" s="8"/>
      <c r="F653" s="8"/>
      <c r="G653" s="11">
        <v>0.004</v>
      </c>
      <c r="H653" s="11">
        <v>0.118</v>
      </c>
      <c r="I653" s="9" t="s">
        <v>64</v>
      </c>
    </row>
    <row r="654">
      <c r="A654" s="12" t="s">
        <v>198</v>
      </c>
      <c r="B654" s="5" t="s">
        <v>77</v>
      </c>
      <c r="C654" s="8"/>
      <c r="D654" s="8"/>
      <c r="E654" s="8"/>
      <c r="F654" s="8"/>
      <c r="G654" s="11">
        <v>0.122</v>
      </c>
      <c r="H654" s="11">
        <v>0.384</v>
      </c>
      <c r="I654" s="9" t="s">
        <v>64</v>
      </c>
    </row>
    <row r="655">
      <c r="A655" s="12" t="s">
        <v>205</v>
      </c>
      <c r="B655" s="5" t="s">
        <v>77</v>
      </c>
      <c r="C655" s="8"/>
      <c r="D655" s="11">
        <v>36.0</v>
      </c>
      <c r="E655" s="8"/>
      <c r="F655" s="8"/>
      <c r="G655" s="11">
        <v>0.034</v>
      </c>
      <c r="H655" s="11">
        <v>0.249</v>
      </c>
      <c r="I655" s="9" t="s">
        <v>64</v>
      </c>
    </row>
    <row r="656">
      <c r="A656" s="12" t="s">
        <v>206</v>
      </c>
      <c r="B656" s="5" t="s">
        <v>77</v>
      </c>
      <c r="C656" s="8"/>
      <c r="D656" s="11">
        <v>153.0</v>
      </c>
      <c r="E656" s="8"/>
      <c r="F656" s="8"/>
      <c r="G656" s="11">
        <v>0.004</v>
      </c>
      <c r="H656" s="11">
        <v>0.022</v>
      </c>
      <c r="I656" s="9" t="s">
        <v>64</v>
      </c>
    </row>
    <row r="657">
      <c r="A657" s="12" t="s">
        <v>208</v>
      </c>
      <c r="B657" s="5" t="s">
        <v>77</v>
      </c>
      <c r="C657" s="8"/>
      <c r="D657" s="11">
        <v>85.0</v>
      </c>
      <c r="E657" s="8"/>
      <c r="F657" s="8"/>
      <c r="G657" s="11">
        <v>0.034</v>
      </c>
      <c r="H657" s="11">
        <v>0.113</v>
      </c>
      <c r="I657" s="9" t="s">
        <v>64</v>
      </c>
    </row>
    <row r="658">
      <c r="A658" s="12" t="s">
        <v>214</v>
      </c>
      <c r="B658" s="5" t="s">
        <v>77</v>
      </c>
      <c r="C658" s="8"/>
      <c r="D658" s="11">
        <v>35.0</v>
      </c>
      <c r="E658" s="8"/>
      <c r="F658" s="8"/>
      <c r="G658" s="11">
        <v>0.002</v>
      </c>
      <c r="H658" s="11">
        <v>0.007</v>
      </c>
      <c r="I658" s="9" t="s">
        <v>64</v>
      </c>
    </row>
    <row r="659">
      <c r="A659" s="12" t="s">
        <v>215</v>
      </c>
      <c r="B659" s="5" t="s">
        <v>77</v>
      </c>
      <c r="C659" s="8"/>
      <c r="D659" s="11">
        <v>36.0</v>
      </c>
      <c r="E659" s="8"/>
      <c r="F659" s="8"/>
      <c r="G659" s="11">
        <v>0.006</v>
      </c>
      <c r="H659" s="11">
        <v>0.024</v>
      </c>
      <c r="I659" s="9" t="s">
        <v>64</v>
      </c>
    </row>
    <row r="660">
      <c r="A660" s="12" t="s">
        <v>232</v>
      </c>
      <c r="B660" s="5" t="s">
        <v>77</v>
      </c>
      <c r="C660" s="8"/>
      <c r="D660" s="11">
        <v>18.0</v>
      </c>
      <c r="E660" s="8"/>
      <c r="F660" s="8"/>
      <c r="G660" s="11">
        <v>0.004</v>
      </c>
      <c r="H660" s="11">
        <v>0.014</v>
      </c>
      <c r="I660" s="9" t="s">
        <v>64</v>
      </c>
    </row>
    <row r="661">
      <c r="A661" s="12" t="s">
        <v>235</v>
      </c>
      <c r="B661" s="5" t="s">
        <v>77</v>
      </c>
      <c r="C661" s="8"/>
      <c r="D661" s="8"/>
      <c r="E661" s="8"/>
      <c r="F661" s="8"/>
      <c r="G661" s="11">
        <v>0.102</v>
      </c>
      <c r="H661" s="11">
        <v>0.033</v>
      </c>
      <c r="I661" s="9" t="s">
        <v>64</v>
      </c>
    </row>
    <row r="662">
      <c r="A662" s="12" t="s">
        <v>237</v>
      </c>
      <c r="B662" s="5" t="s">
        <v>77</v>
      </c>
      <c r="C662" s="8"/>
      <c r="D662" s="11">
        <v>59.0</v>
      </c>
      <c r="E662" s="8"/>
      <c r="F662" s="8"/>
      <c r="G662" s="11">
        <v>0.021</v>
      </c>
      <c r="H662" s="11">
        <v>0.073</v>
      </c>
      <c r="I662" s="9" t="s">
        <v>64</v>
      </c>
    </row>
    <row r="663">
      <c r="A663" s="12" t="s">
        <v>239</v>
      </c>
      <c r="B663" s="5" t="s">
        <v>77</v>
      </c>
      <c r="C663" s="8"/>
      <c r="D663" s="8"/>
      <c r="E663" s="8"/>
      <c r="F663" s="8"/>
      <c r="G663" s="11">
        <v>0.146</v>
      </c>
      <c r="H663" s="11">
        <v>0.585</v>
      </c>
      <c r="I663" s="9" t="s">
        <v>64</v>
      </c>
    </row>
    <row r="664">
      <c r="A664" s="12" t="s">
        <v>240</v>
      </c>
      <c r="B664" s="5" t="s">
        <v>77</v>
      </c>
      <c r="C664" s="8"/>
      <c r="D664" s="11">
        <v>26.0</v>
      </c>
      <c r="E664" s="8"/>
      <c r="F664" s="8"/>
      <c r="G664" s="11">
        <v>0.002</v>
      </c>
      <c r="H664" s="11">
        <v>0.024</v>
      </c>
      <c r="I664" s="9" t="s">
        <v>64</v>
      </c>
    </row>
    <row r="665">
      <c r="A665" s="12" t="s">
        <v>246</v>
      </c>
      <c r="B665" s="5" t="s">
        <v>77</v>
      </c>
      <c r="C665" s="8"/>
      <c r="D665" s="8"/>
      <c r="E665" s="8"/>
      <c r="F665" s="8"/>
      <c r="G665" s="11">
        <v>0.004</v>
      </c>
      <c r="H665" s="11">
        <v>0.025</v>
      </c>
      <c r="I665" s="9" t="s">
        <v>64</v>
      </c>
    </row>
    <row r="666">
      <c r="A666" s="12" t="s">
        <v>247</v>
      </c>
      <c r="B666" s="5" t="s">
        <v>77</v>
      </c>
      <c r="C666" s="8"/>
      <c r="D666" s="11">
        <v>38.0</v>
      </c>
      <c r="E666" s="8"/>
      <c r="F666" s="8"/>
      <c r="G666" s="11">
        <v>0.07</v>
      </c>
      <c r="H666" s="11">
        <v>0.36</v>
      </c>
      <c r="I666" s="9" t="s">
        <v>64</v>
      </c>
    </row>
    <row r="667">
      <c r="A667" s="12" t="s">
        <v>249</v>
      </c>
      <c r="B667" s="5" t="s">
        <v>77</v>
      </c>
      <c r="C667" s="8"/>
      <c r="D667" s="8"/>
      <c r="E667" s="8"/>
      <c r="F667" s="8"/>
      <c r="G667" s="8"/>
      <c r="H667" s="8"/>
      <c r="I667" s="9" t="s">
        <v>64</v>
      </c>
    </row>
    <row r="668">
      <c r="A668" s="12" t="s">
        <v>256</v>
      </c>
      <c r="B668" s="5" t="s">
        <v>77</v>
      </c>
      <c r="C668" s="8"/>
      <c r="D668" s="8"/>
      <c r="E668" s="8"/>
      <c r="F668" s="8"/>
      <c r="G668" s="11">
        <v>0.005</v>
      </c>
      <c r="H668" s="11">
        <v>0.014</v>
      </c>
      <c r="I668" s="9" t="s">
        <v>64</v>
      </c>
    </row>
    <row r="669">
      <c r="A669" s="12" t="s">
        <v>258</v>
      </c>
      <c r="B669" s="5" t="s">
        <v>77</v>
      </c>
      <c r="C669" s="8"/>
      <c r="D669" s="8"/>
      <c r="E669" s="8"/>
      <c r="F669" s="8"/>
      <c r="G669" s="11">
        <v>0.024</v>
      </c>
      <c r="H669" s="11">
        <v>0.078</v>
      </c>
      <c r="I669" s="9" t="s">
        <v>64</v>
      </c>
    </row>
    <row r="670">
      <c r="A670" s="12" t="s">
        <v>263</v>
      </c>
      <c r="B670" s="5" t="s">
        <v>77</v>
      </c>
      <c r="C670" s="8"/>
      <c r="D670" s="11">
        <v>28.0</v>
      </c>
      <c r="E670" s="8"/>
      <c r="F670" s="8"/>
      <c r="G670" s="11">
        <v>0.007</v>
      </c>
      <c r="H670" s="11">
        <v>0.035</v>
      </c>
      <c r="I670" s="9" t="s">
        <v>64</v>
      </c>
    </row>
    <row r="671">
      <c r="A671" s="12" t="s">
        <v>266</v>
      </c>
      <c r="B671" s="5" t="s">
        <v>77</v>
      </c>
      <c r="C671" s="8"/>
      <c r="D671" s="11">
        <v>65.0</v>
      </c>
      <c r="E671" s="8"/>
      <c r="F671" s="8"/>
      <c r="G671" s="11">
        <v>0.012</v>
      </c>
      <c r="H671" s="11">
        <v>0.046</v>
      </c>
      <c r="I671" s="9" t="s">
        <v>64</v>
      </c>
    </row>
    <row r="672">
      <c r="A672" s="12" t="s">
        <v>269</v>
      </c>
      <c r="B672" s="5" t="s">
        <v>77</v>
      </c>
      <c r="C672" s="8"/>
      <c r="D672" s="11">
        <v>11.0</v>
      </c>
      <c r="E672" s="8"/>
      <c r="F672" s="8"/>
      <c r="G672" s="11">
        <v>0.065</v>
      </c>
      <c r="H672" s="11">
        <v>0.195</v>
      </c>
      <c r="I672" s="9" t="s">
        <v>64</v>
      </c>
    </row>
    <row r="673">
      <c r="A673" s="12" t="s">
        <v>273</v>
      </c>
      <c r="B673" s="5" t="s">
        <v>77</v>
      </c>
      <c r="C673" s="8"/>
      <c r="D673" s="11">
        <v>34.0</v>
      </c>
      <c r="E673" s="8"/>
      <c r="F673" s="8"/>
      <c r="G673" s="11">
        <v>0.005</v>
      </c>
      <c r="H673" s="11">
        <v>0.029</v>
      </c>
      <c r="I673" s="9" t="s">
        <v>64</v>
      </c>
    </row>
    <row r="674">
      <c r="A674" s="12" t="s">
        <v>284</v>
      </c>
      <c r="B674" s="5" t="s">
        <v>77</v>
      </c>
      <c r="C674" s="8"/>
      <c r="D674" s="11">
        <v>35.0</v>
      </c>
      <c r="E674" s="8"/>
      <c r="F674" s="8"/>
      <c r="G674" s="11">
        <v>0.01</v>
      </c>
      <c r="H674" s="11">
        <v>0.022</v>
      </c>
      <c r="I674" s="9" t="s">
        <v>64</v>
      </c>
    </row>
    <row r="675">
      <c r="A675" s="12" t="s">
        <v>285</v>
      </c>
      <c r="B675" s="5" t="s">
        <v>77</v>
      </c>
      <c r="C675" s="8"/>
      <c r="D675" s="11">
        <v>97.0</v>
      </c>
      <c r="E675" s="8"/>
      <c r="F675" s="8"/>
      <c r="G675" s="11">
        <v>0.064</v>
      </c>
      <c r="H675" s="11">
        <v>0.029</v>
      </c>
      <c r="I675" s="9" t="s">
        <v>64</v>
      </c>
    </row>
    <row r="676">
      <c r="A676" s="12" t="s">
        <v>59</v>
      </c>
      <c r="B676" s="5" t="s">
        <v>61</v>
      </c>
      <c r="C676" s="8"/>
      <c r="D676" s="8"/>
      <c r="E676" s="8"/>
      <c r="F676" s="8"/>
      <c r="G676" s="11">
        <v>0.001</v>
      </c>
      <c r="H676" s="11">
        <v>0.009</v>
      </c>
      <c r="I676" s="9" t="s">
        <v>64</v>
      </c>
    </row>
    <row r="677">
      <c r="A677" s="12" t="s">
        <v>86</v>
      </c>
      <c r="B677" s="5" t="s">
        <v>61</v>
      </c>
      <c r="C677" s="8"/>
      <c r="D677" s="11">
        <v>18.0</v>
      </c>
      <c r="E677" s="8"/>
      <c r="F677" s="8"/>
      <c r="G677" s="11">
        <v>0.046</v>
      </c>
      <c r="H677" s="11">
        <v>0.038</v>
      </c>
      <c r="I677" s="9" t="s">
        <v>64</v>
      </c>
    </row>
    <row r="678">
      <c r="A678" s="12" t="s">
        <v>90</v>
      </c>
      <c r="B678" s="5" t="s">
        <v>61</v>
      </c>
      <c r="C678" s="8"/>
      <c r="D678" s="11">
        <v>105.0</v>
      </c>
      <c r="E678" s="8"/>
      <c r="F678" s="8"/>
      <c r="G678" s="8"/>
      <c r="H678" s="11">
        <v>0.126</v>
      </c>
      <c r="I678" s="9" t="s">
        <v>64</v>
      </c>
    </row>
    <row r="679">
      <c r="A679" s="12" t="s">
        <v>94</v>
      </c>
      <c r="B679" s="5" t="s">
        <v>61</v>
      </c>
      <c r="C679" s="8"/>
      <c r="D679" s="11">
        <v>50.0</v>
      </c>
      <c r="E679" s="8"/>
      <c r="F679" s="8"/>
      <c r="G679" s="11">
        <v>0.002</v>
      </c>
      <c r="H679" s="11">
        <v>0.01</v>
      </c>
      <c r="I679" s="9" t="s">
        <v>64</v>
      </c>
    </row>
    <row r="680">
      <c r="A680" s="12" t="s">
        <v>101</v>
      </c>
      <c r="B680" s="5" t="s">
        <v>61</v>
      </c>
      <c r="C680" s="8"/>
      <c r="D680" s="11">
        <v>62.0</v>
      </c>
      <c r="E680" s="8"/>
      <c r="F680" s="8"/>
      <c r="G680" s="11">
        <v>0.024</v>
      </c>
      <c r="H680" s="11">
        <v>0.004</v>
      </c>
      <c r="I680" s="9" t="s">
        <v>64</v>
      </c>
    </row>
    <row r="681">
      <c r="A681" s="12" t="s">
        <v>106</v>
      </c>
      <c r="B681" s="5" t="s">
        <v>61</v>
      </c>
      <c r="C681" s="8"/>
      <c r="D681" s="8"/>
      <c r="E681" s="8"/>
      <c r="F681" s="8"/>
      <c r="G681" s="11">
        <v>0.196</v>
      </c>
      <c r="H681" s="11">
        <v>0.502</v>
      </c>
      <c r="I681" s="9" t="s">
        <v>64</v>
      </c>
    </row>
    <row r="682">
      <c r="A682" s="12" t="s">
        <v>110</v>
      </c>
      <c r="B682" s="5" t="s">
        <v>61</v>
      </c>
      <c r="C682" s="8"/>
      <c r="D682" s="11">
        <v>94.0</v>
      </c>
      <c r="E682" s="8"/>
      <c r="F682" s="8"/>
      <c r="G682" s="11">
        <v>0.003</v>
      </c>
      <c r="H682" s="11">
        <v>0.039</v>
      </c>
      <c r="I682" s="9" t="s">
        <v>64</v>
      </c>
    </row>
    <row r="683">
      <c r="A683" s="12" t="s">
        <v>117</v>
      </c>
      <c r="B683" s="5" t="s">
        <v>61</v>
      </c>
      <c r="C683" s="8"/>
      <c r="D683" s="11">
        <v>48.0</v>
      </c>
      <c r="E683" s="8"/>
      <c r="F683" s="8"/>
      <c r="G683" s="11">
        <v>0.062</v>
      </c>
      <c r="H683" s="11">
        <v>0.207</v>
      </c>
      <c r="I683" s="9" t="s">
        <v>64</v>
      </c>
    </row>
    <row r="684">
      <c r="A684" s="12" t="s">
        <v>147</v>
      </c>
      <c r="B684" s="5" t="s">
        <v>61</v>
      </c>
      <c r="C684" s="8"/>
      <c r="D684" s="11">
        <v>25.0</v>
      </c>
      <c r="E684" s="8"/>
      <c r="F684" s="8"/>
      <c r="G684" s="11">
        <v>0.026</v>
      </c>
      <c r="H684" s="11">
        <v>0.156</v>
      </c>
      <c r="I684" s="9" t="s">
        <v>64</v>
      </c>
    </row>
    <row r="685">
      <c r="A685" s="12" t="s">
        <v>160</v>
      </c>
      <c r="B685" s="5" t="s">
        <v>61</v>
      </c>
      <c r="C685" s="8"/>
      <c r="D685" s="11">
        <v>11.0</v>
      </c>
      <c r="E685" s="8"/>
      <c r="F685" s="8"/>
      <c r="G685" s="11">
        <v>0.522</v>
      </c>
      <c r="H685" s="11">
        <v>1.064</v>
      </c>
      <c r="I685" s="9" t="s">
        <v>64</v>
      </c>
    </row>
    <row r="686">
      <c r="A686" s="12" t="s">
        <v>163</v>
      </c>
      <c r="B686" s="5" t="s">
        <v>61</v>
      </c>
      <c r="C686" s="8"/>
      <c r="D686" s="11">
        <v>89.0</v>
      </c>
      <c r="E686" s="8"/>
      <c r="F686" s="8"/>
      <c r="G686" s="11">
        <v>0.017</v>
      </c>
      <c r="H686" s="11">
        <v>0.031</v>
      </c>
      <c r="I686" s="9" t="s">
        <v>64</v>
      </c>
    </row>
    <row r="687">
      <c r="A687" s="12" t="s">
        <v>164</v>
      </c>
      <c r="B687" s="5" t="s">
        <v>61</v>
      </c>
      <c r="C687" s="8"/>
      <c r="D687" s="11">
        <v>168.0</v>
      </c>
      <c r="E687" s="8"/>
      <c r="F687" s="8"/>
      <c r="G687" s="11">
        <v>0.024</v>
      </c>
      <c r="H687" s="11">
        <v>0.085</v>
      </c>
      <c r="I687" s="9" t="s">
        <v>64</v>
      </c>
    </row>
    <row r="688">
      <c r="A688" s="12" t="s">
        <v>172</v>
      </c>
      <c r="B688" s="5" t="s">
        <v>61</v>
      </c>
      <c r="C688" s="8"/>
      <c r="D688" s="11">
        <v>31.0</v>
      </c>
      <c r="E688" s="8"/>
      <c r="F688" s="8"/>
      <c r="G688" s="11">
        <v>0.484</v>
      </c>
      <c r="H688" s="11">
        <v>0.685</v>
      </c>
      <c r="I688" s="9" t="s">
        <v>64</v>
      </c>
    </row>
    <row r="689">
      <c r="A689" s="12" t="s">
        <v>174</v>
      </c>
      <c r="B689" s="5" t="s">
        <v>61</v>
      </c>
      <c r="C689" s="8"/>
      <c r="D689" s="11">
        <v>26.0</v>
      </c>
      <c r="E689" s="8"/>
      <c r="F689" s="8"/>
      <c r="G689" s="11">
        <v>0.02</v>
      </c>
      <c r="H689" s="11">
        <v>0.09</v>
      </c>
      <c r="I689" s="9" t="s">
        <v>64</v>
      </c>
    </row>
    <row r="690">
      <c r="A690" s="12" t="s">
        <v>216</v>
      </c>
      <c r="B690" s="5" t="s">
        <v>61</v>
      </c>
      <c r="C690" s="8"/>
      <c r="D690" s="8"/>
      <c r="E690" s="8"/>
      <c r="F690" s="8"/>
      <c r="G690" s="8"/>
      <c r="H690" s="8"/>
      <c r="I690" s="9" t="s">
        <v>64</v>
      </c>
    </row>
    <row r="691">
      <c r="A691" s="12" t="s">
        <v>248</v>
      </c>
      <c r="B691" s="5" t="s">
        <v>61</v>
      </c>
      <c r="C691" s="8"/>
      <c r="D691" s="11">
        <v>17.0</v>
      </c>
      <c r="E691" s="8"/>
      <c r="F691" s="8"/>
      <c r="G691" s="11">
        <v>0.655</v>
      </c>
      <c r="H691" s="11">
        <v>0.721</v>
      </c>
      <c r="I691" s="9" t="s">
        <v>64</v>
      </c>
    </row>
    <row r="692">
      <c r="A692" s="12" t="s">
        <v>179</v>
      </c>
      <c r="B692" s="5" t="s">
        <v>61</v>
      </c>
      <c r="C692" s="8"/>
      <c r="D692" s="11">
        <v>21.0</v>
      </c>
      <c r="E692" s="8"/>
      <c r="F692" s="8"/>
      <c r="G692" s="11">
        <v>0.039</v>
      </c>
      <c r="H692" s="11">
        <v>0.028</v>
      </c>
      <c r="I692" s="9" t="s">
        <v>64</v>
      </c>
    </row>
    <row r="693">
      <c r="A693" s="12" t="s">
        <v>180</v>
      </c>
      <c r="B693" s="5" t="s">
        <v>61</v>
      </c>
      <c r="C693" s="8"/>
      <c r="D693" s="11">
        <v>153.0</v>
      </c>
      <c r="E693" s="8"/>
      <c r="F693" s="8"/>
      <c r="G693" s="11">
        <v>0.003</v>
      </c>
      <c r="H693" s="11">
        <v>0.02</v>
      </c>
      <c r="I693" s="9" t="s">
        <v>64</v>
      </c>
    </row>
    <row r="694">
      <c r="A694" s="12" t="s">
        <v>189</v>
      </c>
      <c r="B694" s="5" t="s">
        <v>61</v>
      </c>
      <c r="C694" s="8"/>
      <c r="D694" s="8"/>
      <c r="E694" s="8"/>
      <c r="F694" s="8"/>
      <c r="G694" s="11">
        <v>0.257</v>
      </c>
      <c r="H694" s="11">
        <v>0.808</v>
      </c>
      <c r="I694" s="9" t="s">
        <v>64</v>
      </c>
    </row>
    <row r="695">
      <c r="A695" s="12" t="s">
        <v>192</v>
      </c>
      <c r="B695" s="5" t="s">
        <v>61</v>
      </c>
      <c r="C695" s="8"/>
      <c r="D695" s="11">
        <v>37.0</v>
      </c>
      <c r="E695" s="8"/>
      <c r="F695" s="8"/>
      <c r="G695" s="11">
        <v>0.35</v>
      </c>
      <c r="H695" s="11">
        <v>0.447</v>
      </c>
      <c r="I695" s="9" t="s">
        <v>64</v>
      </c>
    </row>
    <row r="696">
      <c r="A696" s="12" t="s">
        <v>193</v>
      </c>
      <c r="B696" s="5" t="s">
        <v>61</v>
      </c>
      <c r="C696" s="8"/>
      <c r="D696" s="11">
        <v>13.0</v>
      </c>
      <c r="E696" s="8"/>
      <c r="F696" s="8"/>
      <c r="G696" s="11">
        <v>0.06</v>
      </c>
      <c r="H696" s="11">
        <v>0.231</v>
      </c>
      <c r="I696" s="9" t="s">
        <v>64</v>
      </c>
    </row>
    <row r="697">
      <c r="A697" s="12" t="s">
        <v>203</v>
      </c>
      <c r="B697" s="5" t="s">
        <v>61</v>
      </c>
      <c r="C697" s="8"/>
      <c r="D697" s="11">
        <v>20.0</v>
      </c>
      <c r="E697" s="8"/>
      <c r="F697" s="8"/>
      <c r="G697" s="8"/>
      <c r="H697" s="11">
        <v>0.129</v>
      </c>
      <c r="I697" s="9" t="s">
        <v>64</v>
      </c>
    </row>
    <row r="698">
      <c r="A698" s="12" t="s">
        <v>207</v>
      </c>
      <c r="B698" s="5" t="s">
        <v>61</v>
      </c>
      <c r="C698" s="8"/>
      <c r="D698" s="8"/>
      <c r="E698" s="8"/>
      <c r="F698" s="8"/>
      <c r="G698" s="11">
        <v>0.0</v>
      </c>
      <c r="H698" s="11">
        <v>0.001</v>
      </c>
      <c r="I698" s="9" t="s">
        <v>64</v>
      </c>
    </row>
    <row r="699">
      <c r="A699" s="12" t="s">
        <v>209</v>
      </c>
      <c r="B699" s="5" t="s">
        <v>61</v>
      </c>
      <c r="C699" s="8"/>
      <c r="D699" s="11">
        <v>31.0</v>
      </c>
      <c r="E699" s="8"/>
      <c r="F699" s="8"/>
      <c r="G699" s="11">
        <v>0.004</v>
      </c>
      <c r="H699" s="11">
        <v>0.003</v>
      </c>
      <c r="I699" s="9" t="s">
        <v>64</v>
      </c>
    </row>
    <row r="700">
      <c r="A700" s="12" t="s">
        <v>220</v>
      </c>
      <c r="B700" s="5" t="s">
        <v>61</v>
      </c>
      <c r="C700" s="8"/>
      <c r="D700" s="11">
        <v>24.0</v>
      </c>
      <c r="E700" s="8"/>
      <c r="F700" s="8"/>
      <c r="G700" s="11">
        <v>0.05</v>
      </c>
      <c r="H700" s="11">
        <v>0.016</v>
      </c>
      <c r="I700" s="9" t="s">
        <v>64</v>
      </c>
    </row>
    <row r="701">
      <c r="A701" s="12" t="s">
        <v>225</v>
      </c>
      <c r="B701" s="5" t="s">
        <v>61</v>
      </c>
      <c r="C701" s="8"/>
      <c r="D701" s="11">
        <v>49.0</v>
      </c>
      <c r="E701" s="8"/>
      <c r="F701" s="8"/>
      <c r="G701" s="11">
        <v>0.049</v>
      </c>
      <c r="H701" s="11">
        <v>0.272</v>
      </c>
      <c r="I701" s="9" t="s">
        <v>64</v>
      </c>
    </row>
    <row r="702">
      <c r="A702" s="12" t="s">
        <v>241</v>
      </c>
      <c r="B702" s="5" t="s">
        <v>61</v>
      </c>
      <c r="C702" s="8"/>
      <c r="D702" s="11">
        <v>8.0</v>
      </c>
      <c r="E702" s="8"/>
      <c r="F702" s="8"/>
      <c r="G702" s="11">
        <v>0.538</v>
      </c>
      <c r="H702" s="11">
        <v>0.841</v>
      </c>
      <c r="I702" s="9" t="s">
        <v>64</v>
      </c>
    </row>
    <row r="703">
      <c r="A703" s="12" t="s">
        <v>251</v>
      </c>
      <c r="B703" s="5" t="s">
        <v>61</v>
      </c>
      <c r="C703" s="8"/>
      <c r="D703" s="11">
        <v>58.0</v>
      </c>
      <c r="E703" s="8"/>
      <c r="F703" s="8"/>
      <c r="G703" s="11">
        <v>0.015</v>
      </c>
      <c r="H703" s="11">
        <v>0.071</v>
      </c>
      <c r="I703" s="9" t="s">
        <v>64</v>
      </c>
    </row>
    <row r="704">
      <c r="A704" s="12" t="s">
        <v>262</v>
      </c>
      <c r="B704" s="5" t="s">
        <v>61</v>
      </c>
      <c r="C704" s="8"/>
      <c r="D704" s="8"/>
      <c r="E704" s="8"/>
      <c r="F704" s="8"/>
      <c r="G704" s="11">
        <v>0.001</v>
      </c>
      <c r="H704" s="11">
        <v>0.007</v>
      </c>
      <c r="I704" s="9" t="s">
        <v>64</v>
      </c>
    </row>
    <row r="705">
      <c r="A705" s="12" t="s">
        <v>264</v>
      </c>
      <c r="B705" s="5" t="s">
        <v>61</v>
      </c>
      <c r="C705" s="8"/>
      <c r="D705" s="11">
        <v>33.0</v>
      </c>
      <c r="E705" s="8"/>
      <c r="F705" s="8"/>
      <c r="G705" s="11">
        <v>0.093</v>
      </c>
      <c r="H705" s="11">
        <v>0.335</v>
      </c>
      <c r="I705" s="9" t="s">
        <v>64</v>
      </c>
    </row>
    <row r="706">
      <c r="A706" s="12" t="s">
        <v>265</v>
      </c>
      <c r="B706" s="5" t="s">
        <v>61</v>
      </c>
      <c r="C706" s="8"/>
      <c r="D706" s="8"/>
      <c r="E706" s="8"/>
      <c r="F706" s="8"/>
      <c r="G706" s="8"/>
      <c r="H706" s="11">
        <v>0.021</v>
      </c>
      <c r="I706" s="9" t="s">
        <v>64</v>
      </c>
    </row>
    <row r="707">
      <c r="A707" s="12" t="s">
        <v>271</v>
      </c>
      <c r="B707" s="5" t="s">
        <v>61</v>
      </c>
      <c r="C707" s="8"/>
      <c r="D707" s="8"/>
      <c r="E707" s="8"/>
      <c r="F707" s="8"/>
      <c r="G707" s="11">
        <v>0.004</v>
      </c>
      <c r="H707" s="11">
        <v>0.002</v>
      </c>
      <c r="I707" s="9" t="s">
        <v>64</v>
      </c>
    </row>
    <row r="708">
      <c r="A708" s="12" t="s">
        <v>279</v>
      </c>
      <c r="B708" s="5" t="s">
        <v>61</v>
      </c>
      <c r="C708" s="8"/>
      <c r="D708" s="11">
        <v>29.0</v>
      </c>
      <c r="E708" s="8"/>
      <c r="F708" s="8"/>
      <c r="G708" s="11">
        <v>0.019</v>
      </c>
      <c r="H708" s="11">
        <v>0.013</v>
      </c>
      <c r="I708" s="9" t="s">
        <v>64</v>
      </c>
    </row>
    <row r="709">
      <c r="A709" s="12" t="s">
        <v>282</v>
      </c>
      <c r="B709" s="5" t="s">
        <v>61</v>
      </c>
      <c r="C709" s="8"/>
      <c r="D709" s="11">
        <v>59.0</v>
      </c>
      <c r="E709" s="8"/>
      <c r="F709" s="8"/>
      <c r="G709" s="11">
        <v>0.038</v>
      </c>
      <c r="H709" s="11">
        <v>0.033</v>
      </c>
      <c r="I709" s="9" t="s">
        <v>64</v>
      </c>
    </row>
    <row r="710">
      <c r="A710" s="12" t="s">
        <v>74</v>
      </c>
      <c r="B710" s="5" t="s">
        <v>75</v>
      </c>
      <c r="C710" s="8"/>
      <c r="D710" s="11">
        <v>41.0</v>
      </c>
      <c r="E710" s="8"/>
      <c r="F710" s="8"/>
      <c r="G710" s="11">
        <v>0.01</v>
      </c>
      <c r="H710" s="11">
        <v>0.34</v>
      </c>
      <c r="I710" s="9" t="s">
        <v>64</v>
      </c>
    </row>
    <row r="711">
      <c r="A711" s="12" t="s">
        <v>81</v>
      </c>
      <c r="B711" s="5" t="s">
        <v>75</v>
      </c>
      <c r="C711" s="8"/>
      <c r="D711" s="8"/>
      <c r="E711" s="8"/>
      <c r="F711" s="8"/>
      <c r="G711" s="11">
        <v>0.135</v>
      </c>
      <c r="H711" s="11">
        <v>0.686</v>
      </c>
      <c r="I711" s="9" t="s">
        <v>64</v>
      </c>
    </row>
    <row r="712">
      <c r="A712" s="12" t="s">
        <v>89</v>
      </c>
      <c r="B712" s="5" t="s">
        <v>75</v>
      </c>
      <c r="C712" s="8"/>
      <c r="D712" s="11">
        <v>25.0</v>
      </c>
      <c r="E712" s="8"/>
      <c r="F712" s="8"/>
      <c r="G712" s="11">
        <v>0.427</v>
      </c>
      <c r="H712" s="11">
        <v>0.893</v>
      </c>
      <c r="I712" s="9" t="s">
        <v>64</v>
      </c>
    </row>
    <row r="713">
      <c r="A713" s="12" t="s">
        <v>96</v>
      </c>
      <c r="B713" s="5" t="s">
        <v>75</v>
      </c>
      <c r="C713" s="8"/>
      <c r="D713" s="11">
        <v>79.0</v>
      </c>
      <c r="E713" s="8"/>
      <c r="F713" s="8"/>
      <c r="G713" s="8"/>
      <c r="H713" s="11">
        <v>0.114</v>
      </c>
      <c r="I713" s="9" t="s">
        <v>64</v>
      </c>
    </row>
    <row r="714">
      <c r="A714" s="12" t="s">
        <v>97</v>
      </c>
      <c r="B714" s="5" t="s">
        <v>75</v>
      </c>
      <c r="C714" s="8"/>
      <c r="D714" s="11">
        <v>56.0</v>
      </c>
      <c r="E714" s="8"/>
      <c r="F714" s="8"/>
      <c r="G714" s="11">
        <v>0.5</v>
      </c>
      <c r="H714" s="11">
        <v>0.829</v>
      </c>
      <c r="I714" s="9" t="s">
        <v>64</v>
      </c>
    </row>
    <row r="715">
      <c r="A715" s="12" t="s">
        <v>103</v>
      </c>
      <c r="B715" s="5" t="s">
        <v>75</v>
      </c>
      <c r="C715" s="8"/>
      <c r="D715" s="11">
        <v>68.0</v>
      </c>
      <c r="E715" s="8"/>
      <c r="F715" s="8"/>
      <c r="G715" s="11">
        <v>0.04</v>
      </c>
      <c r="H715" s="11">
        <v>0.276</v>
      </c>
      <c r="I715" s="9" t="s">
        <v>64</v>
      </c>
    </row>
    <row r="716">
      <c r="A716" s="12" t="s">
        <v>107</v>
      </c>
      <c r="B716" s="5" t="s">
        <v>75</v>
      </c>
      <c r="C716" s="8"/>
      <c r="D716" s="11">
        <v>32.0</v>
      </c>
      <c r="E716" s="8"/>
      <c r="F716" s="8"/>
      <c r="G716" s="11">
        <v>0.12</v>
      </c>
      <c r="H716" s="11">
        <v>0.448</v>
      </c>
      <c r="I716" s="9" t="s">
        <v>64</v>
      </c>
    </row>
    <row r="717">
      <c r="A717" s="12" t="s">
        <v>124</v>
      </c>
      <c r="B717" s="5" t="s">
        <v>75</v>
      </c>
      <c r="C717" s="8"/>
      <c r="D717" s="11">
        <v>29.0</v>
      </c>
      <c r="E717" s="8"/>
      <c r="F717" s="8"/>
      <c r="G717" s="11">
        <v>0.228</v>
      </c>
      <c r="H717" s="11">
        <v>0.575</v>
      </c>
      <c r="I717" s="9" t="s">
        <v>64</v>
      </c>
    </row>
    <row r="718">
      <c r="A718" s="12" t="s">
        <v>127</v>
      </c>
      <c r="B718" s="5" t="s">
        <v>75</v>
      </c>
      <c r="C718" s="8"/>
      <c r="D718" s="8"/>
      <c r="E718" s="8"/>
      <c r="F718" s="8"/>
      <c r="G718" s="11">
        <v>0.301</v>
      </c>
      <c r="H718" s="11">
        <v>0.553</v>
      </c>
      <c r="I718" s="9" t="s">
        <v>64</v>
      </c>
    </row>
    <row r="719">
      <c r="A719" s="12" t="s">
        <v>128</v>
      </c>
      <c r="B719" s="5" t="s">
        <v>75</v>
      </c>
      <c r="C719" s="8"/>
      <c r="D719" s="11">
        <v>40.0</v>
      </c>
      <c r="E719" s="8"/>
      <c r="F719" s="8"/>
      <c r="G719" s="11">
        <v>0.343</v>
      </c>
      <c r="H719" s="11">
        <v>0.951</v>
      </c>
      <c r="I719" s="9" t="s">
        <v>64</v>
      </c>
    </row>
    <row r="720">
      <c r="A720" s="12" t="s">
        <v>129</v>
      </c>
      <c r="B720" s="5" t="s">
        <v>75</v>
      </c>
      <c r="C720" s="8"/>
      <c r="D720" s="11">
        <v>7.0</v>
      </c>
      <c r="E720" s="8"/>
      <c r="F720" s="8"/>
      <c r="G720" s="11">
        <v>0.763</v>
      </c>
      <c r="H720" s="11">
        <v>0.886</v>
      </c>
      <c r="I720" s="9" t="s">
        <v>64</v>
      </c>
    </row>
    <row r="721">
      <c r="A721" s="12" t="s">
        <v>138</v>
      </c>
      <c r="B721" s="5" t="s">
        <v>75</v>
      </c>
      <c r="C721" s="8"/>
      <c r="D721" s="11">
        <v>72.0</v>
      </c>
      <c r="E721" s="8"/>
      <c r="F721" s="8"/>
      <c r="G721" s="11">
        <v>0.453</v>
      </c>
      <c r="H721" s="11">
        <v>0.784</v>
      </c>
      <c r="I721" s="9" t="s">
        <v>64</v>
      </c>
    </row>
    <row r="722">
      <c r="A722" s="12" t="s">
        <v>140</v>
      </c>
      <c r="B722" s="5" t="s">
        <v>75</v>
      </c>
      <c r="C722" s="8"/>
      <c r="D722" s="8"/>
      <c r="E722" s="8"/>
      <c r="F722" s="8"/>
      <c r="G722" s="11">
        <v>0.589</v>
      </c>
      <c r="H722" s="11">
        <v>0.787</v>
      </c>
      <c r="I722" s="9" t="s">
        <v>64</v>
      </c>
    </row>
    <row r="723">
      <c r="A723" s="12" t="s">
        <v>142</v>
      </c>
      <c r="B723" s="5" t="s">
        <v>75</v>
      </c>
      <c r="C723" s="8"/>
      <c r="D723" s="11">
        <v>31.0</v>
      </c>
      <c r="E723" s="8"/>
      <c r="F723" s="8"/>
      <c r="G723" s="11">
        <v>0.692</v>
      </c>
      <c r="H723" s="11">
        <v>0.911</v>
      </c>
      <c r="I723" s="9" t="s">
        <v>64</v>
      </c>
    </row>
    <row r="724">
      <c r="A724" s="12" t="s">
        <v>143</v>
      </c>
      <c r="B724" s="5" t="s">
        <v>75</v>
      </c>
      <c r="C724" s="8"/>
      <c r="D724" s="11">
        <v>41.0</v>
      </c>
      <c r="E724" s="8"/>
      <c r="F724" s="8"/>
      <c r="G724" s="11">
        <v>0.361</v>
      </c>
      <c r="H724" s="11">
        <v>0.689</v>
      </c>
      <c r="I724" s="9" t="s">
        <v>64</v>
      </c>
    </row>
    <row r="725">
      <c r="A725" s="12" t="s">
        <v>148</v>
      </c>
      <c r="B725" s="5" t="s">
        <v>75</v>
      </c>
      <c r="C725" s="8"/>
      <c r="D725" s="11">
        <v>45.0</v>
      </c>
      <c r="E725" s="8"/>
      <c r="F725" s="8"/>
      <c r="G725" s="11">
        <v>0.559</v>
      </c>
      <c r="H725" s="11">
        <v>0.773</v>
      </c>
      <c r="I725" s="9" t="s">
        <v>64</v>
      </c>
    </row>
    <row r="726">
      <c r="A726" s="12" t="s">
        <v>150</v>
      </c>
      <c r="B726" s="5" t="s">
        <v>75</v>
      </c>
      <c r="C726" s="8"/>
      <c r="D726" s="11">
        <v>38.0</v>
      </c>
      <c r="E726" s="8"/>
      <c r="F726" s="8"/>
      <c r="G726" s="11">
        <v>0.178</v>
      </c>
      <c r="H726" s="11">
        <v>0.81</v>
      </c>
      <c r="I726" s="9" t="s">
        <v>64</v>
      </c>
    </row>
    <row r="727">
      <c r="A727" s="12" t="s">
        <v>161</v>
      </c>
      <c r="B727" s="5" t="s">
        <v>75</v>
      </c>
      <c r="C727" s="8"/>
      <c r="D727" s="11">
        <v>52.0</v>
      </c>
      <c r="E727" s="8"/>
      <c r="F727" s="8"/>
      <c r="G727" s="11">
        <v>0.216</v>
      </c>
      <c r="H727" s="11">
        <v>0.783</v>
      </c>
      <c r="I727" s="9" t="s">
        <v>64</v>
      </c>
    </row>
    <row r="728">
      <c r="A728" s="12" t="s">
        <v>162</v>
      </c>
      <c r="B728" s="5" t="s">
        <v>75</v>
      </c>
      <c r="C728" s="8"/>
      <c r="D728" s="8"/>
      <c r="E728" s="8"/>
      <c r="F728" s="8"/>
      <c r="G728" s="11">
        <v>0.831</v>
      </c>
      <c r="H728" s="11">
        <v>0.965</v>
      </c>
      <c r="I728" s="9" t="s">
        <v>64</v>
      </c>
    </row>
    <row r="729">
      <c r="A729" s="12" t="s">
        <v>167</v>
      </c>
      <c r="B729" s="5" t="s">
        <v>75</v>
      </c>
      <c r="C729" s="8"/>
      <c r="D729" s="11">
        <v>18.0</v>
      </c>
      <c r="E729" s="8"/>
      <c r="F729" s="8"/>
      <c r="G729" s="11">
        <v>0.343</v>
      </c>
      <c r="H729" s="11">
        <v>0.873</v>
      </c>
      <c r="I729" s="9" t="s">
        <v>64</v>
      </c>
    </row>
    <row r="730">
      <c r="A730" s="12" t="s">
        <v>168</v>
      </c>
      <c r="B730" s="5" t="s">
        <v>75</v>
      </c>
      <c r="C730" s="8"/>
      <c r="D730" s="8"/>
      <c r="E730" s="8"/>
      <c r="F730" s="8"/>
      <c r="G730" s="8"/>
      <c r="H730" s="8"/>
      <c r="I730" s="9" t="s">
        <v>64</v>
      </c>
    </row>
    <row r="731">
      <c r="A731" s="12" t="s">
        <v>170</v>
      </c>
      <c r="B731" s="5" t="s">
        <v>75</v>
      </c>
      <c r="C731" s="8"/>
      <c r="D731" s="11">
        <v>23.0</v>
      </c>
      <c r="E731" s="8"/>
      <c r="F731" s="8"/>
      <c r="G731" s="11">
        <v>0.29</v>
      </c>
      <c r="H731" s="11">
        <v>0.981</v>
      </c>
      <c r="I731" s="9" t="s">
        <v>64</v>
      </c>
    </row>
    <row r="732">
      <c r="A732" s="12" t="s">
        <v>177</v>
      </c>
      <c r="B732" s="5" t="s">
        <v>75</v>
      </c>
      <c r="C732" s="8"/>
      <c r="D732" s="8"/>
      <c r="E732" s="8"/>
      <c r="F732" s="8"/>
      <c r="G732" s="8"/>
      <c r="H732" s="8"/>
      <c r="I732" s="9" t="s">
        <v>64</v>
      </c>
    </row>
    <row r="733">
      <c r="A733" s="12" t="s">
        <v>181</v>
      </c>
      <c r="B733" s="5" t="s">
        <v>75</v>
      </c>
      <c r="C733" s="8"/>
      <c r="D733" s="11">
        <v>16.0</v>
      </c>
      <c r="E733" s="8"/>
      <c r="F733" s="8"/>
      <c r="G733" s="11">
        <v>0.27</v>
      </c>
      <c r="H733" s="11">
        <v>0.533</v>
      </c>
      <c r="I733" s="9" t="s">
        <v>64</v>
      </c>
    </row>
    <row r="734">
      <c r="A734" s="12" t="s">
        <v>186</v>
      </c>
      <c r="B734" s="5" t="s">
        <v>75</v>
      </c>
      <c r="C734" s="8"/>
      <c r="D734" s="8"/>
      <c r="E734" s="8"/>
      <c r="F734" s="8"/>
      <c r="G734" s="11">
        <v>0.588</v>
      </c>
      <c r="H734" s="11">
        <v>0.732</v>
      </c>
      <c r="I734" s="9" t="s">
        <v>64</v>
      </c>
    </row>
    <row r="735">
      <c r="A735" s="12" t="s">
        <v>187</v>
      </c>
      <c r="B735" s="5" t="s">
        <v>75</v>
      </c>
      <c r="C735" s="8"/>
      <c r="D735" s="11">
        <v>26.0</v>
      </c>
      <c r="E735" s="8"/>
      <c r="F735" s="8"/>
      <c r="G735" s="11">
        <v>0.259</v>
      </c>
      <c r="H735" s="11">
        <v>0.622</v>
      </c>
      <c r="I735" s="9" t="s">
        <v>64</v>
      </c>
    </row>
    <row r="736">
      <c r="A736" s="12" t="s">
        <v>188</v>
      </c>
      <c r="B736" s="5" t="s">
        <v>75</v>
      </c>
      <c r="C736" s="8"/>
      <c r="D736" s="8"/>
      <c r="E736" s="8"/>
      <c r="F736" s="8"/>
      <c r="G736" s="11">
        <v>0.546</v>
      </c>
      <c r="H736" s="11">
        <v>1.206</v>
      </c>
      <c r="I736" s="9" t="s">
        <v>64</v>
      </c>
    </row>
    <row r="737">
      <c r="A737" s="12" t="s">
        <v>217</v>
      </c>
      <c r="B737" s="5" t="s">
        <v>75</v>
      </c>
      <c r="C737" s="8"/>
      <c r="D737" s="11">
        <v>48.0</v>
      </c>
      <c r="E737" s="8"/>
      <c r="F737" s="8"/>
      <c r="G737" s="11">
        <v>0.191</v>
      </c>
      <c r="H737" s="11">
        <v>0.373</v>
      </c>
      <c r="I737" s="9" t="s">
        <v>64</v>
      </c>
    </row>
    <row r="738">
      <c r="A738" s="12" t="s">
        <v>195</v>
      </c>
      <c r="B738" s="5" t="s">
        <v>75</v>
      </c>
      <c r="C738" s="8"/>
      <c r="D738" s="8"/>
      <c r="E738" s="8"/>
      <c r="F738" s="8"/>
      <c r="G738" s="11">
        <v>0.316</v>
      </c>
      <c r="H738" s="11">
        <v>0.704</v>
      </c>
      <c r="I738" s="9" t="s">
        <v>64</v>
      </c>
    </row>
    <row r="739">
      <c r="A739" s="12" t="s">
        <v>201</v>
      </c>
      <c r="B739" s="5" t="s">
        <v>75</v>
      </c>
      <c r="C739" s="8"/>
      <c r="D739" s="11">
        <v>42.0</v>
      </c>
      <c r="E739" s="8"/>
      <c r="F739" s="8"/>
      <c r="G739" s="11">
        <v>0.074</v>
      </c>
      <c r="H739" s="11">
        <v>0.122</v>
      </c>
      <c r="I739" s="9" t="s">
        <v>64</v>
      </c>
    </row>
    <row r="740">
      <c r="A740" s="12" t="s">
        <v>202</v>
      </c>
      <c r="B740" s="5" t="s">
        <v>75</v>
      </c>
      <c r="C740" s="8"/>
      <c r="D740" s="8"/>
      <c r="E740" s="8"/>
      <c r="F740" s="8"/>
      <c r="G740" s="11">
        <v>0.495</v>
      </c>
      <c r="H740" s="11">
        <v>0.457</v>
      </c>
      <c r="I740" s="9" t="s">
        <v>64</v>
      </c>
    </row>
    <row r="741">
      <c r="A741" s="12" t="s">
        <v>204</v>
      </c>
      <c r="B741" s="5" t="s">
        <v>75</v>
      </c>
      <c r="C741" s="8"/>
      <c r="D741" s="8"/>
      <c r="E741" s="8"/>
      <c r="F741" s="8"/>
      <c r="G741" s="8"/>
      <c r="H741" s="8"/>
      <c r="I741" s="9" t="s">
        <v>64</v>
      </c>
    </row>
    <row r="742">
      <c r="A742" s="12" t="s">
        <v>210</v>
      </c>
      <c r="B742" s="5" t="s">
        <v>75</v>
      </c>
      <c r="C742" s="8"/>
      <c r="D742" s="11">
        <v>9.0</v>
      </c>
      <c r="E742" s="8"/>
      <c r="F742" s="8"/>
      <c r="G742" s="11">
        <v>0.644</v>
      </c>
      <c r="H742" s="11">
        <v>0.818</v>
      </c>
      <c r="I742" s="9" t="s">
        <v>64</v>
      </c>
    </row>
    <row r="743">
      <c r="A743" s="12" t="s">
        <v>218</v>
      </c>
      <c r="B743" s="5" t="s">
        <v>75</v>
      </c>
      <c r="C743" s="8"/>
      <c r="D743" s="11">
        <v>18.0</v>
      </c>
      <c r="E743" s="8"/>
      <c r="F743" s="8"/>
      <c r="G743" s="11">
        <v>0.781</v>
      </c>
      <c r="H743" s="11">
        <v>0.891</v>
      </c>
      <c r="I743" s="9" t="s">
        <v>64</v>
      </c>
    </row>
    <row r="744">
      <c r="A744" s="12" t="s">
        <v>226</v>
      </c>
      <c r="B744" s="5" t="s">
        <v>75</v>
      </c>
      <c r="C744" s="8"/>
      <c r="D744" s="11">
        <v>31.0</v>
      </c>
      <c r="E744" s="8"/>
      <c r="F744" s="8"/>
      <c r="G744" s="11">
        <v>0.249</v>
      </c>
      <c r="H744" s="11">
        <v>0.455</v>
      </c>
      <c r="I744" s="9" t="s">
        <v>64</v>
      </c>
    </row>
    <row r="745">
      <c r="A745" s="12" t="s">
        <v>227</v>
      </c>
      <c r="B745" s="5" t="s">
        <v>75</v>
      </c>
      <c r="C745" s="8"/>
      <c r="D745" s="11">
        <v>78.0</v>
      </c>
      <c r="E745" s="8"/>
      <c r="F745" s="8"/>
      <c r="G745" s="11">
        <v>0.297</v>
      </c>
      <c r="H745" s="11">
        <v>0.958</v>
      </c>
      <c r="I745" s="9" t="s">
        <v>64</v>
      </c>
    </row>
    <row r="746">
      <c r="A746" s="12" t="s">
        <v>230</v>
      </c>
      <c r="B746" s="5" t="s">
        <v>75</v>
      </c>
      <c r="C746" s="8"/>
      <c r="D746" s="11">
        <v>29.0</v>
      </c>
      <c r="E746" s="8"/>
      <c r="F746" s="8"/>
      <c r="G746" s="11">
        <v>0.089</v>
      </c>
      <c r="H746" s="11">
        <v>0.317</v>
      </c>
      <c r="I746" s="9" t="s">
        <v>64</v>
      </c>
    </row>
    <row r="747">
      <c r="A747" s="12" t="s">
        <v>231</v>
      </c>
      <c r="B747" s="5" t="s">
        <v>75</v>
      </c>
      <c r="C747" s="8"/>
      <c r="D747" s="11">
        <v>43.0</v>
      </c>
      <c r="E747" s="8"/>
      <c r="F747" s="8"/>
      <c r="G747" s="11">
        <v>0.083</v>
      </c>
      <c r="H747" s="11">
        <v>0.249</v>
      </c>
      <c r="I747" s="9" t="s">
        <v>64</v>
      </c>
    </row>
    <row r="748">
      <c r="A748" s="12" t="s">
        <v>234</v>
      </c>
      <c r="B748" s="5" t="s">
        <v>75</v>
      </c>
      <c r="C748" s="8"/>
      <c r="D748" s="8"/>
      <c r="E748" s="8"/>
      <c r="F748" s="8"/>
      <c r="G748" s="11">
        <v>0.5</v>
      </c>
      <c r="H748" s="11">
        <v>0.589</v>
      </c>
      <c r="I748" s="9" t="s">
        <v>64</v>
      </c>
    </row>
    <row r="749">
      <c r="A749" s="12" t="s">
        <v>238</v>
      </c>
      <c r="B749" s="5" t="s">
        <v>75</v>
      </c>
      <c r="C749" s="8"/>
      <c r="D749" s="11">
        <v>56.0</v>
      </c>
      <c r="E749" s="8"/>
      <c r="F749" s="8"/>
      <c r="G749" s="8"/>
      <c r="H749" s="8"/>
      <c r="I749" s="9" t="s">
        <v>64</v>
      </c>
    </row>
    <row r="750">
      <c r="A750" s="12" t="s">
        <v>243</v>
      </c>
      <c r="B750" s="5" t="s">
        <v>75</v>
      </c>
      <c r="C750" s="8"/>
      <c r="D750" s="11">
        <v>103.0</v>
      </c>
      <c r="E750" s="8"/>
      <c r="F750" s="8"/>
      <c r="G750" s="11">
        <v>0.43</v>
      </c>
      <c r="H750" s="11">
        <v>0.683</v>
      </c>
      <c r="I750" s="9" t="s">
        <v>64</v>
      </c>
    </row>
    <row r="751">
      <c r="A751" s="12" t="s">
        <v>244</v>
      </c>
      <c r="B751" s="5" t="s">
        <v>75</v>
      </c>
      <c r="C751" s="8"/>
      <c r="D751" s="11">
        <v>60.0</v>
      </c>
      <c r="E751" s="8"/>
      <c r="F751" s="8"/>
      <c r="G751" s="11">
        <v>0.319</v>
      </c>
      <c r="H751" s="11">
        <v>0.873</v>
      </c>
      <c r="I751" s="9" t="s">
        <v>64</v>
      </c>
    </row>
    <row r="752">
      <c r="A752" s="12" t="s">
        <v>250</v>
      </c>
      <c r="B752" s="5" t="s">
        <v>75</v>
      </c>
      <c r="C752" s="8"/>
      <c r="D752" s="11">
        <v>114.0</v>
      </c>
      <c r="E752" s="8"/>
      <c r="F752" s="8"/>
      <c r="G752" s="11">
        <v>0.399</v>
      </c>
      <c r="H752" s="11">
        <v>0.886</v>
      </c>
      <c r="I752" s="9" t="s">
        <v>64</v>
      </c>
    </row>
    <row r="753">
      <c r="A753" s="12" t="s">
        <v>259</v>
      </c>
      <c r="B753" s="5" t="s">
        <v>75</v>
      </c>
      <c r="C753" s="8"/>
      <c r="D753" s="11">
        <v>16.0</v>
      </c>
      <c r="E753" s="8"/>
      <c r="F753" s="8"/>
      <c r="G753" s="11">
        <v>0.791</v>
      </c>
      <c r="H753" s="11">
        <v>0.984</v>
      </c>
      <c r="I753" s="9" t="s">
        <v>64</v>
      </c>
    </row>
    <row r="754">
      <c r="A754" s="12" t="s">
        <v>260</v>
      </c>
      <c r="B754" s="5" t="s">
        <v>75</v>
      </c>
      <c r="C754" s="8"/>
      <c r="D754" s="11">
        <v>20.0</v>
      </c>
      <c r="E754" s="8"/>
      <c r="F754" s="8"/>
      <c r="G754" s="11">
        <v>0.651</v>
      </c>
      <c r="H754" s="11">
        <v>0.849</v>
      </c>
      <c r="I754" s="9" t="s">
        <v>64</v>
      </c>
    </row>
    <row r="755">
      <c r="A755" s="12" t="s">
        <v>270</v>
      </c>
      <c r="B755" s="5" t="s">
        <v>75</v>
      </c>
      <c r="C755" s="8"/>
      <c r="D755" s="11">
        <v>38.0</v>
      </c>
      <c r="E755" s="8"/>
      <c r="F755" s="8"/>
      <c r="G755" s="11">
        <v>0.123</v>
      </c>
      <c r="H755" s="11">
        <v>0.423</v>
      </c>
      <c r="I755" s="9" t="s">
        <v>64</v>
      </c>
    </row>
    <row r="756">
      <c r="A756" s="12" t="s">
        <v>274</v>
      </c>
      <c r="B756" s="5" t="s">
        <v>75</v>
      </c>
      <c r="C756" s="8"/>
      <c r="D756" s="11">
        <v>40.0</v>
      </c>
      <c r="E756" s="8"/>
      <c r="F756" s="8"/>
      <c r="G756" s="11">
        <v>0.031</v>
      </c>
      <c r="H756" s="11">
        <v>0.136</v>
      </c>
      <c r="I756" s="9" t="s">
        <v>64</v>
      </c>
    </row>
    <row r="757">
      <c r="A757" s="12" t="s">
        <v>276</v>
      </c>
      <c r="B757" s="5" t="s">
        <v>75</v>
      </c>
      <c r="C757" s="8"/>
      <c r="D757" s="11">
        <v>13.0</v>
      </c>
      <c r="E757" s="8"/>
      <c r="F757" s="8"/>
      <c r="G757" s="11">
        <v>0.648</v>
      </c>
      <c r="H757" s="11">
        <v>0.909</v>
      </c>
      <c r="I757" s="9" t="s">
        <v>64</v>
      </c>
    </row>
    <row r="758">
      <c r="A758" s="12" t="s">
        <v>92</v>
      </c>
      <c r="B758" s="5" t="s">
        <v>93</v>
      </c>
      <c r="C758" s="8"/>
      <c r="D758" s="8"/>
      <c r="E758" s="8"/>
      <c r="F758" s="8"/>
      <c r="G758" s="11">
        <v>0.216</v>
      </c>
      <c r="H758" s="11">
        <v>0.574</v>
      </c>
      <c r="I758" s="9" t="s">
        <v>64</v>
      </c>
    </row>
    <row r="759">
      <c r="A759" s="12" t="s">
        <v>165</v>
      </c>
      <c r="B759" s="5" t="s">
        <v>93</v>
      </c>
      <c r="C759" s="8"/>
      <c r="D759" s="11">
        <v>29.0</v>
      </c>
      <c r="E759" s="8"/>
      <c r="F759" s="8"/>
      <c r="G759" s="11">
        <v>0.069</v>
      </c>
      <c r="H759" s="11">
        <v>0.05</v>
      </c>
      <c r="I759" s="9" t="s">
        <v>64</v>
      </c>
    </row>
    <row r="760">
      <c r="A760" s="12" t="s">
        <v>166</v>
      </c>
      <c r="B760" s="5" t="s">
        <v>93</v>
      </c>
      <c r="C760" s="8"/>
      <c r="D760" s="8"/>
      <c r="E760" s="8"/>
      <c r="F760" s="8"/>
      <c r="G760" s="11">
        <v>0.006</v>
      </c>
      <c r="H760" s="11">
        <v>0.003</v>
      </c>
      <c r="I760" s="9" t="s">
        <v>64</v>
      </c>
    </row>
    <row r="761">
      <c r="A761" s="12" t="s">
        <v>169</v>
      </c>
      <c r="B761" s="5" t="s">
        <v>93</v>
      </c>
      <c r="C761" s="8"/>
      <c r="D761" s="11">
        <v>20.0</v>
      </c>
      <c r="E761" s="8"/>
      <c r="F761" s="8"/>
      <c r="G761" s="11">
        <v>0.196</v>
      </c>
      <c r="H761" s="11">
        <v>1.042</v>
      </c>
      <c r="I761" s="9" t="s">
        <v>64</v>
      </c>
    </row>
    <row r="762">
      <c r="A762" s="12" t="s">
        <v>173</v>
      </c>
      <c r="B762" s="5" t="s">
        <v>93</v>
      </c>
      <c r="C762" s="8"/>
      <c r="D762" s="11">
        <v>79.0</v>
      </c>
      <c r="E762" s="8"/>
      <c r="F762" s="8"/>
      <c r="G762" s="11">
        <v>0.085</v>
      </c>
      <c r="H762" s="11">
        <v>0.266</v>
      </c>
      <c r="I762" s="9" t="s">
        <v>64</v>
      </c>
    </row>
    <row r="763">
      <c r="A763" s="12" t="s">
        <v>178</v>
      </c>
      <c r="B763" s="5" t="s">
        <v>93</v>
      </c>
      <c r="C763" s="8"/>
      <c r="D763" s="11">
        <v>35.0</v>
      </c>
      <c r="E763" s="8"/>
      <c r="F763" s="8"/>
      <c r="G763" s="11">
        <v>0.224</v>
      </c>
      <c r="H763" s="11">
        <v>0.671</v>
      </c>
      <c r="I763" s="9" t="s">
        <v>64</v>
      </c>
    </row>
    <row r="764">
      <c r="A764" s="12" t="s">
        <v>182</v>
      </c>
      <c r="B764" s="5" t="s">
        <v>93</v>
      </c>
      <c r="C764" s="8"/>
      <c r="D764" s="11">
        <v>46.0</v>
      </c>
      <c r="E764" s="8"/>
      <c r="F764" s="8"/>
      <c r="G764" s="11">
        <v>0.08</v>
      </c>
      <c r="H764" s="11">
        <v>0.216</v>
      </c>
      <c r="I764" s="9" t="s">
        <v>64</v>
      </c>
    </row>
    <row r="765">
      <c r="A765" s="12" t="s">
        <v>219</v>
      </c>
      <c r="B765" s="5" t="s">
        <v>93</v>
      </c>
      <c r="C765" s="8"/>
      <c r="D765" s="11">
        <v>35.0</v>
      </c>
      <c r="E765" s="8"/>
      <c r="F765" s="8"/>
      <c r="G765" s="11">
        <v>0.073</v>
      </c>
      <c r="H765" s="11">
        <v>0.249</v>
      </c>
      <c r="I765" s="9" t="s">
        <v>64</v>
      </c>
    </row>
    <row r="766">
      <c r="A766" s="12" t="s">
        <v>229</v>
      </c>
      <c r="B766" s="5" t="s">
        <v>93</v>
      </c>
      <c r="C766" s="8"/>
      <c r="D766" s="8"/>
      <c r="E766" s="8"/>
      <c r="F766" s="8"/>
      <c r="G766" s="11">
        <v>0.192</v>
      </c>
      <c r="H766" s="11">
        <v>0.57</v>
      </c>
      <c r="I766" s="9" t="s">
        <v>64</v>
      </c>
    </row>
    <row r="767">
      <c r="A767" s="12" t="s">
        <v>236</v>
      </c>
      <c r="B767" s="5" t="s">
        <v>93</v>
      </c>
      <c r="C767" s="8"/>
      <c r="D767" s="11">
        <v>74.0</v>
      </c>
      <c r="E767" s="8"/>
      <c r="F767" s="8"/>
      <c r="G767" s="11">
        <v>0.08</v>
      </c>
      <c r="H767" s="11">
        <v>0.317</v>
      </c>
      <c r="I767" s="9" t="s">
        <v>64</v>
      </c>
    </row>
    <row r="768">
      <c r="A768" s="12" t="s">
        <v>261</v>
      </c>
      <c r="B768" s="5" t="s">
        <v>93</v>
      </c>
      <c r="C768" s="8"/>
      <c r="D768" s="11">
        <v>43.0</v>
      </c>
      <c r="E768" s="8"/>
      <c r="F768" s="8"/>
      <c r="G768" s="11">
        <v>0.034</v>
      </c>
      <c r="H768" s="11">
        <v>0.069</v>
      </c>
      <c r="I768" s="9" t="s">
        <v>64</v>
      </c>
    </row>
    <row r="769">
      <c r="A769" s="12" t="s">
        <v>275</v>
      </c>
      <c r="B769" s="5" t="s">
        <v>93</v>
      </c>
      <c r="C769" s="8"/>
      <c r="D769" s="11">
        <v>19.0</v>
      </c>
      <c r="E769" s="8"/>
      <c r="F769" s="8"/>
      <c r="G769" s="11">
        <v>0.295</v>
      </c>
      <c r="H769" s="11">
        <v>0.882</v>
      </c>
      <c r="I769" s="9" t="s">
        <v>64</v>
      </c>
    </row>
    <row r="770">
      <c r="A770" s="12" t="s">
        <v>283</v>
      </c>
      <c r="B770" s="5" t="s">
        <v>93</v>
      </c>
      <c r="C770" s="8"/>
      <c r="D770" s="11">
        <v>72.0</v>
      </c>
      <c r="E770" s="8"/>
      <c r="F770" s="8"/>
      <c r="G770" s="11">
        <v>0.006</v>
      </c>
      <c r="H770" s="11">
        <v>0.035</v>
      </c>
      <c r="I770" s="9" t="s">
        <v>64</v>
      </c>
    </row>
    <row r="771">
      <c r="A771" s="12" t="s">
        <v>79</v>
      </c>
      <c r="B771" s="5" t="s">
        <v>80</v>
      </c>
      <c r="C771" s="8"/>
      <c r="D771" s="8"/>
      <c r="E771" s="8"/>
      <c r="F771" s="8"/>
      <c r="G771" s="8"/>
      <c r="H771" s="11">
        <v>0.036</v>
      </c>
      <c r="I771" s="9" t="s">
        <v>64</v>
      </c>
    </row>
    <row r="772">
      <c r="A772" s="12" t="s">
        <v>88</v>
      </c>
      <c r="B772" s="5" t="s">
        <v>80</v>
      </c>
      <c r="C772" s="8"/>
      <c r="D772" s="11">
        <v>3.0</v>
      </c>
      <c r="E772" s="8"/>
      <c r="F772" s="8"/>
      <c r="G772" s="8"/>
      <c r="H772" s="11">
        <v>0.719</v>
      </c>
      <c r="I772" s="9" t="s">
        <v>64</v>
      </c>
    </row>
    <row r="773">
      <c r="A773" s="12" t="s">
        <v>141</v>
      </c>
      <c r="B773" s="5" t="s">
        <v>80</v>
      </c>
      <c r="C773" s="8"/>
      <c r="D773" s="11">
        <v>45.0</v>
      </c>
      <c r="E773" s="8"/>
      <c r="F773" s="8"/>
      <c r="G773" s="11">
        <v>0.067</v>
      </c>
      <c r="H773" s="11">
        <v>0.134</v>
      </c>
      <c r="I773" s="9" t="s">
        <v>64</v>
      </c>
    </row>
    <row r="774">
      <c r="A774" s="12" t="s">
        <v>144</v>
      </c>
      <c r="B774" s="5" t="s">
        <v>80</v>
      </c>
      <c r="C774" s="8"/>
      <c r="D774" s="8"/>
      <c r="E774" s="8"/>
      <c r="F774" s="8"/>
      <c r="G774" s="11">
        <v>0.141</v>
      </c>
      <c r="H774" s="11">
        <v>0.242</v>
      </c>
      <c r="I774" s="9" t="s">
        <v>64</v>
      </c>
    </row>
    <row r="775">
      <c r="A775" s="12" t="s">
        <v>153</v>
      </c>
      <c r="B775" s="5" t="s">
        <v>80</v>
      </c>
      <c r="C775" s="8"/>
      <c r="D775" s="8"/>
      <c r="E775" s="8"/>
      <c r="F775" s="8"/>
      <c r="G775" s="11">
        <v>0.337</v>
      </c>
      <c r="H775" s="11">
        <v>0.506</v>
      </c>
      <c r="I775" s="9" t="s">
        <v>64</v>
      </c>
    </row>
    <row r="776">
      <c r="A776" s="12" t="s">
        <v>176</v>
      </c>
      <c r="B776" s="5" t="s">
        <v>80</v>
      </c>
      <c r="C776" s="8"/>
      <c r="D776" s="11">
        <v>21.0</v>
      </c>
      <c r="E776" s="8"/>
      <c r="F776" s="8"/>
      <c r="G776" s="11">
        <v>0.03</v>
      </c>
      <c r="H776" s="11">
        <v>0.006</v>
      </c>
      <c r="I776" s="9" t="s">
        <v>64</v>
      </c>
    </row>
    <row r="777">
      <c r="A777" s="12" t="s">
        <v>196</v>
      </c>
      <c r="B777" s="5" t="s">
        <v>80</v>
      </c>
      <c r="C777" s="8"/>
      <c r="D777" s="11">
        <v>17.0</v>
      </c>
      <c r="E777" s="8"/>
      <c r="F777" s="8"/>
      <c r="G777" s="11">
        <v>0.026</v>
      </c>
      <c r="H777" s="11">
        <v>0.011</v>
      </c>
      <c r="I777" s="9" t="s">
        <v>64</v>
      </c>
    </row>
    <row r="778">
      <c r="A778" s="12" t="s">
        <v>200</v>
      </c>
      <c r="B778" s="5" t="s">
        <v>80</v>
      </c>
      <c r="C778" s="8"/>
      <c r="D778" s="11">
        <v>16.0</v>
      </c>
      <c r="E778" s="8"/>
      <c r="F778" s="8"/>
      <c r="G778" s="11">
        <v>0.092</v>
      </c>
      <c r="H778" s="11">
        <v>0.055</v>
      </c>
      <c r="I778" s="9" t="s">
        <v>64</v>
      </c>
    </row>
    <row r="779">
      <c r="A779" s="12" t="s">
        <v>211</v>
      </c>
      <c r="B779" s="5" t="s">
        <v>80</v>
      </c>
      <c r="C779" s="8"/>
      <c r="D779" s="8"/>
      <c r="E779" s="8"/>
      <c r="F779" s="8"/>
      <c r="G779" s="11">
        <v>0.264</v>
      </c>
      <c r="H779" s="11">
        <v>0.439</v>
      </c>
      <c r="I779" s="9" t="s">
        <v>64</v>
      </c>
    </row>
    <row r="780">
      <c r="A780" s="12" t="s">
        <v>212</v>
      </c>
      <c r="B780" s="5" t="s">
        <v>80</v>
      </c>
      <c r="C780" s="8"/>
      <c r="D780" s="11">
        <v>12.0</v>
      </c>
      <c r="E780" s="8"/>
      <c r="F780" s="8"/>
      <c r="G780" s="11">
        <v>0.61</v>
      </c>
      <c r="H780" s="11">
        <v>0.646</v>
      </c>
      <c r="I780" s="9" t="s">
        <v>64</v>
      </c>
    </row>
    <row r="781">
      <c r="A781" s="12" t="s">
        <v>222</v>
      </c>
      <c r="B781" s="5" t="s">
        <v>80</v>
      </c>
      <c r="C781" s="8"/>
      <c r="D781" s="11">
        <v>51.0</v>
      </c>
      <c r="E781" s="8"/>
      <c r="F781" s="8"/>
      <c r="G781" s="11">
        <v>0.014</v>
      </c>
      <c r="H781" s="11">
        <v>0.003</v>
      </c>
      <c r="I781" s="9" t="s">
        <v>64</v>
      </c>
    </row>
    <row r="782">
      <c r="A782" s="12" t="s">
        <v>233</v>
      </c>
      <c r="B782" s="5" t="s">
        <v>80</v>
      </c>
      <c r="C782" s="8"/>
      <c r="D782" s="11">
        <v>42.0</v>
      </c>
      <c r="E782" s="8"/>
      <c r="F782" s="8"/>
      <c r="G782" s="11">
        <v>0.028</v>
      </c>
      <c r="H782" s="11">
        <v>0.059</v>
      </c>
      <c r="I782" s="9" t="s">
        <v>64</v>
      </c>
    </row>
    <row r="783">
      <c r="A783" s="12" t="s">
        <v>245</v>
      </c>
      <c r="B783" s="5" t="s">
        <v>80</v>
      </c>
      <c r="C783" s="8"/>
      <c r="D783" s="11">
        <v>56.0</v>
      </c>
      <c r="E783" s="8"/>
      <c r="F783" s="8"/>
      <c r="G783" s="11">
        <v>0.006</v>
      </c>
      <c r="H783" s="11">
        <v>0.002</v>
      </c>
      <c r="I783" s="9" t="s">
        <v>64</v>
      </c>
    </row>
    <row r="784">
      <c r="A784" s="12" t="s">
        <v>267</v>
      </c>
      <c r="B784" s="5" t="s">
        <v>80</v>
      </c>
      <c r="C784" s="8"/>
      <c r="D784" s="11">
        <v>32.0</v>
      </c>
      <c r="E784" s="8"/>
      <c r="F784" s="8"/>
      <c r="G784" s="11">
        <v>0.03</v>
      </c>
      <c r="H784" s="11">
        <v>0.112</v>
      </c>
      <c r="I784" s="9" t="s">
        <v>64</v>
      </c>
    </row>
    <row r="785">
      <c r="A785" s="12" t="s">
        <v>280</v>
      </c>
      <c r="B785" s="5" t="s">
        <v>80</v>
      </c>
      <c r="C785" s="8"/>
      <c r="D785" s="11">
        <v>39.0</v>
      </c>
      <c r="E785" s="8"/>
      <c r="F785" s="8"/>
      <c r="G785" s="11">
        <v>0.039</v>
      </c>
      <c r="H785" s="11">
        <v>0.039</v>
      </c>
      <c r="I785" s="9" t="s">
        <v>64</v>
      </c>
    </row>
    <row r="786">
      <c r="A786" s="12" t="s">
        <v>83</v>
      </c>
      <c r="B786" s="5" t="s">
        <v>84</v>
      </c>
      <c r="C786" s="8"/>
      <c r="D786" s="8"/>
      <c r="E786" s="8"/>
      <c r="F786" s="8"/>
      <c r="G786" s="11">
        <v>0.172</v>
      </c>
      <c r="H786" s="11">
        <v>0.57</v>
      </c>
      <c r="I786" s="9" t="s">
        <v>64</v>
      </c>
    </row>
    <row r="787">
      <c r="A787" s="12" t="s">
        <v>85</v>
      </c>
      <c r="B787" s="5" t="s">
        <v>84</v>
      </c>
      <c r="C787" s="8"/>
      <c r="D787" s="11">
        <v>66.0</v>
      </c>
      <c r="E787" s="8"/>
      <c r="F787" s="8"/>
      <c r="G787" s="11">
        <v>0.119</v>
      </c>
      <c r="H787" s="11">
        <v>0.207</v>
      </c>
      <c r="I787" s="9" t="s">
        <v>64</v>
      </c>
    </row>
    <row r="788">
      <c r="A788" s="12" t="s">
        <v>87</v>
      </c>
      <c r="B788" s="5" t="s">
        <v>84</v>
      </c>
      <c r="C788" s="8"/>
      <c r="D788" s="8"/>
      <c r="E788" s="8"/>
      <c r="F788" s="8"/>
      <c r="G788" s="11">
        <v>0.208</v>
      </c>
      <c r="H788" s="11">
        <v>0.721</v>
      </c>
      <c r="I788" s="9" t="s">
        <v>64</v>
      </c>
    </row>
    <row r="789">
      <c r="A789" s="12" t="s">
        <v>91</v>
      </c>
      <c r="B789" s="5" t="s">
        <v>84</v>
      </c>
      <c r="C789" s="8"/>
      <c r="D789" s="8"/>
      <c r="E789" s="8"/>
      <c r="F789" s="8"/>
      <c r="G789" s="11">
        <v>0.2</v>
      </c>
      <c r="H789" s="11">
        <v>0.387</v>
      </c>
      <c r="I789" s="9" t="s">
        <v>64</v>
      </c>
    </row>
    <row r="790">
      <c r="A790" s="12" t="s">
        <v>95</v>
      </c>
      <c r="B790" s="5" t="s">
        <v>84</v>
      </c>
      <c r="C790" s="8"/>
      <c r="D790" s="8"/>
      <c r="E790" s="8"/>
      <c r="F790" s="8"/>
      <c r="G790" s="11">
        <v>0.397</v>
      </c>
      <c r="H790" s="11">
        <v>0.517</v>
      </c>
      <c r="I790" s="9" t="s">
        <v>64</v>
      </c>
    </row>
    <row r="791">
      <c r="A791" s="12" t="s">
        <v>98</v>
      </c>
      <c r="B791" s="5" t="s">
        <v>84</v>
      </c>
      <c r="C791" s="8"/>
      <c r="D791" s="8"/>
      <c r="E791" s="8"/>
      <c r="F791" s="8"/>
      <c r="G791" s="8"/>
      <c r="H791" s="11">
        <v>0.234</v>
      </c>
      <c r="I791" s="9" t="s">
        <v>64</v>
      </c>
    </row>
    <row r="792">
      <c r="A792" s="12" t="s">
        <v>100</v>
      </c>
      <c r="B792" s="5" t="s">
        <v>84</v>
      </c>
      <c r="C792" s="8"/>
      <c r="D792" s="8"/>
      <c r="E792" s="8"/>
      <c r="F792" s="8"/>
      <c r="G792" s="11">
        <v>0.565</v>
      </c>
      <c r="H792" s="11">
        <v>0.628</v>
      </c>
      <c r="I792" s="9" t="s">
        <v>64</v>
      </c>
    </row>
    <row r="793">
      <c r="A793" s="12" t="s">
        <v>102</v>
      </c>
      <c r="B793" s="5" t="s">
        <v>84</v>
      </c>
      <c r="C793" s="8"/>
      <c r="D793" s="11">
        <v>60.0</v>
      </c>
      <c r="E793" s="8"/>
      <c r="F793" s="8"/>
      <c r="G793" s="11">
        <v>0.035</v>
      </c>
      <c r="H793" s="11">
        <v>0.142</v>
      </c>
      <c r="I793" s="9" t="s">
        <v>64</v>
      </c>
    </row>
    <row r="794">
      <c r="A794" s="12" t="s">
        <v>105</v>
      </c>
      <c r="B794" s="5" t="s">
        <v>84</v>
      </c>
      <c r="C794" s="8"/>
      <c r="D794" s="11">
        <v>152.0</v>
      </c>
      <c r="E794" s="8"/>
      <c r="F794" s="8"/>
      <c r="G794" s="11">
        <v>0.132</v>
      </c>
      <c r="H794" s="11">
        <v>0.255</v>
      </c>
      <c r="I794" s="9" t="s">
        <v>64</v>
      </c>
    </row>
    <row r="795">
      <c r="A795" s="12" t="s">
        <v>112</v>
      </c>
      <c r="B795" s="5" t="s">
        <v>84</v>
      </c>
      <c r="C795" s="8"/>
      <c r="D795" s="11">
        <v>3.0</v>
      </c>
      <c r="E795" s="8"/>
      <c r="F795" s="8"/>
      <c r="G795" s="11">
        <v>0.642</v>
      </c>
      <c r="H795" s="11">
        <v>0.421</v>
      </c>
      <c r="I795" s="9" t="s">
        <v>64</v>
      </c>
    </row>
    <row r="796">
      <c r="A796" s="12" t="s">
        <v>113</v>
      </c>
      <c r="B796" s="5" t="s">
        <v>84</v>
      </c>
      <c r="C796" s="8"/>
      <c r="D796" s="8"/>
      <c r="E796" s="8"/>
      <c r="F796" s="8"/>
      <c r="G796" s="8"/>
      <c r="H796" s="11">
        <v>0.457</v>
      </c>
      <c r="I796" s="9" t="s">
        <v>64</v>
      </c>
    </row>
    <row r="797">
      <c r="A797" s="12" t="s">
        <v>116</v>
      </c>
      <c r="B797" s="5" t="s">
        <v>84</v>
      </c>
      <c r="C797" s="8"/>
      <c r="D797" s="11">
        <v>27.0</v>
      </c>
      <c r="E797" s="8"/>
      <c r="F797" s="8"/>
      <c r="G797" s="11">
        <v>0.255</v>
      </c>
      <c r="H797" s="11">
        <v>0.454</v>
      </c>
      <c r="I797" s="9" t="s">
        <v>64</v>
      </c>
    </row>
    <row r="798">
      <c r="A798" s="12" t="s">
        <v>118</v>
      </c>
      <c r="B798" s="5" t="s">
        <v>84</v>
      </c>
      <c r="C798" s="8"/>
      <c r="D798" s="11">
        <v>60.0</v>
      </c>
      <c r="E798" s="8"/>
      <c r="F798" s="8"/>
      <c r="G798" s="11">
        <v>0.074</v>
      </c>
      <c r="H798" s="11">
        <v>0.148</v>
      </c>
      <c r="I798" s="9" t="s">
        <v>64</v>
      </c>
    </row>
    <row r="799">
      <c r="A799" s="12" t="s">
        <v>122</v>
      </c>
      <c r="B799" s="5" t="s">
        <v>84</v>
      </c>
      <c r="C799" s="8"/>
      <c r="D799" s="11">
        <v>77.0</v>
      </c>
      <c r="E799" s="8"/>
      <c r="F799" s="8"/>
      <c r="G799" s="11">
        <v>0.203</v>
      </c>
      <c r="H799" s="11">
        <v>0.187</v>
      </c>
      <c r="I799" s="9" t="s">
        <v>64</v>
      </c>
    </row>
    <row r="800">
      <c r="A800" s="12" t="s">
        <v>125</v>
      </c>
      <c r="B800" s="5" t="s">
        <v>84</v>
      </c>
      <c r="C800" s="8"/>
      <c r="D800" s="8"/>
      <c r="E800" s="8"/>
      <c r="F800" s="8"/>
      <c r="G800" s="11">
        <v>0.052</v>
      </c>
      <c r="H800" s="11">
        <v>0.003</v>
      </c>
      <c r="I800" s="9" t="s">
        <v>64</v>
      </c>
    </row>
    <row r="801">
      <c r="A801" s="12" t="s">
        <v>126</v>
      </c>
      <c r="B801" s="5" t="s">
        <v>84</v>
      </c>
      <c r="C801" s="8"/>
      <c r="D801" s="8"/>
      <c r="E801" s="8"/>
      <c r="F801" s="8"/>
      <c r="G801" s="8"/>
      <c r="H801" s="8"/>
      <c r="I801" s="9" t="s">
        <v>64</v>
      </c>
    </row>
    <row r="802">
      <c r="A802" s="12" t="s">
        <v>131</v>
      </c>
      <c r="B802" s="5" t="s">
        <v>84</v>
      </c>
      <c r="C802" s="8"/>
      <c r="D802" s="8"/>
      <c r="E802" s="8"/>
      <c r="F802" s="8"/>
      <c r="G802" s="11">
        <v>0.236</v>
      </c>
      <c r="H802" s="11">
        <v>0.34</v>
      </c>
      <c r="I802" s="9" t="s">
        <v>64</v>
      </c>
    </row>
    <row r="803">
      <c r="A803" s="12" t="s">
        <v>132</v>
      </c>
      <c r="B803" s="5" t="s">
        <v>84</v>
      </c>
      <c r="C803" s="8"/>
      <c r="D803" s="11">
        <v>77.0</v>
      </c>
      <c r="E803" s="8"/>
      <c r="F803" s="8"/>
      <c r="G803" s="11">
        <v>0.079</v>
      </c>
      <c r="H803" s="11">
        <v>0.231</v>
      </c>
      <c r="I803" s="9" t="s">
        <v>64</v>
      </c>
    </row>
    <row r="804">
      <c r="A804" s="12" t="s">
        <v>133</v>
      </c>
      <c r="B804" s="5" t="s">
        <v>84</v>
      </c>
      <c r="C804" s="8"/>
      <c r="D804" s="11">
        <v>92.0</v>
      </c>
      <c r="E804" s="8"/>
      <c r="F804" s="8"/>
      <c r="G804" s="11">
        <v>0.045</v>
      </c>
      <c r="H804" s="11">
        <v>0.181</v>
      </c>
      <c r="I804" s="9" t="s">
        <v>64</v>
      </c>
    </row>
    <row r="805">
      <c r="A805" s="12" t="s">
        <v>135</v>
      </c>
      <c r="B805" s="5" t="s">
        <v>84</v>
      </c>
      <c r="C805" s="8"/>
      <c r="D805" s="11">
        <v>115.0</v>
      </c>
      <c r="E805" s="8"/>
      <c r="F805" s="8"/>
      <c r="G805" s="11">
        <v>0.025</v>
      </c>
      <c r="H805" s="11">
        <v>0.191</v>
      </c>
      <c r="I805" s="9" t="s">
        <v>64</v>
      </c>
    </row>
    <row r="806">
      <c r="A806" s="12" t="s">
        <v>151</v>
      </c>
      <c r="B806" s="5" t="s">
        <v>84</v>
      </c>
      <c r="C806" s="8"/>
      <c r="D806" s="8"/>
      <c r="E806" s="8"/>
      <c r="F806" s="8"/>
      <c r="G806" s="11">
        <v>0.545</v>
      </c>
      <c r="H806" s="11">
        <v>0.524</v>
      </c>
      <c r="I806" s="9" t="s">
        <v>64</v>
      </c>
    </row>
    <row r="807">
      <c r="A807" s="12" t="s">
        <v>152</v>
      </c>
      <c r="B807" s="5" t="s">
        <v>84</v>
      </c>
      <c r="C807" s="8"/>
      <c r="D807" s="8"/>
      <c r="E807" s="8"/>
      <c r="F807" s="8"/>
      <c r="G807" s="11">
        <v>0.186</v>
      </c>
      <c r="H807" s="11">
        <v>0.413</v>
      </c>
      <c r="I807" s="9" t="s">
        <v>64</v>
      </c>
    </row>
    <row r="808">
      <c r="A808" s="12" t="s">
        <v>154</v>
      </c>
      <c r="B808" s="5" t="s">
        <v>84</v>
      </c>
      <c r="C808" s="8"/>
      <c r="D808" s="11">
        <v>39.0</v>
      </c>
      <c r="E808" s="8"/>
      <c r="F808" s="8"/>
      <c r="G808" s="11">
        <v>0.045</v>
      </c>
      <c r="H808" s="11">
        <v>0.169</v>
      </c>
      <c r="I808" s="9" t="s">
        <v>64</v>
      </c>
    </row>
    <row r="809">
      <c r="A809" s="12" t="s">
        <v>157</v>
      </c>
      <c r="B809" s="5" t="s">
        <v>84</v>
      </c>
      <c r="C809" s="8"/>
      <c r="D809" s="8"/>
      <c r="E809" s="8"/>
      <c r="F809" s="8"/>
      <c r="G809" s="8"/>
      <c r="H809" s="11">
        <v>0.183</v>
      </c>
      <c r="I809" s="9" t="s">
        <v>64</v>
      </c>
    </row>
    <row r="810">
      <c r="A810" s="12" t="s">
        <v>158</v>
      </c>
      <c r="B810" s="5" t="s">
        <v>84</v>
      </c>
      <c r="C810" s="8"/>
      <c r="D810" s="11">
        <v>202.0</v>
      </c>
      <c r="E810" s="8"/>
      <c r="F810" s="8"/>
      <c r="G810" s="11">
        <v>0.016</v>
      </c>
      <c r="H810" s="11">
        <v>0.036</v>
      </c>
      <c r="I810" s="9" t="s">
        <v>64</v>
      </c>
    </row>
    <row r="811">
      <c r="A811" s="12" t="s">
        <v>159</v>
      </c>
      <c r="B811" s="5" t="s">
        <v>84</v>
      </c>
      <c r="C811" s="8"/>
      <c r="D811" s="11">
        <v>62.0</v>
      </c>
      <c r="E811" s="8"/>
      <c r="F811" s="8"/>
      <c r="G811" s="11">
        <v>0.048</v>
      </c>
      <c r="H811" s="11">
        <v>0.057</v>
      </c>
      <c r="I811" s="9" t="s">
        <v>64</v>
      </c>
    </row>
    <row r="812">
      <c r="A812" s="12" t="s">
        <v>171</v>
      </c>
      <c r="B812" s="5" t="s">
        <v>84</v>
      </c>
      <c r="C812" s="8"/>
      <c r="D812" s="11">
        <v>31.0</v>
      </c>
      <c r="E812" s="8"/>
      <c r="F812" s="8"/>
      <c r="G812" s="11">
        <v>0.078</v>
      </c>
      <c r="H812" s="11">
        <v>0.596</v>
      </c>
      <c r="I812" s="9" t="s">
        <v>64</v>
      </c>
    </row>
    <row r="813">
      <c r="A813" s="12" t="s">
        <v>199</v>
      </c>
      <c r="B813" s="5" t="s">
        <v>84</v>
      </c>
      <c r="C813" s="8"/>
      <c r="D813" s="11">
        <v>58.0</v>
      </c>
      <c r="E813" s="8"/>
      <c r="F813" s="8"/>
      <c r="G813" s="11">
        <v>0.129</v>
      </c>
      <c r="H813" s="11">
        <v>0.279</v>
      </c>
      <c r="I813" s="9" t="s">
        <v>64</v>
      </c>
    </row>
    <row r="814">
      <c r="A814" s="12" t="s">
        <v>213</v>
      </c>
      <c r="B814" s="5" t="s">
        <v>84</v>
      </c>
      <c r="C814" s="8"/>
      <c r="D814" s="11">
        <v>46.0</v>
      </c>
      <c r="E814" s="8"/>
      <c r="F814" s="8"/>
      <c r="G814" s="11">
        <v>0.019</v>
      </c>
      <c r="H814" s="11">
        <v>0.088</v>
      </c>
      <c r="I814" s="9" t="s">
        <v>64</v>
      </c>
    </row>
    <row r="815">
      <c r="A815" s="12" t="s">
        <v>221</v>
      </c>
      <c r="B815" s="5" t="s">
        <v>84</v>
      </c>
      <c r="C815" s="8"/>
      <c r="D815" s="11">
        <v>18.0</v>
      </c>
      <c r="E815" s="8"/>
      <c r="F815" s="8"/>
      <c r="G815" s="11">
        <v>0.1</v>
      </c>
      <c r="H815" s="11">
        <v>0.214</v>
      </c>
      <c r="I815" s="9" t="s">
        <v>64</v>
      </c>
    </row>
    <row r="816">
      <c r="A816" s="12" t="s">
        <v>223</v>
      </c>
      <c r="B816" s="5" t="s">
        <v>84</v>
      </c>
      <c r="C816" s="8"/>
      <c r="D816" s="11">
        <v>74.0</v>
      </c>
      <c r="E816" s="8"/>
      <c r="F816" s="8"/>
      <c r="G816" s="11">
        <v>0.021</v>
      </c>
      <c r="H816" s="11">
        <v>0.312</v>
      </c>
      <c r="I816" s="9" t="s">
        <v>64</v>
      </c>
    </row>
    <row r="817">
      <c r="A817" s="12" t="s">
        <v>224</v>
      </c>
      <c r="B817" s="5" t="s">
        <v>84</v>
      </c>
      <c r="C817" s="8"/>
      <c r="D817" s="11">
        <v>98.0</v>
      </c>
      <c r="E817" s="8"/>
      <c r="F817" s="8"/>
      <c r="G817" s="11">
        <v>0.116</v>
      </c>
      <c r="H817" s="11">
        <v>0.108</v>
      </c>
      <c r="I817" s="9" t="s">
        <v>64</v>
      </c>
    </row>
    <row r="818">
      <c r="A818" s="12" t="s">
        <v>228</v>
      </c>
      <c r="B818" s="5" t="s">
        <v>84</v>
      </c>
      <c r="C818" s="8"/>
      <c r="D818" s="11">
        <v>7.0</v>
      </c>
      <c r="E818" s="8"/>
      <c r="F818" s="8"/>
      <c r="G818" s="11">
        <v>0.197</v>
      </c>
      <c r="H818" s="11">
        <v>0.452</v>
      </c>
      <c r="I818" s="9" t="s">
        <v>64</v>
      </c>
    </row>
    <row r="819">
      <c r="A819" s="12" t="s">
        <v>242</v>
      </c>
      <c r="B819" s="5" t="s">
        <v>84</v>
      </c>
      <c r="C819" s="8"/>
      <c r="D819" s="8"/>
      <c r="E819" s="8"/>
      <c r="F819" s="8"/>
      <c r="G819" s="8"/>
      <c r="H819" s="8"/>
      <c r="I819" s="9" t="s">
        <v>64</v>
      </c>
    </row>
    <row r="820">
      <c r="A820" s="12" t="s">
        <v>252</v>
      </c>
      <c r="B820" s="5" t="s">
        <v>84</v>
      </c>
      <c r="C820" s="8"/>
      <c r="D820" s="8"/>
      <c r="E820" s="8"/>
      <c r="F820" s="8"/>
      <c r="G820" s="11">
        <v>0.23</v>
      </c>
      <c r="H820" s="11">
        <v>0.461</v>
      </c>
      <c r="I820" s="9" t="s">
        <v>64</v>
      </c>
    </row>
    <row r="821">
      <c r="A821" s="12" t="s">
        <v>253</v>
      </c>
      <c r="B821" s="5" t="s">
        <v>84</v>
      </c>
      <c r="C821" s="8"/>
      <c r="D821" s="8"/>
      <c r="E821" s="8"/>
      <c r="F821" s="8"/>
      <c r="G821" s="11">
        <v>0.21</v>
      </c>
      <c r="H821" s="11">
        <v>0.612</v>
      </c>
      <c r="I821" s="9" t="s">
        <v>64</v>
      </c>
    </row>
    <row r="822">
      <c r="A822" s="12" t="s">
        <v>254</v>
      </c>
      <c r="B822" s="5" t="s">
        <v>84</v>
      </c>
      <c r="C822" s="8"/>
      <c r="D822" s="8"/>
      <c r="E822" s="8"/>
      <c r="F822" s="8"/>
      <c r="G822" s="8"/>
      <c r="H822" s="8"/>
      <c r="I822" s="9" t="s">
        <v>64</v>
      </c>
    </row>
    <row r="823">
      <c r="A823" s="12" t="s">
        <v>255</v>
      </c>
      <c r="B823" s="5" t="s">
        <v>84</v>
      </c>
      <c r="C823" s="8"/>
      <c r="D823" s="8"/>
      <c r="E823" s="8"/>
      <c r="F823" s="8"/>
      <c r="G823" s="11">
        <v>0.065</v>
      </c>
      <c r="H823" s="11">
        <v>0.581</v>
      </c>
      <c r="I823" s="9" t="s">
        <v>64</v>
      </c>
    </row>
    <row r="824">
      <c r="A824" s="12" t="s">
        <v>257</v>
      </c>
      <c r="B824" s="5" t="s">
        <v>84</v>
      </c>
      <c r="C824" s="8"/>
      <c r="D824" s="8"/>
      <c r="E824" s="8"/>
      <c r="F824" s="8"/>
      <c r="G824" s="11">
        <v>0.047</v>
      </c>
      <c r="H824" s="11">
        <v>0.346</v>
      </c>
      <c r="I824" s="9" t="s">
        <v>64</v>
      </c>
    </row>
    <row r="825">
      <c r="A825" s="12" t="s">
        <v>268</v>
      </c>
      <c r="B825" s="5" t="s">
        <v>84</v>
      </c>
      <c r="C825" s="8"/>
      <c r="D825" s="8"/>
      <c r="E825" s="8"/>
      <c r="F825" s="8"/>
      <c r="G825" s="11">
        <v>0.26</v>
      </c>
      <c r="H825" s="11">
        <v>0.262</v>
      </c>
      <c r="I825" s="9" t="s">
        <v>64</v>
      </c>
    </row>
    <row r="826">
      <c r="A826" s="12" t="s">
        <v>272</v>
      </c>
      <c r="B826" s="5" t="s">
        <v>84</v>
      </c>
      <c r="C826" s="8"/>
      <c r="D826" s="8"/>
      <c r="E826" s="8"/>
      <c r="F826" s="8"/>
      <c r="G826" s="8"/>
      <c r="H826" s="8"/>
      <c r="I826" s="9" t="s">
        <v>64</v>
      </c>
    </row>
    <row r="827">
      <c r="A827" s="12" t="s">
        <v>277</v>
      </c>
      <c r="B827" s="5" t="s">
        <v>84</v>
      </c>
      <c r="C827" s="8"/>
      <c r="D827" s="11">
        <v>6.0</v>
      </c>
      <c r="E827" s="8"/>
      <c r="F827" s="8"/>
      <c r="G827" s="11">
        <v>0.617</v>
      </c>
      <c r="H827" s="11">
        <v>0.548</v>
      </c>
      <c r="I827" s="9" t="s">
        <v>64</v>
      </c>
    </row>
    <row r="828">
      <c r="A828" s="12" t="s">
        <v>278</v>
      </c>
      <c r="B828" s="5" t="s">
        <v>84</v>
      </c>
      <c r="C828" s="8"/>
      <c r="D828" s="11">
        <v>45.0</v>
      </c>
      <c r="E828" s="8"/>
      <c r="F828" s="8"/>
      <c r="G828" s="11">
        <v>0.159</v>
      </c>
      <c r="H828" s="11">
        <v>0.15</v>
      </c>
      <c r="I828" s="9" t="s">
        <v>64</v>
      </c>
    </row>
    <row r="829">
      <c r="A829" s="12" t="s">
        <v>281</v>
      </c>
      <c r="B829" s="5" t="s">
        <v>84</v>
      </c>
      <c r="C829" s="8"/>
      <c r="D829" s="11">
        <v>141.0</v>
      </c>
      <c r="E829" s="8"/>
      <c r="F829" s="8"/>
      <c r="G829" s="11">
        <v>0.075</v>
      </c>
      <c r="H829" s="11">
        <v>0.272</v>
      </c>
      <c r="I829" s="9" t="s">
        <v>64</v>
      </c>
    </row>
    <row r="830">
      <c r="A830" s="12" t="s">
        <v>76</v>
      </c>
      <c r="B830" s="5" t="s">
        <v>77</v>
      </c>
      <c r="C830" s="8"/>
      <c r="D830" s="11">
        <v>25.0</v>
      </c>
      <c r="E830" s="8"/>
      <c r="F830" s="8"/>
      <c r="G830" s="11">
        <v>0.046</v>
      </c>
      <c r="H830" s="11">
        <v>0.146</v>
      </c>
      <c r="I830" s="9" t="s">
        <v>65</v>
      </c>
    </row>
    <row r="831">
      <c r="A831" s="12" t="s">
        <v>82</v>
      </c>
      <c r="B831" s="5" t="s">
        <v>77</v>
      </c>
      <c r="C831" s="8"/>
      <c r="D831" s="11">
        <v>119.0</v>
      </c>
      <c r="E831" s="8"/>
      <c r="F831" s="8"/>
      <c r="G831" s="11">
        <v>0.005</v>
      </c>
      <c r="H831" s="11">
        <v>0.046</v>
      </c>
      <c r="I831" s="9" t="s">
        <v>65</v>
      </c>
    </row>
    <row r="832">
      <c r="A832" s="12" t="s">
        <v>99</v>
      </c>
      <c r="B832" s="5" t="s">
        <v>77</v>
      </c>
      <c r="C832" s="8"/>
      <c r="D832" s="11">
        <v>31.0</v>
      </c>
      <c r="E832" s="8"/>
      <c r="F832" s="8"/>
      <c r="G832" s="11">
        <v>0.012</v>
      </c>
      <c r="H832" s="11">
        <v>0.058</v>
      </c>
      <c r="I832" s="9" t="s">
        <v>65</v>
      </c>
    </row>
    <row r="833">
      <c r="A833" s="12" t="s">
        <v>104</v>
      </c>
      <c r="B833" s="5" t="s">
        <v>77</v>
      </c>
      <c r="C833" s="8"/>
      <c r="D833" s="11">
        <v>107.0</v>
      </c>
      <c r="E833" s="8"/>
      <c r="F833" s="8"/>
      <c r="G833" s="11">
        <v>0.033</v>
      </c>
      <c r="H833" s="11">
        <v>0.282</v>
      </c>
      <c r="I833" s="9" t="s">
        <v>65</v>
      </c>
    </row>
    <row r="834">
      <c r="A834" s="12" t="s">
        <v>108</v>
      </c>
      <c r="B834" s="5" t="s">
        <v>77</v>
      </c>
      <c r="C834" s="8"/>
      <c r="D834" s="11">
        <v>40.0</v>
      </c>
      <c r="E834" s="8"/>
      <c r="F834" s="8"/>
      <c r="G834" s="11">
        <v>0.004</v>
      </c>
      <c r="H834" s="11">
        <v>0.03</v>
      </c>
      <c r="I834" s="9" t="s">
        <v>65</v>
      </c>
    </row>
    <row r="835">
      <c r="A835" s="12" t="s">
        <v>109</v>
      </c>
      <c r="B835" s="5" t="s">
        <v>77</v>
      </c>
      <c r="C835" s="8"/>
      <c r="D835" s="11">
        <v>13.0</v>
      </c>
      <c r="E835" s="8"/>
      <c r="F835" s="8"/>
      <c r="G835" s="11">
        <v>0.003</v>
      </c>
      <c r="H835" s="11">
        <v>0.013</v>
      </c>
      <c r="I835" s="9" t="s">
        <v>65</v>
      </c>
    </row>
    <row r="836">
      <c r="A836" s="12" t="s">
        <v>111</v>
      </c>
      <c r="B836" s="5" t="s">
        <v>77</v>
      </c>
      <c r="C836" s="8"/>
      <c r="D836" s="11">
        <v>45.0</v>
      </c>
      <c r="E836" s="8"/>
      <c r="F836" s="8"/>
      <c r="G836" s="11">
        <v>0.01</v>
      </c>
      <c r="H836" s="11">
        <v>0.087</v>
      </c>
      <c r="I836" s="9" t="s">
        <v>65</v>
      </c>
    </row>
    <row r="837">
      <c r="A837" s="12" t="s">
        <v>114</v>
      </c>
      <c r="B837" s="5" t="s">
        <v>77</v>
      </c>
      <c r="C837" s="8"/>
      <c r="D837" s="11">
        <v>22.0</v>
      </c>
      <c r="E837" s="8"/>
      <c r="F837" s="8"/>
      <c r="G837" s="11">
        <v>0.002</v>
      </c>
      <c r="H837" s="11">
        <v>0.015</v>
      </c>
      <c r="I837" s="9" t="s">
        <v>65</v>
      </c>
    </row>
    <row r="838">
      <c r="A838" s="12" t="s">
        <v>115</v>
      </c>
      <c r="B838" s="5" t="s">
        <v>77</v>
      </c>
      <c r="C838" s="8"/>
      <c r="D838" s="11">
        <v>64.0</v>
      </c>
      <c r="E838" s="8"/>
      <c r="F838" s="8"/>
      <c r="G838" s="11">
        <v>0.004</v>
      </c>
      <c r="H838" s="11">
        <v>0.013</v>
      </c>
      <c r="I838" s="9" t="s">
        <v>65</v>
      </c>
    </row>
    <row r="839">
      <c r="A839" s="12" t="s">
        <v>119</v>
      </c>
      <c r="B839" s="5" t="s">
        <v>77</v>
      </c>
      <c r="C839" s="8"/>
      <c r="D839" s="8"/>
      <c r="E839" s="8"/>
      <c r="F839" s="8"/>
      <c r="G839" s="11">
        <v>0.013</v>
      </c>
      <c r="H839" s="11">
        <v>0.014</v>
      </c>
      <c r="I839" s="9" t="s">
        <v>65</v>
      </c>
    </row>
    <row r="840">
      <c r="A840" s="12" t="s">
        <v>121</v>
      </c>
      <c r="B840" s="5" t="s">
        <v>77</v>
      </c>
      <c r="C840" s="8"/>
      <c r="D840" s="11">
        <v>133.0</v>
      </c>
      <c r="E840" s="8"/>
      <c r="F840" s="8"/>
      <c r="G840" s="11">
        <v>0.002</v>
      </c>
      <c r="H840" s="11">
        <v>0.038</v>
      </c>
      <c r="I840" s="9" t="s">
        <v>65</v>
      </c>
    </row>
    <row r="841">
      <c r="A841" s="12" t="s">
        <v>120</v>
      </c>
      <c r="B841" s="5" t="s">
        <v>77</v>
      </c>
      <c r="C841" s="8"/>
      <c r="D841" s="11">
        <v>37.0</v>
      </c>
      <c r="E841" s="8"/>
      <c r="F841" s="8"/>
      <c r="G841" s="11">
        <v>0.011</v>
      </c>
      <c r="H841" s="11">
        <v>0.111</v>
      </c>
      <c r="I841" s="9" t="s">
        <v>65</v>
      </c>
    </row>
    <row r="842">
      <c r="A842" s="12" t="s">
        <v>123</v>
      </c>
      <c r="B842" s="5" t="s">
        <v>77</v>
      </c>
      <c r="C842" s="8"/>
      <c r="D842" s="11">
        <v>58.0</v>
      </c>
      <c r="E842" s="8"/>
      <c r="F842" s="8"/>
      <c r="G842" s="11">
        <v>0.008</v>
      </c>
      <c r="H842" s="11">
        <v>0.098</v>
      </c>
      <c r="I842" s="9" t="s">
        <v>65</v>
      </c>
    </row>
    <row r="843">
      <c r="A843" s="12" t="s">
        <v>130</v>
      </c>
      <c r="B843" s="5" t="s">
        <v>77</v>
      </c>
      <c r="C843" s="8"/>
      <c r="D843" s="8"/>
      <c r="E843" s="8"/>
      <c r="F843" s="8"/>
      <c r="G843" s="11">
        <v>0.008</v>
      </c>
      <c r="H843" s="11">
        <v>0.045</v>
      </c>
      <c r="I843" s="9" t="s">
        <v>65</v>
      </c>
    </row>
    <row r="844">
      <c r="A844" s="12" t="s">
        <v>134</v>
      </c>
      <c r="B844" s="5" t="s">
        <v>77</v>
      </c>
      <c r="C844" s="8"/>
      <c r="D844" s="11">
        <v>37.0</v>
      </c>
      <c r="E844" s="8"/>
      <c r="F844" s="8"/>
      <c r="G844" s="11">
        <v>0.119</v>
      </c>
      <c r="H844" s="11">
        <v>0.108</v>
      </c>
      <c r="I844" s="9" t="s">
        <v>65</v>
      </c>
    </row>
    <row r="845">
      <c r="A845" s="12" t="s">
        <v>136</v>
      </c>
      <c r="B845" s="5" t="s">
        <v>77</v>
      </c>
      <c r="C845" s="8"/>
      <c r="D845" s="8"/>
      <c r="E845" s="8"/>
      <c r="F845" s="8"/>
      <c r="G845" s="11">
        <v>0.008</v>
      </c>
      <c r="H845" s="11">
        <v>0.106</v>
      </c>
      <c r="I845" s="9" t="s">
        <v>65</v>
      </c>
    </row>
    <row r="846">
      <c r="A846" s="12" t="s">
        <v>137</v>
      </c>
      <c r="B846" s="5" t="s">
        <v>77</v>
      </c>
      <c r="C846" s="8"/>
      <c r="D846" s="11">
        <v>91.0</v>
      </c>
      <c r="E846" s="8"/>
      <c r="F846" s="8"/>
      <c r="G846" s="8"/>
      <c r="H846" s="11">
        <v>0.004</v>
      </c>
      <c r="I846" s="9" t="s">
        <v>65</v>
      </c>
    </row>
    <row r="847">
      <c r="A847" s="12" t="s">
        <v>139</v>
      </c>
      <c r="B847" s="5" t="s">
        <v>77</v>
      </c>
      <c r="C847" s="8"/>
      <c r="D847" s="11">
        <v>34.0</v>
      </c>
      <c r="E847" s="8"/>
      <c r="F847" s="8"/>
      <c r="G847" s="11">
        <v>0.002</v>
      </c>
      <c r="H847" s="11">
        <v>0.002</v>
      </c>
      <c r="I847" s="9" t="s">
        <v>65</v>
      </c>
    </row>
    <row r="848">
      <c r="A848" s="12" t="s">
        <v>145</v>
      </c>
      <c r="B848" s="5" t="s">
        <v>77</v>
      </c>
      <c r="C848" s="8"/>
      <c r="D848" s="8"/>
      <c r="E848" s="8"/>
      <c r="F848" s="8"/>
      <c r="G848" s="11">
        <v>0.03</v>
      </c>
      <c r="H848" s="11">
        <v>0.363</v>
      </c>
      <c r="I848" s="9" t="s">
        <v>65</v>
      </c>
    </row>
    <row r="849">
      <c r="A849" s="12" t="s">
        <v>146</v>
      </c>
      <c r="B849" s="5" t="s">
        <v>77</v>
      </c>
      <c r="C849" s="8"/>
      <c r="D849" s="8"/>
      <c r="E849" s="8"/>
      <c r="F849" s="8"/>
      <c r="G849" s="11">
        <v>0.033</v>
      </c>
      <c r="H849" s="11">
        <v>0.126</v>
      </c>
      <c r="I849" s="9" t="s">
        <v>65</v>
      </c>
    </row>
    <row r="850">
      <c r="A850" s="12" t="s">
        <v>149</v>
      </c>
      <c r="B850" s="5" t="s">
        <v>77</v>
      </c>
      <c r="C850" s="8"/>
      <c r="D850" s="11">
        <v>22.0</v>
      </c>
      <c r="E850" s="8"/>
      <c r="F850" s="8"/>
      <c r="G850" s="11">
        <v>0.017</v>
      </c>
      <c r="H850" s="11">
        <v>0.081</v>
      </c>
      <c r="I850" s="9" t="s">
        <v>65</v>
      </c>
    </row>
    <row r="851">
      <c r="A851" s="12" t="s">
        <v>155</v>
      </c>
      <c r="B851" s="5" t="s">
        <v>77</v>
      </c>
      <c r="C851" s="8"/>
      <c r="D851" s="11">
        <v>40.0</v>
      </c>
      <c r="E851" s="8"/>
      <c r="F851" s="8"/>
      <c r="G851" s="11">
        <v>0.005</v>
      </c>
      <c r="H851" s="11">
        <v>0.017</v>
      </c>
      <c r="I851" s="9" t="s">
        <v>65</v>
      </c>
    </row>
    <row r="852">
      <c r="A852" s="12" t="s">
        <v>156</v>
      </c>
      <c r="B852" s="5" t="s">
        <v>77</v>
      </c>
      <c r="C852" s="8"/>
      <c r="D852" s="8"/>
      <c r="E852" s="8"/>
      <c r="F852" s="8"/>
      <c r="G852" s="11">
        <v>0.018</v>
      </c>
      <c r="H852" s="11">
        <v>0.028</v>
      </c>
      <c r="I852" s="9" t="s">
        <v>65</v>
      </c>
    </row>
    <row r="853">
      <c r="A853" s="12" t="s">
        <v>175</v>
      </c>
      <c r="B853" s="5" t="s">
        <v>77</v>
      </c>
      <c r="C853" s="8"/>
      <c r="D853" s="11">
        <v>47.0</v>
      </c>
      <c r="E853" s="8"/>
      <c r="F853" s="8"/>
      <c r="G853" s="11">
        <v>0.03</v>
      </c>
      <c r="H853" s="11">
        <v>0.073</v>
      </c>
      <c r="I853" s="9" t="s">
        <v>65</v>
      </c>
    </row>
    <row r="854">
      <c r="A854" s="12" t="s">
        <v>183</v>
      </c>
      <c r="B854" s="5" t="s">
        <v>77</v>
      </c>
      <c r="C854" s="8"/>
      <c r="D854" s="11">
        <v>93.0</v>
      </c>
      <c r="E854" s="8"/>
      <c r="F854" s="8"/>
      <c r="G854" s="11">
        <v>0.022</v>
      </c>
      <c r="H854" s="11">
        <v>0.103</v>
      </c>
      <c r="I854" s="9" t="s">
        <v>65</v>
      </c>
    </row>
    <row r="855">
      <c r="A855" s="12" t="s">
        <v>184</v>
      </c>
      <c r="B855" s="5" t="s">
        <v>77</v>
      </c>
      <c r="C855" s="8"/>
      <c r="D855" s="8"/>
      <c r="E855" s="8"/>
      <c r="F855" s="8"/>
      <c r="G855" s="11">
        <v>0.0</v>
      </c>
      <c r="H855" s="11">
        <v>0.03</v>
      </c>
      <c r="I855" s="9" t="s">
        <v>65</v>
      </c>
    </row>
    <row r="856">
      <c r="A856" s="12" t="s">
        <v>185</v>
      </c>
      <c r="B856" s="5" t="s">
        <v>77</v>
      </c>
      <c r="C856" s="8"/>
      <c r="D856" s="8"/>
      <c r="E856" s="8"/>
      <c r="F856" s="8"/>
      <c r="G856" s="11">
        <v>0.035</v>
      </c>
      <c r="H856" s="11">
        <v>0.091</v>
      </c>
      <c r="I856" s="9" t="s">
        <v>65</v>
      </c>
    </row>
    <row r="857">
      <c r="A857" s="12" t="s">
        <v>190</v>
      </c>
      <c r="B857" s="5" t="s">
        <v>77</v>
      </c>
      <c r="C857" s="8"/>
      <c r="D857" s="11">
        <v>44.0</v>
      </c>
      <c r="E857" s="8"/>
      <c r="F857" s="8"/>
      <c r="G857" s="11">
        <v>0.005</v>
      </c>
      <c r="H857" s="11">
        <v>0.019</v>
      </c>
      <c r="I857" s="9" t="s">
        <v>65</v>
      </c>
    </row>
    <row r="858">
      <c r="A858" s="12" t="s">
        <v>191</v>
      </c>
      <c r="B858" s="5" t="s">
        <v>77</v>
      </c>
      <c r="C858" s="8"/>
      <c r="D858" s="11">
        <v>39.0</v>
      </c>
      <c r="E858" s="8"/>
      <c r="F858" s="8"/>
      <c r="G858" s="11">
        <v>0.003</v>
      </c>
      <c r="H858" s="11">
        <v>0.018</v>
      </c>
      <c r="I858" s="9" t="s">
        <v>65</v>
      </c>
    </row>
    <row r="859">
      <c r="A859" s="12" t="s">
        <v>194</v>
      </c>
      <c r="B859" s="5" t="s">
        <v>77</v>
      </c>
      <c r="C859" s="8"/>
      <c r="D859" s="11">
        <v>41.0</v>
      </c>
      <c r="E859" s="8"/>
      <c r="F859" s="8"/>
      <c r="G859" s="11">
        <v>0.004</v>
      </c>
      <c r="H859" s="11">
        <v>0.035</v>
      </c>
      <c r="I859" s="9" t="s">
        <v>65</v>
      </c>
    </row>
    <row r="860">
      <c r="A860" s="12" t="s">
        <v>197</v>
      </c>
      <c r="B860" s="5" t="s">
        <v>77</v>
      </c>
      <c r="C860" s="8"/>
      <c r="D860" s="11">
        <v>82.0</v>
      </c>
      <c r="E860" s="8"/>
      <c r="F860" s="8"/>
      <c r="G860" s="11">
        <v>0.005</v>
      </c>
      <c r="H860" s="11">
        <v>0.171</v>
      </c>
      <c r="I860" s="9" t="s">
        <v>65</v>
      </c>
    </row>
    <row r="861">
      <c r="A861" s="12" t="s">
        <v>198</v>
      </c>
      <c r="B861" s="5" t="s">
        <v>77</v>
      </c>
      <c r="C861" s="8"/>
      <c r="D861" s="11">
        <v>46.0</v>
      </c>
      <c r="E861" s="8"/>
      <c r="F861" s="8"/>
      <c r="G861" s="11">
        <v>0.137</v>
      </c>
      <c r="H861" s="11">
        <v>0.453</v>
      </c>
      <c r="I861" s="9" t="s">
        <v>65</v>
      </c>
    </row>
    <row r="862">
      <c r="A862" s="12" t="s">
        <v>205</v>
      </c>
      <c r="B862" s="5" t="s">
        <v>77</v>
      </c>
      <c r="C862" s="8"/>
      <c r="D862" s="11">
        <v>12.0</v>
      </c>
      <c r="E862" s="8"/>
      <c r="F862" s="8"/>
      <c r="G862" s="11">
        <v>0.116</v>
      </c>
      <c r="H862" s="11">
        <v>0.313</v>
      </c>
      <c r="I862" s="9" t="s">
        <v>65</v>
      </c>
    </row>
    <row r="863">
      <c r="A863" s="12" t="s">
        <v>206</v>
      </c>
      <c r="B863" s="5" t="s">
        <v>77</v>
      </c>
      <c r="C863" s="8"/>
      <c r="D863" s="11">
        <v>153.0</v>
      </c>
      <c r="E863" s="8"/>
      <c r="F863" s="8"/>
      <c r="G863" s="11">
        <v>0.007</v>
      </c>
      <c r="H863" s="11">
        <v>0.035</v>
      </c>
      <c r="I863" s="9" t="s">
        <v>65</v>
      </c>
    </row>
    <row r="864">
      <c r="A864" s="12" t="s">
        <v>208</v>
      </c>
      <c r="B864" s="5" t="s">
        <v>77</v>
      </c>
      <c r="C864" s="8"/>
      <c r="D864" s="11">
        <v>85.0</v>
      </c>
      <c r="E864" s="8"/>
      <c r="F864" s="8"/>
      <c r="G864" s="11">
        <v>0.038</v>
      </c>
      <c r="H864" s="11">
        <v>0.143</v>
      </c>
      <c r="I864" s="9" t="s">
        <v>65</v>
      </c>
    </row>
    <row r="865">
      <c r="A865" s="12" t="s">
        <v>214</v>
      </c>
      <c r="B865" s="5" t="s">
        <v>77</v>
      </c>
      <c r="C865" s="8"/>
      <c r="D865" s="11">
        <v>35.0</v>
      </c>
      <c r="E865" s="8"/>
      <c r="F865" s="8"/>
      <c r="G865" s="11">
        <v>0.002</v>
      </c>
      <c r="H865" s="11">
        <v>0.014</v>
      </c>
      <c r="I865" s="9" t="s">
        <v>65</v>
      </c>
    </row>
    <row r="866">
      <c r="A866" s="12" t="s">
        <v>215</v>
      </c>
      <c r="B866" s="5" t="s">
        <v>77</v>
      </c>
      <c r="C866" s="8"/>
      <c r="D866" s="11">
        <v>36.0</v>
      </c>
      <c r="E866" s="8"/>
      <c r="F866" s="8"/>
      <c r="G866" s="11">
        <v>0.013</v>
      </c>
      <c r="H866" s="11">
        <v>0.067</v>
      </c>
      <c r="I866" s="9" t="s">
        <v>65</v>
      </c>
    </row>
    <row r="867">
      <c r="A867" s="12" t="s">
        <v>232</v>
      </c>
      <c r="B867" s="5" t="s">
        <v>77</v>
      </c>
      <c r="C867" s="8"/>
      <c r="D867" s="11">
        <v>18.0</v>
      </c>
      <c r="E867" s="8"/>
      <c r="F867" s="8"/>
      <c r="G867" s="11">
        <v>0.004</v>
      </c>
      <c r="H867" s="11">
        <v>0.015</v>
      </c>
      <c r="I867" s="9" t="s">
        <v>65</v>
      </c>
    </row>
    <row r="868">
      <c r="A868" s="12" t="s">
        <v>235</v>
      </c>
      <c r="B868" s="5" t="s">
        <v>77</v>
      </c>
      <c r="C868" s="8"/>
      <c r="D868" s="11">
        <v>192.0</v>
      </c>
      <c r="E868" s="8"/>
      <c r="F868" s="8"/>
      <c r="G868" s="11">
        <v>0.133</v>
      </c>
      <c r="H868" s="11">
        <v>0.051</v>
      </c>
      <c r="I868" s="9" t="s">
        <v>65</v>
      </c>
    </row>
    <row r="869">
      <c r="A869" s="12" t="s">
        <v>237</v>
      </c>
      <c r="B869" s="5" t="s">
        <v>77</v>
      </c>
      <c r="C869" s="8"/>
      <c r="D869" s="11">
        <v>59.0</v>
      </c>
      <c r="E869" s="8"/>
      <c r="F869" s="8"/>
      <c r="G869" s="11">
        <v>0.044</v>
      </c>
      <c r="H869" s="11">
        <v>0.102</v>
      </c>
      <c r="I869" s="9" t="s">
        <v>65</v>
      </c>
    </row>
    <row r="870">
      <c r="A870" s="12" t="s">
        <v>239</v>
      </c>
      <c r="B870" s="5" t="s">
        <v>77</v>
      </c>
      <c r="C870" s="8"/>
      <c r="D870" s="8"/>
      <c r="E870" s="8"/>
      <c r="F870" s="8"/>
      <c r="G870" s="11">
        <v>0.243</v>
      </c>
      <c r="H870" s="11">
        <v>0.634</v>
      </c>
      <c r="I870" s="9" t="s">
        <v>65</v>
      </c>
    </row>
    <row r="871">
      <c r="A871" s="12" t="s">
        <v>240</v>
      </c>
      <c r="B871" s="5" t="s">
        <v>77</v>
      </c>
      <c r="C871" s="8"/>
      <c r="D871" s="11">
        <v>26.0</v>
      </c>
      <c r="E871" s="8"/>
      <c r="F871" s="8"/>
      <c r="G871" s="11">
        <v>0.002</v>
      </c>
      <c r="H871" s="8"/>
      <c r="I871" s="9" t="s">
        <v>65</v>
      </c>
    </row>
    <row r="872">
      <c r="A872" s="12" t="s">
        <v>246</v>
      </c>
      <c r="B872" s="5" t="s">
        <v>77</v>
      </c>
      <c r="C872" s="8"/>
      <c r="D872" s="8"/>
      <c r="E872" s="8"/>
      <c r="F872" s="8"/>
      <c r="G872" s="11">
        <v>0.011</v>
      </c>
      <c r="H872" s="11">
        <v>0.061</v>
      </c>
      <c r="I872" s="9" t="s">
        <v>65</v>
      </c>
    </row>
    <row r="873">
      <c r="A873" s="12" t="s">
        <v>247</v>
      </c>
      <c r="B873" s="5" t="s">
        <v>77</v>
      </c>
      <c r="C873" s="8"/>
      <c r="D873" s="11">
        <v>38.0</v>
      </c>
      <c r="E873" s="8"/>
      <c r="F873" s="8"/>
      <c r="G873" s="11">
        <v>0.084</v>
      </c>
      <c r="H873" s="11">
        <v>0.438</v>
      </c>
      <c r="I873" s="9" t="s">
        <v>65</v>
      </c>
    </row>
    <row r="874">
      <c r="A874" s="12" t="s">
        <v>249</v>
      </c>
      <c r="B874" s="5" t="s">
        <v>77</v>
      </c>
      <c r="C874" s="8"/>
      <c r="D874" s="8"/>
      <c r="E874" s="8"/>
      <c r="F874" s="8"/>
      <c r="G874" s="8"/>
      <c r="H874" s="8"/>
      <c r="I874" s="9" t="s">
        <v>65</v>
      </c>
    </row>
    <row r="875">
      <c r="A875" s="12" t="s">
        <v>256</v>
      </c>
      <c r="B875" s="5" t="s">
        <v>77</v>
      </c>
      <c r="C875" s="8"/>
      <c r="D875" s="11">
        <v>39.0</v>
      </c>
      <c r="E875" s="8"/>
      <c r="F875" s="8"/>
      <c r="G875" s="11">
        <v>0.008</v>
      </c>
      <c r="H875" s="11">
        <v>0.028</v>
      </c>
      <c r="I875" s="9" t="s">
        <v>65</v>
      </c>
    </row>
    <row r="876">
      <c r="A876" s="12" t="s">
        <v>258</v>
      </c>
      <c r="B876" s="5" t="s">
        <v>77</v>
      </c>
      <c r="C876" s="8"/>
      <c r="D876" s="8"/>
      <c r="E876" s="8"/>
      <c r="F876" s="8"/>
      <c r="G876" s="11">
        <v>0.032</v>
      </c>
      <c r="H876" s="11">
        <v>0.132</v>
      </c>
      <c r="I876" s="9" t="s">
        <v>65</v>
      </c>
    </row>
    <row r="877">
      <c r="A877" s="12" t="s">
        <v>263</v>
      </c>
      <c r="B877" s="5" t="s">
        <v>77</v>
      </c>
      <c r="C877" s="8"/>
      <c r="D877" s="11">
        <v>28.0</v>
      </c>
      <c r="E877" s="8"/>
      <c r="F877" s="8"/>
      <c r="G877" s="11">
        <v>0.009</v>
      </c>
      <c r="H877" s="11">
        <v>0.051</v>
      </c>
      <c r="I877" s="9" t="s">
        <v>65</v>
      </c>
    </row>
    <row r="878">
      <c r="A878" s="12" t="s">
        <v>266</v>
      </c>
      <c r="B878" s="5" t="s">
        <v>77</v>
      </c>
      <c r="C878" s="8"/>
      <c r="D878" s="11">
        <v>65.0</v>
      </c>
      <c r="E878" s="8"/>
      <c r="F878" s="8"/>
      <c r="G878" s="11">
        <v>0.015</v>
      </c>
      <c r="H878" s="11">
        <v>0.062</v>
      </c>
      <c r="I878" s="9" t="s">
        <v>65</v>
      </c>
    </row>
    <row r="879">
      <c r="A879" s="12" t="s">
        <v>269</v>
      </c>
      <c r="B879" s="5" t="s">
        <v>77</v>
      </c>
      <c r="C879" s="8"/>
      <c r="D879" s="11">
        <v>11.0</v>
      </c>
      <c r="E879" s="8"/>
      <c r="F879" s="8"/>
      <c r="G879" s="11">
        <v>0.085</v>
      </c>
      <c r="H879" s="11">
        <v>0.376</v>
      </c>
      <c r="I879" s="9" t="s">
        <v>65</v>
      </c>
    </row>
    <row r="880">
      <c r="A880" s="12" t="s">
        <v>273</v>
      </c>
      <c r="B880" s="5" t="s">
        <v>77</v>
      </c>
      <c r="C880" s="8"/>
      <c r="D880" s="11">
        <v>34.0</v>
      </c>
      <c r="E880" s="8"/>
      <c r="F880" s="8"/>
      <c r="G880" s="11">
        <v>0.007</v>
      </c>
      <c r="H880" s="11">
        <v>0.042</v>
      </c>
      <c r="I880" s="9" t="s">
        <v>65</v>
      </c>
    </row>
    <row r="881">
      <c r="A881" s="12" t="s">
        <v>284</v>
      </c>
      <c r="B881" s="5" t="s">
        <v>77</v>
      </c>
      <c r="C881" s="8"/>
      <c r="D881" s="11">
        <v>35.0</v>
      </c>
      <c r="E881" s="8"/>
      <c r="F881" s="8"/>
      <c r="G881" s="11">
        <v>0.02</v>
      </c>
      <c r="H881" s="11">
        <v>0.042</v>
      </c>
      <c r="I881" s="9" t="s">
        <v>65</v>
      </c>
    </row>
    <row r="882">
      <c r="A882" s="12" t="s">
        <v>285</v>
      </c>
      <c r="B882" s="5" t="s">
        <v>77</v>
      </c>
      <c r="C882" s="8"/>
      <c r="D882" s="11">
        <v>97.0</v>
      </c>
      <c r="E882" s="8"/>
      <c r="F882" s="8"/>
      <c r="G882" s="11">
        <v>0.066</v>
      </c>
      <c r="H882" s="11">
        <v>0.034</v>
      </c>
      <c r="I882" s="9" t="s">
        <v>65</v>
      </c>
    </row>
    <row r="883">
      <c r="A883" s="12" t="s">
        <v>59</v>
      </c>
      <c r="B883" s="5" t="s">
        <v>61</v>
      </c>
      <c r="C883" s="8"/>
      <c r="D883" s="11">
        <v>9.0</v>
      </c>
      <c r="E883" s="8"/>
      <c r="F883" s="8"/>
      <c r="G883" s="11">
        <v>0.001</v>
      </c>
      <c r="H883" s="11">
        <v>0.025</v>
      </c>
      <c r="I883" s="9" t="s">
        <v>65</v>
      </c>
    </row>
    <row r="884">
      <c r="A884" s="12" t="s">
        <v>86</v>
      </c>
      <c r="B884" s="5" t="s">
        <v>61</v>
      </c>
      <c r="C884" s="8"/>
      <c r="D884" s="11">
        <v>18.0</v>
      </c>
      <c r="E884" s="8"/>
      <c r="F884" s="8"/>
      <c r="G884" s="11">
        <v>0.049</v>
      </c>
      <c r="H884" s="11">
        <v>0.067</v>
      </c>
      <c r="I884" s="9" t="s">
        <v>65</v>
      </c>
    </row>
    <row r="885">
      <c r="A885" s="12" t="s">
        <v>90</v>
      </c>
      <c r="B885" s="5" t="s">
        <v>61</v>
      </c>
      <c r="C885" s="8"/>
      <c r="D885" s="11">
        <v>121.0</v>
      </c>
      <c r="E885" s="8"/>
      <c r="F885" s="8"/>
      <c r="G885" s="8"/>
      <c r="H885" s="11">
        <v>0.172</v>
      </c>
      <c r="I885" s="9" t="s">
        <v>65</v>
      </c>
    </row>
    <row r="886">
      <c r="A886" s="12" t="s">
        <v>94</v>
      </c>
      <c r="B886" s="5" t="s">
        <v>61</v>
      </c>
      <c r="C886" s="8"/>
      <c r="D886" s="11">
        <v>50.0</v>
      </c>
      <c r="E886" s="8"/>
      <c r="F886" s="8"/>
      <c r="G886" s="11">
        <v>0.002</v>
      </c>
      <c r="H886" s="11">
        <v>0.02</v>
      </c>
      <c r="I886" s="9" t="s">
        <v>65</v>
      </c>
    </row>
    <row r="887">
      <c r="A887" s="12" t="s">
        <v>101</v>
      </c>
      <c r="B887" s="5" t="s">
        <v>61</v>
      </c>
      <c r="C887" s="8"/>
      <c r="D887" s="11">
        <v>62.0</v>
      </c>
      <c r="E887" s="8"/>
      <c r="F887" s="8"/>
      <c r="G887" s="11">
        <v>0.032</v>
      </c>
      <c r="H887" s="11">
        <v>0.03</v>
      </c>
      <c r="I887" s="9" t="s">
        <v>65</v>
      </c>
    </row>
    <row r="888">
      <c r="A888" s="12" t="s">
        <v>106</v>
      </c>
      <c r="B888" s="5" t="s">
        <v>61</v>
      </c>
      <c r="C888" s="8"/>
      <c r="D888" s="8"/>
      <c r="E888" s="8"/>
      <c r="F888" s="8"/>
      <c r="G888" s="11">
        <v>0.297</v>
      </c>
      <c r="H888" s="11">
        <v>0.561</v>
      </c>
      <c r="I888" s="9" t="s">
        <v>65</v>
      </c>
    </row>
    <row r="889">
      <c r="A889" s="12" t="s">
        <v>110</v>
      </c>
      <c r="B889" s="5" t="s">
        <v>61</v>
      </c>
      <c r="C889" s="8"/>
      <c r="D889" s="11">
        <v>94.0</v>
      </c>
      <c r="E889" s="8"/>
      <c r="F889" s="8"/>
      <c r="G889" s="11">
        <v>0.003</v>
      </c>
      <c r="H889" s="11">
        <v>0.066</v>
      </c>
      <c r="I889" s="9" t="s">
        <v>65</v>
      </c>
    </row>
    <row r="890">
      <c r="A890" s="12" t="s">
        <v>117</v>
      </c>
      <c r="B890" s="5" t="s">
        <v>61</v>
      </c>
      <c r="C890" s="8"/>
      <c r="D890" s="11">
        <v>48.0</v>
      </c>
      <c r="E890" s="8"/>
      <c r="F890" s="8"/>
      <c r="G890" s="11">
        <v>0.073</v>
      </c>
      <c r="H890" s="11">
        <v>0.256</v>
      </c>
      <c r="I890" s="9" t="s">
        <v>65</v>
      </c>
    </row>
    <row r="891">
      <c r="A891" s="12" t="s">
        <v>147</v>
      </c>
      <c r="B891" s="5" t="s">
        <v>61</v>
      </c>
      <c r="C891" s="8"/>
      <c r="D891" s="11">
        <v>25.0</v>
      </c>
      <c r="E891" s="8"/>
      <c r="F891" s="8"/>
      <c r="G891" s="11">
        <v>0.039</v>
      </c>
      <c r="H891" s="11">
        <v>0.186</v>
      </c>
      <c r="I891" s="9" t="s">
        <v>65</v>
      </c>
    </row>
    <row r="892">
      <c r="A892" s="12" t="s">
        <v>160</v>
      </c>
      <c r="B892" s="5" t="s">
        <v>61</v>
      </c>
      <c r="C892" s="8"/>
      <c r="D892" s="11">
        <v>11.0</v>
      </c>
      <c r="E892" s="8"/>
      <c r="F892" s="8"/>
      <c r="G892" s="11">
        <v>0.564</v>
      </c>
      <c r="H892" s="11">
        <v>1.191</v>
      </c>
      <c r="I892" s="9" t="s">
        <v>65</v>
      </c>
    </row>
    <row r="893">
      <c r="A893" s="12" t="s">
        <v>163</v>
      </c>
      <c r="B893" s="5" t="s">
        <v>61</v>
      </c>
      <c r="C893" s="8"/>
      <c r="D893" s="11">
        <v>89.0</v>
      </c>
      <c r="E893" s="8"/>
      <c r="F893" s="8"/>
      <c r="G893" s="11">
        <v>0.02</v>
      </c>
      <c r="H893" s="11">
        <v>0.047</v>
      </c>
      <c r="I893" s="9" t="s">
        <v>65</v>
      </c>
    </row>
    <row r="894">
      <c r="A894" s="12" t="s">
        <v>164</v>
      </c>
      <c r="B894" s="5" t="s">
        <v>61</v>
      </c>
      <c r="C894" s="8"/>
      <c r="D894" s="11">
        <v>151.0</v>
      </c>
      <c r="E894" s="8"/>
      <c r="F894" s="8"/>
      <c r="G894" s="11">
        <v>0.026</v>
      </c>
      <c r="H894" s="11">
        <v>0.137</v>
      </c>
      <c r="I894" s="9" t="s">
        <v>65</v>
      </c>
    </row>
    <row r="895">
      <c r="A895" s="12" t="s">
        <v>172</v>
      </c>
      <c r="B895" s="5" t="s">
        <v>61</v>
      </c>
      <c r="C895" s="8"/>
      <c r="D895" s="11">
        <v>31.0</v>
      </c>
      <c r="E895" s="8"/>
      <c r="F895" s="8"/>
      <c r="G895" s="11">
        <v>0.624</v>
      </c>
      <c r="H895" s="11">
        <v>0.722</v>
      </c>
      <c r="I895" s="9" t="s">
        <v>65</v>
      </c>
    </row>
    <row r="896">
      <c r="A896" s="12" t="s">
        <v>174</v>
      </c>
      <c r="B896" s="5" t="s">
        <v>61</v>
      </c>
      <c r="C896" s="8"/>
      <c r="D896" s="11">
        <v>26.0</v>
      </c>
      <c r="E896" s="8"/>
      <c r="F896" s="8"/>
      <c r="G896" s="11">
        <v>0.027</v>
      </c>
      <c r="H896" s="11">
        <v>0.164</v>
      </c>
      <c r="I896" s="9" t="s">
        <v>65</v>
      </c>
    </row>
    <row r="897">
      <c r="A897" s="12" t="s">
        <v>216</v>
      </c>
      <c r="B897" s="5" t="s">
        <v>61</v>
      </c>
      <c r="C897" s="8"/>
      <c r="D897" s="8"/>
      <c r="E897" s="8"/>
      <c r="F897" s="8"/>
      <c r="G897" s="8"/>
      <c r="H897" s="8"/>
      <c r="I897" s="9" t="s">
        <v>65</v>
      </c>
    </row>
    <row r="898">
      <c r="A898" s="12" t="s">
        <v>248</v>
      </c>
      <c r="B898" s="5" t="s">
        <v>61</v>
      </c>
      <c r="C898" s="8"/>
      <c r="D898" s="11">
        <v>17.0</v>
      </c>
      <c r="E898" s="8"/>
      <c r="F898" s="8"/>
      <c r="G898" s="11">
        <v>0.727</v>
      </c>
      <c r="H898" s="11">
        <v>0.782</v>
      </c>
      <c r="I898" s="9" t="s">
        <v>65</v>
      </c>
    </row>
    <row r="899">
      <c r="A899" s="12" t="s">
        <v>179</v>
      </c>
      <c r="B899" s="5" t="s">
        <v>61</v>
      </c>
      <c r="C899" s="8"/>
      <c r="D899" s="11">
        <v>21.0</v>
      </c>
      <c r="E899" s="8"/>
      <c r="F899" s="8"/>
      <c r="G899" s="11">
        <v>0.051</v>
      </c>
      <c r="H899" s="11">
        <v>0.052</v>
      </c>
      <c r="I899" s="9" t="s">
        <v>65</v>
      </c>
    </row>
    <row r="900">
      <c r="A900" s="12" t="s">
        <v>180</v>
      </c>
      <c r="B900" s="5" t="s">
        <v>61</v>
      </c>
      <c r="C900" s="8"/>
      <c r="D900" s="11">
        <v>153.0</v>
      </c>
      <c r="E900" s="8"/>
      <c r="F900" s="8"/>
      <c r="G900" s="11">
        <v>0.004</v>
      </c>
      <c r="H900" s="11">
        <v>0.036</v>
      </c>
      <c r="I900" s="9" t="s">
        <v>65</v>
      </c>
    </row>
    <row r="901">
      <c r="A901" s="12" t="s">
        <v>189</v>
      </c>
      <c r="B901" s="5" t="s">
        <v>61</v>
      </c>
      <c r="C901" s="8"/>
      <c r="D901" s="8"/>
      <c r="E901" s="8"/>
      <c r="F901" s="8"/>
      <c r="G901" s="11">
        <v>0.315</v>
      </c>
      <c r="H901" s="11">
        <v>0.943</v>
      </c>
      <c r="I901" s="9" t="s">
        <v>65</v>
      </c>
    </row>
    <row r="902">
      <c r="A902" s="12" t="s">
        <v>192</v>
      </c>
      <c r="B902" s="5" t="s">
        <v>61</v>
      </c>
      <c r="C902" s="8"/>
      <c r="D902" s="11">
        <v>37.0</v>
      </c>
      <c r="E902" s="8"/>
      <c r="F902" s="8"/>
      <c r="G902" s="11">
        <v>0.423</v>
      </c>
      <c r="H902" s="11">
        <v>0.576</v>
      </c>
      <c r="I902" s="9" t="s">
        <v>65</v>
      </c>
    </row>
    <row r="903">
      <c r="A903" s="12" t="s">
        <v>193</v>
      </c>
      <c r="B903" s="5" t="s">
        <v>61</v>
      </c>
      <c r="C903" s="8"/>
      <c r="D903" s="11">
        <v>9.0</v>
      </c>
      <c r="E903" s="8"/>
      <c r="F903" s="8"/>
      <c r="G903" s="11">
        <v>0.066</v>
      </c>
      <c r="H903" s="11">
        <v>0.387</v>
      </c>
      <c r="I903" s="9" t="s">
        <v>65</v>
      </c>
    </row>
    <row r="904">
      <c r="A904" s="12" t="s">
        <v>203</v>
      </c>
      <c r="B904" s="5" t="s">
        <v>61</v>
      </c>
      <c r="C904" s="8"/>
      <c r="D904" s="11">
        <v>13.0</v>
      </c>
      <c r="E904" s="8"/>
      <c r="F904" s="8"/>
      <c r="G904" s="8"/>
      <c r="H904" s="11">
        <v>0.172</v>
      </c>
      <c r="I904" s="9" t="s">
        <v>65</v>
      </c>
    </row>
    <row r="905">
      <c r="A905" s="12" t="s">
        <v>207</v>
      </c>
      <c r="B905" s="5" t="s">
        <v>61</v>
      </c>
      <c r="C905" s="8"/>
      <c r="D905" s="8"/>
      <c r="E905" s="8"/>
      <c r="F905" s="8"/>
      <c r="G905" s="11">
        <v>0.0</v>
      </c>
      <c r="H905" s="11">
        <v>0.002</v>
      </c>
      <c r="I905" s="9" t="s">
        <v>65</v>
      </c>
    </row>
    <row r="906">
      <c r="A906" s="12" t="s">
        <v>209</v>
      </c>
      <c r="B906" s="5" t="s">
        <v>61</v>
      </c>
      <c r="C906" s="8"/>
      <c r="D906" s="11">
        <v>31.0</v>
      </c>
      <c r="E906" s="8"/>
      <c r="F906" s="8"/>
      <c r="G906" s="11">
        <v>0.004</v>
      </c>
      <c r="H906" s="11">
        <v>0.005</v>
      </c>
      <c r="I906" s="9" t="s">
        <v>65</v>
      </c>
    </row>
    <row r="907">
      <c r="A907" s="12" t="s">
        <v>220</v>
      </c>
      <c r="B907" s="5" t="s">
        <v>61</v>
      </c>
      <c r="C907" s="8"/>
      <c r="D907" s="11">
        <v>24.0</v>
      </c>
      <c r="E907" s="8"/>
      <c r="F907" s="8"/>
      <c r="G907" s="11">
        <v>0.062</v>
      </c>
      <c r="H907" s="11">
        <v>0.032</v>
      </c>
      <c r="I907" s="9" t="s">
        <v>65</v>
      </c>
    </row>
    <row r="908">
      <c r="A908" s="12" t="s">
        <v>225</v>
      </c>
      <c r="B908" s="5" t="s">
        <v>61</v>
      </c>
      <c r="C908" s="8"/>
      <c r="D908" s="11">
        <v>49.0</v>
      </c>
      <c r="E908" s="8"/>
      <c r="F908" s="8"/>
      <c r="G908" s="11">
        <v>0.052</v>
      </c>
      <c r="H908" s="11">
        <v>0.391</v>
      </c>
      <c r="I908" s="9" t="s">
        <v>65</v>
      </c>
    </row>
    <row r="909">
      <c r="A909" s="12" t="s">
        <v>241</v>
      </c>
      <c r="B909" s="5" t="s">
        <v>61</v>
      </c>
      <c r="C909" s="8"/>
      <c r="D909" s="11">
        <v>8.0</v>
      </c>
      <c r="E909" s="8"/>
      <c r="F909" s="8"/>
      <c r="G909" s="11">
        <v>0.62</v>
      </c>
      <c r="H909" s="11">
        <v>0.912</v>
      </c>
      <c r="I909" s="9" t="s">
        <v>65</v>
      </c>
    </row>
    <row r="910">
      <c r="A910" s="12" t="s">
        <v>251</v>
      </c>
      <c r="B910" s="5" t="s">
        <v>61</v>
      </c>
      <c r="C910" s="8"/>
      <c r="D910" s="11">
        <v>48.0</v>
      </c>
      <c r="E910" s="8"/>
      <c r="F910" s="8"/>
      <c r="G910" s="11">
        <v>0.014</v>
      </c>
      <c r="H910" s="11">
        <v>0.112</v>
      </c>
      <c r="I910" s="9" t="s">
        <v>65</v>
      </c>
    </row>
    <row r="911">
      <c r="A911" s="12" t="s">
        <v>262</v>
      </c>
      <c r="B911" s="5" t="s">
        <v>61</v>
      </c>
      <c r="C911" s="8"/>
      <c r="D911" s="8"/>
      <c r="E911" s="8"/>
      <c r="F911" s="8"/>
      <c r="G911" s="11">
        <v>0.001</v>
      </c>
      <c r="H911" s="11">
        <v>0.02</v>
      </c>
      <c r="I911" s="9" t="s">
        <v>65</v>
      </c>
    </row>
    <row r="912">
      <c r="A912" s="12" t="s">
        <v>264</v>
      </c>
      <c r="B912" s="5" t="s">
        <v>61</v>
      </c>
      <c r="C912" s="8"/>
      <c r="D912" s="11">
        <v>33.0</v>
      </c>
      <c r="E912" s="8"/>
      <c r="F912" s="8"/>
      <c r="G912" s="11">
        <v>0.107</v>
      </c>
      <c r="H912" s="11">
        <v>0.414</v>
      </c>
      <c r="I912" s="9" t="s">
        <v>65</v>
      </c>
    </row>
    <row r="913">
      <c r="A913" s="12" t="s">
        <v>265</v>
      </c>
      <c r="B913" s="5" t="s">
        <v>61</v>
      </c>
      <c r="C913" s="8"/>
      <c r="D913" s="11">
        <v>158.0</v>
      </c>
      <c r="E913" s="8"/>
      <c r="F913" s="8"/>
      <c r="G913" s="8"/>
      <c r="H913" s="11">
        <v>0.027</v>
      </c>
      <c r="I913" s="9" t="s">
        <v>65</v>
      </c>
    </row>
    <row r="914">
      <c r="A914" s="12" t="s">
        <v>271</v>
      </c>
      <c r="B914" s="5" t="s">
        <v>61</v>
      </c>
      <c r="C914" s="8"/>
      <c r="D914" s="8"/>
      <c r="E914" s="8"/>
      <c r="F914" s="8"/>
      <c r="G914" s="11">
        <v>0.008</v>
      </c>
      <c r="H914" s="11">
        <v>0.011</v>
      </c>
      <c r="I914" s="9" t="s">
        <v>65</v>
      </c>
    </row>
    <row r="915">
      <c r="A915" s="12" t="s">
        <v>279</v>
      </c>
      <c r="B915" s="5" t="s">
        <v>61</v>
      </c>
      <c r="C915" s="8"/>
      <c r="D915" s="11">
        <v>29.0</v>
      </c>
      <c r="E915" s="8"/>
      <c r="F915" s="8"/>
      <c r="G915" s="11">
        <v>0.026</v>
      </c>
      <c r="H915" s="11">
        <v>0.021</v>
      </c>
      <c r="I915" s="9" t="s">
        <v>65</v>
      </c>
    </row>
    <row r="916">
      <c r="A916" s="12" t="s">
        <v>282</v>
      </c>
      <c r="B916" s="5" t="s">
        <v>61</v>
      </c>
      <c r="C916" s="8"/>
      <c r="D916" s="11">
        <v>51.0</v>
      </c>
      <c r="E916" s="8"/>
      <c r="F916" s="8"/>
      <c r="G916" s="11">
        <v>0.076</v>
      </c>
      <c r="H916" s="11">
        <v>0.059</v>
      </c>
      <c r="I916" s="9" t="s">
        <v>65</v>
      </c>
    </row>
    <row r="917">
      <c r="A917" s="12" t="s">
        <v>74</v>
      </c>
      <c r="B917" s="5" t="s">
        <v>75</v>
      </c>
      <c r="C917" s="8"/>
      <c r="D917" s="11">
        <v>41.0</v>
      </c>
      <c r="E917" s="8"/>
      <c r="F917" s="8"/>
      <c r="G917" s="11">
        <v>0.024</v>
      </c>
      <c r="H917" s="11">
        <v>0.392</v>
      </c>
      <c r="I917" s="9" t="s">
        <v>65</v>
      </c>
    </row>
    <row r="918">
      <c r="A918" s="12" t="s">
        <v>81</v>
      </c>
      <c r="B918" s="5" t="s">
        <v>75</v>
      </c>
      <c r="C918" s="8"/>
      <c r="D918" s="8"/>
      <c r="E918" s="8"/>
      <c r="F918" s="8"/>
      <c r="G918" s="11">
        <v>0.268</v>
      </c>
      <c r="H918" s="11">
        <v>0.738</v>
      </c>
      <c r="I918" s="9" t="s">
        <v>65</v>
      </c>
    </row>
    <row r="919">
      <c r="A919" s="12" t="s">
        <v>89</v>
      </c>
      <c r="B919" s="5" t="s">
        <v>75</v>
      </c>
      <c r="C919" s="8"/>
      <c r="D919" s="11">
        <v>25.0</v>
      </c>
      <c r="E919" s="8"/>
      <c r="F919" s="8"/>
      <c r="G919" s="11">
        <v>0.543</v>
      </c>
      <c r="H919" s="11">
        <v>0.975</v>
      </c>
      <c r="I919" s="9" t="s">
        <v>65</v>
      </c>
    </row>
    <row r="920">
      <c r="A920" s="12" t="s">
        <v>96</v>
      </c>
      <c r="B920" s="5" t="s">
        <v>75</v>
      </c>
      <c r="C920" s="8"/>
      <c r="D920" s="11">
        <v>79.0</v>
      </c>
      <c r="E920" s="8"/>
      <c r="F920" s="8"/>
      <c r="G920" s="8"/>
      <c r="H920" s="11">
        <v>0.23</v>
      </c>
      <c r="I920" s="9" t="s">
        <v>65</v>
      </c>
    </row>
    <row r="921">
      <c r="A921" s="12" t="s">
        <v>97</v>
      </c>
      <c r="B921" s="5" t="s">
        <v>75</v>
      </c>
      <c r="C921" s="8"/>
      <c r="D921" s="11">
        <v>34.0</v>
      </c>
      <c r="E921" s="8"/>
      <c r="F921" s="8"/>
      <c r="G921" s="11">
        <v>0.539</v>
      </c>
      <c r="H921" s="11">
        <v>0.875</v>
      </c>
      <c r="I921" s="9" t="s">
        <v>65</v>
      </c>
    </row>
    <row r="922">
      <c r="A922" s="12" t="s">
        <v>103</v>
      </c>
      <c r="B922" s="5" t="s">
        <v>75</v>
      </c>
      <c r="C922" s="8"/>
      <c r="D922" s="11">
        <v>63.0</v>
      </c>
      <c r="E922" s="8"/>
      <c r="F922" s="8"/>
      <c r="G922" s="11">
        <v>0.155</v>
      </c>
      <c r="H922" s="11">
        <v>0.362</v>
      </c>
      <c r="I922" s="9" t="s">
        <v>65</v>
      </c>
    </row>
    <row r="923">
      <c r="A923" s="12" t="s">
        <v>107</v>
      </c>
      <c r="B923" s="5" t="s">
        <v>75</v>
      </c>
      <c r="C923" s="8"/>
      <c r="D923" s="11">
        <v>32.0</v>
      </c>
      <c r="E923" s="8"/>
      <c r="F923" s="8"/>
      <c r="G923" s="11">
        <v>0.181</v>
      </c>
      <c r="H923" s="11">
        <v>0.611</v>
      </c>
      <c r="I923" s="9" t="s">
        <v>65</v>
      </c>
    </row>
    <row r="924">
      <c r="A924" s="12" t="s">
        <v>124</v>
      </c>
      <c r="B924" s="5" t="s">
        <v>75</v>
      </c>
      <c r="C924" s="8"/>
      <c r="D924" s="11">
        <v>29.0</v>
      </c>
      <c r="E924" s="8"/>
      <c r="F924" s="8"/>
      <c r="G924" s="11">
        <v>0.309</v>
      </c>
      <c r="H924" s="11">
        <v>0.644</v>
      </c>
      <c r="I924" s="9" t="s">
        <v>65</v>
      </c>
    </row>
    <row r="925">
      <c r="A925" s="12" t="s">
        <v>127</v>
      </c>
      <c r="B925" s="5" t="s">
        <v>75</v>
      </c>
      <c r="C925" s="8"/>
      <c r="D925" s="8"/>
      <c r="E925" s="8"/>
      <c r="F925" s="8"/>
      <c r="G925" s="11">
        <v>0.338</v>
      </c>
      <c r="H925" s="11">
        <v>0.648</v>
      </c>
      <c r="I925" s="9" t="s">
        <v>65</v>
      </c>
    </row>
    <row r="926">
      <c r="A926" s="12" t="s">
        <v>128</v>
      </c>
      <c r="B926" s="5" t="s">
        <v>75</v>
      </c>
      <c r="C926" s="8"/>
      <c r="D926" s="11">
        <v>40.0</v>
      </c>
      <c r="E926" s="8"/>
      <c r="F926" s="8"/>
      <c r="G926" s="11">
        <v>0.355</v>
      </c>
      <c r="H926" s="11">
        <v>1.056</v>
      </c>
      <c r="I926" s="9" t="s">
        <v>65</v>
      </c>
    </row>
    <row r="927">
      <c r="A927" s="12" t="s">
        <v>129</v>
      </c>
      <c r="B927" s="5" t="s">
        <v>75</v>
      </c>
      <c r="C927" s="8"/>
      <c r="D927" s="11">
        <v>7.0</v>
      </c>
      <c r="E927" s="8"/>
      <c r="F927" s="8"/>
      <c r="G927" s="11">
        <v>0.809</v>
      </c>
      <c r="H927" s="11">
        <v>0.957</v>
      </c>
      <c r="I927" s="9" t="s">
        <v>65</v>
      </c>
    </row>
    <row r="928">
      <c r="A928" s="12" t="s">
        <v>138</v>
      </c>
      <c r="B928" s="5" t="s">
        <v>75</v>
      </c>
      <c r="C928" s="8"/>
      <c r="D928" s="11">
        <v>72.0</v>
      </c>
      <c r="E928" s="8"/>
      <c r="F928" s="8"/>
      <c r="G928" s="11">
        <v>0.532</v>
      </c>
      <c r="H928" s="11">
        <v>0.943</v>
      </c>
      <c r="I928" s="9" t="s">
        <v>65</v>
      </c>
    </row>
    <row r="929">
      <c r="A929" s="12" t="s">
        <v>140</v>
      </c>
      <c r="B929" s="5" t="s">
        <v>75</v>
      </c>
      <c r="C929" s="8"/>
      <c r="D929" s="8"/>
      <c r="E929" s="8"/>
      <c r="F929" s="8"/>
      <c r="G929" s="11">
        <v>0.665</v>
      </c>
      <c r="H929" s="11">
        <v>0.847</v>
      </c>
      <c r="I929" s="9" t="s">
        <v>65</v>
      </c>
    </row>
    <row r="930">
      <c r="A930" s="12" t="s">
        <v>142</v>
      </c>
      <c r="B930" s="5" t="s">
        <v>75</v>
      </c>
      <c r="C930" s="8"/>
      <c r="D930" s="11">
        <v>14.0</v>
      </c>
      <c r="E930" s="8"/>
      <c r="F930" s="8"/>
      <c r="G930" s="11">
        <v>0.724</v>
      </c>
      <c r="H930" s="11">
        <v>0.954</v>
      </c>
      <c r="I930" s="9" t="s">
        <v>65</v>
      </c>
    </row>
    <row r="931">
      <c r="A931" s="12" t="s">
        <v>143</v>
      </c>
      <c r="B931" s="5" t="s">
        <v>75</v>
      </c>
      <c r="C931" s="8"/>
      <c r="D931" s="11">
        <v>7.0</v>
      </c>
      <c r="E931" s="8"/>
      <c r="F931" s="8"/>
      <c r="G931" s="11">
        <v>0.392</v>
      </c>
      <c r="H931" s="11">
        <v>0.73</v>
      </c>
      <c r="I931" s="9" t="s">
        <v>65</v>
      </c>
    </row>
    <row r="932">
      <c r="A932" s="12" t="s">
        <v>148</v>
      </c>
      <c r="B932" s="5" t="s">
        <v>75</v>
      </c>
      <c r="C932" s="8"/>
      <c r="D932" s="11">
        <v>45.0</v>
      </c>
      <c r="E932" s="8"/>
      <c r="F932" s="8"/>
      <c r="G932" s="11">
        <v>0.647</v>
      </c>
      <c r="H932" s="11">
        <v>0.851</v>
      </c>
      <c r="I932" s="9" t="s">
        <v>65</v>
      </c>
    </row>
    <row r="933">
      <c r="A933" s="12" t="s">
        <v>150</v>
      </c>
      <c r="B933" s="5" t="s">
        <v>75</v>
      </c>
      <c r="C933" s="8"/>
      <c r="D933" s="11">
        <v>38.0</v>
      </c>
      <c r="E933" s="8"/>
      <c r="F933" s="8"/>
      <c r="G933" s="11">
        <v>0.214</v>
      </c>
      <c r="H933" s="11">
        <v>0.845</v>
      </c>
      <c r="I933" s="9" t="s">
        <v>65</v>
      </c>
    </row>
    <row r="934">
      <c r="A934" s="12" t="s">
        <v>161</v>
      </c>
      <c r="B934" s="5" t="s">
        <v>75</v>
      </c>
      <c r="C934" s="8"/>
      <c r="D934" s="11">
        <v>52.0</v>
      </c>
      <c r="E934" s="8"/>
      <c r="F934" s="8"/>
      <c r="G934" s="11">
        <v>0.277</v>
      </c>
      <c r="H934" s="11">
        <v>0.863</v>
      </c>
      <c r="I934" s="9" t="s">
        <v>65</v>
      </c>
    </row>
    <row r="935">
      <c r="A935" s="12" t="s">
        <v>162</v>
      </c>
      <c r="B935" s="5" t="s">
        <v>75</v>
      </c>
      <c r="C935" s="8"/>
      <c r="D935" s="11">
        <v>5.0</v>
      </c>
      <c r="E935" s="8"/>
      <c r="F935" s="8"/>
      <c r="G935" s="11">
        <v>0.839</v>
      </c>
      <c r="H935" s="11">
        <v>0.989</v>
      </c>
      <c r="I935" s="9" t="s">
        <v>65</v>
      </c>
    </row>
    <row r="936">
      <c r="A936" s="12" t="s">
        <v>167</v>
      </c>
      <c r="B936" s="5" t="s">
        <v>75</v>
      </c>
      <c r="C936" s="8"/>
      <c r="D936" s="11">
        <v>18.0</v>
      </c>
      <c r="E936" s="8"/>
      <c r="F936" s="8"/>
      <c r="G936" s="11">
        <v>0.37</v>
      </c>
      <c r="H936" s="11">
        <v>0.945</v>
      </c>
      <c r="I936" s="9" t="s">
        <v>65</v>
      </c>
    </row>
    <row r="937">
      <c r="A937" s="12" t="s">
        <v>168</v>
      </c>
      <c r="B937" s="5" t="s">
        <v>75</v>
      </c>
      <c r="C937" s="8"/>
      <c r="D937" s="8"/>
      <c r="E937" s="8"/>
      <c r="F937" s="8"/>
      <c r="G937" s="8"/>
      <c r="H937" s="8"/>
      <c r="I937" s="9" t="s">
        <v>65</v>
      </c>
    </row>
    <row r="938">
      <c r="A938" s="12" t="s">
        <v>170</v>
      </c>
      <c r="B938" s="5" t="s">
        <v>75</v>
      </c>
      <c r="C938" s="8"/>
      <c r="D938" s="11">
        <v>13.0</v>
      </c>
      <c r="E938" s="8"/>
      <c r="F938" s="8"/>
      <c r="G938" s="11">
        <v>0.332</v>
      </c>
      <c r="H938" s="11">
        <v>1.077</v>
      </c>
      <c r="I938" s="9" t="s">
        <v>65</v>
      </c>
    </row>
    <row r="939">
      <c r="A939" s="12" t="s">
        <v>177</v>
      </c>
      <c r="B939" s="5" t="s">
        <v>75</v>
      </c>
      <c r="C939" s="8"/>
      <c r="D939" s="8"/>
      <c r="E939" s="8"/>
      <c r="F939" s="8"/>
      <c r="G939" s="8"/>
      <c r="H939" s="8"/>
      <c r="I939" s="9" t="s">
        <v>65</v>
      </c>
    </row>
    <row r="940">
      <c r="A940" s="12" t="s">
        <v>181</v>
      </c>
      <c r="B940" s="5" t="s">
        <v>75</v>
      </c>
      <c r="C940" s="8"/>
      <c r="D940" s="11">
        <v>16.0</v>
      </c>
      <c r="E940" s="8"/>
      <c r="F940" s="8"/>
      <c r="G940" s="11">
        <v>0.386</v>
      </c>
      <c r="H940" s="11">
        <v>0.681</v>
      </c>
      <c r="I940" s="9" t="s">
        <v>65</v>
      </c>
    </row>
    <row r="941">
      <c r="A941" s="12" t="s">
        <v>186</v>
      </c>
      <c r="B941" s="5" t="s">
        <v>75</v>
      </c>
      <c r="C941" s="8"/>
      <c r="D941" s="8"/>
      <c r="E941" s="8"/>
      <c r="F941" s="8"/>
      <c r="G941" s="11">
        <v>0.64</v>
      </c>
      <c r="H941" s="11">
        <v>0.74</v>
      </c>
      <c r="I941" s="9" t="s">
        <v>65</v>
      </c>
    </row>
    <row r="942">
      <c r="A942" s="12" t="s">
        <v>187</v>
      </c>
      <c r="B942" s="5" t="s">
        <v>75</v>
      </c>
      <c r="C942" s="8"/>
      <c r="D942" s="11">
        <v>26.0</v>
      </c>
      <c r="E942" s="8"/>
      <c r="F942" s="8"/>
      <c r="G942" s="11">
        <v>0.312</v>
      </c>
      <c r="H942" s="11">
        <v>0.915</v>
      </c>
      <c r="I942" s="9" t="s">
        <v>65</v>
      </c>
    </row>
    <row r="943">
      <c r="A943" s="12" t="s">
        <v>188</v>
      </c>
      <c r="B943" s="5" t="s">
        <v>75</v>
      </c>
      <c r="C943" s="8"/>
      <c r="D943" s="8"/>
      <c r="E943" s="8"/>
      <c r="F943" s="8"/>
      <c r="G943" s="11">
        <v>0.659</v>
      </c>
      <c r="H943" s="11">
        <v>1.041</v>
      </c>
      <c r="I943" s="9" t="s">
        <v>65</v>
      </c>
    </row>
    <row r="944">
      <c r="A944" s="12" t="s">
        <v>217</v>
      </c>
      <c r="B944" s="5" t="s">
        <v>75</v>
      </c>
      <c r="C944" s="8"/>
      <c r="D944" s="11">
        <v>48.0</v>
      </c>
      <c r="E944" s="8"/>
      <c r="F944" s="8"/>
      <c r="G944" s="11">
        <v>0.244</v>
      </c>
      <c r="H944" s="11">
        <v>0.473</v>
      </c>
      <c r="I944" s="9" t="s">
        <v>65</v>
      </c>
    </row>
    <row r="945">
      <c r="A945" s="12" t="s">
        <v>195</v>
      </c>
      <c r="B945" s="5" t="s">
        <v>75</v>
      </c>
      <c r="C945" s="8"/>
      <c r="D945" s="8"/>
      <c r="E945" s="8"/>
      <c r="F945" s="8"/>
      <c r="G945" s="11">
        <v>0.346</v>
      </c>
      <c r="H945" s="11">
        <v>0.741</v>
      </c>
      <c r="I945" s="9" t="s">
        <v>65</v>
      </c>
    </row>
    <row r="946">
      <c r="A946" s="12" t="s">
        <v>201</v>
      </c>
      <c r="B946" s="5" t="s">
        <v>75</v>
      </c>
      <c r="C946" s="8"/>
      <c r="D946" s="11">
        <v>30.0</v>
      </c>
      <c r="E946" s="8"/>
      <c r="F946" s="8"/>
      <c r="G946" s="11">
        <v>0.106</v>
      </c>
      <c r="H946" s="11">
        <v>0.206</v>
      </c>
      <c r="I946" s="9" t="s">
        <v>65</v>
      </c>
    </row>
    <row r="947">
      <c r="A947" s="12" t="s">
        <v>202</v>
      </c>
      <c r="B947" s="5" t="s">
        <v>75</v>
      </c>
      <c r="C947" s="8"/>
      <c r="D947" s="8"/>
      <c r="E947" s="8"/>
      <c r="F947" s="8"/>
      <c r="G947" s="11">
        <v>0.525</v>
      </c>
      <c r="H947" s="11">
        <v>0.472</v>
      </c>
      <c r="I947" s="9" t="s">
        <v>65</v>
      </c>
    </row>
    <row r="948">
      <c r="A948" s="12" t="s">
        <v>204</v>
      </c>
      <c r="B948" s="5" t="s">
        <v>75</v>
      </c>
      <c r="C948" s="8"/>
      <c r="D948" s="8"/>
      <c r="E948" s="8"/>
      <c r="F948" s="8"/>
      <c r="G948" s="11">
        <v>0.254</v>
      </c>
      <c r="H948" s="11">
        <v>0.787</v>
      </c>
      <c r="I948" s="9" t="s">
        <v>65</v>
      </c>
    </row>
    <row r="949">
      <c r="A949" s="12" t="s">
        <v>210</v>
      </c>
      <c r="B949" s="5" t="s">
        <v>75</v>
      </c>
      <c r="C949" s="8"/>
      <c r="D949" s="11">
        <v>9.0</v>
      </c>
      <c r="E949" s="8"/>
      <c r="F949" s="8"/>
      <c r="G949" s="11">
        <v>0.685</v>
      </c>
      <c r="H949" s="11">
        <v>0.912</v>
      </c>
      <c r="I949" s="9" t="s">
        <v>65</v>
      </c>
    </row>
    <row r="950">
      <c r="A950" s="12" t="s">
        <v>218</v>
      </c>
      <c r="B950" s="5" t="s">
        <v>75</v>
      </c>
      <c r="C950" s="8"/>
      <c r="D950" s="11">
        <v>18.0</v>
      </c>
      <c r="E950" s="8"/>
      <c r="F950" s="8"/>
      <c r="G950" s="11">
        <v>0.777</v>
      </c>
      <c r="H950" s="11">
        <v>0.986</v>
      </c>
      <c r="I950" s="9" t="s">
        <v>65</v>
      </c>
    </row>
    <row r="951">
      <c r="A951" s="12" t="s">
        <v>226</v>
      </c>
      <c r="B951" s="5" t="s">
        <v>75</v>
      </c>
      <c r="C951" s="8"/>
      <c r="D951" s="11">
        <v>31.0</v>
      </c>
      <c r="E951" s="8"/>
      <c r="F951" s="8"/>
      <c r="G951" s="11">
        <v>0.325</v>
      </c>
      <c r="H951" s="11">
        <v>0.604</v>
      </c>
      <c r="I951" s="9" t="s">
        <v>65</v>
      </c>
    </row>
    <row r="952">
      <c r="A952" s="12" t="s">
        <v>227</v>
      </c>
      <c r="B952" s="5" t="s">
        <v>75</v>
      </c>
      <c r="C952" s="8"/>
      <c r="D952" s="11">
        <v>78.0</v>
      </c>
      <c r="E952" s="8"/>
      <c r="F952" s="8"/>
      <c r="G952" s="11">
        <v>0.318</v>
      </c>
      <c r="H952" s="11">
        <v>1.009</v>
      </c>
      <c r="I952" s="9" t="s">
        <v>65</v>
      </c>
    </row>
    <row r="953">
      <c r="A953" s="12" t="s">
        <v>230</v>
      </c>
      <c r="B953" s="5" t="s">
        <v>75</v>
      </c>
      <c r="C953" s="8"/>
      <c r="D953" s="11">
        <v>28.0</v>
      </c>
      <c r="E953" s="8"/>
      <c r="F953" s="8"/>
      <c r="G953" s="11">
        <v>0.15</v>
      </c>
      <c r="H953" s="11">
        <v>0.461</v>
      </c>
      <c r="I953" s="9" t="s">
        <v>65</v>
      </c>
    </row>
    <row r="954">
      <c r="A954" s="12" t="s">
        <v>231</v>
      </c>
      <c r="B954" s="5" t="s">
        <v>75</v>
      </c>
      <c r="C954" s="8"/>
      <c r="D954" s="11">
        <v>30.0</v>
      </c>
      <c r="E954" s="8"/>
      <c r="F954" s="8"/>
      <c r="G954" s="11">
        <v>0.129</v>
      </c>
      <c r="H954" s="11">
        <v>0.511</v>
      </c>
      <c r="I954" s="9" t="s">
        <v>65</v>
      </c>
    </row>
    <row r="955">
      <c r="A955" s="12" t="s">
        <v>234</v>
      </c>
      <c r="B955" s="5" t="s">
        <v>75</v>
      </c>
      <c r="C955" s="8"/>
      <c r="D955" s="8"/>
      <c r="E955" s="8"/>
      <c r="F955" s="8"/>
      <c r="G955" s="11">
        <v>0.506</v>
      </c>
      <c r="H955" s="11">
        <v>0.583</v>
      </c>
      <c r="I955" s="9" t="s">
        <v>65</v>
      </c>
    </row>
    <row r="956">
      <c r="A956" s="12" t="s">
        <v>238</v>
      </c>
      <c r="B956" s="5" t="s">
        <v>75</v>
      </c>
      <c r="C956" s="8"/>
      <c r="D956" s="11">
        <v>56.0</v>
      </c>
      <c r="E956" s="8"/>
      <c r="F956" s="8"/>
      <c r="G956" s="11">
        <v>0.235</v>
      </c>
      <c r="H956" s="11">
        <v>0.472</v>
      </c>
      <c r="I956" s="9" t="s">
        <v>65</v>
      </c>
    </row>
    <row r="957">
      <c r="A957" s="12" t="s">
        <v>243</v>
      </c>
      <c r="B957" s="5" t="s">
        <v>75</v>
      </c>
      <c r="C957" s="8"/>
      <c r="D957" s="11">
        <v>52.0</v>
      </c>
      <c r="E957" s="8"/>
      <c r="F957" s="8"/>
      <c r="G957" s="11">
        <v>0.529</v>
      </c>
      <c r="H957" s="11">
        <v>0.793</v>
      </c>
      <c r="I957" s="9" t="s">
        <v>65</v>
      </c>
    </row>
    <row r="958">
      <c r="A958" s="12" t="s">
        <v>244</v>
      </c>
      <c r="B958" s="5" t="s">
        <v>75</v>
      </c>
      <c r="C958" s="8"/>
      <c r="D958" s="11">
        <v>60.0</v>
      </c>
      <c r="E958" s="8"/>
      <c r="F958" s="8"/>
      <c r="G958" s="11">
        <v>0.408</v>
      </c>
      <c r="H958" s="11">
        <v>0.927</v>
      </c>
      <c r="I958" s="9" t="s">
        <v>65</v>
      </c>
    </row>
    <row r="959">
      <c r="A959" s="12" t="s">
        <v>250</v>
      </c>
      <c r="B959" s="5" t="s">
        <v>75</v>
      </c>
      <c r="C959" s="8"/>
      <c r="D959" s="11">
        <v>114.0</v>
      </c>
      <c r="E959" s="8"/>
      <c r="F959" s="8"/>
      <c r="G959" s="11">
        <v>0.44</v>
      </c>
      <c r="H959" s="11">
        <v>0.904</v>
      </c>
      <c r="I959" s="9" t="s">
        <v>65</v>
      </c>
    </row>
    <row r="960">
      <c r="A960" s="12" t="s">
        <v>259</v>
      </c>
      <c r="B960" s="5" t="s">
        <v>75</v>
      </c>
      <c r="C960" s="8"/>
      <c r="D960" s="11">
        <v>16.0</v>
      </c>
      <c r="E960" s="8"/>
      <c r="F960" s="8"/>
      <c r="G960" s="11">
        <v>0.839</v>
      </c>
      <c r="H960" s="11">
        <v>0.978</v>
      </c>
      <c r="I960" s="9" t="s">
        <v>65</v>
      </c>
    </row>
    <row r="961">
      <c r="A961" s="12" t="s">
        <v>260</v>
      </c>
      <c r="B961" s="5" t="s">
        <v>75</v>
      </c>
      <c r="C961" s="8"/>
      <c r="D961" s="11">
        <v>18.0</v>
      </c>
      <c r="E961" s="8"/>
      <c r="F961" s="8"/>
      <c r="G961" s="11">
        <v>0.678</v>
      </c>
      <c r="H961" s="11">
        <v>0.854</v>
      </c>
      <c r="I961" s="9" t="s">
        <v>65</v>
      </c>
    </row>
    <row r="962">
      <c r="A962" s="12" t="s">
        <v>270</v>
      </c>
      <c r="B962" s="5" t="s">
        <v>75</v>
      </c>
      <c r="C962" s="8"/>
      <c r="D962" s="11">
        <v>6.0</v>
      </c>
      <c r="E962" s="8"/>
      <c r="F962" s="8"/>
      <c r="G962" s="11">
        <v>0.146</v>
      </c>
      <c r="H962" s="11">
        <v>0.519</v>
      </c>
      <c r="I962" s="9" t="s">
        <v>65</v>
      </c>
    </row>
    <row r="963">
      <c r="A963" s="12" t="s">
        <v>274</v>
      </c>
      <c r="B963" s="5" t="s">
        <v>75</v>
      </c>
      <c r="C963" s="8"/>
      <c r="D963" s="11">
        <v>34.0</v>
      </c>
      <c r="E963" s="8"/>
      <c r="F963" s="8"/>
      <c r="G963" s="11">
        <v>0.035</v>
      </c>
      <c r="H963" s="11">
        <v>0.289</v>
      </c>
      <c r="I963" s="9" t="s">
        <v>65</v>
      </c>
    </row>
    <row r="964">
      <c r="A964" s="12" t="s">
        <v>276</v>
      </c>
      <c r="B964" s="5" t="s">
        <v>75</v>
      </c>
      <c r="C964" s="8"/>
      <c r="D964" s="11">
        <v>13.0</v>
      </c>
      <c r="E964" s="8"/>
      <c r="F964" s="8"/>
      <c r="G964" s="11">
        <v>0.656</v>
      </c>
      <c r="H964" s="11">
        <v>0.995</v>
      </c>
      <c r="I964" s="9" t="s">
        <v>65</v>
      </c>
    </row>
    <row r="965">
      <c r="A965" s="12" t="s">
        <v>92</v>
      </c>
      <c r="B965" s="5" t="s">
        <v>93</v>
      </c>
      <c r="C965" s="8"/>
      <c r="D965" s="8"/>
      <c r="E965" s="8"/>
      <c r="F965" s="8"/>
      <c r="G965" s="11">
        <v>0.215</v>
      </c>
      <c r="H965" s="11">
        <v>0.792</v>
      </c>
      <c r="I965" s="9" t="s">
        <v>65</v>
      </c>
    </row>
    <row r="966">
      <c r="A966" s="12" t="s">
        <v>165</v>
      </c>
      <c r="B966" s="5" t="s">
        <v>93</v>
      </c>
      <c r="C966" s="8"/>
      <c r="D966" s="11">
        <v>29.0</v>
      </c>
      <c r="E966" s="8"/>
      <c r="F966" s="8"/>
      <c r="G966" s="11">
        <v>0.075</v>
      </c>
      <c r="H966" s="11">
        <v>0.073</v>
      </c>
      <c r="I966" s="9" t="s">
        <v>65</v>
      </c>
    </row>
    <row r="967">
      <c r="A967" s="12" t="s">
        <v>166</v>
      </c>
      <c r="B967" s="5" t="s">
        <v>93</v>
      </c>
      <c r="C967" s="8"/>
      <c r="D967" s="11">
        <v>77.0</v>
      </c>
      <c r="E967" s="8"/>
      <c r="F967" s="8"/>
      <c r="G967" s="11">
        <v>0.009</v>
      </c>
      <c r="H967" s="11">
        <v>0.022</v>
      </c>
      <c r="I967" s="9" t="s">
        <v>65</v>
      </c>
    </row>
    <row r="968">
      <c r="A968" s="12" t="s">
        <v>169</v>
      </c>
      <c r="B968" s="5" t="s">
        <v>93</v>
      </c>
      <c r="C968" s="8"/>
      <c r="D968" s="11">
        <v>20.0</v>
      </c>
      <c r="E968" s="8"/>
      <c r="F968" s="8"/>
      <c r="G968" s="11">
        <v>0.228</v>
      </c>
      <c r="H968" s="11">
        <v>1.117</v>
      </c>
      <c r="I968" s="9" t="s">
        <v>65</v>
      </c>
    </row>
    <row r="969">
      <c r="A969" s="12" t="s">
        <v>173</v>
      </c>
      <c r="B969" s="5" t="s">
        <v>93</v>
      </c>
      <c r="C969" s="8"/>
      <c r="D969" s="11">
        <v>26.0</v>
      </c>
      <c r="E969" s="8"/>
      <c r="F969" s="8"/>
      <c r="G969" s="11">
        <v>0.117</v>
      </c>
      <c r="H969" s="11">
        <v>0.319</v>
      </c>
      <c r="I969" s="9" t="s">
        <v>65</v>
      </c>
    </row>
    <row r="970">
      <c r="A970" s="12" t="s">
        <v>178</v>
      </c>
      <c r="B970" s="5" t="s">
        <v>93</v>
      </c>
      <c r="C970" s="8"/>
      <c r="D970" s="11">
        <v>35.0</v>
      </c>
      <c r="E970" s="8"/>
      <c r="F970" s="8"/>
      <c r="G970" s="11">
        <v>0.229</v>
      </c>
      <c r="H970" s="11">
        <v>0.808</v>
      </c>
      <c r="I970" s="9" t="s">
        <v>65</v>
      </c>
    </row>
    <row r="971">
      <c r="A971" s="12" t="s">
        <v>182</v>
      </c>
      <c r="B971" s="5" t="s">
        <v>93</v>
      </c>
      <c r="C971" s="8"/>
      <c r="D971" s="11">
        <v>46.0</v>
      </c>
      <c r="E971" s="8"/>
      <c r="F971" s="8"/>
      <c r="G971" s="11">
        <v>0.09</v>
      </c>
      <c r="H971" s="11">
        <v>0.23</v>
      </c>
      <c r="I971" s="9" t="s">
        <v>65</v>
      </c>
    </row>
    <row r="972">
      <c r="A972" s="12" t="s">
        <v>219</v>
      </c>
      <c r="B972" s="5" t="s">
        <v>93</v>
      </c>
      <c r="C972" s="8"/>
      <c r="D972" s="11">
        <v>35.0</v>
      </c>
      <c r="E972" s="8"/>
      <c r="F972" s="8"/>
      <c r="G972" s="11">
        <v>0.068</v>
      </c>
      <c r="H972" s="11">
        <v>0.327</v>
      </c>
      <c r="I972" s="9" t="s">
        <v>65</v>
      </c>
    </row>
    <row r="973">
      <c r="A973" s="12" t="s">
        <v>229</v>
      </c>
      <c r="B973" s="5" t="s">
        <v>93</v>
      </c>
      <c r="C973" s="8"/>
      <c r="D973" s="8"/>
      <c r="E973" s="8"/>
      <c r="F973" s="8"/>
      <c r="G973" s="11">
        <v>0.207</v>
      </c>
      <c r="H973" s="11">
        <v>0.681</v>
      </c>
      <c r="I973" s="9" t="s">
        <v>65</v>
      </c>
    </row>
    <row r="974">
      <c r="A974" s="12" t="s">
        <v>236</v>
      </c>
      <c r="B974" s="5" t="s">
        <v>93</v>
      </c>
      <c r="C974" s="8"/>
      <c r="D974" s="11">
        <v>74.0</v>
      </c>
      <c r="E974" s="8"/>
      <c r="F974" s="8"/>
      <c r="G974" s="11">
        <v>0.102</v>
      </c>
      <c r="H974" s="11">
        <v>0.385</v>
      </c>
      <c r="I974" s="9" t="s">
        <v>65</v>
      </c>
    </row>
    <row r="975">
      <c r="A975" s="12" t="s">
        <v>261</v>
      </c>
      <c r="B975" s="5" t="s">
        <v>93</v>
      </c>
      <c r="C975" s="8"/>
      <c r="D975" s="11">
        <v>43.0</v>
      </c>
      <c r="E975" s="8"/>
      <c r="F975" s="8"/>
      <c r="G975" s="11">
        <v>0.043</v>
      </c>
      <c r="H975" s="11">
        <v>0.133</v>
      </c>
      <c r="I975" s="9" t="s">
        <v>65</v>
      </c>
    </row>
    <row r="976">
      <c r="A976" s="12" t="s">
        <v>275</v>
      </c>
      <c r="B976" s="5" t="s">
        <v>93</v>
      </c>
      <c r="C976" s="8"/>
      <c r="D976" s="11">
        <v>19.0</v>
      </c>
      <c r="E976" s="8"/>
      <c r="F976" s="8"/>
      <c r="G976" s="11">
        <v>0.301</v>
      </c>
      <c r="H976" s="11">
        <v>1.007</v>
      </c>
      <c r="I976" s="9" t="s">
        <v>65</v>
      </c>
    </row>
    <row r="977">
      <c r="A977" s="12" t="s">
        <v>283</v>
      </c>
      <c r="B977" s="5" t="s">
        <v>93</v>
      </c>
      <c r="C977" s="8"/>
      <c r="D977" s="11">
        <v>63.0</v>
      </c>
      <c r="E977" s="8"/>
      <c r="F977" s="8"/>
      <c r="G977" s="11">
        <v>0.009</v>
      </c>
      <c r="H977" s="11">
        <v>0.075</v>
      </c>
      <c r="I977" s="9" t="s">
        <v>65</v>
      </c>
    </row>
    <row r="978">
      <c r="A978" s="12" t="s">
        <v>79</v>
      </c>
      <c r="B978" s="5" t="s">
        <v>80</v>
      </c>
      <c r="C978" s="8"/>
      <c r="D978" s="8"/>
      <c r="E978" s="8"/>
      <c r="F978" s="8"/>
      <c r="G978" s="8"/>
      <c r="H978" s="11">
        <v>0.038</v>
      </c>
      <c r="I978" s="9" t="s">
        <v>65</v>
      </c>
    </row>
    <row r="979">
      <c r="A979" s="12" t="s">
        <v>88</v>
      </c>
      <c r="B979" s="5" t="s">
        <v>80</v>
      </c>
      <c r="C979" s="8"/>
      <c r="D979" s="11">
        <v>3.0</v>
      </c>
      <c r="E979" s="8"/>
      <c r="F979" s="8"/>
      <c r="G979" s="8"/>
      <c r="H979" s="11">
        <v>0.815</v>
      </c>
      <c r="I979" s="9" t="s">
        <v>65</v>
      </c>
    </row>
    <row r="980">
      <c r="A980" s="12" t="s">
        <v>141</v>
      </c>
      <c r="B980" s="5" t="s">
        <v>80</v>
      </c>
      <c r="C980" s="8"/>
      <c r="D980" s="11">
        <v>45.0</v>
      </c>
      <c r="E980" s="8"/>
      <c r="F980" s="8"/>
      <c r="G980" s="11">
        <v>0.074</v>
      </c>
      <c r="H980" s="11">
        <v>0.174</v>
      </c>
      <c r="I980" s="9" t="s">
        <v>65</v>
      </c>
    </row>
    <row r="981">
      <c r="A981" s="12" t="s">
        <v>144</v>
      </c>
      <c r="B981" s="5" t="s">
        <v>80</v>
      </c>
      <c r="C981" s="8"/>
      <c r="D981" s="8"/>
      <c r="E981" s="8"/>
      <c r="F981" s="8"/>
      <c r="G981" s="11">
        <v>0.179</v>
      </c>
      <c r="H981" s="11">
        <v>0.381</v>
      </c>
      <c r="I981" s="9" t="s">
        <v>65</v>
      </c>
    </row>
    <row r="982">
      <c r="A982" s="12" t="s">
        <v>153</v>
      </c>
      <c r="B982" s="5" t="s">
        <v>80</v>
      </c>
      <c r="C982" s="8"/>
      <c r="D982" s="8"/>
      <c r="E982" s="8"/>
      <c r="F982" s="8"/>
      <c r="G982" s="11">
        <v>0.362</v>
      </c>
      <c r="H982" s="11">
        <v>0.619</v>
      </c>
      <c r="I982" s="9" t="s">
        <v>65</v>
      </c>
    </row>
    <row r="983">
      <c r="A983" s="12" t="s">
        <v>176</v>
      </c>
      <c r="B983" s="5" t="s">
        <v>80</v>
      </c>
      <c r="C983" s="8"/>
      <c r="D983" s="11">
        <v>21.0</v>
      </c>
      <c r="E983" s="8"/>
      <c r="F983" s="8"/>
      <c r="G983" s="11">
        <v>0.035</v>
      </c>
      <c r="H983" s="11">
        <v>0.007</v>
      </c>
      <c r="I983" s="9" t="s">
        <v>65</v>
      </c>
    </row>
    <row r="984">
      <c r="A984" s="12" t="s">
        <v>196</v>
      </c>
      <c r="B984" s="5" t="s">
        <v>80</v>
      </c>
      <c r="C984" s="8"/>
      <c r="D984" s="11">
        <v>17.0</v>
      </c>
      <c r="E984" s="8"/>
      <c r="F984" s="8"/>
      <c r="G984" s="11">
        <v>0.036</v>
      </c>
      <c r="H984" s="11">
        <v>0.012</v>
      </c>
      <c r="I984" s="9" t="s">
        <v>65</v>
      </c>
    </row>
    <row r="985">
      <c r="A985" s="12" t="s">
        <v>200</v>
      </c>
      <c r="B985" s="5" t="s">
        <v>80</v>
      </c>
      <c r="C985" s="8"/>
      <c r="D985" s="11">
        <v>16.0</v>
      </c>
      <c r="E985" s="8"/>
      <c r="F985" s="8"/>
      <c r="G985" s="11">
        <v>0.11</v>
      </c>
      <c r="H985" s="11">
        <v>0.12</v>
      </c>
      <c r="I985" s="9" t="s">
        <v>65</v>
      </c>
    </row>
    <row r="986">
      <c r="A986" s="12" t="s">
        <v>211</v>
      </c>
      <c r="B986" s="5" t="s">
        <v>80</v>
      </c>
      <c r="C986" s="8"/>
      <c r="D986" s="8"/>
      <c r="E986" s="8"/>
      <c r="F986" s="8"/>
      <c r="G986" s="11">
        <v>0.303</v>
      </c>
      <c r="H986" s="11">
        <v>0.517</v>
      </c>
      <c r="I986" s="9" t="s">
        <v>65</v>
      </c>
    </row>
    <row r="987">
      <c r="A987" s="12" t="s">
        <v>212</v>
      </c>
      <c r="B987" s="5" t="s">
        <v>80</v>
      </c>
      <c r="C987" s="8"/>
      <c r="D987" s="11">
        <v>12.0</v>
      </c>
      <c r="E987" s="8"/>
      <c r="F987" s="8"/>
      <c r="G987" s="11">
        <v>0.618</v>
      </c>
      <c r="H987" s="11">
        <v>0.742</v>
      </c>
      <c r="I987" s="9" t="s">
        <v>65</v>
      </c>
    </row>
    <row r="988">
      <c r="A988" s="12" t="s">
        <v>222</v>
      </c>
      <c r="B988" s="5" t="s">
        <v>80</v>
      </c>
      <c r="C988" s="8"/>
      <c r="D988" s="11">
        <v>51.0</v>
      </c>
      <c r="E988" s="8"/>
      <c r="F988" s="8"/>
      <c r="G988" s="11">
        <v>0.015</v>
      </c>
      <c r="H988" s="11">
        <v>0.008</v>
      </c>
      <c r="I988" s="9" t="s">
        <v>65</v>
      </c>
    </row>
    <row r="989">
      <c r="A989" s="12" t="s">
        <v>233</v>
      </c>
      <c r="B989" s="5" t="s">
        <v>80</v>
      </c>
      <c r="C989" s="8"/>
      <c r="D989" s="11">
        <v>42.0</v>
      </c>
      <c r="E989" s="8"/>
      <c r="F989" s="8"/>
      <c r="G989" s="11">
        <v>0.031</v>
      </c>
      <c r="H989" s="11">
        <v>0.089</v>
      </c>
      <c r="I989" s="9" t="s">
        <v>65</v>
      </c>
    </row>
    <row r="990">
      <c r="A990" s="12" t="s">
        <v>245</v>
      </c>
      <c r="B990" s="5" t="s">
        <v>80</v>
      </c>
      <c r="C990" s="8"/>
      <c r="D990" s="11">
        <v>56.0</v>
      </c>
      <c r="E990" s="8"/>
      <c r="F990" s="8"/>
      <c r="G990" s="11">
        <v>0.006</v>
      </c>
      <c r="H990" s="11">
        <v>0.007</v>
      </c>
      <c r="I990" s="9" t="s">
        <v>65</v>
      </c>
    </row>
    <row r="991">
      <c r="A991" s="12" t="s">
        <v>267</v>
      </c>
      <c r="B991" s="5" t="s">
        <v>80</v>
      </c>
      <c r="C991" s="8"/>
      <c r="D991" s="11">
        <v>32.0</v>
      </c>
      <c r="E991" s="8"/>
      <c r="F991" s="8"/>
      <c r="G991" s="11">
        <v>0.04</v>
      </c>
      <c r="H991" s="11">
        <v>0.163</v>
      </c>
      <c r="I991" s="9" t="s">
        <v>65</v>
      </c>
    </row>
    <row r="992">
      <c r="A992" s="12" t="s">
        <v>280</v>
      </c>
      <c r="B992" s="5" t="s">
        <v>80</v>
      </c>
      <c r="C992" s="8"/>
      <c r="D992" s="11">
        <v>47.0</v>
      </c>
      <c r="E992" s="8"/>
      <c r="F992" s="8"/>
      <c r="G992" s="11">
        <v>0.047</v>
      </c>
      <c r="H992" s="11">
        <v>0.051</v>
      </c>
      <c r="I992" s="9" t="s">
        <v>65</v>
      </c>
    </row>
    <row r="993">
      <c r="A993" s="12" t="s">
        <v>83</v>
      </c>
      <c r="B993" s="5" t="s">
        <v>84</v>
      </c>
      <c r="C993" s="8"/>
      <c r="D993" s="8"/>
      <c r="E993" s="8"/>
      <c r="F993" s="8"/>
      <c r="G993" s="11">
        <v>0.243</v>
      </c>
      <c r="H993" s="11">
        <v>0.661</v>
      </c>
      <c r="I993" s="9" t="s">
        <v>65</v>
      </c>
    </row>
    <row r="994">
      <c r="A994" s="12" t="s">
        <v>85</v>
      </c>
      <c r="B994" s="5" t="s">
        <v>84</v>
      </c>
      <c r="C994" s="8"/>
      <c r="D994" s="11">
        <v>30.0</v>
      </c>
      <c r="E994" s="8"/>
      <c r="F994" s="8"/>
      <c r="G994" s="11">
        <v>0.16</v>
      </c>
      <c r="H994" s="11">
        <v>0.353</v>
      </c>
      <c r="I994" s="9" t="s">
        <v>65</v>
      </c>
    </row>
    <row r="995">
      <c r="A995" s="12" t="s">
        <v>87</v>
      </c>
      <c r="B995" s="5" t="s">
        <v>84</v>
      </c>
      <c r="C995" s="8"/>
      <c r="D995" s="8"/>
      <c r="E995" s="8"/>
      <c r="F995" s="8"/>
      <c r="G995" s="11">
        <v>0.23</v>
      </c>
      <c r="H995" s="11">
        <v>0.996</v>
      </c>
      <c r="I995" s="9" t="s">
        <v>65</v>
      </c>
    </row>
    <row r="996">
      <c r="A996" s="12" t="s">
        <v>91</v>
      </c>
      <c r="B996" s="5" t="s">
        <v>84</v>
      </c>
      <c r="C996" s="8"/>
      <c r="D996" s="8"/>
      <c r="E996" s="8"/>
      <c r="F996" s="8"/>
      <c r="G996" s="11">
        <v>0.22</v>
      </c>
      <c r="H996" s="11">
        <v>0.577</v>
      </c>
      <c r="I996" s="9" t="s">
        <v>65</v>
      </c>
    </row>
    <row r="997">
      <c r="A997" s="12" t="s">
        <v>95</v>
      </c>
      <c r="B997" s="5" t="s">
        <v>84</v>
      </c>
      <c r="C997" s="8"/>
      <c r="D997" s="8"/>
      <c r="E997" s="8"/>
      <c r="F997" s="8"/>
      <c r="G997" s="11">
        <v>0.498</v>
      </c>
      <c r="H997" s="11">
        <v>0.735</v>
      </c>
      <c r="I997" s="9" t="s">
        <v>65</v>
      </c>
    </row>
    <row r="998">
      <c r="A998" s="12" t="s">
        <v>98</v>
      </c>
      <c r="B998" s="5" t="s">
        <v>84</v>
      </c>
      <c r="C998" s="8"/>
      <c r="D998" s="8"/>
      <c r="E998" s="8"/>
      <c r="F998" s="8"/>
      <c r="G998" s="11">
        <v>0.058</v>
      </c>
      <c r="H998" s="11">
        <v>0.283</v>
      </c>
      <c r="I998" s="9" t="s">
        <v>65</v>
      </c>
    </row>
    <row r="999">
      <c r="A999" s="12" t="s">
        <v>100</v>
      </c>
      <c r="B999" s="5" t="s">
        <v>84</v>
      </c>
      <c r="C999" s="8"/>
      <c r="D999" s="8"/>
      <c r="E999" s="8"/>
      <c r="F999" s="8"/>
      <c r="G999" s="11">
        <v>0.61</v>
      </c>
      <c r="H999" s="11">
        <v>0.767</v>
      </c>
      <c r="I999" s="9" t="s">
        <v>65</v>
      </c>
    </row>
    <row r="1000">
      <c r="A1000" s="12" t="s">
        <v>102</v>
      </c>
      <c r="B1000" s="5" t="s">
        <v>84</v>
      </c>
      <c r="C1000" s="8"/>
      <c r="D1000" s="11">
        <v>60.0</v>
      </c>
      <c r="E1000" s="8"/>
      <c r="F1000" s="8"/>
      <c r="G1000" s="11">
        <v>0.044</v>
      </c>
      <c r="H1000" s="11">
        <v>0.196</v>
      </c>
      <c r="I1000" s="9" t="s">
        <v>65</v>
      </c>
    </row>
    <row r="1001">
      <c r="A1001" s="12" t="s">
        <v>105</v>
      </c>
      <c r="B1001" s="5" t="s">
        <v>84</v>
      </c>
      <c r="C1001" s="8"/>
      <c r="D1001" s="11">
        <v>152.0</v>
      </c>
      <c r="E1001" s="8"/>
      <c r="F1001" s="8"/>
      <c r="G1001" s="11">
        <v>0.191</v>
      </c>
      <c r="H1001" s="11">
        <v>0.357</v>
      </c>
      <c r="I1001" s="9" t="s">
        <v>65</v>
      </c>
    </row>
    <row r="1002">
      <c r="A1002" s="12" t="s">
        <v>198</v>
      </c>
      <c r="B1002" s="5" t="s">
        <v>77</v>
      </c>
      <c r="C1002" s="11">
        <v>0.262</v>
      </c>
      <c r="D1002" s="11">
        <v>46.0</v>
      </c>
      <c r="E1002" s="8"/>
      <c r="F1002" s="11">
        <v>161.0</v>
      </c>
      <c r="G1002" s="11">
        <v>0.152</v>
      </c>
      <c r="H1002" s="11">
        <v>0.542</v>
      </c>
      <c r="I1002" s="9" t="s">
        <v>66</v>
      </c>
    </row>
    <row r="1003">
      <c r="A1003" s="12" t="s">
        <v>269</v>
      </c>
      <c r="B1003" s="5" t="s">
        <v>77</v>
      </c>
      <c r="C1003" s="11">
        <v>0.606</v>
      </c>
      <c r="D1003" s="11">
        <v>11.0</v>
      </c>
      <c r="E1003" s="8"/>
      <c r="F1003" s="11">
        <v>268.0</v>
      </c>
      <c r="G1003" s="11">
        <v>0.097</v>
      </c>
      <c r="H1003" s="11">
        <v>0.565</v>
      </c>
      <c r="I1003" s="9" t="s">
        <v>66</v>
      </c>
    </row>
    <row r="1004">
      <c r="A1004" s="12" t="s">
        <v>239</v>
      </c>
      <c r="B1004" s="5" t="s">
        <v>77</v>
      </c>
      <c r="C1004" s="11">
        <v>0.484</v>
      </c>
      <c r="D1004" s="11">
        <v>39.0</v>
      </c>
      <c r="E1004" s="8"/>
      <c r="F1004" s="11">
        <v>76.0</v>
      </c>
      <c r="G1004" s="11">
        <v>0.254</v>
      </c>
      <c r="H1004" s="11">
        <v>0.675</v>
      </c>
      <c r="I1004" s="9" t="s">
        <v>66</v>
      </c>
    </row>
    <row r="1005">
      <c r="A1005" s="12" t="s">
        <v>205</v>
      </c>
      <c r="B1005" s="5" t="s">
        <v>77</v>
      </c>
      <c r="C1005" s="11">
        <v>0.517</v>
      </c>
      <c r="D1005" s="11">
        <v>12.0</v>
      </c>
      <c r="E1005" s="8"/>
      <c r="F1005" s="11">
        <v>358.0</v>
      </c>
      <c r="G1005" s="11">
        <v>0.151</v>
      </c>
      <c r="H1005" s="11">
        <v>0.411</v>
      </c>
      <c r="I1005" s="9" t="s">
        <v>66</v>
      </c>
    </row>
    <row r="1006">
      <c r="A1006" s="12" t="s">
        <v>76</v>
      </c>
      <c r="B1006" s="5" t="s">
        <v>77</v>
      </c>
      <c r="C1006" s="11">
        <v>0.769</v>
      </c>
      <c r="D1006" s="11">
        <v>25.0</v>
      </c>
      <c r="E1006" s="8"/>
      <c r="F1006" s="11">
        <v>451.0</v>
      </c>
      <c r="G1006" s="11">
        <v>0.058</v>
      </c>
      <c r="H1006" s="11">
        <v>0.402</v>
      </c>
      <c r="I1006" s="9" t="s">
        <v>66</v>
      </c>
    </row>
    <row r="1007">
      <c r="A1007" s="12" t="s">
        <v>247</v>
      </c>
      <c r="B1007" s="5" t="s">
        <v>77</v>
      </c>
      <c r="C1007" s="11">
        <v>0.376</v>
      </c>
      <c r="D1007" s="11">
        <v>35.0</v>
      </c>
      <c r="E1007" s="8"/>
      <c r="F1007" s="11">
        <v>350.0</v>
      </c>
      <c r="G1007" s="11">
        <v>0.075</v>
      </c>
      <c r="H1007" s="11">
        <v>0.704</v>
      </c>
      <c r="I1007" s="9" t="s">
        <v>66</v>
      </c>
    </row>
    <row r="1008">
      <c r="A1008" s="12" t="s">
        <v>185</v>
      </c>
      <c r="B1008" s="5" t="s">
        <v>77</v>
      </c>
      <c r="C1008" s="8"/>
      <c r="D1008" s="8"/>
      <c r="E1008" s="8"/>
      <c r="F1008" s="8"/>
      <c r="G1008" s="11">
        <v>0.039</v>
      </c>
      <c r="H1008" s="11">
        <v>0.357</v>
      </c>
      <c r="I1008" s="9" t="s">
        <v>66</v>
      </c>
    </row>
    <row r="1009">
      <c r="A1009" s="12" t="s">
        <v>134</v>
      </c>
      <c r="B1009" s="5" t="s">
        <v>77</v>
      </c>
      <c r="C1009" s="11">
        <v>0.543</v>
      </c>
      <c r="D1009" s="11">
        <v>22.0</v>
      </c>
      <c r="E1009" s="8"/>
      <c r="F1009" s="11">
        <v>504.0</v>
      </c>
      <c r="G1009" s="11">
        <v>0.128</v>
      </c>
      <c r="H1009" s="11">
        <v>0.19</v>
      </c>
      <c r="I1009" s="9" t="s">
        <v>66</v>
      </c>
    </row>
    <row r="1010">
      <c r="A1010" s="12" t="s">
        <v>104</v>
      </c>
      <c r="B1010" s="5" t="s">
        <v>77</v>
      </c>
      <c r="C1010" s="11">
        <v>0.171</v>
      </c>
      <c r="D1010" s="11">
        <v>107.0</v>
      </c>
      <c r="E1010" s="8"/>
      <c r="F1010" s="11">
        <v>140.0</v>
      </c>
      <c r="G1010" s="11">
        <v>0.033</v>
      </c>
      <c r="H1010" s="11">
        <v>0.301</v>
      </c>
      <c r="I1010" s="9" t="s">
        <v>66</v>
      </c>
    </row>
    <row r="1011">
      <c r="A1011" s="12" t="s">
        <v>183</v>
      </c>
      <c r="B1011" s="5" t="s">
        <v>77</v>
      </c>
      <c r="C1011" s="11">
        <v>0.288</v>
      </c>
      <c r="D1011" s="11">
        <v>93.0</v>
      </c>
      <c r="E1011" s="8"/>
      <c r="F1011" s="11">
        <v>564.0</v>
      </c>
      <c r="G1011" s="11">
        <v>0.026</v>
      </c>
      <c r="H1011" s="11">
        <v>0.13</v>
      </c>
      <c r="I1011" s="9" t="s">
        <v>66</v>
      </c>
    </row>
    <row r="1012">
      <c r="A1012" s="12" t="s">
        <v>208</v>
      </c>
      <c r="B1012" s="5" t="s">
        <v>77</v>
      </c>
      <c r="C1012" s="11">
        <v>0.258</v>
      </c>
      <c r="D1012" s="11">
        <v>95.0</v>
      </c>
      <c r="E1012" s="8"/>
      <c r="F1012" s="11">
        <v>339.0</v>
      </c>
      <c r="G1012" s="11">
        <v>0.04</v>
      </c>
      <c r="H1012" s="11">
        <v>0.221</v>
      </c>
      <c r="I1012" s="9" t="s">
        <v>66</v>
      </c>
    </row>
    <row r="1013">
      <c r="A1013" s="12" t="s">
        <v>130</v>
      </c>
      <c r="B1013" s="5" t="s">
        <v>77</v>
      </c>
      <c r="C1013" s="11">
        <v>0.378</v>
      </c>
      <c r="D1013" s="11">
        <v>37.0</v>
      </c>
      <c r="E1013" s="8"/>
      <c r="F1013" s="11">
        <v>66.0</v>
      </c>
      <c r="G1013" s="11">
        <v>0.01</v>
      </c>
      <c r="H1013" s="11">
        <v>0.057</v>
      </c>
      <c r="I1013" s="9" t="s">
        <v>66</v>
      </c>
    </row>
    <row r="1014">
      <c r="A1014" s="12" t="s">
        <v>285</v>
      </c>
      <c r="B1014" s="5" t="s">
        <v>77</v>
      </c>
      <c r="C1014" s="11">
        <v>0.323</v>
      </c>
      <c r="D1014" s="11">
        <v>97.0</v>
      </c>
      <c r="E1014" s="8"/>
      <c r="F1014" s="11">
        <v>216.0</v>
      </c>
      <c r="G1014" s="11">
        <v>0.08</v>
      </c>
      <c r="H1014" s="11">
        <v>0.051</v>
      </c>
      <c r="I1014" s="9" t="s">
        <v>66</v>
      </c>
    </row>
    <row r="1015">
      <c r="A1015" s="12" t="s">
        <v>258</v>
      </c>
      <c r="B1015" s="5" t="s">
        <v>77</v>
      </c>
      <c r="C1015" s="11">
        <v>0.363</v>
      </c>
      <c r="D1015" s="11">
        <v>60.0</v>
      </c>
      <c r="E1015" s="8"/>
      <c r="F1015" s="11">
        <v>104.0</v>
      </c>
      <c r="G1015" s="11">
        <v>0.037</v>
      </c>
      <c r="H1015" s="11">
        <v>0.181</v>
      </c>
      <c r="I1015" s="9" t="s">
        <v>66</v>
      </c>
    </row>
    <row r="1016">
      <c r="A1016" s="12" t="s">
        <v>145</v>
      </c>
      <c r="B1016" s="5" t="s">
        <v>77</v>
      </c>
      <c r="C1016" s="11">
        <v>0.451</v>
      </c>
      <c r="D1016" s="11">
        <v>57.0</v>
      </c>
      <c r="E1016" s="8"/>
      <c r="F1016" s="11">
        <v>488.0</v>
      </c>
      <c r="G1016" s="11">
        <v>0.049</v>
      </c>
      <c r="H1016" s="11">
        <v>0.534</v>
      </c>
      <c r="I1016" s="9" t="s">
        <v>66</v>
      </c>
    </row>
    <row r="1017">
      <c r="A1017" s="12" t="s">
        <v>149</v>
      </c>
      <c r="B1017" s="5" t="s">
        <v>77</v>
      </c>
      <c r="C1017" s="11">
        <v>0.398</v>
      </c>
      <c r="D1017" s="11">
        <v>18.0</v>
      </c>
      <c r="E1017" s="8"/>
      <c r="F1017" s="11">
        <v>304.0</v>
      </c>
      <c r="G1017" s="11">
        <v>0.018</v>
      </c>
      <c r="H1017" s="11">
        <v>0.134</v>
      </c>
      <c r="I1017" s="9" t="s">
        <v>66</v>
      </c>
    </row>
    <row r="1018">
      <c r="A1018" s="12" t="s">
        <v>114</v>
      </c>
      <c r="B1018" s="5" t="s">
        <v>77</v>
      </c>
      <c r="C1018" s="11">
        <v>0.657</v>
      </c>
      <c r="D1018" s="11">
        <v>22.0</v>
      </c>
      <c r="E1018" s="8"/>
      <c r="F1018" s="11">
        <v>504.0</v>
      </c>
      <c r="G1018" s="11">
        <v>0.003</v>
      </c>
      <c r="H1018" s="11">
        <v>0.025</v>
      </c>
      <c r="I1018" s="9" t="s">
        <v>66</v>
      </c>
    </row>
    <row r="1019">
      <c r="A1019" s="12" t="s">
        <v>123</v>
      </c>
      <c r="B1019" s="5" t="s">
        <v>77</v>
      </c>
      <c r="C1019" s="11">
        <v>0.473</v>
      </c>
      <c r="D1019" s="11">
        <v>45.0</v>
      </c>
      <c r="E1019" s="8"/>
      <c r="F1019" s="11">
        <v>270.0</v>
      </c>
      <c r="G1019" s="11">
        <v>0.01</v>
      </c>
      <c r="H1019" s="11">
        <v>0.135</v>
      </c>
      <c r="I1019" s="9" t="s">
        <v>66</v>
      </c>
    </row>
    <row r="1020">
      <c r="A1020" s="12" t="s">
        <v>197</v>
      </c>
      <c r="B1020" s="5" t="s">
        <v>77</v>
      </c>
      <c r="C1020" s="11">
        <v>0.947</v>
      </c>
      <c r="D1020" s="11">
        <v>82.0</v>
      </c>
      <c r="E1020" s="8"/>
      <c r="F1020" s="11">
        <v>696.0</v>
      </c>
      <c r="G1020" s="11">
        <v>0.007</v>
      </c>
      <c r="H1020" s="11">
        <v>0.237</v>
      </c>
      <c r="I1020" s="9" t="s">
        <v>66</v>
      </c>
    </row>
    <row r="1021">
      <c r="A1021" s="12" t="s">
        <v>136</v>
      </c>
      <c r="B1021" s="5" t="s">
        <v>77</v>
      </c>
      <c r="C1021" s="11">
        <v>0.441</v>
      </c>
      <c r="D1021" s="11">
        <v>137.0</v>
      </c>
      <c r="E1021" s="8"/>
      <c r="F1021" s="11">
        <v>492.0</v>
      </c>
      <c r="G1021" s="11">
        <v>0.011</v>
      </c>
      <c r="H1021" s="11">
        <v>0.161</v>
      </c>
      <c r="I1021" s="9" t="s">
        <v>66</v>
      </c>
    </row>
    <row r="1022">
      <c r="A1022" s="12" t="s">
        <v>266</v>
      </c>
      <c r="B1022" s="5" t="s">
        <v>77</v>
      </c>
      <c r="C1022" s="11">
        <v>0.525</v>
      </c>
      <c r="D1022" s="11">
        <v>65.0</v>
      </c>
      <c r="E1022" s="8"/>
      <c r="F1022" s="11">
        <v>270.0</v>
      </c>
      <c r="G1022" s="11">
        <v>0.018</v>
      </c>
      <c r="H1022" s="11">
        <v>0.078</v>
      </c>
      <c r="I1022" s="9" t="s">
        <v>66</v>
      </c>
    </row>
    <row r="1023">
      <c r="A1023" s="12" t="s">
        <v>232</v>
      </c>
      <c r="B1023" s="5" t="s">
        <v>77</v>
      </c>
      <c r="C1023" s="11">
        <v>0.468</v>
      </c>
      <c r="D1023" s="11">
        <v>18.0</v>
      </c>
      <c r="E1023" s="8"/>
      <c r="F1023" s="11">
        <v>168.0</v>
      </c>
      <c r="G1023" s="11">
        <v>0.006</v>
      </c>
      <c r="H1023" s="11">
        <v>0.024</v>
      </c>
      <c r="I1023" s="9" t="s">
        <v>66</v>
      </c>
    </row>
    <row r="1024">
      <c r="A1024" s="12" t="s">
        <v>256</v>
      </c>
      <c r="B1024" s="5" t="s">
        <v>77</v>
      </c>
      <c r="C1024" s="11">
        <v>0.497</v>
      </c>
      <c r="D1024" s="11">
        <v>39.0</v>
      </c>
      <c r="E1024" s="8"/>
      <c r="F1024" s="11">
        <v>180.0</v>
      </c>
      <c r="G1024" s="11">
        <v>0.013</v>
      </c>
      <c r="H1024" s="11">
        <v>0.048</v>
      </c>
      <c r="I1024" s="9" t="s">
        <v>66</v>
      </c>
    </row>
    <row r="1025">
      <c r="A1025" s="12" t="s">
        <v>190</v>
      </c>
      <c r="B1025" s="5" t="s">
        <v>77</v>
      </c>
      <c r="C1025" s="11">
        <v>0.469</v>
      </c>
      <c r="D1025" s="11">
        <v>38.0</v>
      </c>
      <c r="E1025" s="8"/>
      <c r="F1025" s="11">
        <v>400.0</v>
      </c>
      <c r="G1025" s="11">
        <v>0.006</v>
      </c>
      <c r="H1025" s="11">
        <v>0.028</v>
      </c>
      <c r="I1025" s="9" t="s">
        <v>66</v>
      </c>
    </row>
    <row r="1026">
      <c r="A1026" s="12" t="s">
        <v>235</v>
      </c>
      <c r="B1026" s="5" t="s">
        <v>77</v>
      </c>
      <c r="C1026" s="11">
        <v>0.469</v>
      </c>
      <c r="D1026" s="11">
        <v>144.0</v>
      </c>
      <c r="E1026" s="8"/>
      <c r="F1026" s="11">
        <v>424.0</v>
      </c>
      <c r="G1026" s="11">
        <v>0.138</v>
      </c>
      <c r="H1026" s="11">
        <v>0.077</v>
      </c>
      <c r="I1026" s="9" t="s">
        <v>66</v>
      </c>
    </row>
    <row r="1027">
      <c r="A1027" s="12" t="s">
        <v>120</v>
      </c>
      <c r="B1027" s="5" t="s">
        <v>77</v>
      </c>
      <c r="C1027" s="11">
        <v>0.649</v>
      </c>
      <c r="D1027" s="11">
        <v>37.0</v>
      </c>
      <c r="E1027" s="8"/>
      <c r="F1027" s="11">
        <v>606.0</v>
      </c>
      <c r="G1027" s="11">
        <v>0.015</v>
      </c>
      <c r="H1027" s="11">
        <v>0.158</v>
      </c>
      <c r="I1027" s="9" t="s">
        <v>66</v>
      </c>
    </row>
    <row r="1028">
      <c r="A1028" s="12" t="s">
        <v>175</v>
      </c>
      <c r="B1028" s="5" t="s">
        <v>77</v>
      </c>
      <c r="C1028" s="11">
        <v>0.498</v>
      </c>
      <c r="D1028" s="11">
        <v>54.0</v>
      </c>
      <c r="E1028" s="8"/>
      <c r="F1028" s="11">
        <v>372.0</v>
      </c>
      <c r="G1028" s="11">
        <v>0.031</v>
      </c>
      <c r="H1028" s="11">
        <v>0.129</v>
      </c>
      <c r="I1028" s="9" t="s">
        <v>66</v>
      </c>
    </row>
    <row r="1029">
      <c r="A1029" s="12" t="s">
        <v>139</v>
      </c>
      <c r="B1029" s="5" t="s">
        <v>77</v>
      </c>
      <c r="C1029" s="11">
        <v>0.303</v>
      </c>
      <c r="D1029" s="11">
        <v>34.0</v>
      </c>
      <c r="E1029" s="8"/>
      <c r="F1029" s="11">
        <v>212.0</v>
      </c>
      <c r="G1029" s="11">
        <v>0.002</v>
      </c>
      <c r="H1029" s="11">
        <v>0.005</v>
      </c>
      <c r="I1029" s="9" t="s">
        <v>66</v>
      </c>
    </row>
    <row r="1030">
      <c r="A1030" s="12" t="s">
        <v>119</v>
      </c>
      <c r="B1030" s="5" t="s">
        <v>77</v>
      </c>
      <c r="C1030" s="11">
        <v>2.179</v>
      </c>
      <c r="D1030" s="11">
        <v>24.0</v>
      </c>
      <c r="E1030" s="8"/>
      <c r="F1030" s="11">
        <v>100.0</v>
      </c>
      <c r="G1030" s="11">
        <v>0.02</v>
      </c>
      <c r="H1030" s="11">
        <v>0.026</v>
      </c>
      <c r="I1030" s="9" t="s">
        <v>66</v>
      </c>
    </row>
    <row r="1031">
      <c r="A1031" s="12" t="s">
        <v>237</v>
      </c>
      <c r="B1031" s="5" t="s">
        <v>77</v>
      </c>
      <c r="C1031" s="11">
        <v>0.503</v>
      </c>
      <c r="D1031" s="11">
        <v>59.0</v>
      </c>
      <c r="E1031" s="8"/>
      <c r="F1031" s="11">
        <v>696.0</v>
      </c>
      <c r="G1031" s="11">
        <v>0.048</v>
      </c>
      <c r="H1031" s="11">
        <v>0.154</v>
      </c>
      <c r="I1031" s="9" t="s">
        <v>66</v>
      </c>
    </row>
    <row r="1032">
      <c r="A1032" s="12" t="s">
        <v>249</v>
      </c>
      <c r="B1032" s="5" t="s">
        <v>77</v>
      </c>
      <c r="C1032" s="8"/>
      <c r="D1032" s="8"/>
      <c r="E1032" s="8"/>
      <c r="F1032" s="8"/>
      <c r="G1032" s="8"/>
      <c r="H1032" s="8"/>
      <c r="I1032" s="9" t="s">
        <v>66</v>
      </c>
    </row>
    <row r="1033">
      <c r="A1033" s="12" t="s">
        <v>111</v>
      </c>
      <c r="B1033" s="5" t="s">
        <v>77</v>
      </c>
      <c r="C1033" s="11">
        <v>0.506</v>
      </c>
      <c r="D1033" s="11">
        <v>45.0</v>
      </c>
      <c r="E1033" s="8"/>
      <c r="F1033" s="11">
        <v>654.0</v>
      </c>
      <c r="G1033" s="11">
        <v>0.014</v>
      </c>
      <c r="H1033" s="11">
        <v>0.124</v>
      </c>
      <c r="I1033" s="9" t="s">
        <v>66</v>
      </c>
    </row>
    <row r="1034">
      <c r="A1034" s="12" t="s">
        <v>156</v>
      </c>
      <c r="B1034" s="5" t="s">
        <v>77</v>
      </c>
      <c r="C1034" s="11">
        <v>0.542</v>
      </c>
      <c r="D1034" s="11">
        <v>259.0</v>
      </c>
      <c r="E1034" s="8"/>
      <c r="F1034" s="11">
        <v>208.0</v>
      </c>
      <c r="G1034" s="11">
        <v>0.019</v>
      </c>
      <c r="H1034" s="11">
        <v>0.07</v>
      </c>
      <c r="I1034" s="9" t="s">
        <v>66</v>
      </c>
    </row>
    <row r="1035">
      <c r="A1035" s="12" t="s">
        <v>155</v>
      </c>
      <c r="B1035" s="5" t="s">
        <v>77</v>
      </c>
      <c r="C1035" s="11">
        <v>0.807</v>
      </c>
      <c r="D1035" s="11">
        <v>40.0</v>
      </c>
      <c r="E1035" s="8"/>
      <c r="F1035" s="11">
        <v>416.0</v>
      </c>
      <c r="G1035" s="11">
        <v>0.005</v>
      </c>
      <c r="H1035" s="11">
        <v>0.02</v>
      </c>
      <c r="I1035" s="9" t="s">
        <v>66</v>
      </c>
    </row>
    <row r="1036">
      <c r="A1036" s="12" t="s">
        <v>184</v>
      </c>
      <c r="B1036" s="5" t="s">
        <v>77</v>
      </c>
      <c r="C1036" s="8"/>
      <c r="D1036" s="8"/>
      <c r="E1036" s="8"/>
      <c r="F1036" s="8"/>
      <c r="G1036" s="8"/>
      <c r="H1036" s="11">
        <v>0.049</v>
      </c>
      <c r="I1036" s="9" t="s">
        <v>66</v>
      </c>
    </row>
    <row r="1037">
      <c r="A1037" s="12" t="s">
        <v>99</v>
      </c>
      <c r="B1037" s="5" t="s">
        <v>77</v>
      </c>
      <c r="C1037" s="11">
        <v>0.757</v>
      </c>
      <c r="D1037" s="11">
        <v>31.0</v>
      </c>
      <c r="E1037" s="8"/>
      <c r="F1037" s="11">
        <v>270.0</v>
      </c>
      <c r="G1037" s="11">
        <v>0.013</v>
      </c>
      <c r="H1037" s="11">
        <v>0.073</v>
      </c>
      <c r="I1037" s="9" t="s">
        <v>66</v>
      </c>
    </row>
    <row r="1038">
      <c r="A1038" s="12" t="s">
        <v>137</v>
      </c>
      <c r="B1038" s="5" t="s">
        <v>77</v>
      </c>
      <c r="C1038" s="11">
        <v>0.845</v>
      </c>
      <c r="D1038" s="11">
        <v>76.0</v>
      </c>
      <c r="E1038" s="8"/>
      <c r="F1038" s="11">
        <v>216.0</v>
      </c>
      <c r="G1038" s="8"/>
      <c r="H1038" s="11">
        <v>0.008</v>
      </c>
      <c r="I1038" s="9" t="s">
        <v>66</v>
      </c>
    </row>
    <row r="1039">
      <c r="A1039" s="12" t="s">
        <v>240</v>
      </c>
      <c r="B1039" s="5" t="s">
        <v>77</v>
      </c>
      <c r="C1039" s="11">
        <v>2.72</v>
      </c>
      <c r="D1039" s="11">
        <v>26.0</v>
      </c>
      <c r="E1039" s="8"/>
      <c r="F1039" s="11">
        <v>399.0</v>
      </c>
      <c r="G1039" s="11">
        <v>0.002</v>
      </c>
      <c r="H1039" s="8"/>
      <c r="I1039" s="9" t="s">
        <v>66</v>
      </c>
    </row>
    <row r="1040">
      <c r="A1040" s="12" t="s">
        <v>215</v>
      </c>
      <c r="B1040" s="5" t="s">
        <v>77</v>
      </c>
      <c r="C1040" s="11">
        <v>0.316</v>
      </c>
      <c r="D1040" s="11">
        <v>35.0</v>
      </c>
      <c r="E1040" s="8"/>
      <c r="F1040" s="11">
        <v>1120.0</v>
      </c>
      <c r="G1040" s="11">
        <v>0.035</v>
      </c>
      <c r="H1040" s="11">
        <v>0.133</v>
      </c>
      <c r="I1040" s="9" t="s">
        <v>66</v>
      </c>
    </row>
    <row r="1041">
      <c r="A1041" s="12" t="s">
        <v>191</v>
      </c>
      <c r="B1041" s="5" t="s">
        <v>77</v>
      </c>
      <c r="C1041" s="11">
        <v>0.334</v>
      </c>
      <c r="D1041" s="11">
        <v>39.0</v>
      </c>
      <c r="E1041" s="8"/>
      <c r="F1041" s="11">
        <v>370.0</v>
      </c>
      <c r="G1041" s="11">
        <v>0.004</v>
      </c>
      <c r="H1041" s="11">
        <v>0.033</v>
      </c>
      <c r="I1041" s="9" t="s">
        <v>66</v>
      </c>
    </row>
    <row r="1042">
      <c r="A1042" s="12" t="s">
        <v>263</v>
      </c>
      <c r="B1042" s="5" t="s">
        <v>77</v>
      </c>
      <c r="C1042" s="11">
        <v>0.438</v>
      </c>
      <c r="D1042" s="11">
        <v>28.0</v>
      </c>
      <c r="E1042" s="8"/>
      <c r="F1042" s="11">
        <v>172.0</v>
      </c>
      <c r="G1042" s="11">
        <v>0.011</v>
      </c>
      <c r="H1042" s="11">
        <v>0.076</v>
      </c>
      <c r="I1042" s="9" t="s">
        <v>66</v>
      </c>
    </row>
    <row r="1043">
      <c r="A1043" s="12" t="s">
        <v>284</v>
      </c>
      <c r="B1043" s="5" t="s">
        <v>77</v>
      </c>
      <c r="C1043" s="11">
        <v>0.154</v>
      </c>
      <c r="D1043" s="11">
        <v>35.0</v>
      </c>
      <c r="E1043" s="8"/>
      <c r="F1043" s="11">
        <v>183.0</v>
      </c>
      <c r="G1043" s="11">
        <v>0.029</v>
      </c>
      <c r="H1043" s="11">
        <v>0.083</v>
      </c>
      <c r="I1043" s="9" t="s">
        <v>66</v>
      </c>
    </row>
    <row r="1044">
      <c r="A1044" s="12" t="s">
        <v>206</v>
      </c>
      <c r="B1044" s="5" t="s">
        <v>77</v>
      </c>
      <c r="C1044" s="11">
        <v>0.375</v>
      </c>
      <c r="D1044" s="11">
        <v>153.0</v>
      </c>
      <c r="E1044" s="8"/>
      <c r="F1044" s="11">
        <v>230.0</v>
      </c>
      <c r="G1044" s="11">
        <v>0.009</v>
      </c>
      <c r="H1044" s="11">
        <v>0.072</v>
      </c>
      <c r="I1044" s="9" t="s">
        <v>66</v>
      </c>
    </row>
    <row r="1045">
      <c r="A1045" s="12" t="s">
        <v>109</v>
      </c>
      <c r="B1045" s="5" t="s">
        <v>77</v>
      </c>
      <c r="C1045" s="11">
        <v>2.797</v>
      </c>
      <c r="D1045" s="11">
        <v>13.0</v>
      </c>
      <c r="E1045" s="8"/>
      <c r="F1045" s="11">
        <v>140.0</v>
      </c>
      <c r="G1045" s="11">
        <v>0.005</v>
      </c>
      <c r="H1045" s="11">
        <v>0.02</v>
      </c>
      <c r="I1045" s="9" t="s">
        <v>66</v>
      </c>
    </row>
    <row r="1046">
      <c r="A1046" s="12" t="s">
        <v>146</v>
      </c>
      <c r="B1046" s="5" t="s">
        <v>77</v>
      </c>
      <c r="C1046" s="11">
        <v>2.86</v>
      </c>
      <c r="D1046" s="11">
        <v>27.0</v>
      </c>
      <c r="E1046" s="8"/>
      <c r="F1046" s="11">
        <v>376.0</v>
      </c>
      <c r="G1046" s="11">
        <v>0.038</v>
      </c>
      <c r="H1046" s="11">
        <v>0.172</v>
      </c>
      <c r="I1046" s="9" t="s">
        <v>66</v>
      </c>
    </row>
    <row r="1047">
      <c r="A1047" s="12" t="s">
        <v>108</v>
      </c>
      <c r="B1047" s="5" t="s">
        <v>77</v>
      </c>
      <c r="C1047" s="11">
        <v>0.475</v>
      </c>
      <c r="D1047" s="11">
        <v>40.0</v>
      </c>
      <c r="E1047" s="8"/>
      <c r="F1047" s="11">
        <v>270.0</v>
      </c>
      <c r="G1047" s="11">
        <v>0.005</v>
      </c>
      <c r="H1047" s="11">
        <v>0.047</v>
      </c>
      <c r="I1047" s="9" t="s">
        <v>66</v>
      </c>
    </row>
    <row r="1048">
      <c r="A1048" s="12" t="s">
        <v>121</v>
      </c>
      <c r="B1048" s="5" t="s">
        <v>77</v>
      </c>
      <c r="C1048" s="11">
        <v>2.865</v>
      </c>
      <c r="D1048" s="11">
        <v>133.0</v>
      </c>
      <c r="E1048" s="8"/>
      <c r="F1048" s="11">
        <v>308.0</v>
      </c>
      <c r="G1048" s="11">
        <v>0.002</v>
      </c>
      <c r="H1048" s="11">
        <v>0.051</v>
      </c>
      <c r="I1048" s="9" t="s">
        <v>66</v>
      </c>
    </row>
    <row r="1049">
      <c r="A1049" s="12" t="s">
        <v>246</v>
      </c>
      <c r="B1049" s="5" t="s">
        <v>77</v>
      </c>
      <c r="C1049" s="8"/>
      <c r="D1049" s="8"/>
      <c r="E1049" s="8"/>
      <c r="F1049" s="8"/>
      <c r="G1049" s="11">
        <v>0.011</v>
      </c>
      <c r="H1049" s="11">
        <v>0.059</v>
      </c>
      <c r="I1049" s="9" t="s">
        <v>66</v>
      </c>
    </row>
    <row r="1050">
      <c r="A1050" s="12" t="s">
        <v>273</v>
      </c>
      <c r="B1050" s="5" t="s">
        <v>77</v>
      </c>
      <c r="C1050" s="11">
        <v>0.369</v>
      </c>
      <c r="D1050" s="11">
        <v>34.0</v>
      </c>
      <c r="E1050" s="8"/>
      <c r="F1050" s="11">
        <v>237.0</v>
      </c>
      <c r="G1050" s="11">
        <v>0.017</v>
      </c>
      <c r="H1050" s="11">
        <v>0.046</v>
      </c>
      <c r="I1050" s="9" t="s">
        <v>66</v>
      </c>
    </row>
    <row r="1051">
      <c r="A1051" s="12" t="s">
        <v>194</v>
      </c>
      <c r="B1051" s="5" t="s">
        <v>77</v>
      </c>
      <c r="C1051" s="11">
        <v>0.514</v>
      </c>
      <c r="D1051" s="11">
        <v>41.0</v>
      </c>
      <c r="E1051" s="8"/>
      <c r="F1051" s="11">
        <v>270.0</v>
      </c>
      <c r="G1051" s="11">
        <v>0.005</v>
      </c>
      <c r="H1051" s="11">
        <v>0.064</v>
      </c>
      <c r="I1051" s="9" t="s">
        <v>66</v>
      </c>
    </row>
    <row r="1052">
      <c r="A1052" s="12" t="s">
        <v>82</v>
      </c>
      <c r="B1052" s="5" t="s">
        <v>77</v>
      </c>
      <c r="C1052" s="11">
        <v>0.521</v>
      </c>
      <c r="D1052" s="11">
        <v>119.0</v>
      </c>
      <c r="E1052" s="8"/>
      <c r="F1052" s="11">
        <v>272.0</v>
      </c>
      <c r="G1052" s="11">
        <v>0.011</v>
      </c>
      <c r="H1052" s="11">
        <v>0.097</v>
      </c>
      <c r="I1052" s="9" t="s">
        <v>66</v>
      </c>
    </row>
    <row r="1053">
      <c r="A1053" s="12" t="s">
        <v>115</v>
      </c>
      <c r="B1053" s="5" t="s">
        <v>77</v>
      </c>
      <c r="C1053" s="11">
        <v>0.74</v>
      </c>
      <c r="D1053" s="11">
        <v>64.0</v>
      </c>
      <c r="E1053" s="8"/>
      <c r="F1053" s="11">
        <v>732.0</v>
      </c>
      <c r="G1053" s="11">
        <v>0.004</v>
      </c>
      <c r="H1053" s="11">
        <v>0.021</v>
      </c>
      <c r="I1053" s="9" t="s">
        <v>66</v>
      </c>
    </row>
    <row r="1054">
      <c r="A1054" s="12" t="s">
        <v>214</v>
      </c>
      <c r="B1054" s="5" t="s">
        <v>77</v>
      </c>
      <c r="C1054" s="11">
        <v>0.423</v>
      </c>
      <c r="D1054" s="11">
        <v>35.0</v>
      </c>
      <c r="E1054" s="8"/>
      <c r="F1054" s="11">
        <v>270.0</v>
      </c>
      <c r="G1054" s="11">
        <v>0.002</v>
      </c>
      <c r="H1054" s="11">
        <v>0.025</v>
      </c>
      <c r="I1054" s="9" t="s">
        <v>66</v>
      </c>
    </row>
    <row r="1055">
      <c r="A1055" s="12" t="s">
        <v>198</v>
      </c>
      <c r="B1055" s="5" t="s">
        <v>77</v>
      </c>
      <c r="C1055" s="11">
        <v>0.26</v>
      </c>
      <c r="D1055" s="11">
        <v>46.0</v>
      </c>
      <c r="E1055" s="8"/>
      <c r="F1055" s="11">
        <v>161.0</v>
      </c>
      <c r="G1055" s="11">
        <v>0.167</v>
      </c>
      <c r="H1055" s="11">
        <v>0.635</v>
      </c>
      <c r="I1055" s="9" t="s">
        <v>67</v>
      </c>
    </row>
    <row r="1056">
      <c r="A1056" s="12" t="s">
        <v>239</v>
      </c>
      <c r="B1056" s="5" t="s">
        <v>77</v>
      </c>
      <c r="C1056" s="11">
        <v>0.484</v>
      </c>
      <c r="D1056" s="11">
        <v>39.0</v>
      </c>
      <c r="E1056" s="8"/>
      <c r="F1056" s="11">
        <v>76.0</v>
      </c>
      <c r="G1056" s="11">
        <v>0.35</v>
      </c>
      <c r="H1056" s="11">
        <v>0.797</v>
      </c>
      <c r="I1056" s="9" t="s">
        <v>67</v>
      </c>
    </row>
    <row r="1057">
      <c r="A1057" s="12" t="s">
        <v>269</v>
      </c>
      <c r="B1057" s="5" t="s">
        <v>77</v>
      </c>
      <c r="C1057" s="11">
        <v>0.606</v>
      </c>
      <c r="D1057" s="11">
        <v>11.0</v>
      </c>
      <c r="E1057" s="8"/>
      <c r="F1057" s="11">
        <v>268.0</v>
      </c>
      <c r="G1057" s="11">
        <v>0.13</v>
      </c>
      <c r="H1057" s="11">
        <v>0.722</v>
      </c>
      <c r="I1057" s="9" t="s">
        <v>67</v>
      </c>
    </row>
    <row r="1058">
      <c r="A1058" s="12" t="s">
        <v>205</v>
      </c>
      <c r="B1058" s="5" t="s">
        <v>77</v>
      </c>
      <c r="C1058" s="11">
        <v>0.517</v>
      </c>
      <c r="D1058" s="11">
        <v>12.0</v>
      </c>
      <c r="E1058" s="8"/>
      <c r="F1058" s="11">
        <v>358.0</v>
      </c>
      <c r="G1058" s="11">
        <v>0.198</v>
      </c>
      <c r="H1058" s="11">
        <v>0.527</v>
      </c>
      <c r="I1058" s="9" t="s">
        <v>67</v>
      </c>
    </row>
    <row r="1059">
      <c r="A1059" s="12" t="s">
        <v>76</v>
      </c>
      <c r="B1059" s="5" t="s">
        <v>77</v>
      </c>
      <c r="C1059" s="11">
        <v>0.769</v>
      </c>
      <c r="D1059" s="11">
        <v>25.0</v>
      </c>
      <c r="E1059" s="8"/>
      <c r="F1059" s="11">
        <v>451.0</v>
      </c>
      <c r="G1059" s="11">
        <v>0.074</v>
      </c>
      <c r="H1059" s="11">
        <v>0.609</v>
      </c>
      <c r="I1059" s="9" t="s">
        <v>67</v>
      </c>
    </row>
    <row r="1060">
      <c r="A1060" s="12" t="s">
        <v>247</v>
      </c>
      <c r="B1060" s="5" t="s">
        <v>77</v>
      </c>
      <c r="C1060" s="11">
        <v>0.371</v>
      </c>
      <c r="D1060" s="11">
        <v>35.0</v>
      </c>
      <c r="E1060" s="8"/>
      <c r="F1060" s="11">
        <v>350.0</v>
      </c>
      <c r="G1060" s="11">
        <v>0.076</v>
      </c>
      <c r="H1060" s="11">
        <v>0.811</v>
      </c>
      <c r="I1060" s="9" t="s">
        <v>67</v>
      </c>
    </row>
    <row r="1061">
      <c r="A1061" s="12" t="s">
        <v>185</v>
      </c>
      <c r="B1061" s="5" t="s">
        <v>77</v>
      </c>
      <c r="C1061" s="8"/>
      <c r="D1061" s="8"/>
      <c r="E1061" s="8"/>
      <c r="F1061" s="8"/>
      <c r="G1061" s="11">
        <v>0.043</v>
      </c>
      <c r="H1061" s="11">
        <v>0.691</v>
      </c>
      <c r="I1061" s="9" t="s">
        <v>67</v>
      </c>
    </row>
    <row r="1062">
      <c r="A1062" s="12" t="s">
        <v>134</v>
      </c>
      <c r="B1062" s="5" t="s">
        <v>77</v>
      </c>
      <c r="C1062" s="11">
        <v>0.464</v>
      </c>
      <c r="D1062" s="11">
        <v>19.0</v>
      </c>
      <c r="E1062" s="8"/>
      <c r="F1062" s="11">
        <v>596.0</v>
      </c>
      <c r="G1062" s="11">
        <v>0.137</v>
      </c>
      <c r="H1062" s="11">
        <v>0.247</v>
      </c>
      <c r="I1062" s="9" t="s">
        <v>67</v>
      </c>
    </row>
    <row r="1063">
      <c r="A1063" s="12" t="s">
        <v>104</v>
      </c>
      <c r="B1063" s="5" t="s">
        <v>77</v>
      </c>
      <c r="C1063" s="11">
        <v>0.171</v>
      </c>
      <c r="D1063" s="11">
        <v>107.0</v>
      </c>
      <c r="E1063" s="8"/>
      <c r="F1063" s="11">
        <v>140.0</v>
      </c>
      <c r="G1063" s="11">
        <v>0.043</v>
      </c>
      <c r="H1063" s="11">
        <v>0.434</v>
      </c>
      <c r="I1063" s="9" t="s">
        <v>67</v>
      </c>
    </row>
    <row r="1064">
      <c r="A1064" s="12" t="s">
        <v>183</v>
      </c>
      <c r="B1064" s="5" t="s">
        <v>77</v>
      </c>
      <c r="C1064" s="11">
        <v>0.288</v>
      </c>
      <c r="D1064" s="11">
        <v>73.0</v>
      </c>
      <c r="E1064" s="8"/>
      <c r="F1064" s="11">
        <v>564.0</v>
      </c>
      <c r="G1064" s="11">
        <v>0.03</v>
      </c>
      <c r="H1064" s="11">
        <v>0.184</v>
      </c>
      <c r="I1064" s="9" t="s">
        <v>67</v>
      </c>
    </row>
    <row r="1065">
      <c r="A1065" s="12" t="s">
        <v>208</v>
      </c>
      <c r="B1065" s="5" t="s">
        <v>77</v>
      </c>
      <c r="C1065" s="11">
        <v>0.258</v>
      </c>
      <c r="D1065" s="11">
        <v>95.0</v>
      </c>
      <c r="E1065" s="8"/>
      <c r="F1065" s="11">
        <v>339.0</v>
      </c>
      <c r="G1065" s="11">
        <v>0.044</v>
      </c>
      <c r="H1065" s="11">
        <v>0.297</v>
      </c>
      <c r="I1065" s="9" t="s">
        <v>67</v>
      </c>
    </row>
    <row r="1066">
      <c r="A1066" s="12" t="s">
        <v>130</v>
      </c>
      <c r="B1066" s="5" t="s">
        <v>77</v>
      </c>
      <c r="C1066" s="11">
        <v>0.378</v>
      </c>
      <c r="D1066" s="11">
        <v>37.0</v>
      </c>
      <c r="E1066" s="8"/>
      <c r="F1066" s="11">
        <v>66.0</v>
      </c>
      <c r="G1066" s="11">
        <v>0.013</v>
      </c>
      <c r="H1066" s="11">
        <v>0.057</v>
      </c>
      <c r="I1066" s="9" t="s">
        <v>67</v>
      </c>
    </row>
    <row r="1067">
      <c r="A1067" s="12" t="s">
        <v>258</v>
      </c>
      <c r="B1067" s="5" t="s">
        <v>77</v>
      </c>
      <c r="C1067" s="11">
        <v>0.363</v>
      </c>
      <c r="D1067" s="11">
        <v>60.0</v>
      </c>
      <c r="E1067" s="8"/>
      <c r="F1067" s="11">
        <v>104.0</v>
      </c>
      <c r="G1067" s="11">
        <v>0.037</v>
      </c>
      <c r="H1067" s="11">
        <v>0.224</v>
      </c>
      <c r="I1067" s="9" t="s">
        <v>67</v>
      </c>
    </row>
    <row r="1068">
      <c r="A1068" s="12" t="s">
        <v>285</v>
      </c>
      <c r="B1068" s="5" t="s">
        <v>77</v>
      </c>
      <c r="C1068" s="11">
        <v>0.323</v>
      </c>
      <c r="D1068" s="11">
        <v>97.0</v>
      </c>
      <c r="E1068" s="8"/>
      <c r="F1068" s="11">
        <v>216.0</v>
      </c>
      <c r="G1068" s="11">
        <v>0.098</v>
      </c>
      <c r="H1068" s="11">
        <v>0.067</v>
      </c>
      <c r="I1068" s="9" t="s">
        <v>67</v>
      </c>
    </row>
    <row r="1069">
      <c r="A1069" s="12" t="s">
        <v>145</v>
      </c>
      <c r="B1069" s="5" t="s">
        <v>77</v>
      </c>
      <c r="C1069" s="11">
        <v>0.447</v>
      </c>
      <c r="D1069" s="11">
        <v>57.0</v>
      </c>
      <c r="E1069" s="8"/>
      <c r="F1069" s="11">
        <v>488.0</v>
      </c>
      <c r="G1069" s="11">
        <v>0.055</v>
      </c>
      <c r="H1069" s="11">
        <v>0.636</v>
      </c>
      <c r="I1069" s="9" t="s">
        <v>67</v>
      </c>
    </row>
    <row r="1070">
      <c r="A1070" s="12" t="s">
        <v>149</v>
      </c>
      <c r="B1070" s="5" t="s">
        <v>77</v>
      </c>
      <c r="C1070" s="11">
        <v>0.359</v>
      </c>
      <c r="D1070" s="11">
        <v>18.0</v>
      </c>
      <c r="E1070" s="8"/>
      <c r="F1070" s="11">
        <v>304.0</v>
      </c>
      <c r="G1070" s="11">
        <v>0.027</v>
      </c>
      <c r="H1070" s="11">
        <v>0.237</v>
      </c>
      <c r="I1070" s="9" t="s">
        <v>67</v>
      </c>
    </row>
    <row r="1071">
      <c r="A1071" s="12" t="s">
        <v>123</v>
      </c>
      <c r="B1071" s="5" t="s">
        <v>77</v>
      </c>
      <c r="C1071" s="11">
        <v>0.473</v>
      </c>
      <c r="D1071" s="11">
        <v>45.0</v>
      </c>
      <c r="E1071" s="8"/>
      <c r="F1071" s="11">
        <v>270.0</v>
      </c>
      <c r="G1071" s="11">
        <v>0.015</v>
      </c>
      <c r="H1071" s="11">
        <v>0.23</v>
      </c>
      <c r="I1071" s="9" t="s">
        <v>67</v>
      </c>
    </row>
    <row r="1072">
      <c r="A1072" s="12" t="s">
        <v>114</v>
      </c>
      <c r="B1072" s="5" t="s">
        <v>77</v>
      </c>
      <c r="C1072" s="11">
        <v>2.038</v>
      </c>
      <c r="D1072" s="11">
        <v>22.0</v>
      </c>
      <c r="E1072" s="8"/>
      <c r="F1072" s="11">
        <v>504.0</v>
      </c>
      <c r="G1072" s="11">
        <v>0.003</v>
      </c>
      <c r="H1072" s="11">
        <v>0.027</v>
      </c>
      <c r="I1072" s="9" t="s">
        <v>67</v>
      </c>
    </row>
    <row r="1073">
      <c r="A1073" s="12" t="s">
        <v>256</v>
      </c>
      <c r="B1073" s="5" t="s">
        <v>77</v>
      </c>
      <c r="C1073" s="11">
        <v>0.361</v>
      </c>
      <c r="D1073" s="11">
        <v>39.0</v>
      </c>
      <c r="E1073" s="8"/>
      <c r="F1073" s="11">
        <v>180.0</v>
      </c>
      <c r="G1073" s="8"/>
      <c r="H1073" s="11">
        <v>0.119</v>
      </c>
      <c r="I1073" s="9" t="s">
        <v>67</v>
      </c>
    </row>
    <row r="1074">
      <c r="A1074" s="12" t="s">
        <v>197</v>
      </c>
      <c r="B1074" s="5" t="s">
        <v>77</v>
      </c>
      <c r="C1074" s="11">
        <v>0.947</v>
      </c>
      <c r="D1074" s="11">
        <v>82.0</v>
      </c>
      <c r="E1074" s="8"/>
      <c r="F1074" s="11">
        <v>696.0</v>
      </c>
      <c r="G1074" s="11">
        <v>0.01</v>
      </c>
      <c r="H1074" s="11">
        <v>0.327</v>
      </c>
      <c r="I1074" s="9" t="s">
        <v>67</v>
      </c>
    </row>
    <row r="1075">
      <c r="A1075" s="12" t="s">
        <v>190</v>
      </c>
      <c r="B1075" s="5" t="s">
        <v>77</v>
      </c>
      <c r="C1075" s="11">
        <v>0.465</v>
      </c>
      <c r="D1075" s="11">
        <v>21.0</v>
      </c>
      <c r="E1075" s="8"/>
      <c r="F1075" s="11">
        <v>304.0</v>
      </c>
      <c r="G1075" s="11">
        <v>0.006</v>
      </c>
      <c r="H1075" s="11">
        <v>0.056</v>
      </c>
      <c r="I1075" s="9" t="s">
        <v>67</v>
      </c>
    </row>
    <row r="1076">
      <c r="A1076" s="12" t="s">
        <v>136</v>
      </c>
      <c r="B1076" s="5" t="s">
        <v>77</v>
      </c>
      <c r="C1076" s="11">
        <v>0.441</v>
      </c>
      <c r="D1076" s="11">
        <v>135.0</v>
      </c>
      <c r="E1076" s="8"/>
      <c r="F1076" s="11">
        <v>492.0</v>
      </c>
      <c r="G1076" s="11">
        <v>0.013</v>
      </c>
      <c r="H1076" s="11">
        <v>0.193</v>
      </c>
      <c r="I1076" s="9" t="s">
        <v>67</v>
      </c>
    </row>
    <row r="1077">
      <c r="A1077" s="12" t="s">
        <v>266</v>
      </c>
      <c r="B1077" s="5" t="s">
        <v>77</v>
      </c>
      <c r="C1077" s="11">
        <v>0.525</v>
      </c>
      <c r="D1077" s="11">
        <v>64.0</v>
      </c>
      <c r="E1077" s="8"/>
      <c r="F1077" s="11">
        <v>270.0</v>
      </c>
      <c r="G1077" s="11">
        <v>0.02</v>
      </c>
      <c r="H1077" s="11">
        <v>0.125</v>
      </c>
      <c r="I1077" s="9" t="s">
        <v>67</v>
      </c>
    </row>
    <row r="1078">
      <c r="A1078" s="12" t="s">
        <v>175</v>
      </c>
      <c r="B1078" s="5" t="s">
        <v>77</v>
      </c>
      <c r="C1078" s="11">
        <v>0.498</v>
      </c>
      <c r="D1078" s="11">
        <v>54.0</v>
      </c>
      <c r="E1078" s="8"/>
      <c r="F1078" s="11">
        <v>432.0</v>
      </c>
      <c r="G1078" s="11">
        <v>0.075</v>
      </c>
      <c r="H1078" s="11">
        <v>0.2</v>
      </c>
      <c r="I1078" s="9" t="s">
        <v>67</v>
      </c>
    </row>
    <row r="1079">
      <c r="A1079" s="12" t="s">
        <v>232</v>
      </c>
      <c r="B1079" s="5" t="s">
        <v>77</v>
      </c>
      <c r="C1079" s="11">
        <v>0.369</v>
      </c>
      <c r="D1079" s="11">
        <v>16.0</v>
      </c>
      <c r="E1079" s="8"/>
      <c r="F1079" s="11">
        <v>168.0</v>
      </c>
      <c r="G1079" s="8"/>
      <c r="H1079" s="11">
        <v>0.033</v>
      </c>
      <c r="I1079" s="9" t="s">
        <v>67</v>
      </c>
    </row>
    <row r="1080">
      <c r="A1080" s="12" t="s">
        <v>139</v>
      </c>
      <c r="B1080" s="5" t="s">
        <v>77</v>
      </c>
      <c r="C1080" s="11">
        <v>0.303</v>
      </c>
      <c r="D1080" s="11">
        <v>18.0</v>
      </c>
      <c r="E1080" s="8"/>
      <c r="F1080" s="11">
        <v>212.0</v>
      </c>
      <c r="G1080" s="11">
        <v>0.003</v>
      </c>
      <c r="H1080" s="11">
        <v>0.011</v>
      </c>
      <c r="I1080" s="9" t="s">
        <v>67</v>
      </c>
    </row>
    <row r="1081">
      <c r="A1081" s="12" t="s">
        <v>235</v>
      </c>
      <c r="B1081" s="5" t="s">
        <v>77</v>
      </c>
      <c r="C1081" s="11">
        <v>0.487</v>
      </c>
      <c r="D1081" s="11">
        <v>144.0</v>
      </c>
      <c r="E1081" s="8"/>
      <c r="F1081" s="11">
        <v>424.0</v>
      </c>
      <c r="G1081" s="11">
        <v>0.142</v>
      </c>
      <c r="H1081" s="11">
        <v>0.116</v>
      </c>
      <c r="I1081" s="9" t="s">
        <v>67</v>
      </c>
    </row>
    <row r="1082">
      <c r="A1082" s="12" t="s">
        <v>249</v>
      </c>
      <c r="B1082" s="5" t="s">
        <v>77</v>
      </c>
      <c r="C1082" s="8"/>
      <c r="D1082" s="8"/>
      <c r="E1082" s="8"/>
      <c r="F1082" s="8"/>
      <c r="G1082" s="8"/>
      <c r="H1082" s="8"/>
      <c r="I1082" s="9" t="s">
        <v>67</v>
      </c>
    </row>
    <row r="1083">
      <c r="A1083" s="12" t="s">
        <v>120</v>
      </c>
      <c r="B1083" s="5" t="s">
        <v>77</v>
      </c>
      <c r="C1083" s="11">
        <v>0.649</v>
      </c>
      <c r="D1083" s="11">
        <v>37.0</v>
      </c>
      <c r="E1083" s="8"/>
      <c r="F1083" s="11">
        <v>606.0</v>
      </c>
      <c r="G1083" s="11">
        <v>0.02</v>
      </c>
      <c r="H1083" s="11">
        <v>0.252</v>
      </c>
      <c r="I1083" s="9" t="s">
        <v>67</v>
      </c>
    </row>
    <row r="1084">
      <c r="A1084" s="12" t="s">
        <v>119</v>
      </c>
      <c r="B1084" s="5" t="s">
        <v>77</v>
      </c>
      <c r="C1084" s="11">
        <v>2.179</v>
      </c>
      <c r="D1084" s="11">
        <v>22.0</v>
      </c>
      <c r="E1084" s="8"/>
      <c r="F1084" s="11">
        <v>100.0</v>
      </c>
      <c r="G1084" s="11">
        <v>0.022</v>
      </c>
      <c r="H1084" s="11">
        <v>0.06</v>
      </c>
      <c r="I1084" s="9" t="s">
        <v>67</v>
      </c>
    </row>
    <row r="1085">
      <c r="A1085" s="12" t="s">
        <v>237</v>
      </c>
      <c r="B1085" s="5" t="s">
        <v>77</v>
      </c>
      <c r="C1085" s="11">
        <v>0.455</v>
      </c>
      <c r="D1085" s="11">
        <v>59.0</v>
      </c>
      <c r="E1085" s="8"/>
      <c r="F1085" s="11">
        <v>696.0</v>
      </c>
      <c r="G1085" s="11">
        <v>0.056</v>
      </c>
      <c r="H1085" s="11">
        <v>0.258</v>
      </c>
      <c r="I1085" s="9" t="s">
        <v>67</v>
      </c>
    </row>
    <row r="1086">
      <c r="A1086" s="12" t="s">
        <v>111</v>
      </c>
      <c r="B1086" s="5" t="s">
        <v>77</v>
      </c>
      <c r="C1086" s="11">
        <v>0.508</v>
      </c>
      <c r="D1086" s="11">
        <v>45.0</v>
      </c>
      <c r="E1086" s="8"/>
      <c r="F1086" s="11">
        <v>654.0</v>
      </c>
      <c r="G1086" s="11">
        <v>0.02</v>
      </c>
      <c r="H1086" s="11">
        <v>0.168</v>
      </c>
      <c r="I1086" s="9" t="s">
        <v>67</v>
      </c>
    </row>
    <row r="1087">
      <c r="A1087" s="12" t="s">
        <v>156</v>
      </c>
      <c r="B1087" s="5" t="s">
        <v>77</v>
      </c>
      <c r="C1087" s="11">
        <v>0.459</v>
      </c>
      <c r="D1087" s="11">
        <v>259.0</v>
      </c>
      <c r="E1087" s="8"/>
      <c r="F1087" s="11">
        <v>208.0</v>
      </c>
      <c r="G1087" s="11">
        <v>0.021</v>
      </c>
      <c r="H1087" s="11">
        <v>0.108</v>
      </c>
      <c r="I1087" s="9" t="s">
        <v>67</v>
      </c>
    </row>
    <row r="1088">
      <c r="A1088" s="12" t="s">
        <v>155</v>
      </c>
      <c r="B1088" s="5" t="s">
        <v>77</v>
      </c>
      <c r="C1088" s="11">
        <v>0.807</v>
      </c>
      <c r="D1088" s="11">
        <v>40.0</v>
      </c>
      <c r="E1088" s="8"/>
      <c r="F1088" s="11">
        <v>416.0</v>
      </c>
      <c r="G1088" s="11">
        <v>0.006</v>
      </c>
      <c r="H1088" s="8"/>
      <c r="I1088" s="9" t="s">
        <v>67</v>
      </c>
    </row>
    <row r="1089">
      <c r="A1089" s="12" t="s">
        <v>184</v>
      </c>
      <c r="B1089" s="5" t="s">
        <v>77</v>
      </c>
      <c r="C1089" s="11">
        <v>0.429</v>
      </c>
      <c r="D1089" s="11">
        <v>68.0</v>
      </c>
      <c r="E1089" s="8"/>
      <c r="F1089" s="11">
        <v>158.0</v>
      </c>
      <c r="G1089" s="8"/>
      <c r="H1089" s="11">
        <v>0.083</v>
      </c>
      <c r="I1089" s="9" t="s">
        <v>67</v>
      </c>
    </row>
    <row r="1090">
      <c r="A1090" s="12" t="s">
        <v>99</v>
      </c>
      <c r="B1090" s="5" t="s">
        <v>77</v>
      </c>
      <c r="C1090" s="11">
        <v>0.757</v>
      </c>
      <c r="D1090" s="11">
        <v>31.0</v>
      </c>
      <c r="E1090" s="8"/>
      <c r="F1090" s="11">
        <v>270.0</v>
      </c>
      <c r="G1090" s="11">
        <v>0.015</v>
      </c>
      <c r="H1090" s="11">
        <v>0.125</v>
      </c>
      <c r="I1090" s="9" t="s">
        <v>67</v>
      </c>
    </row>
    <row r="1091">
      <c r="A1091" s="12" t="s">
        <v>137</v>
      </c>
      <c r="B1091" s="5" t="s">
        <v>77</v>
      </c>
      <c r="C1091" s="11">
        <v>0.845</v>
      </c>
      <c r="D1091" s="11">
        <v>76.0</v>
      </c>
      <c r="E1091" s="8"/>
      <c r="F1091" s="11">
        <v>216.0</v>
      </c>
      <c r="G1091" s="8"/>
      <c r="H1091" s="11">
        <v>0.012</v>
      </c>
      <c r="I1091" s="9" t="s">
        <v>67</v>
      </c>
    </row>
    <row r="1092">
      <c r="A1092" s="12" t="s">
        <v>240</v>
      </c>
      <c r="B1092" s="5" t="s">
        <v>77</v>
      </c>
      <c r="C1092" s="11">
        <v>2.72</v>
      </c>
      <c r="D1092" s="11">
        <v>26.0</v>
      </c>
      <c r="E1092" s="8"/>
      <c r="F1092" s="11">
        <v>399.0</v>
      </c>
      <c r="G1092" s="11">
        <v>0.002</v>
      </c>
      <c r="H1092" s="8"/>
      <c r="I1092" s="9" t="s">
        <v>67</v>
      </c>
    </row>
    <row r="1093">
      <c r="A1093" s="12" t="s">
        <v>215</v>
      </c>
      <c r="B1093" s="5" t="s">
        <v>77</v>
      </c>
      <c r="C1093" s="11">
        <v>0.322</v>
      </c>
      <c r="D1093" s="11">
        <v>35.0</v>
      </c>
      <c r="E1093" s="8"/>
      <c r="F1093" s="11">
        <v>1120.0</v>
      </c>
      <c r="G1093" s="11">
        <v>0.055</v>
      </c>
      <c r="H1093" s="11">
        <v>0.226</v>
      </c>
      <c r="I1093" s="9" t="s">
        <v>67</v>
      </c>
    </row>
    <row r="1094">
      <c r="A1094" s="12" t="s">
        <v>191</v>
      </c>
      <c r="B1094" s="5" t="s">
        <v>77</v>
      </c>
      <c r="C1094" s="11">
        <v>0.334</v>
      </c>
      <c r="D1094" s="11">
        <v>39.0</v>
      </c>
      <c r="E1094" s="8"/>
      <c r="F1094" s="11">
        <v>370.0</v>
      </c>
      <c r="G1094" s="11">
        <v>0.004</v>
      </c>
      <c r="H1094" s="11">
        <v>0.047</v>
      </c>
      <c r="I1094" s="9" t="s">
        <v>67</v>
      </c>
    </row>
    <row r="1095">
      <c r="A1095" s="12" t="s">
        <v>263</v>
      </c>
      <c r="B1095" s="5" t="s">
        <v>77</v>
      </c>
      <c r="C1095" s="11">
        <v>0.438</v>
      </c>
      <c r="D1095" s="11">
        <v>27.0</v>
      </c>
      <c r="E1095" s="8"/>
      <c r="F1095" s="11">
        <v>172.0</v>
      </c>
      <c r="G1095" s="11">
        <v>0.013</v>
      </c>
      <c r="H1095" s="11">
        <v>0.14</v>
      </c>
      <c r="I1095" s="9" t="s">
        <v>67</v>
      </c>
    </row>
    <row r="1096">
      <c r="A1096" s="12" t="s">
        <v>206</v>
      </c>
      <c r="B1096" s="5" t="s">
        <v>77</v>
      </c>
      <c r="C1096" s="11">
        <v>0.375</v>
      </c>
      <c r="D1096" s="11">
        <v>113.0</v>
      </c>
      <c r="E1096" s="8"/>
      <c r="F1096" s="11">
        <v>230.0</v>
      </c>
      <c r="G1096" s="11">
        <v>0.008</v>
      </c>
      <c r="H1096" s="11">
        <v>0.108</v>
      </c>
      <c r="I1096" s="9" t="s">
        <v>67</v>
      </c>
    </row>
    <row r="1097">
      <c r="A1097" s="12" t="s">
        <v>284</v>
      </c>
      <c r="B1097" s="5" t="s">
        <v>77</v>
      </c>
      <c r="C1097" s="11">
        <v>0.154</v>
      </c>
      <c r="D1097" s="11">
        <v>35.0</v>
      </c>
      <c r="E1097" s="8"/>
      <c r="F1097" s="11">
        <v>183.0</v>
      </c>
      <c r="G1097" s="11">
        <v>0.042</v>
      </c>
      <c r="H1097" s="11">
        <v>0.141</v>
      </c>
      <c r="I1097" s="9" t="s">
        <v>67</v>
      </c>
    </row>
    <row r="1098">
      <c r="A1098" s="12" t="s">
        <v>109</v>
      </c>
      <c r="B1098" s="5" t="s">
        <v>77</v>
      </c>
      <c r="C1098" s="11">
        <v>2.797</v>
      </c>
      <c r="D1098" s="11">
        <v>13.0</v>
      </c>
      <c r="E1098" s="8"/>
      <c r="F1098" s="11">
        <v>140.0</v>
      </c>
      <c r="G1098" s="11">
        <v>0.007</v>
      </c>
      <c r="H1098" s="11">
        <v>0.025</v>
      </c>
      <c r="I1098" s="9" t="s">
        <v>67</v>
      </c>
    </row>
    <row r="1099">
      <c r="A1099" s="12" t="s">
        <v>108</v>
      </c>
      <c r="B1099" s="5" t="s">
        <v>77</v>
      </c>
      <c r="C1099" s="11">
        <v>0.476</v>
      </c>
      <c r="D1099" s="11">
        <v>34.0</v>
      </c>
      <c r="E1099" s="8"/>
      <c r="F1099" s="11">
        <v>270.0</v>
      </c>
      <c r="G1099" s="11">
        <v>0.006</v>
      </c>
      <c r="H1099" s="11">
        <v>0.074</v>
      </c>
      <c r="I1099" s="9" t="s">
        <v>67</v>
      </c>
    </row>
    <row r="1100">
      <c r="A1100" s="12" t="s">
        <v>146</v>
      </c>
      <c r="B1100" s="5" t="s">
        <v>77</v>
      </c>
      <c r="C1100" s="11">
        <v>2.921</v>
      </c>
      <c r="D1100" s="11">
        <v>27.0</v>
      </c>
      <c r="E1100" s="8"/>
      <c r="F1100" s="11">
        <v>376.0</v>
      </c>
      <c r="G1100" s="11">
        <v>0.052</v>
      </c>
      <c r="H1100" s="11">
        <v>0.273</v>
      </c>
      <c r="I1100" s="9" t="s">
        <v>67</v>
      </c>
    </row>
    <row r="1101">
      <c r="A1101" s="12" t="s">
        <v>121</v>
      </c>
      <c r="B1101" s="5" t="s">
        <v>77</v>
      </c>
      <c r="C1101" s="11">
        <v>2.865</v>
      </c>
      <c r="D1101" s="11">
        <v>133.0</v>
      </c>
      <c r="E1101" s="8"/>
      <c r="F1101" s="11">
        <v>308.0</v>
      </c>
      <c r="G1101" s="11">
        <v>0.003</v>
      </c>
      <c r="H1101" s="11">
        <v>0.079</v>
      </c>
      <c r="I1101" s="9" t="s">
        <v>67</v>
      </c>
    </row>
    <row r="1102">
      <c r="A1102" s="12" t="s">
        <v>273</v>
      </c>
      <c r="B1102" s="5" t="s">
        <v>77</v>
      </c>
      <c r="C1102" s="11">
        <v>0.352</v>
      </c>
      <c r="D1102" s="11">
        <v>28.0</v>
      </c>
      <c r="E1102" s="8"/>
      <c r="F1102" s="11">
        <v>237.0</v>
      </c>
      <c r="G1102" s="11">
        <v>0.025</v>
      </c>
      <c r="H1102" s="11">
        <v>0.068</v>
      </c>
      <c r="I1102" s="9" t="s">
        <v>67</v>
      </c>
    </row>
    <row r="1103">
      <c r="A1103" s="12" t="s">
        <v>246</v>
      </c>
      <c r="B1103" s="5" t="s">
        <v>77</v>
      </c>
      <c r="C1103" s="8"/>
      <c r="D1103" s="8"/>
      <c r="E1103" s="8"/>
      <c r="F1103" s="8"/>
      <c r="G1103" s="11">
        <v>0.011</v>
      </c>
      <c r="H1103" s="11">
        <v>0.063</v>
      </c>
      <c r="I1103" s="9" t="s">
        <v>67</v>
      </c>
    </row>
    <row r="1104">
      <c r="A1104" s="12" t="s">
        <v>194</v>
      </c>
      <c r="B1104" s="5" t="s">
        <v>77</v>
      </c>
      <c r="C1104" s="11">
        <v>0.514</v>
      </c>
      <c r="D1104" s="11">
        <v>41.0</v>
      </c>
      <c r="E1104" s="8"/>
      <c r="F1104" s="11">
        <v>270.0</v>
      </c>
      <c r="G1104" s="11">
        <v>0.007</v>
      </c>
      <c r="H1104" s="11">
        <v>0.123</v>
      </c>
      <c r="I1104" s="9" t="s">
        <v>67</v>
      </c>
    </row>
    <row r="1105">
      <c r="A1105" s="12" t="s">
        <v>115</v>
      </c>
      <c r="B1105" s="5" t="s">
        <v>77</v>
      </c>
      <c r="C1105" s="11">
        <v>0.74</v>
      </c>
      <c r="D1105" s="11">
        <v>64.0</v>
      </c>
      <c r="E1105" s="8"/>
      <c r="F1105" s="11">
        <v>732.0</v>
      </c>
      <c r="G1105" s="11">
        <v>0.006</v>
      </c>
      <c r="H1105" s="11">
        <v>0.045</v>
      </c>
      <c r="I1105" s="9" t="s">
        <v>67</v>
      </c>
    </row>
    <row r="1106">
      <c r="A1106" s="12" t="s">
        <v>82</v>
      </c>
      <c r="B1106" s="5" t="s">
        <v>77</v>
      </c>
      <c r="C1106" s="11">
        <v>0.521</v>
      </c>
      <c r="D1106" s="11">
        <v>119.0</v>
      </c>
      <c r="E1106" s="8"/>
      <c r="F1106" s="11">
        <v>272.0</v>
      </c>
      <c r="G1106" s="11">
        <v>0.019</v>
      </c>
      <c r="H1106" s="11">
        <v>0.178</v>
      </c>
      <c r="I1106" s="9" t="s">
        <v>67</v>
      </c>
    </row>
    <row r="1107">
      <c r="A1107" s="12" t="s">
        <v>214</v>
      </c>
      <c r="B1107" s="5" t="s">
        <v>77</v>
      </c>
      <c r="C1107" s="11">
        <v>0.423</v>
      </c>
      <c r="D1107" s="11">
        <v>24.0</v>
      </c>
      <c r="E1107" s="8"/>
      <c r="F1107" s="11">
        <v>270.0</v>
      </c>
      <c r="G1107" s="11">
        <v>0.003</v>
      </c>
      <c r="H1107" s="11">
        <v>0.035</v>
      </c>
      <c r="I1107" s="9" t="s">
        <v>67</v>
      </c>
    </row>
    <row r="1108">
      <c r="A1108" s="12" t="s">
        <v>198</v>
      </c>
      <c r="B1108" s="5" t="s">
        <v>77</v>
      </c>
      <c r="C1108" s="11">
        <v>0.242</v>
      </c>
      <c r="D1108" s="11">
        <v>7.0</v>
      </c>
      <c r="E1108" s="8"/>
      <c r="F1108" s="11">
        <v>161.0</v>
      </c>
      <c r="G1108" s="11">
        <v>0.202</v>
      </c>
      <c r="H1108" s="11">
        <v>0.761</v>
      </c>
      <c r="I1108" s="9" t="s">
        <v>68</v>
      </c>
    </row>
    <row r="1109">
      <c r="A1109" s="12" t="s">
        <v>269</v>
      </c>
      <c r="B1109" s="5" t="s">
        <v>77</v>
      </c>
      <c r="C1109" s="11">
        <v>0.606</v>
      </c>
      <c r="D1109" s="11">
        <v>11.0</v>
      </c>
      <c r="E1109" s="8"/>
      <c r="F1109" s="11">
        <v>268.0</v>
      </c>
      <c r="G1109" s="11">
        <v>0.171</v>
      </c>
      <c r="H1109" s="11">
        <v>0.763</v>
      </c>
      <c r="I1109" s="9" t="s">
        <v>68</v>
      </c>
    </row>
    <row r="1110">
      <c r="A1110" s="12" t="s">
        <v>239</v>
      </c>
      <c r="B1110" s="5" t="s">
        <v>77</v>
      </c>
      <c r="C1110" s="11">
        <v>0.484</v>
      </c>
      <c r="D1110" s="11">
        <v>39.0</v>
      </c>
      <c r="E1110" s="8"/>
      <c r="F1110" s="11">
        <v>76.0</v>
      </c>
      <c r="G1110" s="11">
        <v>0.384</v>
      </c>
      <c r="H1110" s="11">
        <v>0.867</v>
      </c>
      <c r="I1110" s="9" t="s">
        <v>68</v>
      </c>
    </row>
    <row r="1111">
      <c r="A1111" s="12" t="s">
        <v>205</v>
      </c>
      <c r="B1111" s="5" t="s">
        <v>77</v>
      </c>
      <c r="C1111" s="11">
        <v>0.444</v>
      </c>
      <c r="D1111" s="11">
        <v>12.0</v>
      </c>
      <c r="E1111" s="8"/>
      <c r="F1111" s="11">
        <v>358.0</v>
      </c>
      <c r="G1111" s="11">
        <v>0.215</v>
      </c>
      <c r="H1111" s="11">
        <v>0.653</v>
      </c>
      <c r="I1111" s="9" t="s">
        <v>68</v>
      </c>
    </row>
    <row r="1112">
      <c r="A1112" s="12" t="s">
        <v>247</v>
      </c>
      <c r="B1112" s="5" t="s">
        <v>77</v>
      </c>
      <c r="C1112" s="11">
        <v>0.365</v>
      </c>
      <c r="D1112" s="11">
        <v>31.0</v>
      </c>
      <c r="E1112" s="8"/>
      <c r="F1112" s="11">
        <v>350.0</v>
      </c>
      <c r="G1112" s="11">
        <v>0.081</v>
      </c>
      <c r="H1112" s="11">
        <v>0.853</v>
      </c>
      <c r="I1112" s="9" t="s">
        <v>68</v>
      </c>
    </row>
    <row r="1113">
      <c r="A1113" s="12" t="s">
        <v>76</v>
      </c>
      <c r="B1113" s="5" t="s">
        <v>77</v>
      </c>
      <c r="C1113" s="11">
        <v>0.742</v>
      </c>
      <c r="D1113" s="11">
        <v>25.0</v>
      </c>
      <c r="E1113" s="8"/>
      <c r="F1113" s="11">
        <v>451.0</v>
      </c>
      <c r="G1113" s="11">
        <v>0.095</v>
      </c>
      <c r="H1113" s="11">
        <v>0.785</v>
      </c>
      <c r="I1113" s="9" t="s">
        <v>68</v>
      </c>
    </row>
    <row r="1114">
      <c r="A1114" s="12" t="s">
        <v>185</v>
      </c>
      <c r="B1114" s="5" t="s">
        <v>77</v>
      </c>
      <c r="C1114" s="8"/>
      <c r="D1114" s="8"/>
      <c r="E1114" s="8"/>
      <c r="F1114" s="8"/>
      <c r="G1114" s="11">
        <v>0.047</v>
      </c>
      <c r="H1114" s="11">
        <v>0.778</v>
      </c>
      <c r="I1114" s="9" t="s">
        <v>68</v>
      </c>
    </row>
    <row r="1115">
      <c r="A1115" s="12" t="s">
        <v>134</v>
      </c>
      <c r="B1115" s="5" t="s">
        <v>77</v>
      </c>
      <c r="C1115" s="11">
        <v>0.451</v>
      </c>
      <c r="D1115" s="11">
        <v>10.0</v>
      </c>
      <c r="E1115" s="8"/>
      <c r="F1115" s="11">
        <v>711.0</v>
      </c>
      <c r="G1115" s="11">
        <v>0.16</v>
      </c>
      <c r="H1115" s="11">
        <v>0.405</v>
      </c>
      <c r="I1115" s="9" t="s">
        <v>68</v>
      </c>
    </row>
    <row r="1116">
      <c r="A1116" s="12" t="s">
        <v>104</v>
      </c>
      <c r="B1116" s="5" t="s">
        <v>77</v>
      </c>
      <c r="C1116" s="11">
        <v>0.171</v>
      </c>
      <c r="D1116" s="11">
        <v>107.0</v>
      </c>
      <c r="E1116" s="8"/>
      <c r="F1116" s="11">
        <v>140.0</v>
      </c>
      <c r="G1116" s="11">
        <v>0.053</v>
      </c>
      <c r="H1116" s="11">
        <v>0.601</v>
      </c>
      <c r="I1116" s="9" t="s">
        <v>68</v>
      </c>
    </row>
    <row r="1117">
      <c r="A1117" s="12" t="s">
        <v>183</v>
      </c>
      <c r="B1117" s="5" t="s">
        <v>77</v>
      </c>
      <c r="C1117" s="11">
        <v>0.224</v>
      </c>
      <c r="D1117" s="11">
        <v>73.0</v>
      </c>
      <c r="E1117" s="8"/>
      <c r="F1117" s="11">
        <v>342.0</v>
      </c>
      <c r="G1117" s="11">
        <v>0.034</v>
      </c>
      <c r="H1117" s="11">
        <v>0.247</v>
      </c>
      <c r="I1117" s="9" t="s">
        <v>68</v>
      </c>
    </row>
    <row r="1118">
      <c r="A1118" s="12" t="s">
        <v>208</v>
      </c>
      <c r="B1118" s="5" t="s">
        <v>77</v>
      </c>
      <c r="C1118" s="11">
        <v>0.258</v>
      </c>
      <c r="D1118" s="11">
        <v>99.0</v>
      </c>
      <c r="E1118" s="8"/>
      <c r="F1118" s="11">
        <v>339.0</v>
      </c>
      <c r="G1118" s="11">
        <v>0.048</v>
      </c>
      <c r="H1118" s="11">
        <v>0.385</v>
      </c>
      <c r="I1118" s="9" t="s">
        <v>68</v>
      </c>
    </row>
    <row r="1119">
      <c r="A1119" s="12" t="s">
        <v>130</v>
      </c>
      <c r="B1119" s="5" t="s">
        <v>77</v>
      </c>
      <c r="C1119" s="11">
        <v>0.378</v>
      </c>
      <c r="D1119" s="11">
        <v>37.0</v>
      </c>
      <c r="E1119" s="8"/>
      <c r="F1119" s="11">
        <v>66.0</v>
      </c>
      <c r="G1119" s="11">
        <v>0.016</v>
      </c>
      <c r="H1119" s="11">
        <v>0.087</v>
      </c>
      <c r="I1119" s="9" t="s">
        <v>68</v>
      </c>
    </row>
    <row r="1120">
      <c r="A1120" s="12" t="s">
        <v>258</v>
      </c>
      <c r="B1120" s="5" t="s">
        <v>77</v>
      </c>
      <c r="C1120" s="11">
        <v>0.363</v>
      </c>
      <c r="D1120" s="11">
        <v>60.0</v>
      </c>
      <c r="E1120" s="8"/>
      <c r="F1120" s="11">
        <v>104.0</v>
      </c>
      <c r="G1120" s="11">
        <v>0.041</v>
      </c>
      <c r="H1120" s="11">
        <v>0.335</v>
      </c>
      <c r="I1120" s="9" t="s">
        <v>68</v>
      </c>
    </row>
    <row r="1121">
      <c r="A1121" s="12" t="s">
        <v>285</v>
      </c>
      <c r="B1121" s="5" t="s">
        <v>77</v>
      </c>
      <c r="C1121" s="11">
        <v>0.514</v>
      </c>
      <c r="D1121" s="11">
        <v>97.0</v>
      </c>
      <c r="E1121" s="8"/>
      <c r="F1121" s="11">
        <v>256.0</v>
      </c>
      <c r="G1121" s="11">
        <v>0.109</v>
      </c>
      <c r="H1121" s="11">
        <v>0.096</v>
      </c>
      <c r="I1121" s="9" t="s">
        <v>68</v>
      </c>
    </row>
    <row r="1122">
      <c r="A1122" s="12" t="s">
        <v>149</v>
      </c>
      <c r="B1122" s="5" t="s">
        <v>77</v>
      </c>
      <c r="C1122" s="11">
        <v>0.327</v>
      </c>
      <c r="D1122" s="11">
        <v>15.0</v>
      </c>
      <c r="E1122" s="8"/>
      <c r="F1122" s="11">
        <v>304.0</v>
      </c>
      <c r="G1122" s="11">
        <v>0.039</v>
      </c>
      <c r="H1122" s="11">
        <v>0.338</v>
      </c>
      <c r="I1122" s="9" t="s">
        <v>68</v>
      </c>
    </row>
    <row r="1123">
      <c r="A1123" s="12" t="s">
        <v>145</v>
      </c>
      <c r="B1123" s="5" t="s">
        <v>77</v>
      </c>
      <c r="C1123" s="11">
        <v>0.447</v>
      </c>
      <c r="D1123" s="11">
        <v>57.0</v>
      </c>
      <c r="E1123" s="8"/>
      <c r="F1123" s="11">
        <v>488.0</v>
      </c>
      <c r="G1123" s="11">
        <v>0.058</v>
      </c>
      <c r="H1123" s="11">
        <v>0.808</v>
      </c>
      <c r="I1123" s="9" t="s">
        <v>68</v>
      </c>
    </row>
    <row r="1124">
      <c r="A1124" s="12" t="s">
        <v>114</v>
      </c>
      <c r="B1124" s="5" t="s">
        <v>77</v>
      </c>
      <c r="C1124" s="11">
        <v>2.038</v>
      </c>
      <c r="D1124" s="11">
        <v>22.0</v>
      </c>
      <c r="E1124" s="8"/>
      <c r="F1124" s="11">
        <v>504.0</v>
      </c>
      <c r="G1124" s="11">
        <v>0.004</v>
      </c>
      <c r="H1124" s="11">
        <v>0.083</v>
      </c>
      <c r="I1124" s="9" t="s">
        <v>68</v>
      </c>
    </row>
    <row r="1125">
      <c r="A1125" s="12" t="s">
        <v>123</v>
      </c>
      <c r="B1125" s="5" t="s">
        <v>77</v>
      </c>
      <c r="C1125" s="11">
        <v>0.446</v>
      </c>
      <c r="D1125" s="11">
        <v>40.0</v>
      </c>
      <c r="E1125" s="8"/>
      <c r="F1125" s="11">
        <v>270.0</v>
      </c>
      <c r="G1125" s="11">
        <v>0.018</v>
      </c>
      <c r="H1125" s="11">
        <v>0.416</v>
      </c>
      <c r="I1125" s="9" t="s">
        <v>68</v>
      </c>
    </row>
    <row r="1126">
      <c r="A1126" s="12" t="s">
        <v>256</v>
      </c>
      <c r="B1126" s="5" t="s">
        <v>77</v>
      </c>
      <c r="C1126" s="11">
        <v>0.361</v>
      </c>
      <c r="D1126" s="11">
        <v>39.0</v>
      </c>
      <c r="E1126" s="8"/>
      <c r="F1126" s="11">
        <v>180.0</v>
      </c>
      <c r="G1126" s="11">
        <v>0.087</v>
      </c>
      <c r="H1126" s="11">
        <v>0.204</v>
      </c>
      <c r="I1126" s="9" t="s">
        <v>68</v>
      </c>
    </row>
    <row r="1127">
      <c r="A1127" s="12" t="s">
        <v>197</v>
      </c>
      <c r="B1127" s="5" t="s">
        <v>77</v>
      </c>
      <c r="C1127" s="11">
        <v>0.947</v>
      </c>
      <c r="D1127" s="11">
        <v>65.0</v>
      </c>
      <c r="E1127" s="8"/>
      <c r="F1127" s="11">
        <v>696.0</v>
      </c>
      <c r="G1127" s="11">
        <v>0.014</v>
      </c>
      <c r="H1127" s="11">
        <v>0.425</v>
      </c>
      <c r="I1127" s="9" t="s">
        <v>68</v>
      </c>
    </row>
    <row r="1128">
      <c r="A1128" s="12" t="s">
        <v>139</v>
      </c>
      <c r="B1128" s="5" t="s">
        <v>77</v>
      </c>
      <c r="C1128" s="11">
        <v>0.303</v>
      </c>
      <c r="D1128" s="11">
        <v>18.0</v>
      </c>
      <c r="E1128" s="8"/>
      <c r="F1128" s="11">
        <v>198.0</v>
      </c>
      <c r="G1128" s="11">
        <v>0.004</v>
      </c>
      <c r="H1128" s="11">
        <v>0.015</v>
      </c>
      <c r="I1128" s="9" t="s">
        <v>68</v>
      </c>
    </row>
    <row r="1129">
      <c r="A1129" s="12" t="s">
        <v>190</v>
      </c>
      <c r="B1129" s="5" t="s">
        <v>77</v>
      </c>
      <c r="C1129" s="11">
        <v>0.465</v>
      </c>
      <c r="D1129" s="11">
        <v>7.0</v>
      </c>
      <c r="E1129" s="8"/>
      <c r="F1129" s="11">
        <v>238.0</v>
      </c>
      <c r="G1129" s="11">
        <v>0.007</v>
      </c>
      <c r="H1129" s="11">
        <v>0.114</v>
      </c>
      <c r="I1129" s="9" t="s">
        <v>68</v>
      </c>
    </row>
    <row r="1130">
      <c r="A1130" s="12" t="s">
        <v>136</v>
      </c>
      <c r="B1130" s="5" t="s">
        <v>77</v>
      </c>
      <c r="C1130" s="11">
        <v>0.441</v>
      </c>
      <c r="D1130" s="11">
        <v>135.0</v>
      </c>
      <c r="E1130" s="8"/>
      <c r="F1130" s="11">
        <v>492.0</v>
      </c>
      <c r="G1130" s="11">
        <v>0.016</v>
      </c>
      <c r="H1130" s="11">
        <v>0.235</v>
      </c>
      <c r="I1130" s="9" t="s">
        <v>68</v>
      </c>
    </row>
    <row r="1131">
      <c r="A1131" s="12" t="s">
        <v>266</v>
      </c>
      <c r="B1131" s="5" t="s">
        <v>77</v>
      </c>
      <c r="C1131" s="11">
        <v>0.526</v>
      </c>
      <c r="D1131" s="11">
        <v>62.0</v>
      </c>
      <c r="E1131" s="8"/>
      <c r="F1131" s="11">
        <v>270.0</v>
      </c>
      <c r="G1131" s="11">
        <v>0.022</v>
      </c>
      <c r="H1131" s="11">
        <v>0.204</v>
      </c>
      <c r="I1131" s="9" t="s">
        <v>68</v>
      </c>
    </row>
    <row r="1132">
      <c r="A1132" s="12" t="s">
        <v>175</v>
      </c>
      <c r="B1132" s="5" t="s">
        <v>77</v>
      </c>
      <c r="C1132" s="11">
        <v>0.493</v>
      </c>
      <c r="D1132" s="11">
        <v>44.0</v>
      </c>
      <c r="E1132" s="8"/>
      <c r="F1132" s="11">
        <v>432.0</v>
      </c>
      <c r="G1132" s="11">
        <v>0.08</v>
      </c>
      <c r="H1132" s="11">
        <v>0.301</v>
      </c>
      <c r="I1132" s="9" t="s">
        <v>68</v>
      </c>
    </row>
    <row r="1133">
      <c r="A1133" s="12" t="s">
        <v>232</v>
      </c>
      <c r="B1133" s="5" t="s">
        <v>77</v>
      </c>
      <c r="C1133" s="11">
        <v>0.335</v>
      </c>
      <c r="D1133" s="11">
        <v>16.0</v>
      </c>
      <c r="E1133" s="8"/>
      <c r="F1133" s="11">
        <v>168.0</v>
      </c>
      <c r="G1133" s="11">
        <v>0.021</v>
      </c>
      <c r="H1133" s="11">
        <v>0.064</v>
      </c>
      <c r="I1133" s="9" t="s">
        <v>68</v>
      </c>
    </row>
    <row r="1134">
      <c r="A1134" s="12" t="s">
        <v>235</v>
      </c>
      <c r="B1134" s="5" t="s">
        <v>77</v>
      </c>
      <c r="C1134" s="11">
        <v>0.487</v>
      </c>
      <c r="D1134" s="11">
        <v>144.0</v>
      </c>
      <c r="E1134" s="8"/>
      <c r="F1134" s="11">
        <v>424.0</v>
      </c>
      <c r="G1134" s="11">
        <v>0.146</v>
      </c>
      <c r="H1134" s="11">
        <v>0.184</v>
      </c>
      <c r="I1134" s="9" t="s">
        <v>68</v>
      </c>
    </row>
    <row r="1135">
      <c r="A1135" s="12" t="s">
        <v>249</v>
      </c>
      <c r="B1135" s="5" t="s">
        <v>77</v>
      </c>
      <c r="C1135" s="8"/>
      <c r="D1135" s="8"/>
      <c r="E1135" s="8"/>
      <c r="F1135" s="8"/>
      <c r="G1135" s="8"/>
      <c r="H1135" s="8"/>
      <c r="I1135" s="9" t="s">
        <v>68</v>
      </c>
    </row>
    <row r="1136">
      <c r="A1136" s="12" t="s">
        <v>155</v>
      </c>
      <c r="B1136" s="5" t="s">
        <v>77</v>
      </c>
      <c r="C1136" s="11">
        <v>0.807</v>
      </c>
      <c r="D1136" s="11">
        <v>40.0</v>
      </c>
      <c r="E1136" s="8"/>
      <c r="F1136" s="11">
        <v>416.0</v>
      </c>
      <c r="G1136" s="11">
        <v>0.008</v>
      </c>
      <c r="H1136" s="11">
        <v>0.199</v>
      </c>
      <c r="I1136" s="9" t="s">
        <v>68</v>
      </c>
    </row>
    <row r="1137">
      <c r="A1137" s="12" t="s">
        <v>120</v>
      </c>
      <c r="B1137" s="5" t="s">
        <v>77</v>
      </c>
      <c r="C1137" s="11">
        <v>0.649</v>
      </c>
      <c r="D1137" s="11">
        <v>37.0</v>
      </c>
      <c r="E1137" s="8"/>
      <c r="F1137" s="11">
        <v>606.0</v>
      </c>
      <c r="G1137" s="11">
        <v>0.028</v>
      </c>
      <c r="H1137" s="11">
        <v>0.343</v>
      </c>
      <c r="I1137" s="9" t="s">
        <v>68</v>
      </c>
    </row>
    <row r="1138">
      <c r="A1138" s="12" t="s">
        <v>184</v>
      </c>
      <c r="B1138" s="5" t="s">
        <v>77</v>
      </c>
      <c r="C1138" s="11">
        <v>0.429</v>
      </c>
      <c r="D1138" s="11">
        <v>68.0</v>
      </c>
      <c r="E1138" s="8"/>
      <c r="F1138" s="11">
        <v>158.0</v>
      </c>
      <c r="G1138" s="11">
        <v>0.006</v>
      </c>
      <c r="H1138" s="11">
        <v>0.16</v>
      </c>
      <c r="I1138" s="9" t="s">
        <v>68</v>
      </c>
    </row>
    <row r="1139">
      <c r="A1139" s="12" t="s">
        <v>99</v>
      </c>
      <c r="B1139" s="5" t="s">
        <v>77</v>
      </c>
      <c r="C1139" s="11">
        <v>0.732</v>
      </c>
      <c r="D1139" s="11">
        <v>31.0</v>
      </c>
      <c r="E1139" s="8"/>
      <c r="F1139" s="11">
        <v>270.0</v>
      </c>
      <c r="G1139" s="11">
        <v>0.018</v>
      </c>
      <c r="H1139" s="11">
        <v>0.236</v>
      </c>
      <c r="I1139" s="9" t="s">
        <v>68</v>
      </c>
    </row>
    <row r="1140">
      <c r="A1140" s="12" t="s">
        <v>119</v>
      </c>
      <c r="B1140" s="5" t="s">
        <v>77</v>
      </c>
      <c r="C1140" s="11">
        <v>2.179</v>
      </c>
      <c r="D1140" s="11">
        <v>22.0</v>
      </c>
      <c r="E1140" s="8"/>
      <c r="F1140" s="11">
        <v>100.0</v>
      </c>
      <c r="G1140" s="11">
        <v>0.025</v>
      </c>
      <c r="H1140" s="11">
        <v>0.098</v>
      </c>
      <c r="I1140" s="9" t="s">
        <v>68</v>
      </c>
    </row>
    <row r="1141">
      <c r="A1141" s="12" t="s">
        <v>237</v>
      </c>
      <c r="B1141" s="5" t="s">
        <v>77</v>
      </c>
      <c r="C1141" s="11">
        <v>0.455</v>
      </c>
      <c r="D1141" s="11">
        <v>59.0</v>
      </c>
      <c r="E1141" s="8"/>
      <c r="F1141" s="11">
        <v>696.0</v>
      </c>
      <c r="G1141" s="11">
        <v>0.077</v>
      </c>
      <c r="H1141" s="11">
        <v>0.305</v>
      </c>
      <c r="I1141" s="9" t="s">
        <v>68</v>
      </c>
    </row>
    <row r="1142">
      <c r="A1142" s="12" t="s">
        <v>240</v>
      </c>
      <c r="B1142" s="5" t="s">
        <v>77</v>
      </c>
      <c r="C1142" s="11">
        <v>2.352</v>
      </c>
      <c r="D1142" s="11">
        <v>26.0</v>
      </c>
      <c r="E1142" s="8"/>
      <c r="F1142" s="11">
        <v>399.0</v>
      </c>
      <c r="G1142" s="11">
        <v>0.002</v>
      </c>
      <c r="H1142" s="11">
        <v>0.143</v>
      </c>
      <c r="I1142" s="9" t="s">
        <v>68</v>
      </c>
    </row>
    <row r="1143">
      <c r="A1143" s="12" t="s">
        <v>111</v>
      </c>
      <c r="B1143" s="5" t="s">
        <v>77</v>
      </c>
      <c r="C1143" s="11">
        <v>0.508</v>
      </c>
      <c r="D1143" s="11">
        <v>38.0</v>
      </c>
      <c r="E1143" s="8"/>
      <c r="F1143" s="11">
        <v>654.0</v>
      </c>
      <c r="G1143" s="11">
        <v>0.029</v>
      </c>
      <c r="H1143" s="11">
        <v>0.238</v>
      </c>
      <c r="I1143" s="9" t="s">
        <v>68</v>
      </c>
    </row>
    <row r="1144">
      <c r="A1144" s="12" t="s">
        <v>156</v>
      </c>
      <c r="B1144" s="5" t="s">
        <v>77</v>
      </c>
      <c r="C1144" s="11">
        <v>0.459</v>
      </c>
      <c r="D1144" s="11">
        <v>259.0</v>
      </c>
      <c r="E1144" s="8"/>
      <c r="F1144" s="11">
        <v>208.0</v>
      </c>
      <c r="G1144" s="11">
        <v>0.022</v>
      </c>
      <c r="H1144" s="11">
        <v>0.2</v>
      </c>
      <c r="I1144" s="9" t="s">
        <v>68</v>
      </c>
    </row>
    <row r="1145">
      <c r="A1145" s="12" t="s">
        <v>137</v>
      </c>
      <c r="B1145" s="5" t="s">
        <v>77</v>
      </c>
      <c r="C1145" s="11">
        <v>0.845</v>
      </c>
      <c r="D1145" s="11">
        <v>84.0</v>
      </c>
      <c r="E1145" s="8"/>
      <c r="F1145" s="11">
        <v>216.0</v>
      </c>
      <c r="G1145" s="11">
        <v>0.004</v>
      </c>
      <c r="H1145" s="11">
        <v>0.016</v>
      </c>
      <c r="I1145" s="9" t="s">
        <v>68</v>
      </c>
    </row>
    <row r="1146">
      <c r="A1146" s="12" t="s">
        <v>215</v>
      </c>
      <c r="B1146" s="5" t="s">
        <v>77</v>
      </c>
      <c r="C1146" s="11">
        <v>0.322</v>
      </c>
      <c r="D1146" s="11">
        <v>27.0</v>
      </c>
      <c r="E1146" s="8"/>
      <c r="F1146" s="11">
        <v>1120.0</v>
      </c>
      <c r="G1146" s="11">
        <v>0.068</v>
      </c>
      <c r="H1146" s="11">
        <v>0.274</v>
      </c>
      <c r="I1146" s="9" t="s">
        <v>68</v>
      </c>
    </row>
    <row r="1147">
      <c r="A1147" s="12" t="s">
        <v>191</v>
      </c>
      <c r="B1147" s="5" t="s">
        <v>77</v>
      </c>
      <c r="C1147" s="11">
        <v>0.33</v>
      </c>
      <c r="D1147" s="11">
        <v>39.0</v>
      </c>
      <c r="E1147" s="8"/>
      <c r="F1147" s="11">
        <v>370.0</v>
      </c>
      <c r="G1147" s="11">
        <v>0.01</v>
      </c>
      <c r="H1147" s="11">
        <v>0.077</v>
      </c>
      <c r="I1147" s="9" t="s">
        <v>68</v>
      </c>
    </row>
    <row r="1148">
      <c r="A1148" s="12" t="s">
        <v>263</v>
      </c>
      <c r="B1148" s="5" t="s">
        <v>77</v>
      </c>
      <c r="C1148" s="11">
        <v>0.439</v>
      </c>
      <c r="D1148" s="11">
        <v>26.0</v>
      </c>
      <c r="E1148" s="8"/>
      <c r="F1148" s="11">
        <v>172.0</v>
      </c>
      <c r="G1148" s="11">
        <v>0.016</v>
      </c>
      <c r="H1148" s="11">
        <v>0.201</v>
      </c>
      <c r="I1148" s="9" t="s">
        <v>68</v>
      </c>
    </row>
    <row r="1149">
      <c r="A1149" s="12" t="s">
        <v>206</v>
      </c>
      <c r="B1149" s="5" t="s">
        <v>77</v>
      </c>
      <c r="C1149" s="11">
        <v>0.375</v>
      </c>
      <c r="D1149" s="11">
        <v>29.0</v>
      </c>
      <c r="E1149" s="8"/>
      <c r="F1149" s="11">
        <v>230.0</v>
      </c>
      <c r="G1149" s="11">
        <v>0.009</v>
      </c>
      <c r="H1149" s="11">
        <v>0.139</v>
      </c>
      <c r="I1149" s="9" t="s">
        <v>68</v>
      </c>
    </row>
    <row r="1150">
      <c r="A1150" s="12" t="s">
        <v>284</v>
      </c>
      <c r="B1150" s="5" t="s">
        <v>77</v>
      </c>
      <c r="C1150" s="11">
        <v>0.15</v>
      </c>
      <c r="D1150" s="11">
        <v>33.0</v>
      </c>
      <c r="E1150" s="8"/>
      <c r="F1150" s="11">
        <v>183.0</v>
      </c>
      <c r="G1150" s="11">
        <v>0.049</v>
      </c>
      <c r="H1150" s="11">
        <v>0.218</v>
      </c>
      <c r="I1150" s="9" t="s">
        <v>68</v>
      </c>
    </row>
    <row r="1151">
      <c r="A1151" s="12" t="s">
        <v>109</v>
      </c>
      <c r="B1151" s="5" t="s">
        <v>77</v>
      </c>
      <c r="C1151" s="11">
        <v>2.797</v>
      </c>
      <c r="D1151" s="11">
        <v>13.0</v>
      </c>
      <c r="E1151" s="8"/>
      <c r="F1151" s="11">
        <v>140.0</v>
      </c>
      <c r="G1151" s="11">
        <v>0.007</v>
      </c>
      <c r="H1151" s="11">
        <v>0.032</v>
      </c>
      <c r="I1151" s="9" t="s">
        <v>68</v>
      </c>
    </row>
    <row r="1152">
      <c r="A1152" s="12" t="s">
        <v>108</v>
      </c>
      <c r="B1152" s="5" t="s">
        <v>77</v>
      </c>
      <c r="C1152" s="11">
        <v>0.476</v>
      </c>
      <c r="D1152" s="11">
        <v>18.0</v>
      </c>
      <c r="E1152" s="8"/>
      <c r="F1152" s="11">
        <v>270.0</v>
      </c>
      <c r="G1152" s="11">
        <v>0.008</v>
      </c>
      <c r="H1152" s="11">
        <v>0.131</v>
      </c>
      <c r="I1152" s="9" t="s">
        <v>68</v>
      </c>
    </row>
    <row r="1153">
      <c r="A1153" s="12" t="s">
        <v>146</v>
      </c>
      <c r="B1153" s="5" t="s">
        <v>77</v>
      </c>
      <c r="C1153" s="11">
        <v>2.921</v>
      </c>
      <c r="D1153" s="11">
        <v>32.0</v>
      </c>
      <c r="E1153" s="8"/>
      <c r="F1153" s="11">
        <v>376.0</v>
      </c>
      <c r="G1153" s="11">
        <v>0.062</v>
      </c>
      <c r="H1153" s="11">
        <v>0.523</v>
      </c>
      <c r="I1153" s="9" t="s">
        <v>68</v>
      </c>
    </row>
    <row r="1154">
      <c r="A1154" s="12" t="s">
        <v>121</v>
      </c>
      <c r="B1154" s="5" t="s">
        <v>77</v>
      </c>
      <c r="C1154" s="11">
        <v>2.881</v>
      </c>
      <c r="D1154" s="11">
        <v>133.0</v>
      </c>
      <c r="E1154" s="8"/>
      <c r="F1154" s="11">
        <v>308.0</v>
      </c>
      <c r="G1154" s="11">
        <v>0.004</v>
      </c>
      <c r="H1154" s="11">
        <v>0.115</v>
      </c>
      <c r="I1154" s="9" t="s">
        <v>68</v>
      </c>
    </row>
    <row r="1155">
      <c r="A1155" s="12" t="s">
        <v>246</v>
      </c>
      <c r="B1155" s="5" t="s">
        <v>77</v>
      </c>
      <c r="C1155" s="8"/>
      <c r="D1155" s="8"/>
      <c r="E1155" s="8"/>
      <c r="F1155" s="8"/>
      <c r="G1155" s="11">
        <v>0.011</v>
      </c>
      <c r="H1155" s="11">
        <v>0.067</v>
      </c>
      <c r="I1155" s="9" t="s">
        <v>68</v>
      </c>
    </row>
    <row r="1156">
      <c r="A1156" s="12" t="s">
        <v>273</v>
      </c>
      <c r="B1156" s="5" t="s">
        <v>77</v>
      </c>
      <c r="C1156" s="11">
        <v>0.368</v>
      </c>
      <c r="D1156" s="11">
        <v>28.0</v>
      </c>
      <c r="E1156" s="8"/>
      <c r="F1156" s="11">
        <v>237.0</v>
      </c>
      <c r="G1156" s="11">
        <v>0.037</v>
      </c>
      <c r="H1156" s="11">
        <v>0.137</v>
      </c>
      <c r="I1156" s="9" t="s">
        <v>68</v>
      </c>
    </row>
    <row r="1157">
      <c r="A1157" s="12" t="s">
        <v>82</v>
      </c>
      <c r="B1157" s="5" t="s">
        <v>77</v>
      </c>
      <c r="C1157" s="11">
        <v>0.521</v>
      </c>
      <c r="D1157" s="11">
        <v>119.0</v>
      </c>
      <c r="E1157" s="8"/>
      <c r="F1157" s="11">
        <v>272.0</v>
      </c>
      <c r="G1157" s="11">
        <v>0.032</v>
      </c>
      <c r="H1157" s="11">
        <v>0.28</v>
      </c>
      <c r="I1157" s="9" t="s">
        <v>68</v>
      </c>
    </row>
    <row r="1158">
      <c r="A1158" s="12" t="s">
        <v>194</v>
      </c>
      <c r="B1158" s="5" t="s">
        <v>77</v>
      </c>
      <c r="C1158" s="11">
        <v>0.514</v>
      </c>
      <c r="D1158" s="11">
        <v>25.0</v>
      </c>
      <c r="E1158" s="8"/>
      <c r="F1158" s="11">
        <v>270.0</v>
      </c>
      <c r="G1158" s="11">
        <v>0.008</v>
      </c>
      <c r="H1158" s="11">
        <v>0.199</v>
      </c>
      <c r="I1158" s="9" t="s">
        <v>68</v>
      </c>
    </row>
    <row r="1159">
      <c r="A1159" s="12" t="s">
        <v>115</v>
      </c>
      <c r="B1159" s="5" t="s">
        <v>77</v>
      </c>
      <c r="C1159" s="11">
        <v>0.74</v>
      </c>
      <c r="D1159" s="11">
        <v>64.0</v>
      </c>
      <c r="E1159" s="8"/>
      <c r="F1159" s="11">
        <v>732.0</v>
      </c>
      <c r="G1159" s="11">
        <v>0.008</v>
      </c>
      <c r="H1159" s="11">
        <v>0.086</v>
      </c>
      <c r="I1159" s="9" t="s">
        <v>68</v>
      </c>
    </row>
    <row r="1160">
      <c r="A1160" s="12" t="s">
        <v>214</v>
      </c>
      <c r="B1160" s="5" t="s">
        <v>77</v>
      </c>
      <c r="C1160" s="11">
        <v>0.424</v>
      </c>
      <c r="D1160" s="11">
        <v>23.0</v>
      </c>
      <c r="E1160" s="8"/>
      <c r="F1160" s="11">
        <v>270.0</v>
      </c>
      <c r="G1160" s="11">
        <v>0.004</v>
      </c>
      <c r="H1160" s="11">
        <v>0.063</v>
      </c>
      <c r="I1160" s="9" t="s">
        <v>68</v>
      </c>
    </row>
    <row r="1161">
      <c r="A1161" s="12" t="s">
        <v>198</v>
      </c>
      <c r="B1161" s="5" t="s">
        <v>77</v>
      </c>
      <c r="C1161" s="11">
        <v>0.258</v>
      </c>
      <c r="D1161" s="11">
        <v>6.0</v>
      </c>
      <c r="E1161" s="8"/>
      <c r="F1161" s="11">
        <v>161.0</v>
      </c>
      <c r="G1161" s="11">
        <v>0.218</v>
      </c>
      <c r="H1161" s="11">
        <v>0.845</v>
      </c>
      <c r="I1161" s="9" t="s">
        <v>69</v>
      </c>
    </row>
    <row r="1162">
      <c r="A1162" s="12" t="s">
        <v>239</v>
      </c>
      <c r="B1162" s="5" t="s">
        <v>77</v>
      </c>
      <c r="C1162" s="11">
        <v>0.466</v>
      </c>
      <c r="D1162" s="11">
        <v>39.0</v>
      </c>
      <c r="E1162" s="8"/>
      <c r="F1162" s="11">
        <v>76.0</v>
      </c>
      <c r="G1162" s="11">
        <v>0.404</v>
      </c>
      <c r="H1162" s="11">
        <v>1.04</v>
      </c>
      <c r="I1162" s="9" t="s">
        <v>69</v>
      </c>
    </row>
    <row r="1163">
      <c r="A1163" s="12" t="s">
        <v>269</v>
      </c>
      <c r="B1163" s="5" t="s">
        <v>77</v>
      </c>
      <c r="C1163" s="11">
        <v>0.586</v>
      </c>
      <c r="D1163" s="11">
        <v>11.0</v>
      </c>
      <c r="E1163" s="8"/>
      <c r="F1163" s="11">
        <v>228.0</v>
      </c>
      <c r="G1163" s="11">
        <v>0.275</v>
      </c>
      <c r="H1163" s="11">
        <v>0.828</v>
      </c>
      <c r="I1163" s="9" t="s">
        <v>69</v>
      </c>
    </row>
    <row r="1164">
      <c r="A1164" s="12" t="s">
        <v>205</v>
      </c>
      <c r="B1164" s="5" t="s">
        <v>77</v>
      </c>
      <c r="C1164" s="11">
        <v>0.529</v>
      </c>
      <c r="D1164" s="11">
        <v>12.0</v>
      </c>
      <c r="E1164" s="8"/>
      <c r="F1164" s="11">
        <v>358.0</v>
      </c>
      <c r="G1164" s="11">
        <v>0.331</v>
      </c>
      <c r="H1164" s="11">
        <v>0.737</v>
      </c>
      <c r="I1164" s="9" t="s">
        <v>69</v>
      </c>
    </row>
    <row r="1165">
      <c r="A1165" s="12" t="s">
        <v>247</v>
      </c>
      <c r="B1165" s="5" t="s">
        <v>77</v>
      </c>
      <c r="C1165" s="11">
        <v>0.337</v>
      </c>
      <c r="D1165" s="11">
        <v>22.0</v>
      </c>
      <c r="E1165" s="8"/>
      <c r="F1165" s="11">
        <v>200.0</v>
      </c>
      <c r="G1165" s="11">
        <v>0.084</v>
      </c>
      <c r="H1165" s="11">
        <v>0.895</v>
      </c>
      <c r="I1165" s="9" t="s">
        <v>69</v>
      </c>
    </row>
    <row r="1166">
      <c r="A1166" s="12" t="s">
        <v>185</v>
      </c>
      <c r="B1166" s="5" t="s">
        <v>77</v>
      </c>
      <c r="C1166" s="8"/>
      <c r="D1166" s="8"/>
      <c r="E1166" s="8"/>
      <c r="F1166" s="8"/>
      <c r="G1166" s="11">
        <v>0.09</v>
      </c>
      <c r="H1166" s="11">
        <v>1.256</v>
      </c>
      <c r="I1166" s="9" t="s">
        <v>69</v>
      </c>
    </row>
    <row r="1167">
      <c r="A1167" s="12" t="s">
        <v>134</v>
      </c>
      <c r="B1167" s="5" t="s">
        <v>77</v>
      </c>
      <c r="C1167" s="11">
        <v>0.44</v>
      </c>
      <c r="D1167" s="11">
        <v>8.0</v>
      </c>
      <c r="E1167" s="8"/>
      <c r="F1167" s="11">
        <v>711.0</v>
      </c>
      <c r="G1167" s="11">
        <v>0.18</v>
      </c>
      <c r="H1167" s="11">
        <v>0.547</v>
      </c>
      <c r="I1167" s="9" t="s">
        <v>69</v>
      </c>
    </row>
    <row r="1168">
      <c r="A1168" s="12" t="s">
        <v>76</v>
      </c>
      <c r="B1168" s="5" t="s">
        <v>77</v>
      </c>
      <c r="C1168" s="11">
        <v>0.738</v>
      </c>
      <c r="D1168" s="11">
        <v>25.0</v>
      </c>
      <c r="E1168" s="8"/>
      <c r="F1168" s="11">
        <v>451.0</v>
      </c>
      <c r="G1168" s="11">
        <v>0.102</v>
      </c>
      <c r="H1168" s="11">
        <v>0.757</v>
      </c>
      <c r="I1168" s="9" t="s">
        <v>69</v>
      </c>
    </row>
    <row r="1169">
      <c r="A1169" s="12" t="s">
        <v>104</v>
      </c>
      <c r="B1169" s="5" t="s">
        <v>77</v>
      </c>
      <c r="C1169" s="11">
        <v>0.171</v>
      </c>
      <c r="D1169" s="11">
        <v>77.0</v>
      </c>
      <c r="E1169" s="8"/>
      <c r="F1169" s="11">
        <v>140.0</v>
      </c>
      <c r="G1169" s="11">
        <v>0.063</v>
      </c>
      <c r="H1169" s="11">
        <v>0.768</v>
      </c>
      <c r="I1169" s="9" t="s">
        <v>69</v>
      </c>
    </row>
    <row r="1170">
      <c r="A1170" s="12" t="s">
        <v>183</v>
      </c>
      <c r="B1170" s="5" t="s">
        <v>77</v>
      </c>
      <c r="C1170" s="11">
        <v>0.196</v>
      </c>
      <c r="D1170" s="11">
        <v>40.0</v>
      </c>
      <c r="E1170" s="8"/>
      <c r="F1170" s="11">
        <v>324.0</v>
      </c>
      <c r="G1170" s="11">
        <v>0.036</v>
      </c>
      <c r="H1170" s="11">
        <v>0.301</v>
      </c>
      <c r="I1170" s="9" t="s">
        <v>69</v>
      </c>
    </row>
    <row r="1171">
      <c r="A1171" s="12" t="s">
        <v>208</v>
      </c>
      <c r="B1171" s="5" t="s">
        <v>77</v>
      </c>
      <c r="C1171" s="11">
        <v>0.228</v>
      </c>
      <c r="D1171" s="11">
        <v>66.0</v>
      </c>
      <c r="E1171" s="8"/>
      <c r="F1171" s="11">
        <v>339.0</v>
      </c>
      <c r="G1171" s="11">
        <v>0.053</v>
      </c>
      <c r="H1171" s="11">
        <v>0.498</v>
      </c>
      <c r="I1171" s="9" t="s">
        <v>69</v>
      </c>
    </row>
    <row r="1172">
      <c r="A1172" s="12" t="s">
        <v>130</v>
      </c>
      <c r="B1172" s="5" t="s">
        <v>77</v>
      </c>
      <c r="C1172" s="11">
        <v>0.378</v>
      </c>
      <c r="D1172" s="11">
        <v>37.0</v>
      </c>
      <c r="E1172" s="8"/>
      <c r="F1172" s="11">
        <v>66.0</v>
      </c>
      <c r="G1172" s="11">
        <v>0.023</v>
      </c>
      <c r="H1172" s="11">
        <v>0.139</v>
      </c>
      <c r="I1172" s="9" t="s">
        <v>69</v>
      </c>
    </row>
    <row r="1173">
      <c r="A1173" s="12" t="s">
        <v>258</v>
      </c>
      <c r="B1173" s="5" t="s">
        <v>77</v>
      </c>
      <c r="C1173" s="11">
        <v>0.363</v>
      </c>
      <c r="D1173" s="11">
        <v>60.0</v>
      </c>
      <c r="E1173" s="8"/>
      <c r="F1173" s="11">
        <v>104.0</v>
      </c>
      <c r="G1173" s="11">
        <v>0.069</v>
      </c>
      <c r="H1173" s="11">
        <v>0.461</v>
      </c>
      <c r="I1173" s="9" t="s">
        <v>69</v>
      </c>
    </row>
    <row r="1174">
      <c r="A1174" s="12" t="s">
        <v>285</v>
      </c>
      <c r="B1174" s="5" t="s">
        <v>77</v>
      </c>
      <c r="C1174" s="11">
        <v>0.684</v>
      </c>
      <c r="D1174" s="11">
        <v>97.0</v>
      </c>
      <c r="E1174" s="8"/>
      <c r="F1174" s="11">
        <v>256.0</v>
      </c>
      <c r="G1174" s="11">
        <v>0.114</v>
      </c>
      <c r="H1174" s="11">
        <v>0.129</v>
      </c>
      <c r="I1174" s="9" t="s">
        <v>69</v>
      </c>
    </row>
    <row r="1175">
      <c r="A1175" s="12" t="s">
        <v>149</v>
      </c>
      <c r="B1175" s="5" t="s">
        <v>77</v>
      </c>
      <c r="C1175" s="11">
        <v>0.325</v>
      </c>
      <c r="D1175" s="11">
        <v>13.0</v>
      </c>
      <c r="E1175" s="8"/>
      <c r="F1175" s="11">
        <v>224.0</v>
      </c>
      <c r="G1175" s="11">
        <v>0.043</v>
      </c>
      <c r="H1175" s="11">
        <v>0.501</v>
      </c>
      <c r="I1175" s="9" t="s">
        <v>69</v>
      </c>
    </row>
    <row r="1176">
      <c r="A1176" s="12" t="s">
        <v>145</v>
      </c>
      <c r="B1176" s="5" t="s">
        <v>77</v>
      </c>
      <c r="C1176" s="11">
        <v>0.447</v>
      </c>
      <c r="D1176" s="11">
        <v>57.0</v>
      </c>
      <c r="E1176" s="8"/>
      <c r="F1176" s="11">
        <v>488.0</v>
      </c>
      <c r="G1176" s="11">
        <v>0.062</v>
      </c>
      <c r="H1176" s="11">
        <v>0.877</v>
      </c>
      <c r="I1176" s="9" t="s">
        <v>69</v>
      </c>
    </row>
    <row r="1177">
      <c r="A1177" s="12" t="s">
        <v>114</v>
      </c>
      <c r="B1177" s="5" t="s">
        <v>77</v>
      </c>
      <c r="C1177" s="11">
        <v>2.038</v>
      </c>
      <c r="D1177" s="11">
        <v>22.0</v>
      </c>
      <c r="E1177" s="8"/>
      <c r="F1177" s="11">
        <v>504.0</v>
      </c>
      <c r="G1177" s="11">
        <v>0.01</v>
      </c>
      <c r="H1177" s="11">
        <v>0.136</v>
      </c>
      <c r="I1177" s="9" t="s">
        <v>69</v>
      </c>
    </row>
    <row r="1178">
      <c r="A1178" s="12" t="s">
        <v>123</v>
      </c>
      <c r="B1178" s="5" t="s">
        <v>77</v>
      </c>
      <c r="C1178" s="11">
        <v>0.446</v>
      </c>
      <c r="D1178" s="11">
        <v>40.0</v>
      </c>
      <c r="E1178" s="8"/>
      <c r="F1178" s="11">
        <v>270.0</v>
      </c>
      <c r="G1178" s="11">
        <v>0.019</v>
      </c>
      <c r="H1178" s="11">
        <v>0.572</v>
      </c>
      <c r="I1178" s="9" t="s">
        <v>69</v>
      </c>
    </row>
    <row r="1179">
      <c r="A1179" s="12" t="s">
        <v>139</v>
      </c>
      <c r="B1179" s="5" t="s">
        <v>77</v>
      </c>
      <c r="C1179" s="11">
        <v>0.303</v>
      </c>
      <c r="D1179" s="11">
        <v>18.0</v>
      </c>
      <c r="E1179" s="8"/>
      <c r="F1179" s="11">
        <v>198.0</v>
      </c>
      <c r="G1179" s="11">
        <v>0.005</v>
      </c>
      <c r="H1179" s="11">
        <v>0.024</v>
      </c>
      <c r="I1179" s="9" t="s">
        <v>69</v>
      </c>
    </row>
    <row r="1180">
      <c r="A1180" s="12" t="s">
        <v>197</v>
      </c>
      <c r="B1180" s="5" t="s">
        <v>77</v>
      </c>
      <c r="C1180" s="11">
        <v>0.858</v>
      </c>
      <c r="D1180" s="11">
        <v>19.0</v>
      </c>
      <c r="E1180" s="8"/>
      <c r="F1180" s="11">
        <v>696.0</v>
      </c>
      <c r="G1180" s="11">
        <v>0.019</v>
      </c>
      <c r="H1180" s="11">
        <v>0.611</v>
      </c>
      <c r="I1180" s="9" t="s">
        <v>69</v>
      </c>
    </row>
    <row r="1181">
      <c r="A1181" s="12" t="s">
        <v>256</v>
      </c>
      <c r="B1181" s="5" t="s">
        <v>77</v>
      </c>
      <c r="C1181" s="11">
        <v>0.361</v>
      </c>
      <c r="D1181" s="11">
        <v>39.0</v>
      </c>
      <c r="E1181" s="8"/>
      <c r="F1181" s="11">
        <v>180.0</v>
      </c>
      <c r="G1181" s="8"/>
      <c r="H1181" s="11">
        <v>0.29</v>
      </c>
      <c r="I1181" s="9" t="s">
        <v>69</v>
      </c>
    </row>
    <row r="1182">
      <c r="A1182" s="12" t="s">
        <v>190</v>
      </c>
      <c r="B1182" s="5" t="s">
        <v>77</v>
      </c>
      <c r="C1182" s="11">
        <v>0.426</v>
      </c>
      <c r="D1182" s="11">
        <v>7.0</v>
      </c>
      <c r="E1182" s="8"/>
      <c r="F1182" s="11">
        <v>238.0</v>
      </c>
      <c r="G1182" s="11">
        <v>0.017</v>
      </c>
      <c r="H1182" s="11">
        <v>0.243</v>
      </c>
      <c r="I1182" s="9" t="s">
        <v>69</v>
      </c>
    </row>
    <row r="1183">
      <c r="A1183" s="12" t="s">
        <v>136</v>
      </c>
      <c r="B1183" s="5" t="s">
        <v>77</v>
      </c>
      <c r="C1183" s="11">
        <v>0.441</v>
      </c>
      <c r="D1183" s="11">
        <v>135.0</v>
      </c>
      <c r="E1183" s="8"/>
      <c r="F1183" s="11">
        <v>492.0</v>
      </c>
      <c r="G1183" s="11">
        <v>0.018</v>
      </c>
      <c r="H1183" s="11">
        <v>0.274</v>
      </c>
      <c r="I1183" s="9" t="s">
        <v>69</v>
      </c>
    </row>
    <row r="1184">
      <c r="A1184" s="12" t="s">
        <v>235</v>
      </c>
      <c r="B1184" s="5" t="s">
        <v>77</v>
      </c>
      <c r="C1184" s="11">
        <v>0.472</v>
      </c>
      <c r="D1184" s="11">
        <v>144.0</v>
      </c>
      <c r="E1184" s="8"/>
      <c r="F1184" s="11">
        <v>424.0</v>
      </c>
      <c r="G1184" s="11">
        <v>0.155</v>
      </c>
      <c r="H1184" s="11">
        <v>0.3</v>
      </c>
      <c r="I1184" s="9" t="s">
        <v>69</v>
      </c>
    </row>
    <row r="1185">
      <c r="A1185" s="12" t="s">
        <v>249</v>
      </c>
      <c r="B1185" s="5" t="s">
        <v>77</v>
      </c>
      <c r="C1185" s="8"/>
      <c r="D1185" s="8"/>
      <c r="E1185" s="8"/>
      <c r="F1185" s="8"/>
      <c r="G1185" s="8"/>
      <c r="H1185" s="8"/>
      <c r="I1185" s="9" t="s">
        <v>69</v>
      </c>
    </row>
    <row r="1186">
      <c r="A1186" s="12" t="s">
        <v>266</v>
      </c>
      <c r="B1186" s="5" t="s">
        <v>77</v>
      </c>
      <c r="C1186" s="11">
        <v>0.526</v>
      </c>
      <c r="D1186" s="11">
        <v>62.0</v>
      </c>
      <c r="E1186" s="8"/>
      <c r="F1186" s="11">
        <v>270.0</v>
      </c>
      <c r="G1186" s="11">
        <v>0.024</v>
      </c>
      <c r="H1186" s="11">
        <v>0.259</v>
      </c>
      <c r="I1186" s="9" t="s">
        <v>69</v>
      </c>
    </row>
    <row r="1187">
      <c r="A1187" s="12" t="s">
        <v>175</v>
      </c>
      <c r="B1187" s="5" t="s">
        <v>77</v>
      </c>
      <c r="C1187" s="11">
        <v>0.493</v>
      </c>
      <c r="D1187" s="11">
        <v>30.0</v>
      </c>
      <c r="E1187" s="8"/>
      <c r="F1187" s="11">
        <v>417.0</v>
      </c>
      <c r="G1187" s="11">
        <v>0.087</v>
      </c>
      <c r="H1187" s="11">
        <v>0.42</v>
      </c>
      <c r="I1187" s="9" t="s">
        <v>69</v>
      </c>
    </row>
    <row r="1188">
      <c r="A1188" s="12" t="s">
        <v>184</v>
      </c>
      <c r="B1188" s="5" t="s">
        <v>77</v>
      </c>
      <c r="C1188" s="11">
        <v>0.429</v>
      </c>
      <c r="D1188" s="11">
        <v>31.0</v>
      </c>
      <c r="E1188" s="8"/>
      <c r="F1188" s="11">
        <v>158.0</v>
      </c>
      <c r="G1188" s="11">
        <v>0.005</v>
      </c>
      <c r="H1188" s="11">
        <v>0.233</v>
      </c>
      <c r="I1188" s="9" t="s">
        <v>69</v>
      </c>
    </row>
    <row r="1189">
      <c r="A1189" s="12" t="s">
        <v>119</v>
      </c>
      <c r="B1189" s="5" t="s">
        <v>77</v>
      </c>
      <c r="C1189" s="11">
        <v>2.179</v>
      </c>
      <c r="D1189" s="11">
        <v>22.0</v>
      </c>
      <c r="E1189" s="8"/>
      <c r="F1189" s="11">
        <v>100.0</v>
      </c>
      <c r="G1189" s="11">
        <v>0.03</v>
      </c>
      <c r="H1189" s="11">
        <v>0.141</v>
      </c>
      <c r="I1189" s="9" t="s">
        <v>69</v>
      </c>
    </row>
    <row r="1190">
      <c r="A1190" s="12" t="s">
        <v>232</v>
      </c>
      <c r="B1190" s="5" t="s">
        <v>77</v>
      </c>
      <c r="C1190" s="11">
        <v>0.334</v>
      </c>
      <c r="D1190" s="11">
        <v>14.0</v>
      </c>
      <c r="E1190" s="8"/>
      <c r="F1190" s="11">
        <v>160.0</v>
      </c>
      <c r="G1190" s="11">
        <v>0.045</v>
      </c>
      <c r="H1190" s="11">
        <v>0.129</v>
      </c>
      <c r="I1190" s="9" t="s">
        <v>69</v>
      </c>
    </row>
    <row r="1191">
      <c r="A1191" s="12" t="s">
        <v>111</v>
      </c>
      <c r="B1191" s="5" t="s">
        <v>77</v>
      </c>
      <c r="C1191" s="11">
        <v>0.504</v>
      </c>
      <c r="D1191" s="11">
        <v>38.0</v>
      </c>
      <c r="E1191" s="8"/>
      <c r="F1191" s="11">
        <v>654.0</v>
      </c>
      <c r="G1191" s="11">
        <v>0.034</v>
      </c>
      <c r="H1191" s="11">
        <v>0.314</v>
      </c>
      <c r="I1191" s="9" t="s">
        <v>69</v>
      </c>
    </row>
    <row r="1192">
      <c r="A1192" s="12" t="s">
        <v>156</v>
      </c>
      <c r="B1192" s="5" t="s">
        <v>77</v>
      </c>
      <c r="C1192" s="11">
        <v>0.459</v>
      </c>
      <c r="D1192" s="11">
        <v>259.0</v>
      </c>
      <c r="E1192" s="8"/>
      <c r="F1192" s="11">
        <v>208.0</v>
      </c>
      <c r="G1192" s="11">
        <v>0.024</v>
      </c>
      <c r="H1192" s="11">
        <v>0.33</v>
      </c>
      <c r="I1192" s="9" t="s">
        <v>69</v>
      </c>
    </row>
    <row r="1193">
      <c r="A1193" s="12" t="s">
        <v>155</v>
      </c>
      <c r="B1193" s="5" t="s">
        <v>77</v>
      </c>
      <c r="C1193" s="11">
        <v>0.807</v>
      </c>
      <c r="D1193" s="11">
        <v>40.0</v>
      </c>
      <c r="E1193" s="8"/>
      <c r="F1193" s="11">
        <v>416.0</v>
      </c>
      <c r="G1193" s="11">
        <v>0.009</v>
      </c>
      <c r="H1193" s="11">
        <v>0.267</v>
      </c>
      <c r="I1193" s="9" t="s">
        <v>69</v>
      </c>
    </row>
    <row r="1194">
      <c r="A1194" s="12" t="s">
        <v>120</v>
      </c>
      <c r="B1194" s="5" t="s">
        <v>77</v>
      </c>
      <c r="C1194" s="11">
        <v>0.659</v>
      </c>
      <c r="D1194" s="11">
        <v>161.0</v>
      </c>
      <c r="E1194" s="8"/>
      <c r="F1194" s="11">
        <v>606.0</v>
      </c>
      <c r="G1194" s="11">
        <v>0.043</v>
      </c>
      <c r="H1194" s="11">
        <v>0.466</v>
      </c>
      <c r="I1194" s="9" t="s">
        <v>69</v>
      </c>
    </row>
    <row r="1195">
      <c r="A1195" s="12" t="s">
        <v>99</v>
      </c>
      <c r="B1195" s="5" t="s">
        <v>77</v>
      </c>
      <c r="C1195" s="11">
        <v>0.732</v>
      </c>
      <c r="D1195" s="11">
        <v>31.0</v>
      </c>
      <c r="E1195" s="8"/>
      <c r="F1195" s="11">
        <v>270.0</v>
      </c>
      <c r="G1195" s="11">
        <v>0.019</v>
      </c>
      <c r="H1195" s="11">
        <v>0.404</v>
      </c>
      <c r="I1195" s="9" t="s">
        <v>69</v>
      </c>
    </row>
    <row r="1196">
      <c r="A1196" s="12" t="s">
        <v>137</v>
      </c>
      <c r="B1196" s="5" t="s">
        <v>77</v>
      </c>
      <c r="C1196" s="11">
        <v>0.845</v>
      </c>
      <c r="D1196" s="11">
        <v>84.0</v>
      </c>
      <c r="E1196" s="8"/>
      <c r="F1196" s="11">
        <v>216.0</v>
      </c>
      <c r="G1196" s="11">
        <v>0.005</v>
      </c>
      <c r="H1196" s="11">
        <v>0.02</v>
      </c>
      <c r="I1196" s="9" t="s">
        <v>69</v>
      </c>
    </row>
    <row r="1197">
      <c r="A1197" s="12" t="s">
        <v>237</v>
      </c>
      <c r="B1197" s="5" t="s">
        <v>77</v>
      </c>
      <c r="C1197" s="11">
        <v>0.455</v>
      </c>
      <c r="D1197" s="11">
        <v>9.0</v>
      </c>
      <c r="E1197" s="8"/>
      <c r="F1197" s="11">
        <v>666.0</v>
      </c>
      <c r="G1197" s="11">
        <v>0.106</v>
      </c>
      <c r="H1197" s="11">
        <v>0.44</v>
      </c>
      <c r="I1197" s="9" t="s">
        <v>69</v>
      </c>
    </row>
    <row r="1198">
      <c r="A1198" s="12" t="s">
        <v>240</v>
      </c>
      <c r="B1198" s="5" t="s">
        <v>77</v>
      </c>
      <c r="C1198" s="11">
        <v>2.352</v>
      </c>
      <c r="D1198" s="11">
        <v>17.0</v>
      </c>
      <c r="E1198" s="8"/>
      <c r="F1198" s="11">
        <v>399.0</v>
      </c>
      <c r="G1198" s="11">
        <v>0.003</v>
      </c>
      <c r="H1198" s="11">
        <v>0.182</v>
      </c>
      <c r="I1198" s="9" t="s">
        <v>69</v>
      </c>
    </row>
    <row r="1199">
      <c r="A1199" s="12" t="s">
        <v>263</v>
      </c>
      <c r="B1199" s="5" t="s">
        <v>77</v>
      </c>
      <c r="C1199" s="11">
        <v>0.444</v>
      </c>
      <c r="D1199" s="11">
        <v>26.0</v>
      </c>
      <c r="E1199" s="8"/>
      <c r="F1199" s="11">
        <v>172.0</v>
      </c>
      <c r="G1199" s="11">
        <v>0.019</v>
      </c>
      <c r="H1199" s="11">
        <v>0.307</v>
      </c>
      <c r="I1199" s="9" t="s">
        <v>69</v>
      </c>
    </row>
    <row r="1200">
      <c r="A1200" s="12" t="s">
        <v>206</v>
      </c>
      <c r="B1200" s="5" t="s">
        <v>77</v>
      </c>
      <c r="C1200" s="11">
        <v>0.375</v>
      </c>
      <c r="D1200" s="11">
        <v>26.0</v>
      </c>
      <c r="E1200" s="8"/>
      <c r="F1200" s="11">
        <v>230.0</v>
      </c>
      <c r="G1200" s="11">
        <v>0.016</v>
      </c>
      <c r="H1200" s="11">
        <v>0.194</v>
      </c>
      <c r="I1200" s="9" t="s">
        <v>69</v>
      </c>
    </row>
    <row r="1201">
      <c r="A1201" s="12" t="s">
        <v>215</v>
      </c>
      <c r="B1201" s="5" t="s">
        <v>77</v>
      </c>
      <c r="C1201" s="11">
        <v>0.322</v>
      </c>
      <c r="D1201" s="11">
        <v>25.0</v>
      </c>
      <c r="E1201" s="8"/>
      <c r="F1201" s="11">
        <v>938.0</v>
      </c>
      <c r="G1201" s="11">
        <v>0.159</v>
      </c>
      <c r="H1201" s="11">
        <v>0.417</v>
      </c>
      <c r="I1201" s="9" t="s">
        <v>69</v>
      </c>
    </row>
    <row r="1202">
      <c r="A1202" s="12" t="s">
        <v>191</v>
      </c>
      <c r="B1202" s="5" t="s">
        <v>77</v>
      </c>
      <c r="C1202" s="11">
        <v>0.322</v>
      </c>
      <c r="D1202" s="11">
        <v>39.0</v>
      </c>
      <c r="E1202" s="8"/>
      <c r="F1202" s="11">
        <v>292.0</v>
      </c>
      <c r="G1202" s="11">
        <v>0.007</v>
      </c>
      <c r="H1202" s="11">
        <v>0.107</v>
      </c>
      <c r="I1202" s="9" t="s">
        <v>69</v>
      </c>
    </row>
    <row r="1203">
      <c r="A1203" s="12" t="s">
        <v>284</v>
      </c>
      <c r="B1203" s="5" t="s">
        <v>77</v>
      </c>
      <c r="C1203" s="11">
        <v>0.15</v>
      </c>
      <c r="D1203" s="11">
        <v>18.0</v>
      </c>
      <c r="E1203" s="8"/>
      <c r="F1203" s="11">
        <v>183.0</v>
      </c>
      <c r="G1203" s="11">
        <v>0.056</v>
      </c>
      <c r="H1203" s="11">
        <v>0.284</v>
      </c>
      <c r="I1203" s="9" t="s">
        <v>69</v>
      </c>
    </row>
    <row r="1204">
      <c r="A1204" s="12" t="s">
        <v>108</v>
      </c>
      <c r="B1204" s="5" t="s">
        <v>77</v>
      </c>
      <c r="C1204" s="11">
        <v>0.445</v>
      </c>
      <c r="D1204" s="11">
        <v>16.0</v>
      </c>
      <c r="E1204" s="8"/>
      <c r="F1204" s="11">
        <v>270.0</v>
      </c>
      <c r="G1204" s="11">
        <v>0.009</v>
      </c>
      <c r="H1204" s="11">
        <v>0.206</v>
      </c>
      <c r="I1204" s="9" t="s">
        <v>69</v>
      </c>
    </row>
    <row r="1205">
      <c r="A1205" s="12" t="s">
        <v>146</v>
      </c>
      <c r="B1205" s="5" t="s">
        <v>77</v>
      </c>
      <c r="C1205" s="11">
        <v>2.921</v>
      </c>
      <c r="D1205" s="11">
        <v>27.0</v>
      </c>
      <c r="E1205" s="8"/>
      <c r="F1205" s="11">
        <v>376.0</v>
      </c>
      <c r="G1205" s="11">
        <v>0.069</v>
      </c>
      <c r="H1205" s="11">
        <v>0.739</v>
      </c>
      <c r="I1205" s="9" t="s">
        <v>69</v>
      </c>
    </row>
    <row r="1206">
      <c r="A1206" s="12" t="s">
        <v>121</v>
      </c>
      <c r="B1206" s="5" t="s">
        <v>77</v>
      </c>
      <c r="C1206" s="11">
        <v>2.881</v>
      </c>
      <c r="D1206" s="11">
        <v>133.0</v>
      </c>
      <c r="E1206" s="8"/>
      <c r="F1206" s="11">
        <v>308.0</v>
      </c>
      <c r="G1206" s="11">
        <v>0.004</v>
      </c>
      <c r="H1206" s="11">
        <v>0.169</v>
      </c>
      <c r="I1206" s="9" t="s">
        <v>69</v>
      </c>
    </row>
    <row r="1207">
      <c r="A1207" s="12" t="s">
        <v>109</v>
      </c>
      <c r="B1207" s="5" t="s">
        <v>77</v>
      </c>
      <c r="C1207" s="11">
        <v>2.797</v>
      </c>
      <c r="D1207" s="11">
        <v>13.0</v>
      </c>
      <c r="E1207" s="8"/>
      <c r="F1207" s="11">
        <v>140.0</v>
      </c>
      <c r="G1207" s="11">
        <v>0.008</v>
      </c>
      <c r="H1207" s="11">
        <v>0.056</v>
      </c>
      <c r="I1207" s="9" t="s">
        <v>69</v>
      </c>
    </row>
    <row r="1208">
      <c r="A1208" s="12" t="s">
        <v>246</v>
      </c>
      <c r="B1208" s="5" t="s">
        <v>77</v>
      </c>
      <c r="C1208" s="8"/>
      <c r="D1208" s="8"/>
      <c r="E1208" s="8"/>
      <c r="F1208" s="8"/>
      <c r="G1208" s="11">
        <v>0.011</v>
      </c>
      <c r="H1208" s="11">
        <v>0.069</v>
      </c>
      <c r="I1208" s="9" t="s">
        <v>69</v>
      </c>
    </row>
    <row r="1209">
      <c r="A1209" s="12" t="s">
        <v>273</v>
      </c>
      <c r="B1209" s="5" t="s">
        <v>77</v>
      </c>
      <c r="C1209" s="11">
        <v>0.34</v>
      </c>
      <c r="D1209" s="11">
        <v>25.0</v>
      </c>
      <c r="E1209" s="8"/>
      <c r="F1209" s="11">
        <v>222.0</v>
      </c>
      <c r="G1209" s="11">
        <v>0.079</v>
      </c>
      <c r="H1209" s="11">
        <v>0.269</v>
      </c>
      <c r="I1209" s="9" t="s">
        <v>69</v>
      </c>
    </row>
    <row r="1210">
      <c r="A1210" s="12" t="s">
        <v>115</v>
      </c>
      <c r="B1210" s="5" t="s">
        <v>77</v>
      </c>
      <c r="C1210" s="11">
        <v>0.713</v>
      </c>
      <c r="D1210" s="11">
        <v>64.0</v>
      </c>
      <c r="E1210" s="8"/>
      <c r="F1210" s="11">
        <v>732.0</v>
      </c>
      <c r="G1210" s="11">
        <v>0.012</v>
      </c>
      <c r="H1210" s="11">
        <v>0.145</v>
      </c>
      <c r="I1210" s="9" t="s">
        <v>69</v>
      </c>
    </row>
    <row r="1211">
      <c r="A1211" s="12" t="s">
        <v>82</v>
      </c>
      <c r="B1211" s="5" t="s">
        <v>77</v>
      </c>
      <c r="C1211" s="11">
        <v>0.521</v>
      </c>
      <c r="D1211" s="11">
        <v>68.0</v>
      </c>
      <c r="E1211" s="8"/>
      <c r="F1211" s="11">
        <v>272.0</v>
      </c>
      <c r="G1211" s="11">
        <v>0.046</v>
      </c>
      <c r="H1211" s="11">
        <v>0.37</v>
      </c>
      <c r="I1211" s="9" t="s">
        <v>69</v>
      </c>
    </row>
    <row r="1212">
      <c r="A1212" s="12" t="s">
        <v>194</v>
      </c>
      <c r="B1212" s="5" t="s">
        <v>77</v>
      </c>
      <c r="C1212" s="11">
        <v>0.514</v>
      </c>
      <c r="D1212" s="11">
        <v>25.0</v>
      </c>
      <c r="E1212" s="8"/>
      <c r="F1212" s="11">
        <v>270.0</v>
      </c>
      <c r="G1212" s="11">
        <v>0.016</v>
      </c>
      <c r="H1212" s="11">
        <v>0.262</v>
      </c>
      <c r="I1212" s="9" t="s">
        <v>69</v>
      </c>
    </row>
    <row r="1213">
      <c r="A1213" s="12" t="s">
        <v>214</v>
      </c>
      <c r="B1213" s="5" t="s">
        <v>77</v>
      </c>
      <c r="C1213" s="11">
        <v>0.423</v>
      </c>
      <c r="D1213" s="11">
        <v>19.0</v>
      </c>
      <c r="E1213" s="8"/>
      <c r="F1213" s="11">
        <v>270.0</v>
      </c>
      <c r="G1213" s="11">
        <v>0.007</v>
      </c>
      <c r="H1213" s="11">
        <v>0.129</v>
      </c>
      <c r="I1213" s="9" t="s">
        <v>69</v>
      </c>
    </row>
    <row r="1214">
      <c r="A1214" s="12" t="s">
        <v>198</v>
      </c>
      <c r="B1214" s="5" t="s">
        <v>77</v>
      </c>
      <c r="C1214" s="11">
        <v>0.26</v>
      </c>
      <c r="D1214" s="11">
        <v>6.0</v>
      </c>
      <c r="E1214" s="8"/>
      <c r="F1214" s="11">
        <v>161.0</v>
      </c>
      <c r="G1214" s="11">
        <v>0.225</v>
      </c>
      <c r="H1214" s="11">
        <v>0.886</v>
      </c>
      <c r="I1214" s="9" t="s">
        <v>70</v>
      </c>
    </row>
    <row r="1215">
      <c r="A1215" s="12" t="s">
        <v>239</v>
      </c>
      <c r="B1215" s="5" t="s">
        <v>77</v>
      </c>
      <c r="C1215" s="11">
        <v>0.441</v>
      </c>
      <c r="D1215" s="11">
        <v>39.0</v>
      </c>
      <c r="E1215" s="8"/>
      <c r="F1215" s="11">
        <v>76.0</v>
      </c>
      <c r="G1215" s="8"/>
      <c r="H1215" s="11">
        <v>1.222</v>
      </c>
      <c r="I1215" s="9" t="s">
        <v>70</v>
      </c>
    </row>
    <row r="1216">
      <c r="A1216" s="12" t="s">
        <v>269</v>
      </c>
      <c r="B1216" s="5" t="s">
        <v>77</v>
      </c>
      <c r="C1216" s="11">
        <v>0.623</v>
      </c>
      <c r="D1216" s="11">
        <v>11.0</v>
      </c>
      <c r="E1216" s="8"/>
      <c r="F1216" s="11">
        <v>228.0</v>
      </c>
      <c r="G1216" s="11">
        <v>0.341</v>
      </c>
      <c r="H1216" s="11">
        <v>0.932</v>
      </c>
      <c r="I1216" s="9" t="s">
        <v>70</v>
      </c>
    </row>
    <row r="1217">
      <c r="A1217" s="12" t="s">
        <v>205</v>
      </c>
      <c r="B1217" s="5" t="s">
        <v>77</v>
      </c>
      <c r="C1217" s="11">
        <v>0.493</v>
      </c>
      <c r="D1217" s="11">
        <v>12.0</v>
      </c>
      <c r="E1217" s="8"/>
      <c r="F1217" s="11">
        <v>358.0</v>
      </c>
      <c r="G1217" s="11">
        <v>0.413</v>
      </c>
      <c r="H1217" s="11">
        <v>0.809</v>
      </c>
      <c r="I1217" s="9" t="s">
        <v>70</v>
      </c>
    </row>
    <row r="1218">
      <c r="A1218" s="12" t="s">
        <v>247</v>
      </c>
      <c r="B1218" s="5" t="s">
        <v>77</v>
      </c>
      <c r="C1218" s="11">
        <v>0.298</v>
      </c>
      <c r="D1218" s="11">
        <v>22.0</v>
      </c>
      <c r="E1218" s="8"/>
      <c r="F1218" s="11">
        <v>200.0</v>
      </c>
      <c r="G1218" s="11">
        <v>0.1</v>
      </c>
      <c r="H1218" s="11">
        <v>0.912</v>
      </c>
      <c r="I1218" s="9" t="s">
        <v>70</v>
      </c>
    </row>
    <row r="1219">
      <c r="A1219" s="12" t="s">
        <v>185</v>
      </c>
      <c r="B1219" s="5" t="s">
        <v>77</v>
      </c>
      <c r="C1219" s="8"/>
      <c r="D1219" s="8"/>
      <c r="E1219" s="8"/>
      <c r="F1219" s="8"/>
      <c r="G1219" s="11">
        <v>0.108</v>
      </c>
      <c r="H1219" s="11">
        <v>1.599</v>
      </c>
      <c r="I1219" s="9" t="s">
        <v>70</v>
      </c>
    </row>
    <row r="1220">
      <c r="A1220" s="12" t="s">
        <v>134</v>
      </c>
      <c r="B1220" s="5" t="s">
        <v>77</v>
      </c>
      <c r="C1220" s="11">
        <v>0.43</v>
      </c>
      <c r="D1220" s="11">
        <v>8.0</v>
      </c>
      <c r="E1220" s="8"/>
      <c r="F1220" s="11">
        <v>480.0</v>
      </c>
      <c r="G1220" s="11">
        <v>0.257</v>
      </c>
      <c r="H1220" s="11">
        <v>0.721</v>
      </c>
      <c r="I1220" s="9" t="s">
        <v>70</v>
      </c>
    </row>
    <row r="1221">
      <c r="A1221" s="12" t="s">
        <v>76</v>
      </c>
      <c r="B1221" s="5" t="s">
        <v>77</v>
      </c>
      <c r="C1221" s="11">
        <v>0.72</v>
      </c>
      <c r="D1221" s="11">
        <v>25.0</v>
      </c>
      <c r="E1221" s="8"/>
      <c r="F1221" s="11">
        <v>451.0</v>
      </c>
      <c r="G1221" s="11">
        <v>0.112</v>
      </c>
      <c r="H1221" s="11">
        <v>0.9</v>
      </c>
      <c r="I1221" s="9" t="s">
        <v>70</v>
      </c>
    </row>
    <row r="1222">
      <c r="A1222" s="12" t="s">
        <v>104</v>
      </c>
      <c r="B1222" s="5" t="s">
        <v>77</v>
      </c>
      <c r="C1222" s="11">
        <v>0.17</v>
      </c>
      <c r="D1222" s="11">
        <v>60.0</v>
      </c>
      <c r="E1222" s="8"/>
      <c r="F1222" s="11">
        <v>140.0</v>
      </c>
      <c r="G1222" s="11">
        <v>0.062</v>
      </c>
      <c r="H1222" s="11">
        <v>0.96</v>
      </c>
      <c r="I1222" s="9" t="s">
        <v>70</v>
      </c>
    </row>
    <row r="1223">
      <c r="A1223" s="12" t="s">
        <v>208</v>
      </c>
      <c r="B1223" s="5" t="s">
        <v>77</v>
      </c>
      <c r="C1223" s="11">
        <v>0.223</v>
      </c>
      <c r="D1223" s="11">
        <v>66.0</v>
      </c>
      <c r="E1223" s="8"/>
      <c r="F1223" s="11">
        <v>339.0</v>
      </c>
      <c r="G1223" s="11">
        <v>0.065</v>
      </c>
      <c r="H1223" s="11">
        <v>0.761</v>
      </c>
      <c r="I1223" s="9" t="s">
        <v>70</v>
      </c>
    </row>
    <row r="1224">
      <c r="A1224" s="12" t="s">
        <v>183</v>
      </c>
      <c r="B1224" s="5" t="s">
        <v>77</v>
      </c>
      <c r="C1224" s="11">
        <v>0.199</v>
      </c>
      <c r="D1224" s="11">
        <v>40.0</v>
      </c>
      <c r="E1224" s="8"/>
      <c r="F1224" s="11">
        <v>324.0</v>
      </c>
      <c r="G1224" s="11">
        <v>0.037</v>
      </c>
      <c r="H1224" s="11">
        <v>0.332</v>
      </c>
      <c r="I1224" s="9" t="s">
        <v>70</v>
      </c>
    </row>
    <row r="1225">
      <c r="A1225" s="12" t="s">
        <v>130</v>
      </c>
      <c r="B1225" s="5" t="s">
        <v>77</v>
      </c>
      <c r="C1225" s="11">
        <v>0.378</v>
      </c>
      <c r="D1225" s="11">
        <v>37.0</v>
      </c>
      <c r="E1225" s="8"/>
      <c r="F1225" s="11">
        <v>66.0</v>
      </c>
      <c r="G1225" s="11">
        <v>0.04</v>
      </c>
      <c r="H1225" s="11">
        <v>0.157</v>
      </c>
      <c r="I1225" s="9" t="s">
        <v>70</v>
      </c>
    </row>
    <row r="1226">
      <c r="A1226" s="12" t="s">
        <v>258</v>
      </c>
      <c r="B1226" s="5" t="s">
        <v>77</v>
      </c>
      <c r="C1226" s="11">
        <v>0.363</v>
      </c>
      <c r="D1226" s="11">
        <v>60.0</v>
      </c>
      <c r="E1226" s="8"/>
      <c r="F1226" s="11">
        <v>104.0</v>
      </c>
      <c r="G1226" s="11">
        <v>0.089</v>
      </c>
      <c r="H1226" s="11">
        <v>0.566</v>
      </c>
      <c r="I1226" s="9" t="s">
        <v>70</v>
      </c>
    </row>
    <row r="1227">
      <c r="A1227" s="12" t="s">
        <v>285</v>
      </c>
      <c r="B1227" s="5" t="s">
        <v>77</v>
      </c>
      <c r="C1227" s="11">
        <v>0.382</v>
      </c>
      <c r="D1227" s="11">
        <v>97.0</v>
      </c>
      <c r="E1227" s="8"/>
      <c r="F1227" s="11">
        <v>270.0</v>
      </c>
      <c r="G1227" s="11">
        <v>0.114</v>
      </c>
      <c r="H1227" s="11">
        <v>0.31</v>
      </c>
      <c r="I1227" s="9" t="s">
        <v>70</v>
      </c>
    </row>
    <row r="1228">
      <c r="A1228" s="12" t="s">
        <v>149</v>
      </c>
      <c r="B1228" s="5" t="s">
        <v>77</v>
      </c>
      <c r="C1228" s="11">
        <v>0.325</v>
      </c>
      <c r="D1228" s="11">
        <v>12.0</v>
      </c>
      <c r="E1228" s="8"/>
      <c r="F1228" s="11">
        <v>224.0</v>
      </c>
      <c r="G1228" s="11">
        <v>0.054</v>
      </c>
      <c r="H1228" s="11">
        <v>0.638</v>
      </c>
      <c r="I1228" s="9" t="s">
        <v>70</v>
      </c>
    </row>
    <row r="1229">
      <c r="A1229" s="12" t="s">
        <v>145</v>
      </c>
      <c r="B1229" s="5" t="s">
        <v>77</v>
      </c>
      <c r="C1229" s="11">
        <v>0.447</v>
      </c>
      <c r="D1229" s="11">
        <v>57.0</v>
      </c>
      <c r="E1229" s="8"/>
      <c r="F1229" s="11">
        <v>488.0</v>
      </c>
      <c r="G1229" s="11">
        <v>0.067</v>
      </c>
      <c r="H1229" s="11">
        <v>0.954</v>
      </c>
      <c r="I1229" s="9" t="s">
        <v>70</v>
      </c>
    </row>
    <row r="1230">
      <c r="A1230" s="12" t="s">
        <v>114</v>
      </c>
      <c r="B1230" s="5" t="s">
        <v>77</v>
      </c>
      <c r="C1230" s="11">
        <v>2.038</v>
      </c>
      <c r="D1230" s="11">
        <v>23.0</v>
      </c>
      <c r="E1230" s="8"/>
      <c r="F1230" s="11">
        <v>504.0</v>
      </c>
      <c r="G1230" s="11">
        <v>0.018</v>
      </c>
      <c r="H1230" s="11">
        <v>0.202</v>
      </c>
      <c r="I1230" s="9" t="s">
        <v>70</v>
      </c>
    </row>
    <row r="1231">
      <c r="A1231" s="12" t="s">
        <v>139</v>
      </c>
      <c r="B1231" s="5" t="s">
        <v>77</v>
      </c>
      <c r="C1231" s="11">
        <v>0.303</v>
      </c>
      <c r="D1231" s="11">
        <v>15.0</v>
      </c>
      <c r="E1231" s="8"/>
      <c r="F1231" s="11">
        <v>198.0</v>
      </c>
      <c r="G1231" s="11">
        <v>0.005</v>
      </c>
      <c r="H1231" s="11">
        <v>0.048</v>
      </c>
      <c r="I1231" s="9" t="s">
        <v>70</v>
      </c>
    </row>
    <row r="1232">
      <c r="A1232" s="12" t="s">
        <v>256</v>
      </c>
      <c r="B1232" s="5" t="s">
        <v>77</v>
      </c>
      <c r="C1232" s="11">
        <v>0.361</v>
      </c>
      <c r="D1232" s="11">
        <v>36.0</v>
      </c>
      <c r="E1232" s="8"/>
      <c r="F1232" s="11">
        <v>180.0</v>
      </c>
      <c r="G1232" s="8"/>
      <c r="H1232" s="11">
        <v>0.361</v>
      </c>
      <c r="I1232" s="9" t="s">
        <v>70</v>
      </c>
    </row>
    <row r="1233">
      <c r="A1233" s="12" t="s">
        <v>123</v>
      </c>
      <c r="B1233" s="5" t="s">
        <v>77</v>
      </c>
      <c r="C1233" s="11">
        <v>0.444</v>
      </c>
      <c r="D1233" s="11">
        <v>40.0</v>
      </c>
      <c r="E1233" s="8"/>
      <c r="F1233" s="11">
        <v>270.0</v>
      </c>
      <c r="G1233" s="11">
        <v>0.02</v>
      </c>
      <c r="H1233" s="11">
        <v>0.709</v>
      </c>
      <c r="I1233" s="9" t="s">
        <v>70</v>
      </c>
    </row>
    <row r="1234">
      <c r="A1234" s="12" t="s">
        <v>197</v>
      </c>
      <c r="B1234" s="5" t="s">
        <v>77</v>
      </c>
      <c r="C1234" s="11">
        <v>0.858</v>
      </c>
      <c r="D1234" s="11">
        <v>19.0</v>
      </c>
      <c r="E1234" s="8"/>
      <c r="F1234" s="11">
        <v>696.0</v>
      </c>
      <c r="G1234" s="11">
        <v>0.023</v>
      </c>
      <c r="H1234" s="11">
        <v>0.621</v>
      </c>
      <c r="I1234" s="9" t="s">
        <v>70</v>
      </c>
    </row>
    <row r="1235">
      <c r="A1235" s="12" t="s">
        <v>190</v>
      </c>
      <c r="B1235" s="5" t="s">
        <v>77</v>
      </c>
      <c r="C1235" s="11">
        <v>0.384</v>
      </c>
      <c r="D1235" s="11">
        <v>7.0</v>
      </c>
      <c r="E1235" s="8"/>
      <c r="F1235" s="11">
        <v>201.0</v>
      </c>
      <c r="G1235" s="11">
        <v>0.016</v>
      </c>
      <c r="H1235" s="11">
        <v>0.307</v>
      </c>
      <c r="I1235" s="9" t="s">
        <v>70</v>
      </c>
    </row>
    <row r="1236">
      <c r="A1236" s="12" t="s">
        <v>136</v>
      </c>
      <c r="B1236" s="5" t="s">
        <v>77</v>
      </c>
      <c r="C1236" s="11">
        <v>0.441</v>
      </c>
      <c r="D1236" s="11">
        <v>135.0</v>
      </c>
      <c r="E1236" s="8"/>
      <c r="F1236" s="11">
        <v>492.0</v>
      </c>
      <c r="G1236" s="11">
        <v>0.021</v>
      </c>
      <c r="H1236" s="11">
        <v>0.295</v>
      </c>
      <c r="I1236" s="9" t="s">
        <v>70</v>
      </c>
    </row>
    <row r="1237">
      <c r="A1237" s="12" t="s">
        <v>175</v>
      </c>
      <c r="B1237" s="5" t="s">
        <v>77</v>
      </c>
      <c r="C1237" s="11">
        <v>0.493</v>
      </c>
      <c r="D1237" s="11">
        <v>34.0</v>
      </c>
      <c r="E1237" s="8"/>
      <c r="F1237" s="11">
        <v>417.0</v>
      </c>
      <c r="G1237" s="11">
        <v>0.1</v>
      </c>
      <c r="H1237" s="11">
        <v>0.486</v>
      </c>
      <c r="I1237" s="9" t="s">
        <v>70</v>
      </c>
    </row>
    <row r="1238">
      <c r="A1238" s="12" t="s">
        <v>232</v>
      </c>
      <c r="B1238" s="5" t="s">
        <v>77</v>
      </c>
      <c r="C1238" s="11">
        <v>0.31</v>
      </c>
      <c r="D1238" s="11">
        <v>3.0</v>
      </c>
      <c r="E1238" s="8"/>
      <c r="F1238" s="11">
        <v>160.0</v>
      </c>
      <c r="G1238" s="11">
        <v>0.077</v>
      </c>
      <c r="H1238" s="11">
        <v>0.231</v>
      </c>
      <c r="I1238" s="9" t="s">
        <v>70</v>
      </c>
    </row>
    <row r="1239">
      <c r="A1239" s="12" t="s">
        <v>235</v>
      </c>
      <c r="B1239" s="5" t="s">
        <v>77</v>
      </c>
      <c r="C1239" s="11">
        <v>0.472</v>
      </c>
      <c r="D1239" s="11">
        <v>144.0</v>
      </c>
      <c r="E1239" s="8"/>
      <c r="F1239" s="11">
        <v>424.0</v>
      </c>
      <c r="G1239" s="11">
        <v>0.164</v>
      </c>
      <c r="H1239" s="11">
        <v>0.467</v>
      </c>
      <c r="I1239" s="9" t="s">
        <v>70</v>
      </c>
    </row>
    <row r="1240">
      <c r="A1240" s="12" t="s">
        <v>249</v>
      </c>
      <c r="B1240" s="5" t="s">
        <v>77</v>
      </c>
      <c r="C1240" s="8"/>
      <c r="D1240" s="8"/>
      <c r="E1240" s="8"/>
      <c r="F1240" s="8"/>
      <c r="G1240" s="8"/>
      <c r="H1240" s="8"/>
      <c r="I1240" s="9" t="s">
        <v>70</v>
      </c>
    </row>
    <row r="1241">
      <c r="A1241" s="12" t="s">
        <v>266</v>
      </c>
      <c r="B1241" s="5" t="s">
        <v>77</v>
      </c>
      <c r="C1241" s="11">
        <v>0.525</v>
      </c>
      <c r="D1241" s="11">
        <v>84.0</v>
      </c>
      <c r="E1241" s="8"/>
      <c r="F1241" s="11">
        <v>270.0</v>
      </c>
      <c r="G1241" s="11">
        <v>0.026</v>
      </c>
      <c r="H1241" s="11">
        <v>0.356</v>
      </c>
      <c r="I1241" s="9" t="s">
        <v>70</v>
      </c>
    </row>
    <row r="1242">
      <c r="A1242" s="12" t="s">
        <v>99</v>
      </c>
      <c r="B1242" s="5" t="s">
        <v>77</v>
      </c>
      <c r="C1242" s="11">
        <v>0.732</v>
      </c>
      <c r="D1242" s="11">
        <v>31.0</v>
      </c>
      <c r="E1242" s="8"/>
      <c r="F1242" s="11">
        <v>270.0</v>
      </c>
      <c r="G1242" s="11">
        <v>0.022</v>
      </c>
      <c r="H1242" s="11">
        <v>0.545</v>
      </c>
      <c r="I1242" s="9" t="s">
        <v>70</v>
      </c>
    </row>
    <row r="1243">
      <c r="A1243" s="12" t="s">
        <v>184</v>
      </c>
      <c r="B1243" s="5" t="s">
        <v>77</v>
      </c>
      <c r="C1243" s="11">
        <v>0.429</v>
      </c>
      <c r="D1243" s="11">
        <v>20.0</v>
      </c>
      <c r="E1243" s="8"/>
      <c r="F1243" s="11">
        <v>158.0</v>
      </c>
      <c r="G1243" s="11">
        <v>0.005</v>
      </c>
      <c r="H1243" s="11">
        <v>0.284</v>
      </c>
      <c r="I1243" s="9" t="s">
        <v>70</v>
      </c>
    </row>
    <row r="1244">
      <c r="A1244" s="12" t="s">
        <v>119</v>
      </c>
      <c r="B1244" s="5" t="s">
        <v>77</v>
      </c>
      <c r="C1244" s="11">
        <v>2.179</v>
      </c>
      <c r="D1244" s="11">
        <v>22.0</v>
      </c>
      <c r="E1244" s="8"/>
      <c r="F1244" s="11">
        <v>100.0</v>
      </c>
      <c r="G1244" s="11">
        <v>0.035</v>
      </c>
      <c r="H1244" s="11">
        <v>0.184</v>
      </c>
      <c r="I1244" s="9" t="s">
        <v>70</v>
      </c>
    </row>
    <row r="1245">
      <c r="A1245" s="12" t="s">
        <v>240</v>
      </c>
      <c r="B1245" s="5" t="s">
        <v>77</v>
      </c>
      <c r="C1245" s="11">
        <v>2.352</v>
      </c>
      <c r="D1245" s="11">
        <v>12.0</v>
      </c>
      <c r="E1245" s="8"/>
      <c r="F1245" s="11">
        <v>357.0</v>
      </c>
      <c r="G1245" s="11">
        <v>0.003</v>
      </c>
      <c r="H1245" s="11">
        <v>0.206</v>
      </c>
      <c r="I1245" s="9" t="s">
        <v>70</v>
      </c>
    </row>
    <row r="1246">
      <c r="A1246" s="12" t="s">
        <v>111</v>
      </c>
      <c r="B1246" s="5" t="s">
        <v>77</v>
      </c>
      <c r="C1246" s="11">
        <v>0.488</v>
      </c>
      <c r="D1246" s="11">
        <v>35.0</v>
      </c>
      <c r="E1246" s="8"/>
      <c r="F1246" s="11">
        <v>654.0</v>
      </c>
      <c r="G1246" s="11">
        <v>0.038</v>
      </c>
      <c r="H1246" s="11">
        <v>0.398</v>
      </c>
      <c r="I1246" s="9" t="s">
        <v>70</v>
      </c>
    </row>
    <row r="1247">
      <c r="A1247" s="12" t="s">
        <v>156</v>
      </c>
      <c r="B1247" s="5" t="s">
        <v>77</v>
      </c>
      <c r="C1247" s="11">
        <v>0.459</v>
      </c>
      <c r="D1247" s="11">
        <v>216.0</v>
      </c>
      <c r="E1247" s="8"/>
      <c r="F1247" s="11">
        <v>208.0</v>
      </c>
      <c r="G1247" s="11">
        <v>0.023</v>
      </c>
      <c r="H1247" s="11">
        <v>0.361</v>
      </c>
      <c r="I1247" s="9" t="s">
        <v>70</v>
      </c>
    </row>
    <row r="1248">
      <c r="A1248" s="12" t="s">
        <v>155</v>
      </c>
      <c r="B1248" s="5" t="s">
        <v>77</v>
      </c>
      <c r="C1248" s="11">
        <v>0.807</v>
      </c>
      <c r="D1248" s="11">
        <v>40.0</v>
      </c>
      <c r="E1248" s="8"/>
      <c r="F1248" s="11">
        <v>416.0</v>
      </c>
      <c r="G1248" s="11">
        <v>0.009</v>
      </c>
      <c r="H1248" s="11">
        <v>0.329</v>
      </c>
      <c r="I1248" s="9" t="s">
        <v>70</v>
      </c>
    </row>
    <row r="1249">
      <c r="A1249" s="12" t="s">
        <v>120</v>
      </c>
      <c r="B1249" s="5" t="s">
        <v>77</v>
      </c>
      <c r="C1249" s="11">
        <v>0.659</v>
      </c>
      <c r="D1249" s="11">
        <v>161.0</v>
      </c>
      <c r="E1249" s="8"/>
      <c r="F1249" s="11">
        <v>606.0</v>
      </c>
      <c r="G1249" s="11">
        <v>0.045</v>
      </c>
      <c r="H1249" s="11">
        <v>0.738</v>
      </c>
      <c r="I1249" s="9" t="s">
        <v>70</v>
      </c>
    </row>
    <row r="1250">
      <c r="A1250" s="12" t="s">
        <v>137</v>
      </c>
      <c r="B1250" s="5" t="s">
        <v>77</v>
      </c>
      <c r="C1250" s="11">
        <v>0.845</v>
      </c>
      <c r="D1250" s="11">
        <v>84.0</v>
      </c>
      <c r="E1250" s="8"/>
      <c r="F1250" s="11">
        <v>216.0</v>
      </c>
      <c r="G1250" s="11">
        <v>0.005</v>
      </c>
      <c r="H1250" s="11">
        <v>0.025</v>
      </c>
      <c r="I1250" s="9" t="s">
        <v>70</v>
      </c>
    </row>
    <row r="1251">
      <c r="A1251" s="12" t="s">
        <v>237</v>
      </c>
      <c r="B1251" s="5" t="s">
        <v>77</v>
      </c>
      <c r="C1251" s="11">
        <v>0.455</v>
      </c>
      <c r="D1251" s="11">
        <v>9.0</v>
      </c>
      <c r="E1251" s="8"/>
      <c r="F1251" s="11">
        <v>666.0</v>
      </c>
      <c r="G1251" s="11">
        <v>0.145</v>
      </c>
      <c r="H1251" s="11">
        <v>0.548</v>
      </c>
      <c r="I1251" s="9" t="s">
        <v>70</v>
      </c>
    </row>
    <row r="1252">
      <c r="A1252" s="12" t="s">
        <v>206</v>
      </c>
      <c r="B1252" s="5" t="s">
        <v>77</v>
      </c>
      <c r="C1252" s="11">
        <v>0.375</v>
      </c>
      <c r="D1252" s="11">
        <v>26.0</v>
      </c>
      <c r="E1252" s="8"/>
      <c r="F1252" s="11">
        <v>230.0</v>
      </c>
      <c r="G1252" s="11">
        <v>0.027</v>
      </c>
      <c r="H1252" s="11">
        <v>0.256</v>
      </c>
      <c r="I1252" s="9" t="s">
        <v>70</v>
      </c>
    </row>
    <row r="1253">
      <c r="A1253" s="12" t="s">
        <v>191</v>
      </c>
      <c r="B1253" s="5" t="s">
        <v>77</v>
      </c>
      <c r="C1253" s="11">
        <v>0.263</v>
      </c>
      <c r="D1253" s="11">
        <v>39.0</v>
      </c>
      <c r="E1253" s="8"/>
      <c r="F1253" s="11">
        <v>157.0</v>
      </c>
      <c r="G1253" s="11">
        <v>0.011</v>
      </c>
      <c r="H1253" s="11">
        <v>0.171</v>
      </c>
      <c r="I1253" s="9" t="s">
        <v>70</v>
      </c>
    </row>
    <row r="1254">
      <c r="A1254" s="12" t="s">
        <v>263</v>
      </c>
      <c r="B1254" s="5" t="s">
        <v>77</v>
      </c>
      <c r="C1254" s="11">
        <v>0.444</v>
      </c>
      <c r="D1254" s="11">
        <v>26.0</v>
      </c>
      <c r="E1254" s="8"/>
      <c r="F1254" s="11">
        <v>172.0</v>
      </c>
      <c r="G1254" s="11">
        <v>0.024</v>
      </c>
      <c r="H1254" s="11">
        <v>0.4</v>
      </c>
      <c r="I1254" s="9" t="s">
        <v>70</v>
      </c>
    </row>
    <row r="1255">
      <c r="A1255" s="12" t="s">
        <v>215</v>
      </c>
      <c r="B1255" s="5" t="s">
        <v>77</v>
      </c>
      <c r="C1255" s="11">
        <v>0.322</v>
      </c>
      <c r="D1255" s="11">
        <v>25.0</v>
      </c>
      <c r="E1255" s="8"/>
      <c r="F1255" s="11">
        <v>938.0</v>
      </c>
      <c r="G1255" s="11">
        <v>0.2</v>
      </c>
      <c r="H1255" s="11">
        <v>0.48</v>
      </c>
      <c r="I1255" s="9" t="s">
        <v>70</v>
      </c>
    </row>
    <row r="1256">
      <c r="A1256" s="12" t="s">
        <v>284</v>
      </c>
      <c r="B1256" s="5" t="s">
        <v>77</v>
      </c>
      <c r="C1256" s="11">
        <v>0.15</v>
      </c>
      <c r="D1256" s="11">
        <v>18.0</v>
      </c>
      <c r="E1256" s="8"/>
      <c r="F1256" s="11">
        <v>183.0</v>
      </c>
      <c r="G1256" s="11">
        <v>0.063</v>
      </c>
      <c r="H1256" s="11">
        <v>0.344</v>
      </c>
      <c r="I1256" s="9" t="s">
        <v>70</v>
      </c>
    </row>
    <row r="1257">
      <c r="A1257" s="12" t="s">
        <v>108</v>
      </c>
      <c r="B1257" s="5" t="s">
        <v>77</v>
      </c>
      <c r="C1257" s="11">
        <v>0.449</v>
      </c>
      <c r="D1257" s="11">
        <v>14.0</v>
      </c>
      <c r="E1257" s="8"/>
      <c r="F1257" s="11">
        <v>270.0</v>
      </c>
      <c r="G1257" s="11">
        <v>0.011</v>
      </c>
      <c r="H1257" s="11">
        <v>0.253</v>
      </c>
      <c r="I1257" s="9" t="s">
        <v>70</v>
      </c>
    </row>
    <row r="1258">
      <c r="A1258" s="12" t="s">
        <v>146</v>
      </c>
      <c r="B1258" s="5" t="s">
        <v>77</v>
      </c>
      <c r="C1258" s="11">
        <v>2.921</v>
      </c>
      <c r="D1258" s="11">
        <v>27.0</v>
      </c>
      <c r="E1258" s="8"/>
      <c r="F1258" s="11">
        <v>376.0</v>
      </c>
      <c r="G1258" s="11">
        <v>0.076</v>
      </c>
      <c r="H1258" s="11">
        <v>0.806</v>
      </c>
      <c r="I1258" s="9" t="s">
        <v>70</v>
      </c>
    </row>
    <row r="1259">
      <c r="A1259" s="12" t="s">
        <v>121</v>
      </c>
      <c r="B1259" s="5" t="s">
        <v>77</v>
      </c>
      <c r="C1259" s="11">
        <v>2.927</v>
      </c>
      <c r="D1259" s="11">
        <v>127.0</v>
      </c>
      <c r="E1259" s="8"/>
      <c r="F1259" s="11">
        <v>308.0</v>
      </c>
      <c r="G1259" s="11">
        <v>0.006</v>
      </c>
      <c r="H1259" s="11">
        <v>0.156</v>
      </c>
      <c r="I1259" s="9" t="s">
        <v>70</v>
      </c>
    </row>
    <row r="1260">
      <c r="A1260" s="12" t="s">
        <v>109</v>
      </c>
      <c r="B1260" s="5" t="s">
        <v>77</v>
      </c>
      <c r="C1260" s="11">
        <v>2.797</v>
      </c>
      <c r="D1260" s="11">
        <v>13.0</v>
      </c>
      <c r="E1260" s="8"/>
      <c r="F1260" s="11">
        <v>140.0</v>
      </c>
      <c r="G1260" s="11">
        <v>0.009</v>
      </c>
      <c r="H1260" s="11">
        <v>0.103</v>
      </c>
      <c r="I1260" s="9" t="s">
        <v>70</v>
      </c>
    </row>
    <row r="1261">
      <c r="A1261" s="12" t="s">
        <v>273</v>
      </c>
      <c r="B1261" s="5" t="s">
        <v>77</v>
      </c>
      <c r="C1261" s="11">
        <v>0.35</v>
      </c>
      <c r="D1261" s="11">
        <v>25.0</v>
      </c>
      <c r="E1261" s="8"/>
      <c r="F1261" s="11">
        <v>161.0</v>
      </c>
      <c r="G1261" s="11">
        <v>0.098</v>
      </c>
      <c r="H1261" s="11">
        <v>0.286</v>
      </c>
      <c r="I1261" s="9" t="s">
        <v>70</v>
      </c>
    </row>
    <row r="1262">
      <c r="A1262" s="12" t="s">
        <v>246</v>
      </c>
      <c r="B1262" s="5" t="s">
        <v>77</v>
      </c>
      <c r="C1262" s="8"/>
      <c r="D1262" s="8"/>
      <c r="E1262" s="8"/>
      <c r="F1262" s="8"/>
      <c r="G1262" s="11">
        <v>0.012</v>
      </c>
      <c r="H1262" s="11">
        <v>0.068</v>
      </c>
      <c r="I1262" s="9" t="s">
        <v>70</v>
      </c>
    </row>
    <row r="1263">
      <c r="A1263" s="12" t="s">
        <v>82</v>
      </c>
      <c r="B1263" s="5" t="s">
        <v>77</v>
      </c>
      <c r="C1263" s="11">
        <v>0.521</v>
      </c>
      <c r="D1263" s="11">
        <v>68.0</v>
      </c>
      <c r="E1263" s="8"/>
      <c r="F1263" s="11">
        <v>272.0</v>
      </c>
      <c r="G1263" s="11">
        <v>0.06</v>
      </c>
      <c r="H1263" s="11">
        <v>0.428</v>
      </c>
      <c r="I1263" s="9" t="s">
        <v>70</v>
      </c>
    </row>
    <row r="1264">
      <c r="A1264" s="12" t="s">
        <v>115</v>
      </c>
      <c r="B1264" s="5" t="s">
        <v>77</v>
      </c>
      <c r="C1264" s="11">
        <v>0.713</v>
      </c>
      <c r="D1264" s="11">
        <v>64.0</v>
      </c>
      <c r="E1264" s="8"/>
      <c r="F1264" s="11">
        <v>732.0</v>
      </c>
      <c r="G1264" s="11">
        <v>0.015</v>
      </c>
      <c r="H1264" s="11">
        <v>0.201</v>
      </c>
      <c r="I1264" s="9" t="s">
        <v>70</v>
      </c>
    </row>
    <row r="1265">
      <c r="A1265" s="12" t="s">
        <v>194</v>
      </c>
      <c r="B1265" s="5" t="s">
        <v>77</v>
      </c>
      <c r="C1265" s="11">
        <v>0.514</v>
      </c>
      <c r="D1265" s="11">
        <v>8.0</v>
      </c>
      <c r="E1265" s="8"/>
      <c r="F1265" s="11">
        <v>270.0</v>
      </c>
      <c r="G1265" s="11">
        <v>0.018</v>
      </c>
      <c r="H1265" s="11">
        <v>0.329</v>
      </c>
      <c r="I1265" s="9" t="s">
        <v>70</v>
      </c>
    </row>
    <row r="1266">
      <c r="A1266" s="12" t="s">
        <v>214</v>
      </c>
      <c r="B1266" s="5" t="s">
        <v>77</v>
      </c>
      <c r="C1266" s="11">
        <v>0.465</v>
      </c>
      <c r="D1266" s="11">
        <v>17.0</v>
      </c>
      <c r="E1266" s="8"/>
      <c r="F1266" s="11">
        <v>270.0</v>
      </c>
      <c r="G1266" s="11">
        <v>0.008</v>
      </c>
      <c r="H1266" s="11">
        <v>0.17</v>
      </c>
      <c r="I1266" s="9" t="s">
        <v>70</v>
      </c>
    </row>
    <row r="1267">
      <c r="A1267" s="12" t="s">
        <v>198</v>
      </c>
      <c r="B1267" s="5" t="s">
        <v>77</v>
      </c>
      <c r="C1267" s="11">
        <v>0.272</v>
      </c>
      <c r="D1267" s="11">
        <v>6.0</v>
      </c>
      <c r="E1267" s="8"/>
      <c r="F1267" s="11">
        <v>161.0</v>
      </c>
      <c r="G1267" s="11">
        <v>0.283</v>
      </c>
      <c r="H1267" s="11">
        <v>0.968</v>
      </c>
      <c r="I1267" s="9" t="s">
        <v>71</v>
      </c>
    </row>
    <row r="1268">
      <c r="A1268" s="12" t="s">
        <v>239</v>
      </c>
      <c r="B1268" s="5" t="s">
        <v>77</v>
      </c>
      <c r="C1268" s="11">
        <v>0.441</v>
      </c>
      <c r="D1268" s="11">
        <v>39.0</v>
      </c>
      <c r="E1268" s="8"/>
      <c r="F1268" s="11">
        <v>76.0</v>
      </c>
      <c r="G1268" s="11">
        <v>0.41</v>
      </c>
      <c r="H1268" s="11">
        <v>1.289</v>
      </c>
      <c r="I1268" s="9" t="s">
        <v>71</v>
      </c>
    </row>
    <row r="1269">
      <c r="A1269" s="12" t="s">
        <v>269</v>
      </c>
      <c r="B1269" s="5" t="s">
        <v>77</v>
      </c>
      <c r="C1269" s="11">
        <v>0.623</v>
      </c>
      <c r="D1269" s="11">
        <v>11.0</v>
      </c>
      <c r="E1269" s="8"/>
      <c r="F1269" s="11">
        <v>144.0</v>
      </c>
      <c r="G1269" s="11">
        <v>0.368</v>
      </c>
      <c r="H1269" s="11">
        <v>1.045</v>
      </c>
      <c r="I1269" s="9" t="s">
        <v>71</v>
      </c>
    </row>
    <row r="1270">
      <c r="A1270" s="12" t="s">
        <v>247</v>
      </c>
      <c r="B1270" s="5" t="s">
        <v>77</v>
      </c>
      <c r="C1270" s="11">
        <v>0.3</v>
      </c>
      <c r="D1270" s="11">
        <v>22.0</v>
      </c>
      <c r="E1270" s="8"/>
      <c r="F1270" s="11">
        <v>200.0</v>
      </c>
      <c r="G1270" s="11">
        <v>0.24</v>
      </c>
      <c r="H1270" s="11">
        <v>0.979</v>
      </c>
      <c r="I1270" s="9" t="s">
        <v>71</v>
      </c>
    </row>
    <row r="1271">
      <c r="A1271" s="12" t="s">
        <v>205</v>
      </c>
      <c r="B1271" s="5" t="s">
        <v>77</v>
      </c>
      <c r="C1271" s="11">
        <v>0.496</v>
      </c>
      <c r="D1271" s="11">
        <v>12.0</v>
      </c>
      <c r="E1271" s="8"/>
      <c r="F1271" s="11">
        <v>358.0</v>
      </c>
      <c r="G1271" s="11">
        <v>0.52</v>
      </c>
      <c r="H1271" s="11">
        <v>1.011</v>
      </c>
      <c r="I1271" s="9" t="s">
        <v>71</v>
      </c>
    </row>
    <row r="1272">
      <c r="A1272" s="12" t="s">
        <v>185</v>
      </c>
      <c r="B1272" s="5" t="s">
        <v>77</v>
      </c>
      <c r="C1272" s="8"/>
      <c r="D1272" s="8"/>
      <c r="E1272" s="8"/>
      <c r="F1272" s="8"/>
      <c r="G1272" s="11">
        <v>0.14</v>
      </c>
      <c r="H1272" s="11">
        <v>1.804</v>
      </c>
      <c r="I1272" s="9" t="s">
        <v>71</v>
      </c>
    </row>
    <row r="1273">
      <c r="A1273" s="12" t="s">
        <v>104</v>
      </c>
      <c r="B1273" s="5" t="s">
        <v>77</v>
      </c>
      <c r="C1273" s="11">
        <v>0.195</v>
      </c>
      <c r="D1273" s="11">
        <v>60.0</v>
      </c>
      <c r="E1273" s="8"/>
      <c r="F1273" s="11">
        <v>152.0</v>
      </c>
      <c r="G1273" s="11">
        <v>0.06</v>
      </c>
      <c r="H1273" s="11">
        <v>1.2</v>
      </c>
      <c r="I1273" s="9" t="s">
        <v>71</v>
      </c>
    </row>
    <row r="1274">
      <c r="A1274" s="12" t="s">
        <v>134</v>
      </c>
      <c r="B1274" s="5" t="s">
        <v>77</v>
      </c>
      <c r="C1274" s="11">
        <v>0.426</v>
      </c>
      <c r="D1274" s="11">
        <v>8.0</v>
      </c>
      <c r="E1274" s="8"/>
      <c r="F1274" s="11">
        <v>433.0</v>
      </c>
      <c r="G1274" s="11">
        <v>0.314</v>
      </c>
      <c r="H1274" s="11">
        <v>0.905</v>
      </c>
      <c r="I1274" s="9" t="s">
        <v>71</v>
      </c>
    </row>
    <row r="1275">
      <c r="A1275" s="12" t="s">
        <v>76</v>
      </c>
      <c r="B1275" s="5" t="s">
        <v>77</v>
      </c>
      <c r="C1275" s="11">
        <v>0.72</v>
      </c>
      <c r="D1275" s="11">
        <v>25.0</v>
      </c>
      <c r="E1275" s="8"/>
      <c r="F1275" s="11">
        <v>451.0</v>
      </c>
      <c r="G1275" s="11">
        <v>0.125</v>
      </c>
      <c r="H1275" s="11">
        <v>0.884</v>
      </c>
      <c r="I1275" s="9" t="s">
        <v>71</v>
      </c>
    </row>
    <row r="1276">
      <c r="A1276" s="12" t="s">
        <v>208</v>
      </c>
      <c r="B1276" s="5" t="s">
        <v>77</v>
      </c>
      <c r="C1276" s="11">
        <v>0.223</v>
      </c>
      <c r="D1276" s="11">
        <v>66.0</v>
      </c>
      <c r="E1276" s="8"/>
      <c r="F1276" s="11">
        <v>339.0</v>
      </c>
      <c r="G1276" s="11">
        <v>0.116</v>
      </c>
      <c r="H1276" s="11">
        <v>0.895</v>
      </c>
      <c r="I1276" s="9" t="s">
        <v>71</v>
      </c>
    </row>
    <row r="1277">
      <c r="A1277" s="12" t="s">
        <v>183</v>
      </c>
      <c r="B1277" s="5" t="s">
        <v>77</v>
      </c>
      <c r="C1277" s="11">
        <v>0.196</v>
      </c>
      <c r="D1277" s="11">
        <v>40.0</v>
      </c>
      <c r="E1277" s="8"/>
      <c r="F1277" s="11">
        <v>324.0</v>
      </c>
      <c r="G1277" s="11">
        <v>0.039</v>
      </c>
      <c r="H1277" s="11">
        <v>0.492</v>
      </c>
      <c r="I1277" s="9" t="s">
        <v>71</v>
      </c>
    </row>
    <row r="1278">
      <c r="A1278" s="12" t="s">
        <v>130</v>
      </c>
      <c r="B1278" s="5" t="s">
        <v>77</v>
      </c>
      <c r="C1278" s="11">
        <v>0.378</v>
      </c>
      <c r="D1278" s="11">
        <v>37.0</v>
      </c>
      <c r="E1278" s="8"/>
      <c r="F1278" s="11">
        <v>90.0</v>
      </c>
      <c r="G1278" s="11">
        <v>0.065</v>
      </c>
      <c r="H1278" s="11">
        <v>0.199</v>
      </c>
      <c r="I1278" s="9" t="s">
        <v>71</v>
      </c>
    </row>
    <row r="1279">
      <c r="A1279" s="12" t="s">
        <v>258</v>
      </c>
      <c r="B1279" s="5" t="s">
        <v>77</v>
      </c>
      <c r="C1279" s="11">
        <v>0.365</v>
      </c>
      <c r="D1279" s="11">
        <v>56.0</v>
      </c>
      <c r="E1279" s="8"/>
      <c r="F1279" s="11">
        <v>104.0</v>
      </c>
      <c r="G1279" s="11">
        <v>0.11</v>
      </c>
      <c r="H1279" s="11">
        <v>0.608</v>
      </c>
      <c r="I1279" s="9" t="s">
        <v>71</v>
      </c>
    </row>
    <row r="1280">
      <c r="A1280" s="12" t="s">
        <v>285</v>
      </c>
      <c r="B1280" s="5" t="s">
        <v>77</v>
      </c>
      <c r="C1280" s="11">
        <v>0.391</v>
      </c>
      <c r="D1280" s="11">
        <v>90.0</v>
      </c>
      <c r="E1280" s="8"/>
      <c r="F1280" s="11">
        <v>242.0</v>
      </c>
      <c r="G1280" s="11">
        <v>0.115</v>
      </c>
      <c r="H1280" s="11">
        <v>0.589</v>
      </c>
      <c r="I1280" s="9" t="s">
        <v>71</v>
      </c>
    </row>
    <row r="1281">
      <c r="A1281" s="12" t="s">
        <v>149</v>
      </c>
      <c r="B1281" s="5" t="s">
        <v>77</v>
      </c>
      <c r="C1281" s="11">
        <v>0.325</v>
      </c>
      <c r="D1281" s="11">
        <v>12.0</v>
      </c>
      <c r="E1281" s="8"/>
      <c r="F1281" s="11">
        <v>224.0</v>
      </c>
      <c r="G1281" s="11">
        <v>0.078</v>
      </c>
      <c r="H1281" s="11">
        <v>0.719</v>
      </c>
      <c r="I1281" s="9" t="s">
        <v>71</v>
      </c>
    </row>
    <row r="1282">
      <c r="A1282" s="12" t="s">
        <v>145</v>
      </c>
      <c r="B1282" s="5" t="s">
        <v>77</v>
      </c>
      <c r="C1282" s="11">
        <v>0.435</v>
      </c>
      <c r="D1282" s="11">
        <v>57.0</v>
      </c>
      <c r="E1282" s="8"/>
      <c r="F1282" s="11">
        <v>488.0</v>
      </c>
      <c r="G1282" s="11">
        <v>0.072</v>
      </c>
      <c r="H1282" s="11">
        <v>1.035</v>
      </c>
      <c r="I1282" s="9" t="s">
        <v>71</v>
      </c>
    </row>
    <row r="1283">
      <c r="A1283" s="12" t="s">
        <v>114</v>
      </c>
      <c r="B1283" s="5" t="s">
        <v>77</v>
      </c>
      <c r="C1283" s="11">
        <v>2.038</v>
      </c>
      <c r="D1283" s="11">
        <v>23.0</v>
      </c>
      <c r="E1283" s="8"/>
      <c r="F1283" s="11">
        <v>504.0</v>
      </c>
      <c r="G1283" s="11">
        <v>0.02</v>
      </c>
      <c r="H1283" s="11">
        <v>0.225</v>
      </c>
      <c r="I1283" s="9" t="s">
        <v>71</v>
      </c>
    </row>
    <row r="1284">
      <c r="A1284" s="12" t="s">
        <v>139</v>
      </c>
      <c r="B1284" s="5" t="s">
        <v>77</v>
      </c>
      <c r="C1284" s="11">
        <v>0.303</v>
      </c>
      <c r="D1284" s="11">
        <v>15.0</v>
      </c>
      <c r="E1284" s="8"/>
      <c r="F1284" s="11">
        <v>198.0</v>
      </c>
      <c r="G1284" s="11">
        <v>0.008</v>
      </c>
      <c r="H1284" s="11">
        <v>0.079</v>
      </c>
      <c r="I1284" s="9" t="s">
        <v>71</v>
      </c>
    </row>
    <row r="1285">
      <c r="A1285" s="12" t="s">
        <v>197</v>
      </c>
      <c r="B1285" s="5" t="s">
        <v>77</v>
      </c>
      <c r="C1285" s="11">
        <v>0.682</v>
      </c>
      <c r="D1285" s="11">
        <v>19.0</v>
      </c>
      <c r="E1285" s="8"/>
      <c r="F1285" s="11">
        <v>696.0</v>
      </c>
      <c r="G1285" s="11">
        <v>0.04</v>
      </c>
      <c r="H1285" s="11">
        <v>0.769</v>
      </c>
      <c r="I1285" s="9" t="s">
        <v>71</v>
      </c>
    </row>
    <row r="1286">
      <c r="A1286" s="12" t="s">
        <v>256</v>
      </c>
      <c r="B1286" s="5" t="s">
        <v>77</v>
      </c>
      <c r="C1286" s="11">
        <v>0.361</v>
      </c>
      <c r="D1286" s="11">
        <v>36.0</v>
      </c>
      <c r="E1286" s="8"/>
      <c r="F1286" s="11">
        <v>180.0</v>
      </c>
      <c r="G1286" s="11">
        <v>0.167</v>
      </c>
      <c r="H1286" s="11">
        <v>0.415</v>
      </c>
      <c r="I1286" s="9" t="s">
        <v>71</v>
      </c>
    </row>
    <row r="1287">
      <c r="A1287" s="12" t="s">
        <v>190</v>
      </c>
      <c r="B1287" s="5" t="s">
        <v>77</v>
      </c>
      <c r="C1287" s="11">
        <v>0.377</v>
      </c>
      <c r="D1287" s="11">
        <v>7.0</v>
      </c>
      <c r="E1287" s="8"/>
      <c r="F1287" s="11">
        <v>201.0</v>
      </c>
      <c r="G1287" s="11">
        <v>0.017</v>
      </c>
      <c r="H1287" s="11">
        <v>0.366</v>
      </c>
      <c r="I1287" s="9" t="s">
        <v>71</v>
      </c>
    </row>
    <row r="1288">
      <c r="A1288" s="12" t="s">
        <v>235</v>
      </c>
      <c r="B1288" s="5" t="s">
        <v>77</v>
      </c>
      <c r="C1288" s="11">
        <v>0.333</v>
      </c>
      <c r="D1288" s="11">
        <v>144.0</v>
      </c>
      <c r="E1288" s="8"/>
      <c r="F1288" s="11">
        <v>424.0</v>
      </c>
      <c r="G1288" s="11">
        <v>0.188</v>
      </c>
      <c r="H1288" s="11">
        <v>0.576</v>
      </c>
      <c r="I1288" s="9" t="s">
        <v>71</v>
      </c>
    </row>
    <row r="1289">
      <c r="A1289" s="12" t="s">
        <v>123</v>
      </c>
      <c r="B1289" s="5" t="s">
        <v>77</v>
      </c>
      <c r="C1289" s="11">
        <v>0.442</v>
      </c>
      <c r="D1289" s="11">
        <v>40.0</v>
      </c>
      <c r="E1289" s="8"/>
      <c r="F1289" s="11">
        <v>270.0</v>
      </c>
      <c r="G1289" s="11">
        <v>0.021</v>
      </c>
      <c r="H1289" s="11">
        <v>0.822</v>
      </c>
      <c r="I1289" s="9" t="s">
        <v>71</v>
      </c>
    </row>
    <row r="1290">
      <c r="A1290" s="12" t="s">
        <v>136</v>
      </c>
      <c r="B1290" s="5" t="s">
        <v>77</v>
      </c>
      <c r="C1290" s="11">
        <v>0.441</v>
      </c>
      <c r="D1290" s="11">
        <v>135.0</v>
      </c>
      <c r="E1290" s="8"/>
      <c r="F1290" s="11">
        <v>492.0</v>
      </c>
      <c r="G1290" s="11">
        <v>0.06</v>
      </c>
      <c r="H1290" s="11">
        <v>0.574</v>
      </c>
      <c r="I1290" s="9" t="s">
        <v>71</v>
      </c>
    </row>
    <row r="1291">
      <c r="A1291" s="12" t="s">
        <v>249</v>
      </c>
      <c r="B1291" s="5" t="s">
        <v>77</v>
      </c>
      <c r="C1291" s="8"/>
      <c r="D1291" s="8"/>
      <c r="E1291" s="8"/>
      <c r="F1291" s="8"/>
      <c r="G1291" s="8"/>
      <c r="H1291" s="8"/>
      <c r="I1291" s="9" t="s">
        <v>71</v>
      </c>
    </row>
    <row r="1292">
      <c r="A1292" s="12" t="s">
        <v>266</v>
      </c>
      <c r="B1292" s="5" t="s">
        <v>77</v>
      </c>
      <c r="C1292" s="11">
        <v>0.503</v>
      </c>
      <c r="D1292" s="11">
        <v>84.0</v>
      </c>
      <c r="E1292" s="8"/>
      <c r="F1292" s="11">
        <v>270.0</v>
      </c>
      <c r="G1292" s="11">
        <v>0.03</v>
      </c>
      <c r="H1292" s="11">
        <v>0.413</v>
      </c>
      <c r="I1292" s="9" t="s">
        <v>71</v>
      </c>
    </row>
    <row r="1293">
      <c r="A1293" s="12" t="s">
        <v>175</v>
      </c>
      <c r="B1293" s="5" t="s">
        <v>77</v>
      </c>
      <c r="C1293" s="11">
        <v>0.493</v>
      </c>
      <c r="D1293" s="11">
        <v>33.0</v>
      </c>
      <c r="E1293" s="8"/>
      <c r="F1293" s="11">
        <v>393.0</v>
      </c>
      <c r="G1293" s="11">
        <v>0.14</v>
      </c>
      <c r="H1293" s="11">
        <v>0.61</v>
      </c>
      <c r="I1293" s="9" t="s">
        <v>71</v>
      </c>
    </row>
    <row r="1294">
      <c r="A1294" s="12" t="s">
        <v>184</v>
      </c>
      <c r="B1294" s="5" t="s">
        <v>77</v>
      </c>
      <c r="C1294" s="11">
        <v>0.429</v>
      </c>
      <c r="D1294" s="11">
        <v>20.0</v>
      </c>
      <c r="E1294" s="8"/>
      <c r="F1294" s="11">
        <v>141.0</v>
      </c>
      <c r="G1294" s="11">
        <v>0.023</v>
      </c>
      <c r="H1294" s="11">
        <v>0.397</v>
      </c>
      <c r="I1294" s="9" t="s">
        <v>71</v>
      </c>
    </row>
    <row r="1295">
      <c r="A1295" s="12" t="s">
        <v>119</v>
      </c>
      <c r="B1295" s="5" t="s">
        <v>77</v>
      </c>
      <c r="C1295" s="11">
        <v>2.179</v>
      </c>
      <c r="D1295" s="11">
        <v>22.0</v>
      </c>
      <c r="E1295" s="8"/>
      <c r="F1295" s="11">
        <v>100.0</v>
      </c>
      <c r="G1295" s="11">
        <v>0.051</v>
      </c>
      <c r="H1295" s="11">
        <v>0.242</v>
      </c>
      <c r="I1295" s="9" t="s">
        <v>71</v>
      </c>
    </row>
    <row r="1296">
      <c r="A1296" s="12" t="s">
        <v>232</v>
      </c>
      <c r="B1296" s="5" t="s">
        <v>77</v>
      </c>
      <c r="C1296" s="11">
        <v>0.31</v>
      </c>
      <c r="D1296" s="11">
        <v>3.0</v>
      </c>
      <c r="E1296" s="8"/>
      <c r="F1296" s="11">
        <v>148.0</v>
      </c>
      <c r="G1296" s="11">
        <v>0.08</v>
      </c>
      <c r="H1296" s="11">
        <v>0.327</v>
      </c>
      <c r="I1296" s="9" t="s">
        <v>71</v>
      </c>
    </row>
    <row r="1297">
      <c r="A1297" s="12" t="s">
        <v>240</v>
      </c>
      <c r="B1297" s="5" t="s">
        <v>77</v>
      </c>
      <c r="C1297" s="11">
        <v>2.352</v>
      </c>
      <c r="D1297" s="11">
        <v>12.0</v>
      </c>
      <c r="E1297" s="8"/>
      <c r="F1297" s="11">
        <v>357.0</v>
      </c>
      <c r="G1297" s="11">
        <v>0.006</v>
      </c>
      <c r="H1297" s="11">
        <v>0.348</v>
      </c>
      <c r="I1297" s="9" t="s">
        <v>71</v>
      </c>
    </row>
    <row r="1298">
      <c r="A1298" s="12" t="s">
        <v>155</v>
      </c>
      <c r="B1298" s="5" t="s">
        <v>77</v>
      </c>
      <c r="C1298" s="11">
        <v>0.879</v>
      </c>
      <c r="D1298" s="11">
        <v>40.0</v>
      </c>
      <c r="E1298" s="8"/>
      <c r="F1298" s="11">
        <v>416.0</v>
      </c>
      <c r="G1298" s="11">
        <v>0.01</v>
      </c>
      <c r="H1298" s="11">
        <v>0.368</v>
      </c>
      <c r="I1298" s="9" t="s">
        <v>71</v>
      </c>
    </row>
    <row r="1299">
      <c r="A1299" s="12" t="s">
        <v>99</v>
      </c>
      <c r="B1299" s="5" t="s">
        <v>77</v>
      </c>
      <c r="C1299" s="11">
        <v>0.659</v>
      </c>
      <c r="D1299" s="11">
        <v>31.0</v>
      </c>
      <c r="E1299" s="8"/>
      <c r="F1299" s="11">
        <v>270.0</v>
      </c>
      <c r="G1299" s="11">
        <v>0.031</v>
      </c>
      <c r="H1299" s="11">
        <v>0.744</v>
      </c>
      <c r="I1299" s="9" t="s">
        <v>71</v>
      </c>
    </row>
    <row r="1300">
      <c r="A1300" s="12" t="s">
        <v>137</v>
      </c>
      <c r="B1300" s="5" t="s">
        <v>77</v>
      </c>
      <c r="C1300" s="11">
        <v>0.845</v>
      </c>
      <c r="D1300" s="11">
        <v>84.0</v>
      </c>
      <c r="E1300" s="8"/>
      <c r="F1300" s="11">
        <v>216.0</v>
      </c>
      <c r="G1300" s="11">
        <v>0.006</v>
      </c>
      <c r="H1300" s="11">
        <v>0.032</v>
      </c>
      <c r="I1300" s="9" t="s">
        <v>71</v>
      </c>
    </row>
    <row r="1301">
      <c r="A1301" s="12" t="s">
        <v>156</v>
      </c>
      <c r="B1301" s="5" t="s">
        <v>77</v>
      </c>
      <c r="C1301" s="11">
        <v>0.459</v>
      </c>
      <c r="D1301" s="11">
        <v>216.0</v>
      </c>
      <c r="E1301" s="8"/>
      <c r="F1301" s="11">
        <v>208.0</v>
      </c>
      <c r="G1301" s="11">
        <v>0.025</v>
      </c>
      <c r="H1301" s="11">
        <v>0.427</v>
      </c>
      <c r="I1301" s="9" t="s">
        <v>71</v>
      </c>
    </row>
    <row r="1302">
      <c r="A1302" s="12" t="s">
        <v>111</v>
      </c>
      <c r="B1302" s="5" t="s">
        <v>77</v>
      </c>
      <c r="C1302" s="11">
        <v>0.488</v>
      </c>
      <c r="D1302" s="11">
        <v>19.0</v>
      </c>
      <c r="E1302" s="8"/>
      <c r="F1302" s="11">
        <v>654.0</v>
      </c>
      <c r="G1302" s="11">
        <v>0.043</v>
      </c>
      <c r="H1302" s="11">
        <v>0.419</v>
      </c>
      <c r="I1302" s="9" t="s">
        <v>71</v>
      </c>
    </row>
    <row r="1303">
      <c r="A1303" s="12" t="s">
        <v>120</v>
      </c>
      <c r="B1303" s="5" t="s">
        <v>77</v>
      </c>
      <c r="C1303" s="11">
        <v>0.663</v>
      </c>
      <c r="D1303" s="11">
        <v>161.0</v>
      </c>
      <c r="E1303" s="8"/>
      <c r="F1303" s="11">
        <v>606.0</v>
      </c>
      <c r="G1303" s="11">
        <v>0.05</v>
      </c>
      <c r="H1303" s="11">
        <v>0.904</v>
      </c>
      <c r="I1303" s="9" t="s">
        <v>71</v>
      </c>
    </row>
    <row r="1304">
      <c r="A1304" s="12" t="s">
        <v>237</v>
      </c>
      <c r="B1304" s="5" t="s">
        <v>77</v>
      </c>
      <c r="C1304" s="11">
        <v>0.455</v>
      </c>
      <c r="D1304" s="11">
        <v>9.0</v>
      </c>
      <c r="E1304" s="8"/>
      <c r="F1304" s="11">
        <v>666.0</v>
      </c>
      <c r="G1304" s="11">
        <v>0.16</v>
      </c>
      <c r="H1304" s="11">
        <v>0.644</v>
      </c>
      <c r="I1304" s="9" t="s">
        <v>71</v>
      </c>
    </row>
    <row r="1305">
      <c r="A1305" s="12" t="s">
        <v>206</v>
      </c>
      <c r="B1305" s="5" t="s">
        <v>77</v>
      </c>
      <c r="C1305" s="11">
        <v>0.375</v>
      </c>
      <c r="D1305" s="11">
        <v>13.0</v>
      </c>
      <c r="E1305" s="8"/>
      <c r="F1305" s="11">
        <v>230.0</v>
      </c>
      <c r="G1305" s="11">
        <v>0.042</v>
      </c>
      <c r="H1305" s="11">
        <v>0.301</v>
      </c>
      <c r="I1305" s="9" t="s">
        <v>71</v>
      </c>
    </row>
    <row r="1306">
      <c r="A1306" s="12" t="s">
        <v>191</v>
      </c>
      <c r="B1306" s="5" t="s">
        <v>77</v>
      </c>
      <c r="C1306" s="11">
        <v>0.259</v>
      </c>
      <c r="D1306" s="11">
        <v>39.0</v>
      </c>
      <c r="E1306" s="8"/>
      <c r="F1306" s="11">
        <v>157.0</v>
      </c>
      <c r="G1306" s="11">
        <v>0.023</v>
      </c>
      <c r="H1306" s="11">
        <v>0.208</v>
      </c>
      <c r="I1306" s="9" t="s">
        <v>71</v>
      </c>
    </row>
    <row r="1307">
      <c r="A1307" s="12" t="s">
        <v>263</v>
      </c>
      <c r="B1307" s="5" t="s">
        <v>77</v>
      </c>
      <c r="C1307" s="11">
        <v>0.444</v>
      </c>
      <c r="D1307" s="11">
        <v>26.0</v>
      </c>
      <c r="E1307" s="8"/>
      <c r="F1307" s="11">
        <v>172.0</v>
      </c>
      <c r="G1307" s="11">
        <v>0.029</v>
      </c>
      <c r="H1307" s="11">
        <v>0.467</v>
      </c>
      <c r="I1307" s="9" t="s">
        <v>71</v>
      </c>
    </row>
    <row r="1308">
      <c r="A1308" s="12" t="s">
        <v>215</v>
      </c>
      <c r="B1308" s="5" t="s">
        <v>77</v>
      </c>
      <c r="C1308" s="11">
        <v>0.322</v>
      </c>
      <c r="D1308" s="11">
        <v>25.0</v>
      </c>
      <c r="E1308" s="8"/>
      <c r="F1308" s="11">
        <v>938.0</v>
      </c>
      <c r="G1308" s="11">
        <v>0.24</v>
      </c>
      <c r="H1308" s="11">
        <v>0.547</v>
      </c>
      <c r="I1308" s="9" t="s">
        <v>71</v>
      </c>
    </row>
    <row r="1309">
      <c r="A1309" s="12" t="s">
        <v>284</v>
      </c>
      <c r="B1309" s="5" t="s">
        <v>77</v>
      </c>
      <c r="C1309" s="11">
        <v>0.143</v>
      </c>
      <c r="D1309" s="11">
        <v>18.0</v>
      </c>
      <c r="E1309" s="8"/>
      <c r="F1309" s="11">
        <v>183.0</v>
      </c>
      <c r="G1309" s="11">
        <v>0.1</v>
      </c>
      <c r="H1309" s="11">
        <v>0.412</v>
      </c>
      <c r="I1309" s="9" t="s">
        <v>71</v>
      </c>
    </row>
    <row r="1310">
      <c r="A1310" s="12" t="s">
        <v>108</v>
      </c>
      <c r="B1310" s="5" t="s">
        <v>77</v>
      </c>
      <c r="C1310" s="11">
        <v>0.448</v>
      </c>
      <c r="D1310" s="11">
        <v>14.0</v>
      </c>
      <c r="E1310" s="8"/>
      <c r="F1310" s="11">
        <v>270.0</v>
      </c>
      <c r="G1310" s="11">
        <v>0.024</v>
      </c>
      <c r="H1310" s="11">
        <v>0.367</v>
      </c>
      <c r="I1310" s="9" t="s">
        <v>71</v>
      </c>
    </row>
    <row r="1311">
      <c r="A1311" s="12" t="s">
        <v>146</v>
      </c>
      <c r="B1311" s="5" t="s">
        <v>77</v>
      </c>
      <c r="C1311" s="11">
        <v>2.921</v>
      </c>
      <c r="D1311" s="11">
        <v>27.0</v>
      </c>
      <c r="E1311" s="8"/>
      <c r="F1311" s="11">
        <v>376.0</v>
      </c>
      <c r="G1311" s="11">
        <v>0.092</v>
      </c>
      <c r="H1311" s="11">
        <v>0.88</v>
      </c>
      <c r="I1311" s="9" t="s">
        <v>71</v>
      </c>
    </row>
    <row r="1312">
      <c r="A1312" s="12" t="s">
        <v>121</v>
      </c>
      <c r="B1312" s="5" t="s">
        <v>77</v>
      </c>
      <c r="C1312" s="11">
        <v>3.391</v>
      </c>
      <c r="D1312" s="11">
        <v>84.0</v>
      </c>
      <c r="E1312" s="8"/>
      <c r="F1312" s="11">
        <v>336.0</v>
      </c>
      <c r="G1312" s="11">
        <v>0.007</v>
      </c>
      <c r="H1312" s="11">
        <v>0.19</v>
      </c>
      <c r="I1312" s="9" t="s">
        <v>71</v>
      </c>
    </row>
    <row r="1313">
      <c r="A1313" s="12" t="s">
        <v>109</v>
      </c>
      <c r="B1313" s="5" t="s">
        <v>77</v>
      </c>
      <c r="C1313" s="11">
        <v>1.545</v>
      </c>
      <c r="D1313" s="11">
        <v>13.0</v>
      </c>
      <c r="E1313" s="8"/>
      <c r="F1313" s="11">
        <v>211.0</v>
      </c>
      <c r="G1313" s="11">
        <v>0.01</v>
      </c>
      <c r="H1313" s="11">
        <v>0.182</v>
      </c>
      <c r="I1313" s="9" t="s">
        <v>71</v>
      </c>
    </row>
    <row r="1314">
      <c r="A1314" s="12" t="s">
        <v>246</v>
      </c>
      <c r="B1314" s="5" t="s">
        <v>77</v>
      </c>
      <c r="C1314" s="8"/>
      <c r="D1314" s="8"/>
      <c r="E1314" s="8"/>
      <c r="F1314" s="8"/>
      <c r="G1314" s="8"/>
      <c r="H1314" s="11">
        <v>0.067</v>
      </c>
      <c r="I1314" s="9" t="s">
        <v>71</v>
      </c>
    </row>
    <row r="1315">
      <c r="A1315" s="12" t="s">
        <v>273</v>
      </c>
      <c r="B1315" s="5" t="s">
        <v>77</v>
      </c>
      <c r="C1315" s="11">
        <v>0.35</v>
      </c>
      <c r="D1315" s="11">
        <v>24.0</v>
      </c>
      <c r="E1315" s="8"/>
      <c r="F1315" s="11">
        <v>161.0</v>
      </c>
      <c r="G1315" s="11">
        <v>0.125</v>
      </c>
      <c r="H1315" s="11">
        <v>0.377</v>
      </c>
      <c r="I1315" s="9" t="s">
        <v>71</v>
      </c>
    </row>
    <row r="1316">
      <c r="A1316" s="12" t="s">
        <v>82</v>
      </c>
      <c r="B1316" s="5" t="s">
        <v>77</v>
      </c>
      <c r="C1316" s="11">
        <v>0.521</v>
      </c>
      <c r="D1316" s="11">
        <v>66.0</v>
      </c>
      <c r="E1316" s="8"/>
      <c r="F1316" s="11">
        <v>282.0</v>
      </c>
      <c r="G1316" s="11">
        <v>0.1</v>
      </c>
      <c r="H1316" s="11">
        <v>0.481</v>
      </c>
      <c r="I1316" s="9" t="s">
        <v>71</v>
      </c>
    </row>
    <row r="1317">
      <c r="A1317" s="12" t="s">
        <v>115</v>
      </c>
      <c r="B1317" s="5" t="s">
        <v>77</v>
      </c>
      <c r="C1317" s="11">
        <v>0.758</v>
      </c>
      <c r="D1317" s="11">
        <v>64.0</v>
      </c>
      <c r="E1317" s="8"/>
      <c r="F1317" s="11">
        <v>732.0</v>
      </c>
      <c r="G1317" s="11">
        <v>0.017</v>
      </c>
      <c r="H1317" s="11">
        <v>0.245</v>
      </c>
      <c r="I1317" s="9" t="s">
        <v>71</v>
      </c>
    </row>
    <row r="1318">
      <c r="A1318" s="12" t="s">
        <v>194</v>
      </c>
      <c r="B1318" s="5" t="s">
        <v>77</v>
      </c>
      <c r="C1318" s="11">
        <v>0.514</v>
      </c>
      <c r="D1318" s="11">
        <v>8.0</v>
      </c>
      <c r="E1318" s="8"/>
      <c r="F1318" s="11">
        <v>270.0</v>
      </c>
      <c r="G1318" s="11">
        <v>0.019</v>
      </c>
      <c r="H1318" s="11">
        <v>0.532</v>
      </c>
      <c r="I1318" s="9" t="s">
        <v>71</v>
      </c>
    </row>
    <row r="1319">
      <c r="A1319" s="12" t="s">
        <v>214</v>
      </c>
      <c r="B1319" s="5" t="s">
        <v>77</v>
      </c>
      <c r="C1319" s="11">
        <v>0.465</v>
      </c>
      <c r="D1319" s="11">
        <v>17.0</v>
      </c>
      <c r="E1319" s="8"/>
      <c r="F1319" s="11">
        <v>270.0</v>
      </c>
      <c r="G1319" s="11">
        <v>0.008</v>
      </c>
      <c r="H1319" s="11">
        <v>0.231</v>
      </c>
      <c r="I1319" s="9" t="s">
        <v>71</v>
      </c>
    </row>
    <row r="1320">
      <c r="A1320" s="12" t="s">
        <v>198</v>
      </c>
      <c r="B1320" s="5" t="s">
        <v>77</v>
      </c>
      <c r="C1320" s="11">
        <v>0.277</v>
      </c>
      <c r="D1320" s="11">
        <v>6.0</v>
      </c>
      <c r="E1320" s="8"/>
      <c r="F1320" s="11">
        <v>161.0</v>
      </c>
      <c r="G1320" s="11">
        <v>0.35</v>
      </c>
      <c r="H1320" s="11">
        <v>1.048</v>
      </c>
      <c r="I1320" s="9" t="s">
        <v>72</v>
      </c>
    </row>
    <row r="1321">
      <c r="A1321" s="12" t="s">
        <v>239</v>
      </c>
      <c r="B1321" s="5" t="s">
        <v>77</v>
      </c>
      <c r="C1321" s="11">
        <v>0.322</v>
      </c>
      <c r="D1321" s="11">
        <v>39.0</v>
      </c>
      <c r="E1321" s="8"/>
      <c r="F1321" s="11">
        <v>76.0</v>
      </c>
      <c r="G1321" s="11">
        <v>0.432</v>
      </c>
      <c r="H1321" s="11">
        <v>1.379</v>
      </c>
      <c r="I1321" s="9" t="s">
        <v>72</v>
      </c>
    </row>
    <row r="1322">
      <c r="A1322" s="12" t="s">
        <v>269</v>
      </c>
      <c r="B1322" s="5" t="s">
        <v>77</v>
      </c>
      <c r="C1322" s="11">
        <v>0.624</v>
      </c>
      <c r="D1322" s="11">
        <v>11.0</v>
      </c>
      <c r="E1322" s="8"/>
      <c r="F1322" s="11">
        <v>144.0</v>
      </c>
      <c r="G1322" s="11">
        <v>0.391</v>
      </c>
      <c r="H1322" s="11">
        <v>1.152</v>
      </c>
      <c r="I1322" s="9" t="s">
        <v>72</v>
      </c>
    </row>
    <row r="1323">
      <c r="A1323" s="12" t="s">
        <v>247</v>
      </c>
      <c r="B1323" s="5" t="s">
        <v>77</v>
      </c>
      <c r="C1323" s="11">
        <v>0.324</v>
      </c>
      <c r="D1323" s="11">
        <v>19.0</v>
      </c>
      <c r="E1323" s="8"/>
      <c r="F1323" s="11">
        <v>200.0</v>
      </c>
      <c r="G1323" s="11">
        <v>0.34</v>
      </c>
      <c r="H1323" s="11">
        <v>1.232</v>
      </c>
      <c r="I1323" s="9" t="s">
        <v>72</v>
      </c>
    </row>
    <row r="1324">
      <c r="A1324" s="12" t="s">
        <v>205</v>
      </c>
      <c r="B1324" s="5" t="s">
        <v>77</v>
      </c>
      <c r="C1324" s="11">
        <v>0.496</v>
      </c>
      <c r="D1324" s="11">
        <v>12.0</v>
      </c>
      <c r="E1324" s="8"/>
      <c r="F1324" s="11">
        <v>238.0</v>
      </c>
      <c r="G1324" s="11">
        <v>0.461</v>
      </c>
      <c r="H1324" s="11">
        <v>1.14</v>
      </c>
      <c r="I1324" s="9" t="s">
        <v>72</v>
      </c>
    </row>
    <row r="1325">
      <c r="A1325" s="12" t="s">
        <v>185</v>
      </c>
      <c r="B1325" s="5" t="s">
        <v>77</v>
      </c>
      <c r="C1325" s="8"/>
      <c r="D1325" s="8"/>
      <c r="E1325" s="8"/>
      <c r="F1325" s="8"/>
      <c r="G1325" s="11">
        <v>0.14</v>
      </c>
      <c r="H1325" s="11">
        <v>1.638</v>
      </c>
      <c r="I1325" s="9" t="s">
        <v>72</v>
      </c>
    </row>
    <row r="1326">
      <c r="A1326" s="12" t="s">
        <v>104</v>
      </c>
      <c r="B1326" s="5" t="s">
        <v>77</v>
      </c>
      <c r="C1326" s="11">
        <v>0.195</v>
      </c>
      <c r="D1326" s="11">
        <v>60.0</v>
      </c>
      <c r="E1326" s="8"/>
      <c r="F1326" s="11">
        <v>152.0</v>
      </c>
      <c r="G1326" s="11">
        <v>0.08</v>
      </c>
      <c r="H1326" s="11">
        <v>1.46</v>
      </c>
      <c r="I1326" s="9" t="s">
        <v>72</v>
      </c>
    </row>
    <row r="1327">
      <c r="A1327" s="12" t="s">
        <v>134</v>
      </c>
      <c r="B1327" s="5" t="s">
        <v>77</v>
      </c>
      <c r="C1327" s="11">
        <v>0.436</v>
      </c>
      <c r="D1327" s="11">
        <v>8.0</v>
      </c>
      <c r="E1327" s="8"/>
      <c r="F1327" s="11">
        <v>433.0</v>
      </c>
      <c r="G1327" s="11">
        <v>0.398</v>
      </c>
      <c r="H1327" s="11">
        <v>1.051</v>
      </c>
      <c r="I1327" s="9" t="s">
        <v>72</v>
      </c>
    </row>
    <row r="1328">
      <c r="A1328" s="12" t="s">
        <v>76</v>
      </c>
      <c r="B1328" s="5" t="s">
        <v>77</v>
      </c>
      <c r="C1328" s="11">
        <v>0.72</v>
      </c>
      <c r="D1328" s="11">
        <v>25.0</v>
      </c>
      <c r="E1328" s="8"/>
      <c r="F1328" s="11">
        <v>451.0</v>
      </c>
      <c r="G1328" s="11">
        <v>0.14</v>
      </c>
      <c r="H1328" s="11">
        <v>0.943</v>
      </c>
      <c r="I1328" s="9" t="s">
        <v>72</v>
      </c>
    </row>
    <row r="1329">
      <c r="A1329" s="12" t="s">
        <v>208</v>
      </c>
      <c r="B1329" s="5" t="s">
        <v>77</v>
      </c>
      <c r="C1329" s="11">
        <v>0.218</v>
      </c>
      <c r="D1329" s="11">
        <v>66.0</v>
      </c>
      <c r="E1329" s="8"/>
      <c r="F1329" s="11">
        <v>339.0</v>
      </c>
      <c r="G1329" s="11">
        <v>0.12</v>
      </c>
      <c r="H1329" s="11">
        <v>0.99</v>
      </c>
      <c r="I1329" s="9" t="s">
        <v>72</v>
      </c>
    </row>
    <row r="1330">
      <c r="A1330" s="12" t="s">
        <v>183</v>
      </c>
      <c r="B1330" s="5" t="s">
        <v>77</v>
      </c>
      <c r="C1330" s="11">
        <v>0.16</v>
      </c>
      <c r="D1330" s="11">
        <v>40.0</v>
      </c>
      <c r="E1330" s="8"/>
      <c r="F1330" s="11">
        <v>324.0</v>
      </c>
      <c r="G1330" s="11">
        <v>0.042</v>
      </c>
      <c r="H1330" s="11">
        <v>0.607</v>
      </c>
      <c r="I1330" s="9" t="s">
        <v>72</v>
      </c>
    </row>
    <row r="1331">
      <c r="A1331" s="12" t="s">
        <v>130</v>
      </c>
      <c r="B1331" s="5" t="s">
        <v>77</v>
      </c>
      <c r="C1331" s="11">
        <v>0.378</v>
      </c>
      <c r="D1331" s="11">
        <v>37.0</v>
      </c>
      <c r="E1331" s="8"/>
      <c r="F1331" s="11">
        <v>82.0</v>
      </c>
      <c r="G1331" s="11">
        <v>0.07</v>
      </c>
      <c r="H1331" s="11">
        <v>0.228</v>
      </c>
      <c r="I1331" s="9" t="s">
        <v>72</v>
      </c>
    </row>
    <row r="1332">
      <c r="A1332" s="12" t="s">
        <v>258</v>
      </c>
      <c r="B1332" s="5" t="s">
        <v>77</v>
      </c>
      <c r="C1332" s="11">
        <v>0.365</v>
      </c>
      <c r="D1332" s="11">
        <v>56.0</v>
      </c>
      <c r="E1332" s="8"/>
      <c r="F1332" s="11">
        <v>104.0</v>
      </c>
      <c r="G1332" s="11">
        <v>0.181</v>
      </c>
      <c r="H1332" s="11">
        <v>0.632</v>
      </c>
      <c r="I1332" s="9" t="s">
        <v>72</v>
      </c>
    </row>
    <row r="1333">
      <c r="A1333" s="12" t="s">
        <v>285</v>
      </c>
      <c r="B1333" s="5" t="s">
        <v>77</v>
      </c>
      <c r="C1333" s="11">
        <v>0.343</v>
      </c>
      <c r="D1333" s="11">
        <v>90.0</v>
      </c>
      <c r="E1333" s="8"/>
      <c r="F1333" s="11">
        <v>242.0</v>
      </c>
      <c r="G1333" s="11">
        <v>0.157</v>
      </c>
      <c r="H1333" s="11">
        <v>0.689</v>
      </c>
      <c r="I1333" s="9" t="s">
        <v>72</v>
      </c>
    </row>
    <row r="1334">
      <c r="A1334" s="12" t="s">
        <v>149</v>
      </c>
      <c r="B1334" s="5" t="s">
        <v>77</v>
      </c>
      <c r="C1334" s="11">
        <v>0.334</v>
      </c>
      <c r="D1334" s="11">
        <v>12.0</v>
      </c>
      <c r="E1334" s="8"/>
      <c r="F1334" s="11">
        <v>224.0</v>
      </c>
      <c r="G1334" s="11">
        <v>0.141</v>
      </c>
      <c r="H1334" s="11">
        <v>0.853</v>
      </c>
      <c r="I1334" s="9" t="s">
        <v>72</v>
      </c>
    </row>
    <row r="1335">
      <c r="A1335" s="12" t="s">
        <v>145</v>
      </c>
      <c r="B1335" s="5" t="s">
        <v>77</v>
      </c>
      <c r="C1335" s="11">
        <v>0.435</v>
      </c>
      <c r="D1335" s="11">
        <v>57.0</v>
      </c>
      <c r="E1335" s="8"/>
      <c r="F1335" s="11">
        <v>488.0</v>
      </c>
      <c r="G1335" s="11">
        <v>0.08</v>
      </c>
      <c r="H1335" s="11">
        <v>1.487</v>
      </c>
      <c r="I1335" s="9" t="s">
        <v>72</v>
      </c>
    </row>
    <row r="1336">
      <c r="A1336" s="12" t="s">
        <v>256</v>
      </c>
      <c r="B1336" s="5" t="s">
        <v>77</v>
      </c>
      <c r="C1336" s="11">
        <v>0.361</v>
      </c>
      <c r="D1336" s="11">
        <v>36.0</v>
      </c>
      <c r="E1336" s="8"/>
      <c r="F1336" s="11">
        <v>180.0</v>
      </c>
      <c r="G1336" s="11">
        <v>0.173</v>
      </c>
      <c r="H1336" s="11">
        <v>0.688</v>
      </c>
      <c r="I1336" s="9" t="s">
        <v>72</v>
      </c>
    </row>
    <row r="1337">
      <c r="A1337" s="12" t="s">
        <v>139</v>
      </c>
      <c r="B1337" s="5" t="s">
        <v>77</v>
      </c>
      <c r="C1337" s="11">
        <v>0.303</v>
      </c>
      <c r="D1337" s="11">
        <v>15.0</v>
      </c>
      <c r="E1337" s="8"/>
      <c r="F1337" s="11">
        <v>198.0</v>
      </c>
      <c r="G1337" s="11">
        <v>0.011</v>
      </c>
      <c r="H1337" s="11">
        <v>0.158</v>
      </c>
      <c r="I1337" s="9" t="s">
        <v>72</v>
      </c>
    </row>
    <row r="1338">
      <c r="A1338" s="12" t="s">
        <v>114</v>
      </c>
      <c r="B1338" s="5" t="s">
        <v>77</v>
      </c>
      <c r="C1338" s="11">
        <v>0.546</v>
      </c>
      <c r="D1338" s="11">
        <v>22.0</v>
      </c>
      <c r="E1338" s="8"/>
      <c r="F1338" s="11">
        <v>504.0</v>
      </c>
      <c r="G1338" s="11">
        <v>0.022</v>
      </c>
      <c r="H1338" s="11">
        <v>0.224</v>
      </c>
      <c r="I1338" s="9" t="s">
        <v>72</v>
      </c>
    </row>
    <row r="1339">
      <c r="A1339" s="12" t="s">
        <v>197</v>
      </c>
      <c r="B1339" s="5" t="s">
        <v>77</v>
      </c>
      <c r="C1339" s="11">
        <v>0.682</v>
      </c>
      <c r="D1339" s="11">
        <v>19.0</v>
      </c>
      <c r="E1339" s="8"/>
      <c r="F1339" s="11">
        <v>696.0</v>
      </c>
      <c r="G1339" s="11">
        <v>0.045</v>
      </c>
      <c r="H1339" s="11">
        <v>0.895</v>
      </c>
      <c r="I1339" s="9" t="s">
        <v>72</v>
      </c>
    </row>
    <row r="1340">
      <c r="A1340" s="12" t="s">
        <v>190</v>
      </c>
      <c r="B1340" s="5" t="s">
        <v>77</v>
      </c>
      <c r="C1340" s="11">
        <v>0.371</v>
      </c>
      <c r="D1340" s="11">
        <v>8.0</v>
      </c>
      <c r="E1340" s="8"/>
      <c r="F1340" s="11">
        <v>201.0</v>
      </c>
      <c r="G1340" s="11">
        <v>0.019</v>
      </c>
      <c r="H1340" s="11">
        <v>0.4</v>
      </c>
      <c r="I1340" s="9" t="s">
        <v>72</v>
      </c>
    </row>
    <row r="1341">
      <c r="A1341" s="12" t="s">
        <v>136</v>
      </c>
      <c r="B1341" s="5" t="s">
        <v>77</v>
      </c>
      <c r="C1341" s="11">
        <v>0.441</v>
      </c>
      <c r="D1341" s="11">
        <v>135.0</v>
      </c>
      <c r="E1341" s="8"/>
      <c r="F1341" s="11">
        <v>492.0</v>
      </c>
      <c r="G1341" s="11">
        <v>0.115</v>
      </c>
      <c r="H1341" s="11">
        <v>0.669</v>
      </c>
      <c r="I1341" s="9" t="s">
        <v>72</v>
      </c>
    </row>
    <row r="1342">
      <c r="A1342" s="12" t="s">
        <v>119</v>
      </c>
      <c r="B1342" s="5" t="s">
        <v>77</v>
      </c>
      <c r="C1342" s="11">
        <v>2.179</v>
      </c>
      <c r="D1342" s="11">
        <v>22.0</v>
      </c>
      <c r="E1342" s="8"/>
      <c r="F1342" s="11">
        <v>100.0</v>
      </c>
      <c r="G1342" s="11">
        <v>0.055</v>
      </c>
      <c r="H1342" s="11">
        <v>0.309</v>
      </c>
      <c r="I1342" s="9" t="s">
        <v>72</v>
      </c>
    </row>
    <row r="1343">
      <c r="A1343" s="12" t="s">
        <v>175</v>
      </c>
      <c r="B1343" s="5" t="s">
        <v>77</v>
      </c>
      <c r="C1343" s="11">
        <v>0.493</v>
      </c>
      <c r="D1343" s="11">
        <v>33.0</v>
      </c>
      <c r="E1343" s="8"/>
      <c r="F1343" s="11">
        <v>393.0</v>
      </c>
      <c r="G1343" s="11">
        <v>0.28</v>
      </c>
      <c r="H1343" s="11">
        <v>0.668</v>
      </c>
      <c r="I1343" s="9" t="s">
        <v>72</v>
      </c>
    </row>
    <row r="1344">
      <c r="A1344" s="12" t="s">
        <v>232</v>
      </c>
      <c r="B1344" s="5" t="s">
        <v>77</v>
      </c>
      <c r="C1344" s="11">
        <v>0.31</v>
      </c>
      <c r="D1344" s="11">
        <v>3.0</v>
      </c>
      <c r="E1344" s="8"/>
      <c r="F1344" s="11">
        <v>148.0</v>
      </c>
      <c r="G1344" s="11">
        <v>0.07</v>
      </c>
      <c r="H1344" s="11">
        <v>0.399</v>
      </c>
      <c r="I1344" s="9" t="s">
        <v>72</v>
      </c>
    </row>
    <row r="1345">
      <c r="A1345" s="12" t="s">
        <v>235</v>
      </c>
      <c r="B1345" s="5" t="s">
        <v>77</v>
      </c>
      <c r="C1345" s="11">
        <v>0.325</v>
      </c>
      <c r="D1345" s="11">
        <v>10.0</v>
      </c>
      <c r="E1345" s="8"/>
      <c r="F1345" s="11">
        <v>424.0</v>
      </c>
      <c r="G1345" s="11">
        <v>0.202</v>
      </c>
      <c r="H1345" s="11">
        <v>0.628</v>
      </c>
      <c r="I1345" s="9" t="s">
        <v>72</v>
      </c>
    </row>
    <row r="1346">
      <c r="A1346" s="12" t="s">
        <v>123</v>
      </c>
      <c r="B1346" s="5" t="s">
        <v>77</v>
      </c>
      <c r="C1346" s="11">
        <v>0.44</v>
      </c>
      <c r="D1346" s="11">
        <v>32.0</v>
      </c>
      <c r="E1346" s="8"/>
      <c r="F1346" s="11">
        <v>270.0</v>
      </c>
      <c r="G1346" s="11">
        <v>0.022</v>
      </c>
      <c r="H1346" s="11">
        <v>0.894</v>
      </c>
      <c r="I1346" s="9" t="s">
        <v>72</v>
      </c>
    </row>
    <row r="1347">
      <c r="A1347" s="12" t="s">
        <v>249</v>
      </c>
      <c r="B1347" s="5" t="s">
        <v>77</v>
      </c>
      <c r="C1347" s="8"/>
      <c r="D1347" s="8"/>
      <c r="E1347" s="8"/>
      <c r="F1347" s="8"/>
      <c r="G1347" s="8"/>
      <c r="H1347" s="11">
        <v>0.173</v>
      </c>
      <c r="I1347" s="9" t="s">
        <v>72</v>
      </c>
    </row>
    <row r="1348">
      <c r="A1348" s="12" t="s">
        <v>266</v>
      </c>
      <c r="B1348" s="5" t="s">
        <v>77</v>
      </c>
      <c r="C1348" s="11">
        <v>0.489</v>
      </c>
      <c r="D1348" s="11">
        <v>84.0</v>
      </c>
      <c r="E1348" s="8"/>
      <c r="F1348" s="11">
        <v>270.0</v>
      </c>
      <c r="G1348" s="11">
        <v>0.035</v>
      </c>
      <c r="H1348" s="11">
        <v>0.416</v>
      </c>
      <c r="I1348" s="9" t="s">
        <v>72</v>
      </c>
    </row>
    <row r="1349">
      <c r="A1349" s="12" t="s">
        <v>99</v>
      </c>
      <c r="B1349" s="5" t="s">
        <v>77</v>
      </c>
      <c r="C1349" s="11">
        <v>0.659</v>
      </c>
      <c r="D1349" s="11">
        <v>29.0</v>
      </c>
      <c r="E1349" s="8"/>
      <c r="F1349" s="11">
        <v>270.0</v>
      </c>
      <c r="G1349" s="11">
        <v>0.041</v>
      </c>
      <c r="H1349" s="11">
        <v>0.794</v>
      </c>
      <c r="I1349" s="9" t="s">
        <v>72</v>
      </c>
    </row>
    <row r="1350">
      <c r="A1350" s="12" t="s">
        <v>184</v>
      </c>
      <c r="B1350" s="5" t="s">
        <v>77</v>
      </c>
      <c r="C1350" s="11">
        <v>0.429</v>
      </c>
      <c r="D1350" s="11">
        <v>6.0</v>
      </c>
      <c r="E1350" s="8"/>
      <c r="F1350" s="11">
        <v>158.0</v>
      </c>
      <c r="G1350" s="11">
        <v>0.03</v>
      </c>
      <c r="H1350" s="11">
        <v>0.498</v>
      </c>
      <c r="I1350" s="9" t="s">
        <v>72</v>
      </c>
    </row>
    <row r="1351">
      <c r="A1351" s="12" t="s">
        <v>240</v>
      </c>
      <c r="B1351" s="5" t="s">
        <v>77</v>
      </c>
      <c r="C1351" s="11">
        <v>0.324</v>
      </c>
      <c r="D1351" s="11">
        <v>12.0</v>
      </c>
      <c r="E1351" s="8"/>
      <c r="F1351" s="11">
        <v>357.0</v>
      </c>
      <c r="G1351" s="11">
        <v>0.009</v>
      </c>
      <c r="H1351" s="11">
        <v>0.364</v>
      </c>
      <c r="I1351" s="9" t="s">
        <v>72</v>
      </c>
    </row>
    <row r="1352">
      <c r="A1352" s="12" t="s">
        <v>156</v>
      </c>
      <c r="B1352" s="5" t="s">
        <v>77</v>
      </c>
      <c r="C1352" s="11">
        <v>0.459</v>
      </c>
      <c r="D1352" s="11">
        <v>9.0</v>
      </c>
      <c r="E1352" s="8"/>
      <c r="F1352" s="11">
        <v>208.0</v>
      </c>
      <c r="G1352" s="11">
        <v>0.027</v>
      </c>
      <c r="H1352" s="11">
        <v>0.451</v>
      </c>
      <c r="I1352" s="9" t="s">
        <v>72</v>
      </c>
    </row>
    <row r="1353">
      <c r="A1353" s="12" t="s">
        <v>111</v>
      </c>
      <c r="B1353" s="5" t="s">
        <v>77</v>
      </c>
      <c r="C1353" s="11">
        <v>0.488</v>
      </c>
      <c r="D1353" s="11">
        <v>15.0</v>
      </c>
      <c r="E1353" s="8"/>
      <c r="F1353" s="11">
        <v>654.0</v>
      </c>
      <c r="G1353" s="11">
        <v>0.05</v>
      </c>
      <c r="H1353" s="11">
        <v>0.496</v>
      </c>
      <c r="I1353" s="9" t="s">
        <v>72</v>
      </c>
    </row>
    <row r="1354">
      <c r="A1354" s="12" t="s">
        <v>155</v>
      </c>
      <c r="B1354" s="5" t="s">
        <v>77</v>
      </c>
      <c r="C1354" s="11">
        <v>0.912</v>
      </c>
      <c r="D1354" s="11">
        <v>40.0</v>
      </c>
      <c r="E1354" s="8"/>
      <c r="F1354" s="11">
        <v>416.0</v>
      </c>
      <c r="G1354" s="11">
        <v>0.013</v>
      </c>
      <c r="H1354" s="11">
        <v>0.435</v>
      </c>
      <c r="I1354" s="9" t="s">
        <v>72</v>
      </c>
    </row>
    <row r="1355">
      <c r="A1355" s="12" t="s">
        <v>120</v>
      </c>
      <c r="B1355" s="5" t="s">
        <v>77</v>
      </c>
      <c r="C1355" s="11">
        <v>0.653</v>
      </c>
      <c r="D1355" s="11">
        <v>161.0</v>
      </c>
      <c r="E1355" s="8"/>
      <c r="F1355" s="11">
        <v>606.0</v>
      </c>
      <c r="G1355" s="11">
        <v>0.056</v>
      </c>
      <c r="H1355" s="11">
        <v>0.919</v>
      </c>
      <c r="I1355" s="9" t="s">
        <v>72</v>
      </c>
    </row>
    <row r="1356">
      <c r="A1356" s="12" t="s">
        <v>137</v>
      </c>
      <c r="B1356" s="5" t="s">
        <v>77</v>
      </c>
      <c r="C1356" s="11">
        <v>0.845</v>
      </c>
      <c r="D1356" s="11">
        <v>84.0</v>
      </c>
      <c r="E1356" s="8"/>
      <c r="F1356" s="11">
        <v>216.0</v>
      </c>
      <c r="G1356" s="11">
        <v>0.007</v>
      </c>
      <c r="H1356" s="11">
        <v>0.041</v>
      </c>
      <c r="I1356" s="9" t="s">
        <v>72</v>
      </c>
    </row>
    <row r="1357">
      <c r="A1357" s="12" t="s">
        <v>237</v>
      </c>
      <c r="B1357" s="5" t="s">
        <v>77</v>
      </c>
      <c r="C1357" s="11">
        <v>0.455</v>
      </c>
      <c r="D1357" s="11">
        <v>6.0</v>
      </c>
      <c r="E1357" s="8"/>
      <c r="F1357" s="11">
        <v>666.0</v>
      </c>
      <c r="G1357" s="11">
        <v>0.175</v>
      </c>
      <c r="H1357" s="11">
        <v>0.702</v>
      </c>
      <c r="I1357" s="9" t="s">
        <v>72</v>
      </c>
    </row>
    <row r="1358">
      <c r="A1358" s="12" t="s">
        <v>206</v>
      </c>
      <c r="B1358" s="5" t="s">
        <v>77</v>
      </c>
      <c r="C1358" s="11">
        <v>0.375</v>
      </c>
      <c r="D1358" s="11">
        <v>13.0</v>
      </c>
      <c r="E1358" s="8"/>
      <c r="F1358" s="11">
        <v>230.0</v>
      </c>
      <c r="G1358" s="11">
        <v>0.043</v>
      </c>
      <c r="H1358" s="11">
        <v>0.32</v>
      </c>
      <c r="I1358" s="9" t="s">
        <v>72</v>
      </c>
    </row>
    <row r="1359">
      <c r="A1359" s="12" t="s">
        <v>191</v>
      </c>
      <c r="B1359" s="5" t="s">
        <v>77</v>
      </c>
      <c r="C1359" s="11">
        <v>0.29</v>
      </c>
      <c r="D1359" s="11">
        <v>39.0</v>
      </c>
      <c r="E1359" s="8"/>
      <c r="F1359" s="11">
        <v>157.0</v>
      </c>
      <c r="G1359" s="11">
        <v>0.033</v>
      </c>
      <c r="H1359" s="11">
        <v>0.256</v>
      </c>
      <c r="I1359" s="9" t="s">
        <v>72</v>
      </c>
    </row>
    <row r="1360">
      <c r="A1360" s="12" t="s">
        <v>263</v>
      </c>
      <c r="B1360" s="5" t="s">
        <v>77</v>
      </c>
      <c r="C1360" s="11">
        <v>0.449</v>
      </c>
      <c r="D1360" s="11">
        <v>26.0</v>
      </c>
      <c r="E1360" s="8"/>
      <c r="F1360" s="11">
        <v>172.0</v>
      </c>
      <c r="G1360" s="11">
        <v>0.035</v>
      </c>
      <c r="H1360" s="11">
        <v>0.554</v>
      </c>
      <c r="I1360" s="9" t="s">
        <v>72</v>
      </c>
    </row>
    <row r="1361">
      <c r="A1361" s="12" t="s">
        <v>215</v>
      </c>
      <c r="B1361" s="5" t="s">
        <v>77</v>
      </c>
      <c r="C1361" s="11">
        <v>0.327</v>
      </c>
      <c r="D1361" s="11">
        <v>28.0</v>
      </c>
      <c r="E1361" s="8"/>
      <c r="F1361" s="11">
        <v>938.0</v>
      </c>
      <c r="G1361" s="11">
        <v>0.284</v>
      </c>
      <c r="H1361" s="11">
        <v>0.58</v>
      </c>
      <c r="I1361" s="9" t="s">
        <v>72</v>
      </c>
    </row>
    <row r="1362">
      <c r="A1362" s="12" t="s">
        <v>108</v>
      </c>
      <c r="B1362" s="5" t="s">
        <v>77</v>
      </c>
      <c r="C1362" s="11">
        <v>0.435</v>
      </c>
      <c r="D1362" s="11">
        <v>13.0</v>
      </c>
      <c r="E1362" s="8"/>
      <c r="F1362" s="11">
        <v>270.0</v>
      </c>
      <c r="G1362" s="11">
        <v>0.03</v>
      </c>
      <c r="H1362" s="11">
        <v>0.48</v>
      </c>
      <c r="I1362" s="9" t="s">
        <v>72</v>
      </c>
    </row>
    <row r="1363">
      <c r="A1363" s="12" t="s">
        <v>284</v>
      </c>
      <c r="B1363" s="5" t="s">
        <v>77</v>
      </c>
      <c r="C1363" s="11">
        <v>0.144</v>
      </c>
      <c r="D1363" s="11">
        <v>18.0</v>
      </c>
      <c r="E1363" s="8"/>
      <c r="F1363" s="11">
        <v>183.0</v>
      </c>
      <c r="G1363" s="11">
        <v>0.115</v>
      </c>
      <c r="H1363" s="11">
        <v>0.599</v>
      </c>
      <c r="I1363" s="9" t="s">
        <v>72</v>
      </c>
    </row>
    <row r="1364">
      <c r="A1364" s="12" t="s">
        <v>146</v>
      </c>
      <c r="B1364" s="5" t="s">
        <v>77</v>
      </c>
      <c r="C1364" s="11">
        <v>2.832</v>
      </c>
      <c r="D1364" s="11">
        <v>27.0</v>
      </c>
      <c r="E1364" s="8"/>
      <c r="F1364" s="11">
        <v>376.0</v>
      </c>
      <c r="G1364" s="11">
        <v>0.109</v>
      </c>
      <c r="H1364" s="11">
        <v>0.808</v>
      </c>
      <c r="I1364" s="9" t="s">
        <v>72</v>
      </c>
    </row>
    <row r="1365">
      <c r="A1365" s="12" t="s">
        <v>121</v>
      </c>
      <c r="B1365" s="5" t="s">
        <v>77</v>
      </c>
      <c r="C1365" s="11">
        <v>3.391</v>
      </c>
      <c r="D1365" s="11">
        <v>65.0</v>
      </c>
      <c r="E1365" s="8"/>
      <c r="F1365" s="11">
        <v>336.0</v>
      </c>
      <c r="G1365" s="11">
        <v>0.012</v>
      </c>
      <c r="H1365" s="11">
        <v>0.245</v>
      </c>
      <c r="I1365" s="9" t="s">
        <v>72</v>
      </c>
    </row>
    <row r="1366">
      <c r="A1366" s="12" t="s">
        <v>273</v>
      </c>
      <c r="B1366" s="5" t="s">
        <v>77</v>
      </c>
      <c r="C1366" s="11">
        <v>0.35</v>
      </c>
      <c r="D1366" s="11">
        <v>33.0</v>
      </c>
      <c r="E1366" s="8"/>
      <c r="F1366" s="11">
        <v>213.0</v>
      </c>
      <c r="G1366" s="11">
        <v>0.13</v>
      </c>
      <c r="H1366" s="11">
        <v>0.475</v>
      </c>
      <c r="I1366" s="9" t="s">
        <v>72</v>
      </c>
    </row>
    <row r="1367">
      <c r="A1367" s="12" t="s">
        <v>109</v>
      </c>
      <c r="B1367" s="5" t="s">
        <v>77</v>
      </c>
      <c r="C1367" s="11">
        <v>0.516</v>
      </c>
      <c r="D1367" s="11">
        <v>13.0</v>
      </c>
      <c r="E1367" s="8"/>
      <c r="F1367" s="11">
        <v>274.0</v>
      </c>
      <c r="G1367" s="11">
        <v>0.011</v>
      </c>
      <c r="H1367" s="11">
        <v>0.201</v>
      </c>
      <c r="I1367" s="9" t="s">
        <v>72</v>
      </c>
    </row>
    <row r="1368">
      <c r="A1368" s="12" t="s">
        <v>246</v>
      </c>
      <c r="B1368" s="5" t="s">
        <v>77</v>
      </c>
      <c r="C1368" s="8"/>
      <c r="D1368" s="8"/>
      <c r="E1368" s="8"/>
      <c r="F1368" s="8"/>
      <c r="G1368" s="11">
        <v>0.013</v>
      </c>
      <c r="H1368" s="11">
        <v>0.182</v>
      </c>
      <c r="I1368" s="9" t="s">
        <v>72</v>
      </c>
    </row>
    <row r="1369">
      <c r="A1369" s="12" t="s">
        <v>82</v>
      </c>
      <c r="B1369" s="5" t="s">
        <v>77</v>
      </c>
      <c r="C1369" s="11">
        <v>0.521</v>
      </c>
      <c r="D1369" s="11">
        <v>66.0</v>
      </c>
      <c r="E1369" s="8"/>
      <c r="F1369" s="11">
        <v>282.0</v>
      </c>
      <c r="G1369" s="11">
        <v>0.148</v>
      </c>
      <c r="H1369" s="11">
        <v>0.53</v>
      </c>
      <c r="I1369" s="9" t="s">
        <v>72</v>
      </c>
    </row>
    <row r="1370">
      <c r="A1370" s="12" t="s">
        <v>115</v>
      </c>
      <c r="B1370" s="5" t="s">
        <v>77</v>
      </c>
      <c r="C1370" s="11">
        <v>0.758</v>
      </c>
      <c r="D1370" s="11">
        <v>55.0</v>
      </c>
      <c r="E1370" s="8"/>
      <c r="F1370" s="11">
        <v>732.0</v>
      </c>
      <c r="G1370" s="11">
        <v>0.019</v>
      </c>
      <c r="H1370" s="11">
        <v>0.303</v>
      </c>
      <c r="I1370" s="9" t="s">
        <v>72</v>
      </c>
    </row>
    <row r="1371">
      <c r="A1371" s="12" t="s">
        <v>194</v>
      </c>
      <c r="B1371" s="5" t="s">
        <v>77</v>
      </c>
      <c r="C1371" s="11">
        <v>0.511</v>
      </c>
      <c r="D1371" s="11">
        <v>8.0</v>
      </c>
      <c r="E1371" s="8"/>
      <c r="F1371" s="11">
        <v>270.0</v>
      </c>
      <c r="G1371" s="11">
        <v>0.02</v>
      </c>
      <c r="H1371" s="11">
        <v>0.751</v>
      </c>
      <c r="I1371" s="9" t="s">
        <v>72</v>
      </c>
    </row>
    <row r="1372">
      <c r="A1372" s="12" t="s">
        <v>214</v>
      </c>
      <c r="B1372" s="5" t="s">
        <v>77</v>
      </c>
      <c r="C1372" s="11">
        <v>0.438</v>
      </c>
      <c r="D1372" s="11">
        <v>17.0</v>
      </c>
      <c r="E1372" s="8"/>
      <c r="F1372" s="11">
        <v>270.0</v>
      </c>
      <c r="G1372" s="11">
        <v>0.013</v>
      </c>
      <c r="H1372" s="11">
        <v>0.287</v>
      </c>
      <c r="I1372" s="9" t="s">
        <v>72</v>
      </c>
    </row>
    <row r="1373">
      <c r="A1373" s="12" t="s">
        <v>198</v>
      </c>
      <c r="B1373" s="5" t="s">
        <v>77</v>
      </c>
      <c r="C1373" s="11">
        <v>0.275</v>
      </c>
      <c r="D1373" s="11">
        <v>6.0</v>
      </c>
      <c r="E1373" s="11">
        <v>20.0</v>
      </c>
      <c r="F1373" s="11">
        <v>161.0</v>
      </c>
      <c r="G1373" s="11">
        <v>0.354</v>
      </c>
      <c r="H1373" s="11">
        <v>1.199</v>
      </c>
      <c r="I1373" s="9" t="s">
        <v>73</v>
      </c>
    </row>
    <row r="1374">
      <c r="A1374" s="12" t="s">
        <v>239</v>
      </c>
      <c r="B1374" s="5" t="s">
        <v>77</v>
      </c>
      <c r="C1374" s="11">
        <v>0.257</v>
      </c>
      <c r="D1374" s="11">
        <v>39.0</v>
      </c>
      <c r="E1374" s="11">
        <v>77.0</v>
      </c>
      <c r="F1374" s="11">
        <v>76.0</v>
      </c>
      <c r="G1374" s="11">
        <v>0.471</v>
      </c>
      <c r="H1374" s="11">
        <v>1.478</v>
      </c>
      <c r="I1374" s="9" t="s">
        <v>73</v>
      </c>
    </row>
    <row r="1375">
      <c r="A1375" s="12" t="s">
        <v>269</v>
      </c>
      <c r="B1375" s="5" t="s">
        <v>77</v>
      </c>
      <c r="C1375" s="11">
        <v>0.624</v>
      </c>
      <c r="D1375" s="11">
        <v>11.0</v>
      </c>
      <c r="E1375" s="11">
        <v>49.0</v>
      </c>
      <c r="F1375" s="11">
        <v>144.0</v>
      </c>
      <c r="G1375" s="11">
        <v>0.414</v>
      </c>
      <c r="H1375" s="11">
        <v>1.181</v>
      </c>
      <c r="I1375" s="9" t="s">
        <v>73</v>
      </c>
    </row>
    <row r="1376">
      <c r="A1376" s="12" t="s">
        <v>247</v>
      </c>
      <c r="B1376" s="5" t="s">
        <v>77</v>
      </c>
      <c r="C1376" s="11">
        <v>0.327</v>
      </c>
      <c r="D1376" s="11">
        <v>19.0</v>
      </c>
      <c r="E1376" s="11">
        <v>41.0</v>
      </c>
      <c r="F1376" s="11">
        <v>200.0</v>
      </c>
      <c r="G1376" s="11">
        <v>0.41</v>
      </c>
      <c r="H1376" s="11">
        <v>1.306</v>
      </c>
      <c r="I1376" s="9" t="s">
        <v>73</v>
      </c>
    </row>
    <row r="1377">
      <c r="A1377" s="12" t="s">
        <v>185</v>
      </c>
      <c r="B1377" s="5" t="s">
        <v>77</v>
      </c>
      <c r="C1377" s="11">
        <v>0.316</v>
      </c>
      <c r="D1377" s="11">
        <v>35.0</v>
      </c>
      <c r="E1377" s="11">
        <v>188.0</v>
      </c>
      <c r="F1377" s="11">
        <v>889.0</v>
      </c>
      <c r="G1377" s="8"/>
      <c r="H1377" s="11">
        <v>1.558</v>
      </c>
      <c r="I1377" s="9" t="s">
        <v>73</v>
      </c>
    </row>
    <row r="1378">
      <c r="A1378" s="12" t="s">
        <v>205</v>
      </c>
      <c r="B1378" s="5" t="s">
        <v>77</v>
      </c>
      <c r="C1378" s="11">
        <v>0.496</v>
      </c>
      <c r="D1378" s="11">
        <v>12.0</v>
      </c>
      <c r="E1378" s="11">
        <v>95.0</v>
      </c>
      <c r="F1378" s="11">
        <v>238.0</v>
      </c>
      <c r="G1378" s="11">
        <v>0.554</v>
      </c>
      <c r="H1378" s="11">
        <v>1.2</v>
      </c>
      <c r="I1378" s="9" t="s">
        <v>73</v>
      </c>
    </row>
    <row r="1379">
      <c r="A1379" s="12" t="s">
        <v>104</v>
      </c>
      <c r="B1379" s="5" t="s">
        <v>77</v>
      </c>
      <c r="C1379" s="11">
        <v>0.254</v>
      </c>
      <c r="D1379" s="11">
        <v>60.0</v>
      </c>
      <c r="E1379" s="11">
        <v>65.0</v>
      </c>
      <c r="F1379" s="11">
        <v>152.0</v>
      </c>
      <c r="G1379" s="11">
        <v>0.115</v>
      </c>
      <c r="H1379" s="11">
        <v>1.538</v>
      </c>
      <c r="I1379" s="9" t="s">
        <v>73</v>
      </c>
    </row>
    <row r="1380">
      <c r="A1380" s="12" t="s">
        <v>134</v>
      </c>
      <c r="B1380" s="5" t="s">
        <v>77</v>
      </c>
      <c r="C1380" s="11">
        <v>0.426</v>
      </c>
      <c r="D1380" s="11">
        <v>8.0</v>
      </c>
      <c r="E1380" s="11">
        <v>127.0</v>
      </c>
      <c r="F1380" s="11">
        <v>392.0</v>
      </c>
      <c r="G1380" s="11">
        <v>0.44</v>
      </c>
      <c r="H1380" s="11">
        <v>1.199</v>
      </c>
      <c r="I1380" s="9" t="s">
        <v>73</v>
      </c>
    </row>
    <row r="1381">
      <c r="A1381" s="12" t="s">
        <v>76</v>
      </c>
      <c r="B1381" s="5" t="s">
        <v>77</v>
      </c>
      <c r="C1381" s="11">
        <v>0.719</v>
      </c>
      <c r="D1381" s="11">
        <v>25.0</v>
      </c>
      <c r="E1381" s="11">
        <v>151.0</v>
      </c>
      <c r="F1381" s="11">
        <v>451.0</v>
      </c>
      <c r="G1381" s="11">
        <v>0.152</v>
      </c>
      <c r="H1381" s="11">
        <v>0.975</v>
      </c>
      <c r="I1381" s="9" t="s">
        <v>73</v>
      </c>
    </row>
    <row r="1382">
      <c r="A1382" s="12" t="s">
        <v>208</v>
      </c>
      <c r="B1382" s="5" t="s">
        <v>77</v>
      </c>
      <c r="C1382" s="11">
        <v>0.218</v>
      </c>
      <c r="D1382" s="11">
        <v>66.0</v>
      </c>
      <c r="E1382" s="11">
        <v>94.0</v>
      </c>
      <c r="F1382" s="11">
        <v>314.0</v>
      </c>
      <c r="G1382" s="11">
        <v>0.129</v>
      </c>
      <c r="H1382" s="11">
        <v>0.95</v>
      </c>
      <c r="I1382" s="9" t="s">
        <v>73</v>
      </c>
    </row>
    <row r="1383">
      <c r="A1383" s="12" t="s">
        <v>183</v>
      </c>
      <c r="B1383" s="5" t="s">
        <v>77</v>
      </c>
      <c r="C1383" s="11">
        <v>0.16</v>
      </c>
      <c r="D1383" s="11">
        <v>29.0</v>
      </c>
      <c r="E1383" s="11">
        <v>139.0</v>
      </c>
      <c r="F1383" s="11">
        <v>324.0</v>
      </c>
      <c r="G1383" s="11">
        <v>0.046</v>
      </c>
      <c r="H1383" s="11">
        <v>0.753</v>
      </c>
      <c r="I1383" s="9" t="s">
        <v>73</v>
      </c>
    </row>
    <row r="1384">
      <c r="A1384" s="12" t="s">
        <v>130</v>
      </c>
      <c r="B1384" s="5" t="s">
        <v>77</v>
      </c>
      <c r="C1384" s="11">
        <v>0.378</v>
      </c>
      <c r="D1384" s="11">
        <v>37.0</v>
      </c>
      <c r="E1384" s="11">
        <v>172.0</v>
      </c>
      <c r="F1384" s="11">
        <v>82.0</v>
      </c>
      <c r="G1384" s="11">
        <v>0.083</v>
      </c>
      <c r="H1384" s="11">
        <v>0.247</v>
      </c>
      <c r="I1384" s="9" t="s">
        <v>73</v>
      </c>
    </row>
    <row r="1385">
      <c r="A1385" s="12" t="s">
        <v>258</v>
      </c>
      <c r="B1385" s="5" t="s">
        <v>77</v>
      </c>
      <c r="C1385" s="11">
        <v>0.365</v>
      </c>
      <c r="D1385" s="11">
        <v>56.0</v>
      </c>
      <c r="E1385" s="11">
        <v>120.0</v>
      </c>
      <c r="F1385" s="11">
        <v>104.0</v>
      </c>
      <c r="G1385" s="11">
        <v>0.208</v>
      </c>
      <c r="H1385" s="11">
        <v>0.654</v>
      </c>
      <c r="I1385" s="9" t="s">
        <v>73</v>
      </c>
    </row>
    <row r="1386">
      <c r="A1386" s="12" t="s">
        <v>149</v>
      </c>
      <c r="B1386" s="5" t="s">
        <v>77</v>
      </c>
      <c r="C1386" s="11">
        <v>0.334</v>
      </c>
      <c r="D1386" s="11">
        <v>12.0</v>
      </c>
      <c r="E1386" s="11">
        <v>62.0</v>
      </c>
      <c r="F1386" s="11">
        <v>224.0</v>
      </c>
      <c r="G1386" s="11">
        <v>0.123</v>
      </c>
      <c r="H1386" s="11">
        <v>1.01</v>
      </c>
      <c r="I1386" s="9" t="s">
        <v>73</v>
      </c>
    </row>
    <row r="1387">
      <c r="A1387" s="12" t="s">
        <v>285</v>
      </c>
      <c r="B1387" s="5" t="s">
        <v>77</v>
      </c>
      <c r="C1387" s="11">
        <v>0.345</v>
      </c>
      <c r="D1387" s="11">
        <v>90.0</v>
      </c>
      <c r="E1387" s="11">
        <v>168.0</v>
      </c>
      <c r="F1387" s="11">
        <v>242.0</v>
      </c>
      <c r="G1387" s="11">
        <v>0.171</v>
      </c>
      <c r="H1387" s="11">
        <v>0.919</v>
      </c>
      <c r="I1387" s="9" t="s">
        <v>73</v>
      </c>
    </row>
    <row r="1388">
      <c r="A1388" s="12" t="s">
        <v>145</v>
      </c>
      <c r="B1388" s="5" t="s">
        <v>77</v>
      </c>
      <c r="C1388" s="11">
        <v>0.435</v>
      </c>
      <c r="D1388" s="11">
        <v>57.0</v>
      </c>
      <c r="E1388" s="11">
        <v>169.0</v>
      </c>
      <c r="F1388" s="11">
        <v>488.0</v>
      </c>
      <c r="G1388" s="11">
        <v>0.086</v>
      </c>
      <c r="H1388" s="11">
        <v>1.795</v>
      </c>
      <c r="I1388" s="9" t="s">
        <v>73</v>
      </c>
    </row>
    <row r="1389">
      <c r="A1389" s="12" t="s">
        <v>114</v>
      </c>
      <c r="B1389" s="5" t="s">
        <v>77</v>
      </c>
      <c r="C1389" s="11">
        <v>0.674</v>
      </c>
      <c r="D1389" s="11">
        <v>22.0</v>
      </c>
      <c r="E1389" s="11">
        <v>187.0</v>
      </c>
      <c r="F1389" s="11">
        <v>483.0</v>
      </c>
      <c r="G1389" s="11">
        <v>0.03</v>
      </c>
      <c r="H1389" s="11">
        <v>0.253</v>
      </c>
      <c r="I1389" s="9" t="s">
        <v>73</v>
      </c>
    </row>
    <row r="1390">
      <c r="A1390" s="12" t="s">
        <v>197</v>
      </c>
      <c r="B1390" s="5" t="s">
        <v>77</v>
      </c>
      <c r="C1390" s="11">
        <v>0.682</v>
      </c>
      <c r="D1390" s="11">
        <v>19.0</v>
      </c>
      <c r="E1390" s="11">
        <v>171.0</v>
      </c>
      <c r="F1390" s="11">
        <v>696.0</v>
      </c>
      <c r="G1390" s="11">
        <v>0.054</v>
      </c>
      <c r="H1390" s="11">
        <v>1.06</v>
      </c>
      <c r="I1390" s="9" t="s">
        <v>73</v>
      </c>
    </row>
    <row r="1391">
      <c r="A1391" s="12" t="s">
        <v>256</v>
      </c>
      <c r="B1391" s="5" t="s">
        <v>77</v>
      </c>
      <c r="C1391" s="11">
        <v>0.361</v>
      </c>
      <c r="D1391" s="11">
        <v>36.0</v>
      </c>
      <c r="E1391" s="11">
        <v>143.0</v>
      </c>
      <c r="F1391" s="11">
        <v>180.0</v>
      </c>
      <c r="G1391" s="11">
        <v>0.21</v>
      </c>
      <c r="H1391" s="11">
        <v>0.744</v>
      </c>
      <c r="I1391" s="9" t="s">
        <v>73</v>
      </c>
    </row>
    <row r="1392">
      <c r="A1392" s="12" t="s">
        <v>139</v>
      </c>
      <c r="B1392" s="5" t="s">
        <v>77</v>
      </c>
      <c r="C1392" s="11">
        <v>0.325</v>
      </c>
      <c r="D1392" s="11">
        <v>15.0</v>
      </c>
      <c r="E1392" s="11">
        <v>124.0</v>
      </c>
      <c r="F1392" s="11">
        <v>306.0</v>
      </c>
      <c r="G1392" s="11">
        <v>0.015</v>
      </c>
      <c r="H1392" s="11">
        <v>0.224</v>
      </c>
      <c r="I1392" s="9" t="s">
        <v>73</v>
      </c>
    </row>
    <row r="1393">
      <c r="A1393" s="12" t="s">
        <v>190</v>
      </c>
      <c r="B1393" s="5" t="s">
        <v>77</v>
      </c>
      <c r="C1393" s="11">
        <v>0.364</v>
      </c>
      <c r="D1393" s="11">
        <v>8.0</v>
      </c>
      <c r="E1393" s="11">
        <v>144.0</v>
      </c>
      <c r="F1393" s="11">
        <v>201.0</v>
      </c>
      <c r="G1393" s="11">
        <v>0.021</v>
      </c>
      <c r="H1393" s="11">
        <v>0.394</v>
      </c>
      <c r="I1393" s="9" t="s">
        <v>73</v>
      </c>
    </row>
    <row r="1394">
      <c r="A1394" s="12" t="s">
        <v>235</v>
      </c>
      <c r="B1394" s="5" t="s">
        <v>77</v>
      </c>
      <c r="C1394" s="11">
        <v>0.325</v>
      </c>
      <c r="D1394" s="11">
        <v>5.0</v>
      </c>
      <c r="E1394" s="11">
        <v>166.0</v>
      </c>
      <c r="F1394" s="11">
        <v>424.0</v>
      </c>
      <c r="G1394" s="11">
        <v>0.216</v>
      </c>
      <c r="H1394" s="11">
        <v>0.65</v>
      </c>
      <c r="I1394" s="9" t="s">
        <v>73</v>
      </c>
    </row>
    <row r="1395">
      <c r="A1395" s="12" t="s">
        <v>136</v>
      </c>
      <c r="B1395" s="5" t="s">
        <v>77</v>
      </c>
      <c r="C1395" s="11">
        <v>0.441</v>
      </c>
      <c r="D1395" s="11">
        <v>135.0</v>
      </c>
      <c r="E1395" s="11">
        <v>164.0</v>
      </c>
      <c r="F1395" s="11">
        <v>492.0</v>
      </c>
      <c r="G1395" s="11">
        <v>0.139</v>
      </c>
      <c r="H1395" s="11">
        <v>0.681</v>
      </c>
      <c r="I1395" s="9" t="s">
        <v>73</v>
      </c>
    </row>
    <row r="1396">
      <c r="A1396" s="12" t="s">
        <v>184</v>
      </c>
      <c r="B1396" s="5" t="s">
        <v>77</v>
      </c>
      <c r="C1396" s="11">
        <v>0.266</v>
      </c>
      <c r="D1396" s="11">
        <v>6.0</v>
      </c>
      <c r="E1396" s="11">
        <v>149.0</v>
      </c>
      <c r="F1396" s="11">
        <v>158.0</v>
      </c>
      <c r="G1396" s="11">
        <v>0.038</v>
      </c>
      <c r="H1396" s="11">
        <v>0.571</v>
      </c>
      <c r="I1396" s="9" t="s">
        <v>73</v>
      </c>
    </row>
    <row r="1397">
      <c r="A1397" s="12" t="s">
        <v>119</v>
      </c>
      <c r="B1397" s="5" t="s">
        <v>77</v>
      </c>
      <c r="C1397" s="11">
        <v>2.179</v>
      </c>
      <c r="D1397" s="11">
        <v>20.0</v>
      </c>
      <c r="E1397" s="11">
        <v>160.0</v>
      </c>
      <c r="F1397" s="11">
        <v>100.0</v>
      </c>
      <c r="G1397" s="11">
        <v>0.06</v>
      </c>
      <c r="H1397" s="11">
        <v>0.395</v>
      </c>
      <c r="I1397" s="9" t="s">
        <v>73</v>
      </c>
    </row>
    <row r="1398">
      <c r="A1398" s="12" t="s">
        <v>175</v>
      </c>
      <c r="B1398" s="5" t="s">
        <v>77</v>
      </c>
      <c r="C1398" s="11">
        <v>0.442</v>
      </c>
      <c r="D1398" s="11">
        <v>32.0</v>
      </c>
      <c r="E1398" s="11">
        <v>122.0</v>
      </c>
      <c r="F1398" s="11">
        <v>340.0</v>
      </c>
      <c r="G1398" s="11">
        <v>0.321</v>
      </c>
      <c r="H1398" s="11">
        <v>0.712</v>
      </c>
      <c r="I1398" s="9" t="s">
        <v>73</v>
      </c>
    </row>
    <row r="1399">
      <c r="A1399" s="12" t="s">
        <v>232</v>
      </c>
      <c r="B1399" s="5" t="s">
        <v>77</v>
      </c>
      <c r="C1399" s="11">
        <v>0.308</v>
      </c>
      <c r="D1399" s="11">
        <v>3.0</v>
      </c>
      <c r="E1399" s="11">
        <v>54.0</v>
      </c>
      <c r="F1399" s="11">
        <v>134.0</v>
      </c>
      <c r="G1399" s="11">
        <v>0.08</v>
      </c>
      <c r="H1399" s="11">
        <v>0.497</v>
      </c>
      <c r="I1399" s="9" t="s">
        <v>73</v>
      </c>
    </row>
    <row r="1400">
      <c r="A1400" s="12" t="s">
        <v>240</v>
      </c>
      <c r="B1400" s="5" t="s">
        <v>77</v>
      </c>
      <c r="C1400" s="11">
        <v>0.324</v>
      </c>
      <c r="D1400" s="11">
        <v>12.0</v>
      </c>
      <c r="E1400" s="11">
        <v>137.0</v>
      </c>
      <c r="F1400" s="11">
        <v>357.0</v>
      </c>
      <c r="G1400" s="11">
        <v>0.013</v>
      </c>
      <c r="H1400" s="11">
        <v>0.37</v>
      </c>
      <c r="I1400" s="9" t="s">
        <v>73</v>
      </c>
    </row>
    <row r="1401">
      <c r="A1401" s="12" t="s">
        <v>123</v>
      </c>
      <c r="B1401" s="5" t="s">
        <v>77</v>
      </c>
      <c r="C1401" s="11">
        <v>0.394</v>
      </c>
      <c r="D1401" s="11">
        <v>32.0</v>
      </c>
      <c r="E1401" s="11">
        <v>173.0</v>
      </c>
      <c r="F1401" s="11">
        <v>270.0</v>
      </c>
      <c r="G1401" s="11">
        <v>0.024</v>
      </c>
      <c r="H1401" s="11">
        <v>0.912</v>
      </c>
      <c r="I1401" s="9" t="s">
        <v>73</v>
      </c>
    </row>
    <row r="1402">
      <c r="A1402" s="12" t="s">
        <v>249</v>
      </c>
      <c r="B1402" s="5" t="s">
        <v>77</v>
      </c>
      <c r="C1402" s="11">
        <v>0.263</v>
      </c>
      <c r="D1402" s="11">
        <v>17.0</v>
      </c>
      <c r="E1402" s="11">
        <v>184.0</v>
      </c>
      <c r="F1402" s="11">
        <v>218.0</v>
      </c>
      <c r="G1402" s="8"/>
      <c r="H1402" s="11">
        <v>0.212</v>
      </c>
      <c r="I1402" s="9" t="s">
        <v>73</v>
      </c>
    </row>
    <row r="1403">
      <c r="A1403" s="12" t="s">
        <v>155</v>
      </c>
      <c r="B1403" s="5" t="s">
        <v>77</v>
      </c>
      <c r="C1403" s="11">
        <v>0.912</v>
      </c>
      <c r="D1403" s="11">
        <v>35.0</v>
      </c>
      <c r="E1403" s="11">
        <v>179.0</v>
      </c>
      <c r="F1403" s="11">
        <v>416.0</v>
      </c>
      <c r="G1403" s="11">
        <v>0.015</v>
      </c>
      <c r="H1403" s="11">
        <v>0.488</v>
      </c>
      <c r="I1403" s="9" t="s">
        <v>73</v>
      </c>
    </row>
    <row r="1404">
      <c r="A1404" s="12" t="s">
        <v>266</v>
      </c>
      <c r="B1404" s="5" t="s">
        <v>77</v>
      </c>
      <c r="C1404" s="11">
        <v>0.489</v>
      </c>
      <c r="D1404" s="11">
        <v>38.0</v>
      </c>
      <c r="E1404" s="11">
        <v>159.0</v>
      </c>
      <c r="F1404" s="11">
        <v>270.0</v>
      </c>
      <c r="G1404" s="11">
        <v>0.04</v>
      </c>
      <c r="H1404" s="11">
        <v>0.499</v>
      </c>
      <c r="I1404" s="9" t="s">
        <v>73</v>
      </c>
    </row>
    <row r="1405">
      <c r="A1405" s="12" t="s">
        <v>99</v>
      </c>
      <c r="B1405" s="5" t="s">
        <v>77</v>
      </c>
      <c r="C1405" s="11">
        <v>0.659</v>
      </c>
      <c r="D1405" s="11">
        <v>26.0</v>
      </c>
      <c r="E1405" s="11">
        <v>175.0</v>
      </c>
      <c r="F1405" s="11">
        <v>270.0</v>
      </c>
      <c r="G1405" s="11">
        <v>0.045</v>
      </c>
      <c r="H1405" s="11">
        <v>0.837</v>
      </c>
      <c r="I1405" s="9" t="s">
        <v>73</v>
      </c>
    </row>
    <row r="1406">
      <c r="A1406" s="12" t="s">
        <v>137</v>
      </c>
      <c r="B1406" s="5" t="s">
        <v>77</v>
      </c>
      <c r="C1406" s="11">
        <v>0.845</v>
      </c>
      <c r="D1406" s="11">
        <v>84.0</v>
      </c>
      <c r="E1406" s="11">
        <v>185.0</v>
      </c>
      <c r="F1406" s="11">
        <v>216.0</v>
      </c>
      <c r="G1406" s="11">
        <v>0.008</v>
      </c>
      <c r="H1406" s="11">
        <v>0.05</v>
      </c>
      <c r="I1406" s="9" t="s">
        <v>73</v>
      </c>
    </row>
    <row r="1407">
      <c r="A1407" s="12" t="s">
        <v>156</v>
      </c>
      <c r="B1407" s="5" t="s">
        <v>77</v>
      </c>
      <c r="C1407" s="11">
        <v>0.459</v>
      </c>
      <c r="D1407" s="11">
        <v>9.0</v>
      </c>
      <c r="E1407" s="11">
        <v>181.0</v>
      </c>
      <c r="F1407" s="11">
        <v>208.0</v>
      </c>
      <c r="G1407" s="11">
        <v>0.029</v>
      </c>
      <c r="H1407" s="11">
        <v>0.631</v>
      </c>
      <c r="I1407" s="9" t="s">
        <v>73</v>
      </c>
    </row>
    <row r="1408">
      <c r="A1408" s="12" t="s">
        <v>111</v>
      </c>
      <c r="B1408" s="5" t="s">
        <v>77</v>
      </c>
      <c r="C1408" s="11">
        <v>0.488</v>
      </c>
      <c r="D1408" s="11">
        <v>15.0</v>
      </c>
      <c r="E1408" s="11">
        <v>162.0</v>
      </c>
      <c r="F1408" s="11">
        <v>654.0</v>
      </c>
      <c r="G1408" s="11">
        <v>0.057</v>
      </c>
      <c r="H1408" s="11">
        <v>0.604</v>
      </c>
      <c r="I1408" s="9" t="s">
        <v>73</v>
      </c>
    </row>
    <row r="1409">
      <c r="A1409" s="12" t="s">
        <v>120</v>
      </c>
      <c r="B1409" s="5" t="s">
        <v>77</v>
      </c>
      <c r="C1409" s="11">
        <v>0.649</v>
      </c>
      <c r="D1409" s="11">
        <v>161.0</v>
      </c>
      <c r="E1409" s="11">
        <v>186.0</v>
      </c>
      <c r="F1409" s="11">
        <v>606.0</v>
      </c>
      <c r="G1409" s="11">
        <v>0.061</v>
      </c>
      <c r="H1409" s="11">
        <v>0.988</v>
      </c>
      <c r="I1409" s="9" t="s">
        <v>73</v>
      </c>
    </row>
    <row r="1410">
      <c r="A1410" s="12" t="s">
        <v>237</v>
      </c>
      <c r="B1410" s="5" t="s">
        <v>77</v>
      </c>
      <c r="C1410" s="11">
        <v>0.455</v>
      </c>
      <c r="D1410" s="11">
        <v>6.0</v>
      </c>
      <c r="E1410" s="11">
        <v>176.0</v>
      </c>
      <c r="F1410" s="11">
        <v>666.0</v>
      </c>
      <c r="G1410" s="11">
        <v>0.192</v>
      </c>
      <c r="H1410" s="11">
        <v>0.836</v>
      </c>
      <c r="I1410" s="9" t="s">
        <v>73</v>
      </c>
    </row>
    <row r="1411">
      <c r="A1411" s="12" t="s">
        <v>206</v>
      </c>
      <c r="B1411" s="5" t="s">
        <v>77</v>
      </c>
      <c r="C1411" s="11">
        <v>0.375</v>
      </c>
      <c r="D1411" s="11">
        <v>13.0</v>
      </c>
      <c r="E1411" s="11">
        <v>142.0</v>
      </c>
      <c r="F1411" s="11">
        <v>230.0</v>
      </c>
      <c r="G1411" s="11">
        <v>0.048</v>
      </c>
      <c r="H1411" s="11">
        <v>0.349</v>
      </c>
      <c r="I1411" s="9" t="s">
        <v>73</v>
      </c>
    </row>
    <row r="1412">
      <c r="A1412" s="12" t="s">
        <v>191</v>
      </c>
      <c r="B1412" s="5" t="s">
        <v>77</v>
      </c>
      <c r="C1412" s="11">
        <v>0.324</v>
      </c>
      <c r="D1412" s="11">
        <v>40.0</v>
      </c>
      <c r="E1412" s="11">
        <v>161.0</v>
      </c>
      <c r="F1412" s="11">
        <v>175.0</v>
      </c>
      <c r="G1412" s="11">
        <v>0.044</v>
      </c>
      <c r="H1412" s="11">
        <v>0.292</v>
      </c>
      <c r="I1412" s="9" t="s">
        <v>73</v>
      </c>
    </row>
    <row r="1413">
      <c r="A1413" s="12" t="s">
        <v>263</v>
      </c>
      <c r="B1413" s="5" t="s">
        <v>77</v>
      </c>
      <c r="C1413" s="11">
        <v>0.449</v>
      </c>
      <c r="D1413" s="11">
        <v>26.0</v>
      </c>
      <c r="E1413" s="11">
        <v>136.0</v>
      </c>
      <c r="F1413" s="11">
        <v>172.0</v>
      </c>
      <c r="G1413" s="11">
        <v>0.04</v>
      </c>
      <c r="H1413" s="11">
        <v>0.57</v>
      </c>
      <c r="I1413" s="9" t="s">
        <v>73</v>
      </c>
    </row>
    <row r="1414">
      <c r="A1414" s="12" t="s">
        <v>108</v>
      </c>
      <c r="B1414" s="5" t="s">
        <v>77</v>
      </c>
      <c r="C1414" s="11">
        <v>0.435</v>
      </c>
      <c r="D1414" s="11">
        <v>13.0</v>
      </c>
      <c r="E1414" s="11">
        <v>154.0</v>
      </c>
      <c r="F1414" s="11">
        <v>270.0</v>
      </c>
      <c r="G1414" s="11">
        <v>0.037</v>
      </c>
      <c r="H1414" s="11">
        <v>0.606</v>
      </c>
      <c r="I1414" s="9" t="s">
        <v>73</v>
      </c>
    </row>
    <row r="1415">
      <c r="A1415" s="12" t="s">
        <v>215</v>
      </c>
      <c r="B1415" s="5" t="s">
        <v>77</v>
      </c>
      <c r="C1415" s="11">
        <v>0.338</v>
      </c>
      <c r="D1415" s="11">
        <v>28.0</v>
      </c>
      <c r="E1415" s="11">
        <v>138.0</v>
      </c>
      <c r="F1415" s="11">
        <v>956.0</v>
      </c>
      <c r="G1415" s="11">
        <v>0.328</v>
      </c>
      <c r="H1415" s="11">
        <v>0.668</v>
      </c>
      <c r="I1415" s="9" t="s">
        <v>73</v>
      </c>
    </row>
    <row r="1416">
      <c r="A1416" s="12" t="s">
        <v>121</v>
      </c>
      <c r="B1416" s="5" t="s">
        <v>77</v>
      </c>
      <c r="C1416" s="11">
        <v>3.391</v>
      </c>
      <c r="D1416" s="11">
        <v>58.0</v>
      </c>
      <c r="E1416" s="11">
        <v>183.0</v>
      </c>
      <c r="F1416" s="11">
        <v>336.0</v>
      </c>
      <c r="G1416" s="11">
        <v>0.017</v>
      </c>
      <c r="H1416" s="11">
        <v>0.306</v>
      </c>
      <c r="I1416" s="9" t="s">
        <v>73</v>
      </c>
    </row>
    <row r="1417">
      <c r="A1417" s="12" t="s">
        <v>284</v>
      </c>
      <c r="B1417" s="5" t="s">
        <v>77</v>
      </c>
      <c r="C1417" s="11">
        <v>0.151</v>
      </c>
      <c r="D1417" s="11">
        <v>17.0</v>
      </c>
      <c r="E1417" s="11">
        <v>90.0</v>
      </c>
      <c r="F1417" s="11">
        <v>183.0</v>
      </c>
      <c r="G1417" s="11">
        <v>0.135</v>
      </c>
      <c r="H1417" s="11">
        <v>0.748</v>
      </c>
      <c r="I1417" s="9" t="s">
        <v>73</v>
      </c>
    </row>
    <row r="1418">
      <c r="A1418" s="12" t="s">
        <v>146</v>
      </c>
      <c r="B1418" s="5" t="s">
        <v>77</v>
      </c>
      <c r="C1418" s="11">
        <v>2.832</v>
      </c>
      <c r="D1418" s="11">
        <v>27.0</v>
      </c>
      <c r="E1418" s="11">
        <v>148.0</v>
      </c>
      <c r="F1418" s="11">
        <v>376.0</v>
      </c>
      <c r="G1418" s="11">
        <v>0.124</v>
      </c>
      <c r="H1418" s="11">
        <v>0.852</v>
      </c>
      <c r="I1418" s="9" t="s">
        <v>73</v>
      </c>
    </row>
    <row r="1419">
      <c r="A1419" s="12" t="s">
        <v>246</v>
      </c>
      <c r="B1419" s="5" t="s">
        <v>77</v>
      </c>
      <c r="C1419" s="8"/>
      <c r="D1419" s="8"/>
      <c r="E1419" s="8"/>
      <c r="F1419" s="8"/>
      <c r="G1419" s="11">
        <v>0.014</v>
      </c>
      <c r="H1419" s="11">
        <v>0.226</v>
      </c>
      <c r="I1419" s="9" t="s">
        <v>73</v>
      </c>
    </row>
    <row r="1420">
      <c r="A1420" s="12" t="s">
        <v>273</v>
      </c>
      <c r="B1420" s="5" t="s">
        <v>77</v>
      </c>
      <c r="C1420" s="11">
        <v>0.366</v>
      </c>
      <c r="D1420" s="11">
        <v>33.0</v>
      </c>
      <c r="E1420" s="11">
        <v>126.0</v>
      </c>
      <c r="F1420" s="11">
        <v>213.0</v>
      </c>
      <c r="G1420" s="11">
        <v>0.147</v>
      </c>
      <c r="H1420" s="11">
        <v>0.45</v>
      </c>
      <c r="I1420" s="9" t="s">
        <v>73</v>
      </c>
    </row>
    <row r="1421">
      <c r="A1421" s="12" t="s">
        <v>82</v>
      </c>
      <c r="B1421" s="5" t="s">
        <v>77</v>
      </c>
      <c r="C1421" s="11">
        <v>0.521</v>
      </c>
      <c r="D1421" s="11">
        <v>66.0</v>
      </c>
      <c r="E1421" s="11">
        <v>178.0</v>
      </c>
      <c r="F1421" s="11">
        <v>282.0</v>
      </c>
      <c r="G1421" s="11">
        <v>0.169</v>
      </c>
      <c r="H1421" s="11">
        <v>0.614</v>
      </c>
      <c r="I1421" s="9" t="s">
        <v>73</v>
      </c>
    </row>
    <row r="1422">
      <c r="A1422" s="12" t="s">
        <v>109</v>
      </c>
      <c r="B1422" s="5" t="s">
        <v>77</v>
      </c>
      <c r="C1422" s="11">
        <v>0.516</v>
      </c>
      <c r="D1422" s="11">
        <v>8.0</v>
      </c>
      <c r="E1422" s="11">
        <v>157.0</v>
      </c>
      <c r="F1422" s="11">
        <v>274.0</v>
      </c>
      <c r="G1422" s="11">
        <v>0.012</v>
      </c>
      <c r="H1422" s="11">
        <v>0.228</v>
      </c>
      <c r="I1422" s="9" t="s">
        <v>73</v>
      </c>
    </row>
    <row r="1423">
      <c r="A1423" s="12" t="s">
        <v>115</v>
      </c>
      <c r="B1423" s="5" t="s">
        <v>77</v>
      </c>
      <c r="C1423" s="11">
        <v>0.757</v>
      </c>
      <c r="D1423" s="11">
        <v>62.0</v>
      </c>
      <c r="E1423" s="11">
        <v>189.0</v>
      </c>
      <c r="F1423" s="11">
        <v>732.0</v>
      </c>
      <c r="G1423" s="11">
        <v>0.021</v>
      </c>
      <c r="H1423" s="11">
        <v>0.354</v>
      </c>
      <c r="I1423" s="9" t="s">
        <v>73</v>
      </c>
    </row>
    <row r="1424">
      <c r="A1424" s="12" t="s">
        <v>194</v>
      </c>
      <c r="B1424" s="5" t="s">
        <v>77</v>
      </c>
      <c r="C1424" s="11">
        <v>0.511</v>
      </c>
      <c r="D1424" s="11">
        <v>8.0</v>
      </c>
      <c r="E1424" s="11">
        <v>153.0</v>
      </c>
      <c r="F1424" s="11">
        <v>270.0</v>
      </c>
      <c r="G1424" s="11">
        <v>0.022</v>
      </c>
      <c r="H1424" s="11">
        <v>0.984</v>
      </c>
      <c r="I1424" s="9" t="s">
        <v>73</v>
      </c>
    </row>
    <row r="1425">
      <c r="A1425" s="12" t="s">
        <v>214</v>
      </c>
      <c r="B1425" s="5" t="s">
        <v>77</v>
      </c>
      <c r="C1425" s="11">
        <v>0.438</v>
      </c>
      <c r="D1425" s="11">
        <v>17.0</v>
      </c>
      <c r="E1425" s="11">
        <v>174.0</v>
      </c>
      <c r="F1425" s="11">
        <v>270.0</v>
      </c>
      <c r="G1425" s="11">
        <v>0.014</v>
      </c>
      <c r="H1425" s="11">
        <v>0.314</v>
      </c>
      <c r="I1425" s="9" t="s">
        <v>73</v>
      </c>
    </row>
    <row r="1426">
      <c r="A1426" s="12" t="s">
        <v>189</v>
      </c>
      <c r="B1426" s="5" t="s">
        <v>61</v>
      </c>
      <c r="C1426" s="8"/>
      <c r="D1426" s="8"/>
      <c r="E1426" s="8"/>
      <c r="F1426" s="8"/>
      <c r="G1426" s="11">
        <v>0.349</v>
      </c>
      <c r="H1426" s="11">
        <v>1.138</v>
      </c>
      <c r="I1426" s="9" t="s">
        <v>66</v>
      </c>
    </row>
    <row r="1427">
      <c r="A1427" s="12" t="s">
        <v>160</v>
      </c>
      <c r="B1427" s="5" t="s">
        <v>61</v>
      </c>
      <c r="C1427" s="11">
        <v>0.241</v>
      </c>
      <c r="D1427" s="11">
        <v>11.0</v>
      </c>
      <c r="E1427" s="8"/>
      <c r="F1427" s="11">
        <v>80.0</v>
      </c>
      <c r="G1427" s="11">
        <v>0.569</v>
      </c>
      <c r="H1427" s="11">
        <v>1.239</v>
      </c>
      <c r="I1427" s="9" t="s">
        <v>66</v>
      </c>
    </row>
    <row r="1428">
      <c r="A1428" s="12" t="s">
        <v>172</v>
      </c>
      <c r="B1428" s="5" t="s">
        <v>61</v>
      </c>
      <c r="C1428" s="11">
        <v>0.525</v>
      </c>
      <c r="D1428" s="11">
        <v>30.0</v>
      </c>
      <c r="E1428" s="8"/>
      <c r="F1428" s="11">
        <v>315.0</v>
      </c>
      <c r="G1428" s="11">
        <v>0.669</v>
      </c>
      <c r="H1428" s="11">
        <v>0.76</v>
      </c>
      <c r="I1428" s="9" t="s">
        <v>66</v>
      </c>
    </row>
    <row r="1429">
      <c r="A1429" s="12" t="s">
        <v>248</v>
      </c>
      <c r="B1429" s="5" t="s">
        <v>61</v>
      </c>
      <c r="C1429" s="11">
        <v>0.354</v>
      </c>
      <c r="D1429" s="11">
        <v>17.0</v>
      </c>
      <c r="E1429" s="8"/>
      <c r="F1429" s="11">
        <v>290.0</v>
      </c>
      <c r="G1429" s="11">
        <v>0.735</v>
      </c>
      <c r="H1429" s="11">
        <v>0.815</v>
      </c>
      <c r="I1429" s="9" t="s">
        <v>66</v>
      </c>
    </row>
    <row r="1430">
      <c r="A1430" s="12" t="s">
        <v>241</v>
      </c>
      <c r="B1430" s="5" t="s">
        <v>61</v>
      </c>
      <c r="C1430" s="11">
        <v>0.277</v>
      </c>
      <c r="D1430" s="11">
        <v>6.0</v>
      </c>
      <c r="E1430" s="8"/>
      <c r="F1430" s="11">
        <v>80.0</v>
      </c>
      <c r="G1430" s="11">
        <v>0.61</v>
      </c>
      <c r="H1430" s="11">
        <v>0.975</v>
      </c>
      <c r="I1430" s="9" t="s">
        <v>66</v>
      </c>
    </row>
    <row r="1431">
      <c r="A1431" s="12" t="s">
        <v>117</v>
      </c>
      <c r="B1431" s="5" t="s">
        <v>61</v>
      </c>
      <c r="C1431" s="11">
        <v>0.8</v>
      </c>
      <c r="D1431" s="11">
        <v>48.0</v>
      </c>
      <c r="E1431" s="8"/>
      <c r="F1431" s="11">
        <v>832.0</v>
      </c>
      <c r="G1431" s="11">
        <v>0.085</v>
      </c>
      <c r="H1431" s="11">
        <v>0.298</v>
      </c>
      <c r="I1431" s="9" t="s">
        <v>66</v>
      </c>
    </row>
    <row r="1432">
      <c r="A1432" s="12" t="s">
        <v>264</v>
      </c>
      <c r="B1432" s="5" t="s">
        <v>61</v>
      </c>
      <c r="C1432" s="11">
        <v>0.375</v>
      </c>
      <c r="D1432" s="11">
        <v>33.0</v>
      </c>
      <c r="E1432" s="8"/>
      <c r="F1432" s="11">
        <v>264.0</v>
      </c>
      <c r="G1432" s="11">
        <v>0.15</v>
      </c>
      <c r="H1432" s="11">
        <v>0.465</v>
      </c>
      <c r="I1432" s="9" t="s">
        <v>66</v>
      </c>
    </row>
    <row r="1433">
      <c r="A1433" s="12" t="s">
        <v>147</v>
      </c>
      <c r="B1433" s="5" t="s">
        <v>61</v>
      </c>
      <c r="C1433" s="11">
        <v>0.57</v>
      </c>
      <c r="D1433" s="11">
        <v>21.0</v>
      </c>
      <c r="E1433" s="8"/>
      <c r="F1433" s="11">
        <v>448.0</v>
      </c>
      <c r="G1433" s="11">
        <v>0.061</v>
      </c>
      <c r="H1433" s="11">
        <v>0.262</v>
      </c>
      <c r="I1433" s="9" t="s">
        <v>66</v>
      </c>
    </row>
    <row r="1434">
      <c r="A1434" s="12" t="s">
        <v>86</v>
      </c>
      <c r="B1434" s="5" t="s">
        <v>61</v>
      </c>
      <c r="C1434" s="11">
        <v>0.366</v>
      </c>
      <c r="D1434" s="11">
        <v>18.0</v>
      </c>
      <c r="E1434" s="8"/>
      <c r="F1434" s="11">
        <v>580.0</v>
      </c>
      <c r="G1434" s="11">
        <v>0.053</v>
      </c>
      <c r="H1434" s="11">
        <v>0.105</v>
      </c>
      <c r="I1434" s="9" t="s">
        <v>66</v>
      </c>
    </row>
    <row r="1435">
      <c r="A1435" s="12" t="s">
        <v>216</v>
      </c>
      <c r="B1435" s="5" t="s">
        <v>61</v>
      </c>
      <c r="C1435" s="8"/>
      <c r="D1435" s="8"/>
      <c r="E1435" s="8"/>
      <c r="F1435" s="8"/>
      <c r="G1435" s="8"/>
      <c r="H1435" s="8"/>
      <c r="I1435" s="9" t="s">
        <v>66</v>
      </c>
    </row>
    <row r="1436">
      <c r="A1436" s="12" t="s">
        <v>90</v>
      </c>
      <c r="B1436" s="5" t="s">
        <v>61</v>
      </c>
      <c r="C1436" s="11">
        <v>0.464</v>
      </c>
      <c r="D1436" s="11">
        <v>113.0</v>
      </c>
      <c r="E1436" s="8"/>
      <c r="F1436" s="11">
        <v>756.0</v>
      </c>
      <c r="G1436" s="11">
        <v>0.08</v>
      </c>
      <c r="H1436" s="11">
        <v>0.262</v>
      </c>
      <c r="I1436" s="9" t="s">
        <v>66</v>
      </c>
    </row>
    <row r="1437">
      <c r="A1437" s="12" t="s">
        <v>282</v>
      </c>
      <c r="B1437" s="5" t="s">
        <v>61</v>
      </c>
      <c r="C1437" s="11">
        <v>0.399</v>
      </c>
      <c r="D1437" s="11">
        <v>45.0</v>
      </c>
      <c r="E1437" s="8"/>
      <c r="F1437" s="11">
        <v>1050.0</v>
      </c>
      <c r="G1437" s="11">
        <v>0.127</v>
      </c>
      <c r="H1437" s="11">
        <v>0.113</v>
      </c>
      <c r="I1437" s="9" t="s">
        <v>66</v>
      </c>
    </row>
    <row r="1438">
      <c r="A1438" s="12" t="s">
        <v>174</v>
      </c>
      <c r="B1438" s="5" t="s">
        <v>61</v>
      </c>
      <c r="C1438" s="11">
        <v>0.441</v>
      </c>
      <c r="D1438" s="11">
        <v>25.0</v>
      </c>
      <c r="E1438" s="8"/>
      <c r="F1438" s="11">
        <v>271.0</v>
      </c>
      <c r="G1438" s="11">
        <v>0.03</v>
      </c>
      <c r="H1438" s="11">
        <v>0.358</v>
      </c>
      <c r="I1438" s="9" t="s">
        <v>66</v>
      </c>
    </row>
    <row r="1439">
      <c r="A1439" s="12" t="s">
        <v>207</v>
      </c>
      <c r="B1439" s="5" t="s">
        <v>61</v>
      </c>
      <c r="C1439" s="8"/>
      <c r="D1439" s="8"/>
      <c r="E1439" s="8"/>
      <c r="F1439" s="8"/>
      <c r="G1439" s="11">
        <v>0.001</v>
      </c>
      <c r="H1439" s="11">
        <v>0.003</v>
      </c>
      <c r="I1439" s="9" t="s">
        <v>66</v>
      </c>
    </row>
    <row r="1440">
      <c r="A1440" s="12" t="s">
        <v>251</v>
      </c>
      <c r="B1440" s="5" t="s">
        <v>61</v>
      </c>
      <c r="C1440" s="11">
        <v>0.567</v>
      </c>
      <c r="D1440" s="11">
        <v>48.0</v>
      </c>
      <c r="E1440" s="8"/>
      <c r="F1440" s="11">
        <v>256.0</v>
      </c>
      <c r="G1440" s="11">
        <v>0.018</v>
      </c>
      <c r="H1440" s="11">
        <v>0.168</v>
      </c>
      <c r="I1440" s="9" t="s">
        <v>66</v>
      </c>
    </row>
    <row r="1441">
      <c r="A1441" s="12" t="s">
        <v>192</v>
      </c>
      <c r="B1441" s="5" t="s">
        <v>61</v>
      </c>
      <c r="C1441" s="11">
        <v>0.36</v>
      </c>
      <c r="D1441" s="11">
        <v>37.0</v>
      </c>
      <c r="E1441" s="8"/>
      <c r="F1441" s="11">
        <v>190.0</v>
      </c>
      <c r="G1441" s="11">
        <v>0.486</v>
      </c>
      <c r="H1441" s="11">
        <v>0.756</v>
      </c>
      <c r="I1441" s="9" t="s">
        <v>66</v>
      </c>
    </row>
    <row r="1442">
      <c r="A1442" s="12" t="s">
        <v>203</v>
      </c>
      <c r="B1442" s="5" t="s">
        <v>61</v>
      </c>
      <c r="C1442" s="11">
        <v>0.398</v>
      </c>
      <c r="D1442" s="11">
        <v>13.0</v>
      </c>
      <c r="E1442" s="8"/>
      <c r="F1442" s="11">
        <v>204.0</v>
      </c>
      <c r="G1442" s="8"/>
      <c r="H1442" s="11">
        <v>0.221</v>
      </c>
      <c r="I1442" s="9" t="s">
        <v>66</v>
      </c>
    </row>
    <row r="1443">
      <c r="A1443" s="12" t="s">
        <v>279</v>
      </c>
      <c r="B1443" s="5" t="s">
        <v>61</v>
      </c>
      <c r="C1443" s="11">
        <v>0.967</v>
      </c>
      <c r="D1443" s="11">
        <v>29.0</v>
      </c>
      <c r="E1443" s="8"/>
      <c r="F1443" s="11">
        <v>196.0</v>
      </c>
      <c r="G1443" s="11">
        <v>0.033</v>
      </c>
      <c r="H1443" s="11">
        <v>0.028</v>
      </c>
      <c r="I1443" s="9" t="s">
        <v>66</v>
      </c>
    </row>
    <row r="1444">
      <c r="A1444" s="12" t="s">
        <v>106</v>
      </c>
      <c r="B1444" s="5" t="s">
        <v>61</v>
      </c>
      <c r="C1444" s="8"/>
      <c r="D1444" s="8"/>
      <c r="E1444" s="8"/>
      <c r="F1444" s="8"/>
      <c r="G1444" s="11">
        <v>0.365</v>
      </c>
      <c r="H1444" s="11">
        <v>0.633</v>
      </c>
      <c r="I1444" s="9" t="s">
        <v>66</v>
      </c>
    </row>
    <row r="1445">
      <c r="A1445" s="12" t="s">
        <v>179</v>
      </c>
      <c r="B1445" s="5" t="s">
        <v>61</v>
      </c>
      <c r="C1445" s="11">
        <v>0.681</v>
      </c>
      <c r="D1445" s="11">
        <v>21.0</v>
      </c>
      <c r="E1445" s="8"/>
      <c r="F1445" s="11">
        <v>202.0</v>
      </c>
      <c r="G1445" s="11">
        <v>0.105</v>
      </c>
      <c r="H1445" s="11">
        <v>0.107</v>
      </c>
      <c r="I1445" s="9" t="s">
        <v>66</v>
      </c>
    </row>
    <row r="1446">
      <c r="A1446" s="12" t="s">
        <v>164</v>
      </c>
      <c r="B1446" s="5" t="s">
        <v>61</v>
      </c>
      <c r="C1446" s="11">
        <v>0.375</v>
      </c>
      <c r="D1446" s="11">
        <v>151.0</v>
      </c>
      <c r="E1446" s="8"/>
      <c r="F1446" s="11">
        <v>560.0</v>
      </c>
      <c r="G1446" s="11">
        <v>0.036</v>
      </c>
      <c r="H1446" s="11">
        <v>0.209</v>
      </c>
      <c r="I1446" s="9" t="s">
        <v>66</v>
      </c>
    </row>
    <row r="1447">
      <c r="A1447" s="12" t="s">
        <v>193</v>
      </c>
      <c r="B1447" s="5" t="s">
        <v>61</v>
      </c>
      <c r="C1447" s="11">
        <v>0.093</v>
      </c>
      <c r="D1447" s="11">
        <v>9.0</v>
      </c>
      <c r="E1447" s="8"/>
      <c r="F1447" s="8"/>
      <c r="G1447" s="11">
        <v>0.069</v>
      </c>
      <c r="H1447" s="11">
        <v>0.684</v>
      </c>
      <c r="I1447" s="9" t="s">
        <v>66</v>
      </c>
    </row>
    <row r="1448">
      <c r="A1448" s="12" t="s">
        <v>271</v>
      </c>
      <c r="B1448" s="5" t="s">
        <v>61</v>
      </c>
      <c r="C1448" s="8"/>
      <c r="D1448" s="8"/>
      <c r="E1448" s="8"/>
      <c r="F1448" s="8"/>
      <c r="G1448" s="11">
        <v>0.01</v>
      </c>
      <c r="H1448" s="11">
        <v>0.022</v>
      </c>
      <c r="I1448" s="9" t="s">
        <v>66</v>
      </c>
    </row>
    <row r="1449">
      <c r="A1449" s="12" t="s">
        <v>163</v>
      </c>
      <c r="B1449" s="5" t="s">
        <v>61</v>
      </c>
      <c r="C1449" s="11">
        <v>0.666</v>
      </c>
      <c r="D1449" s="11">
        <v>71.0</v>
      </c>
      <c r="E1449" s="8"/>
      <c r="F1449" s="11">
        <v>264.0</v>
      </c>
      <c r="G1449" s="11">
        <v>0.024</v>
      </c>
      <c r="H1449" s="11">
        <v>0.08</v>
      </c>
      <c r="I1449" s="9" t="s">
        <v>66</v>
      </c>
    </row>
    <row r="1450">
      <c r="A1450" s="12" t="s">
        <v>101</v>
      </c>
      <c r="B1450" s="5" t="s">
        <v>61</v>
      </c>
      <c r="C1450" s="11">
        <v>0.408</v>
      </c>
      <c r="D1450" s="11">
        <v>62.0</v>
      </c>
      <c r="E1450" s="8"/>
      <c r="F1450" s="11">
        <v>274.0</v>
      </c>
      <c r="G1450" s="11">
        <v>0.038</v>
      </c>
      <c r="H1450" s="11">
        <v>0.055</v>
      </c>
      <c r="I1450" s="9" t="s">
        <v>66</v>
      </c>
    </row>
    <row r="1451">
      <c r="A1451" s="12" t="s">
        <v>94</v>
      </c>
      <c r="B1451" s="5" t="s">
        <v>61</v>
      </c>
      <c r="C1451" s="11">
        <v>0.353</v>
      </c>
      <c r="D1451" s="11">
        <v>50.0</v>
      </c>
      <c r="E1451" s="8"/>
      <c r="F1451" s="11">
        <v>400.0</v>
      </c>
      <c r="G1451" s="11">
        <v>0.002</v>
      </c>
      <c r="H1451" s="11">
        <v>0.063</v>
      </c>
      <c r="I1451" s="9" t="s">
        <v>66</v>
      </c>
    </row>
    <row r="1452">
      <c r="A1452" s="12" t="s">
        <v>110</v>
      </c>
      <c r="B1452" s="5" t="s">
        <v>61</v>
      </c>
      <c r="C1452" s="11">
        <v>0.215</v>
      </c>
      <c r="D1452" s="11">
        <v>86.0</v>
      </c>
      <c r="E1452" s="8"/>
      <c r="F1452" s="11">
        <v>137.0</v>
      </c>
      <c r="G1452" s="11">
        <v>0.003</v>
      </c>
      <c r="H1452" s="11">
        <v>0.08</v>
      </c>
      <c r="I1452" s="9" t="s">
        <v>66</v>
      </c>
    </row>
    <row r="1453">
      <c r="A1453" s="12" t="s">
        <v>225</v>
      </c>
      <c r="B1453" s="5" t="s">
        <v>61</v>
      </c>
      <c r="C1453" s="11">
        <v>0.472</v>
      </c>
      <c r="D1453" s="11">
        <v>47.0</v>
      </c>
      <c r="E1453" s="8"/>
      <c r="F1453" s="11">
        <v>195.0</v>
      </c>
      <c r="G1453" s="11">
        <v>0.054</v>
      </c>
      <c r="H1453" s="11">
        <v>0.405</v>
      </c>
      <c r="I1453" s="9" t="s">
        <v>66</v>
      </c>
    </row>
    <row r="1454">
      <c r="A1454" s="12" t="s">
        <v>180</v>
      </c>
      <c r="B1454" s="5" t="s">
        <v>61</v>
      </c>
      <c r="C1454" s="11">
        <v>0.352</v>
      </c>
      <c r="D1454" s="11">
        <v>153.0</v>
      </c>
      <c r="E1454" s="8"/>
      <c r="F1454" s="11">
        <v>672.0</v>
      </c>
      <c r="G1454" s="11">
        <v>0.009</v>
      </c>
      <c r="H1454" s="11">
        <v>0.114</v>
      </c>
      <c r="I1454" s="9" t="s">
        <v>66</v>
      </c>
    </row>
    <row r="1455">
      <c r="A1455" s="12" t="s">
        <v>220</v>
      </c>
      <c r="B1455" s="5" t="s">
        <v>61</v>
      </c>
      <c r="C1455" s="11">
        <v>0.431</v>
      </c>
      <c r="D1455" s="11">
        <v>24.0</v>
      </c>
      <c r="E1455" s="8"/>
      <c r="F1455" s="11">
        <v>560.0</v>
      </c>
      <c r="G1455" s="11">
        <v>0.063</v>
      </c>
      <c r="H1455" s="11">
        <v>0.081</v>
      </c>
      <c r="I1455" s="9" t="s">
        <v>66</v>
      </c>
    </row>
    <row r="1456">
      <c r="A1456" s="12" t="s">
        <v>209</v>
      </c>
      <c r="B1456" s="5" t="s">
        <v>61</v>
      </c>
      <c r="C1456" s="11">
        <v>0.325</v>
      </c>
      <c r="D1456" s="11">
        <v>31.0</v>
      </c>
      <c r="E1456" s="8"/>
      <c r="F1456" s="11">
        <v>408.0</v>
      </c>
      <c r="G1456" s="11">
        <v>0.008</v>
      </c>
      <c r="H1456" s="11">
        <v>0.009</v>
      </c>
      <c r="I1456" s="9" t="s">
        <v>66</v>
      </c>
    </row>
    <row r="1457">
      <c r="A1457" s="12" t="s">
        <v>262</v>
      </c>
      <c r="B1457" s="5" t="s">
        <v>61</v>
      </c>
      <c r="C1457" s="11">
        <v>0.799</v>
      </c>
      <c r="D1457" s="11">
        <v>80.0</v>
      </c>
      <c r="E1457" s="8"/>
      <c r="F1457" s="11">
        <v>224.0</v>
      </c>
      <c r="G1457" s="11">
        <v>0.003</v>
      </c>
      <c r="H1457" s="11">
        <v>0.039</v>
      </c>
      <c r="I1457" s="9" t="s">
        <v>66</v>
      </c>
    </row>
    <row r="1458">
      <c r="A1458" s="12" t="s">
        <v>265</v>
      </c>
      <c r="B1458" s="5" t="s">
        <v>61</v>
      </c>
      <c r="C1458" s="11">
        <v>0.484</v>
      </c>
      <c r="D1458" s="11">
        <v>167.0</v>
      </c>
      <c r="E1458" s="8"/>
      <c r="F1458" s="11">
        <v>640.0</v>
      </c>
      <c r="G1458" s="11">
        <v>0.001</v>
      </c>
      <c r="H1458" s="11">
        <v>0.033</v>
      </c>
      <c r="I1458" s="9" t="s">
        <v>66</v>
      </c>
    </row>
    <row r="1459">
      <c r="A1459" s="12" t="s">
        <v>59</v>
      </c>
      <c r="B1459" s="5" t="s">
        <v>61</v>
      </c>
      <c r="C1459" s="11">
        <v>0.363</v>
      </c>
      <c r="D1459" s="11">
        <v>9.0</v>
      </c>
      <c r="E1459" s="8"/>
      <c r="F1459" s="11">
        <v>275.0</v>
      </c>
      <c r="G1459" s="11">
        <v>0.012</v>
      </c>
      <c r="H1459" s="11">
        <v>0.048</v>
      </c>
      <c r="I1459" s="9" t="s">
        <v>66</v>
      </c>
    </row>
    <row r="1460">
      <c r="A1460" s="12" t="s">
        <v>189</v>
      </c>
      <c r="B1460" s="5" t="s">
        <v>61</v>
      </c>
      <c r="C1460" s="8"/>
      <c r="D1460" s="8"/>
      <c r="E1460" s="8"/>
      <c r="F1460" s="8"/>
      <c r="G1460" s="11">
        <v>0.464</v>
      </c>
      <c r="H1460" s="11">
        <v>1.326</v>
      </c>
      <c r="I1460" s="9" t="s">
        <v>67</v>
      </c>
    </row>
    <row r="1461">
      <c r="A1461" s="12" t="s">
        <v>248</v>
      </c>
      <c r="B1461" s="5" t="s">
        <v>61</v>
      </c>
      <c r="C1461" s="11">
        <v>0.311</v>
      </c>
      <c r="D1461" s="11">
        <v>17.0</v>
      </c>
      <c r="E1461" s="8"/>
      <c r="F1461" s="11">
        <v>290.0</v>
      </c>
      <c r="G1461" s="11">
        <v>0.781</v>
      </c>
      <c r="H1461" s="11">
        <v>0.85</v>
      </c>
      <c r="I1461" s="9" t="s">
        <v>67</v>
      </c>
    </row>
    <row r="1462">
      <c r="A1462" s="12" t="s">
        <v>172</v>
      </c>
      <c r="B1462" s="5" t="s">
        <v>61</v>
      </c>
      <c r="C1462" s="11">
        <v>0.525</v>
      </c>
      <c r="D1462" s="11">
        <v>22.0</v>
      </c>
      <c r="E1462" s="8"/>
      <c r="F1462" s="11">
        <v>350.0</v>
      </c>
      <c r="G1462" s="11">
        <v>0.687</v>
      </c>
      <c r="H1462" s="11">
        <v>0.785</v>
      </c>
      <c r="I1462" s="9" t="s">
        <v>67</v>
      </c>
    </row>
    <row r="1463">
      <c r="A1463" s="12" t="s">
        <v>241</v>
      </c>
      <c r="B1463" s="5" t="s">
        <v>61</v>
      </c>
      <c r="C1463" s="11">
        <v>0.238</v>
      </c>
      <c r="D1463" s="11">
        <v>6.0</v>
      </c>
      <c r="E1463" s="8"/>
      <c r="F1463" s="11">
        <v>80.0</v>
      </c>
      <c r="G1463" s="11">
        <v>0.59</v>
      </c>
      <c r="H1463" s="11">
        <v>1.038</v>
      </c>
      <c r="I1463" s="9" t="s">
        <v>67</v>
      </c>
    </row>
    <row r="1464">
      <c r="A1464" s="12" t="s">
        <v>160</v>
      </c>
      <c r="B1464" s="5" t="s">
        <v>61</v>
      </c>
      <c r="C1464" s="11">
        <v>0.241</v>
      </c>
      <c r="D1464" s="11">
        <v>11.0</v>
      </c>
      <c r="E1464" s="8"/>
      <c r="F1464" s="11">
        <v>80.0</v>
      </c>
      <c r="G1464" s="11">
        <v>0.608</v>
      </c>
      <c r="H1464" s="11">
        <v>1.367</v>
      </c>
      <c r="I1464" s="9" t="s">
        <v>67</v>
      </c>
    </row>
    <row r="1465">
      <c r="A1465" s="12" t="s">
        <v>264</v>
      </c>
      <c r="B1465" s="5" t="s">
        <v>61</v>
      </c>
      <c r="C1465" s="11">
        <v>0.374</v>
      </c>
      <c r="D1465" s="11">
        <v>33.0</v>
      </c>
      <c r="E1465" s="8"/>
      <c r="F1465" s="11">
        <v>264.0</v>
      </c>
      <c r="G1465" s="11">
        <v>0.172</v>
      </c>
      <c r="H1465" s="11">
        <v>0.609</v>
      </c>
      <c r="I1465" s="9" t="s">
        <v>67</v>
      </c>
    </row>
    <row r="1466">
      <c r="A1466" s="12" t="s">
        <v>117</v>
      </c>
      <c r="B1466" s="5" t="s">
        <v>61</v>
      </c>
      <c r="C1466" s="11">
        <v>0.807</v>
      </c>
      <c r="D1466" s="11">
        <v>35.0</v>
      </c>
      <c r="E1466" s="8"/>
      <c r="F1466" s="11">
        <v>832.0</v>
      </c>
      <c r="G1466" s="11">
        <v>0.105</v>
      </c>
      <c r="H1466" s="11">
        <v>0.348</v>
      </c>
      <c r="I1466" s="9" t="s">
        <v>67</v>
      </c>
    </row>
    <row r="1467">
      <c r="A1467" s="12" t="s">
        <v>147</v>
      </c>
      <c r="B1467" s="5" t="s">
        <v>61</v>
      </c>
      <c r="C1467" s="11">
        <v>0.386</v>
      </c>
      <c r="D1467" s="11">
        <v>16.0</v>
      </c>
      <c r="E1467" s="8"/>
      <c r="F1467" s="11">
        <v>387.0</v>
      </c>
      <c r="G1467" s="11">
        <v>0.075</v>
      </c>
      <c r="H1467" s="11">
        <v>0.383</v>
      </c>
      <c r="I1467" s="9" t="s">
        <v>67</v>
      </c>
    </row>
    <row r="1468">
      <c r="A1468" s="12" t="s">
        <v>86</v>
      </c>
      <c r="B1468" s="5" t="s">
        <v>61</v>
      </c>
      <c r="C1468" s="11">
        <v>0.366</v>
      </c>
      <c r="D1468" s="11">
        <v>17.0</v>
      </c>
      <c r="E1468" s="8"/>
      <c r="F1468" s="11">
        <v>580.0</v>
      </c>
      <c r="G1468" s="11">
        <v>0.056</v>
      </c>
      <c r="H1468" s="11">
        <v>0.42</v>
      </c>
      <c r="I1468" s="9" t="s">
        <v>67</v>
      </c>
    </row>
    <row r="1469">
      <c r="A1469" s="12" t="s">
        <v>216</v>
      </c>
      <c r="B1469" s="5" t="s">
        <v>61</v>
      </c>
      <c r="C1469" s="8"/>
      <c r="D1469" s="8"/>
      <c r="E1469" s="8"/>
      <c r="F1469" s="8"/>
      <c r="G1469" s="8"/>
      <c r="H1469" s="8"/>
      <c r="I1469" s="9" t="s">
        <v>67</v>
      </c>
    </row>
    <row r="1470">
      <c r="A1470" s="12" t="s">
        <v>282</v>
      </c>
      <c r="B1470" s="5" t="s">
        <v>61</v>
      </c>
      <c r="C1470" s="11">
        <v>0.399</v>
      </c>
      <c r="D1470" s="11">
        <v>50.0</v>
      </c>
      <c r="E1470" s="8"/>
      <c r="F1470" s="11">
        <v>1050.0</v>
      </c>
      <c r="G1470" s="11">
        <v>0.173</v>
      </c>
      <c r="H1470" s="11">
        <v>0.22</v>
      </c>
      <c r="I1470" s="9" t="s">
        <v>67</v>
      </c>
    </row>
    <row r="1471">
      <c r="A1471" s="12" t="s">
        <v>90</v>
      </c>
      <c r="B1471" s="5" t="s">
        <v>61</v>
      </c>
      <c r="C1471" s="11">
        <v>0.422</v>
      </c>
      <c r="D1471" s="11">
        <v>51.0</v>
      </c>
      <c r="E1471" s="8"/>
      <c r="F1471" s="11">
        <v>1000.0</v>
      </c>
      <c r="G1471" s="11">
        <v>0.12</v>
      </c>
      <c r="H1471" s="11">
        <v>0.384</v>
      </c>
      <c r="I1471" s="9" t="s">
        <v>67</v>
      </c>
    </row>
    <row r="1472">
      <c r="A1472" s="12" t="s">
        <v>192</v>
      </c>
      <c r="B1472" s="5" t="s">
        <v>61</v>
      </c>
      <c r="C1472" s="11">
        <v>0.36</v>
      </c>
      <c r="D1472" s="11">
        <v>37.0</v>
      </c>
      <c r="E1472" s="8"/>
      <c r="F1472" s="11">
        <v>190.0</v>
      </c>
      <c r="G1472" s="11">
        <v>0.516</v>
      </c>
      <c r="H1472" s="11">
        <v>0.739</v>
      </c>
      <c r="I1472" s="9" t="s">
        <v>67</v>
      </c>
    </row>
    <row r="1473">
      <c r="A1473" s="12" t="s">
        <v>207</v>
      </c>
      <c r="B1473" s="5" t="s">
        <v>61</v>
      </c>
      <c r="C1473" s="8"/>
      <c r="D1473" s="8"/>
      <c r="E1473" s="8"/>
      <c r="F1473" s="8"/>
      <c r="G1473" s="11">
        <v>0.002</v>
      </c>
      <c r="H1473" s="11">
        <v>0.004</v>
      </c>
      <c r="I1473" s="9" t="s">
        <v>67</v>
      </c>
    </row>
    <row r="1474">
      <c r="A1474" s="12" t="s">
        <v>251</v>
      </c>
      <c r="B1474" s="5" t="s">
        <v>61</v>
      </c>
      <c r="C1474" s="11">
        <v>0.598</v>
      </c>
      <c r="D1474" s="11">
        <v>48.0</v>
      </c>
      <c r="E1474" s="8"/>
      <c r="F1474" s="11">
        <v>256.0</v>
      </c>
      <c r="G1474" s="11">
        <v>0.025</v>
      </c>
      <c r="H1474" s="11">
        <v>0.269</v>
      </c>
      <c r="I1474" s="9" t="s">
        <v>67</v>
      </c>
    </row>
    <row r="1475">
      <c r="A1475" s="12" t="s">
        <v>106</v>
      </c>
      <c r="B1475" s="5" t="s">
        <v>61</v>
      </c>
      <c r="C1475" s="11">
        <v>0.374</v>
      </c>
      <c r="D1475" s="11">
        <v>116.0</v>
      </c>
      <c r="E1475" s="8"/>
      <c r="F1475" s="11">
        <v>144.0</v>
      </c>
      <c r="G1475" s="11">
        <v>0.422</v>
      </c>
      <c r="H1475" s="11">
        <v>0.804</v>
      </c>
      <c r="I1475" s="9" t="s">
        <v>67</v>
      </c>
    </row>
    <row r="1476">
      <c r="A1476" s="12" t="s">
        <v>174</v>
      </c>
      <c r="B1476" s="5" t="s">
        <v>61</v>
      </c>
      <c r="C1476" s="11">
        <v>0.442</v>
      </c>
      <c r="D1476" s="11">
        <v>21.0</v>
      </c>
      <c r="E1476" s="8"/>
      <c r="F1476" s="11">
        <v>271.0</v>
      </c>
      <c r="G1476" s="11">
        <v>0.033</v>
      </c>
      <c r="H1476" s="11">
        <v>0.511</v>
      </c>
      <c r="I1476" s="9" t="s">
        <v>67</v>
      </c>
    </row>
    <row r="1477">
      <c r="A1477" s="12" t="s">
        <v>203</v>
      </c>
      <c r="B1477" s="5" t="s">
        <v>61</v>
      </c>
      <c r="C1477" s="11">
        <v>0.398</v>
      </c>
      <c r="D1477" s="11">
        <v>13.0</v>
      </c>
      <c r="E1477" s="8"/>
      <c r="F1477" s="11">
        <v>204.0</v>
      </c>
      <c r="G1477" s="8"/>
      <c r="H1477" s="11">
        <v>0.303</v>
      </c>
      <c r="I1477" s="9" t="s">
        <v>67</v>
      </c>
    </row>
    <row r="1478">
      <c r="A1478" s="12" t="s">
        <v>279</v>
      </c>
      <c r="B1478" s="5" t="s">
        <v>61</v>
      </c>
      <c r="C1478" s="11">
        <v>1.121</v>
      </c>
      <c r="D1478" s="11">
        <v>29.0</v>
      </c>
      <c r="E1478" s="8"/>
      <c r="F1478" s="11">
        <v>196.0</v>
      </c>
      <c r="G1478" s="11">
        <v>0.064</v>
      </c>
      <c r="H1478" s="11">
        <v>0.096</v>
      </c>
      <c r="I1478" s="9" t="s">
        <v>67</v>
      </c>
    </row>
    <row r="1479">
      <c r="A1479" s="12" t="s">
        <v>164</v>
      </c>
      <c r="B1479" s="5" t="s">
        <v>61</v>
      </c>
      <c r="C1479" s="11">
        <v>0.375</v>
      </c>
      <c r="D1479" s="11">
        <v>97.0</v>
      </c>
      <c r="E1479" s="8"/>
      <c r="F1479" s="11">
        <v>576.0</v>
      </c>
      <c r="G1479" s="11">
        <v>0.048</v>
      </c>
      <c r="H1479" s="11">
        <v>0.28</v>
      </c>
      <c r="I1479" s="9" t="s">
        <v>67</v>
      </c>
    </row>
    <row r="1480">
      <c r="A1480" s="12" t="s">
        <v>193</v>
      </c>
      <c r="B1480" s="5" t="s">
        <v>61</v>
      </c>
      <c r="C1480" s="11">
        <v>0.093</v>
      </c>
      <c r="D1480" s="11">
        <v>9.0</v>
      </c>
      <c r="E1480" s="8"/>
      <c r="F1480" s="8"/>
      <c r="G1480" s="11">
        <v>0.11</v>
      </c>
      <c r="H1480" s="11">
        <v>0.895</v>
      </c>
      <c r="I1480" s="9" t="s">
        <v>67</v>
      </c>
    </row>
    <row r="1481">
      <c r="A1481" s="12" t="s">
        <v>271</v>
      </c>
      <c r="B1481" s="5" t="s">
        <v>61</v>
      </c>
      <c r="C1481" s="8"/>
      <c r="D1481" s="8"/>
      <c r="E1481" s="8"/>
      <c r="F1481" s="8"/>
      <c r="G1481" s="11">
        <v>0.013</v>
      </c>
      <c r="H1481" s="11">
        <v>0.045</v>
      </c>
      <c r="I1481" s="9" t="s">
        <v>67</v>
      </c>
    </row>
    <row r="1482">
      <c r="A1482" s="12" t="s">
        <v>101</v>
      </c>
      <c r="B1482" s="5" t="s">
        <v>61</v>
      </c>
      <c r="C1482" s="11">
        <v>0.408</v>
      </c>
      <c r="D1482" s="11">
        <v>62.0</v>
      </c>
      <c r="E1482" s="8"/>
      <c r="F1482" s="11">
        <v>274.0</v>
      </c>
      <c r="G1482" s="11">
        <v>0.045</v>
      </c>
      <c r="H1482" s="11">
        <v>0.123</v>
      </c>
      <c r="I1482" s="9" t="s">
        <v>67</v>
      </c>
    </row>
    <row r="1483">
      <c r="A1483" s="12" t="s">
        <v>163</v>
      </c>
      <c r="B1483" s="5" t="s">
        <v>61</v>
      </c>
      <c r="C1483" s="11">
        <v>0.74</v>
      </c>
      <c r="D1483" s="11">
        <v>35.0</v>
      </c>
      <c r="E1483" s="8"/>
      <c r="F1483" s="11">
        <v>264.0</v>
      </c>
      <c r="G1483" s="11">
        <v>0.028</v>
      </c>
      <c r="H1483" s="11">
        <v>0.145</v>
      </c>
      <c r="I1483" s="9" t="s">
        <v>67</v>
      </c>
    </row>
    <row r="1484">
      <c r="A1484" s="12" t="s">
        <v>179</v>
      </c>
      <c r="B1484" s="5" t="s">
        <v>61</v>
      </c>
      <c r="C1484" s="11">
        <v>0.672</v>
      </c>
      <c r="D1484" s="11">
        <v>21.0</v>
      </c>
      <c r="E1484" s="8"/>
      <c r="F1484" s="11">
        <v>202.0</v>
      </c>
      <c r="G1484" s="11">
        <v>0.123</v>
      </c>
      <c r="H1484" s="11">
        <v>0.248</v>
      </c>
      <c r="I1484" s="9" t="s">
        <v>67</v>
      </c>
    </row>
    <row r="1485">
      <c r="A1485" s="12" t="s">
        <v>94</v>
      </c>
      <c r="B1485" s="5" t="s">
        <v>61</v>
      </c>
      <c r="C1485" s="11">
        <v>0.353</v>
      </c>
      <c r="D1485" s="11">
        <v>50.0</v>
      </c>
      <c r="E1485" s="8"/>
      <c r="F1485" s="11">
        <v>400.0</v>
      </c>
      <c r="G1485" s="11">
        <v>0.01</v>
      </c>
      <c r="H1485" s="11">
        <v>0.132</v>
      </c>
      <c r="I1485" s="9" t="s">
        <v>67</v>
      </c>
    </row>
    <row r="1486">
      <c r="A1486" s="12" t="s">
        <v>110</v>
      </c>
      <c r="B1486" s="5" t="s">
        <v>61</v>
      </c>
      <c r="C1486" s="11">
        <v>0.215</v>
      </c>
      <c r="D1486" s="11">
        <v>86.0</v>
      </c>
      <c r="E1486" s="8"/>
      <c r="F1486" s="11">
        <v>137.0</v>
      </c>
      <c r="G1486" s="11">
        <v>0.005</v>
      </c>
      <c r="H1486" s="11">
        <v>0.127</v>
      </c>
      <c r="I1486" s="9" t="s">
        <v>67</v>
      </c>
    </row>
    <row r="1487">
      <c r="A1487" s="12" t="s">
        <v>209</v>
      </c>
      <c r="B1487" s="5" t="s">
        <v>61</v>
      </c>
      <c r="C1487" s="11">
        <v>0.325</v>
      </c>
      <c r="D1487" s="11">
        <v>31.0</v>
      </c>
      <c r="E1487" s="8"/>
      <c r="F1487" s="11">
        <v>408.0</v>
      </c>
      <c r="G1487" s="11">
        <v>0.011</v>
      </c>
      <c r="H1487" s="11">
        <v>0.045</v>
      </c>
      <c r="I1487" s="9" t="s">
        <v>67</v>
      </c>
    </row>
    <row r="1488">
      <c r="A1488" s="12" t="s">
        <v>225</v>
      </c>
      <c r="B1488" s="5" t="s">
        <v>61</v>
      </c>
      <c r="C1488" s="11">
        <v>0.476</v>
      </c>
      <c r="D1488" s="11">
        <v>47.0</v>
      </c>
      <c r="E1488" s="8"/>
      <c r="F1488" s="11">
        <v>195.0</v>
      </c>
      <c r="G1488" s="11">
        <v>0.057</v>
      </c>
      <c r="H1488" s="11">
        <v>0.491</v>
      </c>
      <c r="I1488" s="9" t="s">
        <v>67</v>
      </c>
    </row>
    <row r="1489">
      <c r="A1489" s="12" t="s">
        <v>220</v>
      </c>
      <c r="B1489" s="5" t="s">
        <v>61</v>
      </c>
      <c r="C1489" s="11">
        <v>0.416</v>
      </c>
      <c r="D1489" s="11">
        <v>24.0</v>
      </c>
      <c r="E1489" s="8"/>
      <c r="F1489" s="11">
        <v>560.0</v>
      </c>
      <c r="G1489" s="11">
        <v>0.065</v>
      </c>
      <c r="H1489" s="11">
        <v>0.214</v>
      </c>
      <c r="I1489" s="9" t="s">
        <v>67</v>
      </c>
    </row>
    <row r="1490">
      <c r="A1490" s="12" t="s">
        <v>180</v>
      </c>
      <c r="B1490" s="5" t="s">
        <v>61</v>
      </c>
      <c r="C1490" s="11">
        <v>0.352</v>
      </c>
      <c r="D1490" s="11">
        <v>123.0</v>
      </c>
      <c r="E1490" s="8"/>
      <c r="F1490" s="11">
        <v>672.0</v>
      </c>
      <c r="G1490" s="11">
        <v>0.012</v>
      </c>
      <c r="H1490" s="11">
        <v>0.171</v>
      </c>
      <c r="I1490" s="9" t="s">
        <v>67</v>
      </c>
    </row>
    <row r="1491">
      <c r="A1491" s="12" t="s">
        <v>262</v>
      </c>
      <c r="B1491" s="5" t="s">
        <v>61</v>
      </c>
      <c r="C1491" s="11">
        <v>0.799</v>
      </c>
      <c r="D1491" s="11">
        <v>80.0</v>
      </c>
      <c r="E1491" s="8"/>
      <c r="F1491" s="11">
        <v>224.0</v>
      </c>
      <c r="G1491" s="11">
        <v>0.038</v>
      </c>
      <c r="H1491" s="11">
        <v>0.309</v>
      </c>
      <c r="I1491" s="9" t="s">
        <v>67</v>
      </c>
    </row>
    <row r="1492">
      <c r="A1492" s="12" t="s">
        <v>265</v>
      </c>
      <c r="B1492" s="5" t="s">
        <v>61</v>
      </c>
      <c r="C1492" s="11">
        <v>0.484</v>
      </c>
      <c r="D1492" s="11">
        <v>167.0</v>
      </c>
      <c r="E1492" s="8"/>
      <c r="F1492" s="11">
        <v>640.0</v>
      </c>
      <c r="G1492" s="11">
        <v>0.001</v>
      </c>
      <c r="H1492" s="11">
        <v>0.048</v>
      </c>
      <c r="I1492" s="9" t="s">
        <v>67</v>
      </c>
    </row>
    <row r="1493">
      <c r="A1493" s="12" t="s">
        <v>59</v>
      </c>
      <c r="B1493" s="5" t="s">
        <v>61</v>
      </c>
      <c r="C1493" s="11">
        <v>0.363</v>
      </c>
      <c r="D1493" s="11">
        <v>9.0</v>
      </c>
      <c r="E1493" s="8"/>
      <c r="F1493" s="11">
        <v>275.0</v>
      </c>
      <c r="G1493" s="11">
        <v>0.021</v>
      </c>
      <c r="H1493" s="11">
        <v>0.098</v>
      </c>
      <c r="I1493" s="9" t="s">
        <v>67</v>
      </c>
    </row>
    <row r="1494">
      <c r="A1494" s="12" t="s">
        <v>189</v>
      </c>
      <c r="B1494" s="5" t="s">
        <v>61</v>
      </c>
      <c r="C1494" s="8"/>
      <c r="D1494" s="8"/>
      <c r="E1494" s="8"/>
      <c r="F1494" s="8"/>
      <c r="G1494" s="11">
        <v>0.473</v>
      </c>
      <c r="H1494" s="11">
        <v>1.611</v>
      </c>
      <c r="I1494" s="9" t="s">
        <v>68</v>
      </c>
    </row>
    <row r="1495">
      <c r="A1495" s="12" t="s">
        <v>172</v>
      </c>
      <c r="B1495" s="5" t="s">
        <v>61</v>
      </c>
      <c r="C1495" s="11">
        <v>0.525</v>
      </c>
      <c r="D1495" s="11">
        <v>22.0</v>
      </c>
      <c r="E1495" s="8"/>
      <c r="F1495" s="11">
        <v>350.0</v>
      </c>
      <c r="G1495" s="11">
        <v>0.743</v>
      </c>
      <c r="H1495" s="11">
        <v>0.844</v>
      </c>
      <c r="I1495" s="9" t="s">
        <v>68</v>
      </c>
    </row>
    <row r="1496">
      <c r="A1496" s="12" t="s">
        <v>248</v>
      </c>
      <c r="B1496" s="5" t="s">
        <v>61</v>
      </c>
      <c r="C1496" s="11">
        <v>0.302</v>
      </c>
      <c r="D1496" s="11">
        <v>17.0</v>
      </c>
      <c r="E1496" s="8"/>
      <c r="F1496" s="11">
        <v>290.0</v>
      </c>
      <c r="G1496" s="11">
        <v>0.788</v>
      </c>
      <c r="H1496" s="11">
        <v>0.933</v>
      </c>
      <c r="I1496" s="9" t="s">
        <v>68</v>
      </c>
    </row>
    <row r="1497">
      <c r="A1497" s="12" t="s">
        <v>241</v>
      </c>
      <c r="B1497" s="5" t="s">
        <v>61</v>
      </c>
      <c r="C1497" s="11">
        <v>0.232</v>
      </c>
      <c r="D1497" s="11">
        <v>5.0</v>
      </c>
      <c r="E1497" s="8"/>
      <c r="F1497" s="11">
        <v>80.0</v>
      </c>
      <c r="G1497" s="11">
        <v>0.699</v>
      </c>
      <c r="H1497" s="11">
        <v>1.252</v>
      </c>
      <c r="I1497" s="9" t="s">
        <v>68</v>
      </c>
    </row>
    <row r="1498">
      <c r="A1498" s="12" t="s">
        <v>160</v>
      </c>
      <c r="B1498" s="5" t="s">
        <v>61</v>
      </c>
      <c r="C1498" s="11">
        <v>0.241</v>
      </c>
      <c r="D1498" s="11">
        <v>11.0</v>
      </c>
      <c r="E1498" s="8"/>
      <c r="F1498" s="11">
        <v>80.0</v>
      </c>
      <c r="G1498" s="11">
        <v>0.648</v>
      </c>
      <c r="H1498" s="11">
        <v>1.55</v>
      </c>
      <c r="I1498" s="9" t="s">
        <v>68</v>
      </c>
    </row>
    <row r="1499">
      <c r="A1499" s="12" t="s">
        <v>264</v>
      </c>
      <c r="B1499" s="5" t="s">
        <v>61</v>
      </c>
      <c r="C1499" s="11">
        <v>0.374</v>
      </c>
      <c r="D1499" s="11">
        <v>33.0</v>
      </c>
      <c r="E1499" s="8"/>
      <c r="F1499" s="11">
        <v>264.0</v>
      </c>
      <c r="G1499" s="11">
        <v>0.2</v>
      </c>
      <c r="H1499" s="11">
        <v>0.802</v>
      </c>
      <c r="I1499" s="9" t="s">
        <v>68</v>
      </c>
    </row>
    <row r="1500">
      <c r="A1500" s="12" t="s">
        <v>117</v>
      </c>
      <c r="B1500" s="5" t="s">
        <v>61</v>
      </c>
      <c r="C1500" s="11">
        <v>0.812</v>
      </c>
      <c r="D1500" s="11">
        <v>35.0</v>
      </c>
      <c r="E1500" s="8"/>
      <c r="F1500" s="11">
        <v>832.0</v>
      </c>
      <c r="G1500" s="11">
        <v>0.16</v>
      </c>
      <c r="H1500" s="11">
        <v>0.41</v>
      </c>
      <c r="I1500" s="9" t="s">
        <v>68</v>
      </c>
    </row>
    <row r="1501">
      <c r="A1501" s="12" t="s">
        <v>147</v>
      </c>
      <c r="B1501" s="5" t="s">
        <v>61</v>
      </c>
      <c r="C1501" s="11">
        <v>0.386</v>
      </c>
      <c r="D1501" s="11">
        <v>11.0</v>
      </c>
      <c r="E1501" s="8"/>
      <c r="F1501" s="11">
        <v>387.0</v>
      </c>
      <c r="G1501" s="11">
        <v>0.083</v>
      </c>
      <c r="H1501" s="11">
        <v>0.587</v>
      </c>
      <c r="I1501" s="9" t="s">
        <v>68</v>
      </c>
    </row>
    <row r="1502">
      <c r="A1502" s="12" t="s">
        <v>86</v>
      </c>
      <c r="B1502" s="5" t="s">
        <v>61</v>
      </c>
      <c r="C1502" s="11">
        <v>0.388</v>
      </c>
      <c r="D1502" s="11">
        <v>17.0</v>
      </c>
      <c r="E1502" s="8"/>
      <c r="F1502" s="11">
        <v>581.0</v>
      </c>
      <c r="G1502" s="11">
        <v>0.06</v>
      </c>
      <c r="H1502" s="11">
        <v>0.628</v>
      </c>
      <c r="I1502" s="9" t="s">
        <v>68</v>
      </c>
    </row>
    <row r="1503">
      <c r="A1503" s="12" t="s">
        <v>216</v>
      </c>
      <c r="B1503" s="5" t="s">
        <v>61</v>
      </c>
      <c r="C1503" s="8"/>
      <c r="D1503" s="8"/>
      <c r="E1503" s="8"/>
      <c r="F1503" s="8"/>
      <c r="G1503" s="8"/>
      <c r="H1503" s="8"/>
      <c r="I1503" s="9" t="s">
        <v>68</v>
      </c>
    </row>
    <row r="1504">
      <c r="A1504" s="12" t="s">
        <v>282</v>
      </c>
      <c r="B1504" s="5" t="s">
        <v>61</v>
      </c>
      <c r="C1504" s="11">
        <v>0.399</v>
      </c>
      <c r="D1504" s="11">
        <v>39.0</v>
      </c>
      <c r="E1504" s="8"/>
      <c r="F1504" s="11">
        <v>1050.0</v>
      </c>
      <c r="G1504" s="11">
        <v>0.208</v>
      </c>
      <c r="H1504" s="11">
        <v>0.52</v>
      </c>
      <c r="I1504" s="9" t="s">
        <v>68</v>
      </c>
    </row>
    <row r="1505">
      <c r="A1505" s="12" t="s">
        <v>90</v>
      </c>
      <c r="B1505" s="5" t="s">
        <v>61</v>
      </c>
      <c r="C1505" s="11">
        <v>0.409</v>
      </c>
      <c r="D1505" s="11">
        <v>36.0</v>
      </c>
      <c r="E1505" s="8"/>
      <c r="F1505" s="11">
        <v>952.0</v>
      </c>
      <c r="G1505" s="11">
        <v>0.145</v>
      </c>
      <c r="H1505" s="11">
        <v>0.515</v>
      </c>
      <c r="I1505" s="9" t="s">
        <v>68</v>
      </c>
    </row>
    <row r="1506">
      <c r="A1506" s="12" t="s">
        <v>192</v>
      </c>
      <c r="B1506" s="5" t="s">
        <v>61</v>
      </c>
      <c r="C1506" s="11">
        <v>0.36</v>
      </c>
      <c r="D1506" s="11">
        <v>31.0</v>
      </c>
      <c r="E1506" s="8"/>
      <c r="F1506" s="11">
        <v>166.0</v>
      </c>
      <c r="G1506" s="11">
        <v>0.557</v>
      </c>
      <c r="H1506" s="11">
        <v>0.871</v>
      </c>
      <c r="I1506" s="9" t="s">
        <v>68</v>
      </c>
    </row>
    <row r="1507">
      <c r="A1507" s="12" t="s">
        <v>106</v>
      </c>
      <c r="B1507" s="5" t="s">
        <v>61</v>
      </c>
      <c r="C1507" s="11">
        <v>0.374</v>
      </c>
      <c r="D1507" s="11">
        <v>116.0</v>
      </c>
      <c r="E1507" s="8"/>
      <c r="F1507" s="11">
        <v>144.0</v>
      </c>
      <c r="G1507" s="11">
        <v>0.447</v>
      </c>
      <c r="H1507" s="11">
        <v>0.96</v>
      </c>
      <c r="I1507" s="9" t="s">
        <v>68</v>
      </c>
    </row>
    <row r="1508">
      <c r="A1508" s="12" t="s">
        <v>207</v>
      </c>
      <c r="B1508" s="5" t="s">
        <v>61</v>
      </c>
      <c r="C1508" s="8"/>
      <c r="D1508" s="8"/>
      <c r="E1508" s="8"/>
      <c r="F1508" s="8"/>
      <c r="G1508" s="11">
        <v>0.002</v>
      </c>
      <c r="H1508" s="11">
        <v>0.005</v>
      </c>
      <c r="I1508" s="9" t="s">
        <v>68</v>
      </c>
    </row>
    <row r="1509">
      <c r="A1509" s="12" t="s">
        <v>251</v>
      </c>
      <c r="B1509" s="5" t="s">
        <v>61</v>
      </c>
      <c r="C1509" s="11">
        <v>0.617</v>
      </c>
      <c r="D1509" s="11">
        <v>40.0</v>
      </c>
      <c r="E1509" s="8"/>
      <c r="F1509" s="11">
        <v>256.0</v>
      </c>
      <c r="G1509" s="11">
        <v>0.039</v>
      </c>
      <c r="H1509" s="11">
        <v>0.393</v>
      </c>
      <c r="I1509" s="9" t="s">
        <v>68</v>
      </c>
    </row>
    <row r="1510">
      <c r="A1510" s="12" t="s">
        <v>174</v>
      </c>
      <c r="B1510" s="5" t="s">
        <v>61</v>
      </c>
      <c r="C1510" s="11">
        <v>0.414</v>
      </c>
      <c r="D1510" s="11">
        <v>21.0</v>
      </c>
      <c r="E1510" s="8"/>
      <c r="F1510" s="11">
        <v>271.0</v>
      </c>
      <c r="G1510" s="11">
        <v>0.04</v>
      </c>
      <c r="H1510" s="11">
        <v>0.8</v>
      </c>
      <c r="I1510" s="9" t="s">
        <v>68</v>
      </c>
    </row>
    <row r="1511">
      <c r="A1511" s="12" t="s">
        <v>164</v>
      </c>
      <c r="B1511" s="5" t="s">
        <v>61</v>
      </c>
      <c r="C1511" s="11">
        <v>0.375</v>
      </c>
      <c r="D1511" s="11">
        <v>105.0</v>
      </c>
      <c r="E1511" s="8"/>
      <c r="F1511" s="11">
        <v>266.0</v>
      </c>
      <c r="G1511" s="11">
        <v>0.058</v>
      </c>
      <c r="H1511" s="11">
        <v>0.404</v>
      </c>
      <c r="I1511" s="9" t="s">
        <v>68</v>
      </c>
    </row>
    <row r="1512">
      <c r="A1512" s="12" t="s">
        <v>271</v>
      </c>
      <c r="B1512" s="5" t="s">
        <v>61</v>
      </c>
      <c r="C1512" s="8"/>
      <c r="D1512" s="8"/>
      <c r="E1512" s="8"/>
      <c r="F1512" s="8"/>
      <c r="G1512" s="11">
        <v>0.014</v>
      </c>
      <c r="H1512" s="11">
        <v>0.079</v>
      </c>
      <c r="I1512" s="9" t="s">
        <v>68</v>
      </c>
    </row>
    <row r="1513">
      <c r="A1513" s="12" t="s">
        <v>203</v>
      </c>
      <c r="B1513" s="5" t="s">
        <v>61</v>
      </c>
      <c r="C1513" s="11">
        <v>0.398</v>
      </c>
      <c r="D1513" s="11">
        <v>13.0</v>
      </c>
      <c r="E1513" s="8"/>
      <c r="F1513" s="11">
        <v>204.0</v>
      </c>
      <c r="G1513" s="11">
        <v>0.09</v>
      </c>
      <c r="H1513" s="11">
        <v>0.46</v>
      </c>
      <c r="I1513" s="9" t="s">
        <v>68</v>
      </c>
    </row>
    <row r="1514">
      <c r="A1514" s="12" t="s">
        <v>163</v>
      </c>
      <c r="B1514" s="5" t="s">
        <v>61</v>
      </c>
      <c r="C1514" s="11">
        <v>0.727</v>
      </c>
      <c r="D1514" s="11">
        <v>33.0</v>
      </c>
      <c r="E1514" s="8"/>
      <c r="F1514" s="11">
        <v>271.0</v>
      </c>
      <c r="G1514" s="11">
        <v>0.04</v>
      </c>
      <c r="H1514" s="11">
        <v>0.202</v>
      </c>
      <c r="I1514" s="9" t="s">
        <v>68</v>
      </c>
    </row>
    <row r="1515">
      <c r="A1515" s="12" t="s">
        <v>101</v>
      </c>
      <c r="B1515" s="5" t="s">
        <v>61</v>
      </c>
      <c r="C1515" s="11">
        <v>0.408</v>
      </c>
      <c r="D1515" s="11">
        <v>48.0</v>
      </c>
      <c r="E1515" s="8"/>
      <c r="F1515" s="11">
        <v>274.0</v>
      </c>
      <c r="G1515" s="11">
        <v>0.059</v>
      </c>
      <c r="H1515" s="11">
        <v>0.22</v>
      </c>
      <c r="I1515" s="9" t="s">
        <v>68</v>
      </c>
    </row>
    <row r="1516">
      <c r="A1516" s="12" t="s">
        <v>94</v>
      </c>
      <c r="B1516" s="5" t="s">
        <v>61</v>
      </c>
      <c r="C1516" s="11">
        <v>0.37</v>
      </c>
      <c r="D1516" s="11">
        <v>74.0</v>
      </c>
      <c r="E1516" s="8"/>
      <c r="F1516" s="11">
        <v>400.0</v>
      </c>
      <c r="G1516" s="11">
        <v>0.018</v>
      </c>
      <c r="H1516" s="11">
        <v>0.235</v>
      </c>
      <c r="I1516" s="9" t="s">
        <v>68</v>
      </c>
    </row>
    <row r="1517">
      <c r="A1517" s="12" t="s">
        <v>193</v>
      </c>
      <c r="B1517" s="5" t="s">
        <v>61</v>
      </c>
      <c r="C1517" s="11">
        <v>0.093</v>
      </c>
      <c r="D1517" s="11">
        <v>9.0</v>
      </c>
      <c r="E1517" s="8"/>
      <c r="F1517" s="8"/>
      <c r="G1517" s="11">
        <v>0.163</v>
      </c>
      <c r="H1517" s="11">
        <v>1.017</v>
      </c>
      <c r="I1517" s="9" t="s">
        <v>68</v>
      </c>
    </row>
    <row r="1518">
      <c r="A1518" s="12" t="s">
        <v>279</v>
      </c>
      <c r="B1518" s="5" t="s">
        <v>61</v>
      </c>
      <c r="C1518" s="11">
        <v>0.903</v>
      </c>
      <c r="D1518" s="11">
        <v>15.0</v>
      </c>
      <c r="E1518" s="8"/>
      <c r="F1518" s="11">
        <v>196.0</v>
      </c>
      <c r="G1518" s="11">
        <v>0.075</v>
      </c>
      <c r="H1518" s="11">
        <v>0.213</v>
      </c>
      <c r="I1518" s="9" t="s">
        <v>68</v>
      </c>
    </row>
    <row r="1519">
      <c r="A1519" s="12" t="s">
        <v>179</v>
      </c>
      <c r="B1519" s="5" t="s">
        <v>61</v>
      </c>
      <c r="C1519" s="11">
        <v>0.614</v>
      </c>
      <c r="D1519" s="11">
        <v>21.0</v>
      </c>
      <c r="E1519" s="8"/>
      <c r="F1519" s="11">
        <v>202.0</v>
      </c>
      <c r="G1519" s="11">
        <v>0.14</v>
      </c>
      <c r="H1519" s="11">
        <v>0.422</v>
      </c>
      <c r="I1519" s="9" t="s">
        <v>68</v>
      </c>
    </row>
    <row r="1520">
      <c r="A1520" s="12" t="s">
        <v>225</v>
      </c>
      <c r="B1520" s="5" t="s">
        <v>61</v>
      </c>
      <c r="C1520" s="11">
        <v>0.491</v>
      </c>
      <c r="D1520" s="11">
        <v>47.0</v>
      </c>
      <c r="E1520" s="8"/>
      <c r="F1520" s="11">
        <v>195.0</v>
      </c>
      <c r="G1520" s="11">
        <v>0.06</v>
      </c>
      <c r="H1520" s="11">
        <v>0.645</v>
      </c>
      <c r="I1520" s="9" t="s">
        <v>68</v>
      </c>
    </row>
    <row r="1521">
      <c r="A1521" s="12" t="s">
        <v>209</v>
      </c>
      <c r="B1521" s="5" t="s">
        <v>61</v>
      </c>
      <c r="C1521" s="11">
        <v>0.328</v>
      </c>
      <c r="D1521" s="11">
        <v>31.0</v>
      </c>
      <c r="E1521" s="8"/>
      <c r="F1521" s="11">
        <v>408.0</v>
      </c>
      <c r="G1521" s="11">
        <v>0.014</v>
      </c>
      <c r="H1521" s="11">
        <v>0.126</v>
      </c>
      <c r="I1521" s="9" t="s">
        <v>68</v>
      </c>
    </row>
    <row r="1522">
      <c r="A1522" s="12" t="s">
        <v>110</v>
      </c>
      <c r="B1522" s="5" t="s">
        <v>61</v>
      </c>
      <c r="C1522" s="11">
        <v>0.215</v>
      </c>
      <c r="D1522" s="11">
        <v>86.0</v>
      </c>
      <c r="E1522" s="8"/>
      <c r="F1522" s="11">
        <v>137.0</v>
      </c>
      <c r="G1522" s="11">
        <v>0.005</v>
      </c>
      <c r="H1522" s="11">
        <v>0.188</v>
      </c>
      <c r="I1522" s="9" t="s">
        <v>68</v>
      </c>
    </row>
    <row r="1523">
      <c r="A1523" s="12" t="s">
        <v>220</v>
      </c>
      <c r="B1523" s="5" t="s">
        <v>61</v>
      </c>
      <c r="C1523" s="11">
        <v>0.402</v>
      </c>
      <c r="D1523" s="11">
        <v>24.0</v>
      </c>
      <c r="E1523" s="8"/>
      <c r="F1523" s="11">
        <v>560.0</v>
      </c>
      <c r="G1523" s="11">
        <v>0.068</v>
      </c>
      <c r="H1523" s="11">
        <v>0.383</v>
      </c>
      <c r="I1523" s="9" t="s">
        <v>68</v>
      </c>
    </row>
    <row r="1524">
      <c r="A1524" s="12" t="s">
        <v>180</v>
      </c>
      <c r="B1524" s="5" t="s">
        <v>61</v>
      </c>
      <c r="C1524" s="11">
        <v>0.352</v>
      </c>
      <c r="D1524" s="11">
        <v>93.0</v>
      </c>
      <c r="E1524" s="8"/>
      <c r="F1524" s="11">
        <v>672.0</v>
      </c>
      <c r="G1524" s="11">
        <v>0.016</v>
      </c>
      <c r="H1524" s="11">
        <v>0.246</v>
      </c>
      <c r="I1524" s="9" t="s">
        <v>68</v>
      </c>
    </row>
    <row r="1525">
      <c r="A1525" s="12" t="s">
        <v>262</v>
      </c>
      <c r="B1525" s="5" t="s">
        <v>61</v>
      </c>
      <c r="C1525" s="11">
        <v>0.8</v>
      </c>
      <c r="D1525" s="11">
        <v>62.0</v>
      </c>
      <c r="E1525" s="8"/>
      <c r="F1525" s="11">
        <v>224.0</v>
      </c>
      <c r="G1525" s="11">
        <v>0.072</v>
      </c>
      <c r="H1525" s="11">
        <v>0.3</v>
      </c>
      <c r="I1525" s="9" t="s">
        <v>68</v>
      </c>
    </row>
    <row r="1526">
      <c r="A1526" s="12" t="s">
        <v>265</v>
      </c>
      <c r="B1526" s="5" t="s">
        <v>61</v>
      </c>
      <c r="C1526" s="11">
        <v>0.484</v>
      </c>
      <c r="D1526" s="11">
        <v>158.0</v>
      </c>
      <c r="E1526" s="8"/>
      <c r="F1526" s="11">
        <v>640.0</v>
      </c>
      <c r="G1526" s="11">
        <v>0.001</v>
      </c>
      <c r="H1526" s="11">
        <v>0.076</v>
      </c>
      <c r="I1526" s="9" t="s">
        <v>68</v>
      </c>
    </row>
    <row r="1527">
      <c r="A1527" s="12" t="s">
        <v>59</v>
      </c>
      <c r="B1527" s="5" t="s">
        <v>61</v>
      </c>
      <c r="C1527" s="11">
        <v>0.363</v>
      </c>
      <c r="D1527" s="11">
        <v>9.0</v>
      </c>
      <c r="E1527" s="8"/>
      <c r="F1527" s="11">
        <v>275.0</v>
      </c>
      <c r="G1527" s="11">
        <v>0.019</v>
      </c>
      <c r="H1527" s="11">
        <v>0.177</v>
      </c>
      <c r="I1527" s="9" t="s">
        <v>68</v>
      </c>
    </row>
    <row r="1528">
      <c r="A1528" s="12" t="s">
        <v>189</v>
      </c>
      <c r="B1528" s="5" t="s">
        <v>61</v>
      </c>
      <c r="C1528" s="8"/>
      <c r="D1528" s="8"/>
      <c r="E1528" s="8"/>
      <c r="F1528" s="8"/>
      <c r="G1528" s="11">
        <v>0.492</v>
      </c>
      <c r="H1528" s="11">
        <v>1.838</v>
      </c>
      <c r="I1528" s="9" t="s">
        <v>69</v>
      </c>
    </row>
    <row r="1529">
      <c r="A1529" s="12" t="s">
        <v>248</v>
      </c>
      <c r="B1529" s="5" t="s">
        <v>61</v>
      </c>
      <c r="C1529" s="11">
        <v>0.325</v>
      </c>
      <c r="D1529" s="11">
        <v>17.0</v>
      </c>
      <c r="E1529" s="8"/>
      <c r="F1529" s="11">
        <v>250.0</v>
      </c>
      <c r="G1529" s="11">
        <v>0.81</v>
      </c>
      <c r="H1529" s="11">
        <v>0.953</v>
      </c>
      <c r="I1529" s="9" t="s">
        <v>69</v>
      </c>
    </row>
    <row r="1530">
      <c r="A1530" s="12" t="s">
        <v>172</v>
      </c>
      <c r="B1530" s="5" t="s">
        <v>61</v>
      </c>
      <c r="C1530" s="11">
        <v>0.55</v>
      </c>
      <c r="D1530" s="11">
        <v>22.0</v>
      </c>
      <c r="E1530" s="8"/>
      <c r="F1530" s="11">
        <v>355.0</v>
      </c>
      <c r="G1530" s="11">
        <v>0.754</v>
      </c>
      <c r="H1530" s="11">
        <v>0.867</v>
      </c>
      <c r="I1530" s="9" t="s">
        <v>69</v>
      </c>
    </row>
    <row r="1531">
      <c r="A1531" s="12" t="s">
        <v>241</v>
      </c>
      <c r="B1531" s="5" t="s">
        <v>61</v>
      </c>
      <c r="C1531" s="11">
        <v>0.279</v>
      </c>
      <c r="D1531" s="11">
        <v>4.0</v>
      </c>
      <c r="E1531" s="8"/>
      <c r="F1531" s="11">
        <v>84.0</v>
      </c>
      <c r="G1531" s="11">
        <v>0.69</v>
      </c>
      <c r="H1531" s="11">
        <v>1.323</v>
      </c>
      <c r="I1531" s="9" t="s">
        <v>69</v>
      </c>
    </row>
    <row r="1532">
      <c r="A1532" s="12" t="s">
        <v>160</v>
      </c>
      <c r="B1532" s="5" t="s">
        <v>61</v>
      </c>
      <c r="C1532" s="11">
        <v>0.241</v>
      </c>
      <c r="D1532" s="11">
        <v>11.0</v>
      </c>
      <c r="E1532" s="8"/>
      <c r="F1532" s="11">
        <v>80.0</v>
      </c>
      <c r="G1532" s="11">
        <v>0.667</v>
      </c>
      <c r="H1532" s="11">
        <v>1.662</v>
      </c>
      <c r="I1532" s="9" t="s">
        <v>69</v>
      </c>
    </row>
    <row r="1533">
      <c r="A1533" s="12" t="s">
        <v>264</v>
      </c>
      <c r="B1533" s="5" t="s">
        <v>61</v>
      </c>
      <c r="C1533" s="11">
        <v>0.375</v>
      </c>
      <c r="D1533" s="11">
        <v>33.0</v>
      </c>
      <c r="E1533" s="8"/>
      <c r="F1533" s="11">
        <v>264.0</v>
      </c>
      <c r="G1533" s="11">
        <v>0.182</v>
      </c>
      <c r="H1533" s="11">
        <v>0.934</v>
      </c>
      <c r="I1533" s="9" t="s">
        <v>69</v>
      </c>
    </row>
    <row r="1534">
      <c r="A1534" s="12" t="s">
        <v>117</v>
      </c>
      <c r="B1534" s="5" t="s">
        <v>61</v>
      </c>
      <c r="C1534" s="11">
        <v>0.799</v>
      </c>
      <c r="D1534" s="11">
        <v>41.0</v>
      </c>
      <c r="E1534" s="8"/>
      <c r="F1534" s="11">
        <v>464.0</v>
      </c>
      <c r="G1534" s="11">
        <v>0.226</v>
      </c>
      <c r="H1534" s="11">
        <v>0.478</v>
      </c>
      <c r="I1534" s="9" t="s">
        <v>69</v>
      </c>
    </row>
    <row r="1535">
      <c r="A1535" s="12" t="s">
        <v>147</v>
      </c>
      <c r="B1535" s="5" t="s">
        <v>61</v>
      </c>
      <c r="C1535" s="11">
        <v>0.386</v>
      </c>
      <c r="D1535" s="11">
        <v>3.0</v>
      </c>
      <c r="E1535" s="8"/>
      <c r="F1535" s="11">
        <v>387.0</v>
      </c>
      <c r="G1535" s="11">
        <v>0.1</v>
      </c>
      <c r="H1535" s="11">
        <v>0.624</v>
      </c>
      <c r="I1535" s="9" t="s">
        <v>69</v>
      </c>
    </row>
    <row r="1536">
      <c r="A1536" s="12" t="s">
        <v>86</v>
      </c>
      <c r="B1536" s="5" t="s">
        <v>61</v>
      </c>
      <c r="C1536" s="11">
        <v>0.386</v>
      </c>
      <c r="D1536" s="11">
        <v>17.0</v>
      </c>
      <c r="E1536" s="8"/>
      <c r="F1536" s="11">
        <v>581.0</v>
      </c>
      <c r="G1536" s="11">
        <v>0.062</v>
      </c>
      <c r="H1536" s="11">
        <v>0.484</v>
      </c>
      <c r="I1536" s="9" t="s">
        <v>69</v>
      </c>
    </row>
    <row r="1537">
      <c r="A1537" s="12" t="s">
        <v>216</v>
      </c>
      <c r="B1537" s="5" t="s">
        <v>61</v>
      </c>
      <c r="C1537" s="8"/>
      <c r="D1537" s="8"/>
      <c r="E1537" s="8"/>
      <c r="F1537" s="8"/>
      <c r="G1537" s="8"/>
      <c r="H1537" s="8"/>
      <c r="I1537" s="9" t="s">
        <v>69</v>
      </c>
    </row>
    <row r="1538">
      <c r="A1538" s="12" t="s">
        <v>90</v>
      </c>
      <c r="B1538" s="5" t="s">
        <v>61</v>
      </c>
      <c r="C1538" s="11">
        <v>0.409</v>
      </c>
      <c r="D1538" s="11">
        <v>10.0</v>
      </c>
      <c r="E1538" s="8"/>
      <c r="F1538" s="11">
        <v>376.0</v>
      </c>
      <c r="G1538" s="11">
        <v>0.171</v>
      </c>
      <c r="H1538" s="11">
        <v>0.738</v>
      </c>
      <c r="I1538" s="9" t="s">
        <v>69</v>
      </c>
    </row>
    <row r="1539">
      <c r="A1539" s="12" t="s">
        <v>282</v>
      </c>
      <c r="B1539" s="5" t="s">
        <v>61</v>
      </c>
      <c r="C1539" s="11">
        <v>0.399</v>
      </c>
      <c r="D1539" s="11">
        <v>39.0</v>
      </c>
      <c r="E1539" s="8"/>
      <c r="F1539" s="11">
        <v>1050.0</v>
      </c>
      <c r="G1539" s="11">
        <v>0.239</v>
      </c>
      <c r="H1539" s="11">
        <v>0.857</v>
      </c>
      <c r="I1539" s="9" t="s">
        <v>69</v>
      </c>
    </row>
    <row r="1540">
      <c r="A1540" s="12" t="s">
        <v>207</v>
      </c>
      <c r="B1540" s="5" t="s">
        <v>61</v>
      </c>
      <c r="C1540" s="8"/>
      <c r="D1540" s="8"/>
      <c r="E1540" s="8"/>
      <c r="F1540" s="8"/>
      <c r="G1540" s="11">
        <v>0.002</v>
      </c>
      <c r="H1540" s="11">
        <v>0.007</v>
      </c>
      <c r="I1540" s="9" t="s">
        <v>69</v>
      </c>
    </row>
    <row r="1541">
      <c r="A1541" s="12" t="s">
        <v>192</v>
      </c>
      <c r="B1541" s="5" t="s">
        <v>61</v>
      </c>
      <c r="C1541" s="11">
        <v>0.345</v>
      </c>
      <c r="D1541" s="11">
        <v>20.0</v>
      </c>
      <c r="E1541" s="8"/>
      <c r="F1541" s="11">
        <v>145.0</v>
      </c>
      <c r="G1541" s="11">
        <v>0.558</v>
      </c>
      <c r="H1541" s="11">
        <v>1.015</v>
      </c>
      <c r="I1541" s="9" t="s">
        <v>69</v>
      </c>
    </row>
    <row r="1542">
      <c r="A1542" s="12" t="s">
        <v>106</v>
      </c>
      <c r="B1542" s="5" t="s">
        <v>61</v>
      </c>
      <c r="C1542" s="11">
        <v>0.374</v>
      </c>
      <c r="D1542" s="11">
        <v>116.0</v>
      </c>
      <c r="E1542" s="8"/>
      <c r="F1542" s="11">
        <v>144.0</v>
      </c>
      <c r="G1542" s="11">
        <v>0.46</v>
      </c>
      <c r="H1542" s="11">
        <v>1.028</v>
      </c>
      <c r="I1542" s="9" t="s">
        <v>69</v>
      </c>
    </row>
    <row r="1543">
      <c r="A1543" s="12" t="s">
        <v>251</v>
      </c>
      <c r="B1543" s="5" t="s">
        <v>61</v>
      </c>
      <c r="C1543" s="11">
        <v>0.617</v>
      </c>
      <c r="D1543" s="11">
        <v>40.0</v>
      </c>
      <c r="E1543" s="8"/>
      <c r="F1543" s="11">
        <v>256.0</v>
      </c>
      <c r="G1543" s="11">
        <v>0.058</v>
      </c>
      <c r="H1543" s="11">
        <v>0.542</v>
      </c>
      <c r="I1543" s="9" t="s">
        <v>69</v>
      </c>
    </row>
    <row r="1544">
      <c r="A1544" s="12" t="s">
        <v>101</v>
      </c>
      <c r="B1544" s="5" t="s">
        <v>61</v>
      </c>
      <c r="C1544" s="11">
        <v>0.408</v>
      </c>
      <c r="D1544" s="11">
        <v>46.0</v>
      </c>
      <c r="E1544" s="8"/>
      <c r="F1544" s="11">
        <v>274.0</v>
      </c>
      <c r="G1544" s="11">
        <v>0.066</v>
      </c>
      <c r="H1544" s="11">
        <v>0.366</v>
      </c>
      <c r="I1544" s="9" t="s">
        <v>69</v>
      </c>
    </row>
    <row r="1545">
      <c r="A1545" s="12" t="s">
        <v>164</v>
      </c>
      <c r="B1545" s="5" t="s">
        <v>61</v>
      </c>
      <c r="C1545" s="11">
        <v>0.375</v>
      </c>
      <c r="D1545" s="11">
        <v>77.0</v>
      </c>
      <c r="E1545" s="8"/>
      <c r="F1545" s="11">
        <v>266.0</v>
      </c>
      <c r="G1545" s="11">
        <v>0.079</v>
      </c>
      <c r="H1545" s="11">
        <v>0.6</v>
      </c>
      <c r="I1545" s="9" t="s">
        <v>69</v>
      </c>
    </row>
    <row r="1546">
      <c r="A1546" s="12" t="s">
        <v>271</v>
      </c>
      <c r="B1546" s="5" t="s">
        <v>61</v>
      </c>
      <c r="C1546" s="8"/>
      <c r="D1546" s="8"/>
      <c r="E1546" s="8"/>
      <c r="F1546" s="8"/>
      <c r="G1546" s="11">
        <v>0.018</v>
      </c>
      <c r="H1546" s="11">
        <v>0.231</v>
      </c>
      <c r="I1546" s="9" t="s">
        <v>69</v>
      </c>
    </row>
    <row r="1547">
      <c r="A1547" s="12" t="s">
        <v>203</v>
      </c>
      <c r="B1547" s="5" t="s">
        <v>61</v>
      </c>
      <c r="C1547" s="11">
        <v>0.338</v>
      </c>
      <c r="D1547" s="11">
        <v>13.0</v>
      </c>
      <c r="E1547" s="8"/>
      <c r="F1547" s="11">
        <v>204.0</v>
      </c>
      <c r="G1547" s="11">
        <v>0.098</v>
      </c>
      <c r="H1547" s="11">
        <v>0.67</v>
      </c>
      <c r="I1547" s="9" t="s">
        <v>69</v>
      </c>
    </row>
    <row r="1548">
      <c r="A1548" s="12" t="s">
        <v>163</v>
      </c>
      <c r="B1548" s="5" t="s">
        <v>61</v>
      </c>
      <c r="C1548" s="11">
        <v>0.703</v>
      </c>
      <c r="D1548" s="11">
        <v>30.0</v>
      </c>
      <c r="E1548" s="8"/>
      <c r="F1548" s="11">
        <v>271.0</v>
      </c>
      <c r="G1548" s="11">
        <v>0.044</v>
      </c>
      <c r="H1548" s="11">
        <v>0.295</v>
      </c>
      <c r="I1548" s="9" t="s">
        <v>69</v>
      </c>
    </row>
    <row r="1549">
      <c r="A1549" s="12" t="s">
        <v>94</v>
      </c>
      <c r="B1549" s="5" t="s">
        <v>61</v>
      </c>
      <c r="C1549" s="11">
        <v>0.361</v>
      </c>
      <c r="D1549" s="11">
        <v>73.0</v>
      </c>
      <c r="E1549" s="8"/>
      <c r="F1549" s="11">
        <v>302.0</v>
      </c>
      <c r="G1549" s="11">
        <v>0.025</v>
      </c>
      <c r="H1549" s="11">
        <v>0.302</v>
      </c>
      <c r="I1549" s="9" t="s">
        <v>69</v>
      </c>
    </row>
    <row r="1550">
      <c r="A1550" s="12" t="s">
        <v>193</v>
      </c>
      <c r="B1550" s="5" t="s">
        <v>61</v>
      </c>
      <c r="C1550" s="11">
        <v>0.093</v>
      </c>
      <c r="D1550" s="11">
        <v>9.0</v>
      </c>
      <c r="E1550" s="8"/>
      <c r="F1550" s="8"/>
      <c r="G1550" s="11">
        <v>0.232</v>
      </c>
      <c r="H1550" s="11">
        <v>1.388</v>
      </c>
      <c r="I1550" s="9" t="s">
        <v>69</v>
      </c>
    </row>
    <row r="1551">
      <c r="A1551" s="12" t="s">
        <v>174</v>
      </c>
      <c r="B1551" s="5" t="s">
        <v>61</v>
      </c>
      <c r="C1551" s="11">
        <v>0.415</v>
      </c>
      <c r="D1551" s="11">
        <v>21.0</v>
      </c>
      <c r="E1551" s="8"/>
      <c r="F1551" s="11">
        <v>271.0</v>
      </c>
      <c r="G1551" s="11">
        <v>0.11</v>
      </c>
      <c r="H1551" s="11">
        <v>0.958</v>
      </c>
      <c r="I1551" s="9" t="s">
        <v>69</v>
      </c>
    </row>
    <row r="1552">
      <c r="A1552" s="12" t="s">
        <v>279</v>
      </c>
      <c r="B1552" s="5" t="s">
        <v>61</v>
      </c>
      <c r="C1552" s="11">
        <v>0.898</v>
      </c>
      <c r="D1552" s="11">
        <v>15.0</v>
      </c>
      <c r="E1552" s="8"/>
      <c r="F1552" s="11">
        <v>205.0</v>
      </c>
      <c r="G1552" s="11">
        <v>0.091</v>
      </c>
      <c r="H1552" s="11">
        <v>0.458</v>
      </c>
      <c r="I1552" s="9" t="s">
        <v>69</v>
      </c>
    </row>
    <row r="1553">
      <c r="A1553" s="12" t="s">
        <v>179</v>
      </c>
      <c r="B1553" s="5" t="s">
        <v>61</v>
      </c>
      <c r="C1553" s="11">
        <v>0.614</v>
      </c>
      <c r="D1553" s="11">
        <v>15.0</v>
      </c>
      <c r="E1553" s="8"/>
      <c r="F1553" s="11">
        <v>202.0</v>
      </c>
      <c r="G1553" s="11">
        <v>0.157</v>
      </c>
      <c r="H1553" s="11">
        <v>0.653</v>
      </c>
      <c r="I1553" s="9" t="s">
        <v>69</v>
      </c>
    </row>
    <row r="1554">
      <c r="A1554" s="12" t="s">
        <v>209</v>
      </c>
      <c r="B1554" s="5" t="s">
        <v>61</v>
      </c>
      <c r="C1554" s="11">
        <v>0.341</v>
      </c>
      <c r="D1554" s="11">
        <v>31.0</v>
      </c>
      <c r="E1554" s="8"/>
      <c r="F1554" s="11">
        <v>408.0</v>
      </c>
      <c r="G1554" s="11">
        <v>0.017</v>
      </c>
      <c r="H1554" s="11">
        <v>0.16</v>
      </c>
      <c r="I1554" s="9" t="s">
        <v>69</v>
      </c>
    </row>
    <row r="1555">
      <c r="A1555" s="12" t="s">
        <v>225</v>
      </c>
      <c r="B1555" s="5" t="s">
        <v>61</v>
      </c>
      <c r="C1555" s="11">
        <v>0.471</v>
      </c>
      <c r="D1555" s="11">
        <v>41.0</v>
      </c>
      <c r="E1555" s="8"/>
      <c r="F1555" s="11">
        <v>195.0</v>
      </c>
      <c r="G1555" s="11">
        <v>0.062</v>
      </c>
      <c r="H1555" s="11">
        <v>0.754</v>
      </c>
      <c r="I1555" s="9" t="s">
        <v>69</v>
      </c>
    </row>
    <row r="1556">
      <c r="A1556" s="12" t="s">
        <v>110</v>
      </c>
      <c r="B1556" s="5" t="s">
        <v>61</v>
      </c>
      <c r="C1556" s="11">
        <v>0.215</v>
      </c>
      <c r="D1556" s="11">
        <v>102.0</v>
      </c>
      <c r="E1556" s="8"/>
      <c r="F1556" s="11">
        <v>137.0</v>
      </c>
      <c r="G1556" s="11">
        <v>0.005</v>
      </c>
      <c r="H1556" s="11">
        <v>0.304</v>
      </c>
      <c r="I1556" s="9" t="s">
        <v>69</v>
      </c>
    </row>
    <row r="1557">
      <c r="A1557" s="12" t="s">
        <v>220</v>
      </c>
      <c r="B1557" s="5" t="s">
        <v>61</v>
      </c>
      <c r="C1557" s="11">
        <v>0.288</v>
      </c>
      <c r="D1557" s="11">
        <v>24.0</v>
      </c>
      <c r="E1557" s="8"/>
      <c r="F1557" s="11">
        <v>560.0</v>
      </c>
      <c r="G1557" s="11">
        <v>0.07</v>
      </c>
      <c r="H1557" s="11">
        <v>0.527</v>
      </c>
      <c r="I1557" s="9" t="s">
        <v>69</v>
      </c>
    </row>
    <row r="1558">
      <c r="A1558" s="12" t="s">
        <v>180</v>
      </c>
      <c r="B1558" s="5" t="s">
        <v>61</v>
      </c>
      <c r="C1558" s="11">
        <v>0.334</v>
      </c>
      <c r="D1558" s="11">
        <v>93.0</v>
      </c>
      <c r="E1558" s="8"/>
      <c r="F1558" s="11">
        <v>560.0</v>
      </c>
      <c r="G1558" s="11">
        <v>0.036</v>
      </c>
      <c r="H1558" s="11">
        <v>0.329</v>
      </c>
      <c r="I1558" s="9" t="s">
        <v>69</v>
      </c>
    </row>
    <row r="1559">
      <c r="A1559" s="12" t="s">
        <v>262</v>
      </c>
      <c r="B1559" s="5" t="s">
        <v>61</v>
      </c>
      <c r="C1559" s="11">
        <v>0.834</v>
      </c>
      <c r="D1559" s="11">
        <v>62.0</v>
      </c>
      <c r="E1559" s="8"/>
      <c r="F1559" s="11">
        <v>224.0</v>
      </c>
      <c r="G1559" s="11">
        <v>0.088</v>
      </c>
      <c r="H1559" s="11">
        <v>0.505</v>
      </c>
      <c r="I1559" s="9" t="s">
        <v>69</v>
      </c>
    </row>
    <row r="1560">
      <c r="A1560" s="12" t="s">
        <v>265</v>
      </c>
      <c r="B1560" s="5" t="s">
        <v>61</v>
      </c>
      <c r="C1560" s="11">
        <v>0.326</v>
      </c>
      <c r="D1560" s="11">
        <v>157.0</v>
      </c>
      <c r="E1560" s="8"/>
      <c r="F1560" s="11">
        <v>640.0</v>
      </c>
      <c r="G1560" s="11">
        <v>0.002</v>
      </c>
      <c r="H1560" s="11">
        <v>0.119</v>
      </c>
      <c r="I1560" s="9" t="s">
        <v>69</v>
      </c>
    </row>
    <row r="1561">
      <c r="A1561" s="12" t="s">
        <v>59</v>
      </c>
      <c r="B1561" s="5" t="s">
        <v>61</v>
      </c>
      <c r="C1561" s="11">
        <v>0.363</v>
      </c>
      <c r="D1561" s="11">
        <v>9.0</v>
      </c>
      <c r="E1561" s="8"/>
      <c r="F1561" s="11">
        <v>275.0</v>
      </c>
      <c r="G1561" s="11">
        <v>0.018</v>
      </c>
      <c r="H1561" s="11">
        <v>0.292</v>
      </c>
      <c r="I1561" s="9" t="s">
        <v>69</v>
      </c>
    </row>
    <row r="1562">
      <c r="A1562" s="12" t="s">
        <v>189</v>
      </c>
      <c r="B1562" s="5" t="s">
        <v>61</v>
      </c>
      <c r="C1562" s="8"/>
      <c r="D1562" s="8"/>
      <c r="E1562" s="8"/>
      <c r="F1562" s="8"/>
      <c r="G1562" s="11">
        <v>0.54</v>
      </c>
      <c r="H1562" s="11">
        <v>1.989</v>
      </c>
      <c r="I1562" s="9" t="s">
        <v>70</v>
      </c>
    </row>
    <row r="1563">
      <c r="A1563" s="12" t="s">
        <v>248</v>
      </c>
      <c r="B1563" s="5" t="s">
        <v>61</v>
      </c>
      <c r="C1563" s="11">
        <v>0.31</v>
      </c>
      <c r="D1563" s="11">
        <v>14.0</v>
      </c>
      <c r="E1563" s="8"/>
      <c r="F1563" s="11">
        <v>250.0</v>
      </c>
      <c r="G1563" s="11">
        <v>0.816</v>
      </c>
      <c r="H1563" s="11">
        <v>0.995</v>
      </c>
      <c r="I1563" s="9" t="s">
        <v>70</v>
      </c>
    </row>
    <row r="1564">
      <c r="A1564" s="12" t="s">
        <v>172</v>
      </c>
      <c r="B1564" s="5" t="s">
        <v>61</v>
      </c>
      <c r="C1564" s="11">
        <v>0.553</v>
      </c>
      <c r="D1564" s="11">
        <v>22.0</v>
      </c>
      <c r="E1564" s="8"/>
      <c r="F1564" s="11">
        <v>355.0</v>
      </c>
      <c r="G1564" s="11">
        <v>0.78</v>
      </c>
      <c r="H1564" s="11">
        <v>0.913</v>
      </c>
      <c r="I1564" s="9" t="s">
        <v>70</v>
      </c>
    </row>
    <row r="1565">
      <c r="A1565" s="12" t="s">
        <v>241</v>
      </c>
      <c r="B1565" s="5" t="s">
        <v>61</v>
      </c>
      <c r="C1565" s="11">
        <v>0.278</v>
      </c>
      <c r="D1565" s="11">
        <v>3.0</v>
      </c>
      <c r="E1565" s="8"/>
      <c r="F1565" s="11">
        <v>84.0</v>
      </c>
      <c r="G1565" s="11">
        <v>0.69</v>
      </c>
      <c r="H1565" s="11">
        <v>1.387</v>
      </c>
      <c r="I1565" s="9" t="s">
        <v>70</v>
      </c>
    </row>
    <row r="1566">
      <c r="A1566" s="12" t="s">
        <v>264</v>
      </c>
      <c r="B1566" s="5" t="s">
        <v>61</v>
      </c>
      <c r="C1566" s="11">
        <v>0.369</v>
      </c>
      <c r="D1566" s="11">
        <v>32.0</v>
      </c>
      <c r="E1566" s="8"/>
      <c r="F1566" s="11">
        <v>264.0</v>
      </c>
      <c r="G1566" s="11">
        <v>0.201</v>
      </c>
      <c r="H1566" s="11">
        <v>0.995</v>
      </c>
      <c r="I1566" s="9" t="s">
        <v>70</v>
      </c>
    </row>
    <row r="1567">
      <c r="A1567" s="12" t="s">
        <v>117</v>
      </c>
      <c r="B1567" s="5" t="s">
        <v>61</v>
      </c>
      <c r="C1567" s="11">
        <v>0.638</v>
      </c>
      <c r="D1567" s="11">
        <v>38.0</v>
      </c>
      <c r="E1567" s="8"/>
      <c r="F1567" s="11">
        <v>464.0</v>
      </c>
      <c r="G1567" s="11">
        <v>0.289</v>
      </c>
      <c r="H1567" s="11">
        <v>0.553</v>
      </c>
      <c r="I1567" s="9" t="s">
        <v>70</v>
      </c>
    </row>
    <row r="1568">
      <c r="A1568" s="12" t="s">
        <v>160</v>
      </c>
      <c r="B1568" s="5" t="s">
        <v>61</v>
      </c>
      <c r="C1568" s="11">
        <v>0.23</v>
      </c>
      <c r="D1568" s="11">
        <v>6.0</v>
      </c>
      <c r="E1568" s="8"/>
      <c r="F1568" s="11">
        <v>80.0</v>
      </c>
      <c r="G1568" s="11">
        <v>0.694</v>
      </c>
      <c r="H1568" s="11">
        <v>1.798</v>
      </c>
      <c r="I1568" s="9" t="s">
        <v>70</v>
      </c>
    </row>
    <row r="1569">
      <c r="A1569" s="12" t="s">
        <v>216</v>
      </c>
      <c r="B1569" s="5" t="s">
        <v>61</v>
      </c>
      <c r="C1569" s="8"/>
      <c r="D1569" s="8"/>
      <c r="E1569" s="8"/>
      <c r="F1569" s="8"/>
      <c r="G1569" s="8"/>
      <c r="H1569" s="11">
        <v>0.003</v>
      </c>
      <c r="I1569" s="9" t="s">
        <v>70</v>
      </c>
    </row>
    <row r="1570">
      <c r="A1570" s="12" t="s">
        <v>147</v>
      </c>
      <c r="B1570" s="5" t="s">
        <v>61</v>
      </c>
      <c r="C1570" s="11">
        <v>0.153</v>
      </c>
      <c r="D1570" s="11">
        <v>3.0</v>
      </c>
      <c r="E1570" s="8"/>
      <c r="F1570" s="11">
        <v>387.0</v>
      </c>
      <c r="G1570" s="11">
        <v>0.201</v>
      </c>
      <c r="H1570" s="11">
        <v>0.645</v>
      </c>
      <c r="I1570" s="9" t="s">
        <v>70</v>
      </c>
    </row>
    <row r="1571">
      <c r="A1571" s="12" t="s">
        <v>86</v>
      </c>
      <c r="B1571" s="5" t="s">
        <v>61</v>
      </c>
      <c r="C1571" s="11">
        <v>0.386</v>
      </c>
      <c r="D1571" s="11">
        <v>14.0</v>
      </c>
      <c r="E1571" s="8"/>
      <c r="F1571" s="11">
        <v>581.0</v>
      </c>
      <c r="G1571" s="11">
        <v>0.153</v>
      </c>
      <c r="H1571" s="11">
        <v>0.738</v>
      </c>
      <c r="I1571" s="9" t="s">
        <v>70</v>
      </c>
    </row>
    <row r="1572">
      <c r="A1572" s="12" t="s">
        <v>90</v>
      </c>
      <c r="B1572" s="5" t="s">
        <v>61</v>
      </c>
      <c r="C1572" s="11">
        <v>0.409</v>
      </c>
      <c r="D1572" s="11">
        <v>10.0</v>
      </c>
      <c r="E1572" s="8"/>
      <c r="F1572" s="11">
        <v>376.0</v>
      </c>
      <c r="G1572" s="11">
        <v>0.274</v>
      </c>
      <c r="H1572" s="11">
        <v>0.863</v>
      </c>
      <c r="I1572" s="9" t="s">
        <v>70</v>
      </c>
    </row>
    <row r="1573">
      <c r="A1573" s="12" t="s">
        <v>282</v>
      </c>
      <c r="B1573" s="5" t="s">
        <v>61</v>
      </c>
      <c r="C1573" s="11">
        <v>0.399</v>
      </c>
      <c r="D1573" s="11">
        <v>39.0</v>
      </c>
      <c r="E1573" s="8"/>
      <c r="F1573" s="11">
        <v>1050.0</v>
      </c>
      <c r="G1573" s="11">
        <v>0.266</v>
      </c>
      <c r="H1573" s="11">
        <v>1.114</v>
      </c>
      <c r="I1573" s="9" t="s">
        <v>70</v>
      </c>
    </row>
    <row r="1574">
      <c r="A1574" s="12" t="s">
        <v>106</v>
      </c>
      <c r="B1574" s="5" t="s">
        <v>61</v>
      </c>
      <c r="C1574" s="11">
        <v>0.303</v>
      </c>
      <c r="D1574" s="11">
        <v>116.0</v>
      </c>
      <c r="E1574" s="8"/>
      <c r="F1574" s="11">
        <v>144.0</v>
      </c>
      <c r="G1574" s="11">
        <v>0.49</v>
      </c>
      <c r="H1574" s="11">
        <v>1.047</v>
      </c>
      <c r="I1574" s="9" t="s">
        <v>70</v>
      </c>
    </row>
    <row r="1575">
      <c r="A1575" s="12" t="s">
        <v>207</v>
      </c>
      <c r="B1575" s="5" t="s">
        <v>61</v>
      </c>
      <c r="C1575" s="8"/>
      <c r="D1575" s="8"/>
      <c r="E1575" s="8"/>
      <c r="F1575" s="8"/>
      <c r="G1575" s="11">
        <v>0.002</v>
      </c>
      <c r="H1575" s="11">
        <v>0.01</v>
      </c>
      <c r="I1575" s="9" t="s">
        <v>70</v>
      </c>
    </row>
    <row r="1576">
      <c r="A1576" s="12" t="s">
        <v>192</v>
      </c>
      <c r="B1576" s="5" t="s">
        <v>61</v>
      </c>
      <c r="C1576" s="11">
        <v>0.342</v>
      </c>
      <c r="D1576" s="11">
        <v>18.0</v>
      </c>
      <c r="E1576" s="8"/>
      <c r="F1576" s="11">
        <v>145.0</v>
      </c>
      <c r="G1576" s="11">
        <v>0.559</v>
      </c>
      <c r="H1576" s="11">
        <v>1.085</v>
      </c>
      <c r="I1576" s="9" t="s">
        <v>70</v>
      </c>
    </row>
    <row r="1577">
      <c r="A1577" s="12" t="s">
        <v>251</v>
      </c>
      <c r="B1577" s="5" t="s">
        <v>61</v>
      </c>
      <c r="C1577" s="11">
        <v>0.617</v>
      </c>
      <c r="D1577" s="11">
        <v>40.0</v>
      </c>
      <c r="E1577" s="8"/>
      <c r="F1577" s="11">
        <v>256.0</v>
      </c>
      <c r="G1577" s="11">
        <v>0.088</v>
      </c>
      <c r="H1577" s="11">
        <v>0.791</v>
      </c>
      <c r="I1577" s="9" t="s">
        <v>70</v>
      </c>
    </row>
    <row r="1578">
      <c r="A1578" s="12" t="s">
        <v>164</v>
      </c>
      <c r="B1578" s="5" t="s">
        <v>61</v>
      </c>
      <c r="C1578" s="11">
        <v>0.378</v>
      </c>
      <c r="D1578" s="11">
        <v>63.0</v>
      </c>
      <c r="E1578" s="8"/>
      <c r="F1578" s="11">
        <v>266.0</v>
      </c>
      <c r="G1578" s="11">
        <v>0.069</v>
      </c>
      <c r="H1578" s="11">
        <v>0.689</v>
      </c>
      <c r="I1578" s="9" t="s">
        <v>70</v>
      </c>
    </row>
    <row r="1579">
      <c r="A1579" s="12" t="s">
        <v>101</v>
      </c>
      <c r="B1579" s="5" t="s">
        <v>61</v>
      </c>
      <c r="C1579" s="11">
        <v>0.408</v>
      </c>
      <c r="D1579" s="11">
        <v>46.0</v>
      </c>
      <c r="E1579" s="8"/>
      <c r="F1579" s="11">
        <v>274.0</v>
      </c>
      <c r="G1579" s="11">
        <v>0.072</v>
      </c>
      <c r="H1579" s="11">
        <v>0.481</v>
      </c>
      <c r="I1579" s="9" t="s">
        <v>70</v>
      </c>
    </row>
    <row r="1580">
      <c r="A1580" s="12" t="s">
        <v>94</v>
      </c>
      <c r="B1580" s="5" t="s">
        <v>61</v>
      </c>
      <c r="C1580" s="11">
        <v>0.35</v>
      </c>
      <c r="D1580" s="11">
        <v>43.0</v>
      </c>
      <c r="E1580" s="8"/>
      <c r="F1580" s="11">
        <v>302.0</v>
      </c>
      <c r="G1580" s="11">
        <v>0.031</v>
      </c>
      <c r="H1580" s="11">
        <v>0.344</v>
      </c>
      <c r="I1580" s="9" t="s">
        <v>70</v>
      </c>
    </row>
    <row r="1581">
      <c r="A1581" s="12" t="s">
        <v>271</v>
      </c>
      <c r="B1581" s="5" t="s">
        <v>61</v>
      </c>
      <c r="C1581" s="8"/>
      <c r="D1581" s="8"/>
      <c r="E1581" s="8"/>
      <c r="F1581" s="8"/>
      <c r="G1581" s="11">
        <v>0.02</v>
      </c>
      <c r="H1581" s="11">
        <v>0.428</v>
      </c>
      <c r="I1581" s="9" t="s">
        <v>70</v>
      </c>
    </row>
    <row r="1582">
      <c r="A1582" s="12" t="s">
        <v>163</v>
      </c>
      <c r="B1582" s="5" t="s">
        <v>61</v>
      </c>
      <c r="C1582" s="11">
        <v>0.66</v>
      </c>
      <c r="D1582" s="11">
        <v>30.0</v>
      </c>
      <c r="E1582" s="8"/>
      <c r="F1582" s="11">
        <v>271.0</v>
      </c>
      <c r="G1582" s="11">
        <v>0.051</v>
      </c>
      <c r="H1582" s="11">
        <v>0.441</v>
      </c>
      <c r="I1582" s="9" t="s">
        <v>70</v>
      </c>
    </row>
    <row r="1583">
      <c r="A1583" s="12" t="s">
        <v>174</v>
      </c>
      <c r="B1583" s="5" t="s">
        <v>61</v>
      </c>
      <c r="C1583" s="11">
        <v>0.347</v>
      </c>
      <c r="D1583" s="11">
        <v>20.0</v>
      </c>
      <c r="E1583" s="8"/>
      <c r="F1583" s="11">
        <v>271.0</v>
      </c>
      <c r="G1583" s="11">
        <v>0.182</v>
      </c>
      <c r="H1583" s="11">
        <v>1.084</v>
      </c>
      <c r="I1583" s="9" t="s">
        <v>70</v>
      </c>
    </row>
    <row r="1584">
      <c r="A1584" s="12" t="s">
        <v>193</v>
      </c>
      <c r="B1584" s="5" t="s">
        <v>61</v>
      </c>
      <c r="C1584" s="11">
        <v>0.093</v>
      </c>
      <c r="D1584" s="11">
        <v>9.0</v>
      </c>
      <c r="E1584" s="8"/>
      <c r="F1584" s="8"/>
      <c r="G1584" s="11">
        <v>0.248</v>
      </c>
      <c r="H1584" s="11">
        <v>1.432</v>
      </c>
      <c r="I1584" s="9" t="s">
        <v>70</v>
      </c>
    </row>
    <row r="1585">
      <c r="A1585" s="12" t="s">
        <v>203</v>
      </c>
      <c r="B1585" s="5" t="s">
        <v>61</v>
      </c>
      <c r="C1585" s="11">
        <v>0.243</v>
      </c>
      <c r="D1585" s="11">
        <v>13.0</v>
      </c>
      <c r="E1585" s="8"/>
      <c r="F1585" s="11">
        <v>192.0</v>
      </c>
      <c r="G1585" s="11">
        <v>0.1</v>
      </c>
      <c r="H1585" s="11">
        <v>0.842</v>
      </c>
      <c r="I1585" s="9" t="s">
        <v>70</v>
      </c>
    </row>
    <row r="1586">
      <c r="A1586" s="12" t="s">
        <v>279</v>
      </c>
      <c r="B1586" s="5" t="s">
        <v>61</v>
      </c>
      <c r="C1586" s="11">
        <v>0.948</v>
      </c>
      <c r="D1586" s="11">
        <v>15.0</v>
      </c>
      <c r="E1586" s="8"/>
      <c r="F1586" s="11">
        <v>205.0</v>
      </c>
      <c r="G1586" s="11">
        <v>0.171</v>
      </c>
      <c r="H1586" s="11">
        <v>0.599</v>
      </c>
      <c r="I1586" s="9" t="s">
        <v>70</v>
      </c>
    </row>
    <row r="1587">
      <c r="A1587" s="12" t="s">
        <v>209</v>
      </c>
      <c r="B1587" s="5" t="s">
        <v>61</v>
      </c>
      <c r="C1587" s="11">
        <v>0.325</v>
      </c>
      <c r="D1587" s="11">
        <v>31.0</v>
      </c>
      <c r="E1587" s="8"/>
      <c r="F1587" s="11">
        <v>338.0</v>
      </c>
      <c r="G1587" s="11">
        <v>0.02</v>
      </c>
      <c r="H1587" s="11">
        <v>0.211</v>
      </c>
      <c r="I1587" s="9" t="s">
        <v>70</v>
      </c>
    </row>
    <row r="1588">
      <c r="A1588" s="12" t="s">
        <v>225</v>
      </c>
      <c r="B1588" s="5" t="s">
        <v>61</v>
      </c>
      <c r="C1588" s="11">
        <v>0.471</v>
      </c>
      <c r="D1588" s="11">
        <v>42.0</v>
      </c>
      <c r="E1588" s="8"/>
      <c r="F1588" s="11">
        <v>195.0</v>
      </c>
      <c r="G1588" s="11">
        <v>0.09</v>
      </c>
      <c r="H1588" s="11">
        <v>0.823</v>
      </c>
      <c r="I1588" s="9" t="s">
        <v>70</v>
      </c>
    </row>
    <row r="1589">
      <c r="A1589" s="12" t="s">
        <v>179</v>
      </c>
      <c r="B1589" s="5" t="s">
        <v>61</v>
      </c>
      <c r="C1589" s="11">
        <v>0.594</v>
      </c>
      <c r="D1589" s="11">
        <v>11.0</v>
      </c>
      <c r="E1589" s="8"/>
      <c r="F1589" s="11">
        <v>202.0</v>
      </c>
      <c r="G1589" s="11">
        <v>0.17</v>
      </c>
      <c r="H1589" s="11">
        <v>0.852</v>
      </c>
      <c r="I1589" s="9" t="s">
        <v>70</v>
      </c>
    </row>
    <row r="1590">
      <c r="A1590" s="12" t="s">
        <v>110</v>
      </c>
      <c r="B1590" s="5" t="s">
        <v>61</v>
      </c>
      <c r="C1590" s="11">
        <v>0.217</v>
      </c>
      <c r="D1590" s="11">
        <v>102.0</v>
      </c>
      <c r="E1590" s="8"/>
      <c r="F1590" s="11">
        <v>173.0</v>
      </c>
      <c r="G1590" s="11">
        <v>0.005</v>
      </c>
      <c r="H1590" s="11">
        <v>0.443</v>
      </c>
      <c r="I1590" s="9" t="s">
        <v>70</v>
      </c>
    </row>
    <row r="1591">
      <c r="A1591" s="12" t="s">
        <v>220</v>
      </c>
      <c r="B1591" s="5" t="s">
        <v>61</v>
      </c>
      <c r="C1591" s="11">
        <v>0.309</v>
      </c>
      <c r="D1591" s="11">
        <v>21.0</v>
      </c>
      <c r="E1591" s="8"/>
      <c r="F1591" s="11">
        <v>560.0</v>
      </c>
      <c r="G1591" s="11">
        <v>0.075</v>
      </c>
      <c r="H1591" s="11">
        <v>0.555</v>
      </c>
      <c r="I1591" s="9" t="s">
        <v>70</v>
      </c>
    </row>
    <row r="1592">
      <c r="A1592" s="12" t="s">
        <v>180</v>
      </c>
      <c r="B1592" s="5" t="s">
        <v>61</v>
      </c>
      <c r="C1592" s="11">
        <v>0.323</v>
      </c>
      <c r="D1592" s="11">
        <v>93.0</v>
      </c>
      <c r="E1592" s="8"/>
      <c r="F1592" s="11">
        <v>362.0</v>
      </c>
      <c r="G1592" s="11">
        <v>0.06</v>
      </c>
      <c r="H1592" s="11">
        <v>0.516</v>
      </c>
      <c r="I1592" s="9" t="s">
        <v>70</v>
      </c>
    </row>
    <row r="1593">
      <c r="A1593" s="12" t="s">
        <v>262</v>
      </c>
      <c r="B1593" s="5" t="s">
        <v>61</v>
      </c>
      <c r="C1593" s="11">
        <v>0.838</v>
      </c>
      <c r="D1593" s="11">
        <v>38.0</v>
      </c>
      <c r="E1593" s="8"/>
      <c r="F1593" s="11">
        <v>224.0</v>
      </c>
      <c r="G1593" s="11">
        <v>0.101</v>
      </c>
      <c r="H1593" s="11">
        <v>0.658</v>
      </c>
      <c r="I1593" s="9" t="s">
        <v>70</v>
      </c>
    </row>
    <row r="1594">
      <c r="A1594" s="12" t="s">
        <v>265</v>
      </c>
      <c r="B1594" s="5" t="s">
        <v>61</v>
      </c>
      <c r="C1594" s="11">
        <v>0.11</v>
      </c>
      <c r="D1594" s="11">
        <v>157.0</v>
      </c>
      <c r="E1594" s="8"/>
      <c r="F1594" s="11">
        <v>276.0</v>
      </c>
      <c r="G1594" s="11">
        <v>0.002</v>
      </c>
      <c r="H1594" s="11">
        <v>0.33</v>
      </c>
      <c r="I1594" s="9" t="s">
        <v>70</v>
      </c>
    </row>
    <row r="1595">
      <c r="A1595" s="12" t="s">
        <v>59</v>
      </c>
      <c r="B1595" s="5" t="s">
        <v>61</v>
      </c>
      <c r="C1595" s="11">
        <v>0.363</v>
      </c>
      <c r="D1595" s="11">
        <v>7.0</v>
      </c>
      <c r="E1595" s="8"/>
      <c r="F1595" s="11">
        <v>275.0</v>
      </c>
      <c r="G1595" s="11">
        <v>0.036</v>
      </c>
      <c r="H1595" s="11">
        <v>0.379</v>
      </c>
      <c r="I1595" s="9" t="s">
        <v>70</v>
      </c>
    </row>
    <row r="1596">
      <c r="A1596" s="12" t="s">
        <v>189</v>
      </c>
      <c r="B1596" s="5" t="s">
        <v>61</v>
      </c>
      <c r="C1596" s="8"/>
      <c r="D1596" s="8"/>
      <c r="E1596" s="8"/>
      <c r="F1596" s="8"/>
      <c r="G1596" s="11">
        <v>0.552</v>
      </c>
      <c r="H1596" s="11">
        <v>2.099</v>
      </c>
      <c r="I1596" s="9" t="s">
        <v>71</v>
      </c>
    </row>
    <row r="1597">
      <c r="A1597" s="12" t="s">
        <v>248</v>
      </c>
      <c r="B1597" s="5" t="s">
        <v>61</v>
      </c>
      <c r="C1597" s="11">
        <v>0.288</v>
      </c>
      <c r="D1597" s="11">
        <v>14.0</v>
      </c>
      <c r="E1597" s="8"/>
      <c r="F1597" s="11">
        <v>250.0</v>
      </c>
      <c r="G1597" s="11">
        <v>0.837</v>
      </c>
      <c r="H1597" s="11">
        <v>1.048</v>
      </c>
      <c r="I1597" s="9" t="s">
        <v>71</v>
      </c>
    </row>
    <row r="1598">
      <c r="A1598" s="12" t="s">
        <v>241</v>
      </c>
      <c r="B1598" s="5" t="s">
        <v>61</v>
      </c>
      <c r="C1598" s="11">
        <v>0.254</v>
      </c>
      <c r="D1598" s="11">
        <v>3.0</v>
      </c>
      <c r="E1598" s="8"/>
      <c r="F1598" s="11">
        <v>84.0</v>
      </c>
      <c r="G1598" s="11">
        <v>0.71</v>
      </c>
      <c r="H1598" s="11">
        <v>1.454</v>
      </c>
      <c r="I1598" s="9" t="s">
        <v>71</v>
      </c>
    </row>
    <row r="1599">
      <c r="A1599" s="12" t="s">
        <v>172</v>
      </c>
      <c r="B1599" s="5" t="s">
        <v>61</v>
      </c>
      <c r="C1599" s="11">
        <v>0.476</v>
      </c>
      <c r="D1599" s="11">
        <v>22.0</v>
      </c>
      <c r="E1599" s="8"/>
      <c r="F1599" s="11">
        <v>355.0</v>
      </c>
      <c r="G1599" s="11">
        <v>0.782</v>
      </c>
      <c r="H1599" s="11">
        <v>0.968</v>
      </c>
      <c r="I1599" s="9" t="s">
        <v>71</v>
      </c>
    </row>
    <row r="1600">
      <c r="A1600" s="12" t="s">
        <v>264</v>
      </c>
      <c r="B1600" s="5" t="s">
        <v>61</v>
      </c>
      <c r="C1600" s="11">
        <v>0.369</v>
      </c>
      <c r="D1600" s="11">
        <v>32.0</v>
      </c>
      <c r="E1600" s="8"/>
      <c r="F1600" s="11">
        <v>264.0</v>
      </c>
      <c r="G1600" s="11">
        <v>0.224</v>
      </c>
      <c r="H1600" s="11">
        <v>1.08</v>
      </c>
      <c r="I1600" s="9" t="s">
        <v>71</v>
      </c>
    </row>
    <row r="1601">
      <c r="A1601" s="12" t="s">
        <v>117</v>
      </c>
      <c r="B1601" s="5" t="s">
        <v>61</v>
      </c>
      <c r="C1601" s="11">
        <v>0.635</v>
      </c>
      <c r="D1601" s="11">
        <v>38.0</v>
      </c>
      <c r="E1601" s="8"/>
      <c r="F1601" s="11">
        <v>358.0</v>
      </c>
      <c r="G1601" s="11">
        <v>0.343</v>
      </c>
      <c r="H1601" s="11">
        <v>0.632</v>
      </c>
      <c r="I1601" s="9" t="s">
        <v>71</v>
      </c>
    </row>
    <row r="1602">
      <c r="A1602" s="12" t="s">
        <v>160</v>
      </c>
      <c r="B1602" s="5" t="s">
        <v>61</v>
      </c>
      <c r="C1602" s="11">
        <v>0.23</v>
      </c>
      <c r="D1602" s="11">
        <v>6.0</v>
      </c>
      <c r="E1602" s="8"/>
      <c r="F1602" s="11">
        <v>80.0</v>
      </c>
      <c r="G1602" s="11">
        <v>0.72</v>
      </c>
      <c r="H1602" s="11">
        <v>1.957</v>
      </c>
      <c r="I1602" s="9" t="s">
        <v>71</v>
      </c>
    </row>
    <row r="1603">
      <c r="A1603" s="12" t="s">
        <v>216</v>
      </c>
      <c r="B1603" s="5" t="s">
        <v>61</v>
      </c>
      <c r="C1603" s="8"/>
      <c r="D1603" s="8"/>
      <c r="E1603" s="8"/>
      <c r="F1603" s="8"/>
      <c r="G1603" s="8"/>
      <c r="H1603" s="11">
        <v>0.018</v>
      </c>
      <c r="I1603" s="9" t="s">
        <v>71</v>
      </c>
    </row>
    <row r="1604">
      <c r="A1604" s="12" t="s">
        <v>147</v>
      </c>
      <c r="B1604" s="5" t="s">
        <v>61</v>
      </c>
      <c r="C1604" s="11">
        <v>0.153</v>
      </c>
      <c r="D1604" s="11">
        <v>3.0</v>
      </c>
      <c r="E1604" s="8"/>
      <c r="F1604" s="11">
        <v>387.0</v>
      </c>
      <c r="G1604" s="11">
        <v>0.269</v>
      </c>
      <c r="H1604" s="11">
        <v>0.906</v>
      </c>
      <c r="I1604" s="9" t="s">
        <v>71</v>
      </c>
    </row>
    <row r="1605">
      <c r="A1605" s="12" t="s">
        <v>86</v>
      </c>
      <c r="B1605" s="5" t="s">
        <v>61</v>
      </c>
      <c r="C1605" s="11">
        <v>0.386</v>
      </c>
      <c r="D1605" s="11">
        <v>14.0</v>
      </c>
      <c r="E1605" s="8"/>
      <c r="F1605" s="11">
        <v>581.0</v>
      </c>
      <c r="G1605" s="11">
        <v>0.25</v>
      </c>
      <c r="H1605" s="11">
        <v>1.304</v>
      </c>
      <c r="I1605" s="9" t="s">
        <v>71</v>
      </c>
    </row>
    <row r="1606">
      <c r="A1606" s="12" t="s">
        <v>282</v>
      </c>
      <c r="B1606" s="5" t="s">
        <v>61</v>
      </c>
      <c r="C1606" s="11">
        <v>0.329</v>
      </c>
      <c r="D1606" s="11">
        <v>38.0</v>
      </c>
      <c r="E1606" s="8"/>
      <c r="F1606" s="11">
        <v>941.0</v>
      </c>
      <c r="G1606" s="11">
        <v>0.307</v>
      </c>
      <c r="H1606" s="11">
        <v>1.253</v>
      </c>
      <c r="I1606" s="9" t="s">
        <v>71</v>
      </c>
    </row>
    <row r="1607">
      <c r="A1607" s="12" t="s">
        <v>106</v>
      </c>
      <c r="B1607" s="5" t="s">
        <v>61</v>
      </c>
      <c r="C1607" s="11">
        <v>0.173</v>
      </c>
      <c r="D1607" s="11">
        <v>105.0</v>
      </c>
      <c r="E1607" s="8"/>
      <c r="F1607" s="11">
        <v>144.0</v>
      </c>
      <c r="G1607" s="11">
        <v>0.53</v>
      </c>
      <c r="H1607" s="11">
        <v>1.086</v>
      </c>
      <c r="I1607" s="9" t="s">
        <v>71</v>
      </c>
    </row>
    <row r="1608">
      <c r="A1608" s="12" t="s">
        <v>207</v>
      </c>
      <c r="B1608" s="5" t="s">
        <v>61</v>
      </c>
      <c r="C1608" s="8"/>
      <c r="D1608" s="8"/>
      <c r="E1608" s="8"/>
      <c r="F1608" s="8"/>
      <c r="G1608" s="11">
        <v>0.003</v>
      </c>
      <c r="H1608" s="11">
        <v>0.011</v>
      </c>
      <c r="I1608" s="9" t="s">
        <v>71</v>
      </c>
    </row>
    <row r="1609">
      <c r="A1609" s="12" t="s">
        <v>90</v>
      </c>
      <c r="B1609" s="5" t="s">
        <v>61</v>
      </c>
      <c r="C1609" s="11">
        <v>0.409</v>
      </c>
      <c r="D1609" s="11">
        <v>8.0</v>
      </c>
      <c r="E1609" s="8"/>
      <c r="F1609" s="11">
        <v>306.0</v>
      </c>
      <c r="G1609" s="11">
        <v>0.46</v>
      </c>
      <c r="H1609" s="11">
        <v>1.001</v>
      </c>
      <c r="I1609" s="9" t="s">
        <v>71</v>
      </c>
    </row>
    <row r="1610">
      <c r="A1610" s="12" t="s">
        <v>251</v>
      </c>
      <c r="B1610" s="5" t="s">
        <v>61</v>
      </c>
      <c r="C1610" s="11">
        <v>0.966</v>
      </c>
      <c r="D1610" s="11">
        <v>37.0</v>
      </c>
      <c r="E1610" s="8"/>
      <c r="F1610" s="11">
        <v>256.0</v>
      </c>
      <c r="G1610" s="11">
        <v>0.12</v>
      </c>
      <c r="H1610" s="11">
        <v>0.836</v>
      </c>
      <c r="I1610" s="9" t="s">
        <v>71</v>
      </c>
    </row>
    <row r="1611">
      <c r="A1611" s="12" t="s">
        <v>192</v>
      </c>
      <c r="B1611" s="5" t="s">
        <v>61</v>
      </c>
      <c r="C1611" s="11">
        <v>0.337</v>
      </c>
      <c r="D1611" s="11">
        <v>17.0</v>
      </c>
      <c r="E1611" s="8"/>
      <c r="F1611" s="11">
        <v>145.0</v>
      </c>
      <c r="G1611" s="11">
        <v>0.563</v>
      </c>
      <c r="H1611" s="11">
        <v>1.197</v>
      </c>
      <c r="I1611" s="9" t="s">
        <v>71</v>
      </c>
    </row>
    <row r="1612">
      <c r="A1612" s="12" t="s">
        <v>164</v>
      </c>
      <c r="B1612" s="5" t="s">
        <v>61</v>
      </c>
      <c r="C1612" s="11">
        <v>0.322</v>
      </c>
      <c r="D1612" s="11">
        <v>50.0</v>
      </c>
      <c r="E1612" s="8"/>
      <c r="F1612" s="11">
        <v>266.0</v>
      </c>
      <c r="G1612" s="11">
        <v>0.109</v>
      </c>
      <c r="H1612" s="11">
        <v>0.878</v>
      </c>
      <c r="I1612" s="9" t="s">
        <v>71</v>
      </c>
    </row>
    <row r="1613">
      <c r="A1613" s="12" t="s">
        <v>163</v>
      </c>
      <c r="B1613" s="5" t="s">
        <v>61</v>
      </c>
      <c r="C1613" s="11">
        <v>0.649</v>
      </c>
      <c r="D1613" s="11">
        <v>29.0</v>
      </c>
      <c r="E1613" s="8"/>
      <c r="F1613" s="11">
        <v>258.0</v>
      </c>
      <c r="G1613" s="11">
        <v>0.075</v>
      </c>
      <c r="H1613" s="11">
        <v>0.624</v>
      </c>
      <c r="I1613" s="9" t="s">
        <v>71</v>
      </c>
    </row>
    <row r="1614">
      <c r="A1614" s="12" t="s">
        <v>101</v>
      </c>
      <c r="B1614" s="5" t="s">
        <v>61</v>
      </c>
      <c r="C1614" s="11">
        <v>0.408</v>
      </c>
      <c r="D1614" s="11">
        <v>46.0</v>
      </c>
      <c r="E1614" s="8"/>
      <c r="F1614" s="11">
        <v>274.0</v>
      </c>
      <c r="G1614" s="11">
        <v>0.136</v>
      </c>
      <c r="H1614" s="11">
        <v>0.55</v>
      </c>
      <c r="I1614" s="9" t="s">
        <v>71</v>
      </c>
    </row>
    <row r="1615">
      <c r="A1615" s="12" t="s">
        <v>94</v>
      </c>
      <c r="B1615" s="5" t="s">
        <v>61</v>
      </c>
      <c r="C1615" s="11">
        <v>0.35</v>
      </c>
      <c r="D1615" s="11">
        <v>19.0</v>
      </c>
      <c r="E1615" s="8"/>
      <c r="F1615" s="11">
        <v>302.0</v>
      </c>
      <c r="G1615" s="11">
        <v>0.037</v>
      </c>
      <c r="H1615" s="11">
        <v>0.449</v>
      </c>
      <c r="I1615" s="9" t="s">
        <v>71</v>
      </c>
    </row>
    <row r="1616">
      <c r="A1616" s="12" t="s">
        <v>271</v>
      </c>
      <c r="B1616" s="5" t="s">
        <v>61</v>
      </c>
      <c r="C1616" s="8"/>
      <c r="D1616" s="8"/>
      <c r="E1616" s="8"/>
      <c r="F1616" s="8"/>
      <c r="G1616" s="11">
        <v>0.03</v>
      </c>
      <c r="H1616" s="11">
        <v>0.634</v>
      </c>
      <c r="I1616" s="9" t="s">
        <v>71</v>
      </c>
    </row>
    <row r="1617">
      <c r="A1617" s="12" t="s">
        <v>193</v>
      </c>
      <c r="B1617" s="5" t="s">
        <v>61</v>
      </c>
      <c r="C1617" s="11">
        <v>0.093</v>
      </c>
      <c r="D1617" s="11">
        <v>9.0</v>
      </c>
      <c r="E1617" s="8"/>
      <c r="F1617" s="8"/>
      <c r="G1617" s="11">
        <v>0.265</v>
      </c>
      <c r="H1617" s="11">
        <v>1.518</v>
      </c>
      <c r="I1617" s="9" t="s">
        <v>71</v>
      </c>
    </row>
    <row r="1618">
      <c r="A1618" s="12" t="s">
        <v>203</v>
      </c>
      <c r="B1618" s="5" t="s">
        <v>61</v>
      </c>
      <c r="C1618" s="11">
        <v>0.243</v>
      </c>
      <c r="D1618" s="11">
        <v>13.0</v>
      </c>
      <c r="E1618" s="8"/>
      <c r="F1618" s="11">
        <v>192.0</v>
      </c>
      <c r="G1618" s="11">
        <v>0.102</v>
      </c>
      <c r="H1618" s="11">
        <v>0.925</v>
      </c>
      <c r="I1618" s="9" t="s">
        <v>71</v>
      </c>
    </row>
    <row r="1619">
      <c r="A1619" s="12" t="s">
        <v>174</v>
      </c>
      <c r="B1619" s="5" t="s">
        <v>61</v>
      </c>
      <c r="C1619" s="11">
        <v>0.286</v>
      </c>
      <c r="D1619" s="11">
        <v>19.0</v>
      </c>
      <c r="E1619" s="8"/>
      <c r="F1619" s="11">
        <v>271.0</v>
      </c>
      <c r="G1619" s="11">
        <v>0.316</v>
      </c>
      <c r="H1619" s="11">
        <v>1.219</v>
      </c>
      <c r="I1619" s="9" t="s">
        <v>71</v>
      </c>
    </row>
    <row r="1620">
      <c r="A1620" s="12" t="s">
        <v>279</v>
      </c>
      <c r="B1620" s="5" t="s">
        <v>61</v>
      </c>
      <c r="C1620" s="11">
        <v>0.956</v>
      </c>
      <c r="D1620" s="11">
        <v>15.0</v>
      </c>
      <c r="E1620" s="8"/>
      <c r="F1620" s="11">
        <v>205.0</v>
      </c>
      <c r="G1620" s="11">
        <v>0.2</v>
      </c>
      <c r="H1620" s="11">
        <v>0.755</v>
      </c>
      <c r="I1620" s="9" t="s">
        <v>71</v>
      </c>
    </row>
    <row r="1621">
      <c r="A1621" s="12" t="s">
        <v>209</v>
      </c>
      <c r="B1621" s="5" t="s">
        <v>61</v>
      </c>
      <c r="C1621" s="11">
        <v>0.317</v>
      </c>
      <c r="D1621" s="11">
        <v>31.0</v>
      </c>
      <c r="E1621" s="8"/>
      <c r="F1621" s="11">
        <v>338.0</v>
      </c>
      <c r="G1621" s="11">
        <v>0.079</v>
      </c>
      <c r="H1621" s="11">
        <v>0.343</v>
      </c>
      <c r="I1621" s="9" t="s">
        <v>71</v>
      </c>
    </row>
    <row r="1622">
      <c r="A1622" s="12" t="s">
        <v>225</v>
      </c>
      <c r="B1622" s="5" t="s">
        <v>61</v>
      </c>
      <c r="C1622" s="11">
        <v>0.438</v>
      </c>
      <c r="D1622" s="11">
        <v>37.0</v>
      </c>
      <c r="E1622" s="8"/>
      <c r="F1622" s="11">
        <v>195.0</v>
      </c>
      <c r="G1622" s="11">
        <v>0.25</v>
      </c>
      <c r="H1622" s="11">
        <v>0.89</v>
      </c>
      <c r="I1622" s="9" t="s">
        <v>71</v>
      </c>
    </row>
    <row r="1623">
      <c r="A1623" s="12" t="s">
        <v>110</v>
      </c>
      <c r="B1623" s="5" t="s">
        <v>61</v>
      </c>
      <c r="C1623" s="11">
        <v>0.214</v>
      </c>
      <c r="D1623" s="11">
        <v>102.0</v>
      </c>
      <c r="E1623" s="8"/>
      <c r="F1623" s="11">
        <v>173.0</v>
      </c>
      <c r="G1623" s="11">
        <v>0.013</v>
      </c>
      <c r="H1623" s="11">
        <v>0.567</v>
      </c>
      <c r="I1623" s="9" t="s">
        <v>71</v>
      </c>
    </row>
    <row r="1624">
      <c r="A1624" s="12" t="s">
        <v>220</v>
      </c>
      <c r="B1624" s="5" t="s">
        <v>61</v>
      </c>
      <c r="C1624" s="11">
        <v>0.309</v>
      </c>
      <c r="D1624" s="11">
        <v>21.0</v>
      </c>
      <c r="E1624" s="8"/>
      <c r="F1624" s="11">
        <v>560.0</v>
      </c>
      <c r="G1624" s="11">
        <v>0.08</v>
      </c>
      <c r="H1624" s="11">
        <v>0.573</v>
      </c>
      <c r="I1624" s="9" t="s">
        <v>71</v>
      </c>
    </row>
    <row r="1625">
      <c r="A1625" s="12" t="s">
        <v>179</v>
      </c>
      <c r="B1625" s="5" t="s">
        <v>61</v>
      </c>
      <c r="C1625" s="11">
        <v>0.306</v>
      </c>
      <c r="D1625" s="11">
        <v>10.0</v>
      </c>
      <c r="E1625" s="8"/>
      <c r="F1625" s="11">
        <v>202.0</v>
      </c>
      <c r="G1625" s="11">
        <v>0.184</v>
      </c>
      <c r="H1625" s="11">
        <v>0.989</v>
      </c>
      <c r="I1625" s="9" t="s">
        <v>71</v>
      </c>
    </row>
    <row r="1626">
      <c r="A1626" s="12" t="s">
        <v>180</v>
      </c>
      <c r="B1626" s="5" t="s">
        <v>61</v>
      </c>
      <c r="C1626" s="11">
        <v>0.323</v>
      </c>
      <c r="D1626" s="11">
        <v>93.0</v>
      </c>
      <c r="E1626" s="8"/>
      <c r="F1626" s="11">
        <v>362.0</v>
      </c>
      <c r="G1626" s="11">
        <v>0.07</v>
      </c>
      <c r="H1626" s="11">
        <v>0.626</v>
      </c>
      <c r="I1626" s="9" t="s">
        <v>71</v>
      </c>
    </row>
    <row r="1627">
      <c r="A1627" s="12" t="s">
        <v>262</v>
      </c>
      <c r="B1627" s="5" t="s">
        <v>61</v>
      </c>
      <c r="C1627" s="11">
        <v>0.84</v>
      </c>
      <c r="D1627" s="11">
        <v>27.0</v>
      </c>
      <c r="E1627" s="8"/>
      <c r="F1627" s="11">
        <v>224.0</v>
      </c>
      <c r="G1627" s="11">
        <v>0.116</v>
      </c>
      <c r="H1627" s="11">
        <v>0.779</v>
      </c>
      <c r="I1627" s="9" t="s">
        <v>71</v>
      </c>
    </row>
    <row r="1628">
      <c r="A1628" s="12" t="s">
        <v>265</v>
      </c>
      <c r="B1628" s="5" t="s">
        <v>61</v>
      </c>
      <c r="C1628" s="11">
        <v>0.11</v>
      </c>
      <c r="D1628" s="11">
        <v>110.0</v>
      </c>
      <c r="E1628" s="8"/>
      <c r="F1628" s="11">
        <v>276.0</v>
      </c>
      <c r="G1628" s="11">
        <v>0.002</v>
      </c>
      <c r="H1628" s="11">
        <v>0.438</v>
      </c>
      <c r="I1628" s="9" t="s">
        <v>71</v>
      </c>
    </row>
    <row r="1629">
      <c r="A1629" s="12" t="s">
        <v>59</v>
      </c>
      <c r="B1629" s="5" t="s">
        <v>61</v>
      </c>
      <c r="C1629" s="11">
        <v>0.363</v>
      </c>
      <c r="D1629" s="11">
        <v>7.0</v>
      </c>
      <c r="E1629" s="8"/>
      <c r="F1629" s="11">
        <v>275.0</v>
      </c>
      <c r="G1629" s="11">
        <v>0.04</v>
      </c>
      <c r="H1629" s="11">
        <v>0.458</v>
      </c>
      <c r="I1629" s="9" t="s">
        <v>71</v>
      </c>
    </row>
    <row r="1630">
      <c r="A1630" s="12" t="s">
        <v>172</v>
      </c>
      <c r="B1630" s="5" t="s">
        <v>61</v>
      </c>
      <c r="C1630" s="11">
        <v>0.484</v>
      </c>
      <c r="D1630" s="11">
        <v>22.0</v>
      </c>
      <c r="E1630" s="8"/>
      <c r="F1630" s="11">
        <v>330.0</v>
      </c>
      <c r="G1630" s="11">
        <v>0.791</v>
      </c>
      <c r="H1630" s="11">
        <v>1.02</v>
      </c>
      <c r="I1630" s="9" t="s">
        <v>72</v>
      </c>
    </row>
    <row r="1631">
      <c r="A1631" s="12" t="s">
        <v>248</v>
      </c>
      <c r="B1631" s="5" t="s">
        <v>61</v>
      </c>
      <c r="C1631" s="11">
        <v>0.287</v>
      </c>
      <c r="D1631" s="11">
        <v>6.0</v>
      </c>
      <c r="E1631" s="8"/>
      <c r="F1631" s="11">
        <v>225.0</v>
      </c>
      <c r="G1631" s="11">
        <v>0.838</v>
      </c>
      <c r="H1631" s="11">
        <v>1.077</v>
      </c>
      <c r="I1631" s="9" t="s">
        <v>72</v>
      </c>
    </row>
    <row r="1632">
      <c r="A1632" s="12" t="s">
        <v>189</v>
      </c>
      <c r="B1632" s="5" t="s">
        <v>61</v>
      </c>
      <c r="C1632" s="8"/>
      <c r="D1632" s="8"/>
      <c r="E1632" s="8"/>
      <c r="F1632" s="8"/>
      <c r="G1632" s="11">
        <v>0.602</v>
      </c>
      <c r="H1632" s="11">
        <v>2.477</v>
      </c>
      <c r="I1632" s="9" t="s">
        <v>72</v>
      </c>
    </row>
    <row r="1633">
      <c r="A1633" s="12" t="s">
        <v>241</v>
      </c>
      <c r="B1633" s="5" t="s">
        <v>61</v>
      </c>
      <c r="C1633" s="11">
        <v>0.271</v>
      </c>
      <c r="D1633" s="11">
        <v>3.0</v>
      </c>
      <c r="E1633" s="8"/>
      <c r="F1633" s="11">
        <v>84.0</v>
      </c>
      <c r="G1633" s="11">
        <v>0.71</v>
      </c>
      <c r="H1633" s="11">
        <v>1.501</v>
      </c>
      <c r="I1633" s="9" t="s">
        <v>72</v>
      </c>
    </row>
    <row r="1634">
      <c r="A1634" s="12" t="s">
        <v>264</v>
      </c>
      <c r="B1634" s="5" t="s">
        <v>61</v>
      </c>
      <c r="C1634" s="11">
        <v>0.369</v>
      </c>
      <c r="D1634" s="11">
        <v>29.0</v>
      </c>
      <c r="E1634" s="8"/>
      <c r="F1634" s="11">
        <v>264.0</v>
      </c>
      <c r="G1634" s="11">
        <v>0.237</v>
      </c>
      <c r="H1634" s="11">
        <v>1.163</v>
      </c>
      <c r="I1634" s="9" t="s">
        <v>72</v>
      </c>
    </row>
    <row r="1635">
      <c r="A1635" s="12" t="s">
        <v>117</v>
      </c>
      <c r="B1635" s="5" t="s">
        <v>61</v>
      </c>
      <c r="C1635" s="11">
        <v>0.635</v>
      </c>
      <c r="D1635" s="11">
        <v>38.0</v>
      </c>
      <c r="E1635" s="8"/>
      <c r="F1635" s="11">
        <v>358.0</v>
      </c>
      <c r="G1635" s="11">
        <v>0.383</v>
      </c>
      <c r="H1635" s="11">
        <v>0.721</v>
      </c>
      <c r="I1635" s="9" t="s">
        <v>72</v>
      </c>
    </row>
    <row r="1636">
      <c r="A1636" s="12" t="s">
        <v>216</v>
      </c>
      <c r="B1636" s="5" t="s">
        <v>61</v>
      </c>
      <c r="C1636" s="8"/>
      <c r="D1636" s="8"/>
      <c r="E1636" s="8"/>
      <c r="F1636" s="8"/>
      <c r="G1636" s="8"/>
      <c r="H1636" s="11">
        <v>0.041</v>
      </c>
      <c r="I1636" s="9" t="s">
        <v>72</v>
      </c>
    </row>
    <row r="1637">
      <c r="A1637" s="12" t="s">
        <v>147</v>
      </c>
      <c r="B1637" s="5" t="s">
        <v>61</v>
      </c>
      <c r="C1637" s="11">
        <v>0.165</v>
      </c>
      <c r="D1637" s="11">
        <v>2.0</v>
      </c>
      <c r="E1637" s="8"/>
      <c r="F1637" s="11">
        <v>387.0</v>
      </c>
      <c r="G1637" s="11">
        <v>0.315</v>
      </c>
      <c r="H1637" s="11">
        <v>1.013</v>
      </c>
      <c r="I1637" s="9" t="s">
        <v>72</v>
      </c>
    </row>
    <row r="1638">
      <c r="A1638" s="12" t="s">
        <v>86</v>
      </c>
      <c r="B1638" s="5" t="s">
        <v>61</v>
      </c>
      <c r="C1638" s="11">
        <v>0.388</v>
      </c>
      <c r="D1638" s="11">
        <v>8.0</v>
      </c>
      <c r="E1638" s="8"/>
      <c r="F1638" s="11">
        <v>500.0</v>
      </c>
      <c r="G1638" s="11">
        <v>0.32</v>
      </c>
      <c r="H1638" s="11">
        <v>1.083</v>
      </c>
      <c r="I1638" s="9" t="s">
        <v>72</v>
      </c>
    </row>
    <row r="1639">
      <c r="A1639" s="12" t="s">
        <v>160</v>
      </c>
      <c r="B1639" s="5" t="s">
        <v>61</v>
      </c>
      <c r="C1639" s="11">
        <v>0.23</v>
      </c>
      <c r="D1639" s="11">
        <v>3.0</v>
      </c>
      <c r="E1639" s="8"/>
      <c r="F1639" s="11">
        <v>80.0</v>
      </c>
      <c r="G1639" s="11">
        <v>0.722</v>
      </c>
      <c r="H1639" s="11">
        <v>2.155</v>
      </c>
      <c r="I1639" s="9" t="s">
        <v>72</v>
      </c>
    </row>
    <row r="1640">
      <c r="A1640" s="12" t="s">
        <v>282</v>
      </c>
      <c r="B1640" s="5" t="s">
        <v>61</v>
      </c>
      <c r="C1640" s="11">
        <v>0.4</v>
      </c>
      <c r="D1640" s="11">
        <v>38.0</v>
      </c>
      <c r="E1640" s="8"/>
      <c r="F1640" s="11">
        <v>941.0</v>
      </c>
      <c r="G1640" s="11">
        <v>0.351</v>
      </c>
      <c r="H1640" s="11">
        <v>1.416</v>
      </c>
      <c r="I1640" s="9" t="s">
        <v>72</v>
      </c>
    </row>
    <row r="1641">
      <c r="A1641" s="12" t="s">
        <v>106</v>
      </c>
      <c r="B1641" s="5" t="s">
        <v>61</v>
      </c>
      <c r="C1641" s="11">
        <v>0.168</v>
      </c>
      <c r="D1641" s="11">
        <v>101.0</v>
      </c>
      <c r="E1641" s="8"/>
      <c r="F1641" s="11">
        <v>96.0</v>
      </c>
      <c r="G1641" s="11">
        <v>0.56</v>
      </c>
      <c r="H1641" s="11">
        <v>1.09</v>
      </c>
      <c r="I1641" s="9" t="s">
        <v>72</v>
      </c>
    </row>
    <row r="1642">
      <c r="A1642" s="12" t="s">
        <v>207</v>
      </c>
      <c r="B1642" s="5" t="s">
        <v>61</v>
      </c>
      <c r="C1642" s="8"/>
      <c r="D1642" s="8"/>
      <c r="E1642" s="8"/>
      <c r="F1642" s="8"/>
      <c r="G1642" s="11">
        <v>0.01</v>
      </c>
      <c r="H1642" s="11">
        <v>0.024</v>
      </c>
      <c r="I1642" s="9" t="s">
        <v>72</v>
      </c>
    </row>
    <row r="1643">
      <c r="A1643" s="12" t="s">
        <v>251</v>
      </c>
      <c r="B1643" s="5" t="s">
        <v>61</v>
      </c>
      <c r="C1643" s="11">
        <v>1.129</v>
      </c>
      <c r="D1643" s="11">
        <v>37.0</v>
      </c>
      <c r="E1643" s="8"/>
      <c r="F1643" s="11">
        <v>256.0</v>
      </c>
      <c r="G1643" s="11">
        <v>0.15</v>
      </c>
      <c r="H1643" s="11">
        <v>0.875</v>
      </c>
      <c r="I1643" s="9" t="s">
        <v>72</v>
      </c>
    </row>
    <row r="1644">
      <c r="A1644" s="12" t="s">
        <v>192</v>
      </c>
      <c r="B1644" s="5" t="s">
        <v>61</v>
      </c>
      <c r="C1644" s="11">
        <v>0.34</v>
      </c>
      <c r="D1644" s="11">
        <v>6.0</v>
      </c>
      <c r="E1644" s="8"/>
      <c r="F1644" s="11">
        <v>133.0</v>
      </c>
      <c r="G1644" s="11">
        <v>0.61</v>
      </c>
      <c r="H1644" s="11">
        <v>1.275</v>
      </c>
      <c r="I1644" s="9" t="s">
        <v>72</v>
      </c>
    </row>
    <row r="1645">
      <c r="A1645" s="12" t="s">
        <v>90</v>
      </c>
      <c r="B1645" s="5" t="s">
        <v>61</v>
      </c>
      <c r="C1645" s="11">
        <v>0.4</v>
      </c>
      <c r="D1645" s="11">
        <v>8.0</v>
      </c>
      <c r="E1645" s="8"/>
      <c r="F1645" s="11">
        <v>225.0</v>
      </c>
      <c r="G1645" s="11">
        <v>0.5</v>
      </c>
      <c r="H1645" s="11">
        <v>1.1</v>
      </c>
      <c r="I1645" s="9" t="s">
        <v>72</v>
      </c>
    </row>
    <row r="1646">
      <c r="A1646" s="12" t="s">
        <v>101</v>
      </c>
      <c r="B1646" s="5" t="s">
        <v>61</v>
      </c>
      <c r="C1646" s="11">
        <v>0.408</v>
      </c>
      <c r="D1646" s="11">
        <v>36.0</v>
      </c>
      <c r="E1646" s="8"/>
      <c r="F1646" s="11">
        <v>274.0</v>
      </c>
      <c r="G1646" s="11">
        <v>0.21</v>
      </c>
      <c r="H1646" s="11">
        <v>0.664</v>
      </c>
      <c r="I1646" s="9" t="s">
        <v>72</v>
      </c>
    </row>
    <row r="1647">
      <c r="A1647" s="12" t="s">
        <v>164</v>
      </c>
      <c r="B1647" s="5" t="s">
        <v>61</v>
      </c>
      <c r="C1647" s="11">
        <v>0.322</v>
      </c>
      <c r="D1647" s="11">
        <v>48.0</v>
      </c>
      <c r="E1647" s="8"/>
      <c r="F1647" s="11">
        <v>266.0</v>
      </c>
      <c r="G1647" s="11">
        <v>0.111</v>
      </c>
      <c r="H1647" s="11">
        <v>1.025</v>
      </c>
      <c r="I1647" s="9" t="s">
        <v>72</v>
      </c>
    </row>
    <row r="1648">
      <c r="A1648" s="12" t="s">
        <v>163</v>
      </c>
      <c r="B1648" s="5" t="s">
        <v>61</v>
      </c>
      <c r="C1648" s="11">
        <v>0.629</v>
      </c>
      <c r="D1648" s="11">
        <v>29.0</v>
      </c>
      <c r="E1648" s="8"/>
      <c r="F1648" s="11">
        <v>254.0</v>
      </c>
      <c r="G1648" s="11">
        <v>0.101</v>
      </c>
      <c r="H1648" s="11">
        <v>0.732</v>
      </c>
      <c r="I1648" s="9" t="s">
        <v>72</v>
      </c>
    </row>
    <row r="1649">
      <c r="A1649" s="12" t="s">
        <v>94</v>
      </c>
      <c r="B1649" s="5" t="s">
        <v>61</v>
      </c>
      <c r="C1649" s="11">
        <v>0.35</v>
      </c>
      <c r="D1649" s="11">
        <v>19.0</v>
      </c>
      <c r="E1649" s="8"/>
      <c r="F1649" s="11">
        <v>302.0</v>
      </c>
      <c r="G1649" s="11">
        <v>0.05</v>
      </c>
      <c r="H1649" s="11">
        <v>0.552</v>
      </c>
      <c r="I1649" s="9" t="s">
        <v>72</v>
      </c>
    </row>
    <row r="1650">
      <c r="A1650" s="12" t="s">
        <v>271</v>
      </c>
      <c r="B1650" s="5" t="s">
        <v>61</v>
      </c>
      <c r="C1650" s="8"/>
      <c r="D1650" s="8"/>
      <c r="E1650" s="8"/>
      <c r="F1650" s="8"/>
      <c r="G1650" s="11">
        <v>0.05</v>
      </c>
      <c r="H1650" s="11">
        <v>1.038</v>
      </c>
      <c r="I1650" s="9" t="s">
        <v>72</v>
      </c>
    </row>
    <row r="1651">
      <c r="A1651" s="12" t="s">
        <v>279</v>
      </c>
      <c r="B1651" s="5" t="s">
        <v>61</v>
      </c>
      <c r="C1651" s="11">
        <v>0.975</v>
      </c>
      <c r="D1651" s="11">
        <v>14.0</v>
      </c>
      <c r="E1651" s="8"/>
      <c r="F1651" s="11">
        <v>205.0</v>
      </c>
      <c r="G1651" s="11">
        <v>0.302</v>
      </c>
      <c r="H1651" s="11">
        <v>0.904</v>
      </c>
      <c r="I1651" s="9" t="s">
        <v>72</v>
      </c>
    </row>
    <row r="1652">
      <c r="A1652" s="12" t="s">
        <v>209</v>
      </c>
      <c r="B1652" s="5" t="s">
        <v>61</v>
      </c>
      <c r="C1652" s="11">
        <v>0.315</v>
      </c>
      <c r="D1652" s="11">
        <v>29.0</v>
      </c>
      <c r="E1652" s="8"/>
      <c r="F1652" s="11">
        <v>326.0</v>
      </c>
      <c r="G1652" s="11">
        <v>0.09</v>
      </c>
      <c r="H1652" s="11">
        <v>0.492</v>
      </c>
      <c r="I1652" s="9" t="s">
        <v>72</v>
      </c>
    </row>
    <row r="1653">
      <c r="A1653" s="12" t="s">
        <v>193</v>
      </c>
      <c r="B1653" s="5" t="s">
        <v>61</v>
      </c>
      <c r="C1653" s="11">
        <v>0.093</v>
      </c>
      <c r="D1653" s="11">
        <v>9.0</v>
      </c>
      <c r="E1653" s="8"/>
      <c r="F1653" s="8"/>
      <c r="G1653" s="11">
        <v>0.34</v>
      </c>
      <c r="H1653" s="11">
        <v>1.598</v>
      </c>
      <c r="I1653" s="9" t="s">
        <v>72</v>
      </c>
    </row>
    <row r="1654">
      <c r="A1654" s="12" t="s">
        <v>203</v>
      </c>
      <c r="B1654" s="5" t="s">
        <v>61</v>
      </c>
      <c r="C1654" s="11">
        <v>0.246</v>
      </c>
      <c r="D1654" s="11">
        <v>13.0</v>
      </c>
      <c r="E1654" s="8"/>
      <c r="F1654" s="11">
        <v>192.0</v>
      </c>
      <c r="G1654" s="11">
        <v>0.125</v>
      </c>
      <c r="H1654" s="11">
        <v>1.068</v>
      </c>
      <c r="I1654" s="9" t="s">
        <v>72</v>
      </c>
    </row>
    <row r="1655">
      <c r="A1655" s="12" t="s">
        <v>174</v>
      </c>
      <c r="B1655" s="5" t="s">
        <v>61</v>
      </c>
      <c r="C1655" s="11">
        <v>0.286</v>
      </c>
      <c r="D1655" s="11">
        <v>19.0</v>
      </c>
      <c r="E1655" s="8"/>
      <c r="F1655" s="11">
        <v>188.0</v>
      </c>
      <c r="G1655" s="11">
        <v>0.506</v>
      </c>
      <c r="H1655" s="11">
        <v>1.568</v>
      </c>
      <c r="I1655" s="9" t="s">
        <v>72</v>
      </c>
    </row>
    <row r="1656">
      <c r="A1656" s="12" t="s">
        <v>225</v>
      </c>
      <c r="B1656" s="5" t="s">
        <v>61</v>
      </c>
      <c r="C1656" s="11">
        <v>0.445</v>
      </c>
      <c r="D1656" s="11">
        <v>36.0</v>
      </c>
      <c r="E1656" s="8"/>
      <c r="F1656" s="11">
        <v>195.0</v>
      </c>
      <c r="G1656" s="11">
        <v>0.29</v>
      </c>
      <c r="H1656" s="11">
        <v>0.991</v>
      </c>
      <c r="I1656" s="9" t="s">
        <v>72</v>
      </c>
    </row>
    <row r="1657">
      <c r="A1657" s="12" t="s">
        <v>220</v>
      </c>
      <c r="B1657" s="5" t="s">
        <v>61</v>
      </c>
      <c r="C1657" s="11">
        <v>0.346</v>
      </c>
      <c r="D1657" s="11">
        <v>21.0</v>
      </c>
      <c r="E1657" s="8"/>
      <c r="F1657" s="11">
        <v>560.0</v>
      </c>
      <c r="G1657" s="11">
        <v>0.09</v>
      </c>
      <c r="H1657" s="11">
        <v>0.618</v>
      </c>
      <c r="I1657" s="9" t="s">
        <v>72</v>
      </c>
    </row>
    <row r="1658">
      <c r="A1658" s="12" t="s">
        <v>110</v>
      </c>
      <c r="B1658" s="5" t="s">
        <v>61</v>
      </c>
      <c r="C1658" s="11">
        <v>0.214</v>
      </c>
      <c r="D1658" s="11">
        <v>102.0</v>
      </c>
      <c r="E1658" s="8"/>
      <c r="F1658" s="11">
        <v>173.0</v>
      </c>
      <c r="G1658" s="11">
        <v>0.031</v>
      </c>
      <c r="H1658" s="11">
        <v>0.942</v>
      </c>
      <c r="I1658" s="9" t="s">
        <v>72</v>
      </c>
    </row>
    <row r="1659">
      <c r="A1659" s="12" t="s">
        <v>179</v>
      </c>
      <c r="B1659" s="5" t="s">
        <v>61</v>
      </c>
      <c r="C1659" s="11">
        <v>0.334</v>
      </c>
      <c r="D1659" s="11">
        <v>10.0</v>
      </c>
      <c r="E1659" s="8"/>
      <c r="F1659" s="11">
        <v>210.0</v>
      </c>
      <c r="G1659" s="11">
        <v>0.2</v>
      </c>
      <c r="H1659" s="11">
        <v>1.162</v>
      </c>
      <c r="I1659" s="9" t="s">
        <v>72</v>
      </c>
    </row>
    <row r="1660">
      <c r="A1660" s="12" t="s">
        <v>180</v>
      </c>
      <c r="B1660" s="5" t="s">
        <v>61</v>
      </c>
      <c r="C1660" s="11">
        <v>0.319</v>
      </c>
      <c r="D1660" s="11">
        <v>93.0</v>
      </c>
      <c r="E1660" s="8"/>
      <c r="F1660" s="11">
        <v>362.0</v>
      </c>
      <c r="G1660" s="11">
        <v>0.09</v>
      </c>
      <c r="H1660" s="11">
        <v>0.84</v>
      </c>
      <c r="I1660" s="9" t="s">
        <v>72</v>
      </c>
    </row>
    <row r="1661">
      <c r="A1661" s="12" t="s">
        <v>262</v>
      </c>
      <c r="B1661" s="5" t="s">
        <v>61</v>
      </c>
      <c r="C1661" s="11">
        <v>0.845</v>
      </c>
      <c r="D1661" s="11">
        <v>24.0</v>
      </c>
      <c r="E1661" s="8"/>
      <c r="F1661" s="11">
        <v>224.0</v>
      </c>
      <c r="G1661" s="11">
        <v>0.13</v>
      </c>
      <c r="H1661" s="11">
        <v>0.809</v>
      </c>
      <c r="I1661" s="9" t="s">
        <v>72</v>
      </c>
    </row>
    <row r="1662">
      <c r="A1662" s="12" t="s">
        <v>265</v>
      </c>
      <c r="B1662" s="5" t="s">
        <v>61</v>
      </c>
      <c r="C1662" s="11">
        <v>0.11</v>
      </c>
      <c r="D1662" s="11">
        <v>94.0</v>
      </c>
      <c r="E1662" s="8"/>
      <c r="F1662" s="11">
        <v>276.0</v>
      </c>
      <c r="G1662" s="11">
        <v>0.009</v>
      </c>
      <c r="H1662" s="11">
        <v>0.56</v>
      </c>
      <c r="I1662" s="9" t="s">
        <v>72</v>
      </c>
    </row>
    <row r="1663">
      <c r="A1663" s="12" t="s">
        <v>59</v>
      </c>
      <c r="B1663" s="5" t="s">
        <v>61</v>
      </c>
      <c r="C1663" s="11">
        <v>0.363</v>
      </c>
      <c r="D1663" s="11">
        <v>7.0</v>
      </c>
      <c r="E1663" s="8"/>
      <c r="F1663" s="11">
        <v>275.0</v>
      </c>
      <c r="G1663" s="11">
        <v>0.05</v>
      </c>
      <c r="H1663" s="11">
        <v>0.603</v>
      </c>
      <c r="I1663" s="9" t="s">
        <v>72</v>
      </c>
    </row>
    <row r="1664">
      <c r="A1664" s="12" t="s">
        <v>172</v>
      </c>
      <c r="B1664" s="5" t="s">
        <v>61</v>
      </c>
      <c r="C1664" s="11">
        <v>0.494</v>
      </c>
      <c r="D1664" s="11">
        <v>22.0</v>
      </c>
      <c r="E1664" s="11">
        <v>23.0</v>
      </c>
      <c r="F1664" s="11">
        <v>330.0</v>
      </c>
      <c r="G1664" s="11">
        <v>0.863</v>
      </c>
      <c r="H1664" s="11">
        <v>1.087</v>
      </c>
      <c r="I1664" s="9" t="s">
        <v>73</v>
      </c>
    </row>
    <row r="1665">
      <c r="A1665" s="12" t="s">
        <v>264</v>
      </c>
      <c r="B1665" s="5" t="s">
        <v>61</v>
      </c>
      <c r="C1665" s="11">
        <v>0.372</v>
      </c>
      <c r="D1665" s="11">
        <v>29.0</v>
      </c>
      <c r="E1665" s="11">
        <v>18.0</v>
      </c>
      <c r="F1665" s="11">
        <v>264.0</v>
      </c>
      <c r="G1665" s="11">
        <v>0.265</v>
      </c>
      <c r="H1665" s="11">
        <v>1.273</v>
      </c>
      <c r="I1665" s="9" t="s">
        <v>73</v>
      </c>
    </row>
    <row r="1666">
      <c r="A1666" s="12" t="s">
        <v>189</v>
      </c>
      <c r="B1666" s="5" t="s">
        <v>61</v>
      </c>
      <c r="C1666" s="8"/>
      <c r="D1666" s="8"/>
      <c r="E1666" s="8"/>
      <c r="F1666" s="8"/>
      <c r="G1666" s="11">
        <v>0.613</v>
      </c>
      <c r="H1666" s="11">
        <v>2.898</v>
      </c>
      <c r="I1666" s="9" t="s">
        <v>73</v>
      </c>
    </row>
    <row r="1667">
      <c r="A1667" s="12" t="s">
        <v>248</v>
      </c>
      <c r="B1667" s="5" t="s">
        <v>61</v>
      </c>
      <c r="C1667" s="11">
        <v>0.29</v>
      </c>
      <c r="D1667" s="11">
        <v>6.0</v>
      </c>
      <c r="E1667" s="11">
        <v>6.0</v>
      </c>
      <c r="F1667" s="11">
        <v>207.0</v>
      </c>
      <c r="G1667" s="11">
        <v>0.841</v>
      </c>
      <c r="H1667" s="11">
        <v>1.094</v>
      </c>
      <c r="I1667" s="9" t="s">
        <v>73</v>
      </c>
    </row>
    <row r="1668">
      <c r="A1668" s="12" t="s">
        <v>241</v>
      </c>
      <c r="B1668" s="5" t="s">
        <v>61</v>
      </c>
      <c r="C1668" s="11">
        <v>0.276</v>
      </c>
      <c r="D1668" s="11">
        <v>3.0</v>
      </c>
      <c r="E1668" s="11">
        <v>1.0</v>
      </c>
      <c r="F1668" s="11">
        <v>82.0</v>
      </c>
      <c r="G1668" s="11">
        <v>0.72</v>
      </c>
      <c r="H1668" s="11">
        <v>1.521</v>
      </c>
      <c r="I1668" s="9" t="s">
        <v>73</v>
      </c>
    </row>
    <row r="1669">
      <c r="A1669" s="12" t="s">
        <v>117</v>
      </c>
      <c r="B1669" s="5" t="s">
        <v>61</v>
      </c>
      <c r="C1669" s="11">
        <v>0.637</v>
      </c>
      <c r="D1669" s="11">
        <v>33.0</v>
      </c>
      <c r="E1669" s="11">
        <v>99.0</v>
      </c>
      <c r="F1669" s="11">
        <v>338.0</v>
      </c>
      <c r="G1669" s="11">
        <v>0.423</v>
      </c>
      <c r="H1669" s="11">
        <v>0.808</v>
      </c>
      <c r="I1669" s="9" t="s">
        <v>73</v>
      </c>
    </row>
    <row r="1670">
      <c r="A1670" s="12" t="s">
        <v>160</v>
      </c>
      <c r="B1670" s="5" t="s">
        <v>61</v>
      </c>
      <c r="C1670" s="11">
        <v>0.23</v>
      </c>
      <c r="D1670" s="11">
        <v>3.0</v>
      </c>
      <c r="E1670" s="11">
        <v>2.0</v>
      </c>
      <c r="F1670" s="11">
        <v>78.0</v>
      </c>
      <c r="G1670" s="11">
        <v>0.729</v>
      </c>
      <c r="H1670" s="11">
        <v>2.292</v>
      </c>
      <c r="I1670" s="9" t="s">
        <v>73</v>
      </c>
    </row>
    <row r="1671">
      <c r="A1671" s="12" t="s">
        <v>216</v>
      </c>
      <c r="B1671" s="5" t="s">
        <v>61</v>
      </c>
      <c r="C1671" s="8"/>
      <c r="D1671" s="8"/>
      <c r="E1671" s="8"/>
      <c r="F1671" s="8"/>
      <c r="G1671" s="8"/>
      <c r="H1671" s="11">
        <v>0.069</v>
      </c>
      <c r="I1671" s="9" t="s">
        <v>73</v>
      </c>
    </row>
    <row r="1672">
      <c r="A1672" s="12" t="s">
        <v>147</v>
      </c>
      <c r="B1672" s="5" t="s">
        <v>61</v>
      </c>
      <c r="C1672" s="11">
        <v>0.165</v>
      </c>
      <c r="D1672" s="11">
        <v>2.0</v>
      </c>
      <c r="E1672" s="11">
        <v>9.0</v>
      </c>
      <c r="F1672" s="11">
        <v>280.0</v>
      </c>
      <c r="G1672" s="11">
        <v>0.369</v>
      </c>
      <c r="H1672" s="11">
        <v>1.078</v>
      </c>
      <c r="I1672" s="9" t="s">
        <v>73</v>
      </c>
    </row>
    <row r="1673">
      <c r="A1673" s="12" t="s">
        <v>86</v>
      </c>
      <c r="B1673" s="5" t="s">
        <v>61</v>
      </c>
      <c r="C1673" s="11">
        <v>0.388</v>
      </c>
      <c r="D1673" s="11">
        <v>8.0</v>
      </c>
      <c r="E1673" s="11">
        <v>40.0</v>
      </c>
      <c r="F1673" s="11">
        <v>380.0</v>
      </c>
      <c r="G1673" s="11">
        <v>0.392</v>
      </c>
      <c r="H1673" s="11">
        <v>1.119</v>
      </c>
      <c r="I1673" s="9" t="s">
        <v>73</v>
      </c>
    </row>
    <row r="1674">
      <c r="A1674" s="12" t="s">
        <v>282</v>
      </c>
      <c r="B1674" s="5" t="s">
        <v>61</v>
      </c>
      <c r="C1674" s="11">
        <v>0.343</v>
      </c>
      <c r="D1674" s="11">
        <v>34.0</v>
      </c>
      <c r="E1674" s="11">
        <v>98.0</v>
      </c>
      <c r="F1674" s="11">
        <v>872.0</v>
      </c>
      <c r="G1674" s="11">
        <v>0.395</v>
      </c>
      <c r="H1674" s="11">
        <v>1.477</v>
      </c>
      <c r="I1674" s="9" t="s">
        <v>73</v>
      </c>
    </row>
    <row r="1675">
      <c r="A1675" s="12" t="s">
        <v>106</v>
      </c>
      <c r="B1675" s="5" t="s">
        <v>61</v>
      </c>
      <c r="C1675" s="11">
        <v>0.168</v>
      </c>
      <c r="D1675" s="11">
        <v>101.0</v>
      </c>
      <c r="E1675" s="11">
        <v>79.0</v>
      </c>
      <c r="F1675" s="11">
        <v>96.0</v>
      </c>
      <c r="G1675" s="11">
        <v>0.603</v>
      </c>
      <c r="H1675" s="11">
        <v>1.139</v>
      </c>
      <c r="I1675" s="9" t="s">
        <v>73</v>
      </c>
    </row>
    <row r="1676">
      <c r="A1676" s="12" t="s">
        <v>207</v>
      </c>
      <c r="B1676" s="5" t="s">
        <v>61</v>
      </c>
      <c r="C1676" s="11">
        <v>0.527</v>
      </c>
      <c r="D1676" s="11">
        <v>72.0</v>
      </c>
      <c r="E1676" s="11">
        <v>182.0</v>
      </c>
      <c r="F1676" s="11">
        <v>155.0</v>
      </c>
      <c r="G1676" s="11">
        <v>0.011</v>
      </c>
      <c r="H1676" s="11">
        <v>0.071</v>
      </c>
      <c r="I1676" s="9" t="s">
        <v>73</v>
      </c>
    </row>
    <row r="1677">
      <c r="A1677" s="12" t="s">
        <v>251</v>
      </c>
      <c r="B1677" s="5" t="s">
        <v>61</v>
      </c>
      <c r="C1677" s="11">
        <v>0.553</v>
      </c>
      <c r="D1677" s="11">
        <v>8.0</v>
      </c>
      <c r="E1677" s="11">
        <v>83.0</v>
      </c>
      <c r="F1677" s="11">
        <v>254.0</v>
      </c>
      <c r="G1677" s="11">
        <v>0.183</v>
      </c>
      <c r="H1677" s="11">
        <v>0.916</v>
      </c>
      <c r="I1677" s="9" t="s">
        <v>73</v>
      </c>
    </row>
    <row r="1678">
      <c r="A1678" s="12" t="s">
        <v>192</v>
      </c>
      <c r="B1678" s="5" t="s">
        <v>61</v>
      </c>
      <c r="C1678" s="11">
        <v>0.245</v>
      </c>
      <c r="D1678" s="11">
        <v>6.0</v>
      </c>
      <c r="E1678" s="11">
        <v>8.0</v>
      </c>
      <c r="F1678" s="11">
        <v>133.0</v>
      </c>
      <c r="G1678" s="11">
        <v>0.658</v>
      </c>
      <c r="H1678" s="11">
        <v>1.413</v>
      </c>
      <c r="I1678" s="9" t="s">
        <v>73</v>
      </c>
    </row>
    <row r="1679">
      <c r="A1679" s="12" t="s">
        <v>90</v>
      </c>
      <c r="B1679" s="5" t="s">
        <v>61</v>
      </c>
      <c r="C1679" s="11">
        <v>0.4</v>
      </c>
      <c r="D1679" s="11">
        <v>8.0</v>
      </c>
      <c r="E1679" s="11">
        <v>71.0</v>
      </c>
      <c r="F1679" s="11">
        <v>214.0</v>
      </c>
      <c r="G1679" s="11">
        <v>0.542</v>
      </c>
      <c r="H1679" s="11">
        <v>1.088</v>
      </c>
      <c r="I1679" s="9" t="s">
        <v>73</v>
      </c>
    </row>
    <row r="1680">
      <c r="A1680" s="12" t="s">
        <v>164</v>
      </c>
      <c r="B1680" s="5" t="s">
        <v>61</v>
      </c>
      <c r="C1680" s="11">
        <v>0.322</v>
      </c>
      <c r="D1680" s="11">
        <v>48.0</v>
      </c>
      <c r="E1680" s="11">
        <v>116.0</v>
      </c>
      <c r="F1680" s="11">
        <v>259.0</v>
      </c>
      <c r="G1680" s="11">
        <v>0.147</v>
      </c>
      <c r="H1680" s="11">
        <v>1.142</v>
      </c>
      <c r="I1680" s="9" t="s">
        <v>73</v>
      </c>
    </row>
    <row r="1681">
      <c r="A1681" s="12" t="s">
        <v>101</v>
      </c>
      <c r="B1681" s="5" t="s">
        <v>61</v>
      </c>
      <c r="C1681" s="11">
        <v>0.408</v>
      </c>
      <c r="D1681" s="11">
        <v>36.0</v>
      </c>
      <c r="E1681" s="11">
        <v>146.0</v>
      </c>
      <c r="F1681" s="11">
        <v>274.0</v>
      </c>
      <c r="G1681" s="11">
        <v>0.254</v>
      </c>
      <c r="H1681" s="11">
        <v>0.756</v>
      </c>
      <c r="I1681" s="9" t="s">
        <v>73</v>
      </c>
    </row>
    <row r="1682">
      <c r="A1682" s="12" t="s">
        <v>94</v>
      </c>
      <c r="B1682" s="5" t="s">
        <v>61</v>
      </c>
      <c r="C1682" s="11">
        <v>0.35</v>
      </c>
      <c r="D1682" s="11">
        <v>19.0</v>
      </c>
      <c r="E1682" s="11">
        <v>132.0</v>
      </c>
      <c r="F1682" s="11">
        <v>302.0</v>
      </c>
      <c r="G1682" s="11">
        <v>0.058</v>
      </c>
      <c r="H1682" s="11">
        <v>0.628</v>
      </c>
      <c r="I1682" s="9" t="s">
        <v>73</v>
      </c>
    </row>
    <row r="1683">
      <c r="A1683" s="12" t="s">
        <v>163</v>
      </c>
      <c r="B1683" s="5" t="s">
        <v>61</v>
      </c>
      <c r="C1683" s="11">
        <v>0.628</v>
      </c>
      <c r="D1683" s="11">
        <v>27.0</v>
      </c>
      <c r="E1683" s="11">
        <v>131.0</v>
      </c>
      <c r="F1683" s="11">
        <v>243.0</v>
      </c>
      <c r="G1683" s="11">
        <v>0.126</v>
      </c>
      <c r="H1683" s="11">
        <v>0.699</v>
      </c>
      <c r="I1683" s="9" t="s">
        <v>73</v>
      </c>
    </row>
    <row r="1684">
      <c r="A1684" s="12" t="s">
        <v>279</v>
      </c>
      <c r="B1684" s="5" t="s">
        <v>61</v>
      </c>
      <c r="C1684" s="11">
        <v>0.985</v>
      </c>
      <c r="D1684" s="11">
        <v>12.0</v>
      </c>
      <c r="E1684" s="11">
        <v>156.0</v>
      </c>
      <c r="F1684" s="11">
        <v>205.0</v>
      </c>
      <c r="G1684" s="11">
        <v>0.365</v>
      </c>
      <c r="H1684" s="11">
        <v>0.71</v>
      </c>
      <c r="I1684" s="9" t="s">
        <v>73</v>
      </c>
    </row>
    <row r="1685">
      <c r="A1685" s="12" t="s">
        <v>271</v>
      </c>
      <c r="B1685" s="5" t="s">
        <v>61</v>
      </c>
      <c r="C1685" s="8"/>
      <c r="D1685" s="8"/>
      <c r="E1685" s="8"/>
      <c r="F1685" s="8"/>
      <c r="G1685" s="11">
        <v>0.072</v>
      </c>
      <c r="H1685" s="11">
        <v>1.141</v>
      </c>
      <c r="I1685" s="9" t="s">
        <v>73</v>
      </c>
    </row>
    <row r="1686">
      <c r="A1686" s="12" t="s">
        <v>209</v>
      </c>
      <c r="B1686" s="5" t="s">
        <v>61</v>
      </c>
      <c r="C1686" s="11">
        <v>0.315</v>
      </c>
      <c r="D1686" s="11">
        <v>29.0</v>
      </c>
      <c r="E1686" s="11">
        <v>103.0</v>
      </c>
      <c r="F1686" s="11">
        <v>326.0</v>
      </c>
      <c r="G1686" s="11">
        <v>0.111</v>
      </c>
      <c r="H1686" s="11">
        <v>0.605</v>
      </c>
      <c r="I1686" s="9" t="s">
        <v>73</v>
      </c>
    </row>
    <row r="1687">
      <c r="A1687" s="12" t="s">
        <v>193</v>
      </c>
      <c r="B1687" s="5" t="s">
        <v>61</v>
      </c>
      <c r="C1687" s="11">
        <v>0.268</v>
      </c>
      <c r="D1687" s="11">
        <v>9.0</v>
      </c>
      <c r="E1687" s="11">
        <v>81.0</v>
      </c>
      <c r="F1687" s="11">
        <v>252.0</v>
      </c>
      <c r="G1687" s="11">
        <v>0.389</v>
      </c>
      <c r="H1687" s="11">
        <v>1.656</v>
      </c>
      <c r="I1687" s="9" t="s">
        <v>73</v>
      </c>
    </row>
    <row r="1688">
      <c r="A1688" s="12" t="s">
        <v>203</v>
      </c>
      <c r="B1688" s="5" t="s">
        <v>61</v>
      </c>
      <c r="C1688" s="11">
        <v>0.246</v>
      </c>
      <c r="D1688" s="11">
        <v>12.0</v>
      </c>
      <c r="E1688" s="11">
        <v>80.0</v>
      </c>
      <c r="F1688" s="11">
        <v>192.0</v>
      </c>
      <c r="G1688" s="11">
        <v>0.164</v>
      </c>
      <c r="H1688" s="11">
        <v>1.207</v>
      </c>
      <c r="I1688" s="9" t="s">
        <v>73</v>
      </c>
    </row>
    <row r="1689">
      <c r="A1689" s="12" t="s">
        <v>174</v>
      </c>
      <c r="B1689" s="5" t="s">
        <v>61</v>
      </c>
      <c r="C1689" s="11">
        <v>0.286</v>
      </c>
      <c r="D1689" s="11">
        <v>19.0</v>
      </c>
      <c r="E1689" s="11">
        <v>53.0</v>
      </c>
      <c r="F1689" s="11">
        <v>188.0</v>
      </c>
      <c r="G1689" s="11">
        <v>0.533</v>
      </c>
      <c r="H1689" s="11">
        <v>1.858</v>
      </c>
      <c r="I1689" s="9" t="s">
        <v>73</v>
      </c>
    </row>
    <row r="1690">
      <c r="A1690" s="12" t="s">
        <v>225</v>
      </c>
      <c r="B1690" s="5" t="s">
        <v>61</v>
      </c>
      <c r="C1690" s="11">
        <v>0.445</v>
      </c>
      <c r="D1690" s="11">
        <v>36.0</v>
      </c>
      <c r="E1690" s="11">
        <v>133.0</v>
      </c>
      <c r="F1690" s="11">
        <v>193.0</v>
      </c>
      <c r="G1690" s="11">
        <v>0.362</v>
      </c>
      <c r="H1690" s="11">
        <v>1.055</v>
      </c>
      <c r="I1690" s="9" t="s">
        <v>73</v>
      </c>
    </row>
    <row r="1691">
      <c r="A1691" s="12" t="s">
        <v>220</v>
      </c>
      <c r="B1691" s="5" t="s">
        <v>61</v>
      </c>
      <c r="C1691" s="11">
        <v>0.346</v>
      </c>
      <c r="D1691" s="11">
        <v>21.0</v>
      </c>
      <c r="E1691" s="11">
        <v>106.0</v>
      </c>
      <c r="F1691" s="11">
        <v>560.0</v>
      </c>
      <c r="G1691" s="11">
        <v>0.1</v>
      </c>
      <c r="H1691" s="11">
        <v>0.671</v>
      </c>
      <c r="I1691" s="9" t="s">
        <v>73</v>
      </c>
    </row>
    <row r="1692">
      <c r="A1692" s="12" t="s">
        <v>110</v>
      </c>
      <c r="B1692" s="5" t="s">
        <v>61</v>
      </c>
      <c r="C1692" s="11">
        <v>0.214</v>
      </c>
      <c r="D1692" s="11">
        <v>102.0</v>
      </c>
      <c r="E1692" s="11">
        <v>135.0</v>
      </c>
      <c r="F1692" s="11">
        <v>173.0</v>
      </c>
      <c r="G1692" s="11">
        <v>0.049</v>
      </c>
      <c r="H1692" s="11">
        <v>1.285</v>
      </c>
      <c r="I1692" s="9" t="s">
        <v>73</v>
      </c>
    </row>
    <row r="1693">
      <c r="A1693" s="12" t="s">
        <v>180</v>
      </c>
      <c r="B1693" s="5" t="s">
        <v>61</v>
      </c>
      <c r="C1693" s="11">
        <v>0.319</v>
      </c>
      <c r="D1693" s="11">
        <v>92.0</v>
      </c>
      <c r="E1693" s="11">
        <v>163.0</v>
      </c>
      <c r="F1693" s="11">
        <v>362.0</v>
      </c>
      <c r="G1693" s="11">
        <v>0.107</v>
      </c>
      <c r="H1693" s="11">
        <v>0.647</v>
      </c>
      <c r="I1693" s="9" t="s">
        <v>73</v>
      </c>
    </row>
    <row r="1694">
      <c r="A1694" s="12" t="s">
        <v>179</v>
      </c>
      <c r="B1694" s="5" t="s">
        <v>61</v>
      </c>
      <c r="C1694" s="11">
        <v>0.334</v>
      </c>
      <c r="D1694" s="11">
        <v>10.0</v>
      </c>
      <c r="E1694" s="11">
        <v>70.0</v>
      </c>
      <c r="F1694" s="11">
        <v>210.0</v>
      </c>
      <c r="G1694" s="11">
        <v>0.217</v>
      </c>
      <c r="H1694" s="11">
        <v>1.242</v>
      </c>
      <c r="I1694" s="9" t="s">
        <v>73</v>
      </c>
    </row>
    <row r="1695">
      <c r="A1695" s="12" t="s">
        <v>262</v>
      </c>
      <c r="B1695" s="5" t="s">
        <v>61</v>
      </c>
      <c r="C1695" s="11">
        <v>0.845</v>
      </c>
      <c r="D1695" s="11">
        <v>24.0</v>
      </c>
      <c r="E1695" s="11">
        <v>141.0</v>
      </c>
      <c r="F1695" s="11">
        <v>224.0</v>
      </c>
      <c r="G1695" s="11">
        <v>0.145</v>
      </c>
      <c r="H1695" s="11">
        <v>0.815</v>
      </c>
      <c r="I1695" s="9" t="s">
        <v>73</v>
      </c>
    </row>
    <row r="1696">
      <c r="A1696" s="12" t="s">
        <v>59</v>
      </c>
      <c r="B1696" s="5" t="s">
        <v>61</v>
      </c>
      <c r="C1696" s="11">
        <v>0.363</v>
      </c>
      <c r="D1696" s="11">
        <v>7.0</v>
      </c>
      <c r="E1696" s="11">
        <v>170.0</v>
      </c>
      <c r="F1696" s="11">
        <v>275.0</v>
      </c>
      <c r="G1696" s="11">
        <v>0.055</v>
      </c>
      <c r="H1696" s="11">
        <v>0.655</v>
      </c>
      <c r="I1696" s="9" t="s">
        <v>73</v>
      </c>
    </row>
    <row r="1697">
      <c r="A1697" s="12" t="s">
        <v>265</v>
      </c>
      <c r="B1697" s="5" t="s">
        <v>61</v>
      </c>
      <c r="C1697" s="11">
        <v>0.11</v>
      </c>
      <c r="D1697" s="11">
        <v>94.0</v>
      </c>
      <c r="E1697" s="11">
        <v>167.0</v>
      </c>
      <c r="F1697" s="11">
        <v>276.0</v>
      </c>
      <c r="G1697" s="11">
        <v>0.009</v>
      </c>
      <c r="H1697" s="11">
        <v>0.557</v>
      </c>
      <c r="I1697" s="9" t="s">
        <v>73</v>
      </c>
    </row>
    <row r="1698">
      <c r="A1698" s="12" t="s">
        <v>202</v>
      </c>
      <c r="B1698" s="5" t="s">
        <v>75</v>
      </c>
      <c r="C1698" s="8"/>
      <c r="D1698" s="8"/>
      <c r="E1698" s="8"/>
      <c r="F1698" s="8"/>
      <c r="G1698" s="11">
        <v>0.555</v>
      </c>
      <c r="H1698" s="11">
        <v>0.508</v>
      </c>
      <c r="I1698" s="9" t="s">
        <v>66</v>
      </c>
    </row>
    <row r="1699">
      <c r="A1699" s="12" t="s">
        <v>140</v>
      </c>
      <c r="B1699" s="5" t="s">
        <v>75</v>
      </c>
      <c r="C1699" s="8"/>
      <c r="D1699" s="8"/>
      <c r="E1699" s="8"/>
      <c r="F1699" s="8"/>
      <c r="G1699" s="11">
        <v>0.679</v>
      </c>
      <c r="H1699" s="11">
        <v>0.855</v>
      </c>
      <c r="I1699" s="9" t="s">
        <v>66</v>
      </c>
    </row>
    <row r="1700">
      <c r="A1700" s="12" t="s">
        <v>103</v>
      </c>
      <c r="B1700" s="5" t="s">
        <v>75</v>
      </c>
      <c r="C1700" s="11">
        <v>0.428</v>
      </c>
      <c r="D1700" s="11">
        <v>63.0</v>
      </c>
      <c r="E1700" s="8"/>
      <c r="F1700" s="11">
        <v>368.0</v>
      </c>
      <c r="G1700" s="11">
        <v>0.213</v>
      </c>
      <c r="H1700" s="11">
        <v>0.411</v>
      </c>
      <c r="I1700" s="9" t="s">
        <v>66</v>
      </c>
    </row>
    <row r="1701">
      <c r="A1701" s="12" t="s">
        <v>148</v>
      </c>
      <c r="B1701" s="5" t="s">
        <v>75</v>
      </c>
      <c r="C1701" s="11">
        <v>0.477</v>
      </c>
      <c r="D1701" s="11">
        <v>45.0</v>
      </c>
      <c r="E1701" s="8"/>
      <c r="F1701" s="11">
        <v>196.0</v>
      </c>
      <c r="G1701" s="11">
        <v>0.687</v>
      </c>
      <c r="H1701" s="11">
        <v>0.946</v>
      </c>
      <c r="I1701" s="9" t="s">
        <v>66</v>
      </c>
    </row>
    <row r="1702">
      <c r="A1702" s="12" t="s">
        <v>274</v>
      </c>
      <c r="B1702" s="5" t="s">
        <v>75</v>
      </c>
      <c r="C1702" s="11">
        <v>0.573</v>
      </c>
      <c r="D1702" s="11">
        <v>34.0</v>
      </c>
      <c r="E1702" s="8"/>
      <c r="F1702" s="11">
        <v>2085.0</v>
      </c>
      <c r="G1702" s="11">
        <v>0.037</v>
      </c>
      <c r="H1702" s="11">
        <v>0.637</v>
      </c>
      <c r="I1702" s="9" t="s">
        <v>66</v>
      </c>
    </row>
    <row r="1703">
      <c r="A1703" s="12" t="s">
        <v>96</v>
      </c>
      <c r="B1703" s="5" t="s">
        <v>75</v>
      </c>
      <c r="C1703" s="11">
        <v>1.373</v>
      </c>
      <c r="D1703" s="11">
        <v>79.0</v>
      </c>
      <c r="E1703" s="8"/>
      <c r="F1703" s="11">
        <v>987.0</v>
      </c>
      <c r="G1703" s="8"/>
      <c r="H1703" s="11">
        <v>0.424</v>
      </c>
      <c r="I1703" s="9" t="s">
        <v>66</v>
      </c>
    </row>
    <row r="1704">
      <c r="A1704" s="12" t="s">
        <v>187</v>
      </c>
      <c r="B1704" s="5" t="s">
        <v>75</v>
      </c>
      <c r="C1704" s="11">
        <v>0.512</v>
      </c>
      <c r="D1704" s="11">
        <v>26.0</v>
      </c>
      <c r="E1704" s="8"/>
      <c r="F1704" s="11">
        <v>166.0</v>
      </c>
      <c r="G1704" s="11">
        <v>0.362</v>
      </c>
      <c r="H1704" s="11">
        <v>1.325</v>
      </c>
      <c r="I1704" s="9" t="s">
        <v>66</v>
      </c>
    </row>
    <row r="1705">
      <c r="A1705" s="12" t="s">
        <v>107</v>
      </c>
      <c r="B1705" s="5" t="s">
        <v>75</v>
      </c>
      <c r="C1705" s="11">
        <v>0.452</v>
      </c>
      <c r="D1705" s="11">
        <v>32.0</v>
      </c>
      <c r="E1705" s="8"/>
      <c r="F1705" s="11">
        <v>616.0</v>
      </c>
      <c r="G1705" s="11">
        <v>0.2</v>
      </c>
      <c r="H1705" s="11">
        <v>0.813</v>
      </c>
      <c r="I1705" s="9" t="s">
        <v>66</v>
      </c>
    </row>
    <row r="1706">
      <c r="A1706" s="12" t="s">
        <v>244</v>
      </c>
      <c r="B1706" s="5" t="s">
        <v>75</v>
      </c>
      <c r="C1706" s="11">
        <v>0.392</v>
      </c>
      <c r="D1706" s="11">
        <v>60.0</v>
      </c>
      <c r="E1706" s="8"/>
      <c r="F1706" s="11">
        <v>260.0</v>
      </c>
      <c r="G1706" s="11">
        <v>0.468</v>
      </c>
      <c r="H1706" s="11">
        <v>0.879</v>
      </c>
      <c r="I1706" s="9" t="s">
        <v>66</v>
      </c>
    </row>
    <row r="1707">
      <c r="A1707" s="12" t="s">
        <v>231</v>
      </c>
      <c r="B1707" s="5" t="s">
        <v>75</v>
      </c>
      <c r="C1707" s="11">
        <v>0.6</v>
      </c>
      <c r="D1707" s="11">
        <v>29.0</v>
      </c>
      <c r="E1707" s="8"/>
      <c r="F1707" s="11">
        <v>448.0</v>
      </c>
      <c r="G1707" s="11">
        <v>0.152</v>
      </c>
      <c r="H1707" s="11">
        <v>0.834</v>
      </c>
      <c r="I1707" s="9" t="s">
        <v>66</v>
      </c>
    </row>
    <row r="1708">
      <c r="A1708" s="12" t="s">
        <v>181</v>
      </c>
      <c r="B1708" s="5" t="s">
        <v>75</v>
      </c>
      <c r="C1708" s="11">
        <v>0.364</v>
      </c>
      <c r="D1708" s="11">
        <v>16.0</v>
      </c>
      <c r="E1708" s="8"/>
      <c r="F1708" s="11">
        <v>320.0</v>
      </c>
      <c r="G1708" s="11">
        <v>0.46</v>
      </c>
      <c r="H1708" s="11">
        <v>0.84</v>
      </c>
      <c r="I1708" s="9" t="s">
        <v>66</v>
      </c>
    </row>
    <row r="1709">
      <c r="A1709" s="12" t="s">
        <v>230</v>
      </c>
      <c r="B1709" s="5" t="s">
        <v>75</v>
      </c>
      <c r="C1709" s="11">
        <v>0.558</v>
      </c>
      <c r="D1709" s="11">
        <v>11.0</v>
      </c>
      <c r="E1709" s="8"/>
      <c r="F1709" s="11">
        <v>190.0</v>
      </c>
      <c r="G1709" s="11">
        <v>0.215</v>
      </c>
      <c r="H1709" s="11">
        <v>0.604</v>
      </c>
      <c r="I1709" s="9" t="s">
        <v>66</v>
      </c>
    </row>
    <row r="1710">
      <c r="A1710" s="12" t="s">
        <v>161</v>
      </c>
      <c r="B1710" s="5" t="s">
        <v>75</v>
      </c>
      <c r="C1710" s="11">
        <v>0.566</v>
      </c>
      <c r="D1710" s="11">
        <v>38.0</v>
      </c>
      <c r="E1710" s="8"/>
      <c r="F1710" s="11">
        <v>340.0</v>
      </c>
      <c r="G1710" s="11">
        <v>0.39</v>
      </c>
      <c r="H1710" s="11">
        <v>0.923</v>
      </c>
      <c r="I1710" s="9" t="s">
        <v>66</v>
      </c>
    </row>
    <row r="1711">
      <c r="A1711" s="12" t="s">
        <v>238</v>
      </c>
      <c r="B1711" s="5" t="s">
        <v>75</v>
      </c>
      <c r="C1711" s="11">
        <v>0.358</v>
      </c>
      <c r="D1711" s="11">
        <v>23.0</v>
      </c>
      <c r="E1711" s="8"/>
      <c r="F1711" s="11">
        <v>279.0</v>
      </c>
      <c r="G1711" s="11">
        <v>0.263</v>
      </c>
      <c r="H1711" s="11">
        <v>0.67</v>
      </c>
      <c r="I1711" s="9" t="s">
        <v>66</v>
      </c>
    </row>
    <row r="1712">
      <c r="A1712" s="12" t="s">
        <v>243</v>
      </c>
      <c r="B1712" s="5" t="s">
        <v>75</v>
      </c>
      <c r="C1712" s="11">
        <v>0.487</v>
      </c>
      <c r="D1712" s="11">
        <v>27.0</v>
      </c>
      <c r="E1712" s="8"/>
      <c r="F1712" s="11">
        <v>325.0</v>
      </c>
      <c r="G1712" s="11">
        <v>0.552</v>
      </c>
      <c r="H1712" s="11">
        <v>0.842</v>
      </c>
      <c r="I1712" s="9" t="s">
        <v>66</v>
      </c>
    </row>
    <row r="1713">
      <c r="A1713" s="12" t="s">
        <v>226</v>
      </c>
      <c r="B1713" s="5" t="s">
        <v>75</v>
      </c>
      <c r="C1713" s="11">
        <v>0.432</v>
      </c>
      <c r="D1713" s="11">
        <v>31.0</v>
      </c>
      <c r="E1713" s="8"/>
      <c r="F1713" s="11">
        <v>418.0</v>
      </c>
      <c r="G1713" s="11">
        <v>0.388</v>
      </c>
      <c r="H1713" s="11">
        <v>0.763</v>
      </c>
      <c r="I1713" s="9" t="s">
        <v>66</v>
      </c>
    </row>
    <row r="1714">
      <c r="A1714" s="12" t="s">
        <v>124</v>
      </c>
      <c r="B1714" s="5" t="s">
        <v>75</v>
      </c>
      <c r="C1714" s="11">
        <v>0.214</v>
      </c>
      <c r="D1714" s="11">
        <v>29.0</v>
      </c>
      <c r="E1714" s="8"/>
      <c r="F1714" s="11">
        <v>232.0</v>
      </c>
      <c r="G1714" s="11">
        <v>0.331</v>
      </c>
      <c r="H1714" s="11">
        <v>0.832</v>
      </c>
      <c r="I1714" s="9" t="s">
        <v>66</v>
      </c>
    </row>
    <row r="1715">
      <c r="A1715" s="12" t="s">
        <v>128</v>
      </c>
      <c r="B1715" s="5" t="s">
        <v>75</v>
      </c>
      <c r="C1715" s="11">
        <v>0.488</v>
      </c>
      <c r="D1715" s="11">
        <v>40.0</v>
      </c>
      <c r="E1715" s="8"/>
      <c r="F1715" s="11">
        <v>930.0</v>
      </c>
      <c r="G1715" s="11">
        <v>0.353</v>
      </c>
      <c r="H1715" s="11">
        <v>1.151</v>
      </c>
      <c r="I1715" s="9" t="s">
        <v>66</v>
      </c>
    </row>
    <row r="1716">
      <c r="A1716" s="12" t="s">
        <v>227</v>
      </c>
      <c r="B1716" s="5" t="s">
        <v>75</v>
      </c>
      <c r="C1716" s="11">
        <v>0.438</v>
      </c>
      <c r="D1716" s="11">
        <v>54.0</v>
      </c>
      <c r="E1716" s="8"/>
      <c r="F1716" s="11">
        <v>328.0</v>
      </c>
      <c r="G1716" s="11">
        <v>0.35</v>
      </c>
      <c r="H1716" s="11">
        <v>1.089</v>
      </c>
      <c r="I1716" s="9" t="s">
        <v>66</v>
      </c>
    </row>
    <row r="1717">
      <c r="A1717" s="12" t="s">
        <v>195</v>
      </c>
      <c r="B1717" s="5" t="s">
        <v>75</v>
      </c>
      <c r="C1717" s="8"/>
      <c r="D1717" s="8"/>
      <c r="E1717" s="8"/>
      <c r="F1717" s="8"/>
      <c r="G1717" s="11">
        <v>0.412</v>
      </c>
      <c r="H1717" s="11">
        <v>0.781</v>
      </c>
      <c r="I1717" s="9" t="s">
        <v>66</v>
      </c>
    </row>
    <row r="1718">
      <c r="A1718" s="12" t="s">
        <v>89</v>
      </c>
      <c r="B1718" s="5" t="s">
        <v>75</v>
      </c>
      <c r="C1718" s="11">
        <v>0.582</v>
      </c>
      <c r="D1718" s="11">
        <v>25.0</v>
      </c>
      <c r="E1718" s="8"/>
      <c r="F1718" s="11">
        <v>170.0</v>
      </c>
      <c r="G1718" s="11">
        <v>0.58</v>
      </c>
      <c r="H1718" s="11">
        <v>1.052</v>
      </c>
      <c r="I1718" s="9" t="s">
        <v>66</v>
      </c>
    </row>
    <row r="1719">
      <c r="A1719" s="12" t="s">
        <v>150</v>
      </c>
      <c r="B1719" s="5" t="s">
        <v>75</v>
      </c>
      <c r="C1719" s="11">
        <v>0.54</v>
      </c>
      <c r="D1719" s="11">
        <v>38.0</v>
      </c>
      <c r="E1719" s="8"/>
      <c r="F1719" s="11">
        <v>264.0</v>
      </c>
      <c r="G1719" s="11">
        <v>0.24</v>
      </c>
      <c r="H1719" s="11">
        <v>0.929</v>
      </c>
      <c r="I1719" s="9" t="s">
        <v>66</v>
      </c>
    </row>
    <row r="1720">
      <c r="A1720" s="12" t="s">
        <v>170</v>
      </c>
      <c r="B1720" s="5" t="s">
        <v>75</v>
      </c>
      <c r="C1720" s="11">
        <v>0.768</v>
      </c>
      <c r="D1720" s="11">
        <v>13.0</v>
      </c>
      <c r="E1720" s="8"/>
      <c r="F1720" s="11">
        <v>340.0</v>
      </c>
      <c r="G1720" s="11">
        <v>0.35</v>
      </c>
      <c r="H1720" s="11">
        <v>1.219</v>
      </c>
      <c r="I1720" s="9" t="s">
        <v>66</v>
      </c>
    </row>
    <row r="1721">
      <c r="A1721" s="12" t="s">
        <v>260</v>
      </c>
      <c r="B1721" s="5" t="s">
        <v>75</v>
      </c>
      <c r="C1721" s="11">
        <v>0.288</v>
      </c>
      <c r="D1721" s="11">
        <v>18.0</v>
      </c>
      <c r="E1721" s="8"/>
      <c r="F1721" s="11">
        <v>63.0</v>
      </c>
      <c r="G1721" s="11">
        <v>0.701</v>
      </c>
      <c r="H1721" s="11">
        <v>0.922</v>
      </c>
      <c r="I1721" s="9" t="s">
        <v>66</v>
      </c>
    </row>
    <row r="1722">
      <c r="A1722" s="12" t="s">
        <v>234</v>
      </c>
      <c r="B1722" s="5" t="s">
        <v>75</v>
      </c>
      <c r="C1722" s="8"/>
      <c r="D1722" s="8"/>
      <c r="E1722" s="8"/>
      <c r="F1722" s="8"/>
      <c r="G1722" s="11">
        <v>0.503</v>
      </c>
      <c r="H1722" s="11">
        <v>0.576</v>
      </c>
      <c r="I1722" s="9" t="s">
        <v>66</v>
      </c>
    </row>
    <row r="1723">
      <c r="A1723" s="12" t="s">
        <v>168</v>
      </c>
      <c r="B1723" s="5" t="s">
        <v>75</v>
      </c>
      <c r="C1723" s="8"/>
      <c r="D1723" s="8"/>
      <c r="E1723" s="8"/>
      <c r="F1723" s="8"/>
      <c r="G1723" s="8"/>
      <c r="H1723" s="8"/>
      <c r="I1723" s="9" t="s">
        <v>66</v>
      </c>
    </row>
    <row r="1724">
      <c r="A1724" s="12" t="s">
        <v>81</v>
      </c>
      <c r="B1724" s="5" t="s">
        <v>75</v>
      </c>
      <c r="C1724" s="8"/>
      <c r="D1724" s="8"/>
      <c r="E1724" s="8"/>
      <c r="F1724" s="8"/>
      <c r="G1724" s="11">
        <v>0.376</v>
      </c>
      <c r="H1724" s="11">
        <v>0.795</v>
      </c>
      <c r="I1724" s="9" t="s">
        <v>66</v>
      </c>
    </row>
    <row r="1725">
      <c r="A1725" s="12" t="s">
        <v>138</v>
      </c>
      <c r="B1725" s="5" t="s">
        <v>75</v>
      </c>
      <c r="C1725" s="11">
        <v>0.503</v>
      </c>
      <c r="D1725" s="11">
        <v>35.0</v>
      </c>
      <c r="E1725" s="8"/>
      <c r="F1725" s="11">
        <v>81.0</v>
      </c>
      <c r="G1725" s="11">
        <v>0.615</v>
      </c>
      <c r="H1725" s="11">
        <v>1.091</v>
      </c>
      <c r="I1725" s="9" t="s">
        <v>66</v>
      </c>
    </row>
    <row r="1726">
      <c r="A1726" s="12" t="s">
        <v>217</v>
      </c>
      <c r="B1726" s="5" t="s">
        <v>75</v>
      </c>
      <c r="C1726" s="11">
        <v>0.203</v>
      </c>
      <c r="D1726" s="11">
        <v>48.0</v>
      </c>
      <c r="E1726" s="8"/>
      <c r="F1726" s="11">
        <v>192.0</v>
      </c>
      <c r="G1726" s="11">
        <v>0.265</v>
      </c>
      <c r="H1726" s="11">
        <v>0.541</v>
      </c>
      <c r="I1726" s="9" t="s">
        <v>66</v>
      </c>
    </row>
    <row r="1727">
      <c r="A1727" s="12" t="s">
        <v>142</v>
      </c>
      <c r="B1727" s="5" t="s">
        <v>75</v>
      </c>
      <c r="C1727" s="11">
        <v>0.495</v>
      </c>
      <c r="D1727" s="11">
        <v>14.0</v>
      </c>
      <c r="E1727" s="8"/>
      <c r="F1727" s="11">
        <v>269.0</v>
      </c>
      <c r="G1727" s="11">
        <v>0.745</v>
      </c>
      <c r="H1727" s="11">
        <v>1.005</v>
      </c>
      <c r="I1727" s="9" t="s">
        <v>66</v>
      </c>
    </row>
    <row r="1728">
      <c r="A1728" s="12" t="s">
        <v>97</v>
      </c>
      <c r="B1728" s="5" t="s">
        <v>75</v>
      </c>
      <c r="C1728" s="11">
        <v>0.595</v>
      </c>
      <c r="D1728" s="11">
        <v>34.0</v>
      </c>
      <c r="E1728" s="8"/>
      <c r="F1728" s="11">
        <v>156.0</v>
      </c>
      <c r="G1728" s="11">
        <v>0.558</v>
      </c>
      <c r="H1728" s="11">
        <v>0.914</v>
      </c>
      <c r="I1728" s="9" t="s">
        <v>66</v>
      </c>
    </row>
    <row r="1729">
      <c r="A1729" s="12" t="s">
        <v>186</v>
      </c>
      <c r="B1729" s="5" t="s">
        <v>75</v>
      </c>
      <c r="C1729" s="8"/>
      <c r="D1729" s="8"/>
      <c r="E1729" s="8"/>
      <c r="F1729" s="8"/>
      <c r="G1729" s="11">
        <v>0.634</v>
      </c>
      <c r="H1729" s="11">
        <v>0.792</v>
      </c>
      <c r="I1729" s="9" t="s">
        <v>66</v>
      </c>
    </row>
    <row r="1730">
      <c r="A1730" s="12" t="s">
        <v>250</v>
      </c>
      <c r="B1730" s="5" t="s">
        <v>75</v>
      </c>
      <c r="C1730" s="11">
        <v>0.619</v>
      </c>
      <c r="D1730" s="11">
        <v>47.0</v>
      </c>
      <c r="E1730" s="8"/>
      <c r="F1730" s="11">
        <v>298.0</v>
      </c>
      <c r="G1730" s="11">
        <v>0.479</v>
      </c>
      <c r="H1730" s="11">
        <v>0.984</v>
      </c>
      <c r="I1730" s="9" t="s">
        <v>66</v>
      </c>
    </row>
    <row r="1731">
      <c r="A1731" s="12" t="s">
        <v>259</v>
      </c>
      <c r="B1731" s="5" t="s">
        <v>75</v>
      </c>
      <c r="C1731" s="11">
        <v>0.541</v>
      </c>
      <c r="D1731" s="11">
        <v>16.0</v>
      </c>
      <c r="E1731" s="8"/>
      <c r="F1731" s="11">
        <v>122.0</v>
      </c>
      <c r="G1731" s="11">
        <v>0.848</v>
      </c>
      <c r="H1731" s="11">
        <v>1.008</v>
      </c>
      <c r="I1731" s="9" t="s">
        <v>66</v>
      </c>
    </row>
    <row r="1732">
      <c r="A1732" s="12" t="s">
        <v>201</v>
      </c>
      <c r="B1732" s="5" t="s">
        <v>75</v>
      </c>
      <c r="C1732" s="11">
        <v>0.48</v>
      </c>
      <c r="D1732" s="11">
        <v>30.0</v>
      </c>
      <c r="E1732" s="8"/>
      <c r="F1732" s="11">
        <v>234.0</v>
      </c>
      <c r="G1732" s="11">
        <v>0.146</v>
      </c>
      <c r="H1732" s="11">
        <v>0.289</v>
      </c>
      <c r="I1732" s="9" t="s">
        <v>66</v>
      </c>
    </row>
    <row r="1733">
      <c r="A1733" s="12" t="s">
        <v>129</v>
      </c>
      <c r="B1733" s="5" t="s">
        <v>75</v>
      </c>
      <c r="C1733" s="11">
        <v>0.333</v>
      </c>
      <c r="D1733" s="11">
        <v>6.0</v>
      </c>
      <c r="E1733" s="8"/>
      <c r="F1733" s="11">
        <v>135.0</v>
      </c>
      <c r="G1733" s="11">
        <v>0.827</v>
      </c>
      <c r="H1733" s="11">
        <v>1.006</v>
      </c>
      <c r="I1733" s="9" t="s">
        <v>66</v>
      </c>
    </row>
    <row r="1734">
      <c r="A1734" s="12" t="s">
        <v>127</v>
      </c>
      <c r="B1734" s="5" t="s">
        <v>75</v>
      </c>
      <c r="C1734" s="8"/>
      <c r="D1734" s="8"/>
      <c r="E1734" s="8"/>
      <c r="F1734" s="8"/>
      <c r="G1734" s="11">
        <v>0.328</v>
      </c>
      <c r="H1734" s="11">
        <v>0.758</v>
      </c>
      <c r="I1734" s="9" t="s">
        <v>66</v>
      </c>
    </row>
    <row r="1735">
      <c r="A1735" s="12" t="s">
        <v>276</v>
      </c>
      <c r="B1735" s="5" t="s">
        <v>75</v>
      </c>
      <c r="C1735" s="11">
        <v>0.347</v>
      </c>
      <c r="D1735" s="11">
        <v>13.0</v>
      </c>
      <c r="E1735" s="8"/>
      <c r="F1735" s="11">
        <v>105.0</v>
      </c>
      <c r="G1735" s="11">
        <v>0.7</v>
      </c>
      <c r="H1735" s="11">
        <v>1.086</v>
      </c>
      <c r="I1735" s="9" t="s">
        <v>66</v>
      </c>
    </row>
    <row r="1736">
      <c r="A1736" s="12" t="s">
        <v>188</v>
      </c>
      <c r="B1736" s="5" t="s">
        <v>75</v>
      </c>
      <c r="C1736" s="8"/>
      <c r="D1736" s="8"/>
      <c r="E1736" s="8"/>
      <c r="F1736" s="8"/>
      <c r="G1736" s="11">
        <v>0.7</v>
      </c>
      <c r="H1736" s="11">
        <v>1.114</v>
      </c>
      <c r="I1736" s="9" t="s">
        <v>66</v>
      </c>
    </row>
    <row r="1737">
      <c r="A1737" s="12" t="s">
        <v>210</v>
      </c>
      <c r="B1737" s="5" t="s">
        <v>75</v>
      </c>
      <c r="C1737" s="11">
        <v>0.477</v>
      </c>
      <c r="D1737" s="11">
        <v>9.0</v>
      </c>
      <c r="E1737" s="8"/>
      <c r="F1737" s="11">
        <v>250.0</v>
      </c>
      <c r="G1737" s="11">
        <v>0.81</v>
      </c>
      <c r="H1737" s="11">
        <v>0.971</v>
      </c>
      <c r="I1737" s="9" t="s">
        <v>66</v>
      </c>
    </row>
    <row r="1738">
      <c r="A1738" s="12" t="s">
        <v>218</v>
      </c>
      <c r="B1738" s="5" t="s">
        <v>75</v>
      </c>
      <c r="C1738" s="11">
        <v>0.411</v>
      </c>
      <c r="D1738" s="11">
        <v>8.0</v>
      </c>
      <c r="E1738" s="8"/>
      <c r="F1738" s="11">
        <v>87.0</v>
      </c>
      <c r="G1738" s="11">
        <v>0.82</v>
      </c>
      <c r="H1738" s="11">
        <v>1.028</v>
      </c>
      <c r="I1738" s="9" t="s">
        <v>66</v>
      </c>
    </row>
    <row r="1739">
      <c r="A1739" s="12" t="s">
        <v>204</v>
      </c>
      <c r="B1739" s="5" t="s">
        <v>75</v>
      </c>
      <c r="C1739" s="8"/>
      <c r="D1739" s="8"/>
      <c r="E1739" s="8"/>
      <c r="F1739" s="8"/>
      <c r="G1739" s="11">
        <v>0.271</v>
      </c>
      <c r="H1739" s="11">
        <v>0.882</v>
      </c>
      <c r="I1739" s="9" t="s">
        <v>66</v>
      </c>
    </row>
    <row r="1740">
      <c r="A1740" s="12" t="s">
        <v>143</v>
      </c>
      <c r="B1740" s="5" t="s">
        <v>75</v>
      </c>
      <c r="C1740" s="11">
        <v>0.651</v>
      </c>
      <c r="D1740" s="11">
        <v>7.0</v>
      </c>
      <c r="E1740" s="8"/>
      <c r="F1740" s="11">
        <v>132.0</v>
      </c>
      <c r="G1740" s="11">
        <v>0.429</v>
      </c>
      <c r="H1740" s="11">
        <v>0.783</v>
      </c>
      <c r="I1740" s="9" t="s">
        <v>66</v>
      </c>
    </row>
    <row r="1741">
      <c r="A1741" s="12" t="s">
        <v>74</v>
      </c>
      <c r="B1741" s="5" t="s">
        <v>75</v>
      </c>
      <c r="C1741" s="11">
        <v>0.582</v>
      </c>
      <c r="D1741" s="11">
        <v>41.0</v>
      </c>
      <c r="E1741" s="8"/>
      <c r="F1741" s="11">
        <v>364.0</v>
      </c>
      <c r="G1741" s="11">
        <v>0.06</v>
      </c>
      <c r="H1741" s="11">
        <v>0.479</v>
      </c>
      <c r="I1741" s="9" t="s">
        <v>66</v>
      </c>
    </row>
    <row r="1742">
      <c r="A1742" s="12" t="s">
        <v>162</v>
      </c>
      <c r="B1742" s="5" t="s">
        <v>75</v>
      </c>
      <c r="C1742" s="11">
        <v>0.264</v>
      </c>
      <c r="D1742" s="11">
        <v>5.0</v>
      </c>
      <c r="E1742" s="8"/>
      <c r="F1742" s="11">
        <v>140.0</v>
      </c>
      <c r="G1742" s="11">
        <v>0.87</v>
      </c>
      <c r="H1742" s="11">
        <v>0.954</v>
      </c>
      <c r="I1742" s="9" t="s">
        <v>66</v>
      </c>
    </row>
    <row r="1743">
      <c r="A1743" s="12" t="s">
        <v>167</v>
      </c>
      <c r="B1743" s="5" t="s">
        <v>75</v>
      </c>
      <c r="C1743" s="11">
        <v>0.253</v>
      </c>
      <c r="D1743" s="11">
        <v>18.0</v>
      </c>
      <c r="E1743" s="8"/>
      <c r="F1743" s="11">
        <v>76.0</v>
      </c>
      <c r="G1743" s="11">
        <v>0.416</v>
      </c>
      <c r="H1743" s="11">
        <v>1.027</v>
      </c>
      <c r="I1743" s="9" t="s">
        <v>66</v>
      </c>
    </row>
    <row r="1744">
      <c r="A1744" s="12" t="s">
        <v>270</v>
      </c>
      <c r="B1744" s="5" t="s">
        <v>75</v>
      </c>
      <c r="C1744" s="11">
        <v>0.528</v>
      </c>
      <c r="D1744" s="11">
        <v>6.0</v>
      </c>
      <c r="E1744" s="8"/>
      <c r="F1744" s="11">
        <v>254.0</v>
      </c>
      <c r="G1744" s="11">
        <v>0.155</v>
      </c>
      <c r="H1744" s="11">
        <v>0.644</v>
      </c>
      <c r="I1744" s="9" t="s">
        <v>66</v>
      </c>
    </row>
    <row r="1745">
      <c r="A1745" s="12" t="s">
        <v>177</v>
      </c>
      <c r="B1745" s="5" t="s">
        <v>75</v>
      </c>
      <c r="C1745" s="8"/>
      <c r="D1745" s="8"/>
      <c r="E1745" s="8"/>
      <c r="F1745" s="8"/>
      <c r="G1745" s="8"/>
      <c r="H1745" s="8"/>
      <c r="I1745" s="9" t="s">
        <v>66</v>
      </c>
    </row>
    <row r="1746">
      <c r="A1746" s="12" t="s">
        <v>168</v>
      </c>
      <c r="B1746" s="5" t="s">
        <v>75</v>
      </c>
      <c r="C1746" s="8"/>
      <c r="D1746" s="8"/>
      <c r="E1746" s="8"/>
      <c r="F1746" s="8"/>
      <c r="G1746" s="8"/>
      <c r="H1746" s="8"/>
      <c r="I1746" s="9" t="s">
        <v>67</v>
      </c>
    </row>
    <row r="1747">
      <c r="A1747" s="12" t="s">
        <v>202</v>
      </c>
      <c r="B1747" s="5" t="s">
        <v>75</v>
      </c>
      <c r="C1747" s="8"/>
      <c r="D1747" s="8"/>
      <c r="E1747" s="8"/>
      <c r="F1747" s="8"/>
      <c r="G1747" s="11">
        <v>0.615</v>
      </c>
      <c r="H1747" s="11">
        <v>0.533</v>
      </c>
      <c r="I1747" s="9" t="s">
        <v>67</v>
      </c>
    </row>
    <row r="1748">
      <c r="A1748" s="12" t="s">
        <v>140</v>
      </c>
      <c r="B1748" s="5" t="s">
        <v>75</v>
      </c>
      <c r="C1748" s="8"/>
      <c r="D1748" s="8"/>
      <c r="E1748" s="8"/>
      <c r="F1748" s="8"/>
      <c r="G1748" s="11">
        <v>0.694</v>
      </c>
      <c r="H1748" s="11">
        <v>1.011</v>
      </c>
      <c r="I1748" s="9" t="s">
        <v>67</v>
      </c>
    </row>
    <row r="1749">
      <c r="A1749" s="12" t="s">
        <v>103</v>
      </c>
      <c r="B1749" s="5" t="s">
        <v>75</v>
      </c>
      <c r="C1749" s="11">
        <v>0.427</v>
      </c>
      <c r="D1749" s="11">
        <v>63.0</v>
      </c>
      <c r="E1749" s="8"/>
      <c r="F1749" s="11">
        <v>368.0</v>
      </c>
      <c r="G1749" s="11">
        <v>0.251</v>
      </c>
      <c r="H1749" s="11">
        <v>0.487</v>
      </c>
      <c r="I1749" s="9" t="s">
        <v>67</v>
      </c>
    </row>
    <row r="1750">
      <c r="A1750" s="12" t="s">
        <v>148</v>
      </c>
      <c r="B1750" s="5" t="s">
        <v>75</v>
      </c>
      <c r="C1750" s="11">
        <v>0.474</v>
      </c>
      <c r="D1750" s="11">
        <v>24.0</v>
      </c>
      <c r="E1750" s="8"/>
      <c r="F1750" s="11">
        <v>196.0</v>
      </c>
      <c r="G1750" s="11">
        <v>0.722</v>
      </c>
      <c r="H1750" s="11">
        <v>1.023</v>
      </c>
      <c r="I1750" s="9" t="s">
        <v>67</v>
      </c>
    </row>
    <row r="1751">
      <c r="A1751" s="12" t="s">
        <v>124</v>
      </c>
      <c r="B1751" s="5" t="s">
        <v>75</v>
      </c>
      <c r="C1751" s="11">
        <v>0.214</v>
      </c>
      <c r="D1751" s="11">
        <v>25.0</v>
      </c>
      <c r="E1751" s="8"/>
      <c r="F1751" s="11">
        <v>196.0</v>
      </c>
      <c r="G1751" s="11">
        <v>0.38</v>
      </c>
      <c r="H1751" s="11">
        <v>1.004</v>
      </c>
      <c r="I1751" s="9" t="s">
        <v>67</v>
      </c>
    </row>
    <row r="1752">
      <c r="A1752" s="12" t="s">
        <v>244</v>
      </c>
      <c r="B1752" s="5" t="s">
        <v>75</v>
      </c>
      <c r="C1752" s="11">
        <v>0.392</v>
      </c>
      <c r="D1752" s="11">
        <v>60.0</v>
      </c>
      <c r="E1752" s="8"/>
      <c r="F1752" s="11">
        <v>260.0</v>
      </c>
      <c r="G1752" s="11">
        <v>0.54</v>
      </c>
      <c r="H1752" s="11">
        <v>0.906</v>
      </c>
      <c r="I1752" s="9" t="s">
        <v>67</v>
      </c>
    </row>
    <row r="1753">
      <c r="A1753" s="12" t="s">
        <v>195</v>
      </c>
      <c r="B1753" s="5" t="s">
        <v>75</v>
      </c>
      <c r="C1753" s="8"/>
      <c r="D1753" s="8"/>
      <c r="E1753" s="8"/>
      <c r="F1753" s="8"/>
      <c r="G1753" s="11">
        <v>0.404</v>
      </c>
      <c r="H1753" s="11">
        <v>0.832</v>
      </c>
      <c r="I1753" s="9" t="s">
        <v>67</v>
      </c>
    </row>
    <row r="1754">
      <c r="A1754" s="12" t="s">
        <v>89</v>
      </c>
      <c r="B1754" s="5" t="s">
        <v>75</v>
      </c>
      <c r="C1754" s="11">
        <v>0.524</v>
      </c>
      <c r="D1754" s="11">
        <v>25.0</v>
      </c>
      <c r="E1754" s="8"/>
      <c r="F1754" s="11">
        <v>170.0</v>
      </c>
      <c r="G1754" s="11">
        <v>0.636</v>
      </c>
      <c r="H1754" s="11">
        <v>1.121</v>
      </c>
      <c r="I1754" s="9" t="s">
        <v>67</v>
      </c>
    </row>
    <row r="1755">
      <c r="A1755" s="12" t="s">
        <v>231</v>
      </c>
      <c r="B1755" s="5" t="s">
        <v>75</v>
      </c>
      <c r="C1755" s="11">
        <v>0.512</v>
      </c>
      <c r="D1755" s="11">
        <v>29.0</v>
      </c>
      <c r="E1755" s="8"/>
      <c r="F1755" s="11">
        <v>448.0</v>
      </c>
      <c r="G1755" s="11">
        <v>0.18</v>
      </c>
      <c r="H1755" s="11">
        <v>1.048</v>
      </c>
      <c r="I1755" s="9" t="s">
        <v>67</v>
      </c>
    </row>
    <row r="1756">
      <c r="A1756" s="12" t="s">
        <v>274</v>
      </c>
      <c r="B1756" s="5" t="s">
        <v>75</v>
      </c>
      <c r="C1756" s="11">
        <v>0.57</v>
      </c>
      <c r="D1756" s="11">
        <v>33.0</v>
      </c>
      <c r="E1756" s="8"/>
      <c r="F1756" s="11">
        <v>2085.0</v>
      </c>
      <c r="G1756" s="11">
        <v>0.045</v>
      </c>
      <c r="H1756" s="11">
        <v>1.047</v>
      </c>
      <c r="I1756" s="9" t="s">
        <v>67</v>
      </c>
    </row>
    <row r="1757">
      <c r="A1757" s="12" t="s">
        <v>96</v>
      </c>
      <c r="B1757" s="5" t="s">
        <v>75</v>
      </c>
      <c r="C1757" s="11">
        <v>1.373</v>
      </c>
      <c r="D1757" s="11">
        <v>69.0</v>
      </c>
      <c r="E1757" s="8"/>
      <c r="F1757" s="11">
        <v>987.0</v>
      </c>
      <c r="G1757" s="11">
        <v>0.162</v>
      </c>
      <c r="H1757" s="11">
        <v>0.62</v>
      </c>
      <c r="I1757" s="9" t="s">
        <v>67</v>
      </c>
    </row>
    <row r="1758">
      <c r="A1758" s="12" t="s">
        <v>187</v>
      </c>
      <c r="B1758" s="5" t="s">
        <v>75</v>
      </c>
      <c r="C1758" s="11">
        <v>0.476</v>
      </c>
      <c r="D1758" s="11">
        <v>26.0</v>
      </c>
      <c r="E1758" s="8"/>
      <c r="F1758" s="11">
        <v>166.0</v>
      </c>
      <c r="G1758" s="11">
        <v>0.439</v>
      </c>
      <c r="H1758" s="11">
        <v>1.457</v>
      </c>
      <c r="I1758" s="9" t="s">
        <v>67</v>
      </c>
    </row>
    <row r="1759">
      <c r="A1759" s="12" t="s">
        <v>181</v>
      </c>
      <c r="B1759" s="5" t="s">
        <v>75</v>
      </c>
      <c r="C1759" s="11">
        <v>0.364</v>
      </c>
      <c r="D1759" s="11">
        <v>16.0</v>
      </c>
      <c r="E1759" s="8"/>
      <c r="F1759" s="11">
        <v>320.0</v>
      </c>
      <c r="G1759" s="11">
        <v>0.536</v>
      </c>
      <c r="H1759" s="11">
        <v>0.994</v>
      </c>
      <c r="I1759" s="9" t="s">
        <v>67</v>
      </c>
    </row>
    <row r="1760">
      <c r="A1760" s="12" t="s">
        <v>230</v>
      </c>
      <c r="B1760" s="5" t="s">
        <v>75</v>
      </c>
      <c r="C1760" s="11">
        <v>0.482</v>
      </c>
      <c r="D1760" s="11">
        <v>11.0</v>
      </c>
      <c r="E1760" s="8"/>
      <c r="F1760" s="11">
        <v>193.0</v>
      </c>
      <c r="G1760" s="11">
        <v>0.247</v>
      </c>
      <c r="H1760" s="11">
        <v>0.725</v>
      </c>
      <c r="I1760" s="9" t="s">
        <v>67</v>
      </c>
    </row>
    <row r="1761">
      <c r="A1761" s="12" t="s">
        <v>107</v>
      </c>
      <c r="B1761" s="5" t="s">
        <v>75</v>
      </c>
      <c r="C1761" s="11">
        <v>0.416</v>
      </c>
      <c r="D1761" s="11">
        <v>32.0</v>
      </c>
      <c r="E1761" s="8"/>
      <c r="F1761" s="11">
        <v>616.0</v>
      </c>
      <c r="G1761" s="11">
        <v>0.271</v>
      </c>
      <c r="H1761" s="11">
        <v>1.083</v>
      </c>
      <c r="I1761" s="9" t="s">
        <v>67</v>
      </c>
    </row>
    <row r="1762">
      <c r="A1762" s="12" t="s">
        <v>161</v>
      </c>
      <c r="B1762" s="5" t="s">
        <v>75</v>
      </c>
      <c r="C1762" s="11">
        <v>0.557</v>
      </c>
      <c r="D1762" s="11">
        <v>38.0</v>
      </c>
      <c r="E1762" s="8"/>
      <c r="F1762" s="11">
        <v>340.0</v>
      </c>
      <c r="G1762" s="11">
        <v>0.471</v>
      </c>
      <c r="H1762" s="11">
        <v>0.989</v>
      </c>
      <c r="I1762" s="9" t="s">
        <v>67</v>
      </c>
    </row>
    <row r="1763">
      <c r="A1763" s="12" t="s">
        <v>243</v>
      </c>
      <c r="B1763" s="5" t="s">
        <v>75</v>
      </c>
      <c r="C1763" s="11">
        <v>0.473</v>
      </c>
      <c r="D1763" s="11">
        <v>27.0</v>
      </c>
      <c r="E1763" s="8"/>
      <c r="F1763" s="11">
        <v>325.0</v>
      </c>
      <c r="G1763" s="11">
        <v>0.561</v>
      </c>
      <c r="H1763" s="11">
        <v>0.907</v>
      </c>
      <c r="I1763" s="9" t="s">
        <v>67</v>
      </c>
    </row>
    <row r="1764">
      <c r="A1764" s="12" t="s">
        <v>238</v>
      </c>
      <c r="B1764" s="5" t="s">
        <v>75</v>
      </c>
      <c r="C1764" s="11">
        <v>0.358</v>
      </c>
      <c r="D1764" s="11">
        <v>23.0</v>
      </c>
      <c r="E1764" s="8"/>
      <c r="F1764" s="11">
        <v>279.0</v>
      </c>
      <c r="G1764" s="11">
        <v>0.272</v>
      </c>
      <c r="H1764" s="11">
        <v>0.815</v>
      </c>
      <c r="I1764" s="9" t="s">
        <v>67</v>
      </c>
    </row>
    <row r="1765">
      <c r="A1765" s="12" t="s">
        <v>226</v>
      </c>
      <c r="B1765" s="5" t="s">
        <v>75</v>
      </c>
      <c r="C1765" s="11">
        <v>0.432</v>
      </c>
      <c r="D1765" s="11">
        <v>31.0</v>
      </c>
      <c r="E1765" s="8"/>
      <c r="F1765" s="11">
        <v>418.0</v>
      </c>
      <c r="G1765" s="11">
        <v>0.446</v>
      </c>
      <c r="H1765" s="11">
        <v>0.962</v>
      </c>
      <c r="I1765" s="9" t="s">
        <v>67</v>
      </c>
    </row>
    <row r="1766">
      <c r="A1766" s="12" t="s">
        <v>128</v>
      </c>
      <c r="B1766" s="5" t="s">
        <v>75</v>
      </c>
      <c r="C1766" s="11">
        <v>0.482</v>
      </c>
      <c r="D1766" s="11">
        <v>24.0</v>
      </c>
      <c r="E1766" s="8"/>
      <c r="F1766" s="11">
        <v>930.0</v>
      </c>
      <c r="G1766" s="11">
        <v>0.479</v>
      </c>
      <c r="H1766" s="11">
        <v>1.207</v>
      </c>
      <c r="I1766" s="9" t="s">
        <v>67</v>
      </c>
    </row>
    <row r="1767">
      <c r="A1767" s="12" t="s">
        <v>227</v>
      </c>
      <c r="B1767" s="5" t="s">
        <v>75</v>
      </c>
      <c r="C1767" s="11">
        <v>0.438</v>
      </c>
      <c r="D1767" s="11">
        <v>7.0</v>
      </c>
      <c r="E1767" s="8"/>
      <c r="F1767" s="11">
        <v>328.0</v>
      </c>
      <c r="G1767" s="11">
        <v>0.38</v>
      </c>
      <c r="H1767" s="11">
        <v>1.16</v>
      </c>
      <c r="I1767" s="9" t="s">
        <v>67</v>
      </c>
    </row>
    <row r="1768">
      <c r="A1768" s="12" t="s">
        <v>150</v>
      </c>
      <c r="B1768" s="5" t="s">
        <v>75</v>
      </c>
      <c r="C1768" s="11">
        <v>0.495</v>
      </c>
      <c r="D1768" s="11">
        <v>38.0</v>
      </c>
      <c r="E1768" s="8"/>
      <c r="F1768" s="11">
        <v>264.0</v>
      </c>
      <c r="G1768" s="11">
        <v>0.323</v>
      </c>
      <c r="H1768" s="11">
        <v>0.993</v>
      </c>
      <c r="I1768" s="9" t="s">
        <v>67</v>
      </c>
    </row>
    <row r="1769">
      <c r="A1769" s="12" t="s">
        <v>186</v>
      </c>
      <c r="B1769" s="5" t="s">
        <v>75</v>
      </c>
      <c r="C1769" s="8"/>
      <c r="D1769" s="8"/>
      <c r="E1769" s="8"/>
      <c r="F1769" s="8"/>
      <c r="G1769" s="11">
        <v>0.642</v>
      </c>
      <c r="H1769" s="11">
        <v>0.821</v>
      </c>
      <c r="I1769" s="9" t="s">
        <v>67</v>
      </c>
    </row>
    <row r="1770">
      <c r="A1770" s="12" t="s">
        <v>170</v>
      </c>
      <c r="B1770" s="5" t="s">
        <v>75</v>
      </c>
      <c r="C1770" s="11">
        <v>0.754</v>
      </c>
      <c r="D1770" s="11">
        <v>13.0</v>
      </c>
      <c r="E1770" s="8"/>
      <c r="F1770" s="11">
        <v>340.0</v>
      </c>
      <c r="G1770" s="11">
        <v>0.38</v>
      </c>
      <c r="H1770" s="11">
        <v>1.361</v>
      </c>
      <c r="I1770" s="9" t="s">
        <v>67</v>
      </c>
    </row>
    <row r="1771">
      <c r="A1771" s="12" t="s">
        <v>260</v>
      </c>
      <c r="B1771" s="5" t="s">
        <v>75</v>
      </c>
      <c r="C1771" s="11">
        <v>0.276</v>
      </c>
      <c r="D1771" s="11">
        <v>18.0</v>
      </c>
      <c r="E1771" s="8"/>
      <c r="F1771" s="11">
        <v>63.0</v>
      </c>
      <c r="G1771" s="11">
        <v>0.757</v>
      </c>
      <c r="H1771" s="11">
        <v>0.994</v>
      </c>
      <c r="I1771" s="9" t="s">
        <v>67</v>
      </c>
    </row>
    <row r="1772">
      <c r="A1772" s="12" t="s">
        <v>234</v>
      </c>
      <c r="B1772" s="5" t="s">
        <v>75</v>
      </c>
      <c r="C1772" s="8"/>
      <c r="D1772" s="8"/>
      <c r="E1772" s="8"/>
      <c r="F1772" s="8"/>
      <c r="G1772" s="11">
        <v>0.502</v>
      </c>
      <c r="H1772" s="11">
        <v>0.577</v>
      </c>
      <c r="I1772" s="9" t="s">
        <v>67</v>
      </c>
    </row>
    <row r="1773">
      <c r="A1773" s="12" t="s">
        <v>81</v>
      </c>
      <c r="B1773" s="5" t="s">
        <v>75</v>
      </c>
      <c r="C1773" s="8"/>
      <c r="D1773" s="8"/>
      <c r="E1773" s="8"/>
      <c r="F1773" s="8"/>
      <c r="G1773" s="11">
        <v>0.489</v>
      </c>
      <c r="H1773" s="11">
        <v>0.843</v>
      </c>
      <c r="I1773" s="9" t="s">
        <v>67</v>
      </c>
    </row>
    <row r="1774">
      <c r="A1774" s="12" t="s">
        <v>138</v>
      </c>
      <c r="B1774" s="5" t="s">
        <v>75</v>
      </c>
      <c r="C1774" s="11">
        <v>0.491</v>
      </c>
      <c r="D1774" s="11">
        <v>35.0</v>
      </c>
      <c r="E1774" s="8"/>
      <c r="F1774" s="11">
        <v>81.0</v>
      </c>
      <c r="G1774" s="11">
        <v>0.635</v>
      </c>
      <c r="H1774" s="11">
        <v>1.258</v>
      </c>
      <c r="I1774" s="9" t="s">
        <v>67</v>
      </c>
    </row>
    <row r="1775">
      <c r="A1775" s="12" t="s">
        <v>217</v>
      </c>
      <c r="B1775" s="5" t="s">
        <v>75</v>
      </c>
      <c r="C1775" s="11">
        <v>0.203</v>
      </c>
      <c r="D1775" s="11">
        <v>18.0</v>
      </c>
      <c r="E1775" s="8"/>
      <c r="F1775" s="11">
        <v>192.0</v>
      </c>
      <c r="G1775" s="11">
        <v>0.286</v>
      </c>
      <c r="H1775" s="11">
        <v>0.604</v>
      </c>
      <c r="I1775" s="9" t="s">
        <v>67</v>
      </c>
    </row>
    <row r="1776">
      <c r="A1776" s="12" t="s">
        <v>142</v>
      </c>
      <c r="B1776" s="5" t="s">
        <v>75</v>
      </c>
      <c r="C1776" s="11">
        <v>0.477</v>
      </c>
      <c r="D1776" s="11">
        <v>14.0</v>
      </c>
      <c r="E1776" s="8"/>
      <c r="F1776" s="11">
        <v>269.0</v>
      </c>
      <c r="G1776" s="11">
        <v>0.797</v>
      </c>
      <c r="H1776" s="11">
        <v>1.076</v>
      </c>
      <c r="I1776" s="9" t="s">
        <v>67</v>
      </c>
    </row>
    <row r="1777">
      <c r="A1777" s="12" t="s">
        <v>210</v>
      </c>
      <c r="B1777" s="5" t="s">
        <v>75</v>
      </c>
      <c r="C1777" s="11">
        <v>0.446</v>
      </c>
      <c r="D1777" s="11">
        <v>8.0</v>
      </c>
      <c r="E1777" s="8"/>
      <c r="F1777" s="11">
        <v>250.0</v>
      </c>
      <c r="G1777" s="11">
        <v>0.837</v>
      </c>
      <c r="H1777" s="11">
        <v>1.056</v>
      </c>
      <c r="I1777" s="9" t="s">
        <v>67</v>
      </c>
    </row>
    <row r="1778">
      <c r="A1778" s="12" t="s">
        <v>250</v>
      </c>
      <c r="B1778" s="5" t="s">
        <v>75</v>
      </c>
      <c r="C1778" s="11">
        <v>0.619</v>
      </c>
      <c r="D1778" s="11">
        <v>47.0</v>
      </c>
      <c r="E1778" s="8"/>
      <c r="F1778" s="11">
        <v>298.0</v>
      </c>
      <c r="G1778" s="11">
        <v>0.504</v>
      </c>
      <c r="H1778" s="11">
        <v>1.038</v>
      </c>
      <c r="I1778" s="9" t="s">
        <v>67</v>
      </c>
    </row>
    <row r="1779">
      <c r="A1779" s="12" t="s">
        <v>201</v>
      </c>
      <c r="B1779" s="5" t="s">
        <v>75</v>
      </c>
      <c r="C1779" s="11">
        <v>0.459</v>
      </c>
      <c r="D1779" s="11">
        <v>30.0</v>
      </c>
      <c r="E1779" s="8"/>
      <c r="F1779" s="11">
        <v>232.0</v>
      </c>
      <c r="G1779" s="11">
        <v>0.196</v>
      </c>
      <c r="H1779" s="11">
        <v>0.366</v>
      </c>
      <c r="I1779" s="9" t="s">
        <v>67</v>
      </c>
    </row>
    <row r="1780">
      <c r="A1780" s="12" t="s">
        <v>129</v>
      </c>
      <c r="B1780" s="5" t="s">
        <v>75</v>
      </c>
      <c r="C1780" s="11">
        <v>0.315</v>
      </c>
      <c r="D1780" s="11">
        <v>6.0</v>
      </c>
      <c r="E1780" s="8"/>
      <c r="F1780" s="11">
        <v>135.0</v>
      </c>
      <c r="G1780" s="11">
        <v>0.867</v>
      </c>
      <c r="H1780" s="11">
        <v>1.071</v>
      </c>
      <c r="I1780" s="9" t="s">
        <v>67</v>
      </c>
    </row>
    <row r="1781">
      <c r="A1781" s="12" t="s">
        <v>127</v>
      </c>
      <c r="B1781" s="5" t="s">
        <v>75</v>
      </c>
      <c r="C1781" s="8"/>
      <c r="D1781" s="8"/>
      <c r="E1781" s="8"/>
      <c r="F1781" s="8"/>
      <c r="G1781" s="11">
        <v>0.358</v>
      </c>
      <c r="H1781" s="11">
        <v>0.828</v>
      </c>
      <c r="I1781" s="9" t="s">
        <v>67</v>
      </c>
    </row>
    <row r="1782">
      <c r="A1782" s="12" t="s">
        <v>276</v>
      </c>
      <c r="B1782" s="5" t="s">
        <v>75</v>
      </c>
      <c r="C1782" s="11">
        <v>0.346</v>
      </c>
      <c r="D1782" s="11">
        <v>13.0</v>
      </c>
      <c r="E1782" s="8"/>
      <c r="F1782" s="11">
        <v>105.0</v>
      </c>
      <c r="G1782" s="11">
        <v>0.688</v>
      </c>
      <c r="H1782" s="11">
        <v>1.156</v>
      </c>
      <c r="I1782" s="9" t="s">
        <v>67</v>
      </c>
    </row>
    <row r="1783">
      <c r="A1783" s="12" t="s">
        <v>188</v>
      </c>
      <c r="B1783" s="5" t="s">
        <v>75</v>
      </c>
      <c r="C1783" s="11">
        <v>0.204</v>
      </c>
      <c r="D1783" s="11">
        <v>26.0</v>
      </c>
      <c r="E1783" s="8"/>
      <c r="F1783" s="11">
        <v>59.0</v>
      </c>
      <c r="G1783" s="11">
        <v>0.725</v>
      </c>
      <c r="H1783" s="11">
        <v>1.529</v>
      </c>
      <c r="I1783" s="9" t="s">
        <v>67</v>
      </c>
    </row>
    <row r="1784">
      <c r="A1784" s="12" t="s">
        <v>97</v>
      </c>
      <c r="B1784" s="5" t="s">
        <v>75</v>
      </c>
      <c r="C1784" s="11">
        <v>0.593</v>
      </c>
      <c r="D1784" s="11">
        <v>27.0</v>
      </c>
      <c r="E1784" s="8"/>
      <c r="F1784" s="11">
        <v>156.0</v>
      </c>
      <c r="G1784" s="11">
        <v>0.597</v>
      </c>
      <c r="H1784" s="11">
        <v>0.93</v>
      </c>
      <c r="I1784" s="9" t="s">
        <v>67</v>
      </c>
    </row>
    <row r="1785">
      <c r="A1785" s="12" t="s">
        <v>259</v>
      </c>
      <c r="B1785" s="5" t="s">
        <v>75</v>
      </c>
      <c r="C1785" s="11">
        <v>0.541</v>
      </c>
      <c r="D1785" s="11">
        <v>16.0</v>
      </c>
      <c r="E1785" s="8"/>
      <c r="F1785" s="11">
        <v>122.0</v>
      </c>
      <c r="G1785" s="11">
        <v>0.878</v>
      </c>
      <c r="H1785" s="11">
        <v>1.057</v>
      </c>
      <c r="I1785" s="9" t="s">
        <v>67</v>
      </c>
    </row>
    <row r="1786">
      <c r="A1786" s="12" t="s">
        <v>204</v>
      </c>
      <c r="B1786" s="5" t="s">
        <v>75</v>
      </c>
      <c r="C1786" s="11">
        <v>0.304</v>
      </c>
      <c r="D1786" s="11">
        <v>24.0</v>
      </c>
      <c r="E1786" s="8"/>
      <c r="F1786" s="11">
        <v>372.0</v>
      </c>
      <c r="G1786" s="11">
        <v>0.289</v>
      </c>
      <c r="H1786" s="11">
        <v>1.043</v>
      </c>
      <c r="I1786" s="9" t="s">
        <v>67</v>
      </c>
    </row>
    <row r="1787">
      <c r="A1787" s="12" t="s">
        <v>143</v>
      </c>
      <c r="B1787" s="5" t="s">
        <v>75</v>
      </c>
      <c r="C1787" s="11">
        <v>0.65</v>
      </c>
      <c r="D1787" s="11">
        <v>7.0</v>
      </c>
      <c r="E1787" s="8"/>
      <c r="F1787" s="11">
        <v>132.0</v>
      </c>
      <c r="G1787" s="11">
        <v>0.469</v>
      </c>
      <c r="H1787" s="11">
        <v>0.835</v>
      </c>
      <c r="I1787" s="9" t="s">
        <v>67</v>
      </c>
    </row>
    <row r="1788">
      <c r="A1788" s="12" t="s">
        <v>218</v>
      </c>
      <c r="B1788" s="5" t="s">
        <v>75</v>
      </c>
      <c r="C1788" s="11">
        <v>0.411</v>
      </c>
      <c r="D1788" s="11">
        <v>7.0</v>
      </c>
      <c r="E1788" s="8"/>
      <c r="F1788" s="11">
        <v>87.0</v>
      </c>
      <c r="G1788" s="11">
        <v>0.826</v>
      </c>
      <c r="H1788" s="11">
        <v>1.043</v>
      </c>
      <c r="I1788" s="9" t="s">
        <v>67</v>
      </c>
    </row>
    <row r="1789">
      <c r="A1789" s="12" t="s">
        <v>74</v>
      </c>
      <c r="B1789" s="5" t="s">
        <v>75</v>
      </c>
      <c r="C1789" s="11">
        <v>0.565</v>
      </c>
      <c r="D1789" s="11">
        <v>39.0</v>
      </c>
      <c r="E1789" s="8"/>
      <c r="F1789" s="11">
        <v>364.0</v>
      </c>
      <c r="G1789" s="11">
        <v>0.096</v>
      </c>
      <c r="H1789" s="11">
        <v>0.601</v>
      </c>
      <c r="I1789" s="9" t="s">
        <v>67</v>
      </c>
    </row>
    <row r="1790">
      <c r="A1790" s="12" t="s">
        <v>167</v>
      </c>
      <c r="B1790" s="5" t="s">
        <v>75</v>
      </c>
      <c r="C1790" s="11">
        <v>0.253</v>
      </c>
      <c r="D1790" s="11">
        <v>13.0</v>
      </c>
      <c r="E1790" s="8"/>
      <c r="F1790" s="11">
        <v>76.0</v>
      </c>
      <c r="G1790" s="11">
        <v>0.548</v>
      </c>
      <c r="H1790" s="11">
        <v>1.11</v>
      </c>
      <c r="I1790" s="9" t="s">
        <v>67</v>
      </c>
    </row>
    <row r="1791">
      <c r="A1791" s="12" t="s">
        <v>162</v>
      </c>
      <c r="B1791" s="5" t="s">
        <v>75</v>
      </c>
      <c r="C1791" s="11">
        <v>0.265</v>
      </c>
      <c r="D1791" s="11">
        <v>5.0</v>
      </c>
      <c r="E1791" s="8"/>
      <c r="F1791" s="11">
        <v>140.0</v>
      </c>
      <c r="G1791" s="11">
        <v>0.895</v>
      </c>
      <c r="H1791" s="11">
        <v>1.004</v>
      </c>
      <c r="I1791" s="9" t="s">
        <v>67</v>
      </c>
    </row>
    <row r="1792">
      <c r="A1792" s="12" t="s">
        <v>177</v>
      </c>
      <c r="B1792" s="5" t="s">
        <v>75</v>
      </c>
      <c r="C1792" s="8"/>
      <c r="D1792" s="8"/>
      <c r="E1792" s="8"/>
      <c r="F1792" s="8"/>
      <c r="G1792" s="8"/>
      <c r="H1792" s="8"/>
      <c r="I1792" s="9" t="s">
        <v>67</v>
      </c>
    </row>
    <row r="1793">
      <c r="A1793" s="12" t="s">
        <v>270</v>
      </c>
      <c r="B1793" s="5" t="s">
        <v>75</v>
      </c>
      <c r="C1793" s="11">
        <v>0.524</v>
      </c>
      <c r="D1793" s="11">
        <v>6.0</v>
      </c>
      <c r="E1793" s="8"/>
      <c r="F1793" s="11">
        <v>254.0</v>
      </c>
      <c r="G1793" s="11">
        <v>0.182</v>
      </c>
      <c r="H1793" s="11">
        <v>0.767</v>
      </c>
      <c r="I1793" s="9" t="s">
        <v>67</v>
      </c>
    </row>
    <row r="1794">
      <c r="A1794" s="12" t="s">
        <v>202</v>
      </c>
      <c r="B1794" s="5" t="s">
        <v>75</v>
      </c>
      <c r="C1794" s="8"/>
      <c r="D1794" s="8"/>
      <c r="E1794" s="8"/>
      <c r="F1794" s="8"/>
      <c r="G1794" s="11">
        <v>0.644</v>
      </c>
      <c r="H1794" s="11">
        <v>0.583</v>
      </c>
      <c r="I1794" s="9" t="s">
        <v>68</v>
      </c>
    </row>
    <row r="1795">
      <c r="A1795" s="12" t="s">
        <v>103</v>
      </c>
      <c r="B1795" s="5" t="s">
        <v>75</v>
      </c>
      <c r="C1795" s="11">
        <v>0.428</v>
      </c>
      <c r="D1795" s="11">
        <v>63.0</v>
      </c>
      <c r="E1795" s="8"/>
      <c r="F1795" s="11">
        <v>368.0</v>
      </c>
      <c r="G1795" s="11">
        <v>0.279</v>
      </c>
      <c r="H1795" s="11">
        <v>0.633</v>
      </c>
      <c r="I1795" s="9" t="s">
        <v>68</v>
      </c>
    </row>
    <row r="1796">
      <c r="A1796" s="12" t="s">
        <v>148</v>
      </c>
      <c r="B1796" s="5" t="s">
        <v>75</v>
      </c>
      <c r="C1796" s="11">
        <v>0.49</v>
      </c>
      <c r="D1796" s="11">
        <v>18.0</v>
      </c>
      <c r="E1796" s="8"/>
      <c r="F1796" s="11">
        <v>196.0</v>
      </c>
      <c r="G1796" s="11">
        <v>0.752</v>
      </c>
      <c r="H1796" s="11">
        <v>1.151</v>
      </c>
      <c r="I1796" s="9" t="s">
        <v>68</v>
      </c>
    </row>
    <row r="1797">
      <c r="A1797" s="12" t="s">
        <v>238</v>
      </c>
      <c r="B1797" s="5" t="s">
        <v>75</v>
      </c>
      <c r="C1797" s="11">
        <v>0.358</v>
      </c>
      <c r="D1797" s="11">
        <v>23.0</v>
      </c>
      <c r="E1797" s="8"/>
      <c r="F1797" s="11">
        <v>279.0</v>
      </c>
      <c r="G1797" s="11">
        <v>0.332</v>
      </c>
      <c r="H1797" s="11">
        <v>1.045</v>
      </c>
      <c r="I1797" s="9" t="s">
        <v>68</v>
      </c>
    </row>
    <row r="1798">
      <c r="A1798" s="12" t="s">
        <v>124</v>
      </c>
      <c r="B1798" s="5" t="s">
        <v>75</v>
      </c>
      <c r="C1798" s="11">
        <v>0.214</v>
      </c>
      <c r="D1798" s="11">
        <v>22.0</v>
      </c>
      <c r="E1798" s="8"/>
      <c r="F1798" s="11">
        <v>196.0</v>
      </c>
      <c r="G1798" s="11">
        <v>0.414</v>
      </c>
      <c r="H1798" s="11">
        <v>1.152</v>
      </c>
      <c r="I1798" s="9" t="s">
        <v>68</v>
      </c>
    </row>
    <row r="1799">
      <c r="A1799" s="12" t="s">
        <v>89</v>
      </c>
      <c r="B1799" s="5" t="s">
        <v>75</v>
      </c>
      <c r="C1799" s="11">
        <v>0.524</v>
      </c>
      <c r="D1799" s="11">
        <v>25.0</v>
      </c>
      <c r="E1799" s="8"/>
      <c r="F1799" s="11">
        <v>170.0</v>
      </c>
      <c r="G1799" s="11">
        <v>0.694</v>
      </c>
      <c r="H1799" s="11">
        <v>1.193</v>
      </c>
      <c r="I1799" s="9" t="s">
        <v>68</v>
      </c>
    </row>
    <row r="1800">
      <c r="A1800" s="12" t="s">
        <v>195</v>
      </c>
      <c r="B1800" s="5" t="s">
        <v>75</v>
      </c>
      <c r="C1800" s="8"/>
      <c r="D1800" s="8"/>
      <c r="E1800" s="8"/>
      <c r="F1800" s="8"/>
      <c r="G1800" s="11">
        <v>0.469</v>
      </c>
      <c r="H1800" s="11">
        <v>0.88</v>
      </c>
      <c r="I1800" s="9" t="s">
        <v>68</v>
      </c>
    </row>
    <row r="1801">
      <c r="A1801" s="12" t="s">
        <v>234</v>
      </c>
      <c r="B1801" s="5" t="s">
        <v>75</v>
      </c>
      <c r="C1801" s="8"/>
      <c r="D1801" s="8"/>
      <c r="E1801" s="8"/>
      <c r="F1801" s="8"/>
      <c r="G1801" s="11">
        <v>0.504</v>
      </c>
      <c r="H1801" s="11">
        <v>0.576</v>
      </c>
      <c r="I1801" s="9" t="s">
        <v>68</v>
      </c>
    </row>
    <row r="1802">
      <c r="A1802" s="12" t="s">
        <v>81</v>
      </c>
      <c r="B1802" s="5" t="s">
        <v>75</v>
      </c>
      <c r="C1802" s="8"/>
      <c r="D1802" s="8"/>
      <c r="E1802" s="8"/>
      <c r="F1802" s="8"/>
      <c r="G1802" s="11">
        <v>0.709</v>
      </c>
      <c r="H1802" s="11">
        <v>0.781</v>
      </c>
      <c r="I1802" s="9" t="s">
        <v>68</v>
      </c>
    </row>
    <row r="1803">
      <c r="A1803" s="12" t="s">
        <v>274</v>
      </c>
      <c r="B1803" s="5" t="s">
        <v>75</v>
      </c>
      <c r="C1803" s="11">
        <v>0.566</v>
      </c>
      <c r="D1803" s="11">
        <v>27.0</v>
      </c>
      <c r="E1803" s="8"/>
      <c r="F1803" s="11">
        <v>2085.0</v>
      </c>
      <c r="G1803" s="11">
        <v>0.066</v>
      </c>
      <c r="H1803" s="11">
        <v>1.184</v>
      </c>
      <c r="I1803" s="9" t="s">
        <v>68</v>
      </c>
    </row>
    <row r="1804">
      <c r="A1804" s="12" t="s">
        <v>187</v>
      </c>
      <c r="B1804" s="5" t="s">
        <v>75</v>
      </c>
      <c r="C1804" s="11">
        <v>0.462</v>
      </c>
      <c r="D1804" s="11">
        <v>26.0</v>
      </c>
      <c r="E1804" s="8"/>
      <c r="F1804" s="11">
        <v>166.0</v>
      </c>
      <c r="G1804" s="11">
        <v>0.499</v>
      </c>
      <c r="H1804" s="11">
        <v>1.54</v>
      </c>
      <c r="I1804" s="9" t="s">
        <v>68</v>
      </c>
    </row>
    <row r="1805">
      <c r="A1805" s="12" t="s">
        <v>230</v>
      </c>
      <c r="B1805" s="5" t="s">
        <v>75</v>
      </c>
      <c r="C1805" s="11">
        <v>0.456</v>
      </c>
      <c r="D1805" s="11">
        <v>9.0</v>
      </c>
      <c r="E1805" s="8"/>
      <c r="F1805" s="11">
        <v>202.0</v>
      </c>
      <c r="G1805" s="11">
        <v>0.283</v>
      </c>
      <c r="H1805" s="11">
        <v>0.927</v>
      </c>
      <c r="I1805" s="9" t="s">
        <v>68</v>
      </c>
    </row>
    <row r="1806">
      <c r="A1806" s="12" t="s">
        <v>107</v>
      </c>
      <c r="B1806" s="5" t="s">
        <v>75</v>
      </c>
      <c r="C1806" s="11">
        <v>0.358</v>
      </c>
      <c r="D1806" s="11">
        <v>32.0</v>
      </c>
      <c r="E1806" s="8"/>
      <c r="F1806" s="11">
        <v>616.0</v>
      </c>
      <c r="G1806" s="11">
        <v>0.336</v>
      </c>
      <c r="H1806" s="11">
        <v>1.309</v>
      </c>
      <c r="I1806" s="9" t="s">
        <v>68</v>
      </c>
    </row>
    <row r="1807">
      <c r="A1807" s="12" t="s">
        <v>161</v>
      </c>
      <c r="B1807" s="5" t="s">
        <v>75</v>
      </c>
      <c r="C1807" s="11">
        <v>0.553</v>
      </c>
      <c r="D1807" s="11">
        <v>16.0</v>
      </c>
      <c r="E1807" s="8"/>
      <c r="F1807" s="11">
        <v>340.0</v>
      </c>
      <c r="G1807" s="11">
        <v>0.533</v>
      </c>
      <c r="H1807" s="11">
        <v>1.096</v>
      </c>
      <c r="I1807" s="9" t="s">
        <v>68</v>
      </c>
    </row>
    <row r="1808">
      <c r="A1808" s="12" t="s">
        <v>243</v>
      </c>
      <c r="B1808" s="5" t="s">
        <v>75</v>
      </c>
      <c r="C1808" s="11">
        <v>0.473</v>
      </c>
      <c r="D1808" s="11">
        <v>27.0</v>
      </c>
      <c r="E1808" s="8"/>
      <c r="F1808" s="11">
        <v>325.0</v>
      </c>
      <c r="G1808" s="11">
        <v>0.618</v>
      </c>
      <c r="H1808" s="11">
        <v>1.123</v>
      </c>
      <c r="I1808" s="9" t="s">
        <v>68</v>
      </c>
    </row>
    <row r="1809">
      <c r="A1809" s="12" t="s">
        <v>226</v>
      </c>
      <c r="B1809" s="5" t="s">
        <v>75</v>
      </c>
      <c r="C1809" s="11">
        <v>0.434</v>
      </c>
      <c r="D1809" s="11">
        <v>31.0</v>
      </c>
      <c r="E1809" s="8"/>
      <c r="F1809" s="11">
        <v>418.0</v>
      </c>
      <c r="G1809" s="11">
        <v>0.486</v>
      </c>
      <c r="H1809" s="11">
        <v>1.084</v>
      </c>
      <c r="I1809" s="9" t="s">
        <v>68</v>
      </c>
    </row>
    <row r="1810">
      <c r="A1810" s="12" t="s">
        <v>227</v>
      </c>
      <c r="B1810" s="5" t="s">
        <v>75</v>
      </c>
      <c r="C1810" s="11">
        <v>0.429</v>
      </c>
      <c r="D1810" s="11">
        <v>6.0</v>
      </c>
      <c r="E1810" s="8"/>
      <c r="F1810" s="11">
        <v>328.0</v>
      </c>
      <c r="G1810" s="11">
        <v>0.421</v>
      </c>
      <c r="H1810" s="11">
        <v>1.277</v>
      </c>
      <c r="I1810" s="9" t="s">
        <v>68</v>
      </c>
    </row>
    <row r="1811">
      <c r="A1811" s="12" t="s">
        <v>244</v>
      </c>
      <c r="B1811" s="5" t="s">
        <v>75</v>
      </c>
      <c r="C1811" s="11">
        <v>0.384</v>
      </c>
      <c r="D1811" s="11">
        <v>60.0</v>
      </c>
      <c r="E1811" s="8"/>
      <c r="F1811" s="11">
        <v>260.0</v>
      </c>
      <c r="G1811" s="11">
        <v>0.567</v>
      </c>
      <c r="H1811" s="11">
        <v>0.955</v>
      </c>
      <c r="I1811" s="9" t="s">
        <v>68</v>
      </c>
    </row>
    <row r="1812">
      <c r="A1812" s="12" t="s">
        <v>150</v>
      </c>
      <c r="B1812" s="5" t="s">
        <v>75</v>
      </c>
      <c r="C1812" s="11">
        <v>0.489</v>
      </c>
      <c r="D1812" s="11">
        <v>38.0</v>
      </c>
      <c r="E1812" s="8"/>
      <c r="F1812" s="11">
        <v>264.0</v>
      </c>
      <c r="G1812" s="11">
        <v>0.359</v>
      </c>
      <c r="H1812" s="11">
        <v>1.111</v>
      </c>
      <c r="I1812" s="9" t="s">
        <v>68</v>
      </c>
    </row>
    <row r="1813">
      <c r="A1813" s="12" t="s">
        <v>186</v>
      </c>
      <c r="B1813" s="5" t="s">
        <v>75</v>
      </c>
      <c r="C1813" s="8"/>
      <c r="D1813" s="8"/>
      <c r="E1813" s="8"/>
      <c r="F1813" s="8"/>
      <c r="G1813" s="11">
        <v>0.651</v>
      </c>
      <c r="H1813" s="11">
        <v>0.907</v>
      </c>
      <c r="I1813" s="9" t="s">
        <v>68</v>
      </c>
    </row>
    <row r="1814">
      <c r="A1814" s="12" t="s">
        <v>170</v>
      </c>
      <c r="B1814" s="5" t="s">
        <v>75</v>
      </c>
      <c r="C1814" s="11">
        <v>0.754</v>
      </c>
      <c r="D1814" s="11">
        <v>13.0</v>
      </c>
      <c r="E1814" s="8"/>
      <c r="F1814" s="11">
        <v>340.0</v>
      </c>
      <c r="G1814" s="11">
        <v>0.408</v>
      </c>
      <c r="H1814" s="11">
        <v>1.51</v>
      </c>
      <c r="I1814" s="9" t="s">
        <v>68</v>
      </c>
    </row>
    <row r="1815">
      <c r="A1815" s="12" t="s">
        <v>260</v>
      </c>
      <c r="B1815" s="5" t="s">
        <v>75</v>
      </c>
      <c r="C1815" s="11">
        <v>0.279</v>
      </c>
      <c r="D1815" s="11">
        <v>18.0</v>
      </c>
      <c r="E1815" s="8"/>
      <c r="F1815" s="11">
        <v>63.0</v>
      </c>
      <c r="G1815" s="11">
        <v>0.772</v>
      </c>
      <c r="H1815" s="11">
        <v>1.085</v>
      </c>
      <c r="I1815" s="9" t="s">
        <v>68</v>
      </c>
    </row>
    <row r="1816">
      <c r="A1816" s="12" t="s">
        <v>168</v>
      </c>
      <c r="B1816" s="5" t="s">
        <v>75</v>
      </c>
      <c r="C1816" s="8"/>
      <c r="D1816" s="8"/>
      <c r="E1816" s="8"/>
      <c r="F1816" s="8"/>
      <c r="G1816" s="8"/>
      <c r="H1816" s="8"/>
      <c r="I1816" s="9" t="s">
        <v>68</v>
      </c>
    </row>
    <row r="1817">
      <c r="A1817" s="12" t="s">
        <v>231</v>
      </c>
      <c r="B1817" s="5" t="s">
        <v>75</v>
      </c>
      <c r="C1817" s="11">
        <v>0.512</v>
      </c>
      <c r="D1817" s="11">
        <v>29.0</v>
      </c>
      <c r="E1817" s="8"/>
      <c r="F1817" s="11">
        <v>448.0</v>
      </c>
      <c r="G1817" s="11">
        <v>0.247</v>
      </c>
      <c r="H1817" s="11">
        <v>1.192</v>
      </c>
      <c r="I1817" s="9" t="s">
        <v>68</v>
      </c>
    </row>
    <row r="1818">
      <c r="A1818" s="12" t="s">
        <v>96</v>
      </c>
      <c r="B1818" s="5" t="s">
        <v>75</v>
      </c>
      <c r="C1818" s="11">
        <v>1.208</v>
      </c>
      <c r="D1818" s="11">
        <v>48.0</v>
      </c>
      <c r="E1818" s="8"/>
      <c r="F1818" s="11">
        <v>987.0</v>
      </c>
      <c r="G1818" s="11">
        <v>0.197</v>
      </c>
      <c r="H1818" s="11">
        <v>0.726</v>
      </c>
      <c r="I1818" s="9" t="s">
        <v>68</v>
      </c>
    </row>
    <row r="1819">
      <c r="A1819" s="12" t="s">
        <v>181</v>
      </c>
      <c r="B1819" s="5" t="s">
        <v>75</v>
      </c>
      <c r="C1819" s="11">
        <v>0.364</v>
      </c>
      <c r="D1819" s="11">
        <v>16.0</v>
      </c>
      <c r="E1819" s="8"/>
      <c r="F1819" s="11">
        <v>279.0</v>
      </c>
      <c r="G1819" s="11">
        <v>0.592</v>
      </c>
      <c r="H1819" s="11">
        <v>1.023</v>
      </c>
      <c r="I1819" s="9" t="s">
        <v>68</v>
      </c>
    </row>
    <row r="1820">
      <c r="A1820" s="12" t="s">
        <v>217</v>
      </c>
      <c r="B1820" s="5" t="s">
        <v>75</v>
      </c>
      <c r="C1820" s="11">
        <v>0.203</v>
      </c>
      <c r="D1820" s="11">
        <v>15.0</v>
      </c>
      <c r="E1820" s="8"/>
      <c r="F1820" s="11">
        <v>192.0</v>
      </c>
      <c r="G1820" s="11">
        <v>0.363</v>
      </c>
      <c r="H1820" s="11">
        <v>0.856</v>
      </c>
      <c r="I1820" s="9" t="s">
        <v>68</v>
      </c>
    </row>
    <row r="1821">
      <c r="A1821" s="12" t="s">
        <v>128</v>
      </c>
      <c r="B1821" s="5" t="s">
        <v>75</v>
      </c>
      <c r="C1821" s="11">
        <v>0.477</v>
      </c>
      <c r="D1821" s="11">
        <v>17.0</v>
      </c>
      <c r="E1821" s="8"/>
      <c r="F1821" s="11">
        <v>808.0</v>
      </c>
      <c r="G1821" s="11">
        <v>0.519</v>
      </c>
      <c r="H1821" s="11">
        <v>1.28</v>
      </c>
      <c r="I1821" s="9" t="s">
        <v>68</v>
      </c>
    </row>
    <row r="1822">
      <c r="A1822" s="12" t="s">
        <v>142</v>
      </c>
      <c r="B1822" s="5" t="s">
        <v>75</v>
      </c>
      <c r="C1822" s="11">
        <v>0.478</v>
      </c>
      <c r="D1822" s="11">
        <v>14.0</v>
      </c>
      <c r="E1822" s="8"/>
      <c r="F1822" s="11">
        <v>269.0</v>
      </c>
      <c r="G1822" s="11">
        <v>0.808</v>
      </c>
      <c r="H1822" s="11">
        <v>1.149</v>
      </c>
      <c r="I1822" s="9" t="s">
        <v>68</v>
      </c>
    </row>
    <row r="1823">
      <c r="A1823" s="12" t="s">
        <v>188</v>
      </c>
      <c r="B1823" s="5" t="s">
        <v>75</v>
      </c>
      <c r="C1823" s="11">
        <v>0.2</v>
      </c>
      <c r="D1823" s="11">
        <v>26.0</v>
      </c>
      <c r="E1823" s="8"/>
      <c r="F1823" s="11">
        <v>59.0</v>
      </c>
      <c r="G1823" s="11">
        <v>0.789</v>
      </c>
      <c r="H1823" s="11">
        <v>1.437</v>
      </c>
      <c r="I1823" s="9" t="s">
        <v>68</v>
      </c>
    </row>
    <row r="1824">
      <c r="A1824" s="12" t="s">
        <v>210</v>
      </c>
      <c r="B1824" s="5" t="s">
        <v>75</v>
      </c>
      <c r="C1824" s="11">
        <v>0.418</v>
      </c>
      <c r="D1824" s="11">
        <v>8.0</v>
      </c>
      <c r="E1824" s="8"/>
      <c r="F1824" s="11">
        <v>180.0</v>
      </c>
      <c r="G1824" s="11">
        <v>0.858</v>
      </c>
      <c r="H1824" s="11">
        <v>1.173</v>
      </c>
      <c r="I1824" s="9" t="s">
        <v>68</v>
      </c>
    </row>
    <row r="1825">
      <c r="A1825" s="12" t="s">
        <v>250</v>
      </c>
      <c r="B1825" s="5" t="s">
        <v>75</v>
      </c>
      <c r="C1825" s="11">
        <v>0.621</v>
      </c>
      <c r="D1825" s="11">
        <v>47.0</v>
      </c>
      <c r="E1825" s="8"/>
      <c r="F1825" s="11">
        <v>298.0</v>
      </c>
      <c r="G1825" s="11">
        <v>0.551</v>
      </c>
      <c r="H1825" s="11">
        <v>1.084</v>
      </c>
      <c r="I1825" s="9" t="s">
        <v>68</v>
      </c>
    </row>
    <row r="1826">
      <c r="A1826" s="12" t="s">
        <v>201</v>
      </c>
      <c r="B1826" s="5" t="s">
        <v>75</v>
      </c>
      <c r="C1826" s="11">
        <v>0.425</v>
      </c>
      <c r="D1826" s="11">
        <v>23.0</v>
      </c>
      <c r="E1826" s="8"/>
      <c r="F1826" s="11">
        <v>234.0</v>
      </c>
      <c r="G1826" s="11">
        <v>0.205</v>
      </c>
      <c r="H1826" s="11">
        <v>0.513</v>
      </c>
      <c r="I1826" s="9" t="s">
        <v>68</v>
      </c>
    </row>
    <row r="1827">
      <c r="A1827" s="12" t="s">
        <v>138</v>
      </c>
      <c r="B1827" s="5" t="s">
        <v>75</v>
      </c>
      <c r="C1827" s="11">
        <v>0.484</v>
      </c>
      <c r="D1827" s="11">
        <v>7.0</v>
      </c>
      <c r="E1827" s="8"/>
      <c r="F1827" s="11">
        <v>81.0</v>
      </c>
      <c r="G1827" s="11">
        <v>0.662</v>
      </c>
      <c r="H1827" s="11">
        <v>1.281</v>
      </c>
      <c r="I1827" s="9" t="s">
        <v>68</v>
      </c>
    </row>
    <row r="1828">
      <c r="A1828" s="12" t="s">
        <v>129</v>
      </c>
      <c r="B1828" s="5" t="s">
        <v>75</v>
      </c>
      <c r="C1828" s="11">
        <v>0.32</v>
      </c>
      <c r="D1828" s="11">
        <v>6.0</v>
      </c>
      <c r="E1828" s="8"/>
      <c r="F1828" s="11">
        <v>135.0</v>
      </c>
      <c r="G1828" s="11">
        <v>0.85</v>
      </c>
      <c r="H1828" s="11">
        <v>1.154</v>
      </c>
      <c r="I1828" s="9" t="s">
        <v>68</v>
      </c>
    </row>
    <row r="1829">
      <c r="A1829" s="12" t="s">
        <v>127</v>
      </c>
      <c r="B1829" s="5" t="s">
        <v>75</v>
      </c>
      <c r="C1829" s="8"/>
      <c r="D1829" s="8"/>
      <c r="E1829" s="8"/>
      <c r="F1829" s="8"/>
      <c r="G1829" s="11">
        <v>0.408</v>
      </c>
      <c r="H1829" s="11">
        <v>0.93</v>
      </c>
      <c r="I1829" s="9" t="s">
        <v>68</v>
      </c>
    </row>
    <row r="1830">
      <c r="A1830" s="12" t="s">
        <v>97</v>
      </c>
      <c r="B1830" s="5" t="s">
        <v>75</v>
      </c>
      <c r="C1830" s="11">
        <v>0.573</v>
      </c>
      <c r="D1830" s="11">
        <v>4.0</v>
      </c>
      <c r="E1830" s="8"/>
      <c r="F1830" s="11">
        <v>156.0</v>
      </c>
      <c r="G1830" s="11">
        <v>0.644</v>
      </c>
      <c r="H1830" s="11">
        <v>1.006</v>
      </c>
      <c r="I1830" s="9" t="s">
        <v>68</v>
      </c>
    </row>
    <row r="1831">
      <c r="A1831" s="12" t="s">
        <v>218</v>
      </c>
      <c r="B1831" s="5" t="s">
        <v>75</v>
      </c>
      <c r="C1831" s="11">
        <v>0.411</v>
      </c>
      <c r="D1831" s="11">
        <v>7.0</v>
      </c>
      <c r="E1831" s="8"/>
      <c r="F1831" s="11">
        <v>87.0</v>
      </c>
      <c r="G1831" s="11">
        <v>0.869</v>
      </c>
      <c r="H1831" s="11">
        <v>1.067</v>
      </c>
      <c r="I1831" s="9" t="s">
        <v>68</v>
      </c>
    </row>
    <row r="1832">
      <c r="A1832" s="12" t="s">
        <v>259</v>
      </c>
      <c r="B1832" s="5" t="s">
        <v>75</v>
      </c>
      <c r="C1832" s="11">
        <v>0.537</v>
      </c>
      <c r="D1832" s="11">
        <v>16.0</v>
      </c>
      <c r="E1832" s="8"/>
      <c r="F1832" s="11">
        <v>122.0</v>
      </c>
      <c r="G1832" s="11">
        <v>0.82</v>
      </c>
      <c r="H1832" s="11">
        <v>1.105</v>
      </c>
      <c r="I1832" s="9" t="s">
        <v>68</v>
      </c>
    </row>
    <row r="1833">
      <c r="A1833" s="12" t="s">
        <v>204</v>
      </c>
      <c r="B1833" s="5" t="s">
        <v>75</v>
      </c>
      <c r="C1833" s="11">
        <v>0.304</v>
      </c>
      <c r="D1833" s="11">
        <v>24.0</v>
      </c>
      <c r="E1833" s="8"/>
      <c r="F1833" s="11">
        <v>372.0</v>
      </c>
      <c r="G1833" s="11">
        <v>0.308</v>
      </c>
      <c r="H1833" s="11">
        <v>1.457</v>
      </c>
      <c r="I1833" s="9" t="s">
        <v>68</v>
      </c>
    </row>
    <row r="1834">
      <c r="A1834" s="12" t="s">
        <v>74</v>
      </c>
      <c r="B1834" s="5" t="s">
        <v>75</v>
      </c>
      <c r="C1834" s="11">
        <v>0.459</v>
      </c>
      <c r="D1834" s="11">
        <v>36.0</v>
      </c>
      <c r="E1834" s="8"/>
      <c r="F1834" s="11">
        <v>364.0</v>
      </c>
      <c r="G1834" s="11">
        <v>0.15</v>
      </c>
      <c r="H1834" s="11">
        <v>0.734</v>
      </c>
      <c r="I1834" s="9" t="s">
        <v>68</v>
      </c>
    </row>
    <row r="1835">
      <c r="A1835" s="12" t="s">
        <v>276</v>
      </c>
      <c r="B1835" s="5" t="s">
        <v>75</v>
      </c>
      <c r="C1835" s="11">
        <v>0.345</v>
      </c>
      <c r="D1835" s="11">
        <v>13.0</v>
      </c>
      <c r="E1835" s="8"/>
      <c r="F1835" s="11">
        <v>105.0</v>
      </c>
      <c r="G1835" s="11">
        <v>0.751</v>
      </c>
      <c r="H1835" s="11">
        <v>1.211</v>
      </c>
      <c r="I1835" s="9" t="s">
        <v>68</v>
      </c>
    </row>
    <row r="1836">
      <c r="A1836" s="12" t="s">
        <v>143</v>
      </c>
      <c r="B1836" s="5" t="s">
        <v>75</v>
      </c>
      <c r="C1836" s="11">
        <v>0.65</v>
      </c>
      <c r="D1836" s="11">
        <v>7.0</v>
      </c>
      <c r="E1836" s="8"/>
      <c r="F1836" s="11">
        <v>132.0</v>
      </c>
      <c r="G1836" s="11">
        <v>0.661</v>
      </c>
      <c r="H1836" s="11">
        <v>0.89</v>
      </c>
      <c r="I1836" s="9" t="s">
        <v>68</v>
      </c>
    </row>
    <row r="1837">
      <c r="A1837" s="12" t="s">
        <v>140</v>
      </c>
      <c r="B1837" s="5" t="s">
        <v>75</v>
      </c>
      <c r="C1837" s="8"/>
      <c r="D1837" s="8"/>
      <c r="E1837" s="8"/>
      <c r="F1837" s="8"/>
      <c r="G1837" s="11">
        <v>0.76</v>
      </c>
      <c r="H1837" s="11">
        <v>1.053</v>
      </c>
      <c r="I1837" s="9" t="s">
        <v>68</v>
      </c>
    </row>
    <row r="1838">
      <c r="A1838" s="12" t="s">
        <v>162</v>
      </c>
      <c r="B1838" s="5" t="s">
        <v>75</v>
      </c>
      <c r="C1838" s="11">
        <v>0.262</v>
      </c>
      <c r="D1838" s="11">
        <v>5.0</v>
      </c>
      <c r="E1838" s="8"/>
      <c r="F1838" s="11">
        <v>140.0</v>
      </c>
      <c r="G1838" s="11">
        <v>0.906</v>
      </c>
      <c r="H1838" s="11">
        <v>1.069</v>
      </c>
      <c r="I1838" s="9" t="s">
        <v>68</v>
      </c>
    </row>
    <row r="1839">
      <c r="A1839" s="12" t="s">
        <v>167</v>
      </c>
      <c r="B1839" s="5" t="s">
        <v>75</v>
      </c>
      <c r="C1839" s="11">
        <v>0.253</v>
      </c>
      <c r="D1839" s="11">
        <v>13.0</v>
      </c>
      <c r="E1839" s="8"/>
      <c r="F1839" s="11">
        <v>76.0</v>
      </c>
      <c r="G1839" s="11">
        <v>0.612</v>
      </c>
      <c r="H1839" s="11">
        <v>1.159</v>
      </c>
      <c r="I1839" s="9" t="s">
        <v>68</v>
      </c>
    </row>
    <row r="1840">
      <c r="A1840" s="12" t="s">
        <v>177</v>
      </c>
      <c r="B1840" s="5" t="s">
        <v>75</v>
      </c>
      <c r="C1840" s="8"/>
      <c r="D1840" s="8"/>
      <c r="E1840" s="8"/>
      <c r="F1840" s="8"/>
      <c r="G1840" s="8"/>
      <c r="H1840" s="8"/>
      <c r="I1840" s="9" t="s">
        <v>68</v>
      </c>
    </row>
    <row r="1841">
      <c r="A1841" s="12" t="s">
        <v>270</v>
      </c>
      <c r="B1841" s="5" t="s">
        <v>75</v>
      </c>
      <c r="C1841" s="11">
        <v>0.443</v>
      </c>
      <c r="D1841" s="11">
        <v>6.0</v>
      </c>
      <c r="E1841" s="8"/>
      <c r="F1841" s="11">
        <v>223.0</v>
      </c>
      <c r="G1841" s="11">
        <v>0.286</v>
      </c>
      <c r="H1841" s="11">
        <v>0.892</v>
      </c>
      <c r="I1841" s="9" t="s">
        <v>68</v>
      </c>
    </row>
    <row r="1842">
      <c r="A1842" s="12" t="s">
        <v>168</v>
      </c>
      <c r="B1842" s="5" t="s">
        <v>75</v>
      </c>
      <c r="C1842" s="8"/>
      <c r="D1842" s="8"/>
      <c r="E1842" s="8"/>
      <c r="F1842" s="8"/>
      <c r="G1842" s="8"/>
      <c r="H1842" s="8"/>
      <c r="I1842" s="9" t="s">
        <v>69</v>
      </c>
    </row>
    <row r="1843">
      <c r="A1843" s="12" t="s">
        <v>202</v>
      </c>
      <c r="B1843" s="5" t="s">
        <v>75</v>
      </c>
      <c r="C1843" s="8"/>
      <c r="D1843" s="8"/>
      <c r="E1843" s="8"/>
      <c r="F1843" s="8"/>
      <c r="G1843" s="11">
        <v>0.673</v>
      </c>
      <c r="H1843" s="11">
        <v>0.616</v>
      </c>
      <c r="I1843" s="9" t="s">
        <v>69</v>
      </c>
    </row>
    <row r="1844">
      <c r="A1844" s="12" t="s">
        <v>140</v>
      </c>
      <c r="B1844" s="5" t="s">
        <v>75</v>
      </c>
      <c r="C1844" s="8"/>
      <c r="D1844" s="8"/>
      <c r="E1844" s="8"/>
      <c r="F1844" s="8"/>
      <c r="G1844" s="11">
        <v>0.756</v>
      </c>
      <c r="H1844" s="11">
        <v>1.106</v>
      </c>
      <c r="I1844" s="9" t="s">
        <v>69</v>
      </c>
    </row>
    <row r="1845">
      <c r="A1845" s="12" t="s">
        <v>103</v>
      </c>
      <c r="B1845" s="5" t="s">
        <v>75</v>
      </c>
      <c r="C1845" s="11">
        <v>0.428</v>
      </c>
      <c r="D1845" s="11">
        <v>69.0</v>
      </c>
      <c r="E1845" s="8"/>
      <c r="F1845" s="11">
        <v>428.0</v>
      </c>
      <c r="G1845" s="11">
        <v>0.347</v>
      </c>
      <c r="H1845" s="11">
        <v>0.823</v>
      </c>
      <c r="I1845" s="9" t="s">
        <v>69</v>
      </c>
    </row>
    <row r="1846">
      <c r="A1846" s="12" t="s">
        <v>148</v>
      </c>
      <c r="B1846" s="5" t="s">
        <v>75</v>
      </c>
      <c r="C1846" s="11">
        <v>0.494</v>
      </c>
      <c r="D1846" s="11">
        <v>18.0</v>
      </c>
      <c r="E1846" s="8"/>
      <c r="F1846" s="11">
        <v>196.0</v>
      </c>
      <c r="G1846" s="11">
        <v>0.78</v>
      </c>
      <c r="H1846" s="11">
        <v>1.266</v>
      </c>
      <c r="I1846" s="9" t="s">
        <v>69</v>
      </c>
    </row>
    <row r="1847">
      <c r="A1847" s="12" t="s">
        <v>238</v>
      </c>
      <c r="B1847" s="5" t="s">
        <v>75</v>
      </c>
      <c r="C1847" s="11">
        <v>0.34</v>
      </c>
      <c r="D1847" s="11">
        <v>23.0</v>
      </c>
      <c r="E1847" s="8"/>
      <c r="F1847" s="11">
        <v>279.0</v>
      </c>
      <c r="G1847" s="11">
        <v>0.356</v>
      </c>
      <c r="H1847" s="11">
        <v>1.198</v>
      </c>
      <c r="I1847" s="9" t="s">
        <v>69</v>
      </c>
    </row>
    <row r="1848">
      <c r="A1848" s="12" t="s">
        <v>89</v>
      </c>
      <c r="B1848" s="5" t="s">
        <v>75</v>
      </c>
      <c r="C1848" s="11">
        <v>0.524</v>
      </c>
      <c r="D1848" s="11">
        <v>25.0</v>
      </c>
      <c r="E1848" s="8"/>
      <c r="F1848" s="11">
        <v>170.0</v>
      </c>
      <c r="G1848" s="11">
        <v>0.729</v>
      </c>
      <c r="H1848" s="11">
        <v>1.297</v>
      </c>
      <c r="I1848" s="9" t="s">
        <v>69</v>
      </c>
    </row>
    <row r="1849">
      <c r="A1849" s="12" t="s">
        <v>81</v>
      </c>
      <c r="B1849" s="5" t="s">
        <v>75</v>
      </c>
      <c r="C1849" s="8"/>
      <c r="D1849" s="8"/>
      <c r="E1849" s="8"/>
      <c r="F1849" s="8"/>
      <c r="G1849" s="11">
        <v>0.7</v>
      </c>
      <c r="H1849" s="11">
        <v>0.803</v>
      </c>
      <c r="I1849" s="9" t="s">
        <v>69</v>
      </c>
    </row>
    <row r="1850">
      <c r="A1850" s="12" t="s">
        <v>107</v>
      </c>
      <c r="B1850" s="5" t="s">
        <v>75</v>
      </c>
      <c r="C1850" s="11">
        <v>0.339</v>
      </c>
      <c r="D1850" s="11">
        <v>49.0</v>
      </c>
      <c r="E1850" s="8"/>
      <c r="F1850" s="11">
        <v>616.0</v>
      </c>
      <c r="G1850" s="11">
        <v>0.397</v>
      </c>
      <c r="H1850" s="11">
        <v>1.39</v>
      </c>
      <c r="I1850" s="9" t="s">
        <v>69</v>
      </c>
    </row>
    <row r="1851">
      <c r="A1851" s="12" t="s">
        <v>161</v>
      </c>
      <c r="B1851" s="5" t="s">
        <v>75</v>
      </c>
      <c r="C1851" s="11">
        <v>0.566</v>
      </c>
      <c r="D1851" s="11">
        <v>5.0</v>
      </c>
      <c r="E1851" s="8"/>
      <c r="F1851" s="11">
        <v>330.0</v>
      </c>
      <c r="G1851" s="11">
        <v>0.61</v>
      </c>
      <c r="H1851" s="11">
        <v>1.217</v>
      </c>
      <c r="I1851" s="9" t="s">
        <v>69</v>
      </c>
    </row>
    <row r="1852">
      <c r="A1852" s="12" t="s">
        <v>124</v>
      </c>
      <c r="B1852" s="5" t="s">
        <v>75</v>
      </c>
      <c r="C1852" s="11">
        <v>0.214</v>
      </c>
      <c r="D1852" s="11">
        <v>22.0</v>
      </c>
      <c r="E1852" s="8"/>
      <c r="F1852" s="11">
        <v>196.0</v>
      </c>
      <c r="G1852" s="11">
        <v>0.442</v>
      </c>
      <c r="H1852" s="11">
        <v>1.045</v>
      </c>
      <c r="I1852" s="9" t="s">
        <v>69</v>
      </c>
    </row>
    <row r="1853">
      <c r="A1853" s="12" t="s">
        <v>227</v>
      </c>
      <c r="B1853" s="5" t="s">
        <v>75</v>
      </c>
      <c r="C1853" s="11">
        <v>0.425</v>
      </c>
      <c r="D1853" s="11">
        <v>5.0</v>
      </c>
      <c r="E1853" s="8"/>
      <c r="F1853" s="11">
        <v>328.0</v>
      </c>
      <c r="G1853" s="11">
        <v>0.441</v>
      </c>
      <c r="H1853" s="11">
        <v>1.329</v>
      </c>
      <c r="I1853" s="9" t="s">
        <v>69</v>
      </c>
    </row>
    <row r="1854">
      <c r="A1854" s="12" t="s">
        <v>195</v>
      </c>
      <c r="B1854" s="5" t="s">
        <v>75</v>
      </c>
      <c r="C1854" s="8"/>
      <c r="D1854" s="8"/>
      <c r="E1854" s="8"/>
      <c r="F1854" s="8"/>
      <c r="G1854" s="11">
        <v>0.501</v>
      </c>
      <c r="H1854" s="11">
        <v>0.916</v>
      </c>
      <c r="I1854" s="9" t="s">
        <v>69</v>
      </c>
    </row>
    <row r="1855">
      <c r="A1855" s="12" t="s">
        <v>170</v>
      </c>
      <c r="B1855" s="5" t="s">
        <v>75</v>
      </c>
      <c r="C1855" s="11">
        <v>0.725</v>
      </c>
      <c r="D1855" s="11">
        <v>10.0</v>
      </c>
      <c r="E1855" s="8"/>
      <c r="F1855" s="11">
        <v>314.0</v>
      </c>
      <c r="G1855" s="11">
        <v>0.445</v>
      </c>
      <c r="H1855" s="11">
        <v>1.509</v>
      </c>
      <c r="I1855" s="9" t="s">
        <v>69</v>
      </c>
    </row>
    <row r="1856">
      <c r="A1856" s="12" t="s">
        <v>260</v>
      </c>
      <c r="B1856" s="5" t="s">
        <v>75</v>
      </c>
      <c r="C1856" s="11">
        <v>0.278</v>
      </c>
      <c r="D1856" s="11">
        <v>18.0</v>
      </c>
      <c r="E1856" s="8"/>
      <c r="F1856" s="11">
        <v>63.0</v>
      </c>
      <c r="G1856" s="11">
        <v>0.792</v>
      </c>
      <c r="H1856" s="11">
        <v>1.163</v>
      </c>
      <c r="I1856" s="9" t="s">
        <v>69</v>
      </c>
    </row>
    <row r="1857">
      <c r="A1857" s="12" t="s">
        <v>186</v>
      </c>
      <c r="B1857" s="5" t="s">
        <v>75</v>
      </c>
      <c r="C1857" s="8"/>
      <c r="D1857" s="8"/>
      <c r="E1857" s="8"/>
      <c r="F1857" s="8"/>
      <c r="G1857" s="11">
        <v>0.7</v>
      </c>
      <c r="H1857" s="11">
        <v>0.956</v>
      </c>
      <c r="I1857" s="9" t="s">
        <v>69</v>
      </c>
    </row>
    <row r="1858">
      <c r="A1858" s="12" t="s">
        <v>274</v>
      </c>
      <c r="B1858" s="5" t="s">
        <v>75</v>
      </c>
      <c r="C1858" s="11">
        <v>0.572</v>
      </c>
      <c r="D1858" s="11">
        <v>27.0</v>
      </c>
      <c r="E1858" s="8"/>
      <c r="F1858" s="11">
        <v>848.0</v>
      </c>
      <c r="G1858" s="11">
        <v>0.11</v>
      </c>
      <c r="H1858" s="11">
        <v>1.198</v>
      </c>
      <c r="I1858" s="9" t="s">
        <v>69</v>
      </c>
    </row>
    <row r="1859">
      <c r="A1859" s="12" t="s">
        <v>96</v>
      </c>
      <c r="B1859" s="5" t="s">
        <v>75</v>
      </c>
      <c r="C1859" s="11">
        <v>1.175</v>
      </c>
      <c r="D1859" s="11">
        <v>31.0</v>
      </c>
      <c r="E1859" s="8"/>
      <c r="F1859" s="11">
        <v>987.0</v>
      </c>
      <c r="G1859" s="11">
        <v>0.23</v>
      </c>
      <c r="H1859" s="11">
        <v>0.851</v>
      </c>
      <c r="I1859" s="9" t="s">
        <v>69</v>
      </c>
    </row>
    <row r="1860">
      <c r="A1860" s="12" t="s">
        <v>187</v>
      </c>
      <c r="B1860" s="5" t="s">
        <v>75</v>
      </c>
      <c r="C1860" s="11">
        <v>0.456</v>
      </c>
      <c r="D1860" s="11">
        <v>26.0</v>
      </c>
      <c r="E1860" s="8"/>
      <c r="F1860" s="11">
        <v>166.0</v>
      </c>
      <c r="G1860" s="11">
        <v>0.552</v>
      </c>
      <c r="H1860" s="11">
        <v>1.598</v>
      </c>
      <c r="I1860" s="9" t="s">
        <v>69</v>
      </c>
    </row>
    <row r="1861">
      <c r="A1861" s="12" t="s">
        <v>181</v>
      </c>
      <c r="B1861" s="5" t="s">
        <v>75</v>
      </c>
      <c r="C1861" s="11">
        <v>0.368</v>
      </c>
      <c r="D1861" s="11">
        <v>16.0</v>
      </c>
      <c r="E1861" s="8"/>
      <c r="F1861" s="11">
        <v>279.0</v>
      </c>
      <c r="G1861" s="11">
        <v>0.634</v>
      </c>
      <c r="H1861" s="11">
        <v>1.075</v>
      </c>
      <c r="I1861" s="9" t="s">
        <v>69</v>
      </c>
    </row>
    <row r="1862">
      <c r="A1862" s="12" t="s">
        <v>230</v>
      </c>
      <c r="B1862" s="5" t="s">
        <v>75</v>
      </c>
      <c r="C1862" s="11">
        <v>0.454</v>
      </c>
      <c r="D1862" s="11">
        <v>9.0</v>
      </c>
      <c r="E1862" s="8"/>
      <c r="F1862" s="11">
        <v>202.0</v>
      </c>
      <c r="G1862" s="11">
        <v>0.324</v>
      </c>
      <c r="H1862" s="11">
        <v>1.114</v>
      </c>
      <c r="I1862" s="9" t="s">
        <v>69</v>
      </c>
    </row>
    <row r="1863">
      <c r="A1863" s="12" t="s">
        <v>243</v>
      </c>
      <c r="B1863" s="5" t="s">
        <v>75</v>
      </c>
      <c r="C1863" s="11">
        <v>0.465</v>
      </c>
      <c r="D1863" s="11">
        <v>18.0</v>
      </c>
      <c r="E1863" s="8"/>
      <c r="F1863" s="11">
        <v>325.0</v>
      </c>
      <c r="G1863" s="11">
        <v>0.661</v>
      </c>
      <c r="H1863" s="11">
        <v>1.019</v>
      </c>
      <c r="I1863" s="9" t="s">
        <v>69</v>
      </c>
    </row>
    <row r="1864">
      <c r="A1864" s="12" t="s">
        <v>226</v>
      </c>
      <c r="B1864" s="5" t="s">
        <v>75</v>
      </c>
      <c r="C1864" s="11">
        <v>0.451</v>
      </c>
      <c r="D1864" s="11">
        <v>31.0</v>
      </c>
      <c r="E1864" s="8"/>
      <c r="F1864" s="11">
        <v>418.0</v>
      </c>
      <c r="G1864" s="11">
        <v>0.531</v>
      </c>
      <c r="H1864" s="11">
        <v>1.15</v>
      </c>
      <c r="I1864" s="9" t="s">
        <v>69</v>
      </c>
    </row>
    <row r="1865">
      <c r="A1865" s="12" t="s">
        <v>217</v>
      </c>
      <c r="B1865" s="5" t="s">
        <v>75</v>
      </c>
      <c r="C1865" s="11">
        <v>0.174</v>
      </c>
      <c r="D1865" s="11">
        <v>9.0</v>
      </c>
      <c r="E1865" s="8"/>
      <c r="F1865" s="11">
        <v>150.0</v>
      </c>
      <c r="G1865" s="11">
        <v>0.46</v>
      </c>
      <c r="H1865" s="11">
        <v>0.937</v>
      </c>
      <c r="I1865" s="9" t="s">
        <v>69</v>
      </c>
    </row>
    <row r="1866">
      <c r="A1866" s="12" t="s">
        <v>244</v>
      </c>
      <c r="B1866" s="5" t="s">
        <v>75</v>
      </c>
      <c r="C1866" s="11">
        <v>0.358</v>
      </c>
      <c r="D1866" s="11">
        <v>19.0</v>
      </c>
      <c r="E1866" s="8"/>
      <c r="F1866" s="11">
        <v>260.0</v>
      </c>
      <c r="G1866" s="11">
        <v>0.58</v>
      </c>
      <c r="H1866" s="11">
        <v>1.011</v>
      </c>
      <c r="I1866" s="9" t="s">
        <v>69</v>
      </c>
    </row>
    <row r="1867">
      <c r="A1867" s="12" t="s">
        <v>142</v>
      </c>
      <c r="B1867" s="5" t="s">
        <v>75</v>
      </c>
      <c r="C1867" s="11">
        <v>0.478</v>
      </c>
      <c r="D1867" s="11">
        <v>14.0</v>
      </c>
      <c r="E1867" s="8"/>
      <c r="F1867" s="11">
        <v>269.0</v>
      </c>
      <c r="G1867" s="11">
        <v>0.837</v>
      </c>
      <c r="H1867" s="11">
        <v>1.284</v>
      </c>
      <c r="I1867" s="9" t="s">
        <v>69</v>
      </c>
    </row>
    <row r="1868">
      <c r="A1868" s="12" t="s">
        <v>210</v>
      </c>
      <c r="B1868" s="5" t="s">
        <v>75</v>
      </c>
      <c r="C1868" s="11">
        <v>0.382</v>
      </c>
      <c r="D1868" s="11">
        <v>8.0</v>
      </c>
      <c r="E1868" s="8"/>
      <c r="F1868" s="11">
        <v>180.0</v>
      </c>
      <c r="G1868" s="11">
        <v>0.874</v>
      </c>
      <c r="H1868" s="11">
        <v>1.25</v>
      </c>
      <c r="I1868" s="9" t="s">
        <v>69</v>
      </c>
    </row>
    <row r="1869">
      <c r="A1869" s="12" t="s">
        <v>150</v>
      </c>
      <c r="B1869" s="5" t="s">
        <v>75</v>
      </c>
      <c r="C1869" s="11">
        <v>0.467</v>
      </c>
      <c r="D1869" s="11">
        <v>19.0</v>
      </c>
      <c r="E1869" s="8"/>
      <c r="F1869" s="11">
        <v>224.0</v>
      </c>
      <c r="G1869" s="11">
        <v>0.382</v>
      </c>
      <c r="H1869" s="11">
        <v>1.245</v>
      </c>
      <c r="I1869" s="9" t="s">
        <v>69</v>
      </c>
    </row>
    <row r="1870">
      <c r="A1870" s="12" t="s">
        <v>250</v>
      </c>
      <c r="B1870" s="5" t="s">
        <v>75</v>
      </c>
      <c r="C1870" s="11">
        <v>0.603</v>
      </c>
      <c r="D1870" s="11">
        <v>47.0</v>
      </c>
      <c r="E1870" s="8"/>
      <c r="F1870" s="11">
        <v>234.0</v>
      </c>
      <c r="G1870" s="11">
        <v>0.596</v>
      </c>
      <c r="H1870" s="11">
        <v>1.097</v>
      </c>
      <c r="I1870" s="9" t="s">
        <v>69</v>
      </c>
    </row>
    <row r="1871">
      <c r="A1871" s="12" t="s">
        <v>234</v>
      </c>
      <c r="B1871" s="5" t="s">
        <v>75</v>
      </c>
      <c r="C1871" s="8"/>
      <c r="D1871" s="8"/>
      <c r="E1871" s="8"/>
      <c r="F1871" s="8"/>
      <c r="G1871" s="11">
        <v>0.545</v>
      </c>
      <c r="H1871" s="11">
        <v>0.799</v>
      </c>
      <c r="I1871" s="9" t="s">
        <v>69</v>
      </c>
    </row>
    <row r="1872">
      <c r="A1872" s="12" t="s">
        <v>231</v>
      </c>
      <c r="B1872" s="5" t="s">
        <v>75</v>
      </c>
      <c r="C1872" s="11">
        <v>0.483</v>
      </c>
      <c r="D1872" s="11">
        <v>29.0</v>
      </c>
      <c r="E1872" s="8"/>
      <c r="F1872" s="11">
        <v>448.0</v>
      </c>
      <c r="G1872" s="11">
        <v>0.268</v>
      </c>
      <c r="H1872" s="11">
        <v>1.389</v>
      </c>
      <c r="I1872" s="9" t="s">
        <v>69</v>
      </c>
    </row>
    <row r="1873">
      <c r="A1873" s="12" t="s">
        <v>201</v>
      </c>
      <c r="B1873" s="5" t="s">
        <v>75</v>
      </c>
      <c r="C1873" s="11">
        <v>0.42</v>
      </c>
      <c r="D1873" s="11">
        <v>15.0</v>
      </c>
      <c r="E1873" s="8"/>
      <c r="F1873" s="11">
        <v>234.0</v>
      </c>
      <c r="G1873" s="11">
        <v>0.234</v>
      </c>
      <c r="H1873" s="11">
        <v>0.666</v>
      </c>
      <c r="I1873" s="9" t="s">
        <v>69</v>
      </c>
    </row>
    <row r="1874">
      <c r="A1874" s="12" t="s">
        <v>138</v>
      </c>
      <c r="B1874" s="5" t="s">
        <v>75</v>
      </c>
      <c r="C1874" s="11">
        <v>0.479</v>
      </c>
      <c r="D1874" s="11">
        <v>7.0</v>
      </c>
      <c r="E1874" s="8"/>
      <c r="F1874" s="11">
        <v>81.0</v>
      </c>
      <c r="G1874" s="11">
        <v>0.706</v>
      </c>
      <c r="H1874" s="11">
        <v>1.242</v>
      </c>
      <c r="I1874" s="9" t="s">
        <v>69</v>
      </c>
    </row>
    <row r="1875">
      <c r="A1875" s="12" t="s">
        <v>204</v>
      </c>
      <c r="B1875" s="5" t="s">
        <v>75</v>
      </c>
      <c r="C1875" s="11">
        <v>0.31</v>
      </c>
      <c r="D1875" s="11">
        <v>21.0</v>
      </c>
      <c r="E1875" s="8"/>
      <c r="F1875" s="11">
        <v>372.0</v>
      </c>
      <c r="G1875" s="11">
        <v>0.329</v>
      </c>
      <c r="H1875" s="11">
        <v>1.872</v>
      </c>
      <c r="I1875" s="9" t="s">
        <v>69</v>
      </c>
    </row>
    <row r="1876">
      <c r="A1876" s="12" t="s">
        <v>128</v>
      </c>
      <c r="B1876" s="5" t="s">
        <v>75</v>
      </c>
      <c r="C1876" s="11">
        <v>0.477</v>
      </c>
      <c r="D1876" s="11">
        <v>20.0</v>
      </c>
      <c r="E1876" s="8"/>
      <c r="F1876" s="11">
        <v>808.0</v>
      </c>
      <c r="G1876" s="11">
        <v>0.63</v>
      </c>
      <c r="H1876" s="11">
        <v>1.324</v>
      </c>
      <c r="I1876" s="9" t="s">
        <v>69</v>
      </c>
    </row>
    <row r="1877">
      <c r="A1877" s="12" t="s">
        <v>129</v>
      </c>
      <c r="B1877" s="5" t="s">
        <v>75</v>
      </c>
      <c r="C1877" s="11">
        <v>0.292</v>
      </c>
      <c r="D1877" s="11">
        <v>6.0</v>
      </c>
      <c r="E1877" s="8"/>
      <c r="F1877" s="11">
        <v>135.0</v>
      </c>
      <c r="G1877" s="11">
        <v>0.85</v>
      </c>
      <c r="H1877" s="11">
        <v>1.193</v>
      </c>
      <c r="I1877" s="9" t="s">
        <v>69</v>
      </c>
    </row>
    <row r="1878">
      <c r="A1878" s="12" t="s">
        <v>127</v>
      </c>
      <c r="B1878" s="5" t="s">
        <v>75</v>
      </c>
      <c r="C1878" s="11">
        <v>0.206</v>
      </c>
      <c r="D1878" s="11">
        <v>8.0</v>
      </c>
      <c r="E1878" s="8"/>
      <c r="F1878" s="11">
        <v>149.0</v>
      </c>
      <c r="G1878" s="11">
        <v>0.423</v>
      </c>
      <c r="H1878" s="11">
        <v>0.944</v>
      </c>
      <c r="I1878" s="9" t="s">
        <v>69</v>
      </c>
    </row>
    <row r="1879">
      <c r="A1879" s="12" t="s">
        <v>97</v>
      </c>
      <c r="B1879" s="5" t="s">
        <v>75</v>
      </c>
      <c r="C1879" s="11">
        <v>0.552</v>
      </c>
      <c r="D1879" s="11">
        <v>4.0</v>
      </c>
      <c r="E1879" s="8"/>
      <c r="F1879" s="11">
        <v>156.0</v>
      </c>
      <c r="G1879" s="11">
        <v>0.66</v>
      </c>
      <c r="H1879" s="11">
        <v>1.053</v>
      </c>
      <c r="I1879" s="9" t="s">
        <v>69</v>
      </c>
    </row>
    <row r="1880">
      <c r="A1880" s="12" t="s">
        <v>188</v>
      </c>
      <c r="B1880" s="5" t="s">
        <v>75</v>
      </c>
      <c r="C1880" s="11">
        <v>0.2</v>
      </c>
      <c r="D1880" s="11">
        <v>26.0</v>
      </c>
      <c r="E1880" s="8"/>
      <c r="F1880" s="11">
        <v>59.0</v>
      </c>
      <c r="G1880" s="11">
        <v>0.822</v>
      </c>
      <c r="H1880" s="11">
        <v>1.451</v>
      </c>
      <c r="I1880" s="9" t="s">
        <v>69</v>
      </c>
    </row>
    <row r="1881">
      <c r="A1881" s="12" t="s">
        <v>259</v>
      </c>
      <c r="B1881" s="5" t="s">
        <v>75</v>
      </c>
      <c r="C1881" s="11">
        <v>0.537</v>
      </c>
      <c r="D1881" s="11">
        <v>16.0</v>
      </c>
      <c r="E1881" s="8"/>
      <c r="F1881" s="11">
        <v>122.0</v>
      </c>
      <c r="G1881" s="11">
        <v>0.9</v>
      </c>
      <c r="H1881" s="11">
        <v>1.084</v>
      </c>
      <c r="I1881" s="9" t="s">
        <v>69</v>
      </c>
    </row>
    <row r="1882">
      <c r="A1882" s="12" t="s">
        <v>74</v>
      </c>
      <c r="B1882" s="5" t="s">
        <v>75</v>
      </c>
      <c r="C1882" s="11">
        <v>0.462</v>
      </c>
      <c r="D1882" s="11">
        <v>9.0</v>
      </c>
      <c r="E1882" s="8"/>
      <c r="F1882" s="11">
        <v>368.0</v>
      </c>
      <c r="G1882" s="11">
        <v>0.239</v>
      </c>
      <c r="H1882" s="11">
        <v>0.589</v>
      </c>
      <c r="I1882" s="9" t="s">
        <v>69</v>
      </c>
    </row>
    <row r="1883">
      <c r="A1883" s="12" t="s">
        <v>276</v>
      </c>
      <c r="B1883" s="5" t="s">
        <v>75</v>
      </c>
      <c r="C1883" s="11">
        <v>0.342</v>
      </c>
      <c r="D1883" s="11">
        <v>13.0</v>
      </c>
      <c r="E1883" s="8"/>
      <c r="F1883" s="11">
        <v>105.0</v>
      </c>
      <c r="G1883" s="11">
        <v>0.784</v>
      </c>
      <c r="H1883" s="11">
        <v>1.222</v>
      </c>
      <c r="I1883" s="9" t="s">
        <v>69</v>
      </c>
    </row>
    <row r="1884">
      <c r="A1884" s="12" t="s">
        <v>218</v>
      </c>
      <c r="B1884" s="5" t="s">
        <v>75</v>
      </c>
      <c r="C1884" s="11">
        <v>0.407</v>
      </c>
      <c r="D1884" s="11">
        <v>7.0</v>
      </c>
      <c r="E1884" s="8"/>
      <c r="F1884" s="11">
        <v>87.0</v>
      </c>
      <c r="G1884" s="11">
        <v>0.906</v>
      </c>
      <c r="H1884" s="11">
        <v>1.091</v>
      </c>
      <c r="I1884" s="9" t="s">
        <v>69</v>
      </c>
    </row>
    <row r="1885">
      <c r="A1885" s="12" t="s">
        <v>143</v>
      </c>
      <c r="B1885" s="5" t="s">
        <v>75</v>
      </c>
      <c r="C1885" s="11">
        <v>0.645</v>
      </c>
      <c r="D1885" s="11">
        <v>7.0</v>
      </c>
      <c r="E1885" s="8"/>
      <c r="F1885" s="11">
        <v>132.0</v>
      </c>
      <c r="G1885" s="11">
        <v>0.707</v>
      </c>
      <c r="H1885" s="11">
        <v>0.927</v>
      </c>
      <c r="I1885" s="9" t="s">
        <v>69</v>
      </c>
    </row>
    <row r="1886">
      <c r="A1886" s="12" t="s">
        <v>162</v>
      </c>
      <c r="B1886" s="5" t="s">
        <v>75</v>
      </c>
      <c r="C1886" s="11">
        <v>0.258</v>
      </c>
      <c r="D1886" s="11">
        <v>5.0</v>
      </c>
      <c r="E1886" s="8"/>
      <c r="F1886" s="11">
        <v>140.0</v>
      </c>
      <c r="G1886" s="11">
        <v>0.91</v>
      </c>
      <c r="H1886" s="11">
        <v>1.089</v>
      </c>
      <c r="I1886" s="9" t="s">
        <v>69</v>
      </c>
    </row>
    <row r="1887">
      <c r="A1887" s="12" t="s">
        <v>167</v>
      </c>
      <c r="B1887" s="5" t="s">
        <v>75</v>
      </c>
      <c r="C1887" s="11">
        <v>0.254</v>
      </c>
      <c r="D1887" s="11">
        <v>13.0</v>
      </c>
      <c r="E1887" s="8"/>
      <c r="F1887" s="11">
        <v>76.0</v>
      </c>
      <c r="G1887" s="11">
        <v>0.653</v>
      </c>
      <c r="H1887" s="11">
        <v>1.16</v>
      </c>
      <c r="I1887" s="9" t="s">
        <v>69</v>
      </c>
    </row>
    <row r="1888">
      <c r="A1888" s="12" t="s">
        <v>270</v>
      </c>
      <c r="B1888" s="5" t="s">
        <v>75</v>
      </c>
      <c r="C1888" s="11">
        <v>0.443</v>
      </c>
      <c r="D1888" s="11">
        <v>6.0</v>
      </c>
      <c r="E1888" s="8"/>
      <c r="F1888" s="11">
        <v>223.0</v>
      </c>
      <c r="G1888" s="11">
        <v>0.344</v>
      </c>
      <c r="H1888" s="11">
        <v>0.935</v>
      </c>
      <c r="I1888" s="9" t="s">
        <v>69</v>
      </c>
    </row>
    <row r="1889">
      <c r="A1889" s="12" t="s">
        <v>177</v>
      </c>
      <c r="B1889" s="5" t="s">
        <v>75</v>
      </c>
      <c r="C1889" s="8"/>
      <c r="D1889" s="8"/>
      <c r="E1889" s="8"/>
      <c r="F1889" s="8"/>
      <c r="G1889" s="8"/>
      <c r="H1889" s="8"/>
      <c r="I1889" s="9" t="s">
        <v>69</v>
      </c>
    </row>
    <row r="1890">
      <c r="A1890" s="12" t="s">
        <v>168</v>
      </c>
      <c r="B1890" s="5" t="s">
        <v>75</v>
      </c>
      <c r="C1890" s="8"/>
      <c r="D1890" s="8"/>
      <c r="E1890" s="8"/>
      <c r="F1890" s="8"/>
      <c r="G1890" s="8"/>
      <c r="H1890" s="8"/>
      <c r="I1890" s="9" t="s">
        <v>70</v>
      </c>
    </row>
    <row r="1891">
      <c r="A1891" s="12" t="s">
        <v>202</v>
      </c>
      <c r="B1891" s="5" t="s">
        <v>75</v>
      </c>
      <c r="C1891" s="8"/>
      <c r="D1891" s="8"/>
      <c r="E1891" s="8"/>
      <c r="F1891" s="8"/>
      <c r="G1891" s="11">
        <v>0.701</v>
      </c>
      <c r="H1891" s="11">
        <v>0.633</v>
      </c>
      <c r="I1891" s="9" t="s">
        <v>70</v>
      </c>
    </row>
    <row r="1892">
      <c r="A1892" s="12" t="s">
        <v>140</v>
      </c>
      <c r="B1892" s="5" t="s">
        <v>75</v>
      </c>
      <c r="C1892" s="8"/>
      <c r="D1892" s="8"/>
      <c r="E1892" s="8"/>
      <c r="F1892" s="8"/>
      <c r="G1892" s="11">
        <v>0.752</v>
      </c>
      <c r="H1892" s="11">
        <v>1.149</v>
      </c>
      <c r="I1892" s="9" t="s">
        <v>70</v>
      </c>
    </row>
    <row r="1893">
      <c r="A1893" s="12" t="s">
        <v>148</v>
      </c>
      <c r="B1893" s="5" t="s">
        <v>75</v>
      </c>
      <c r="C1893" s="11">
        <v>0.439</v>
      </c>
      <c r="D1893" s="11">
        <v>18.0</v>
      </c>
      <c r="E1893" s="8"/>
      <c r="F1893" s="11">
        <v>196.0</v>
      </c>
      <c r="G1893" s="11">
        <v>0.79</v>
      </c>
      <c r="H1893" s="11">
        <v>1.262</v>
      </c>
      <c r="I1893" s="9" t="s">
        <v>70</v>
      </c>
    </row>
    <row r="1894">
      <c r="A1894" s="12" t="s">
        <v>103</v>
      </c>
      <c r="B1894" s="5" t="s">
        <v>75</v>
      </c>
      <c r="C1894" s="11">
        <v>0.259</v>
      </c>
      <c r="D1894" s="11">
        <v>69.0</v>
      </c>
      <c r="E1894" s="8"/>
      <c r="F1894" s="11">
        <v>422.0</v>
      </c>
      <c r="G1894" s="11">
        <v>0.377</v>
      </c>
      <c r="H1894" s="11">
        <v>0.845</v>
      </c>
      <c r="I1894" s="9" t="s">
        <v>70</v>
      </c>
    </row>
    <row r="1895">
      <c r="A1895" s="12" t="s">
        <v>227</v>
      </c>
      <c r="B1895" s="5" t="s">
        <v>75</v>
      </c>
      <c r="C1895" s="11">
        <v>0.423</v>
      </c>
      <c r="D1895" s="11">
        <v>5.0</v>
      </c>
      <c r="E1895" s="8"/>
      <c r="F1895" s="11">
        <v>328.0</v>
      </c>
      <c r="G1895" s="11">
        <v>0.483</v>
      </c>
      <c r="H1895" s="11">
        <v>1.115</v>
      </c>
      <c r="I1895" s="9" t="s">
        <v>70</v>
      </c>
    </row>
    <row r="1896">
      <c r="A1896" s="12" t="s">
        <v>89</v>
      </c>
      <c r="B1896" s="5" t="s">
        <v>75</v>
      </c>
      <c r="C1896" s="11">
        <v>0.534</v>
      </c>
      <c r="D1896" s="11">
        <v>25.0</v>
      </c>
      <c r="E1896" s="8"/>
      <c r="F1896" s="11">
        <v>170.0</v>
      </c>
      <c r="G1896" s="11">
        <v>0.735</v>
      </c>
      <c r="H1896" s="11">
        <v>1.366</v>
      </c>
      <c r="I1896" s="9" t="s">
        <v>70</v>
      </c>
    </row>
    <row r="1897">
      <c r="A1897" s="12" t="s">
        <v>81</v>
      </c>
      <c r="B1897" s="5" t="s">
        <v>75</v>
      </c>
      <c r="C1897" s="8"/>
      <c r="D1897" s="8"/>
      <c r="E1897" s="8"/>
      <c r="F1897" s="8"/>
      <c r="G1897" s="11">
        <v>0.785</v>
      </c>
      <c r="H1897" s="11">
        <v>0.821</v>
      </c>
      <c r="I1897" s="9" t="s">
        <v>70</v>
      </c>
    </row>
    <row r="1898">
      <c r="A1898" s="12" t="s">
        <v>181</v>
      </c>
      <c r="B1898" s="5" t="s">
        <v>75</v>
      </c>
      <c r="C1898" s="11">
        <v>0.377</v>
      </c>
      <c r="D1898" s="11">
        <v>16.0</v>
      </c>
      <c r="E1898" s="8"/>
      <c r="F1898" s="11">
        <v>279.0</v>
      </c>
      <c r="G1898" s="11">
        <v>0.668</v>
      </c>
      <c r="H1898" s="11">
        <v>1.091</v>
      </c>
      <c r="I1898" s="9" t="s">
        <v>70</v>
      </c>
    </row>
    <row r="1899">
      <c r="A1899" s="12" t="s">
        <v>161</v>
      </c>
      <c r="B1899" s="5" t="s">
        <v>75</v>
      </c>
      <c r="C1899" s="11">
        <v>0.566</v>
      </c>
      <c r="D1899" s="11">
        <v>4.0</v>
      </c>
      <c r="E1899" s="8"/>
      <c r="F1899" s="11">
        <v>330.0</v>
      </c>
      <c r="G1899" s="11">
        <v>0.62</v>
      </c>
      <c r="H1899" s="11">
        <v>1.176</v>
      </c>
      <c r="I1899" s="9" t="s">
        <v>70</v>
      </c>
    </row>
    <row r="1900">
      <c r="A1900" s="12" t="s">
        <v>238</v>
      </c>
      <c r="B1900" s="5" t="s">
        <v>75</v>
      </c>
      <c r="C1900" s="11">
        <v>0.34</v>
      </c>
      <c r="D1900" s="11">
        <v>13.0</v>
      </c>
      <c r="E1900" s="8"/>
      <c r="F1900" s="11">
        <v>279.0</v>
      </c>
      <c r="G1900" s="11">
        <v>0.381</v>
      </c>
      <c r="H1900" s="11">
        <v>1.244</v>
      </c>
      <c r="I1900" s="9" t="s">
        <v>70</v>
      </c>
    </row>
    <row r="1901">
      <c r="A1901" s="12" t="s">
        <v>124</v>
      </c>
      <c r="B1901" s="5" t="s">
        <v>75</v>
      </c>
      <c r="C1901" s="11">
        <v>0.214</v>
      </c>
      <c r="D1901" s="11">
        <v>22.0</v>
      </c>
      <c r="E1901" s="8"/>
      <c r="F1901" s="11">
        <v>196.0</v>
      </c>
      <c r="G1901" s="11">
        <v>0.506</v>
      </c>
      <c r="H1901" s="11">
        <v>1.075</v>
      </c>
      <c r="I1901" s="9" t="s">
        <v>70</v>
      </c>
    </row>
    <row r="1902">
      <c r="A1902" s="12" t="s">
        <v>195</v>
      </c>
      <c r="B1902" s="5" t="s">
        <v>75</v>
      </c>
      <c r="C1902" s="8"/>
      <c r="D1902" s="8"/>
      <c r="E1902" s="8"/>
      <c r="F1902" s="8"/>
      <c r="G1902" s="11">
        <v>0.589</v>
      </c>
      <c r="H1902" s="11">
        <v>0.998</v>
      </c>
      <c r="I1902" s="9" t="s">
        <v>70</v>
      </c>
    </row>
    <row r="1903">
      <c r="A1903" s="12" t="s">
        <v>170</v>
      </c>
      <c r="B1903" s="5" t="s">
        <v>75</v>
      </c>
      <c r="C1903" s="11">
        <v>0.677</v>
      </c>
      <c r="D1903" s="11">
        <v>10.0</v>
      </c>
      <c r="E1903" s="8"/>
      <c r="F1903" s="11">
        <v>314.0</v>
      </c>
      <c r="G1903" s="11">
        <v>0.488</v>
      </c>
      <c r="H1903" s="11">
        <v>1.495</v>
      </c>
      <c r="I1903" s="9" t="s">
        <v>70</v>
      </c>
    </row>
    <row r="1904">
      <c r="A1904" s="12" t="s">
        <v>260</v>
      </c>
      <c r="B1904" s="5" t="s">
        <v>75</v>
      </c>
      <c r="C1904" s="11">
        <v>0.287</v>
      </c>
      <c r="D1904" s="11">
        <v>18.0</v>
      </c>
      <c r="E1904" s="8"/>
      <c r="F1904" s="11">
        <v>63.0</v>
      </c>
      <c r="G1904" s="11">
        <v>0.813</v>
      </c>
      <c r="H1904" s="11">
        <v>1.204</v>
      </c>
      <c r="I1904" s="9" t="s">
        <v>70</v>
      </c>
    </row>
    <row r="1905">
      <c r="A1905" s="12" t="s">
        <v>274</v>
      </c>
      <c r="B1905" s="5" t="s">
        <v>75</v>
      </c>
      <c r="C1905" s="11">
        <v>0.572</v>
      </c>
      <c r="D1905" s="11">
        <v>27.0</v>
      </c>
      <c r="E1905" s="8"/>
      <c r="F1905" s="11">
        <v>736.0</v>
      </c>
      <c r="G1905" s="11">
        <v>0.179</v>
      </c>
      <c r="H1905" s="11">
        <v>1.188</v>
      </c>
      <c r="I1905" s="9" t="s">
        <v>70</v>
      </c>
    </row>
    <row r="1906">
      <c r="A1906" s="12" t="s">
        <v>96</v>
      </c>
      <c r="B1906" s="5" t="s">
        <v>75</v>
      </c>
      <c r="C1906" s="11">
        <v>0.997</v>
      </c>
      <c r="D1906" s="11">
        <v>10.0</v>
      </c>
      <c r="E1906" s="8"/>
      <c r="F1906" s="11">
        <v>900.0</v>
      </c>
      <c r="G1906" s="11">
        <v>0.274</v>
      </c>
      <c r="H1906" s="11">
        <v>1.017</v>
      </c>
      <c r="I1906" s="9" t="s">
        <v>70</v>
      </c>
    </row>
    <row r="1907">
      <c r="A1907" s="12" t="s">
        <v>230</v>
      </c>
      <c r="B1907" s="5" t="s">
        <v>75</v>
      </c>
      <c r="C1907" s="11">
        <v>0.451</v>
      </c>
      <c r="D1907" s="11">
        <v>9.0</v>
      </c>
      <c r="E1907" s="8"/>
      <c r="F1907" s="11">
        <v>202.0</v>
      </c>
      <c r="G1907" s="11">
        <v>0.366</v>
      </c>
      <c r="H1907" s="11">
        <v>1.145</v>
      </c>
      <c r="I1907" s="9" t="s">
        <v>70</v>
      </c>
    </row>
    <row r="1908">
      <c r="A1908" s="12" t="s">
        <v>107</v>
      </c>
      <c r="B1908" s="5" t="s">
        <v>75</v>
      </c>
      <c r="C1908" s="11">
        <v>0.304</v>
      </c>
      <c r="D1908" s="11">
        <v>18.0</v>
      </c>
      <c r="E1908" s="8"/>
      <c r="F1908" s="11">
        <v>616.0</v>
      </c>
      <c r="G1908" s="11">
        <v>0.45</v>
      </c>
      <c r="H1908" s="11">
        <v>1.404</v>
      </c>
      <c r="I1908" s="9" t="s">
        <v>70</v>
      </c>
    </row>
    <row r="1909">
      <c r="A1909" s="12" t="s">
        <v>243</v>
      </c>
      <c r="B1909" s="5" t="s">
        <v>75</v>
      </c>
      <c r="C1909" s="11">
        <v>0.475</v>
      </c>
      <c r="D1909" s="11">
        <v>18.0</v>
      </c>
      <c r="E1909" s="8"/>
      <c r="F1909" s="11">
        <v>257.0</v>
      </c>
      <c r="G1909" s="11">
        <v>0.7</v>
      </c>
      <c r="H1909" s="11">
        <v>1.013</v>
      </c>
      <c r="I1909" s="9" t="s">
        <v>70</v>
      </c>
    </row>
    <row r="1910">
      <c r="A1910" s="12" t="s">
        <v>217</v>
      </c>
      <c r="B1910" s="5" t="s">
        <v>75</v>
      </c>
      <c r="C1910" s="11">
        <v>0.146</v>
      </c>
      <c r="D1910" s="11">
        <v>4.0</v>
      </c>
      <c r="E1910" s="8"/>
      <c r="F1910" s="11">
        <v>150.0</v>
      </c>
      <c r="G1910" s="11">
        <v>0.518</v>
      </c>
      <c r="H1910" s="11">
        <v>0.925</v>
      </c>
      <c r="I1910" s="9" t="s">
        <v>70</v>
      </c>
    </row>
    <row r="1911">
      <c r="A1911" s="12" t="s">
        <v>226</v>
      </c>
      <c r="B1911" s="5" t="s">
        <v>75</v>
      </c>
      <c r="C1911" s="11">
        <v>0.422</v>
      </c>
      <c r="D1911" s="11">
        <v>32.0</v>
      </c>
      <c r="E1911" s="8"/>
      <c r="F1911" s="11">
        <v>395.0</v>
      </c>
      <c r="G1911" s="11">
        <v>0.59</v>
      </c>
      <c r="H1911" s="11">
        <v>1.173</v>
      </c>
      <c r="I1911" s="9" t="s">
        <v>70</v>
      </c>
    </row>
    <row r="1912">
      <c r="A1912" s="12" t="s">
        <v>128</v>
      </c>
      <c r="B1912" s="5" t="s">
        <v>75</v>
      </c>
      <c r="C1912" s="11">
        <v>0.464</v>
      </c>
      <c r="D1912" s="11">
        <v>20.0</v>
      </c>
      <c r="E1912" s="8"/>
      <c r="F1912" s="11">
        <v>613.0</v>
      </c>
      <c r="G1912" s="11">
        <v>0.644</v>
      </c>
      <c r="H1912" s="11">
        <v>1.246</v>
      </c>
      <c r="I1912" s="9" t="s">
        <v>70</v>
      </c>
    </row>
    <row r="1913">
      <c r="A1913" s="12" t="s">
        <v>244</v>
      </c>
      <c r="B1913" s="5" t="s">
        <v>75</v>
      </c>
      <c r="C1913" s="11">
        <v>0.367</v>
      </c>
      <c r="D1913" s="11">
        <v>6.0</v>
      </c>
      <c r="E1913" s="8"/>
      <c r="F1913" s="11">
        <v>260.0</v>
      </c>
      <c r="G1913" s="11">
        <v>0.64</v>
      </c>
      <c r="H1913" s="11">
        <v>1.027</v>
      </c>
      <c r="I1913" s="9" t="s">
        <v>70</v>
      </c>
    </row>
    <row r="1914">
      <c r="A1914" s="12" t="s">
        <v>129</v>
      </c>
      <c r="B1914" s="5" t="s">
        <v>75</v>
      </c>
      <c r="C1914" s="11">
        <v>0.282</v>
      </c>
      <c r="D1914" s="11">
        <v>6.0</v>
      </c>
      <c r="E1914" s="8"/>
      <c r="F1914" s="11">
        <v>135.0</v>
      </c>
      <c r="G1914" s="11">
        <v>0.868</v>
      </c>
      <c r="H1914" s="11">
        <v>1.237</v>
      </c>
      <c r="I1914" s="9" t="s">
        <v>70</v>
      </c>
    </row>
    <row r="1915">
      <c r="A1915" s="12" t="s">
        <v>142</v>
      </c>
      <c r="B1915" s="5" t="s">
        <v>75</v>
      </c>
      <c r="C1915" s="11">
        <v>0.477</v>
      </c>
      <c r="D1915" s="11">
        <v>14.0</v>
      </c>
      <c r="E1915" s="8"/>
      <c r="F1915" s="11">
        <v>243.0</v>
      </c>
      <c r="G1915" s="11">
        <v>0.825</v>
      </c>
      <c r="H1915" s="11">
        <v>1.441</v>
      </c>
      <c r="I1915" s="9" t="s">
        <v>70</v>
      </c>
    </row>
    <row r="1916">
      <c r="A1916" s="12" t="s">
        <v>150</v>
      </c>
      <c r="B1916" s="5" t="s">
        <v>75</v>
      </c>
      <c r="C1916" s="11">
        <v>0.467</v>
      </c>
      <c r="D1916" s="11">
        <v>19.0</v>
      </c>
      <c r="E1916" s="8"/>
      <c r="F1916" s="11">
        <v>224.0</v>
      </c>
      <c r="G1916" s="11">
        <v>0.424</v>
      </c>
      <c r="H1916" s="11">
        <v>1.198</v>
      </c>
      <c r="I1916" s="9" t="s">
        <v>70</v>
      </c>
    </row>
    <row r="1917">
      <c r="A1917" s="12" t="s">
        <v>188</v>
      </c>
      <c r="B1917" s="5" t="s">
        <v>75</v>
      </c>
      <c r="C1917" s="11">
        <v>0.2</v>
      </c>
      <c r="D1917" s="11">
        <v>24.0</v>
      </c>
      <c r="E1917" s="8"/>
      <c r="F1917" s="11">
        <v>59.0</v>
      </c>
      <c r="G1917" s="11">
        <v>0.873</v>
      </c>
      <c r="H1917" s="11">
        <v>1.445</v>
      </c>
      <c r="I1917" s="9" t="s">
        <v>70</v>
      </c>
    </row>
    <row r="1918">
      <c r="A1918" s="12" t="s">
        <v>210</v>
      </c>
      <c r="B1918" s="5" t="s">
        <v>75</v>
      </c>
      <c r="C1918" s="11">
        <v>0.385</v>
      </c>
      <c r="D1918" s="11">
        <v>8.0</v>
      </c>
      <c r="E1918" s="8"/>
      <c r="F1918" s="11">
        <v>164.0</v>
      </c>
      <c r="G1918" s="11">
        <v>0.896</v>
      </c>
      <c r="H1918" s="11">
        <v>1.217</v>
      </c>
      <c r="I1918" s="9" t="s">
        <v>70</v>
      </c>
    </row>
    <row r="1919">
      <c r="A1919" s="12" t="s">
        <v>250</v>
      </c>
      <c r="B1919" s="5" t="s">
        <v>75</v>
      </c>
      <c r="C1919" s="11">
        <v>0.571</v>
      </c>
      <c r="D1919" s="11">
        <v>47.0</v>
      </c>
      <c r="E1919" s="8"/>
      <c r="F1919" s="11">
        <v>213.0</v>
      </c>
      <c r="G1919" s="11">
        <v>0.624</v>
      </c>
      <c r="H1919" s="11">
        <v>1.116</v>
      </c>
      <c r="I1919" s="9" t="s">
        <v>70</v>
      </c>
    </row>
    <row r="1920">
      <c r="A1920" s="12" t="s">
        <v>186</v>
      </c>
      <c r="B1920" s="5" t="s">
        <v>75</v>
      </c>
      <c r="C1920" s="8"/>
      <c r="D1920" s="8"/>
      <c r="E1920" s="8"/>
      <c r="F1920" s="8"/>
      <c r="G1920" s="11">
        <v>0.75</v>
      </c>
      <c r="H1920" s="11">
        <v>0.976</v>
      </c>
      <c r="I1920" s="9" t="s">
        <v>70</v>
      </c>
    </row>
    <row r="1921">
      <c r="A1921" s="12" t="s">
        <v>234</v>
      </c>
      <c r="B1921" s="5" t="s">
        <v>75</v>
      </c>
      <c r="C1921" s="8"/>
      <c r="D1921" s="8"/>
      <c r="E1921" s="8"/>
      <c r="F1921" s="8"/>
      <c r="G1921" s="11">
        <v>0.542</v>
      </c>
      <c r="H1921" s="11">
        <v>0.976</v>
      </c>
      <c r="I1921" s="9" t="s">
        <v>70</v>
      </c>
    </row>
    <row r="1922">
      <c r="A1922" s="12" t="s">
        <v>231</v>
      </c>
      <c r="B1922" s="5" t="s">
        <v>75</v>
      </c>
      <c r="C1922" s="11">
        <v>0.483</v>
      </c>
      <c r="D1922" s="11">
        <v>29.0</v>
      </c>
      <c r="E1922" s="8"/>
      <c r="F1922" s="11">
        <v>320.0</v>
      </c>
      <c r="G1922" s="11">
        <v>0.29</v>
      </c>
      <c r="H1922" s="11">
        <v>1.601</v>
      </c>
      <c r="I1922" s="9" t="s">
        <v>70</v>
      </c>
    </row>
    <row r="1923">
      <c r="A1923" s="12" t="s">
        <v>201</v>
      </c>
      <c r="B1923" s="5" t="s">
        <v>75</v>
      </c>
      <c r="C1923" s="11">
        <v>0.31</v>
      </c>
      <c r="D1923" s="11">
        <v>10.0</v>
      </c>
      <c r="E1923" s="8"/>
      <c r="F1923" s="11">
        <v>228.0</v>
      </c>
      <c r="G1923" s="11">
        <v>0.275</v>
      </c>
      <c r="H1923" s="11">
        <v>0.593</v>
      </c>
      <c r="I1923" s="9" t="s">
        <v>70</v>
      </c>
    </row>
    <row r="1924">
      <c r="A1924" s="12" t="s">
        <v>187</v>
      </c>
      <c r="B1924" s="5" t="s">
        <v>75</v>
      </c>
      <c r="C1924" s="11">
        <v>0.436</v>
      </c>
      <c r="D1924" s="11">
        <v>26.0</v>
      </c>
      <c r="E1924" s="8"/>
      <c r="F1924" s="11">
        <v>166.0</v>
      </c>
      <c r="G1924" s="11">
        <v>0.598</v>
      </c>
      <c r="H1924" s="11">
        <v>1.599</v>
      </c>
      <c r="I1924" s="9" t="s">
        <v>70</v>
      </c>
    </row>
    <row r="1925">
      <c r="A1925" s="12" t="s">
        <v>138</v>
      </c>
      <c r="B1925" s="5" t="s">
        <v>75</v>
      </c>
      <c r="C1925" s="11">
        <v>0.481</v>
      </c>
      <c r="D1925" s="11">
        <v>7.0</v>
      </c>
      <c r="E1925" s="8"/>
      <c r="F1925" s="11">
        <v>81.0</v>
      </c>
      <c r="G1925" s="11">
        <v>0.725</v>
      </c>
      <c r="H1925" s="11">
        <v>1.205</v>
      </c>
      <c r="I1925" s="9" t="s">
        <v>70</v>
      </c>
    </row>
    <row r="1926">
      <c r="A1926" s="12" t="s">
        <v>204</v>
      </c>
      <c r="B1926" s="5" t="s">
        <v>75</v>
      </c>
      <c r="C1926" s="11">
        <v>0.263</v>
      </c>
      <c r="D1926" s="11">
        <v>12.0</v>
      </c>
      <c r="E1926" s="8"/>
      <c r="F1926" s="11">
        <v>372.0</v>
      </c>
      <c r="G1926" s="11">
        <v>0.351</v>
      </c>
      <c r="H1926" s="11">
        <v>2.089</v>
      </c>
      <c r="I1926" s="9" t="s">
        <v>70</v>
      </c>
    </row>
    <row r="1927">
      <c r="A1927" s="12" t="s">
        <v>127</v>
      </c>
      <c r="B1927" s="5" t="s">
        <v>75</v>
      </c>
      <c r="C1927" s="11">
        <v>0.206</v>
      </c>
      <c r="D1927" s="11">
        <v>8.0</v>
      </c>
      <c r="E1927" s="8"/>
      <c r="F1927" s="11">
        <v>149.0</v>
      </c>
      <c r="G1927" s="11">
        <v>0.498</v>
      </c>
      <c r="H1927" s="11">
        <v>0.896</v>
      </c>
      <c r="I1927" s="9" t="s">
        <v>70</v>
      </c>
    </row>
    <row r="1928">
      <c r="A1928" s="12" t="s">
        <v>97</v>
      </c>
      <c r="B1928" s="5" t="s">
        <v>75</v>
      </c>
      <c r="C1928" s="11">
        <v>0.545</v>
      </c>
      <c r="D1928" s="11">
        <v>4.0</v>
      </c>
      <c r="E1928" s="8"/>
      <c r="F1928" s="11">
        <v>156.0</v>
      </c>
      <c r="G1928" s="11">
        <v>0.7</v>
      </c>
      <c r="H1928" s="11">
        <v>1.084</v>
      </c>
      <c r="I1928" s="9" t="s">
        <v>70</v>
      </c>
    </row>
    <row r="1929">
      <c r="A1929" s="12" t="s">
        <v>259</v>
      </c>
      <c r="B1929" s="5" t="s">
        <v>75</v>
      </c>
      <c r="C1929" s="11">
        <v>0.539</v>
      </c>
      <c r="D1929" s="11">
        <v>16.0</v>
      </c>
      <c r="E1929" s="8"/>
      <c r="F1929" s="11">
        <v>122.0</v>
      </c>
      <c r="G1929" s="11">
        <v>0.91</v>
      </c>
      <c r="H1929" s="11">
        <v>1.121</v>
      </c>
      <c r="I1929" s="9" t="s">
        <v>70</v>
      </c>
    </row>
    <row r="1930">
      <c r="A1930" s="12" t="s">
        <v>74</v>
      </c>
      <c r="B1930" s="5" t="s">
        <v>75</v>
      </c>
      <c r="C1930" s="11">
        <v>0.37</v>
      </c>
      <c r="D1930" s="11">
        <v>6.0</v>
      </c>
      <c r="E1930" s="8"/>
      <c r="F1930" s="11">
        <v>368.0</v>
      </c>
      <c r="G1930" s="11">
        <v>0.412</v>
      </c>
      <c r="H1930" s="11">
        <v>0.782</v>
      </c>
      <c r="I1930" s="9" t="s">
        <v>70</v>
      </c>
    </row>
    <row r="1931">
      <c r="A1931" s="12" t="s">
        <v>276</v>
      </c>
      <c r="B1931" s="5" t="s">
        <v>75</v>
      </c>
      <c r="C1931" s="11">
        <v>0.349</v>
      </c>
      <c r="D1931" s="11">
        <v>12.0</v>
      </c>
      <c r="E1931" s="8"/>
      <c r="F1931" s="11">
        <v>110.0</v>
      </c>
      <c r="G1931" s="11">
        <v>0.836</v>
      </c>
      <c r="H1931" s="11">
        <v>1.24</v>
      </c>
      <c r="I1931" s="9" t="s">
        <v>70</v>
      </c>
    </row>
    <row r="1932">
      <c r="A1932" s="12" t="s">
        <v>143</v>
      </c>
      <c r="B1932" s="5" t="s">
        <v>75</v>
      </c>
      <c r="C1932" s="11">
        <v>0.648</v>
      </c>
      <c r="D1932" s="11">
        <v>7.0</v>
      </c>
      <c r="E1932" s="8"/>
      <c r="F1932" s="11">
        <v>132.0</v>
      </c>
      <c r="G1932" s="11">
        <v>0.716</v>
      </c>
      <c r="H1932" s="11">
        <v>0.921</v>
      </c>
      <c r="I1932" s="9" t="s">
        <v>70</v>
      </c>
    </row>
    <row r="1933">
      <c r="A1933" s="12" t="s">
        <v>218</v>
      </c>
      <c r="B1933" s="5" t="s">
        <v>75</v>
      </c>
      <c r="C1933" s="11">
        <v>0.407</v>
      </c>
      <c r="D1933" s="11">
        <v>7.0</v>
      </c>
      <c r="E1933" s="8"/>
      <c r="F1933" s="11">
        <v>87.0</v>
      </c>
      <c r="G1933" s="11">
        <v>0.921</v>
      </c>
      <c r="H1933" s="11">
        <v>1.107</v>
      </c>
      <c r="I1933" s="9" t="s">
        <v>70</v>
      </c>
    </row>
    <row r="1934">
      <c r="A1934" s="12" t="s">
        <v>162</v>
      </c>
      <c r="B1934" s="5" t="s">
        <v>75</v>
      </c>
      <c r="C1934" s="11">
        <v>0.243</v>
      </c>
      <c r="D1934" s="11">
        <v>5.0</v>
      </c>
      <c r="E1934" s="8"/>
      <c r="F1934" s="11">
        <v>140.0</v>
      </c>
      <c r="G1934" s="11">
        <v>0.93</v>
      </c>
      <c r="H1934" s="11">
        <v>1.083</v>
      </c>
      <c r="I1934" s="9" t="s">
        <v>70</v>
      </c>
    </row>
    <row r="1935">
      <c r="A1935" s="12" t="s">
        <v>167</v>
      </c>
      <c r="B1935" s="5" t="s">
        <v>75</v>
      </c>
      <c r="C1935" s="11">
        <v>0.255</v>
      </c>
      <c r="D1935" s="11">
        <v>13.0</v>
      </c>
      <c r="E1935" s="8"/>
      <c r="F1935" s="11">
        <v>76.0</v>
      </c>
      <c r="G1935" s="11">
        <v>0.674</v>
      </c>
      <c r="H1935" s="11">
        <v>1.067</v>
      </c>
      <c r="I1935" s="9" t="s">
        <v>70</v>
      </c>
    </row>
    <row r="1936">
      <c r="A1936" s="12" t="s">
        <v>270</v>
      </c>
      <c r="B1936" s="5" t="s">
        <v>75</v>
      </c>
      <c r="C1936" s="11">
        <v>0.433</v>
      </c>
      <c r="D1936" s="11">
        <v>6.0</v>
      </c>
      <c r="E1936" s="8"/>
      <c r="F1936" s="11">
        <v>223.0</v>
      </c>
      <c r="G1936" s="11">
        <v>0.364</v>
      </c>
      <c r="H1936" s="11">
        <v>0.881</v>
      </c>
      <c r="I1936" s="9" t="s">
        <v>70</v>
      </c>
    </row>
    <row r="1937">
      <c r="A1937" s="12" t="s">
        <v>177</v>
      </c>
      <c r="B1937" s="5" t="s">
        <v>75</v>
      </c>
      <c r="C1937" s="11">
        <v>0.283</v>
      </c>
      <c r="D1937" s="11">
        <v>52.0</v>
      </c>
      <c r="E1937" s="8"/>
      <c r="F1937" s="11">
        <v>163.0</v>
      </c>
      <c r="G1937" s="8"/>
      <c r="H1937" s="8"/>
      <c r="I1937" s="9" t="s">
        <v>70</v>
      </c>
    </row>
    <row r="1938">
      <c r="A1938" s="12" t="s">
        <v>168</v>
      </c>
      <c r="B1938" s="5" t="s">
        <v>75</v>
      </c>
      <c r="C1938" s="8"/>
      <c r="D1938" s="8"/>
      <c r="E1938" s="8"/>
      <c r="F1938" s="8"/>
      <c r="G1938" s="8"/>
      <c r="H1938" s="8"/>
      <c r="I1938" s="9" t="s">
        <v>71</v>
      </c>
    </row>
    <row r="1939">
      <c r="A1939" s="12" t="s">
        <v>202</v>
      </c>
      <c r="B1939" s="5" t="s">
        <v>75</v>
      </c>
      <c r="C1939" s="8"/>
      <c r="D1939" s="8"/>
      <c r="E1939" s="8"/>
      <c r="F1939" s="8"/>
      <c r="G1939" s="11">
        <v>0.75</v>
      </c>
      <c r="H1939" s="11">
        <v>0.635</v>
      </c>
      <c r="I1939" s="9" t="s">
        <v>71</v>
      </c>
    </row>
    <row r="1940">
      <c r="A1940" s="12" t="s">
        <v>140</v>
      </c>
      <c r="B1940" s="5" t="s">
        <v>75</v>
      </c>
      <c r="C1940" s="8"/>
      <c r="D1940" s="8"/>
      <c r="E1940" s="8"/>
      <c r="F1940" s="8"/>
      <c r="G1940" s="11">
        <v>0.752</v>
      </c>
      <c r="H1940" s="11">
        <v>1.199</v>
      </c>
      <c r="I1940" s="9" t="s">
        <v>71</v>
      </c>
    </row>
    <row r="1941">
      <c r="A1941" s="12" t="s">
        <v>148</v>
      </c>
      <c r="B1941" s="5" t="s">
        <v>75</v>
      </c>
      <c r="C1941" s="11">
        <v>0.47</v>
      </c>
      <c r="D1941" s="11">
        <v>15.0</v>
      </c>
      <c r="E1941" s="8"/>
      <c r="F1941" s="11">
        <v>215.0</v>
      </c>
      <c r="G1941" s="11">
        <v>0.82</v>
      </c>
      <c r="H1941" s="11">
        <v>1.065</v>
      </c>
      <c r="I1941" s="9" t="s">
        <v>71</v>
      </c>
    </row>
    <row r="1942">
      <c r="A1942" s="12" t="s">
        <v>181</v>
      </c>
      <c r="B1942" s="5" t="s">
        <v>75</v>
      </c>
      <c r="C1942" s="11">
        <v>0.376</v>
      </c>
      <c r="D1942" s="11">
        <v>16.0</v>
      </c>
      <c r="E1942" s="8"/>
      <c r="F1942" s="11">
        <v>293.0</v>
      </c>
      <c r="G1942" s="11">
        <v>0.684</v>
      </c>
      <c r="H1942" s="11">
        <v>1.103</v>
      </c>
      <c r="I1942" s="9" t="s">
        <v>71</v>
      </c>
    </row>
    <row r="1943">
      <c r="A1943" s="12" t="s">
        <v>238</v>
      </c>
      <c r="B1943" s="5" t="s">
        <v>75</v>
      </c>
      <c r="C1943" s="11">
        <v>0.34</v>
      </c>
      <c r="D1943" s="11">
        <v>13.0</v>
      </c>
      <c r="E1943" s="8"/>
      <c r="F1943" s="11">
        <v>279.0</v>
      </c>
      <c r="G1943" s="11">
        <v>0.409</v>
      </c>
      <c r="H1943" s="11">
        <v>1.253</v>
      </c>
      <c r="I1943" s="9" t="s">
        <v>71</v>
      </c>
    </row>
    <row r="1944">
      <c r="A1944" s="12" t="s">
        <v>161</v>
      </c>
      <c r="B1944" s="5" t="s">
        <v>75</v>
      </c>
      <c r="C1944" s="11">
        <v>0.546</v>
      </c>
      <c r="D1944" s="11">
        <v>4.0</v>
      </c>
      <c r="E1944" s="8"/>
      <c r="F1944" s="11">
        <v>277.0</v>
      </c>
      <c r="G1944" s="11">
        <v>0.65</v>
      </c>
      <c r="H1944" s="11">
        <v>1.199</v>
      </c>
      <c r="I1944" s="9" t="s">
        <v>71</v>
      </c>
    </row>
    <row r="1945">
      <c r="A1945" s="12" t="s">
        <v>103</v>
      </c>
      <c r="B1945" s="5" t="s">
        <v>75</v>
      </c>
      <c r="C1945" s="11">
        <v>0.222</v>
      </c>
      <c r="D1945" s="11">
        <v>64.0</v>
      </c>
      <c r="E1945" s="8"/>
      <c r="F1945" s="11">
        <v>422.0</v>
      </c>
      <c r="G1945" s="11">
        <v>0.52</v>
      </c>
      <c r="H1945" s="11">
        <v>0.809</v>
      </c>
      <c r="I1945" s="9" t="s">
        <v>71</v>
      </c>
    </row>
    <row r="1946">
      <c r="A1946" s="12" t="s">
        <v>89</v>
      </c>
      <c r="B1946" s="5" t="s">
        <v>75</v>
      </c>
      <c r="C1946" s="11">
        <v>0.532</v>
      </c>
      <c r="D1946" s="11">
        <v>25.0</v>
      </c>
      <c r="E1946" s="8"/>
      <c r="F1946" s="11">
        <v>170.0</v>
      </c>
      <c r="G1946" s="11">
        <v>0.752</v>
      </c>
      <c r="H1946" s="11">
        <v>1.457</v>
      </c>
      <c r="I1946" s="9" t="s">
        <v>71</v>
      </c>
    </row>
    <row r="1947">
      <c r="A1947" s="12" t="s">
        <v>195</v>
      </c>
      <c r="B1947" s="5" t="s">
        <v>75</v>
      </c>
      <c r="C1947" s="8"/>
      <c r="D1947" s="8"/>
      <c r="E1947" s="8"/>
      <c r="F1947" s="8"/>
      <c r="G1947" s="11">
        <v>0.63</v>
      </c>
      <c r="H1947" s="11">
        <v>1.073</v>
      </c>
      <c r="I1947" s="9" t="s">
        <v>71</v>
      </c>
    </row>
    <row r="1948">
      <c r="A1948" s="12" t="s">
        <v>186</v>
      </c>
      <c r="B1948" s="5" t="s">
        <v>75</v>
      </c>
      <c r="C1948" s="8"/>
      <c r="D1948" s="8"/>
      <c r="E1948" s="8"/>
      <c r="F1948" s="8"/>
      <c r="G1948" s="11">
        <v>0.8</v>
      </c>
      <c r="H1948" s="11">
        <v>0.983</v>
      </c>
      <c r="I1948" s="9" t="s">
        <v>71</v>
      </c>
    </row>
    <row r="1949">
      <c r="A1949" s="12" t="s">
        <v>170</v>
      </c>
      <c r="B1949" s="5" t="s">
        <v>75</v>
      </c>
      <c r="C1949" s="11">
        <v>0.677</v>
      </c>
      <c r="D1949" s="11">
        <v>6.0</v>
      </c>
      <c r="E1949" s="8"/>
      <c r="F1949" s="11">
        <v>285.0</v>
      </c>
      <c r="G1949" s="11">
        <v>0.537</v>
      </c>
      <c r="H1949" s="11">
        <v>1.548</v>
      </c>
      <c r="I1949" s="9" t="s">
        <v>71</v>
      </c>
    </row>
    <row r="1950">
      <c r="A1950" s="12" t="s">
        <v>81</v>
      </c>
      <c r="B1950" s="5" t="s">
        <v>75</v>
      </c>
      <c r="C1950" s="8"/>
      <c r="D1950" s="8"/>
      <c r="E1950" s="8"/>
      <c r="F1950" s="8"/>
      <c r="G1950" s="11">
        <v>0.81</v>
      </c>
      <c r="H1950" s="11">
        <v>0.841</v>
      </c>
      <c r="I1950" s="9" t="s">
        <v>71</v>
      </c>
    </row>
    <row r="1951">
      <c r="A1951" s="12" t="s">
        <v>107</v>
      </c>
      <c r="B1951" s="5" t="s">
        <v>75</v>
      </c>
      <c r="C1951" s="11">
        <v>0.28</v>
      </c>
      <c r="D1951" s="11">
        <v>18.0</v>
      </c>
      <c r="E1951" s="8"/>
      <c r="F1951" s="11">
        <v>616.0</v>
      </c>
      <c r="G1951" s="11">
        <v>0.462</v>
      </c>
      <c r="H1951" s="11">
        <v>1.38</v>
      </c>
      <c r="I1951" s="9" t="s">
        <v>71</v>
      </c>
    </row>
    <row r="1952">
      <c r="A1952" s="12" t="s">
        <v>124</v>
      </c>
      <c r="B1952" s="5" t="s">
        <v>75</v>
      </c>
      <c r="C1952" s="11">
        <v>0.221</v>
      </c>
      <c r="D1952" s="11">
        <v>9.0</v>
      </c>
      <c r="E1952" s="8"/>
      <c r="F1952" s="11">
        <v>196.0</v>
      </c>
      <c r="G1952" s="11">
        <v>0.566</v>
      </c>
      <c r="H1952" s="11">
        <v>1.136</v>
      </c>
      <c r="I1952" s="9" t="s">
        <v>71</v>
      </c>
    </row>
    <row r="1953">
      <c r="A1953" s="12" t="s">
        <v>227</v>
      </c>
      <c r="B1953" s="5" t="s">
        <v>75</v>
      </c>
      <c r="C1953" s="11">
        <v>0.426</v>
      </c>
      <c r="D1953" s="11">
        <v>5.0</v>
      </c>
      <c r="E1953" s="8"/>
      <c r="F1953" s="11">
        <v>298.0</v>
      </c>
      <c r="G1953" s="11">
        <v>0.533</v>
      </c>
      <c r="H1953" s="11">
        <v>1.153</v>
      </c>
      <c r="I1953" s="9" t="s">
        <v>71</v>
      </c>
    </row>
    <row r="1954">
      <c r="A1954" s="12" t="s">
        <v>150</v>
      </c>
      <c r="B1954" s="5" t="s">
        <v>75</v>
      </c>
      <c r="C1954" s="11">
        <v>0.467</v>
      </c>
      <c r="D1954" s="11">
        <v>19.0</v>
      </c>
      <c r="E1954" s="8"/>
      <c r="F1954" s="11">
        <v>224.0</v>
      </c>
      <c r="G1954" s="11">
        <v>0.444</v>
      </c>
      <c r="H1954" s="11">
        <v>1.106</v>
      </c>
      <c r="I1954" s="9" t="s">
        <v>71</v>
      </c>
    </row>
    <row r="1955">
      <c r="A1955" s="12" t="s">
        <v>250</v>
      </c>
      <c r="B1955" s="5" t="s">
        <v>75</v>
      </c>
      <c r="C1955" s="11">
        <v>0.568</v>
      </c>
      <c r="D1955" s="11">
        <v>47.0</v>
      </c>
      <c r="E1955" s="8"/>
      <c r="F1955" s="11">
        <v>197.0</v>
      </c>
      <c r="G1955" s="11">
        <v>0.658</v>
      </c>
      <c r="H1955" s="11">
        <v>1.113</v>
      </c>
      <c r="I1955" s="9" t="s">
        <v>71</v>
      </c>
    </row>
    <row r="1956">
      <c r="A1956" s="12" t="s">
        <v>260</v>
      </c>
      <c r="B1956" s="5" t="s">
        <v>75</v>
      </c>
      <c r="C1956" s="11">
        <v>0.288</v>
      </c>
      <c r="D1956" s="11">
        <v>18.0</v>
      </c>
      <c r="E1956" s="8"/>
      <c r="F1956" s="11">
        <v>63.0</v>
      </c>
      <c r="G1956" s="11">
        <v>0.839</v>
      </c>
      <c r="H1956" s="11">
        <v>1.232</v>
      </c>
      <c r="I1956" s="9" t="s">
        <v>71</v>
      </c>
    </row>
    <row r="1957">
      <c r="A1957" s="12" t="s">
        <v>274</v>
      </c>
      <c r="B1957" s="5" t="s">
        <v>75</v>
      </c>
      <c r="C1957" s="11">
        <v>0.555</v>
      </c>
      <c r="D1957" s="11">
        <v>27.0</v>
      </c>
      <c r="E1957" s="8"/>
      <c r="F1957" s="11">
        <v>657.0</v>
      </c>
      <c r="G1957" s="11">
        <v>0.233</v>
      </c>
      <c r="H1957" s="11">
        <v>1.171</v>
      </c>
      <c r="I1957" s="9" t="s">
        <v>71</v>
      </c>
    </row>
    <row r="1958">
      <c r="A1958" s="12" t="s">
        <v>96</v>
      </c>
      <c r="B1958" s="5" t="s">
        <v>75</v>
      </c>
      <c r="C1958" s="11">
        <v>0.805</v>
      </c>
      <c r="D1958" s="11">
        <v>10.0</v>
      </c>
      <c r="E1958" s="8"/>
      <c r="F1958" s="11">
        <v>798.0</v>
      </c>
      <c r="G1958" s="11">
        <v>0.318</v>
      </c>
      <c r="H1958" s="11">
        <v>1.089</v>
      </c>
      <c r="I1958" s="9" t="s">
        <v>71</v>
      </c>
    </row>
    <row r="1959">
      <c r="A1959" s="12" t="s">
        <v>230</v>
      </c>
      <c r="B1959" s="5" t="s">
        <v>75</v>
      </c>
      <c r="C1959" s="11">
        <v>0.435</v>
      </c>
      <c r="D1959" s="11">
        <v>9.0</v>
      </c>
      <c r="E1959" s="8"/>
      <c r="F1959" s="11">
        <v>222.0</v>
      </c>
      <c r="G1959" s="11">
        <v>0.399</v>
      </c>
      <c r="H1959" s="11">
        <v>1.114</v>
      </c>
      <c r="I1959" s="9" t="s">
        <v>71</v>
      </c>
    </row>
    <row r="1960">
      <c r="A1960" s="12" t="s">
        <v>243</v>
      </c>
      <c r="B1960" s="5" t="s">
        <v>75</v>
      </c>
      <c r="C1960" s="11">
        <v>0.474</v>
      </c>
      <c r="D1960" s="11">
        <v>18.0</v>
      </c>
      <c r="E1960" s="8"/>
      <c r="F1960" s="11">
        <v>257.0</v>
      </c>
      <c r="G1960" s="11">
        <v>0.757</v>
      </c>
      <c r="H1960" s="11">
        <v>1.09</v>
      </c>
      <c r="I1960" s="9" t="s">
        <v>71</v>
      </c>
    </row>
    <row r="1961">
      <c r="A1961" s="12" t="s">
        <v>226</v>
      </c>
      <c r="B1961" s="5" t="s">
        <v>75</v>
      </c>
      <c r="C1961" s="11">
        <v>0.401</v>
      </c>
      <c r="D1961" s="11">
        <v>32.0</v>
      </c>
      <c r="E1961" s="8"/>
      <c r="F1961" s="11">
        <v>325.0</v>
      </c>
      <c r="G1961" s="11">
        <v>0.623</v>
      </c>
      <c r="H1961" s="11">
        <v>1.229</v>
      </c>
      <c r="I1961" s="9" t="s">
        <v>71</v>
      </c>
    </row>
    <row r="1962">
      <c r="A1962" s="12" t="s">
        <v>217</v>
      </c>
      <c r="B1962" s="5" t="s">
        <v>75</v>
      </c>
      <c r="C1962" s="11">
        <v>0.083</v>
      </c>
      <c r="D1962" s="11">
        <v>3.0</v>
      </c>
      <c r="E1962" s="8"/>
      <c r="F1962" s="11">
        <v>119.0</v>
      </c>
      <c r="G1962" s="11">
        <v>0.519</v>
      </c>
      <c r="H1962" s="11">
        <v>1.024</v>
      </c>
      <c r="I1962" s="9" t="s">
        <v>71</v>
      </c>
    </row>
    <row r="1963">
      <c r="A1963" s="12" t="s">
        <v>128</v>
      </c>
      <c r="B1963" s="5" t="s">
        <v>75</v>
      </c>
      <c r="C1963" s="11">
        <v>0.48</v>
      </c>
      <c r="D1963" s="11">
        <v>20.0</v>
      </c>
      <c r="E1963" s="8"/>
      <c r="F1963" s="11">
        <v>557.0</v>
      </c>
      <c r="G1963" s="11">
        <v>0.688</v>
      </c>
      <c r="H1963" s="11">
        <v>1.226</v>
      </c>
      <c r="I1963" s="9" t="s">
        <v>71</v>
      </c>
    </row>
    <row r="1964">
      <c r="A1964" s="12" t="s">
        <v>244</v>
      </c>
      <c r="B1964" s="5" t="s">
        <v>75</v>
      </c>
      <c r="C1964" s="11">
        <v>0.346</v>
      </c>
      <c r="D1964" s="11">
        <v>6.0</v>
      </c>
      <c r="E1964" s="8"/>
      <c r="F1964" s="11">
        <v>260.0</v>
      </c>
      <c r="G1964" s="11">
        <v>0.7</v>
      </c>
      <c r="H1964" s="11">
        <v>1.033</v>
      </c>
      <c r="I1964" s="9" t="s">
        <v>71</v>
      </c>
    </row>
    <row r="1965">
      <c r="A1965" s="12" t="s">
        <v>129</v>
      </c>
      <c r="B1965" s="5" t="s">
        <v>75</v>
      </c>
      <c r="C1965" s="11">
        <v>0.281</v>
      </c>
      <c r="D1965" s="11">
        <v>6.0</v>
      </c>
      <c r="E1965" s="8"/>
      <c r="F1965" s="11">
        <v>135.0</v>
      </c>
      <c r="G1965" s="11">
        <v>0.887</v>
      </c>
      <c r="H1965" s="11">
        <v>1.157</v>
      </c>
      <c r="I1965" s="9" t="s">
        <v>71</v>
      </c>
    </row>
    <row r="1966">
      <c r="A1966" s="12" t="s">
        <v>142</v>
      </c>
      <c r="B1966" s="5" t="s">
        <v>75</v>
      </c>
      <c r="C1966" s="11">
        <v>0.408</v>
      </c>
      <c r="D1966" s="11">
        <v>14.0</v>
      </c>
      <c r="E1966" s="8"/>
      <c r="F1966" s="11">
        <v>243.0</v>
      </c>
      <c r="G1966" s="11">
        <v>0.869</v>
      </c>
      <c r="H1966" s="11">
        <v>1.563</v>
      </c>
      <c r="I1966" s="9" t="s">
        <v>71</v>
      </c>
    </row>
    <row r="1967">
      <c r="A1967" s="12" t="s">
        <v>210</v>
      </c>
      <c r="B1967" s="5" t="s">
        <v>75</v>
      </c>
      <c r="C1967" s="11">
        <v>0.394</v>
      </c>
      <c r="D1967" s="11">
        <v>8.0</v>
      </c>
      <c r="E1967" s="8"/>
      <c r="F1967" s="11">
        <v>134.0</v>
      </c>
      <c r="G1967" s="11">
        <v>0.907</v>
      </c>
      <c r="H1967" s="11">
        <v>1.154</v>
      </c>
      <c r="I1967" s="9" t="s">
        <v>71</v>
      </c>
    </row>
    <row r="1968">
      <c r="A1968" s="12" t="s">
        <v>234</v>
      </c>
      <c r="B1968" s="5" t="s">
        <v>75</v>
      </c>
      <c r="C1968" s="8"/>
      <c r="D1968" s="8"/>
      <c r="E1968" s="8"/>
      <c r="F1968" s="8"/>
      <c r="G1968" s="8"/>
      <c r="H1968" s="11">
        <v>0.991</v>
      </c>
      <c r="I1968" s="9" t="s">
        <v>71</v>
      </c>
    </row>
    <row r="1969">
      <c r="A1969" s="12" t="s">
        <v>201</v>
      </c>
      <c r="B1969" s="5" t="s">
        <v>75</v>
      </c>
      <c r="C1969" s="11">
        <v>0.304</v>
      </c>
      <c r="D1969" s="11">
        <v>10.0</v>
      </c>
      <c r="E1969" s="8"/>
      <c r="F1969" s="11">
        <v>228.0</v>
      </c>
      <c r="G1969" s="11">
        <v>0.323</v>
      </c>
      <c r="H1969" s="11">
        <v>0.714</v>
      </c>
      <c r="I1969" s="9" t="s">
        <v>71</v>
      </c>
    </row>
    <row r="1970">
      <c r="A1970" s="12" t="s">
        <v>187</v>
      </c>
      <c r="B1970" s="5" t="s">
        <v>75</v>
      </c>
      <c r="C1970" s="11">
        <v>0.451</v>
      </c>
      <c r="D1970" s="11">
        <v>22.0</v>
      </c>
      <c r="E1970" s="8"/>
      <c r="F1970" s="11">
        <v>175.0</v>
      </c>
      <c r="G1970" s="11">
        <v>0.621</v>
      </c>
      <c r="H1970" s="11">
        <v>1.594</v>
      </c>
      <c r="I1970" s="9" t="s">
        <v>71</v>
      </c>
    </row>
    <row r="1971">
      <c r="A1971" s="12" t="s">
        <v>138</v>
      </c>
      <c r="B1971" s="5" t="s">
        <v>75</v>
      </c>
      <c r="C1971" s="11">
        <v>0.486</v>
      </c>
      <c r="D1971" s="11">
        <v>7.0</v>
      </c>
      <c r="E1971" s="8"/>
      <c r="F1971" s="11">
        <v>81.0</v>
      </c>
      <c r="G1971" s="11">
        <v>0.741</v>
      </c>
      <c r="H1971" s="11">
        <v>1.273</v>
      </c>
      <c r="I1971" s="9" t="s">
        <v>71</v>
      </c>
    </row>
    <row r="1972">
      <c r="A1972" s="12" t="s">
        <v>204</v>
      </c>
      <c r="B1972" s="5" t="s">
        <v>75</v>
      </c>
      <c r="C1972" s="11">
        <v>0.254</v>
      </c>
      <c r="D1972" s="11">
        <v>10.0</v>
      </c>
      <c r="E1972" s="8"/>
      <c r="F1972" s="11">
        <v>372.0</v>
      </c>
      <c r="G1972" s="11">
        <v>0.375</v>
      </c>
      <c r="H1972" s="11">
        <v>1.887</v>
      </c>
      <c r="I1972" s="9" t="s">
        <v>71</v>
      </c>
    </row>
    <row r="1973">
      <c r="A1973" s="12" t="s">
        <v>127</v>
      </c>
      <c r="B1973" s="5" t="s">
        <v>75</v>
      </c>
      <c r="C1973" s="11">
        <v>0.223</v>
      </c>
      <c r="D1973" s="11">
        <v>8.0</v>
      </c>
      <c r="E1973" s="8"/>
      <c r="F1973" s="11">
        <v>149.0</v>
      </c>
      <c r="G1973" s="11">
        <v>0.53</v>
      </c>
      <c r="H1973" s="11">
        <v>0.937</v>
      </c>
      <c r="I1973" s="9" t="s">
        <v>71</v>
      </c>
    </row>
    <row r="1974">
      <c r="A1974" s="12" t="s">
        <v>97</v>
      </c>
      <c r="B1974" s="5" t="s">
        <v>75</v>
      </c>
      <c r="C1974" s="11">
        <v>0.567</v>
      </c>
      <c r="D1974" s="11">
        <v>4.0</v>
      </c>
      <c r="E1974" s="8"/>
      <c r="F1974" s="11">
        <v>156.0</v>
      </c>
      <c r="G1974" s="11">
        <v>0.75</v>
      </c>
      <c r="H1974" s="11">
        <v>1.111</v>
      </c>
      <c r="I1974" s="9" t="s">
        <v>71</v>
      </c>
    </row>
    <row r="1975">
      <c r="A1975" s="12" t="s">
        <v>188</v>
      </c>
      <c r="B1975" s="5" t="s">
        <v>75</v>
      </c>
      <c r="C1975" s="11">
        <v>0.2</v>
      </c>
      <c r="D1975" s="11">
        <v>19.0</v>
      </c>
      <c r="E1975" s="8"/>
      <c r="F1975" s="11">
        <v>59.0</v>
      </c>
      <c r="G1975" s="11">
        <v>0.906</v>
      </c>
      <c r="H1975" s="11">
        <v>1.431</v>
      </c>
      <c r="I1975" s="9" t="s">
        <v>71</v>
      </c>
    </row>
    <row r="1976">
      <c r="A1976" s="12" t="s">
        <v>259</v>
      </c>
      <c r="B1976" s="5" t="s">
        <v>75</v>
      </c>
      <c r="C1976" s="11">
        <v>0.52</v>
      </c>
      <c r="D1976" s="11">
        <v>16.0</v>
      </c>
      <c r="E1976" s="8"/>
      <c r="F1976" s="11">
        <v>122.0</v>
      </c>
      <c r="G1976" s="11">
        <v>0.9</v>
      </c>
      <c r="H1976" s="11">
        <v>1.172</v>
      </c>
      <c r="I1976" s="9" t="s">
        <v>71</v>
      </c>
    </row>
    <row r="1977">
      <c r="A1977" s="12" t="s">
        <v>231</v>
      </c>
      <c r="B1977" s="5" t="s">
        <v>75</v>
      </c>
      <c r="C1977" s="11">
        <v>0.465</v>
      </c>
      <c r="D1977" s="11">
        <v>29.0</v>
      </c>
      <c r="E1977" s="8"/>
      <c r="F1977" s="11">
        <v>320.0</v>
      </c>
      <c r="G1977" s="11">
        <v>0.43</v>
      </c>
      <c r="H1977" s="11">
        <v>1.655</v>
      </c>
      <c r="I1977" s="9" t="s">
        <v>71</v>
      </c>
    </row>
    <row r="1978">
      <c r="A1978" s="12" t="s">
        <v>74</v>
      </c>
      <c r="B1978" s="5" t="s">
        <v>75</v>
      </c>
      <c r="C1978" s="11">
        <v>0.331</v>
      </c>
      <c r="D1978" s="11">
        <v>6.0</v>
      </c>
      <c r="E1978" s="8"/>
      <c r="F1978" s="11">
        <v>360.0</v>
      </c>
      <c r="G1978" s="11">
        <v>0.45</v>
      </c>
      <c r="H1978" s="11">
        <v>0.855</v>
      </c>
      <c r="I1978" s="9" t="s">
        <v>71</v>
      </c>
    </row>
    <row r="1979">
      <c r="A1979" s="12" t="s">
        <v>143</v>
      </c>
      <c r="B1979" s="5" t="s">
        <v>75</v>
      </c>
      <c r="C1979" s="11">
        <v>0.648</v>
      </c>
      <c r="D1979" s="11">
        <v>7.0</v>
      </c>
      <c r="E1979" s="8"/>
      <c r="F1979" s="11">
        <v>132.0</v>
      </c>
      <c r="G1979" s="11">
        <v>0.773</v>
      </c>
      <c r="H1979" s="11">
        <v>0.914</v>
      </c>
      <c r="I1979" s="9" t="s">
        <v>71</v>
      </c>
    </row>
    <row r="1980">
      <c r="A1980" s="12" t="s">
        <v>276</v>
      </c>
      <c r="B1980" s="5" t="s">
        <v>75</v>
      </c>
      <c r="C1980" s="11">
        <v>0.361</v>
      </c>
      <c r="D1980" s="11">
        <v>12.0</v>
      </c>
      <c r="E1980" s="8"/>
      <c r="F1980" s="11">
        <v>110.0</v>
      </c>
      <c r="G1980" s="11">
        <v>0.85</v>
      </c>
      <c r="H1980" s="11">
        <v>1.236</v>
      </c>
      <c r="I1980" s="9" t="s">
        <v>71</v>
      </c>
    </row>
    <row r="1981">
      <c r="A1981" s="12" t="s">
        <v>218</v>
      </c>
      <c r="B1981" s="5" t="s">
        <v>75</v>
      </c>
      <c r="C1981" s="11">
        <v>0.407</v>
      </c>
      <c r="D1981" s="11">
        <v>7.0</v>
      </c>
      <c r="E1981" s="8"/>
      <c r="F1981" s="11">
        <v>87.0</v>
      </c>
      <c r="G1981" s="11">
        <v>0.934</v>
      </c>
      <c r="H1981" s="11">
        <v>1.145</v>
      </c>
      <c r="I1981" s="9" t="s">
        <v>71</v>
      </c>
    </row>
    <row r="1982">
      <c r="A1982" s="12" t="s">
        <v>162</v>
      </c>
      <c r="B1982" s="5" t="s">
        <v>75</v>
      </c>
      <c r="C1982" s="11">
        <v>0.261</v>
      </c>
      <c r="D1982" s="11">
        <v>5.0</v>
      </c>
      <c r="E1982" s="8"/>
      <c r="F1982" s="11">
        <v>140.0</v>
      </c>
      <c r="G1982" s="11">
        <v>0.934</v>
      </c>
      <c r="H1982" s="11">
        <v>1.072</v>
      </c>
      <c r="I1982" s="9" t="s">
        <v>71</v>
      </c>
    </row>
    <row r="1983">
      <c r="A1983" s="12" t="s">
        <v>167</v>
      </c>
      <c r="B1983" s="5" t="s">
        <v>75</v>
      </c>
      <c r="C1983" s="11">
        <v>0.253</v>
      </c>
      <c r="D1983" s="11">
        <v>13.0</v>
      </c>
      <c r="E1983" s="8"/>
      <c r="F1983" s="11">
        <v>76.0</v>
      </c>
      <c r="G1983" s="11">
        <v>0.699</v>
      </c>
      <c r="H1983" s="11">
        <v>1.052</v>
      </c>
      <c r="I1983" s="9" t="s">
        <v>71</v>
      </c>
    </row>
    <row r="1984">
      <c r="A1984" s="12" t="s">
        <v>270</v>
      </c>
      <c r="B1984" s="5" t="s">
        <v>75</v>
      </c>
      <c r="C1984" s="11">
        <v>0.433</v>
      </c>
      <c r="D1984" s="11">
        <v>6.0</v>
      </c>
      <c r="E1984" s="8"/>
      <c r="F1984" s="11">
        <v>226.0</v>
      </c>
      <c r="G1984" s="11">
        <v>0.398</v>
      </c>
      <c r="H1984" s="11">
        <v>0.856</v>
      </c>
      <c r="I1984" s="9" t="s">
        <v>71</v>
      </c>
    </row>
    <row r="1985">
      <c r="A1985" s="12" t="s">
        <v>177</v>
      </c>
      <c r="B1985" s="5" t="s">
        <v>75</v>
      </c>
      <c r="C1985" s="11">
        <v>0.165</v>
      </c>
      <c r="D1985" s="11">
        <v>58.0</v>
      </c>
      <c r="E1985" s="8"/>
      <c r="F1985" s="11">
        <v>163.0</v>
      </c>
      <c r="G1985" s="8"/>
      <c r="H1985" s="8"/>
      <c r="I1985" s="9" t="s">
        <v>71</v>
      </c>
    </row>
    <row r="1986">
      <c r="A1986" s="12" t="s">
        <v>168</v>
      </c>
      <c r="B1986" s="5" t="s">
        <v>75</v>
      </c>
      <c r="C1986" s="8"/>
      <c r="D1986" s="8"/>
      <c r="E1986" s="8"/>
      <c r="F1986" s="8"/>
      <c r="G1986" s="8"/>
      <c r="H1986" s="8"/>
      <c r="I1986" s="9" t="s">
        <v>72</v>
      </c>
    </row>
    <row r="1987">
      <c r="A1987" s="12" t="s">
        <v>81</v>
      </c>
      <c r="B1987" s="5" t="s">
        <v>75</v>
      </c>
      <c r="C1987" s="8"/>
      <c r="D1987" s="8"/>
      <c r="E1987" s="8"/>
      <c r="F1987" s="8"/>
      <c r="G1987" s="11">
        <v>0.81</v>
      </c>
      <c r="H1987" s="11">
        <v>0.835</v>
      </c>
      <c r="I1987" s="9" t="s">
        <v>72</v>
      </c>
    </row>
    <row r="1988">
      <c r="A1988" s="12" t="s">
        <v>202</v>
      </c>
      <c r="B1988" s="5" t="s">
        <v>75</v>
      </c>
      <c r="C1988" s="8"/>
      <c r="D1988" s="8"/>
      <c r="E1988" s="8"/>
      <c r="F1988" s="8"/>
      <c r="G1988" s="11">
        <v>0.803</v>
      </c>
      <c r="H1988" s="11">
        <v>0.853</v>
      </c>
      <c r="I1988" s="9" t="s">
        <v>72</v>
      </c>
    </row>
    <row r="1989">
      <c r="A1989" s="12" t="s">
        <v>148</v>
      </c>
      <c r="B1989" s="5" t="s">
        <v>75</v>
      </c>
      <c r="C1989" s="11">
        <v>0.456</v>
      </c>
      <c r="D1989" s="11">
        <v>15.0</v>
      </c>
      <c r="E1989" s="8"/>
      <c r="F1989" s="11">
        <v>221.0</v>
      </c>
      <c r="G1989" s="11">
        <v>0.813</v>
      </c>
      <c r="H1989" s="11">
        <v>1.097</v>
      </c>
      <c r="I1989" s="9" t="s">
        <v>72</v>
      </c>
    </row>
    <row r="1990">
      <c r="A1990" s="12" t="s">
        <v>181</v>
      </c>
      <c r="B1990" s="5" t="s">
        <v>75</v>
      </c>
      <c r="C1990" s="11">
        <v>0.371</v>
      </c>
      <c r="D1990" s="11">
        <v>16.0</v>
      </c>
      <c r="E1990" s="8"/>
      <c r="F1990" s="11">
        <v>290.0</v>
      </c>
      <c r="G1990" s="11">
        <v>0.697</v>
      </c>
      <c r="H1990" s="11">
        <v>1.114</v>
      </c>
      <c r="I1990" s="9" t="s">
        <v>72</v>
      </c>
    </row>
    <row r="1991">
      <c r="A1991" s="12" t="s">
        <v>161</v>
      </c>
      <c r="B1991" s="5" t="s">
        <v>75</v>
      </c>
      <c r="C1991" s="11">
        <v>0.52</v>
      </c>
      <c r="D1991" s="11">
        <v>4.0</v>
      </c>
      <c r="E1991" s="8"/>
      <c r="F1991" s="11">
        <v>277.0</v>
      </c>
      <c r="G1991" s="11">
        <v>0.68</v>
      </c>
      <c r="H1991" s="11">
        <v>1.169</v>
      </c>
      <c r="I1991" s="9" t="s">
        <v>72</v>
      </c>
    </row>
    <row r="1992">
      <c r="A1992" s="12" t="s">
        <v>238</v>
      </c>
      <c r="B1992" s="5" t="s">
        <v>75</v>
      </c>
      <c r="C1992" s="11">
        <v>0.34</v>
      </c>
      <c r="D1992" s="11">
        <v>13.0</v>
      </c>
      <c r="E1992" s="8"/>
      <c r="F1992" s="11">
        <v>279.0</v>
      </c>
      <c r="G1992" s="11">
        <v>0.422</v>
      </c>
      <c r="H1992" s="11">
        <v>1.302</v>
      </c>
      <c r="I1992" s="9" t="s">
        <v>72</v>
      </c>
    </row>
    <row r="1993">
      <c r="A1993" s="12" t="s">
        <v>103</v>
      </c>
      <c r="B1993" s="5" t="s">
        <v>75</v>
      </c>
      <c r="C1993" s="11">
        <v>0.237</v>
      </c>
      <c r="D1993" s="11">
        <v>40.0</v>
      </c>
      <c r="E1993" s="8"/>
      <c r="F1993" s="11">
        <v>422.0</v>
      </c>
      <c r="G1993" s="11">
        <v>0.6</v>
      </c>
      <c r="H1993" s="11">
        <v>0.826</v>
      </c>
      <c r="I1993" s="9" t="s">
        <v>72</v>
      </c>
    </row>
    <row r="1994">
      <c r="A1994" s="12" t="s">
        <v>227</v>
      </c>
      <c r="B1994" s="5" t="s">
        <v>75</v>
      </c>
      <c r="C1994" s="11">
        <v>0.427</v>
      </c>
      <c r="D1994" s="11">
        <v>4.0</v>
      </c>
      <c r="E1994" s="8"/>
      <c r="F1994" s="11">
        <v>275.0</v>
      </c>
      <c r="G1994" s="11">
        <v>0.552</v>
      </c>
      <c r="H1994" s="11">
        <v>1.164</v>
      </c>
      <c r="I1994" s="9" t="s">
        <v>72</v>
      </c>
    </row>
    <row r="1995">
      <c r="A1995" s="12" t="s">
        <v>89</v>
      </c>
      <c r="B1995" s="5" t="s">
        <v>75</v>
      </c>
      <c r="C1995" s="11">
        <v>0.523</v>
      </c>
      <c r="D1995" s="11">
        <v>25.0</v>
      </c>
      <c r="E1995" s="8"/>
      <c r="F1995" s="11">
        <v>170.0</v>
      </c>
      <c r="G1995" s="11">
        <v>0.787</v>
      </c>
      <c r="H1995" s="11">
        <v>1.544</v>
      </c>
      <c r="I1995" s="9" t="s">
        <v>72</v>
      </c>
    </row>
    <row r="1996">
      <c r="A1996" s="12" t="s">
        <v>170</v>
      </c>
      <c r="B1996" s="5" t="s">
        <v>75</v>
      </c>
      <c r="C1996" s="11">
        <v>0.677</v>
      </c>
      <c r="D1996" s="11">
        <v>6.0</v>
      </c>
      <c r="E1996" s="8"/>
      <c r="F1996" s="11">
        <v>285.0</v>
      </c>
      <c r="G1996" s="11">
        <v>0.544</v>
      </c>
      <c r="H1996" s="11">
        <v>1.581</v>
      </c>
      <c r="I1996" s="9" t="s">
        <v>72</v>
      </c>
    </row>
    <row r="1997">
      <c r="A1997" s="12" t="s">
        <v>230</v>
      </c>
      <c r="B1997" s="5" t="s">
        <v>75</v>
      </c>
      <c r="C1997" s="11">
        <v>0.431</v>
      </c>
      <c r="D1997" s="11">
        <v>14.0</v>
      </c>
      <c r="E1997" s="8"/>
      <c r="F1997" s="11">
        <v>222.0</v>
      </c>
      <c r="G1997" s="11">
        <v>0.4</v>
      </c>
      <c r="H1997" s="11">
        <v>1.074</v>
      </c>
      <c r="I1997" s="9" t="s">
        <v>72</v>
      </c>
    </row>
    <row r="1998">
      <c r="A1998" s="12" t="s">
        <v>107</v>
      </c>
      <c r="B1998" s="5" t="s">
        <v>75</v>
      </c>
      <c r="C1998" s="11">
        <v>0.272</v>
      </c>
      <c r="D1998" s="11">
        <v>18.0</v>
      </c>
      <c r="E1998" s="8"/>
      <c r="F1998" s="11">
        <v>500.0</v>
      </c>
      <c r="G1998" s="11">
        <v>0.48</v>
      </c>
      <c r="H1998" s="11">
        <v>1.428</v>
      </c>
      <c r="I1998" s="9" t="s">
        <v>72</v>
      </c>
    </row>
    <row r="1999">
      <c r="A1999" s="12" t="s">
        <v>226</v>
      </c>
      <c r="B1999" s="5" t="s">
        <v>75</v>
      </c>
      <c r="C1999" s="11">
        <v>0.395</v>
      </c>
      <c r="D1999" s="11">
        <v>32.0</v>
      </c>
      <c r="E1999" s="8"/>
      <c r="F1999" s="11">
        <v>296.0</v>
      </c>
      <c r="G1999" s="11">
        <v>0.619</v>
      </c>
      <c r="H1999" s="11">
        <v>1.313</v>
      </c>
      <c r="I1999" s="9" t="s">
        <v>72</v>
      </c>
    </row>
    <row r="2000">
      <c r="A2000" s="12" t="s">
        <v>124</v>
      </c>
      <c r="B2000" s="5" t="s">
        <v>75</v>
      </c>
      <c r="C2000" s="11">
        <v>0.219</v>
      </c>
      <c r="D2000" s="11">
        <v>8.0</v>
      </c>
      <c r="E2000" s="8"/>
      <c r="F2000" s="11">
        <v>196.0</v>
      </c>
      <c r="G2000" s="11">
        <v>0.578</v>
      </c>
      <c r="H2000" s="11">
        <v>1.183</v>
      </c>
      <c r="I2000" s="9" t="s">
        <v>72</v>
      </c>
    </row>
    <row r="2001">
      <c r="A2001" s="12" t="s">
        <v>128</v>
      </c>
      <c r="B2001" s="5" t="s">
        <v>75</v>
      </c>
      <c r="C2001" s="11">
        <v>0.481</v>
      </c>
      <c r="D2001" s="11">
        <v>20.0</v>
      </c>
      <c r="E2001" s="8"/>
      <c r="F2001" s="11">
        <v>557.0</v>
      </c>
      <c r="G2001" s="11">
        <v>0.705</v>
      </c>
      <c r="H2001" s="11">
        <v>1.241</v>
      </c>
      <c r="I2001" s="9" t="s">
        <v>72</v>
      </c>
    </row>
    <row r="2002">
      <c r="A2002" s="12" t="s">
        <v>150</v>
      </c>
      <c r="B2002" s="5" t="s">
        <v>75</v>
      </c>
      <c r="C2002" s="11">
        <v>0.459</v>
      </c>
      <c r="D2002" s="11">
        <v>11.0</v>
      </c>
      <c r="E2002" s="8"/>
      <c r="F2002" s="11">
        <v>224.0</v>
      </c>
      <c r="G2002" s="11">
        <v>0.516</v>
      </c>
      <c r="H2002" s="11">
        <v>1.091</v>
      </c>
      <c r="I2002" s="9" t="s">
        <v>72</v>
      </c>
    </row>
    <row r="2003">
      <c r="A2003" s="12" t="s">
        <v>195</v>
      </c>
      <c r="B2003" s="5" t="s">
        <v>75</v>
      </c>
      <c r="C2003" s="11">
        <v>0.41</v>
      </c>
      <c r="D2003" s="11">
        <v>40.0</v>
      </c>
      <c r="E2003" s="8"/>
      <c r="F2003" s="11">
        <v>139.0</v>
      </c>
      <c r="G2003" s="11">
        <v>0.68</v>
      </c>
      <c r="H2003" s="11">
        <v>1.224</v>
      </c>
      <c r="I2003" s="9" t="s">
        <v>72</v>
      </c>
    </row>
    <row r="2004">
      <c r="A2004" s="12" t="s">
        <v>234</v>
      </c>
      <c r="B2004" s="5" t="s">
        <v>75</v>
      </c>
      <c r="C2004" s="8"/>
      <c r="D2004" s="8"/>
      <c r="E2004" s="8"/>
      <c r="F2004" s="8"/>
      <c r="G2004" s="11">
        <v>0.496</v>
      </c>
      <c r="H2004" s="11">
        <v>1.142</v>
      </c>
      <c r="I2004" s="9" t="s">
        <v>72</v>
      </c>
    </row>
    <row r="2005">
      <c r="A2005" s="12" t="s">
        <v>250</v>
      </c>
      <c r="B2005" s="5" t="s">
        <v>75</v>
      </c>
      <c r="C2005" s="11">
        <v>0.387</v>
      </c>
      <c r="D2005" s="11">
        <v>28.0</v>
      </c>
      <c r="E2005" s="8"/>
      <c r="F2005" s="11">
        <v>187.0</v>
      </c>
      <c r="G2005" s="11">
        <v>0.676</v>
      </c>
      <c r="H2005" s="11">
        <v>1.131</v>
      </c>
      <c r="I2005" s="9" t="s">
        <v>72</v>
      </c>
    </row>
    <row r="2006">
      <c r="A2006" s="12" t="s">
        <v>260</v>
      </c>
      <c r="B2006" s="5" t="s">
        <v>75</v>
      </c>
      <c r="C2006" s="11">
        <v>0.289</v>
      </c>
      <c r="D2006" s="11">
        <v>18.0</v>
      </c>
      <c r="E2006" s="8"/>
      <c r="F2006" s="11">
        <v>63.0</v>
      </c>
      <c r="G2006" s="11">
        <v>0.852</v>
      </c>
      <c r="H2006" s="11">
        <v>1.274</v>
      </c>
      <c r="I2006" s="9" t="s">
        <v>72</v>
      </c>
    </row>
    <row r="2007">
      <c r="A2007" s="12" t="s">
        <v>274</v>
      </c>
      <c r="B2007" s="5" t="s">
        <v>75</v>
      </c>
      <c r="C2007" s="11">
        <v>0.571</v>
      </c>
      <c r="D2007" s="11">
        <v>24.0</v>
      </c>
      <c r="E2007" s="8"/>
      <c r="F2007" s="11">
        <v>657.0</v>
      </c>
      <c r="G2007" s="11">
        <v>0.287</v>
      </c>
      <c r="H2007" s="11">
        <v>1.213</v>
      </c>
      <c r="I2007" s="9" t="s">
        <v>72</v>
      </c>
    </row>
    <row r="2008">
      <c r="A2008" s="12" t="s">
        <v>187</v>
      </c>
      <c r="B2008" s="5" t="s">
        <v>75</v>
      </c>
      <c r="C2008" s="11">
        <v>0.431</v>
      </c>
      <c r="D2008" s="11">
        <v>22.0</v>
      </c>
      <c r="E2008" s="8"/>
      <c r="F2008" s="11">
        <v>175.0</v>
      </c>
      <c r="G2008" s="11">
        <v>0.636</v>
      </c>
      <c r="H2008" s="11">
        <v>1.622</v>
      </c>
      <c r="I2008" s="9" t="s">
        <v>72</v>
      </c>
    </row>
    <row r="2009">
      <c r="A2009" s="12" t="s">
        <v>138</v>
      </c>
      <c r="B2009" s="5" t="s">
        <v>75</v>
      </c>
      <c r="C2009" s="11">
        <v>0.576</v>
      </c>
      <c r="D2009" s="11">
        <v>7.0</v>
      </c>
      <c r="E2009" s="8"/>
      <c r="F2009" s="11">
        <v>81.0</v>
      </c>
      <c r="G2009" s="11">
        <v>0.765</v>
      </c>
      <c r="H2009" s="11">
        <v>1.439</v>
      </c>
      <c r="I2009" s="9" t="s">
        <v>72</v>
      </c>
    </row>
    <row r="2010">
      <c r="A2010" s="12" t="s">
        <v>243</v>
      </c>
      <c r="B2010" s="5" t="s">
        <v>75</v>
      </c>
      <c r="C2010" s="11">
        <v>0.476</v>
      </c>
      <c r="D2010" s="11">
        <v>18.0</v>
      </c>
      <c r="E2010" s="8"/>
      <c r="F2010" s="11">
        <v>231.0</v>
      </c>
      <c r="G2010" s="11">
        <v>0.744</v>
      </c>
      <c r="H2010" s="11">
        <v>1.1</v>
      </c>
      <c r="I2010" s="9" t="s">
        <v>72</v>
      </c>
    </row>
    <row r="2011">
      <c r="A2011" s="12" t="s">
        <v>217</v>
      </c>
      <c r="B2011" s="5" t="s">
        <v>75</v>
      </c>
      <c r="C2011" s="11">
        <v>0.084</v>
      </c>
      <c r="D2011" s="11">
        <v>3.0</v>
      </c>
      <c r="E2011" s="8"/>
      <c r="F2011" s="11">
        <v>119.0</v>
      </c>
      <c r="G2011" s="11">
        <v>0.567</v>
      </c>
      <c r="H2011" s="11">
        <v>1.052</v>
      </c>
      <c r="I2011" s="9" t="s">
        <v>72</v>
      </c>
    </row>
    <row r="2012">
      <c r="A2012" s="12" t="s">
        <v>244</v>
      </c>
      <c r="B2012" s="5" t="s">
        <v>75</v>
      </c>
      <c r="C2012" s="11">
        <v>0.339</v>
      </c>
      <c r="D2012" s="11">
        <v>6.0</v>
      </c>
      <c r="E2012" s="8"/>
      <c r="F2012" s="11">
        <v>260.0</v>
      </c>
      <c r="G2012" s="11">
        <v>0.673</v>
      </c>
      <c r="H2012" s="11">
        <v>1.052</v>
      </c>
      <c r="I2012" s="9" t="s">
        <v>72</v>
      </c>
    </row>
    <row r="2013">
      <c r="A2013" s="12" t="s">
        <v>142</v>
      </c>
      <c r="B2013" s="5" t="s">
        <v>75</v>
      </c>
      <c r="C2013" s="11">
        <v>0.39</v>
      </c>
      <c r="D2013" s="11">
        <v>14.0</v>
      </c>
      <c r="E2013" s="8"/>
      <c r="F2013" s="11">
        <v>93.0</v>
      </c>
      <c r="G2013" s="11">
        <v>0.887</v>
      </c>
      <c r="H2013" s="11">
        <v>1.659</v>
      </c>
      <c r="I2013" s="9" t="s">
        <v>72</v>
      </c>
    </row>
    <row r="2014">
      <c r="A2014" s="12" t="s">
        <v>129</v>
      </c>
      <c r="B2014" s="5" t="s">
        <v>75</v>
      </c>
      <c r="C2014" s="11">
        <v>0.264</v>
      </c>
      <c r="D2014" s="11">
        <v>6.0</v>
      </c>
      <c r="E2014" s="8"/>
      <c r="F2014" s="11">
        <v>135.0</v>
      </c>
      <c r="G2014" s="11">
        <v>0.898</v>
      </c>
      <c r="H2014" s="11">
        <v>1.287</v>
      </c>
      <c r="I2014" s="9" t="s">
        <v>72</v>
      </c>
    </row>
    <row r="2015">
      <c r="A2015" s="12" t="s">
        <v>210</v>
      </c>
      <c r="B2015" s="5" t="s">
        <v>75</v>
      </c>
      <c r="C2015" s="11">
        <v>0.396</v>
      </c>
      <c r="D2015" s="11">
        <v>8.0</v>
      </c>
      <c r="E2015" s="8"/>
      <c r="F2015" s="11">
        <v>127.0</v>
      </c>
      <c r="G2015" s="11">
        <v>0.914</v>
      </c>
      <c r="H2015" s="11">
        <v>1.19</v>
      </c>
      <c r="I2015" s="9" t="s">
        <v>72</v>
      </c>
    </row>
    <row r="2016">
      <c r="A2016" s="12" t="s">
        <v>188</v>
      </c>
      <c r="B2016" s="5" t="s">
        <v>75</v>
      </c>
      <c r="C2016" s="11">
        <v>0.198</v>
      </c>
      <c r="D2016" s="11">
        <v>19.0</v>
      </c>
      <c r="E2016" s="8"/>
      <c r="F2016" s="11">
        <v>59.0</v>
      </c>
      <c r="G2016" s="11">
        <v>0.9</v>
      </c>
      <c r="H2016" s="11">
        <v>1.482</v>
      </c>
      <c r="I2016" s="9" t="s">
        <v>72</v>
      </c>
    </row>
    <row r="2017">
      <c r="A2017" s="12" t="s">
        <v>186</v>
      </c>
      <c r="B2017" s="5" t="s">
        <v>75</v>
      </c>
      <c r="C2017" s="8"/>
      <c r="D2017" s="8"/>
      <c r="E2017" s="8"/>
      <c r="F2017" s="8"/>
      <c r="G2017" s="11">
        <v>0.85</v>
      </c>
      <c r="H2017" s="11">
        <v>1.016</v>
      </c>
      <c r="I2017" s="9" t="s">
        <v>72</v>
      </c>
    </row>
    <row r="2018">
      <c r="A2018" s="12" t="s">
        <v>201</v>
      </c>
      <c r="B2018" s="5" t="s">
        <v>75</v>
      </c>
      <c r="C2018" s="11">
        <v>0.308</v>
      </c>
      <c r="D2018" s="11">
        <v>9.0</v>
      </c>
      <c r="E2018" s="8"/>
      <c r="F2018" s="11">
        <v>228.0</v>
      </c>
      <c r="G2018" s="11">
        <v>0.38</v>
      </c>
      <c r="H2018" s="11">
        <v>0.908</v>
      </c>
      <c r="I2018" s="9" t="s">
        <v>72</v>
      </c>
    </row>
    <row r="2019">
      <c r="A2019" s="12" t="s">
        <v>96</v>
      </c>
      <c r="B2019" s="5" t="s">
        <v>75</v>
      </c>
      <c r="C2019" s="11">
        <v>0.623</v>
      </c>
      <c r="D2019" s="11">
        <v>10.0</v>
      </c>
      <c r="E2019" s="8"/>
      <c r="F2019" s="11">
        <v>654.0</v>
      </c>
      <c r="G2019" s="11">
        <v>0.396</v>
      </c>
      <c r="H2019" s="11">
        <v>1.132</v>
      </c>
      <c r="I2019" s="9" t="s">
        <v>72</v>
      </c>
    </row>
    <row r="2020">
      <c r="A2020" s="12" t="s">
        <v>204</v>
      </c>
      <c r="B2020" s="5" t="s">
        <v>75</v>
      </c>
      <c r="C2020" s="11">
        <v>0.209</v>
      </c>
      <c r="D2020" s="11">
        <v>10.0</v>
      </c>
      <c r="E2020" s="8"/>
      <c r="F2020" s="11">
        <v>372.0</v>
      </c>
      <c r="G2020" s="11">
        <v>0.356</v>
      </c>
      <c r="H2020" s="11">
        <v>1.868</v>
      </c>
      <c r="I2020" s="9" t="s">
        <v>72</v>
      </c>
    </row>
    <row r="2021">
      <c r="A2021" s="12" t="s">
        <v>127</v>
      </c>
      <c r="B2021" s="5" t="s">
        <v>75</v>
      </c>
      <c r="C2021" s="11">
        <v>0.22</v>
      </c>
      <c r="D2021" s="11">
        <v>8.0</v>
      </c>
      <c r="E2021" s="8"/>
      <c r="F2021" s="11">
        <v>149.0</v>
      </c>
      <c r="G2021" s="11">
        <v>0.569</v>
      </c>
      <c r="H2021" s="11">
        <v>0.977</v>
      </c>
      <c r="I2021" s="9" t="s">
        <v>72</v>
      </c>
    </row>
    <row r="2022">
      <c r="A2022" s="12" t="s">
        <v>97</v>
      </c>
      <c r="B2022" s="5" t="s">
        <v>75</v>
      </c>
      <c r="C2022" s="11">
        <v>0.57</v>
      </c>
      <c r="D2022" s="11">
        <v>4.0</v>
      </c>
      <c r="E2022" s="8"/>
      <c r="F2022" s="11">
        <v>156.0</v>
      </c>
      <c r="G2022" s="11">
        <v>0.816</v>
      </c>
      <c r="H2022" s="11">
        <v>1.135</v>
      </c>
      <c r="I2022" s="9" t="s">
        <v>72</v>
      </c>
    </row>
    <row r="2023">
      <c r="A2023" s="12" t="s">
        <v>140</v>
      </c>
      <c r="B2023" s="5" t="s">
        <v>75</v>
      </c>
      <c r="C2023" s="8"/>
      <c r="D2023" s="8"/>
      <c r="E2023" s="8"/>
      <c r="F2023" s="8"/>
      <c r="G2023" s="11">
        <v>0.807</v>
      </c>
      <c r="H2023" s="11">
        <v>1.18</v>
      </c>
      <c r="I2023" s="9" t="s">
        <v>72</v>
      </c>
    </row>
    <row r="2024">
      <c r="A2024" s="12" t="s">
        <v>218</v>
      </c>
      <c r="B2024" s="5" t="s">
        <v>75</v>
      </c>
      <c r="C2024" s="11">
        <v>0.407</v>
      </c>
      <c r="D2024" s="11">
        <v>7.0</v>
      </c>
      <c r="E2024" s="8"/>
      <c r="F2024" s="11">
        <v>87.0</v>
      </c>
      <c r="G2024" s="11">
        <v>0.935</v>
      </c>
      <c r="H2024" s="11">
        <v>1.158</v>
      </c>
      <c r="I2024" s="9" t="s">
        <v>72</v>
      </c>
    </row>
    <row r="2025">
      <c r="A2025" s="12" t="s">
        <v>259</v>
      </c>
      <c r="B2025" s="5" t="s">
        <v>75</v>
      </c>
      <c r="C2025" s="11">
        <v>0.52</v>
      </c>
      <c r="D2025" s="11">
        <v>16.0</v>
      </c>
      <c r="E2025" s="8"/>
      <c r="F2025" s="11">
        <v>122.0</v>
      </c>
      <c r="G2025" s="11">
        <v>0.928</v>
      </c>
      <c r="H2025" s="11">
        <v>1.212</v>
      </c>
      <c r="I2025" s="9" t="s">
        <v>72</v>
      </c>
    </row>
    <row r="2026">
      <c r="A2026" s="12" t="s">
        <v>231</v>
      </c>
      <c r="B2026" s="5" t="s">
        <v>75</v>
      </c>
      <c r="C2026" s="11">
        <v>0.469</v>
      </c>
      <c r="D2026" s="11">
        <v>29.0</v>
      </c>
      <c r="E2026" s="8"/>
      <c r="F2026" s="11">
        <v>290.0</v>
      </c>
      <c r="G2026" s="11">
        <v>0.49</v>
      </c>
      <c r="H2026" s="11">
        <v>1.42</v>
      </c>
      <c r="I2026" s="9" t="s">
        <v>72</v>
      </c>
    </row>
    <row r="2027">
      <c r="A2027" s="12" t="s">
        <v>74</v>
      </c>
      <c r="B2027" s="5" t="s">
        <v>75</v>
      </c>
      <c r="C2027" s="11">
        <v>0.315</v>
      </c>
      <c r="D2027" s="11">
        <v>6.0</v>
      </c>
      <c r="E2027" s="8"/>
      <c r="F2027" s="11">
        <v>371.0</v>
      </c>
      <c r="G2027" s="11">
        <v>0.49</v>
      </c>
      <c r="H2027" s="11">
        <v>0.983</v>
      </c>
      <c r="I2027" s="9" t="s">
        <v>72</v>
      </c>
    </row>
    <row r="2028">
      <c r="A2028" s="12" t="s">
        <v>276</v>
      </c>
      <c r="B2028" s="5" t="s">
        <v>75</v>
      </c>
      <c r="C2028" s="11">
        <v>0.361</v>
      </c>
      <c r="D2028" s="11">
        <v>12.0</v>
      </c>
      <c r="E2028" s="8"/>
      <c r="F2028" s="11">
        <v>110.0</v>
      </c>
      <c r="G2028" s="11">
        <v>0.854</v>
      </c>
      <c r="H2028" s="11">
        <v>1.236</v>
      </c>
      <c r="I2028" s="9" t="s">
        <v>72</v>
      </c>
    </row>
    <row r="2029">
      <c r="A2029" s="12" t="s">
        <v>143</v>
      </c>
      <c r="B2029" s="5" t="s">
        <v>75</v>
      </c>
      <c r="C2029" s="11">
        <v>0.647</v>
      </c>
      <c r="D2029" s="11">
        <v>7.0</v>
      </c>
      <c r="E2029" s="8"/>
      <c r="F2029" s="11">
        <v>132.0</v>
      </c>
      <c r="G2029" s="11">
        <v>0.778</v>
      </c>
      <c r="H2029" s="11">
        <v>0.941</v>
      </c>
      <c r="I2029" s="9" t="s">
        <v>72</v>
      </c>
    </row>
    <row r="2030">
      <c r="A2030" s="12" t="s">
        <v>162</v>
      </c>
      <c r="B2030" s="5" t="s">
        <v>75</v>
      </c>
      <c r="C2030" s="11">
        <v>0.296</v>
      </c>
      <c r="D2030" s="11">
        <v>5.0</v>
      </c>
      <c r="E2030" s="8"/>
      <c r="F2030" s="11">
        <v>140.0</v>
      </c>
      <c r="G2030" s="11">
        <v>0.948</v>
      </c>
      <c r="H2030" s="11">
        <v>1.068</v>
      </c>
      <c r="I2030" s="9" t="s">
        <v>72</v>
      </c>
    </row>
    <row r="2031">
      <c r="A2031" s="12" t="s">
        <v>167</v>
      </c>
      <c r="B2031" s="5" t="s">
        <v>75</v>
      </c>
      <c r="C2031" s="11">
        <v>0.254</v>
      </c>
      <c r="D2031" s="11">
        <v>13.0</v>
      </c>
      <c r="E2031" s="8"/>
      <c r="F2031" s="11">
        <v>76.0</v>
      </c>
      <c r="G2031" s="11">
        <v>0.749</v>
      </c>
      <c r="H2031" s="11">
        <v>1.085</v>
      </c>
      <c r="I2031" s="9" t="s">
        <v>72</v>
      </c>
    </row>
    <row r="2032">
      <c r="A2032" s="12" t="s">
        <v>270</v>
      </c>
      <c r="B2032" s="5" t="s">
        <v>75</v>
      </c>
      <c r="C2032" s="11">
        <v>0.4</v>
      </c>
      <c r="D2032" s="11">
        <v>6.0</v>
      </c>
      <c r="E2032" s="8"/>
      <c r="F2032" s="11">
        <v>226.0</v>
      </c>
      <c r="G2032" s="11">
        <v>0.431</v>
      </c>
      <c r="H2032" s="11">
        <v>0.894</v>
      </c>
      <c r="I2032" s="9" t="s">
        <v>72</v>
      </c>
    </row>
    <row r="2033">
      <c r="A2033" s="12" t="s">
        <v>177</v>
      </c>
      <c r="B2033" s="5" t="s">
        <v>75</v>
      </c>
      <c r="C2033" s="11">
        <v>0.154</v>
      </c>
      <c r="D2033" s="11">
        <v>58.0</v>
      </c>
      <c r="E2033" s="8"/>
      <c r="F2033" s="11">
        <v>164.0</v>
      </c>
      <c r="G2033" s="8"/>
      <c r="H2033" s="8"/>
      <c r="I2033" s="9" t="s">
        <v>72</v>
      </c>
    </row>
    <row r="2034">
      <c r="A2034" s="12" t="s">
        <v>168</v>
      </c>
      <c r="B2034" s="5" t="s">
        <v>75</v>
      </c>
      <c r="C2034" s="8"/>
      <c r="D2034" s="8"/>
      <c r="E2034" s="8"/>
      <c r="F2034" s="8"/>
      <c r="G2034" s="8"/>
      <c r="H2034" s="8"/>
      <c r="I2034" s="9" t="s">
        <v>73</v>
      </c>
    </row>
    <row r="2035">
      <c r="A2035" s="12" t="s">
        <v>202</v>
      </c>
      <c r="B2035" s="5" t="s">
        <v>75</v>
      </c>
      <c r="C2035" s="8"/>
      <c r="D2035" s="8"/>
      <c r="E2035" s="8"/>
      <c r="F2035" s="8"/>
      <c r="G2035" s="11">
        <v>0.87</v>
      </c>
      <c r="H2035" s="11">
        <v>0.883</v>
      </c>
      <c r="I2035" s="9" t="s">
        <v>73</v>
      </c>
    </row>
    <row r="2036">
      <c r="A2036" s="12" t="s">
        <v>148</v>
      </c>
      <c r="B2036" s="5" t="s">
        <v>75</v>
      </c>
      <c r="C2036" s="11">
        <v>0.459</v>
      </c>
      <c r="D2036" s="11">
        <v>15.0</v>
      </c>
      <c r="E2036" s="11">
        <v>19.0</v>
      </c>
      <c r="F2036" s="11">
        <v>207.0</v>
      </c>
      <c r="G2036" s="11">
        <v>0.823</v>
      </c>
      <c r="H2036" s="11">
        <v>1.116</v>
      </c>
      <c r="I2036" s="9" t="s">
        <v>73</v>
      </c>
    </row>
    <row r="2037">
      <c r="A2037" s="12" t="s">
        <v>161</v>
      </c>
      <c r="B2037" s="5" t="s">
        <v>75</v>
      </c>
      <c r="C2037" s="11">
        <v>0.495</v>
      </c>
      <c r="D2037" s="11">
        <v>5.0</v>
      </c>
      <c r="E2037" s="11">
        <v>52.0</v>
      </c>
      <c r="F2037" s="11">
        <v>277.0</v>
      </c>
      <c r="G2037" s="11">
        <v>0.706</v>
      </c>
      <c r="H2037" s="11">
        <v>1.161</v>
      </c>
      <c r="I2037" s="9" t="s">
        <v>73</v>
      </c>
    </row>
    <row r="2038">
      <c r="A2038" s="12" t="s">
        <v>238</v>
      </c>
      <c r="B2038" s="5" t="s">
        <v>75</v>
      </c>
      <c r="C2038" s="11">
        <v>0.34</v>
      </c>
      <c r="D2038" s="11">
        <v>12.0</v>
      </c>
      <c r="E2038" s="11">
        <v>87.0</v>
      </c>
      <c r="F2038" s="11">
        <v>279.0</v>
      </c>
      <c r="G2038" s="11">
        <v>0.481</v>
      </c>
      <c r="H2038" s="11">
        <v>1.178</v>
      </c>
      <c r="I2038" s="9" t="s">
        <v>73</v>
      </c>
    </row>
    <row r="2039">
      <c r="A2039" s="12" t="s">
        <v>103</v>
      </c>
      <c r="B2039" s="5" t="s">
        <v>75</v>
      </c>
      <c r="C2039" s="11">
        <v>0.237</v>
      </c>
      <c r="D2039" s="11">
        <v>37.0</v>
      </c>
      <c r="E2039" s="11">
        <v>130.0</v>
      </c>
      <c r="F2039" s="11">
        <v>407.0</v>
      </c>
      <c r="G2039" s="11">
        <v>0.654</v>
      </c>
      <c r="H2039" s="11">
        <v>0.876</v>
      </c>
      <c r="I2039" s="9" t="s">
        <v>73</v>
      </c>
    </row>
    <row r="2040">
      <c r="A2040" s="12" t="s">
        <v>227</v>
      </c>
      <c r="B2040" s="5" t="s">
        <v>75</v>
      </c>
      <c r="C2040" s="11">
        <v>0.42</v>
      </c>
      <c r="D2040" s="11">
        <v>4.0</v>
      </c>
      <c r="E2040" s="11">
        <v>29.0</v>
      </c>
      <c r="F2040" s="11">
        <v>275.0</v>
      </c>
      <c r="G2040" s="11">
        <v>0.603</v>
      </c>
      <c r="H2040" s="11">
        <v>1.14</v>
      </c>
      <c r="I2040" s="9" t="s">
        <v>73</v>
      </c>
    </row>
    <row r="2041">
      <c r="A2041" s="12" t="s">
        <v>150</v>
      </c>
      <c r="B2041" s="5" t="s">
        <v>75</v>
      </c>
      <c r="C2041" s="11">
        <v>0.441</v>
      </c>
      <c r="D2041" s="11">
        <v>12.0</v>
      </c>
      <c r="E2041" s="11">
        <v>89.0</v>
      </c>
      <c r="F2041" s="11">
        <v>202.0</v>
      </c>
      <c r="G2041" s="11">
        <v>0.551</v>
      </c>
      <c r="H2041" s="11">
        <v>1.201</v>
      </c>
      <c r="I2041" s="9" t="s">
        <v>73</v>
      </c>
    </row>
    <row r="2042">
      <c r="A2042" s="12" t="s">
        <v>89</v>
      </c>
      <c r="B2042" s="5" t="s">
        <v>75</v>
      </c>
      <c r="C2042" s="11">
        <v>0.524</v>
      </c>
      <c r="D2042" s="11">
        <v>25.0</v>
      </c>
      <c r="E2042" s="11">
        <v>28.0</v>
      </c>
      <c r="F2042" s="11">
        <v>170.0</v>
      </c>
      <c r="G2042" s="11">
        <v>0.8</v>
      </c>
      <c r="H2042" s="11">
        <v>1.605</v>
      </c>
      <c r="I2042" s="9" t="s">
        <v>73</v>
      </c>
    </row>
    <row r="2043">
      <c r="A2043" s="12" t="s">
        <v>170</v>
      </c>
      <c r="B2043" s="5" t="s">
        <v>75</v>
      </c>
      <c r="C2043" s="11">
        <v>0.677</v>
      </c>
      <c r="D2043" s="11">
        <v>6.0</v>
      </c>
      <c r="E2043" s="11">
        <v>67.0</v>
      </c>
      <c r="F2043" s="11">
        <v>269.0</v>
      </c>
      <c r="G2043" s="11">
        <v>0.558</v>
      </c>
      <c r="H2043" s="11">
        <v>1.597</v>
      </c>
      <c r="I2043" s="9" t="s">
        <v>73</v>
      </c>
    </row>
    <row r="2044">
      <c r="A2044" s="12" t="s">
        <v>81</v>
      </c>
      <c r="B2044" s="5" t="s">
        <v>75</v>
      </c>
      <c r="C2044" s="8"/>
      <c r="D2044" s="8"/>
      <c r="E2044" s="8"/>
      <c r="F2044" s="8"/>
      <c r="G2044" s="11">
        <v>0.864</v>
      </c>
      <c r="H2044" s="11">
        <v>0.815</v>
      </c>
      <c r="I2044" s="9" t="s">
        <v>73</v>
      </c>
    </row>
    <row r="2045">
      <c r="A2045" s="12" t="s">
        <v>234</v>
      </c>
      <c r="B2045" s="5" t="s">
        <v>75</v>
      </c>
      <c r="C2045" s="11">
        <v>0.422</v>
      </c>
      <c r="D2045" s="11">
        <v>40.0</v>
      </c>
      <c r="E2045" s="11">
        <v>74.0</v>
      </c>
      <c r="F2045" s="11">
        <v>52.0</v>
      </c>
      <c r="G2045" s="11">
        <v>0.509</v>
      </c>
      <c r="H2045" s="11">
        <v>1.152</v>
      </c>
      <c r="I2045" s="9" t="s">
        <v>73</v>
      </c>
    </row>
    <row r="2046">
      <c r="A2046" s="12" t="s">
        <v>187</v>
      </c>
      <c r="B2046" s="5" t="s">
        <v>75</v>
      </c>
      <c r="C2046" s="11">
        <v>0.43</v>
      </c>
      <c r="D2046" s="11">
        <v>20.0</v>
      </c>
      <c r="E2046" s="11">
        <v>25.0</v>
      </c>
      <c r="F2046" s="11">
        <v>175.0</v>
      </c>
      <c r="G2046" s="11">
        <v>0.672</v>
      </c>
      <c r="H2046" s="11">
        <v>1.651</v>
      </c>
      <c r="I2046" s="9" t="s">
        <v>73</v>
      </c>
    </row>
    <row r="2047">
      <c r="A2047" s="12" t="s">
        <v>181</v>
      </c>
      <c r="B2047" s="5" t="s">
        <v>75</v>
      </c>
      <c r="C2047" s="11">
        <v>0.359</v>
      </c>
      <c r="D2047" s="11">
        <v>16.0</v>
      </c>
      <c r="E2047" s="11">
        <v>24.0</v>
      </c>
      <c r="F2047" s="11">
        <v>264.0</v>
      </c>
      <c r="G2047" s="11">
        <v>0.731</v>
      </c>
      <c r="H2047" s="11">
        <v>1.121</v>
      </c>
      <c r="I2047" s="9" t="s">
        <v>73</v>
      </c>
    </row>
    <row r="2048">
      <c r="A2048" s="12" t="s">
        <v>230</v>
      </c>
      <c r="B2048" s="5" t="s">
        <v>75</v>
      </c>
      <c r="C2048" s="11">
        <v>0.429</v>
      </c>
      <c r="D2048" s="11">
        <v>10.0</v>
      </c>
      <c r="E2048" s="11">
        <v>73.0</v>
      </c>
      <c r="F2048" s="11">
        <v>216.0</v>
      </c>
      <c r="G2048" s="11">
        <v>0.459</v>
      </c>
      <c r="H2048" s="11">
        <v>1.05</v>
      </c>
      <c r="I2048" s="9" t="s">
        <v>73</v>
      </c>
    </row>
    <row r="2049">
      <c r="A2049" s="12" t="s">
        <v>107</v>
      </c>
      <c r="B2049" s="5" t="s">
        <v>75</v>
      </c>
      <c r="C2049" s="11">
        <v>0.277</v>
      </c>
      <c r="D2049" s="11">
        <v>18.0</v>
      </c>
      <c r="E2049" s="11">
        <v>57.0</v>
      </c>
      <c r="F2049" s="11">
        <v>454.0</v>
      </c>
      <c r="G2049" s="11">
        <v>0.519</v>
      </c>
      <c r="H2049" s="11">
        <v>1.481</v>
      </c>
      <c r="I2049" s="9" t="s">
        <v>73</v>
      </c>
    </row>
    <row r="2050">
      <c r="A2050" s="12" t="s">
        <v>243</v>
      </c>
      <c r="B2050" s="5" t="s">
        <v>75</v>
      </c>
      <c r="C2050" s="11">
        <v>0.471</v>
      </c>
      <c r="D2050" s="11">
        <v>14.0</v>
      </c>
      <c r="E2050" s="11">
        <v>43.0</v>
      </c>
      <c r="F2050" s="11">
        <v>207.0</v>
      </c>
      <c r="G2050" s="11">
        <v>0.767</v>
      </c>
      <c r="H2050" s="11">
        <v>1.119</v>
      </c>
      <c r="I2050" s="9" t="s">
        <v>73</v>
      </c>
    </row>
    <row r="2051">
      <c r="A2051" s="12" t="s">
        <v>226</v>
      </c>
      <c r="B2051" s="5" t="s">
        <v>75</v>
      </c>
      <c r="C2051" s="11">
        <v>0.398</v>
      </c>
      <c r="D2051" s="11">
        <v>32.0</v>
      </c>
      <c r="E2051" s="11">
        <v>48.0</v>
      </c>
      <c r="F2051" s="11">
        <v>286.0</v>
      </c>
      <c r="G2051" s="11">
        <v>0.623</v>
      </c>
      <c r="H2051" s="11">
        <v>1.415</v>
      </c>
      <c r="I2051" s="9" t="s">
        <v>73</v>
      </c>
    </row>
    <row r="2052">
      <c r="A2052" s="12" t="s">
        <v>124</v>
      </c>
      <c r="B2052" s="5" t="s">
        <v>75</v>
      </c>
      <c r="C2052" s="11">
        <v>0.218</v>
      </c>
      <c r="D2052" s="11">
        <v>8.0</v>
      </c>
      <c r="E2052" s="11">
        <v>88.0</v>
      </c>
      <c r="F2052" s="11">
        <v>196.0</v>
      </c>
      <c r="G2052" s="11">
        <v>0.619</v>
      </c>
      <c r="H2052" s="11">
        <v>1.154</v>
      </c>
      <c r="I2052" s="9" t="s">
        <v>73</v>
      </c>
    </row>
    <row r="2053">
      <c r="A2053" s="12" t="s">
        <v>128</v>
      </c>
      <c r="B2053" s="5" t="s">
        <v>75</v>
      </c>
      <c r="C2053" s="11">
        <v>0.481</v>
      </c>
      <c r="D2053" s="11">
        <v>20.0</v>
      </c>
      <c r="E2053" s="11">
        <v>68.0</v>
      </c>
      <c r="F2053" s="11">
        <v>413.0</v>
      </c>
      <c r="G2053" s="11">
        <v>0.734</v>
      </c>
      <c r="H2053" s="11">
        <v>1.268</v>
      </c>
      <c r="I2053" s="9" t="s">
        <v>73</v>
      </c>
    </row>
    <row r="2054">
      <c r="A2054" s="12" t="s">
        <v>129</v>
      </c>
      <c r="B2054" s="5" t="s">
        <v>75</v>
      </c>
      <c r="C2054" s="11">
        <v>0.27</v>
      </c>
      <c r="D2054" s="11">
        <v>6.0</v>
      </c>
      <c r="E2054" s="11">
        <v>5.0</v>
      </c>
      <c r="F2054" s="11">
        <v>130.0</v>
      </c>
      <c r="G2054" s="11">
        <v>0.923</v>
      </c>
      <c r="H2054" s="11">
        <v>1.303</v>
      </c>
      <c r="I2054" s="9" t="s">
        <v>73</v>
      </c>
    </row>
    <row r="2055">
      <c r="A2055" s="12" t="s">
        <v>195</v>
      </c>
      <c r="B2055" s="5" t="s">
        <v>75</v>
      </c>
      <c r="C2055" s="11">
        <v>0.409</v>
      </c>
      <c r="D2055" s="11">
        <v>40.0</v>
      </c>
      <c r="E2055" s="11">
        <v>100.0</v>
      </c>
      <c r="F2055" s="11">
        <v>139.0</v>
      </c>
      <c r="G2055" s="11">
        <v>0.682</v>
      </c>
      <c r="H2055" s="11">
        <v>1.244</v>
      </c>
      <c r="I2055" s="9" t="s">
        <v>73</v>
      </c>
    </row>
    <row r="2056">
      <c r="A2056" s="12" t="s">
        <v>186</v>
      </c>
      <c r="B2056" s="5" t="s">
        <v>75</v>
      </c>
      <c r="C2056" s="8"/>
      <c r="D2056" s="8"/>
      <c r="E2056" s="8"/>
      <c r="F2056" s="8"/>
      <c r="G2056" s="11">
        <v>0.894</v>
      </c>
      <c r="H2056" s="11">
        <v>0.974</v>
      </c>
      <c r="I2056" s="9" t="s">
        <v>73</v>
      </c>
    </row>
    <row r="2057">
      <c r="A2057" s="12" t="s">
        <v>250</v>
      </c>
      <c r="B2057" s="5" t="s">
        <v>75</v>
      </c>
      <c r="C2057" s="11">
        <v>0.387</v>
      </c>
      <c r="D2057" s="11">
        <v>28.0</v>
      </c>
      <c r="E2057" s="11">
        <v>46.0</v>
      </c>
      <c r="F2057" s="11">
        <v>167.0</v>
      </c>
      <c r="G2057" s="11">
        <v>0.698</v>
      </c>
      <c r="H2057" s="11">
        <v>1.084</v>
      </c>
      <c r="I2057" s="9" t="s">
        <v>73</v>
      </c>
    </row>
    <row r="2058">
      <c r="A2058" s="12" t="s">
        <v>260</v>
      </c>
      <c r="B2058" s="5" t="s">
        <v>75</v>
      </c>
      <c r="C2058" s="11">
        <v>0.291</v>
      </c>
      <c r="D2058" s="11">
        <v>18.0</v>
      </c>
      <c r="E2058" s="11">
        <v>27.0</v>
      </c>
      <c r="F2058" s="11">
        <v>63.0</v>
      </c>
      <c r="G2058" s="11">
        <v>0.852</v>
      </c>
      <c r="H2058" s="11">
        <v>1.321</v>
      </c>
      <c r="I2058" s="9" t="s">
        <v>73</v>
      </c>
    </row>
    <row r="2059">
      <c r="A2059" s="12" t="s">
        <v>274</v>
      </c>
      <c r="B2059" s="5" t="s">
        <v>75</v>
      </c>
      <c r="C2059" s="11">
        <v>0.554</v>
      </c>
      <c r="D2059" s="11">
        <v>22.0</v>
      </c>
      <c r="E2059" s="11">
        <v>140.0</v>
      </c>
      <c r="F2059" s="11">
        <v>491.0</v>
      </c>
      <c r="G2059" s="11">
        <v>0.353</v>
      </c>
      <c r="H2059" s="11">
        <v>1.303</v>
      </c>
      <c r="I2059" s="9" t="s">
        <v>73</v>
      </c>
    </row>
    <row r="2060">
      <c r="A2060" s="12" t="s">
        <v>138</v>
      </c>
      <c r="B2060" s="5" t="s">
        <v>75</v>
      </c>
      <c r="C2060" s="11">
        <v>0.664</v>
      </c>
      <c r="D2060" s="11">
        <v>7.0</v>
      </c>
      <c r="E2060" s="11">
        <v>21.0</v>
      </c>
      <c r="F2060" s="11">
        <v>81.0</v>
      </c>
      <c r="G2060" s="11">
        <v>0.784</v>
      </c>
      <c r="H2060" s="11">
        <v>1.604</v>
      </c>
      <c r="I2060" s="9" t="s">
        <v>73</v>
      </c>
    </row>
    <row r="2061">
      <c r="A2061" s="12" t="s">
        <v>217</v>
      </c>
      <c r="B2061" s="5" t="s">
        <v>75</v>
      </c>
      <c r="C2061" s="11">
        <v>0.082</v>
      </c>
      <c r="D2061" s="11">
        <v>2.0</v>
      </c>
      <c r="E2061" s="11">
        <v>36.0</v>
      </c>
      <c r="F2061" s="11">
        <v>119.0</v>
      </c>
      <c r="G2061" s="11">
        <v>0.574</v>
      </c>
      <c r="H2061" s="11">
        <v>1.062</v>
      </c>
      <c r="I2061" s="9" t="s">
        <v>73</v>
      </c>
    </row>
    <row r="2062">
      <c r="A2062" s="12" t="s">
        <v>244</v>
      </c>
      <c r="B2062" s="5" t="s">
        <v>75</v>
      </c>
      <c r="C2062" s="11">
        <v>0.339</v>
      </c>
      <c r="D2062" s="11">
        <v>6.0</v>
      </c>
      <c r="E2062" s="11">
        <v>31.0</v>
      </c>
      <c r="F2062" s="11">
        <v>260.0</v>
      </c>
      <c r="G2062" s="11">
        <v>0.683</v>
      </c>
      <c r="H2062" s="11">
        <v>1.084</v>
      </c>
      <c r="I2062" s="9" t="s">
        <v>73</v>
      </c>
    </row>
    <row r="2063">
      <c r="A2063" s="12" t="s">
        <v>97</v>
      </c>
      <c r="B2063" s="5" t="s">
        <v>75</v>
      </c>
      <c r="C2063" s="11">
        <v>0.576</v>
      </c>
      <c r="D2063" s="11">
        <v>4.0</v>
      </c>
      <c r="E2063" s="11">
        <v>32.0</v>
      </c>
      <c r="F2063" s="11">
        <v>156.0</v>
      </c>
      <c r="G2063" s="11">
        <v>0.807</v>
      </c>
      <c r="H2063" s="11">
        <v>1.113</v>
      </c>
      <c r="I2063" s="9" t="s">
        <v>73</v>
      </c>
    </row>
    <row r="2064">
      <c r="A2064" s="12" t="s">
        <v>142</v>
      </c>
      <c r="B2064" s="5" t="s">
        <v>75</v>
      </c>
      <c r="C2064" s="11">
        <v>0.406</v>
      </c>
      <c r="D2064" s="11">
        <v>14.0</v>
      </c>
      <c r="E2064" s="11">
        <v>12.0</v>
      </c>
      <c r="F2064" s="11">
        <v>93.0</v>
      </c>
      <c r="G2064" s="11">
        <v>0.899</v>
      </c>
      <c r="H2064" s="11">
        <v>1.723</v>
      </c>
      <c r="I2064" s="9" t="s">
        <v>73</v>
      </c>
    </row>
    <row r="2065">
      <c r="A2065" s="12" t="s">
        <v>210</v>
      </c>
      <c r="B2065" s="5" t="s">
        <v>75</v>
      </c>
      <c r="C2065" s="11">
        <v>0.392</v>
      </c>
      <c r="D2065" s="11">
        <v>5.0</v>
      </c>
      <c r="E2065" s="11">
        <v>30.0</v>
      </c>
      <c r="F2065" s="11">
        <v>127.0</v>
      </c>
      <c r="G2065" s="11">
        <v>0.929</v>
      </c>
      <c r="H2065" s="11">
        <v>1.18</v>
      </c>
      <c r="I2065" s="9" t="s">
        <v>73</v>
      </c>
    </row>
    <row r="2066">
      <c r="A2066" s="12" t="s">
        <v>188</v>
      </c>
      <c r="B2066" s="5" t="s">
        <v>75</v>
      </c>
      <c r="C2066" s="11">
        <v>0.2</v>
      </c>
      <c r="D2066" s="11">
        <v>19.0</v>
      </c>
      <c r="E2066" s="11">
        <v>56.0</v>
      </c>
      <c r="F2066" s="11">
        <v>59.0</v>
      </c>
      <c r="G2066" s="11">
        <v>0.919</v>
      </c>
      <c r="H2066" s="11">
        <v>1.454</v>
      </c>
      <c r="I2066" s="9" t="s">
        <v>73</v>
      </c>
    </row>
    <row r="2067">
      <c r="A2067" s="12" t="s">
        <v>201</v>
      </c>
      <c r="B2067" s="5" t="s">
        <v>75</v>
      </c>
      <c r="C2067" s="11">
        <v>0.308</v>
      </c>
      <c r="D2067" s="11">
        <v>9.0</v>
      </c>
      <c r="E2067" s="11">
        <v>86.0</v>
      </c>
      <c r="F2067" s="11">
        <v>220.0</v>
      </c>
      <c r="G2067" s="11">
        <v>0.434</v>
      </c>
      <c r="H2067" s="11">
        <v>1.02</v>
      </c>
      <c r="I2067" s="9" t="s">
        <v>73</v>
      </c>
    </row>
    <row r="2068">
      <c r="A2068" s="12" t="s">
        <v>96</v>
      </c>
      <c r="B2068" s="5" t="s">
        <v>75</v>
      </c>
      <c r="C2068" s="11">
        <v>0.605</v>
      </c>
      <c r="D2068" s="11">
        <v>10.0</v>
      </c>
      <c r="E2068" s="11">
        <v>64.0</v>
      </c>
      <c r="F2068" s="11">
        <v>338.0</v>
      </c>
      <c r="G2068" s="11">
        <v>0.469</v>
      </c>
      <c r="H2068" s="11">
        <v>1.135</v>
      </c>
      <c r="I2068" s="9" t="s">
        <v>73</v>
      </c>
    </row>
    <row r="2069">
      <c r="A2069" s="12" t="s">
        <v>204</v>
      </c>
      <c r="B2069" s="5" t="s">
        <v>75</v>
      </c>
      <c r="C2069" s="11">
        <v>0.209</v>
      </c>
      <c r="D2069" s="11">
        <v>10.0</v>
      </c>
      <c r="E2069" s="11">
        <v>50.0</v>
      </c>
      <c r="F2069" s="11">
        <v>320.0</v>
      </c>
      <c r="G2069" s="11">
        <v>0.568</v>
      </c>
      <c r="H2069" s="11">
        <v>1.595</v>
      </c>
      <c r="I2069" s="9" t="s">
        <v>73</v>
      </c>
    </row>
    <row r="2070">
      <c r="A2070" s="12" t="s">
        <v>127</v>
      </c>
      <c r="B2070" s="5" t="s">
        <v>75</v>
      </c>
      <c r="C2070" s="11">
        <v>0.222</v>
      </c>
      <c r="D2070" s="11">
        <v>8.0</v>
      </c>
      <c r="E2070" s="11">
        <v>38.0</v>
      </c>
      <c r="F2070" s="11">
        <v>147.0</v>
      </c>
      <c r="G2070" s="11">
        <v>0.607</v>
      </c>
      <c r="H2070" s="11">
        <v>0.984</v>
      </c>
      <c r="I2070" s="9" t="s">
        <v>73</v>
      </c>
    </row>
    <row r="2071">
      <c r="A2071" s="12" t="s">
        <v>218</v>
      </c>
      <c r="B2071" s="5" t="s">
        <v>75</v>
      </c>
      <c r="C2071" s="11">
        <v>0.407</v>
      </c>
      <c r="D2071" s="11">
        <v>7.0</v>
      </c>
      <c r="E2071" s="11">
        <v>7.0</v>
      </c>
      <c r="F2071" s="11">
        <v>87.0</v>
      </c>
      <c r="G2071" s="11">
        <v>0.946</v>
      </c>
      <c r="H2071" s="11">
        <v>1.167</v>
      </c>
      <c r="I2071" s="9" t="s">
        <v>73</v>
      </c>
    </row>
    <row r="2072">
      <c r="A2072" s="12" t="s">
        <v>259</v>
      </c>
      <c r="B2072" s="5" t="s">
        <v>75</v>
      </c>
      <c r="C2072" s="11">
        <v>0.52</v>
      </c>
      <c r="D2072" s="11">
        <v>16.0</v>
      </c>
      <c r="E2072" s="11">
        <v>14.0</v>
      </c>
      <c r="F2072" s="11">
        <v>122.0</v>
      </c>
      <c r="G2072" s="11">
        <v>0.932</v>
      </c>
      <c r="H2072" s="11">
        <v>1.246</v>
      </c>
      <c r="I2072" s="9" t="s">
        <v>73</v>
      </c>
    </row>
    <row r="2073">
      <c r="A2073" s="12" t="s">
        <v>231</v>
      </c>
      <c r="B2073" s="5" t="s">
        <v>75</v>
      </c>
      <c r="C2073" s="11">
        <v>0.541</v>
      </c>
      <c r="D2073" s="11">
        <v>18.0</v>
      </c>
      <c r="E2073" s="11">
        <v>111.0</v>
      </c>
      <c r="F2073" s="11">
        <v>177.0</v>
      </c>
      <c r="G2073" s="11">
        <v>0.638</v>
      </c>
      <c r="H2073" s="11">
        <v>1.453</v>
      </c>
      <c r="I2073" s="9" t="s">
        <v>73</v>
      </c>
    </row>
    <row r="2074">
      <c r="A2074" s="12" t="s">
        <v>74</v>
      </c>
      <c r="B2074" s="5" t="s">
        <v>75</v>
      </c>
      <c r="C2074" s="11">
        <v>0.32</v>
      </c>
      <c r="D2074" s="11">
        <v>5.0</v>
      </c>
      <c r="E2074" s="11">
        <v>82.0</v>
      </c>
      <c r="F2074" s="11">
        <v>357.0</v>
      </c>
      <c r="G2074" s="11">
        <v>0.547</v>
      </c>
      <c r="H2074" s="11">
        <v>1.107</v>
      </c>
      <c r="I2074" s="9" t="s">
        <v>73</v>
      </c>
    </row>
    <row r="2075">
      <c r="A2075" s="12" t="s">
        <v>143</v>
      </c>
      <c r="B2075" s="5" t="s">
        <v>75</v>
      </c>
      <c r="C2075" s="11">
        <v>0.647</v>
      </c>
      <c r="D2075" s="11">
        <v>7.0</v>
      </c>
      <c r="E2075" s="11">
        <v>35.0</v>
      </c>
      <c r="F2075" s="11">
        <v>132.0</v>
      </c>
      <c r="G2075" s="11">
        <v>0.814</v>
      </c>
      <c r="H2075" s="11">
        <v>0.974</v>
      </c>
      <c r="I2075" s="9" t="s">
        <v>73</v>
      </c>
    </row>
    <row r="2076">
      <c r="A2076" s="12" t="s">
        <v>276</v>
      </c>
      <c r="B2076" s="5" t="s">
        <v>75</v>
      </c>
      <c r="C2076" s="11">
        <v>0.35</v>
      </c>
      <c r="D2076" s="11">
        <v>12.0</v>
      </c>
      <c r="E2076" s="11">
        <v>11.0</v>
      </c>
      <c r="F2076" s="11">
        <v>110.0</v>
      </c>
      <c r="G2076" s="11">
        <v>0.875</v>
      </c>
      <c r="H2076" s="11">
        <v>1.248</v>
      </c>
      <c r="I2076" s="9" t="s">
        <v>73</v>
      </c>
    </row>
    <row r="2077">
      <c r="A2077" s="12" t="s">
        <v>140</v>
      </c>
      <c r="B2077" s="5" t="s">
        <v>75</v>
      </c>
      <c r="C2077" s="8"/>
      <c r="D2077" s="8"/>
      <c r="E2077" s="8"/>
      <c r="F2077" s="8"/>
      <c r="G2077" s="11">
        <v>0.853</v>
      </c>
      <c r="H2077" s="11">
        <v>1.186</v>
      </c>
      <c r="I2077" s="9" t="s">
        <v>73</v>
      </c>
    </row>
    <row r="2078">
      <c r="A2078" s="12" t="s">
        <v>162</v>
      </c>
      <c r="B2078" s="5" t="s">
        <v>75</v>
      </c>
      <c r="C2078" s="11">
        <v>0.306</v>
      </c>
      <c r="D2078" s="11">
        <v>5.0</v>
      </c>
      <c r="E2078" s="11">
        <v>13.0</v>
      </c>
      <c r="F2078" s="11">
        <v>140.0</v>
      </c>
      <c r="G2078" s="11">
        <v>0.962</v>
      </c>
      <c r="H2078" s="11">
        <v>1.081</v>
      </c>
      <c r="I2078" s="9" t="s">
        <v>73</v>
      </c>
    </row>
    <row r="2079">
      <c r="A2079" s="12" t="s">
        <v>167</v>
      </c>
      <c r="B2079" s="5" t="s">
        <v>75</v>
      </c>
      <c r="C2079" s="11">
        <v>0.255</v>
      </c>
      <c r="D2079" s="11">
        <v>10.0</v>
      </c>
      <c r="E2079" s="11">
        <v>15.0</v>
      </c>
      <c r="F2079" s="11">
        <v>80.0</v>
      </c>
      <c r="G2079" s="11">
        <v>0.769</v>
      </c>
      <c r="H2079" s="11">
        <v>1.072</v>
      </c>
      <c r="I2079" s="9" t="s">
        <v>73</v>
      </c>
    </row>
    <row r="2080">
      <c r="A2080" s="12" t="s">
        <v>270</v>
      </c>
      <c r="B2080" s="5" t="s">
        <v>75</v>
      </c>
      <c r="C2080" s="11">
        <v>0.4</v>
      </c>
      <c r="D2080" s="11">
        <v>6.0</v>
      </c>
      <c r="E2080" s="11">
        <v>72.0</v>
      </c>
      <c r="F2080" s="11">
        <v>226.0</v>
      </c>
      <c r="G2080" s="11">
        <v>0.451</v>
      </c>
      <c r="H2080" s="11">
        <v>0.915</v>
      </c>
      <c r="I2080" s="9" t="s">
        <v>73</v>
      </c>
    </row>
    <row r="2081">
      <c r="A2081" s="12" t="s">
        <v>177</v>
      </c>
      <c r="B2081" s="5" t="s">
        <v>75</v>
      </c>
      <c r="C2081" s="11">
        <v>0.154</v>
      </c>
      <c r="D2081" s="11">
        <v>52.0</v>
      </c>
      <c r="E2081" s="11">
        <v>96.0</v>
      </c>
      <c r="F2081" s="11">
        <v>164.0</v>
      </c>
      <c r="G2081" s="8"/>
      <c r="H2081" s="8"/>
      <c r="I2081" s="9" t="s">
        <v>73</v>
      </c>
    </row>
    <row r="2082">
      <c r="A2082" s="12" t="s">
        <v>182</v>
      </c>
      <c r="B2082" s="5" t="s">
        <v>93</v>
      </c>
      <c r="C2082" s="11">
        <v>0.354</v>
      </c>
      <c r="D2082" s="11">
        <v>46.0</v>
      </c>
      <c r="E2082" s="8"/>
      <c r="F2082" s="11">
        <v>180.0</v>
      </c>
      <c r="G2082" s="11">
        <v>0.101</v>
      </c>
      <c r="H2082" s="11">
        <v>0.249</v>
      </c>
      <c r="I2082" s="9" t="s">
        <v>66</v>
      </c>
    </row>
    <row r="2083">
      <c r="A2083" s="12" t="s">
        <v>229</v>
      </c>
      <c r="B2083" s="5" t="s">
        <v>93</v>
      </c>
      <c r="C2083" s="8"/>
      <c r="D2083" s="8"/>
      <c r="E2083" s="8"/>
      <c r="F2083" s="8"/>
      <c r="G2083" s="11">
        <v>0.247</v>
      </c>
      <c r="H2083" s="11">
        <v>0.873</v>
      </c>
      <c r="I2083" s="9" t="s">
        <v>66</v>
      </c>
    </row>
    <row r="2084">
      <c r="A2084" s="12" t="s">
        <v>275</v>
      </c>
      <c r="B2084" s="5" t="s">
        <v>93</v>
      </c>
      <c r="C2084" s="11">
        <v>0.144</v>
      </c>
      <c r="D2084" s="11">
        <v>19.0</v>
      </c>
      <c r="E2084" s="8"/>
      <c r="F2084" s="11">
        <v>12.0</v>
      </c>
      <c r="G2084" s="11">
        <v>0.4</v>
      </c>
      <c r="H2084" s="11">
        <v>1.093</v>
      </c>
      <c r="I2084" s="9" t="s">
        <v>66</v>
      </c>
    </row>
    <row r="2085">
      <c r="A2085" s="12" t="s">
        <v>165</v>
      </c>
      <c r="B2085" s="5" t="s">
        <v>93</v>
      </c>
      <c r="C2085" s="11">
        <v>0.442</v>
      </c>
      <c r="D2085" s="11">
        <v>28.0</v>
      </c>
      <c r="E2085" s="8"/>
      <c r="F2085" s="11">
        <v>344.0</v>
      </c>
      <c r="G2085" s="11">
        <v>0.081</v>
      </c>
      <c r="H2085" s="11">
        <v>0.121</v>
      </c>
      <c r="I2085" s="9" t="s">
        <v>66</v>
      </c>
    </row>
    <row r="2086">
      <c r="A2086" s="12" t="s">
        <v>92</v>
      </c>
      <c r="B2086" s="5" t="s">
        <v>93</v>
      </c>
      <c r="C2086" s="8"/>
      <c r="D2086" s="8"/>
      <c r="E2086" s="8"/>
      <c r="F2086" s="8"/>
      <c r="G2086" s="11">
        <v>0.213</v>
      </c>
      <c r="H2086" s="11">
        <v>0.872</v>
      </c>
      <c r="I2086" s="9" t="s">
        <v>66</v>
      </c>
    </row>
    <row r="2087">
      <c r="A2087" s="12" t="s">
        <v>178</v>
      </c>
      <c r="B2087" s="5" t="s">
        <v>93</v>
      </c>
      <c r="C2087" s="11">
        <v>0.107</v>
      </c>
      <c r="D2087" s="11">
        <v>35.0</v>
      </c>
      <c r="E2087" s="8"/>
      <c r="F2087" s="11">
        <v>98.0</v>
      </c>
      <c r="G2087" s="11">
        <v>0.259</v>
      </c>
      <c r="H2087" s="11">
        <v>0.602</v>
      </c>
      <c r="I2087" s="9" t="s">
        <v>66</v>
      </c>
    </row>
    <row r="2088">
      <c r="A2088" s="12" t="s">
        <v>169</v>
      </c>
      <c r="B2088" s="5" t="s">
        <v>93</v>
      </c>
      <c r="C2088" s="11">
        <v>0.391</v>
      </c>
      <c r="D2088" s="11">
        <v>20.0</v>
      </c>
      <c r="E2088" s="8"/>
      <c r="F2088" s="11">
        <v>230.0</v>
      </c>
      <c r="G2088" s="11">
        <v>0.252</v>
      </c>
      <c r="H2088" s="11">
        <v>1.175</v>
      </c>
      <c r="I2088" s="9" t="s">
        <v>66</v>
      </c>
    </row>
    <row r="2089">
      <c r="A2089" s="12" t="s">
        <v>219</v>
      </c>
      <c r="B2089" s="5" t="s">
        <v>93</v>
      </c>
      <c r="C2089" s="11">
        <v>0.195</v>
      </c>
      <c r="D2089" s="11">
        <v>35.0</v>
      </c>
      <c r="E2089" s="8"/>
      <c r="F2089" s="11">
        <v>52.0</v>
      </c>
      <c r="G2089" s="11">
        <v>0.067</v>
      </c>
      <c r="H2089" s="11">
        <v>0.529</v>
      </c>
      <c r="I2089" s="9" t="s">
        <v>66</v>
      </c>
    </row>
    <row r="2090">
      <c r="A2090" s="12" t="s">
        <v>236</v>
      </c>
      <c r="B2090" s="5" t="s">
        <v>93</v>
      </c>
      <c r="C2090" s="11">
        <v>0.145</v>
      </c>
      <c r="D2090" s="11">
        <v>67.0</v>
      </c>
      <c r="E2090" s="8"/>
      <c r="F2090" s="11">
        <v>69.0</v>
      </c>
      <c r="G2090" s="11">
        <v>0.127</v>
      </c>
      <c r="H2090" s="11">
        <v>0.574</v>
      </c>
      <c r="I2090" s="9" t="s">
        <v>66</v>
      </c>
    </row>
    <row r="2091">
      <c r="A2091" s="12" t="s">
        <v>261</v>
      </c>
      <c r="B2091" s="5" t="s">
        <v>93</v>
      </c>
      <c r="C2091" s="11">
        <v>0.433</v>
      </c>
      <c r="D2091" s="11">
        <v>43.0</v>
      </c>
      <c r="E2091" s="8"/>
      <c r="F2091" s="11">
        <v>336.0</v>
      </c>
      <c r="G2091" s="11">
        <v>0.056</v>
      </c>
      <c r="H2091" s="11">
        <v>0.162</v>
      </c>
      <c r="I2091" s="9" t="s">
        <v>66</v>
      </c>
    </row>
    <row r="2092">
      <c r="A2092" s="12" t="s">
        <v>173</v>
      </c>
      <c r="B2092" s="5" t="s">
        <v>93</v>
      </c>
      <c r="C2092" s="11">
        <v>0.311</v>
      </c>
      <c r="D2092" s="11">
        <v>16.0</v>
      </c>
      <c r="E2092" s="8"/>
      <c r="F2092" s="11">
        <v>136.0</v>
      </c>
      <c r="G2092" s="11">
        <v>0.129</v>
      </c>
      <c r="H2092" s="11">
        <v>0.599</v>
      </c>
      <c r="I2092" s="9" t="s">
        <v>66</v>
      </c>
    </row>
    <row r="2093">
      <c r="A2093" s="12" t="s">
        <v>166</v>
      </c>
      <c r="B2093" s="5" t="s">
        <v>93</v>
      </c>
      <c r="C2093" s="11">
        <v>0.242</v>
      </c>
      <c r="D2093" s="11">
        <v>32.0</v>
      </c>
      <c r="E2093" s="8"/>
      <c r="F2093" s="11">
        <v>312.0</v>
      </c>
      <c r="G2093" s="11">
        <v>0.009</v>
      </c>
      <c r="H2093" s="11">
        <v>0.056</v>
      </c>
      <c r="I2093" s="9" t="s">
        <v>66</v>
      </c>
    </row>
    <row r="2094">
      <c r="A2094" s="12" t="s">
        <v>283</v>
      </c>
      <c r="B2094" s="5" t="s">
        <v>93</v>
      </c>
      <c r="C2094" s="11">
        <v>1.952</v>
      </c>
      <c r="D2094" s="11">
        <v>63.0</v>
      </c>
      <c r="E2094" s="8"/>
      <c r="F2094" s="11">
        <v>248.0</v>
      </c>
      <c r="G2094" s="11">
        <v>0.01</v>
      </c>
      <c r="H2094" s="11">
        <v>0.113</v>
      </c>
      <c r="I2094" s="9" t="s">
        <v>66</v>
      </c>
    </row>
    <row r="2095">
      <c r="A2095" s="12" t="s">
        <v>182</v>
      </c>
      <c r="B2095" s="5" t="s">
        <v>93</v>
      </c>
      <c r="C2095" s="11">
        <v>0.354</v>
      </c>
      <c r="D2095" s="11">
        <v>46.0</v>
      </c>
      <c r="E2095" s="8"/>
      <c r="F2095" s="11">
        <v>180.0</v>
      </c>
      <c r="G2095" s="11">
        <v>0.15</v>
      </c>
      <c r="H2095" s="11">
        <v>0.271</v>
      </c>
      <c r="I2095" s="9" t="s">
        <v>67</v>
      </c>
    </row>
    <row r="2096">
      <c r="A2096" s="12" t="s">
        <v>229</v>
      </c>
      <c r="B2096" s="5" t="s">
        <v>93</v>
      </c>
      <c r="C2096" s="8"/>
      <c r="D2096" s="8"/>
      <c r="E2096" s="8"/>
      <c r="F2096" s="8"/>
      <c r="G2096" s="11">
        <v>0.29</v>
      </c>
      <c r="H2096" s="11">
        <v>0.951</v>
      </c>
      <c r="I2096" s="9" t="s">
        <v>67</v>
      </c>
    </row>
    <row r="2097">
      <c r="A2097" s="12" t="s">
        <v>275</v>
      </c>
      <c r="B2097" s="5" t="s">
        <v>93</v>
      </c>
      <c r="C2097" s="11">
        <v>0.144</v>
      </c>
      <c r="D2097" s="11">
        <v>19.0</v>
      </c>
      <c r="E2097" s="8"/>
      <c r="F2097" s="11">
        <v>12.0</v>
      </c>
      <c r="G2097" s="11">
        <v>0.52</v>
      </c>
      <c r="H2097" s="11">
        <v>1.132</v>
      </c>
      <c r="I2097" s="9" t="s">
        <v>67</v>
      </c>
    </row>
    <row r="2098">
      <c r="A2098" s="12" t="s">
        <v>165</v>
      </c>
      <c r="B2098" s="5" t="s">
        <v>93</v>
      </c>
      <c r="C2098" s="11">
        <v>0.442</v>
      </c>
      <c r="D2098" s="11">
        <v>28.0</v>
      </c>
      <c r="E2098" s="8"/>
      <c r="F2098" s="11">
        <v>344.0</v>
      </c>
      <c r="G2098" s="11">
        <v>0.088</v>
      </c>
      <c r="H2098" s="11">
        <v>0.217</v>
      </c>
      <c r="I2098" s="9" t="s">
        <v>67</v>
      </c>
    </row>
    <row r="2099">
      <c r="A2099" s="12" t="s">
        <v>92</v>
      </c>
      <c r="B2099" s="5" t="s">
        <v>93</v>
      </c>
      <c r="C2099" s="8"/>
      <c r="D2099" s="8"/>
      <c r="E2099" s="8"/>
      <c r="F2099" s="8"/>
      <c r="G2099" s="11">
        <v>0.282</v>
      </c>
      <c r="H2099" s="11">
        <v>0.954</v>
      </c>
      <c r="I2099" s="9" t="s">
        <v>67</v>
      </c>
    </row>
    <row r="2100">
      <c r="A2100" s="12" t="s">
        <v>178</v>
      </c>
      <c r="B2100" s="5" t="s">
        <v>93</v>
      </c>
      <c r="C2100" s="11">
        <v>0.107</v>
      </c>
      <c r="D2100" s="11">
        <v>35.0</v>
      </c>
      <c r="E2100" s="8"/>
      <c r="F2100" s="11">
        <v>98.0</v>
      </c>
      <c r="G2100" s="11">
        <v>0.288</v>
      </c>
      <c r="H2100" s="11">
        <v>0.488</v>
      </c>
      <c r="I2100" s="9" t="s">
        <v>67</v>
      </c>
    </row>
    <row r="2101">
      <c r="A2101" s="12" t="s">
        <v>169</v>
      </c>
      <c r="B2101" s="5" t="s">
        <v>93</v>
      </c>
      <c r="C2101" s="11">
        <v>0.382</v>
      </c>
      <c r="D2101" s="11">
        <v>20.0</v>
      </c>
      <c r="E2101" s="8"/>
      <c r="F2101" s="11">
        <v>230.0</v>
      </c>
      <c r="G2101" s="11">
        <v>0.279</v>
      </c>
      <c r="H2101" s="11">
        <v>1.243</v>
      </c>
      <c r="I2101" s="9" t="s">
        <v>67</v>
      </c>
    </row>
    <row r="2102">
      <c r="A2102" s="12" t="s">
        <v>219</v>
      </c>
      <c r="B2102" s="5" t="s">
        <v>93</v>
      </c>
      <c r="C2102" s="11">
        <v>0.203</v>
      </c>
      <c r="D2102" s="11">
        <v>35.0</v>
      </c>
      <c r="E2102" s="8"/>
      <c r="F2102" s="11">
        <v>52.0</v>
      </c>
      <c r="G2102" s="11">
        <v>0.083</v>
      </c>
      <c r="H2102" s="11">
        <v>0.712</v>
      </c>
      <c r="I2102" s="9" t="s">
        <v>67</v>
      </c>
    </row>
    <row r="2103">
      <c r="A2103" s="12" t="s">
        <v>236</v>
      </c>
      <c r="B2103" s="5" t="s">
        <v>93</v>
      </c>
      <c r="C2103" s="11">
        <v>0.145</v>
      </c>
      <c r="D2103" s="11">
        <v>42.0</v>
      </c>
      <c r="E2103" s="8"/>
      <c r="F2103" s="11">
        <v>79.0</v>
      </c>
      <c r="G2103" s="11">
        <v>0.195</v>
      </c>
      <c r="H2103" s="11">
        <v>0.776</v>
      </c>
      <c r="I2103" s="9" t="s">
        <v>67</v>
      </c>
    </row>
    <row r="2104">
      <c r="A2104" s="12" t="s">
        <v>261</v>
      </c>
      <c r="B2104" s="5" t="s">
        <v>93</v>
      </c>
      <c r="C2104" s="11">
        <v>0.433</v>
      </c>
      <c r="D2104" s="11">
        <v>43.0</v>
      </c>
      <c r="E2104" s="8"/>
      <c r="F2104" s="11">
        <v>336.0</v>
      </c>
      <c r="G2104" s="11">
        <v>0.078</v>
      </c>
      <c r="H2104" s="11">
        <v>0.249</v>
      </c>
      <c r="I2104" s="9" t="s">
        <v>67</v>
      </c>
    </row>
    <row r="2105">
      <c r="A2105" s="12" t="s">
        <v>173</v>
      </c>
      <c r="B2105" s="5" t="s">
        <v>93</v>
      </c>
      <c r="C2105" s="11">
        <v>0.311</v>
      </c>
      <c r="D2105" s="11">
        <v>16.0</v>
      </c>
      <c r="E2105" s="8"/>
      <c r="F2105" s="11">
        <v>136.0</v>
      </c>
      <c r="G2105" s="11">
        <v>0.139</v>
      </c>
      <c r="H2105" s="11">
        <v>0.8</v>
      </c>
      <c r="I2105" s="9" t="s">
        <v>67</v>
      </c>
    </row>
    <row r="2106">
      <c r="A2106" s="12" t="s">
        <v>166</v>
      </c>
      <c r="B2106" s="5" t="s">
        <v>93</v>
      </c>
      <c r="C2106" s="11">
        <v>0.278</v>
      </c>
      <c r="D2106" s="11">
        <v>32.0</v>
      </c>
      <c r="E2106" s="8"/>
      <c r="F2106" s="11">
        <v>312.0</v>
      </c>
      <c r="G2106" s="11">
        <v>0.01</v>
      </c>
      <c r="H2106" s="11">
        <v>0.333</v>
      </c>
      <c r="I2106" s="9" t="s">
        <v>67</v>
      </c>
    </row>
    <row r="2107">
      <c r="A2107" s="12" t="s">
        <v>283</v>
      </c>
      <c r="B2107" s="5" t="s">
        <v>93</v>
      </c>
      <c r="C2107" s="11">
        <v>0.479</v>
      </c>
      <c r="D2107" s="11">
        <v>63.0</v>
      </c>
      <c r="E2107" s="8"/>
      <c r="F2107" s="11">
        <v>248.0</v>
      </c>
      <c r="G2107" s="11">
        <v>0.012</v>
      </c>
      <c r="H2107" s="11">
        <v>0.144</v>
      </c>
      <c r="I2107" s="9" t="s">
        <v>67</v>
      </c>
    </row>
    <row r="2108">
      <c r="A2108" s="12" t="s">
        <v>182</v>
      </c>
      <c r="B2108" s="5" t="s">
        <v>93</v>
      </c>
      <c r="C2108" s="11">
        <v>0.354</v>
      </c>
      <c r="D2108" s="11">
        <v>46.0</v>
      </c>
      <c r="E2108" s="8"/>
      <c r="F2108" s="11">
        <v>180.0</v>
      </c>
      <c r="G2108" s="11">
        <v>0.187</v>
      </c>
      <c r="H2108" s="11">
        <v>0.304</v>
      </c>
      <c r="I2108" s="9" t="s">
        <v>68</v>
      </c>
    </row>
    <row r="2109">
      <c r="A2109" s="12" t="s">
        <v>229</v>
      </c>
      <c r="B2109" s="5" t="s">
        <v>93</v>
      </c>
      <c r="C2109" s="11">
        <v>0.113</v>
      </c>
      <c r="D2109" s="11">
        <v>7.0</v>
      </c>
      <c r="E2109" s="8"/>
      <c r="F2109" s="11">
        <v>36.0</v>
      </c>
      <c r="G2109" s="11">
        <v>0.37</v>
      </c>
      <c r="H2109" s="11">
        <v>1.097</v>
      </c>
      <c r="I2109" s="9" t="s">
        <v>68</v>
      </c>
    </row>
    <row r="2110">
      <c r="A2110" s="12" t="s">
        <v>275</v>
      </c>
      <c r="B2110" s="5" t="s">
        <v>93</v>
      </c>
      <c r="C2110" s="11">
        <v>0.144</v>
      </c>
      <c r="D2110" s="11">
        <v>18.0</v>
      </c>
      <c r="E2110" s="8"/>
      <c r="F2110" s="11">
        <v>12.0</v>
      </c>
      <c r="G2110" s="11">
        <v>0.61</v>
      </c>
      <c r="H2110" s="11">
        <v>1.334</v>
      </c>
      <c r="I2110" s="9" t="s">
        <v>68</v>
      </c>
    </row>
    <row r="2111">
      <c r="A2111" s="12" t="s">
        <v>92</v>
      </c>
      <c r="B2111" s="5" t="s">
        <v>93</v>
      </c>
      <c r="C2111" s="11">
        <v>0.147</v>
      </c>
      <c r="D2111" s="11">
        <v>9.0</v>
      </c>
      <c r="E2111" s="8"/>
      <c r="F2111" s="11">
        <v>36.0</v>
      </c>
      <c r="G2111" s="11">
        <v>0.329</v>
      </c>
      <c r="H2111" s="11">
        <v>1.081</v>
      </c>
      <c r="I2111" s="9" t="s">
        <v>68</v>
      </c>
    </row>
    <row r="2112">
      <c r="A2112" s="12" t="s">
        <v>165</v>
      </c>
      <c r="B2112" s="5" t="s">
        <v>93</v>
      </c>
      <c r="C2112" s="11">
        <v>0.442</v>
      </c>
      <c r="D2112" s="11">
        <v>28.0</v>
      </c>
      <c r="E2112" s="8"/>
      <c r="F2112" s="11">
        <v>344.0</v>
      </c>
      <c r="G2112" s="11">
        <v>0.095</v>
      </c>
      <c r="H2112" s="11">
        <v>0.415</v>
      </c>
      <c r="I2112" s="9" t="s">
        <v>68</v>
      </c>
    </row>
    <row r="2113">
      <c r="A2113" s="12" t="s">
        <v>178</v>
      </c>
      <c r="B2113" s="5" t="s">
        <v>93</v>
      </c>
      <c r="C2113" s="11">
        <v>0.107</v>
      </c>
      <c r="D2113" s="11">
        <v>35.0</v>
      </c>
      <c r="E2113" s="8"/>
      <c r="F2113" s="11">
        <v>98.0</v>
      </c>
      <c r="G2113" s="11">
        <v>0.348</v>
      </c>
      <c r="H2113" s="11">
        <v>0.558</v>
      </c>
      <c r="I2113" s="9" t="s">
        <v>68</v>
      </c>
    </row>
    <row r="2114">
      <c r="A2114" s="12" t="s">
        <v>169</v>
      </c>
      <c r="B2114" s="5" t="s">
        <v>93</v>
      </c>
      <c r="C2114" s="11">
        <v>0.352</v>
      </c>
      <c r="D2114" s="11">
        <v>20.0</v>
      </c>
      <c r="E2114" s="8"/>
      <c r="F2114" s="11">
        <v>230.0</v>
      </c>
      <c r="G2114" s="11">
        <v>0.481</v>
      </c>
      <c r="H2114" s="11">
        <v>1.285</v>
      </c>
      <c r="I2114" s="9" t="s">
        <v>68</v>
      </c>
    </row>
    <row r="2115">
      <c r="A2115" s="12" t="s">
        <v>236</v>
      </c>
      <c r="B2115" s="5" t="s">
        <v>93</v>
      </c>
      <c r="C2115" s="11">
        <v>0.145</v>
      </c>
      <c r="D2115" s="11">
        <v>20.0</v>
      </c>
      <c r="E2115" s="8"/>
      <c r="F2115" s="11">
        <v>79.0</v>
      </c>
      <c r="G2115" s="11">
        <v>0.3</v>
      </c>
      <c r="H2115" s="11">
        <v>1.096</v>
      </c>
      <c r="I2115" s="9" t="s">
        <v>68</v>
      </c>
    </row>
    <row r="2116">
      <c r="A2116" s="12" t="s">
        <v>219</v>
      </c>
      <c r="B2116" s="5" t="s">
        <v>93</v>
      </c>
      <c r="C2116" s="11">
        <v>0.12</v>
      </c>
      <c r="D2116" s="11">
        <v>35.0</v>
      </c>
      <c r="E2116" s="8"/>
      <c r="F2116" s="11">
        <v>62.0</v>
      </c>
      <c r="G2116" s="11">
        <v>0.167</v>
      </c>
      <c r="H2116" s="11">
        <v>0.973</v>
      </c>
      <c r="I2116" s="9" t="s">
        <v>68</v>
      </c>
    </row>
    <row r="2117">
      <c r="A2117" s="12" t="s">
        <v>261</v>
      </c>
      <c r="B2117" s="5" t="s">
        <v>93</v>
      </c>
      <c r="C2117" s="11">
        <v>0.433</v>
      </c>
      <c r="D2117" s="11">
        <v>43.0</v>
      </c>
      <c r="E2117" s="8"/>
      <c r="F2117" s="11">
        <v>336.0</v>
      </c>
      <c r="G2117" s="11">
        <v>0.115</v>
      </c>
      <c r="H2117" s="11">
        <v>0.319</v>
      </c>
      <c r="I2117" s="9" t="s">
        <v>68</v>
      </c>
    </row>
    <row r="2118">
      <c r="A2118" s="12" t="s">
        <v>173</v>
      </c>
      <c r="B2118" s="5" t="s">
        <v>93</v>
      </c>
      <c r="C2118" s="11">
        <v>0.311</v>
      </c>
      <c r="D2118" s="11">
        <v>13.0</v>
      </c>
      <c r="E2118" s="8"/>
      <c r="F2118" s="11">
        <v>136.0</v>
      </c>
      <c r="G2118" s="11">
        <v>0.2</v>
      </c>
      <c r="H2118" s="11">
        <v>0.844</v>
      </c>
      <c r="I2118" s="9" t="s">
        <v>68</v>
      </c>
    </row>
    <row r="2119">
      <c r="A2119" s="12" t="s">
        <v>283</v>
      </c>
      <c r="B2119" s="5" t="s">
        <v>93</v>
      </c>
      <c r="C2119" s="11">
        <v>0.479</v>
      </c>
      <c r="D2119" s="11">
        <v>63.0</v>
      </c>
      <c r="E2119" s="8"/>
      <c r="F2119" s="11">
        <v>248.0</v>
      </c>
      <c r="G2119" s="11">
        <v>0.05</v>
      </c>
      <c r="H2119" s="11">
        <v>0.205</v>
      </c>
      <c r="I2119" s="9" t="s">
        <v>68</v>
      </c>
    </row>
    <row r="2120">
      <c r="A2120" s="12" t="s">
        <v>166</v>
      </c>
      <c r="B2120" s="5" t="s">
        <v>93</v>
      </c>
      <c r="C2120" s="11">
        <v>0.278</v>
      </c>
      <c r="D2120" s="11">
        <v>32.0</v>
      </c>
      <c r="E2120" s="8"/>
      <c r="F2120" s="11">
        <v>312.0</v>
      </c>
      <c r="G2120" s="11">
        <v>0.009</v>
      </c>
      <c r="H2120" s="11">
        <v>0.488</v>
      </c>
      <c r="I2120" s="9" t="s">
        <v>68</v>
      </c>
    </row>
    <row r="2121">
      <c r="A2121" s="12" t="s">
        <v>182</v>
      </c>
      <c r="B2121" s="5" t="s">
        <v>93</v>
      </c>
      <c r="C2121" s="11">
        <v>0.36</v>
      </c>
      <c r="D2121" s="11">
        <v>11.0</v>
      </c>
      <c r="E2121" s="8"/>
      <c r="F2121" s="11">
        <v>180.0</v>
      </c>
      <c r="G2121" s="11">
        <v>0.225</v>
      </c>
      <c r="H2121" s="11">
        <v>0.341</v>
      </c>
      <c r="I2121" s="9" t="s">
        <v>69</v>
      </c>
    </row>
    <row r="2122">
      <c r="A2122" s="12" t="s">
        <v>229</v>
      </c>
      <c r="B2122" s="5" t="s">
        <v>93</v>
      </c>
      <c r="C2122" s="11">
        <v>0.113</v>
      </c>
      <c r="D2122" s="11">
        <v>7.0</v>
      </c>
      <c r="E2122" s="8"/>
      <c r="F2122" s="11">
        <v>36.0</v>
      </c>
      <c r="G2122" s="11">
        <v>0.443</v>
      </c>
      <c r="H2122" s="11">
        <v>1.052</v>
      </c>
      <c r="I2122" s="9" t="s">
        <v>69</v>
      </c>
    </row>
    <row r="2123">
      <c r="A2123" s="12" t="s">
        <v>275</v>
      </c>
      <c r="B2123" s="5" t="s">
        <v>93</v>
      </c>
      <c r="C2123" s="11">
        <v>0.144</v>
      </c>
      <c r="D2123" s="11">
        <v>18.0</v>
      </c>
      <c r="E2123" s="8"/>
      <c r="F2123" s="11">
        <v>12.0</v>
      </c>
      <c r="G2123" s="11">
        <v>0.63</v>
      </c>
      <c r="H2123" s="11">
        <v>1.376</v>
      </c>
      <c r="I2123" s="9" t="s">
        <v>69</v>
      </c>
    </row>
    <row r="2124">
      <c r="A2124" s="12" t="s">
        <v>92</v>
      </c>
      <c r="B2124" s="5" t="s">
        <v>93</v>
      </c>
      <c r="C2124" s="11">
        <v>0.135</v>
      </c>
      <c r="D2124" s="11">
        <v>9.0</v>
      </c>
      <c r="E2124" s="8"/>
      <c r="F2124" s="11">
        <v>36.0</v>
      </c>
      <c r="G2124" s="11">
        <v>0.52</v>
      </c>
      <c r="H2124" s="11">
        <v>1.291</v>
      </c>
      <c r="I2124" s="9" t="s">
        <v>69</v>
      </c>
    </row>
    <row r="2125">
      <c r="A2125" s="12" t="s">
        <v>165</v>
      </c>
      <c r="B2125" s="5" t="s">
        <v>93</v>
      </c>
      <c r="C2125" s="11">
        <v>0.442</v>
      </c>
      <c r="D2125" s="11">
        <v>28.0</v>
      </c>
      <c r="E2125" s="8"/>
      <c r="F2125" s="11">
        <v>344.0</v>
      </c>
      <c r="G2125" s="11">
        <v>0.102</v>
      </c>
      <c r="H2125" s="11">
        <v>0.592</v>
      </c>
      <c r="I2125" s="9" t="s">
        <v>69</v>
      </c>
    </row>
    <row r="2126">
      <c r="A2126" s="12" t="s">
        <v>178</v>
      </c>
      <c r="B2126" s="5" t="s">
        <v>93</v>
      </c>
      <c r="C2126" s="11">
        <v>0.107</v>
      </c>
      <c r="D2126" s="11">
        <v>35.0</v>
      </c>
      <c r="E2126" s="8"/>
      <c r="F2126" s="11">
        <v>98.0</v>
      </c>
      <c r="G2126" s="11">
        <v>0.42</v>
      </c>
      <c r="H2126" s="11">
        <v>0.555</v>
      </c>
      <c r="I2126" s="9" t="s">
        <v>69</v>
      </c>
    </row>
    <row r="2127">
      <c r="A2127" s="12" t="s">
        <v>236</v>
      </c>
      <c r="B2127" s="5" t="s">
        <v>93</v>
      </c>
      <c r="C2127" s="11">
        <v>0.145</v>
      </c>
      <c r="D2127" s="11">
        <v>20.0</v>
      </c>
      <c r="E2127" s="8"/>
      <c r="F2127" s="11">
        <v>79.0</v>
      </c>
      <c r="G2127" s="11">
        <v>0.36</v>
      </c>
      <c r="H2127" s="11">
        <v>1.365</v>
      </c>
      <c r="I2127" s="9" t="s">
        <v>69</v>
      </c>
    </row>
    <row r="2128">
      <c r="A2128" s="12" t="s">
        <v>219</v>
      </c>
      <c r="B2128" s="5" t="s">
        <v>93</v>
      </c>
      <c r="C2128" s="11">
        <v>0.216</v>
      </c>
      <c r="D2128" s="11">
        <v>14.0</v>
      </c>
      <c r="E2128" s="8"/>
      <c r="F2128" s="11">
        <v>62.0</v>
      </c>
      <c r="G2128" s="11">
        <v>0.2</v>
      </c>
      <c r="H2128" s="11">
        <v>1.241</v>
      </c>
      <c r="I2128" s="9" t="s">
        <v>69</v>
      </c>
    </row>
    <row r="2129">
      <c r="A2129" s="12" t="s">
        <v>169</v>
      </c>
      <c r="B2129" s="5" t="s">
        <v>93</v>
      </c>
      <c r="C2129" s="11">
        <v>0.33</v>
      </c>
      <c r="D2129" s="11">
        <v>20.0</v>
      </c>
      <c r="E2129" s="8"/>
      <c r="F2129" s="11">
        <v>230.0</v>
      </c>
      <c r="G2129" s="11">
        <v>0.594</v>
      </c>
      <c r="H2129" s="11">
        <v>1.264</v>
      </c>
      <c r="I2129" s="9" t="s">
        <v>69</v>
      </c>
    </row>
    <row r="2130">
      <c r="A2130" s="12" t="s">
        <v>261</v>
      </c>
      <c r="B2130" s="5" t="s">
        <v>93</v>
      </c>
      <c r="C2130" s="11">
        <v>0.398</v>
      </c>
      <c r="D2130" s="11">
        <v>16.0</v>
      </c>
      <c r="E2130" s="8"/>
      <c r="F2130" s="11">
        <v>336.0</v>
      </c>
      <c r="G2130" s="11">
        <v>0.14</v>
      </c>
      <c r="H2130" s="11">
        <v>0.347</v>
      </c>
      <c r="I2130" s="9" t="s">
        <v>69</v>
      </c>
    </row>
    <row r="2131">
      <c r="A2131" s="12" t="s">
        <v>173</v>
      </c>
      <c r="B2131" s="5" t="s">
        <v>93</v>
      </c>
      <c r="C2131" s="11">
        <v>0.311</v>
      </c>
      <c r="D2131" s="11">
        <v>13.0</v>
      </c>
      <c r="E2131" s="8"/>
      <c r="F2131" s="11">
        <v>136.0</v>
      </c>
      <c r="G2131" s="11">
        <v>0.23</v>
      </c>
      <c r="H2131" s="11">
        <v>0.899</v>
      </c>
      <c r="I2131" s="9" t="s">
        <v>69</v>
      </c>
    </row>
    <row r="2132">
      <c r="A2132" s="12" t="s">
        <v>283</v>
      </c>
      <c r="B2132" s="5" t="s">
        <v>93</v>
      </c>
      <c r="C2132" s="11">
        <v>0.478</v>
      </c>
      <c r="D2132" s="11">
        <v>13.0</v>
      </c>
      <c r="E2132" s="8"/>
      <c r="F2132" s="11">
        <v>248.0</v>
      </c>
      <c r="G2132" s="11">
        <v>0.069</v>
      </c>
      <c r="H2132" s="11">
        <v>0.297</v>
      </c>
      <c r="I2132" s="9" t="s">
        <v>69</v>
      </c>
    </row>
    <row r="2133">
      <c r="A2133" s="12" t="s">
        <v>166</v>
      </c>
      <c r="B2133" s="5" t="s">
        <v>93</v>
      </c>
      <c r="C2133" s="11">
        <v>0.278</v>
      </c>
      <c r="D2133" s="11">
        <v>32.0</v>
      </c>
      <c r="E2133" s="8"/>
      <c r="F2133" s="11">
        <v>312.0</v>
      </c>
      <c r="G2133" s="11">
        <v>0.01</v>
      </c>
      <c r="H2133" s="11">
        <v>0.596</v>
      </c>
      <c r="I2133" s="9" t="s">
        <v>69</v>
      </c>
    </row>
    <row r="2134">
      <c r="A2134" s="12" t="s">
        <v>229</v>
      </c>
      <c r="B2134" s="5" t="s">
        <v>93</v>
      </c>
      <c r="C2134" s="11">
        <v>0.113</v>
      </c>
      <c r="D2134" s="11">
        <v>7.0</v>
      </c>
      <c r="E2134" s="8"/>
      <c r="F2134" s="11">
        <v>36.0</v>
      </c>
      <c r="G2134" s="11">
        <v>0.531</v>
      </c>
      <c r="H2134" s="11">
        <v>1.246</v>
      </c>
      <c r="I2134" s="9" t="s">
        <v>70</v>
      </c>
    </row>
    <row r="2135">
      <c r="A2135" s="12" t="s">
        <v>182</v>
      </c>
      <c r="B2135" s="5" t="s">
        <v>93</v>
      </c>
      <c r="C2135" s="11">
        <v>0.302</v>
      </c>
      <c r="D2135" s="11">
        <v>9.0</v>
      </c>
      <c r="E2135" s="8"/>
      <c r="F2135" s="11">
        <v>180.0</v>
      </c>
      <c r="G2135" s="11">
        <v>0.301</v>
      </c>
      <c r="H2135" s="11">
        <v>0.563</v>
      </c>
      <c r="I2135" s="9" t="s">
        <v>70</v>
      </c>
    </row>
    <row r="2136">
      <c r="A2136" s="12" t="s">
        <v>275</v>
      </c>
      <c r="B2136" s="5" t="s">
        <v>93</v>
      </c>
      <c r="C2136" s="11">
        <v>0.141</v>
      </c>
      <c r="D2136" s="11">
        <v>15.0</v>
      </c>
      <c r="E2136" s="8"/>
      <c r="F2136" s="11">
        <v>12.0</v>
      </c>
      <c r="G2136" s="11">
        <v>0.64</v>
      </c>
      <c r="H2136" s="11">
        <v>1.383</v>
      </c>
      <c r="I2136" s="9" t="s">
        <v>70</v>
      </c>
    </row>
    <row r="2137">
      <c r="A2137" s="12" t="s">
        <v>92</v>
      </c>
      <c r="B2137" s="5" t="s">
        <v>93</v>
      </c>
      <c r="C2137" s="11">
        <v>0.135</v>
      </c>
      <c r="D2137" s="11">
        <v>9.0</v>
      </c>
      <c r="E2137" s="8"/>
      <c r="F2137" s="11">
        <v>36.0</v>
      </c>
      <c r="G2137" s="11">
        <v>0.53</v>
      </c>
      <c r="H2137" s="11">
        <v>1.177</v>
      </c>
      <c r="I2137" s="9" t="s">
        <v>70</v>
      </c>
    </row>
    <row r="2138">
      <c r="A2138" s="12" t="s">
        <v>165</v>
      </c>
      <c r="B2138" s="5" t="s">
        <v>93</v>
      </c>
      <c r="C2138" s="11">
        <v>0.442</v>
      </c>
      <c r="D2138" s="11">
        <v>9.0</v>
      </c>
      <c r="E2138" s="8"/>
      <c r="F2138" s="11">
        <v>344.0</v>
      </c>
      <c r="G2138" s="11">
        <v>0.111</v>
      </c>
      <c r="H2138" s="11">
        <v>0.715</v>
      </c>
      <c r="I2138" s="9" t="s">
        <v>70</v>
      </c>
    </row>
    <row r="2139">
      <c r="A2139" s="12" t="s">
        <v>178</v>
      </c>
      <c r="B2139" s="5" t="s">
        <v>93</v>
      </c>
      <c r="C2139" s="11">
        <v>0.107</v>
      </c>
      <c r="D2139" s="11">
        <v>35.0</v>
      </c>
      <c r="E2139" s="8"/>
      <c r="F2139" s="11">
        <v>98.0</v>
      </c>
      <c r="G2139" s="11">
        <v>0.508</v>
      </c>
      <c r="H2139" s="11">
        <v>0.919</v>
      </c>
      <c r="I2139" s="9" t="s">
        <v>70</v>
      </c>
    </row>
    <row r="2140">
      <c r="A2140" s="12" t="s">
        <v>236</v>
      </c>
      <c r="B2140" s="5" t="s">
        <v>93</v>
      </c>
      <c r="C2140" s="11">
        <v>0.145</v>
      </c>
      <c r="D2140" s="11">
        <v>21.0</v>
      </c>
      <c r="E2140" s="8"/>
      <c r="F2140" s="11">
        <v>79.0</v>
      </c>
      <c r="G2140" s="11">
        <v>0.38</v>
      </c>
      <c r="H2140" s="11">
        <v>1.674</v>
      </c>
      <c r="I2140" s="9" t="s">
        <v>70</v>
      </c>
    </row>
    <row r="2141">
      <c r="A2141" s="12" t="s">
        <v>219</v>
      </c>
      <c r="B2141" s="5" t="s">
        <v>93</v>
      </c>
      <c r="C2141" s="11">
        <v>0.216</v>
      </c>
      <c r="D2141" s="11">
        <v>12.0</v>
      </c>
      <c r="E2141" s="8"/>
      <c r="F2141" s="11">
        <v>62.0</v>
      </c>
      <c r="G2141" s="11">
        <v>0.268</v>
      </c>
      <c r="H2141" s="11">
        <v>1.491</v>
      </c>
      <c r="I2141" s="9" t="s">
        <v>70</v>
      </c>
    </row>
    <row r="2142">
      <c r="A2142" s="12" t="s">
        <v>169</v>
      </c>
      <c r="B2142" s="5" t="s">
        <v>93</v>
      </c>
      <c r="C2142" s="11">
        <v>0.319</v>
      </c>
      <c r="D2142" s="11">
        <v>20.0</v>
      </c>
      <c r="E2142" s="8"/>
      <c r="F2142" s="11">
        <v>230.0</v>
      </c>
      <c r="G2142" s="11">
        <v>0.631</v>
      </c>
      <c r="H2142" s="11">
        <v>1.24</v>
      </c>
      <c r="I2142" s="9" t="s">
        <v>70</v>
      </c>
    </row>
    <row r="2143">
      <c r="A2143" s="12" t="s">
        <v>261</v>
      </c>
      <c r="B2143" s="5" t="s">
        <v>93</v>
      </c>
      <c r="C2143" s="11">
        <v>0.397</v>
      </c>
      <c r="D2143" s="11">
        <v>15.0</v>
      </c>
      <c r="E2143" s="8"/>
      <c r="F2143" s="11">
        <v>336.0</v>
      </c>
      <c r="G2143" s="11">
        <v>0.173</v>
      </c>
      <c r="H2143" s="11">
        <v>0.477</v>
      </c>
      <c r="I2143" s="9" t="s">
        <v>70</v>
      </c>
    </row>
    <row r="2144">
      <c r="A2144" s="12" t="s">
        <v>173</v>
      </c>
      <c r="B2144" s="5" t="s">
        <v>93</v>
      </c>
      <c r="C2144" s="11">
        <v>0.311</v>
      </c>
      <c r="D2144" s="11">
        <v>12.0</v>
      </c>
      <c r="E2144" s="8"/>
      <c r="F2144" s="11">
        <v>136.0</v>
      </c>
      <c r="G2144" s="11">
        <v>0.26</v>
      </c>
      <c r="H2144" s="11">
        <v>0.973</v>
      </c>
      <c r="I2144" s="9" t="s">
        <v>70</v>
      </c>
    </row>
    <row r="2145">
      <c r="A2145" s="12" t="s">
        <v>283</v>
      </c>
      <c r="B2145" s="5" t="s">
        <v>93</v>
      </c>
      <c r="C2145" s="11">
        <v>0.478</v>
      </c>
      <c r="D2145" s="11">
        <v>12.0</v>
      </c>
      <c r="E2145" s="8"/>
      <c r="F2145" s="11">
        <v>248.0</v>
      </c>
      <c r="G2145" s="11">
        <v>0.1</v>
      </c>
      <c r="H2145" s="11">
        <v>0.374</v>
      </c>
      <c r="I2145" s="9" t="s">
        <v>70</v>
      </c>
    </row>
    <row r="2146">
      <c r="A2146" s="12" t="s">
        <v>166</v>
      </c>
      <c r="B2146" s="5" t="s">
        <v>93</v>
      </c>
      <c r="C2146" s="11">
        <v>0.278</v>
      </c>
      <c r="D2146" s="11">
        <v>32.0</v>
      </c>
      <c r="E2146" s="8"/>
      <c r="F2146" s="11">
        <v>312.0</v>
      </c>
      <c r="G2146" s="11">
        <v>0.011</v>
      </c>
      <c r="H2146" s="11">
        <v>0.667</v>
      </c>
      <c r="I2146" s="9" t="s">
        <v>70</v>
      </c>
    </row>
    <row r="2147">
      <c r="A2147" s="12" t="s">
        <v>229</v>
      </c>
      <c r="B2147" s="5" t="s">
        <v>93</v>
      </c>
      <c r="C2147" s="11">
        <v>0.113</v>
      </c>
      <c r="D2147" s="11">
        <v>10.0</v>
      </c>
      <c r="E2147" s="8"/>
      <c r="F2147" s="11">
        <v>36.0</v>
      </c>
      <c r="G2147" s="11">
        <v>0.69</v>
      </c>
      <c r="H2147" s="11">
        <v>1.25</v>
      </c>
      <c r="I2147" s="9" t="s">
        <v>71</v>
      </c>
    </row>
    <row r="2148">
      <c r="A2148" s="12" t="s">
        <v>182</v>
      </c>
      <c r="B2148" s="5" t="s">
        <v>93</v>
      </c>
      <c r="C2148" s="11">
        <v>0.302</v>
      </c>
      <c r="D2148" s="11">
        <v>9.0</v>
      </c>
      <c r="E2148" s="8"/>
      <c r="F2148" s="11">
        <v>180.0</v>
      </c>
      <c r="G2148" s="11">
        <v>0.437</v>
      </c>
      <c r="H2148" s="11">
        <v>0.66</v>
      </c>
      <c r="I2148" s="9" t="s">
        <v>71</v>
      </c>
    </row>
    <row r="2149">
      <c r="A2149" s="12" t="s">
        <v>92</v>
      </c>
      <c r="B2149" s="5" t="s">
        <v>93</v>
      </c>
      <c r="C2149" s="11">
        <v>0.135</v>
      </c>
      <c r="D2149" s="11">
        <v>9.0</v>
      </c>
      <c r="E2149" s="8"/>
      <c r="F2149" s="11">
        <v>36.0</v>
      </c>
      <c r="G2149" s="11">
        <v>0.55</v>
      </c>
      <c r="H2149" s="11">
        <v>1.252</v>
      </c>
      <c r="I2149" s="9" t="s">
        <v>71</v>
      </c>
    </row>
    <row r="2150">
      <c r="A2150" s="12" t="s">
        <v>275</v>
      </c>
      <c r="B2150" s="5" t="s">
        <v>93</v>
      </c>
      <c r="C2150" s="11">
        <v>0.141</v>
      </c>
      <c r="D2150" s="11">
        <v>15.0</v>
      </c>
      <c r="E2150" s="8"/>
      <c r="F2150" s="11">
        <v>12.0</v>
      </c>
      <c r="G2150" s="11">
        <v>0.68</v>
      </c>
      <c r="H2150" s="11">
        <v>1.294</v>
      </c>
      <c r="I2150" s="9" t="s">
        <v>71</v>
      </c>
    </row>
    <row r="2151">
      <c r="A2151" s="12" t="s">
        <v>165</v>
      </c>
      <c r="B2151" s="5" t="s">
        <v>93</v>
      </c>
      <c r="C2151" s="11">
        <v>0.441</v>
      </c>
      <c r="D2151" s="11">
        <v>11.0</v>
      </c>
      <c r="E2151" s="8"/>
      <c r="F2151" s="11">
        <v>344.0</v>
      </c>
      <c r="G2151" s="11">
        <v>0.147</v>
      </c>
      <c r="H2151" s="11">
        <v>0.726</v>
      </c>
      <c r="I2151" s="9" t="s">
        <v>71</v>
      </c>
    </row>
    <row r="2152">
      <c r="A2152" s="12" t="s">
        <v>178</v>
      </c>
      <c r="B2152" s="5" t="s">
        <v>93</v>
      </c>
      <c r="C2152" s="11">
        <v>0.107</v>
      </c>
      <c r="D2152" s="11">
        <v>35.0</v>
      </c>
      <c r="E2152" s="8"/>
      <c r="F2152" s="11">
        <v>98.0</v>
      </c>
      <c r="G2152" s="11">
        <v>0.614</v>
      </c>
      <c r="H2152" s="11">
        <v>1.33</v>
      </c>
      <c r="I2152" s="9" t="s">
        <v>71</v>
      </c>
    </row>
    <row r="2153">
      <c r="A2153" s="12" t="s">
        <v>236</v>
      </c>
      <c r="B2153" s="5" t="s">
        <v>93</v>
      </c>
      <c r="C2153" s="11">
        <v>0.145</v>
      </c>
      <c r="D2153" s="11">
        <v>21.0</v>
      </c>
      <c r="E2153" s="8"/>
      <c r="F2153" s="11">
        <v>79.0</v>
      </c>
      <c r="G2153" s="11">
        <v>0.41</v>
      </c>
      <c r="H2153" s="11">
        <v>1.892</v>
      </c>
      <c r="I2153" s="9" t="s">
        <v>71</v>
      </c>
    </row>
    <row r="2154">
      <c r="A2154" s="12" t="s">
        <v>219</v>
      </c>
      <c r="B2154" s="5" t="s">
        <v>93</v>
      </c>
      <c r="C2154" s="11">
        <v>0.216</v>
      </c>
      <c r="D2154" s="11">
        <v>12.0</v>
      </c>
      <c r="E2154" s="8"/>
      <c r="F2154" s="11">
        <v>62.0</v>
      </c>
      <c r="G2154" s="11">
        <v>0.358</v>
      </c>
      <c r="H2154" s="11">
        <v>1.643</v>
      </c>
      <c r="I2154" s="9" t="s">
        <v>71</v>
      </c>
    </row>
    <row r="2155">
      <c r="A2155" s="12" t="s">
        <v>169</v>
      </c>
      <c r="B2155" s="5" t="s">
        <v>93</v>
      </c>
      <c r="C2155" s="11">
        <v>0.311</v>
      </c>
      <c r="D2155" s="11">
        <v>20.0</v>
      </c>
      <c r="E2155" s="8"/>
      <c r="F2155" s="11">
        <v>235.0</v>
      </c>
      <c r="G2155" s="11">
        <v>0.675</v>
      </c>
      <c r="H2155" s="11">
        <v>1.228</v>
      </c>
      <c r="I2155" s="9" t="s">
        <v>71</v>
      </c>
    </row>
    <row r="2156">
      <c r="A2156" s="12" t="s">
        <v>261</v>
      </c>
      <c r="B2156" s="5" t="s">
        <v>93</v>
      </c>
      <c r="C2156" s="11">
        <v>0.397</v>
      </c>
      <c r="D2156" s="11">
        <v>13.0</v>
      </c>
      <c r="E2156" s="8"/>
      <c r="F2156" s="11">
        <v>336.0</v>
      </c>
      <c r="G2156" s="11">
        <v>0.207</v>
      </c>
      <c r="H2156" s="11">
        <v>0.543</v>
      </c>
      <c r="I2156" s="9" t="s">
        <v>71</v>
      </c>
    </row>
    <row r="2157">
      <c r="A2157" s="12" t="s">
        <v>173</v>
      </c>
      <c r="B2157" s="5" t="s">
        <v>93</v>
      </c>
      <c r="C2157" s="11">
        <v>0.312</v>
      </c>
      <c r="D2157" s="11">
        <v>12.0</v>
      </c>
      <c r="E2157" s="8"/>
      <c r="F2157" s="11">
        <v>136.0</v>
      </c>
      <c r="G2157" s="11">
        <v>0.272</v>
      </c>
      <c r="H2157" s="11">
        <v>1.026</v>
      </c>
      <c r="I2157" s="9" t="s">
        <v>71</v>
      </c>
    </row>
    <row r="2158">
      <c r="A2158" s="12" t="s">
        <v>283</v>
      </c>
      <c r="B2158" s="5" t="s">
        <v>93</v>
      </c>
      <c r="C2158" s="11">
        <v>0.478</v>
      </c>
      <c r="D2158" s="11">
        <v>12.0</v>
      </c>
      <c r="E2158" s="8"/>
      <c r="F2158" s="11">
        <v>248.0</v>
      </c>
      <c r="G2158" s="11">
        <v>0.124</v>
      </c>
      <c r="H2158" s="11">
        <v>0.487</v>
      </c>
      <c r="I2158" s="9" t="s">
        <v>71</v>
      </c>
    </row>
    <row r="2159">
      <c r="A2159" s="12" t="s">
        <v>166</v>
      </c>
      <c r="B2159" s="5" t="s">
        <v>93</v>
      </c>
      <c r="C2159" s="11">
        <v>0.278</v>
      </c>
      <c r="D2159" s="11">
        <v>32.0</v>
      </c>
      <c r="E2159" s="8"/>
      <c r="F2159" s="11">
        <v>312.0</v>
      </c>
      <c r="G2159" s="11">
        <v>0.025</v>
      </c>
      <c r="H2159" s="11">
        <v>0.751</v>
      </c>
      <c r="I2159" s="9" t="s">
        <v>71</v>
      </c>
    </row>
    <row r="2160">
      <c r="A2160" s="12" t="s">
        <v>229</v>
      </c>
      <c r="B2160" s="5" t="s">
        <v>93</v>
      </c>
      <c r="C2160" s="11">
        <v>0.113</v>
      </c>
      <c r="D2160" s="11">
        <v>9.0</v>
      </c>
      <c r="E2160" s="8"/>
      <c r="F2160" s="11">
        <v>36.0</v>
      </c>
      <c r="G2160" s="11">
        <v>0.69</v>
      </c>
      <c r="H2160" s="11">
        <v>1.205</v>
      </c>
      <c r="I2160" s="9" t="s">
        <v>72</v>
      </c>
    </row>
    <row r="2161">
      <c r="A2161" s="12" t="s">
        <v>182</v>
      </c>
      <c r="B2161" s="5" t="s">
        <v>93</v>
      </c>
      <c r="C2161" s="11">
        <v>0.302</v>
      </c>
      <c r="D2161" s="11">
        <v>9.0</v>
      </c>
      <c r="E2161" s="8"/>
      <c r="F2161" s="11">
        <v>180.0</v>
      </c>
      <c r="G2161" s="11">
        <v>0.52</v>
      </c>
      <c r="H2161" s="11">
        <v>0.772</v>
      </c>
      <c r="I2161" s="9" t="s">
        <v>72</v>
      </c>
    </row>
    <row r="2162">
      <c r="A2162" s="12" t="s">
        <v>92</v>
      </c>
      <c r="B2162" s="5" t="s">
        <v>93</v>
      </c>
      <c r="C2162" s="11">
        <v>0.135</v>
      </c>
      <c r="D2162" s="11">
        <v>9.0</v>
      </c>
      <c r="E2162" s="8"/>
      <c r="F2162" s="11">
        <v>36.0</v>
      </c>
      <c r="G2162" s="11">
        <v>0.77</v>
      </c>
      <c r="H2162" s="11">
        <v>1.31</v>
      </c>
      <c r="I2162" s="9" t="s">
        <v>72</v>
      </c>
    </row>
    <row r="2163">
      <c r="A2163" s="12" t="s">
        <v>275</v>
      </c>
      <c r="B2163" s="5" t="s">
        <v>93</v>
      </c>
      <c r="C2163" s="11">
        <v>0.141</v>
      </c>
      <c r="D2163" s="11">
        <v>13.0</v>
      </c>
      <c r="E2163" s="8"/>
      <c r="F2163" s="11">
        <v>12.0</v>
      </c>
      <c r="G2163" s="11">
        <v>0.78</v>
      </c>
      <c r="H2163" s="11">
        <v>1.314</v>
      </c>
      <c r="I2163" s="9" t="s">
        <v>72</v>
      </c>
    </row>
    <row r="2164">
      <c r="A2164" s="12" t="s">
        <v>165</v>
      </c>
      <c r="B2164" s="5" t="s">
        <v>93</v>
      </c>
      <c r="C2164" s="11">
        <v>0.441</v>
      </c>
      <c r="D2164" s="11">
        <v>11.0</v>
      </c>
      <c r="E2164" s="8"/>
      <c r="F2164" s="11">
        <v>344.0</v>
      </c>
      <c r="G2164" s="11">
        <v>0.21</v>
      </c>
      <c r="H2164" s="11">
        <v>0.743</v>
      </c>
      <c r="I2164" s="9" t="s">
        <v>72</v>
      </c>
    </row>
    <row r="2165">
      <c r="A2165" s="12" t="s">
        <v>236</v>
      </c>
      <c r="B2165" s="5" t="s">
        <v>93</v>
      </c>
      <c r="C2165" s="11">
        <v>0.145</v>
      </c>
      <c r="D2165" s="11">
        <v>21.0</v>
      </c>
      <c r="E2165" s="8"/>
      <c r="F2165" s="11">
        <v>79.0</v>
      </c>
      <c r="G2165" s="11">
        <v>0.475</v>
      </c>
      <c r="H2165" s="11">
        <v>1.935</v>
      </c>
      <c r="I2165" s="9" t="s">
        <v>72</v>
      </c>
    </row>
    <row r="2166">
      <c r="A2166" s="12" t="s">
        <v>178</v>
      </c>
      <c r="B2166" s="5" t="s">
        <v>93</v>
      </c>
      <c r="C2166" s="11">
        <v>0.107</v>
      </c>
      <c r="D2166" s="11">
        <v>32.0</v>
      </c>
      <c r="E2166" s="8"/>
      <c r="F2166" s="11">
        <v>98.0</v>
      </c>
      <c r="G2166" s="11">
        <v>0.658</v>
      </c>
      <c r="H2166" s="11">
        <v>1.579</v>
      </c>
      <c r="I2166" s="9" t="s">
        <v>72</v>
      </c>
    </row>
    <row r="2167">
      <c r="A2167" s="12" t="s">
        <v>169</v>
      </c>
      <c r="B2167" s="5" t="s">
        <v>93</v>
      </c>
      <c r="C2167" s="11">
        <v>0.302</v>
      </c>
      <c r="D2167" s="11">
        <v>20.0</v>
      </c>
      <c r="E2167" s="8"/>
      <c r="F2167" s="11">
        <v>235.0</v>
      </c>
      <c r="G2167" s="11">
        <v>0.689</v>
      </c>
      <c r="H2167" s="11">
        <v>1.22</v>
      </c>
      <c r="I2167" s="9" t="s">
        <v>72</v>
      </c>
    </row>
    <row r="2168">
      <c r="A2168" s="12" t="s">
        <v>219</v>
      </c>
      <c r="B2168" s="5" t="s">
        <v>93</v>
      </c>
      <c r="C2168" s="11">
        <v>0.22</v>
      </c>
      <c r="D2168" s="11">
        <v>8.0</v>
      </c>
      <c r="E2168" s="8"/>
      <c r="F2168" s="11">
        <v>62.0</v>
      </c>
      <c r="G2168" s="11">
        <v>0.48</v>
      </c>
      <c r="H2168" s="11">
        <v>1.59</v>
      </c>
      <c r="I2168" s="9" t="s">
        <v>72</v>
      </c>
    </row>
    <row r="2169">
      <c r="A2169" s="12" t="s">
        <v>261</v>
      </c>
      <c r="B2169" s="5" t="s">
        <v>93</v>
      </c>
      <c r="C2169" s="11">
        <v>0.397</v>
      </c>
      <c r="D2169" s="11">
        <v>13.0</v>
      </c>
      <c r="E2169" s="8"/>
      <c r="F2169" s="11">
        <v>336.0</v>
      </c>
      <c r="G2169" s="11">
        <v>0.225</v>
      </c>
      <c r="H2169" s="11">
        <v>0.592</v>
      </c>
      <c r="I2169" s="9" t="s">
        <v>72</v>
      </c>
    </row>
    <row r="2170">
      <c r="A2170" s="12" t="s">
        <v>173</v>
      </c>
      <c r="B2170" s="5" t="s">
        <v>93</v>
      </c>
      <c r="C2170" s="11">
        <v>0.277</v>
      </c>
      <c r="D2170" s="11">
        <v>12.0</v>
      </c>
      <c r="E2170" s="8"/>
      <c r="F2170" s="11">
        <v>151.0</v>
      </c>
      <c r="G2170" s="11">
        <v>0.349</v>
      </c>
      <c r="H2170" s="11">
        <v>1.112</v>
      </c>
      <c r="I2170" s="9" t="s">
        <v>72</v>
      </c>
    </row>
    <row r="2171">
      <c r="A2171" s="12" t="s">
        <v>283</v>
      </c>
      <c r="B2171" s="5" t="s">
        <v>93</v>
      </c>
      <c r="C2171" s="11">
        <v>0.327</v>
      </c>
      <c r="D2171" s="11">
        <v>12.0</v>
      </c>
      <c r="E2171" s="8"/>
      <c r="F2171" s="11">
        <v>248.0</v>
      </c>
      <c r="G2171" s="11">
        <v>0.149</v>
      </c>
      <c r="H2171" s="11">
        <v>0.501</v>
      </c>
      <c r="I2171" s="9" t="s">
        <v>72</v>
      </c>
    </row>
    <row r="2172">
      <c r="A2172" s="12" t="s">
        <v>166</v>
      </c>
      <c r="B2172" s="5" t="s">
        <v>93</v>
      </c>
      <c r="C2172" s="11">
        <v>0.278</v>
      </c>
      <c r="D2172" s="11">
        <v>32.0</v>
      </c>
      <c r="E2172" s="8"/>
      <c r="F2172" s="11">
        <v>312.0</v>
      </c>
      <c r="G2172" s="11">
        <v>0.05</v>
      </c>
      <c r="H2172" s="11">
        <v>0.802</v>
      </c>
      <c r="I2172" s="9" t="s">
        <v>72</v>
      </c>
    </row>
    <row r="2173">
      <c r="A2173" s="12" t="s">
        <v>229</v>
      </c>
      <c r="B2173" s="5" t="s">
        <v>93</v>
      </c>
      <c r="C2173" s="11">
        <v>0.113</v>
      </c>
      <c r="D2173" s="11">
        <v>9.0</v>
      </c>
      <c r="E2173" s="11">
        <v>45.0</v>
      </c>
      <c r="F2173" s="11">
        <v>48.0</v>
      </c>
      <c r="G2173" s="11">
        <v>0.693</v>
      </c>
      <c r="H2173" s="11">
        <v>1.269</v>
      </c>
      <c r="I2173" s="9" t="s">
        <v>73</v>
      </c>
    </row>
    <row r="2174">
      <c r="A2174" s="12" t="s">
        <v>182</v>
      </c>
      <c r="B2174" s="5" t="s">
        <v>93</v>
      </c>
      <c r="C2174" s="11">
        <v>0.302</v>
      </c>
      <c r="D2174" s="11">
        <v>9.0</v>
      </c>
      <c r="E2174" s="11">
        <v>105.0</v>
      </c>
      <c r="F2174" s="11">
        <v>180.0</v>
      </c>
      <c r="G2174" s="11">
        <v>0.612</v>
      </c>
      <c r="H2174" s="11">
        <v>0.808</v>
      </c>
      <c r="I2174" s="9" t="s">
        <v>73</v>
      </c>
    </row>
    <row r="2175">
      <c r="A2175" s="12" t="s">
        <v>275</v>
      </c>
      <c r="B2175" s="5" t="s">
        <v>93</v>
      </c>
      <c r="C2175" s="11">
        <v>0.149</v>
      </c>
      <c r="D2175" s="11">
        <v>8.0</v>
      </c>
      <c r="E2175" s="11">
        <v>26.0</v>
      </c>
      <c r="F2175" s="11">
        <v>12.0</v>
      </c>
      <c r="G2175" s="11">
        <v>0.85</v>
      </c>
      <c r="H2175" s="11">
        <v>1.496</v>
      </c>
      <c r="I2175" s="9" t="s">
        <v>73</v>
      </c>
    </row>
    <row r="2176">
      <c r="A2176" s="12" t="s">
        <v>92</v>
      </c>
      <c r="B2176" s="5" t="s">
        <v>93</v>
      </c>
      <c r="C2176" s="11">
        <v>0.135</v>
      </c>
      <c r="D2176" s="11">
        <v>9.0</v>
      </c>
      <c r="E2176" s="11">
        <v>47.0</v>
      </c>
      <c r="F2176" s="11">
        <v>36.0</v>
      </c>
      <c r="G2176" s="11">
        <v>0.88</v>
      </c>
      <c r="H2176" s="11">
        <v>1.612</v>
      </c>
      <c r="I2176" s="9" t="s">
        <v>73</v>
      </c>
    </row>
    <row r="2177">
      <c r="A2177" s="12" t="s">
        <v>165</v>
      </c>
      <c r="B2177" s="5" t="s">
        <v>93</v>
      </c>
      <c r="C2177" s="11">
        <v>0.441</v>
      </c>
      <c r="D2177" s="11">
        <v>16.0</v>
      </c>
      <c r="E2177" s="11">
        <v>152.0</v>
      </c>
      <c r="F2177" s="11">
        <v>344.0</v>
      </c>
      <c r="G2177" s="11">
        <v>0.275</v>
      </c>
      <c r="H2177" s="11">
        <v>0.761</v>
      </c>
      <c r="I2177" s="9" t="s">
        <v>73</v>
      </c>
    </row>
    <row r="2178">
      <c r="A2178" s="12" t="s">
        <v>236</v>
      </c>
      <c r="B2178" s="5" t="s">
        <v>93</v>
      </c>
      <c r="C2178" s="11">
        <v>0.145</v>
      </c>
      <c r="D2178" s="11">
        <v>21.0</v>
      </c>
      <c r="E2178" s="11">
        <v>22.0</v>
      </c>
      <c r="F2178" s="11">
        <v>72.0</v>
      </c>
      <c r="G2178" s="11">
        <v>0.54</v>
      </c>
      <c r="H2178" s="11">
        <v>1.874</v>
      </c>
      <c r="I2178" s="9" t="s">
        <v>73</v>
      </c>
    </row>
    <row r="2179">
      <c r="A2179" s="12" t="s">
        <v>178</v>
      </c>
      <c r="B2179" s="5" t="s">
        <v>93</v>
      </c>
      <c r="C2179" s="11">
        <v>0.124</v>
      </c>
      <c r="D2179" s="11">
        <v>32.0</v>
      </c>
      <c r="E2179" s="11">
        <v>101.0</v>
      </c>
      <c r="F2179" s="11">
        <v>98.0</v>
      </c>
      <c r="G2179" s="11">
        <v>0.705</v>
      </c>
      <c r="H2179" s="11">
        <v>1.569</v>
      </c>
      <c r="I2179" s="9" t="s">
        <v>73</v>
      </c>
    </row>
    <row r="2180">
      <c r="A2180" s="12" t="s">
        <v>219</v>
      </c>
      <c r="B2180" s="5" t="s">
        <v>93</v>
      </c>
      <c r="C2180" s="11">
        <v>0.22</v>
      </c>
      <c r="D2180" s="11">
        <v>8.0</v>
      </c>
      <c r="E2180" s="11">
        <v>44.0</v>
      </c>
      <c r="F2180" s="11">
        <v>62.0</v>
      </c>
      <c r="G2180" s="11">
        <v>0.6</v>
      </c>
      <c r="H2180" s="11">
        <v>1.593</v>
      </c>
      <c r="I2180" s="9" t="s">
        <v>73</v>
      </c>
    </row>
    <row r="2181">
      <c r="A2181" s="12" t="s">
        <v>169</v>
      </c>
      <c r="B2181" s="5" t="s">
        <v>93</v>
      </c>
      <c r="C2181" s="11">
        <v>0.29</v>
      </c>
      <c r="D2181" s="11">
        <v>21.0</v>
      </c>
      <c r="E2181" s="11">
        <v>33.0</v>
      </c>
      <c r="F2181" s="11">
        <v>235.0</v>
      </c>
      <c r="G2181" s="11">
        <v>0.708</v>
      </c>
      <c r="H2181" s="11">
        <v>1.207</v>
      </c>
      <c r="I2181" s="9" t="s">
        <v>73</v>
      </c>
    </row>
    <row r="2182">
      <c r="A2182" s="12" t="s">
        <v>261</v>
      </c>
      <c r="B2182" s="5" t="s">
        <v>93</v>
      </c>
      <c r="C2182" s="11">
        <v>0.397</v>
      </c>
      <c r="D2182" s="11">
        <v>13.0</v>
      </c>
      <c r="E2182" s="11">
        <v>147.0</v>
      </c>
      <c r="F2182" s="11">
        <v>336.0</v>
      </c>
      <c r="G2182" s="11">
        <v>0.243</v>
      </c>
      <c r="H2182" s="11">
        <v>0.593</v>
      </c>
      <c r="I2182" s="9" t="s">
        <v>73</v>
      </c>
    </row>
    <row r="2183">
      <c r="A2183" s="12" t="s">
        <v>173</v>
      </c>
      <c r="B2183" s="5" t="s">
        <v>93</v>
      </c>
      <c r="C2183" s="11">
        <v>0.281</v>
      </c>
      <c r="D2183" s="11">
        <v>12.0</v>
      </c>
      <c r="E2183" s="11">
        <v>119.0</v>
      </c>
      <c r="F2183" s="11">
        <v>151.0</v>
      </c>
      <c r="G2183" s="11">
        <v>0.41</v>
      </c>
      <c r="H2183" s="11">
        <v>1.282</v>
      </c>
      <c r="I2183" s="9" t="s">
        <v>73</v>
      </c>
    </row>
    <row r="2184">
      <c r="A2184" s="12" t="s">
        <v>283</v>
      </c>
      <c r="B2184" s="5" t="s">
        <v>93</v>
      </c>
      <c r="C2184" s="11">
        <v>0.327</v>
      </c>
      <c r="D2184" s="11">
        <v>40.0</v>
      </c>
      <c r="E2184" s="11">
        <v>129.0</v>
      </c>
      <c r="F2184" s="11">
        <v>248.0</v>
      </c>
      <c r="G2184" s="11">
        <v>0.174</v>
      </c>
      <c r="H2184" s="11">
        <v>0.583</v>
      </c>
      <c r="I2184" s="9" t="s">
        <v>73</v>
      </c>
    </row>
    <row r="2185">
      <c r="A2185" s="12" t="s">
        <v>166</v>
      </c>
      <c r="B2185" s="5" t="s">
        <v>93</v>
      </c>
      <c r="C2185" s="11">
        <v>0.278</v>
      </c>
      <c r="D2185" s="11">
        <v>29.0</v>
      </c>
      <c r="E2185" s="11">
        <v>155.0</v>
      </c>
      <c r="F2185" s="11">
        <v>312.0</v>
      </c>
      <c r="G2185" s="11">
        <v>0.071</v>
      </c>
      <c r="H2185" s="11">
        <v>0.816</v>
      </c>
      <c r="I2185" s="9" t="s">
        <v>73</v>
      </c>
    </row>
    <row r="2186">
      <c r="A2186" s="12" t="s">
        <v>79</v>
      </c>
      <c r="B2186" s="5" t="s">
        <v>80</v>
      </c>
      <c r="C2186" s="8"/>
      <c r="D2186" s="8"/>
      <c r="E2186" s="8"/>
      <c r="F2186" s="8"/>
      <c r="G2186" s="8"/>
      <c r="H2186" s="8"/>
      <c r="I2186" s="9" t="s">
        <v>66</v>
      </c>
    </row>
    <row r="2187">
      <c r="A2187" s="12" t="s">
        <v>88</v>
      </c>
      <c r="B2187" s="5" t="s">
        <v>80</v>
      </c>
      <c r="C2187" s="11">
        <v>0.521</v>
      </c>
      <c r="D2187" s="11">
        <v>3.0</v>
      </c>
      <c r="E2187" s="8"/>
      <c r="F2187" s="11">
        <v>107.0</v>
      </c>
      <c r="G2187" s="11">
        <v>0.63</v>
      </c>
      <c r="H2187" s="11">
        <v>0.898</v>
      </c>
      <c r="I2187" s="9" t="s">
        <v>66</v>
      </c>
    </row>
    <row r="2188">
      <c r="A2188" s="12" t="s">
        <v>212</v>
      </c>
      <c r="B2188" s="5" t="s">
        <v>80</v>
      </c>
      <c r="C2188" s="11">
        <v>0.366</v>
      </c>
      <c r="D2188" s="11">
        <v>12.0</v>
      </c>
      <c r="E2188" s="8"/>
      <c r="F2188" s="11">
        <v>172.0</v>
      </c>
      <c r="G2188" s="11">
        <v>0.627</v>
      </c>
      <c r="H2188" s="11">
        <v>0.854</v>
      </c>
      <c r="I2188" s="9" t="s">
        <v>66</v>
      </c>
    </row>
    <row r="2189">
      <c r="A2189" s="12" t="s">
        <v>211</v>
      </c>
      <c r="B2189" s="5" t="s">
        <v>80</v>
      </c>
      <c r="C2189" s="8"/>
      <c r="D2189" s="8"/>
      <c r="E2189" s="8"/>
      <c r="F2189" s="8"/>
      <c r="G2189" s="11">
        <v>0.324</v>
      </c>
      <c r="H2189" s="11">
        <v>0.587</v>
      </c>
      <c r="I2189" s="9" t="s">
        <v>66</v>
      </c>
    </row>
    <row r="2190">
      <c r="A2190" s="12" t="s">
        <v>144</v>
      </c>
      <c r="B2190" s="5" t="s">
        <v>80</v>
      </c>
      <c r="C2190" s="8"/>
      <c r="D2190" s="8"/>
      <c r="E2190" s="8"/>
      <c r="F2190" s="8"/>
      <c r="G2190" s="11">
        <v>0.215</v>
      </c>
      <c r="H2190" s="11">
        <v>0.471</v>
      </c>
      <c r="I2190" s="9" t="s">
        <v>66</v>
      </c>
    </row>
    <row r="2191">
      <c r="A2191" s="12" t="s">
        <v>153</v>
      </c>
      <c r="B2191" s="5" t="s">
        <v>80</v>
      </c>
      <c r="C2191" s="8"/>
      <c r="D2191" s="8"/>
      <c r="E2191" s="8"/>
      <c r="F2191" s="8"/>
      <c r="G2191" s="11">
        <v>0.386</v>
      </c>
      <c r="H2191" s="8"/>
      <c r="I2191" s="9" t="s">
        <v>66</v>
      </c>
    </row>
    <row r="2192">
      <c r="A2192" s="12" t="s">
        <v>141</v>
      </c>
      <c r="B2192" s="5" t="s">
        <v>80</v>
      </c>
      <c r="C2192" s="11">
        <v>0.415</v>
      </c>
      <c r="D2192" s="11">
        <v>46.0</v>
      </c>
      <c r="E2192" s="8"/>
      <c r="F2192" s="11">
        <v>140.0</v>
      </c>
      <c r="G2192" s="11">
        <v>0.085</v>
      </c>
      <c r="H2192" s="11">
        <v>0.249</v>
      </c>
      <c r="I2192" s="9" t="s">
        <v>66</v>
      </c>
    </row>
    <row r="2193">
      <c r="A2193" s="12" t="s">
        <v>176</v>
      </c>
      <c r="B2193" s="5" t="s">
        <v>80</v>
      </c>
      <c r="C2193" s="11">
        <v>0.318</v>
      </c>
      <c r="D2193" s="11">
        <v>31.0</v>
      </c>
      <c r="E2193" s="8"/>
      <c r="F2193" s="11">
        <v>120.0</v>
      </c>
      <c r="G2193" s="11">
        <v>0.04</v>
      </c>
      <c r="H2193" s="11">
        <v>0.007</v>
      </c>
      <c r="I2193" s="9" t="s">
        <v>66</v>
      </c>
    </row>
    <row r="2194">
      <c r="A2194" s="12" t="s">
        <v>200</v>
      </c>
      <c r="B2194" s="5" t="s">
        <v>80</v>
      </c>
      <c r="C2194" s="11">
        <v>0.596</v>
      </c>
      <c r="D2194" s="11">
        <v>16.0</v>
      </c>
      <c r="E2194" s="8"/>
      <c r="F2194" s="11">
        <v>128.0</v>
      </c>
      <c r="G2194" s="11">
        <v>0.119</v>
      </c>
      <c r="H2194" s="11">
        <v>0.133</v>
      </c>
      <c r="I2194" s="9" t="s">
        <v>66</v>
      </c>
    </row>
    <row r="2195">
      <c r="A2195" s="12" t="s">
        <v>280</v>
      </c>
      <c r="B2195" s="5" t="s">
        <v>80</v>
      </c>
      <c r="C2195" s="11">
        <v>0.084</v>
      </c>
      <c r="D2195" s="11">
        <v>47.0</v>
      </c>
      <c r="E2195" s="8"/>
      <c r="F2195" s="11">
        <v>120.0</v>
      </c>
      <c r="G2195" s="11">
        <v>0.051</v>
      </c>
      <c r="H2195" s="11">
        <v>0.061</v>
      </c>
      <c r="I2195" s="9" t="s">
        <v>66</v>
      </c>
    </row>
    <row r="2196">
      <c r="A2196" s="12" t="s">
        <v>233</v>
      </c>
      <c r="B2196" s="5" t="s">
        <v>80</v>
      </c>
      <c r="C2196" s="11">
        <v>0.202</v>
      </c>
      <c r="D2196" s="11">
        <v>35.0</v>
      </c>
      <c r="E2196" s="8"/>
      <c r="F2196" s="11">
        <v>224.0</v>
      </c>
      <c r="G2196" s="11">
        <v>0.034</v>
      </c>
      <c r="H2196" s="11">
        <v>0.133</v>
      </c>
      <c r="I2196" s="9" t="s">
        <v>66</v>
      </c>
    </row>
    <row r="2197">
      <c r="A2197" s="12" t="s">
        <v>267</v>
      </c>
      <c r="B2197" s="5" t="s">
        <v>80</v>
      </c>
      <c r="C2197" s="11">
        <v>0.275</v>
      </c>
      <c r="D2197" s="11">
        <v>32.0</v>
      </c>
      <c r="E2197" s="8"/>
      <c r="F2197" s="11">
        <v>164.0</v>
      </c>
      <c r="G2197" s="11">
        <v>0.049</v>
      </c>
      <c r="H2197" s="11">
        <v>0.296</v>
      </c>
      <c r="I2197" s="9" t="s">
        <v>66</v>
      </c>
    </row>
    <row r="2198">
      <c r="A2198" s="12" t="s">
        <v>222</v>
      </c>
      <c r="B2198" s="5" t="s">
        <v>80</v>
      </c>
      <c r="C2198" s="11">
        <v>0.416</v>
      </c>
      <c r="D2198" s="11">
        <v>51.0</v>
      </c>
      <c r="E2198" s="8"/>
      <c r="F2198" s="11">
        <v>207.0</v>
      </c>
      <c r="G2198" s="11">
        <v>0.017</v>
      </c>
      <c r="H2198" s="11">
        <v>0.012</v>
      </c>
      <c r="I2198" s="9" t="s">
        <v>66</v>
      </c>
    </row>
    <row r="2199">
      <c r="A2199" s="12" t="s">
        <v>196</v>
      </c>
      <c r="B2199" s="5" t="s">
        <v>80</v>
      </c>
      <c r="C2199" s="11">
        <v>0.648</v>
      </c>
      <c r="D2199" s="11">
        <v>17.0</v>
      </c>
      <c r="E2199" s="8"/>
      <c r="F2199" s="11">
        <v>128.0</v>
      </c>
      <c r="G2199" s="11">
        <v>0.039</v>
      </c>
      <c r="H2199" s="11">
        <v>0.013</v>
      </c>
      <c r="I2199" s="9" t="s">
        <v>66</v>
      </c>
    </row>
    <row r="2200">
      <c r="A2200" s="12" t="s">
        <v>245</v>
      </c>
      <c r="B2200" s="5" t="s">
        <v>80</v>
      </c>
      <c r="C2200" s="11">
        <v>0.261</v>
      </c>
      <c r="D2200" s="11">
        <v>56.0</v>
      </c>
      <c r="E2200" s="8"/>
      <c r="F2200" s="11">
        <v>80.0</v>
      </c>
      <c r="G2200" s="11">
        <v>0.008</v>
      </c>
      <c r="H2200" s="11">
        <v>0.013</v>
      </c>
      <c r="I2200" s="9" t="s">
        <v>66</v>
      </c>
    </row>
    <row r="2201">
      <c r="A2201" s="12" t="s">
        <v>88</v>
      </c>
      <c r="B2201" s="5" t="s">
        <v>80</v>
      </c>
      <c r="C2201" s="11">
        <v>0.511</v>
      </c>
      <c r="D2201" s="11">
        <v>3.0</v>
      </c>
      <c r="E2201" s="8"/>
      <c r="F2201" s="11">
        <v>107.0</v>
      </c>
      <c r="G2201" s="11">
        <v>0.66</v>
      </c>
      <c r="H2201" s="11">
        <v>0.947</v>
      </c>
      <c r="I2201" s="9" t="s">
        <v>67</v>
      </c>
    </row>
    <row r="2202">
      <c r="A2202" s="12" t="s">
        <v>212</v>
      </c>
      <c r="B2202" s="5" t="s">
        <v>80</v>
      </c>
      <c r="C2202" s="11">
        <v>0.354</v>
      </c>
      <c r="D2202" s="11">
        <v>12.0</v>
      </c>
      <c r="E2202" s="8"/>
      <c r="F2202" s="11">
        <v>172.0</v>
      </c>
      <c r="G2202" s="11">
        <v>0.69</v>
      </c>
      <c r="H2202" s="11">
        <v>0.909</v>
      </c>
      <c r="I2202" s="9" t="s">
        <v>67</v>
      </c>
    </row>
    <row r="2203">
      <c r="A2203" s="12" t="s">
        <v>144</v>
      </c>
      <c r="B2203" s="5" t="s">
        <v>80</v>
      </c>
      <c r="C2203" s="8"/>
      <c r="D2203" s="8"/>
      <c r="E2203" s="8"/>
      <c r="F2203" s="8"/>
      <c r="G2203" s="11">
        <v>0.251</v>
      </c>
      <c r="H2203" s="11">
        <v>0.59</v>
      </c>
      <c r="I2203" s="9" t="s">
        <v>67</v>
      </c>
    </row>
    <row r="2204">
      <c r="A2204" s="12" t="s">
        <v>211</v>
      </c>
      <c r="B2204" s="5" t="s">
        <v>80</v>
      </c>
      <c r="C2204" s="8"/>
      <c r="D2204" s="8"/>
      <c r="E2204" s="8"/>
      <c r="F2204" s="8"/>
      <c r="G2204" s="11">
        <v>0.335</v>
      </c>
      <c r="H2204" s="11">
        <v>0.667</v>
      </c>
      <c r="I2204" s="9" t="s">
        <v>67</v>
      </c>
    </row>
    <row r="2205">
      <c r="A2205" s="12" t="s">
        <v>153</v>
      </c>
      <c r="B2205" s="5" t="s">
        <v>80</v>
      </c>
      <c r="C2205" s="8"/>
      <c r="D2205" s="8"/>
      <c r="E2205" s="8"/>
      <c r="F2205" s="8"/>
      <c r="G2205" s="11">
        <v>0.439</v>
      </c>
      <c r="H2205" s="8"/>
      <c r="I2205" s="9" t="s">
        <v>67</v>
      </c>
    </row>
    <row r="2206">
      <c r="A2206" s="12" t="s">
        <v>79</v>
      </c>
      <c r="B2206" s="5" t="s">
        <v>80</v>
      </c>
      <c r="C2206" s="8"/>
      <c r="D2206" s="8"/>
      <c r="E2206" s="8"/>
      <c r="F2206" s="8"/>
      <c r="G2206" s="8"/>
      <c r="H2206" s="8"/>
      <c r="I2206" s="9" t="s">
        <v>67</v>
      </c>
    </row>
    <row r="2207">
      <c r="A2207" s="12" t="s">
        <v>141</v>
      </c>
      <c r="B2207" s="5" t="s">
        <v>80</v>
      </c>
      <c r="C2207" s="11">
        <v>0.415</v>
      </c>
      <c r="D2207" s="11">
        <v>46.0</v>
      </c>
      <c r="E2207" s="8"/>
      <c r="F2207" s="11">
        <v>140.0</v>
      </c>
      <c r="G2207" s="11">
        <v>0.096</v>
      </c>
      <c r="H2207" s="11">
        <v>0.344</v>
      </c>
      <c r="I2207" s="9" t="s">
        <v>67</v>
      </c>
    </row>
    <row r="2208">
      <c r="A2208" s="12" t="s">
        <v>176</v>
      </c>
      <c r="B2208" s="5" t="s">
        <v>80</v>
      </c>
      <c r="C2208" s="11">
        <v>0.318</v>
      </c>
      <c r="D2208" s="11">
        <v>31.0</v>
      </c>
      <c r="E2208" s="8"/>
      <c r="F2208" s="11">
        <v>120.0</v>
      </c>
      <c r="G2208" s="11">
        <v>0.045</v>
      </c>
      <c r="H2208" s="11">
        <v>0.008</v>
      </c>
      <c r="I2208" s="9" t="s">
        <v>67</v>
      </c>
    </row>
    <row r="2209">
      <c r="A2209" s="12" t="s">
        <v>200</v>
      </c>
      <c r="B2209" s="5" t="s">
        <v>80</v>
      </c>
      <c r="C2209" s="11">
        <v>0.596</v>
      </c>
      <c r="D2209" s="11">
        <v>16.0</v>
      </c>
      <c r="E2209" s="8"/>
      <c r="F2209" s="11">
        <v>128.0</v>
      </c>
      <c r="G2209" s="11">
        <v>0.128</v>
      </c>
      <c r="H2209" s="11">
        <v>0.176</v>
      </c>
      <c r="I2209" s="9" t="s">
        <v>67</v>
      </c>
    </row>
    <row r="2210">
      <c r="A2210" s="12" t="s">
        <v>280</v>
      </c>
      <c r="B2210" s="5" t="s">
        <v>80</v>
      </c>
      <c r="C2210" s="11">
        <v>0.084</v>
      </c>
      <c r="D2210" s="11">
        <v>47.0</v>
      </c>
      <c r="E2210" s="8"/>
      <c r="F2210" s="11">
        <v>120.0</v>
      </c>
      <c r="G2210" s="11">
        <v>0.059</v>
      </c>
      <c r="H2210" s="11">
        <v>0.07</v>
      </c>
      <c r="I2210" s="9" t="s">
        <v>67</v>
      </c>
    </row>
    <row r="2211">
      <c r="A2211" s="12" t="s">
        <v>233</v>
      </c>
      <c r="B2211" s="5" t="s">
        <v>80</v>
      </c>
      <c r="C2211" s="11">
        <v>0.202</v>
      </c>
      <c r="D2211" s="11">
        <v>35.0</v>
      </c>
      <c r="E2211" s="8"/>
      <c r="F2211" s="11">
        <v>224.0</v>
      </c>
      <c r="G2211" s="11">
        <v>0.045</v>
      </c>
      <c r="H2211" s="11">
        <v>0.251</v>
      </c>
      <c r="I2211" s="9" t="s">
        <v>67</v>
      </c>
    </row>
    <row r="2212">
      <c r="A2212" s="12" t="s">
        <v>267</v>
      </c>
      <c r="B2212" s="5" t="s">
        <v>80</v>
      </c>
      <c r="C2212" s="11">
        <v>0.275</v>
      </c>
      <c r="D2212" s="11">
        <v>32.0</v>
      </c>
      <c r="E2212" s="8"/>
      <c r="F2212" s="11">
        <v>164.0</v>
      </c>
      <c r="G2212" s="11">
        <v>0.059</v>
      </c>
      <c r="H2212" s="11">
        <v>0.296</v>
      </c>
      <c r="I2212" s="9" t="s">
        <v>67</v>
      </c>
    </row>
    <row r="2213">
      <c r="A2213" s="12" t="s">
        <v>222</v>
      </c>
      <c r="B2213" s="5" t="s">
        <v>80</v>
      </c>
      <c r="C2213" s="11">
        <v>0.415</v>
      </c>
      <c r="D2213" s="11">
        <v>51.0</v>
      </c>
      <c r="E2213" s="8"/>
      <c r="F2213" s="11">
        <v>207.0</v>
      </c>
      <c r="G2213" s="11">
        <v>0.018</v>
      </c>
      <c r="H2213" s="11">
        <v>0.016</v>
      </c>
      <c r="I2213" s="9" t="s">
        <v>67</v>
      </c>
    </row>
    <row r="2214">
      <c r="A2214" s="12" t="s">
        <v>245</v>
      </c>
      <c r="B2214" s="5" t="s">
        <v>80</v>
      </c>
      <c r="C2214" s="11">
        <v>0.261</v>
      </c>
      <c r="D2214" s="11">
        <v>56.0</v>
      </c>
      <c r="E2214" s="8"/>
      <c r="F2214" s="11">
        <v>80.0</v>
      </c>
      <c r="G2214" s="11">
        <v>0.016</v>
      </c>
      <c r="H2214" s="11">
        <v>0.015</v>
      </c>
      <c r="I2214" s="9" t="s">
        <v>67</v>
      </c>
    </row>
    <row r="2215">
      <c r="A2215" s="12" t="s">
        <v>196</v>
      </c>
      <c r="B2215" s="5" t="s">
        <v>80</v>
      </c>
      <c r="C2215" s="11">
        <v>0.648</v>
      </c>
      <c r="D2215" s="11">
        <v>17.0</v>
      </c>
      <c r="E2215" s="8"/>
      <c r="F2215" s="11">
        <v>128.0</v>
      </c>
      <c r="G2215" s="11">
        <v>0.038</v>
      </c>
      <c r="H2215" s="8"/>
      <c r="I2215" s="9" t="s">
        <v>67</v>
      </c>
    </row>
    <row r="2216">
      <c r="A2216" s="12" t="s">
        <v>79</v>
      </c>
      <c r="B2216" s="5" t="s">
        <v>80</v>
      </c>
      <c r="C2216" s="8"/>
      <c r="D2216" s="8"/>
      <c r="E2216" s="8"/>
      <c r="F2216" s="8"/>
      <c r="G2216" s="8"/>
      <c r="H2216" s="8"/>
      <c r="I2216" s="9" t="s">
        <v>68</v>
      </c>
    </row>
    <row r="2217">
      <c r="A2217" s="12" t="s">
        <v>88</v>
      </c>
      <c r="B2217" s="5" t="s">
        <v>80</v>
      </c>
      <c r="C2217" s="11">
        <v>0.501</v>
      </c>
      <c r="D2217" s="11">
        <v>3.0</v>
      </c>
      <c r="E2217" s="8"/>
      <c r="F2217" s="11">
        <v>107.0</v>
      </c>
      <c r="G2217" s="11">
        <v>0.695</v>
      </c>
      <c r="H2217" s="11">
        <v>1.001</v>
      </c>
      <c r="I2217" s="9" t="s">
        <v>68</v>
      </c>
    </row>
    <row r="2218">
      <c r="A2218" s="12" t="s">
        <v>212</v>
      </c>
      <c r="B2218" s="5" t="s">
        <v>80</v>
      </c>
      <c r="C2218" s="11">
        <v>0.355</v>
      </c>
      <c r="D2218" s="11">
        <v>12.0</v>
      </c>
      <c r="E2218" s="8"/>
      <c r="F2218" s="11">
        <v>172.0</v>
      </c>
      <c r="G2218" s="11">
        <v>0.698</v>
      </c>
      <c r="H2218" s="11">
        <v>1.004</v>
      </c>
      <c r="I2218" s="9" t="s">
        <v>68</v>
      </c>
    </row>
    <row r="2219">
      <c r="A2219" s="12" t="s">
        <v>211</v>
      </c>
      <c r="B2219" s="5" t="s">
        <v>80</v>
      </c>
      <c r="C2219" s="8"/>
      <c r="D2219" s="8"/>
      <c r="E2219" s="8"/>
      <c r="F2219" s="8"/>
      <c r="G2219" s="11">
        <v>0.351</v>
      </c>
      <c r="H2219" s="11">
        <v>0.748</v>
      </c>
      <c r="I2219" s="9" t="s">
        <v>68</v>
      </c>
    </row>
    <row r="2220">
      <c r="A2220" s="12" t="s">
        <v>144</v>
      </c>
      <c r="B2220" s="5" t="s">
        <v>80</v>
      </c>
      <c r="C2220" s="8"/>
      <c r="D2220" s="8"/>
      <c r="E2220" s="8"/>
      <c r="F2220" s="8"/>
      <c r="G2220" s="11">
        <v>0.286</v>
      </c>
      <c r="H2220" s="11">
        <v>0.672</v>
      </c>
      <c r="I2220" s="9" t="s">
        <v>68</v>
      </c>
    </row>
    <row r="2221">
      <c r="A2221" s="12" t="s">
        <v>153</v>
      </c>
      <c r="B2221" s="5" t="s">
        <v>80</v>
      </c>
      <c r="C2221" s="8"/>
      <c r="D2221" s="8"/>
      <c r="E2221" s="8"/>
      <c r="F2221" s="8"/>
      <c r="G2221" s="11">
        <v>0.462</v>
      </c>
      <c r="H2221" s="8"/>
      <c r="I2221" s="9" t="s">
        <v>68</v>
      </c>
    </row>
    <row r="2222">
      <c r="A2222" s="12" t="s">
        <v>141</v>
      </c>
      <c r="B2222" s="5" t="s">
        <v>80</v>
      </c>
      <c r="C2222" s="11">
        <v>0.415</v>
      </c>
      <c r="D2222" s="11">
        <v>46.0</v>
      </c>
      <c r="E2222" s="8"/>
      <c r="F2222" s="11">
        <v>140.0</v>
      </c>
      <c r="G2222" s="11">
        <v>0.109</v>
      </c>
      <c r="H2222" s="11">
        <v>0.634</v>
      </c>
      <c r="I2222" s="9" t="s">
        <v>68</v>
      </c>
    </row>
    <row r="2223">
      <c r="A2223" s="12" t="s">
        <v>176</v>
      </c>
      <c r="B2223" s="5" t="s">
        <v>80</v>
      </c>
      <c r="C2223" s="11">
        <v>0.318</v>
      </c>
      <c r="D2223" s="11">
        <v>31.0</v>
      </c>
      <c r="E2223" s="8"/>
      <c r="F2223" s="11">
        <v>120.0</v>
      </c>
      <c r="G2223" s="11">
        <v>0.06</v>
      </c>
      <c r="H2223" s="11">
        <v>0.008</v>
      </c>
      <c r="I2223" s="9" t="s">
        <v>68</v>
      </c>
    </row>
    <row r="2224">
      <c r="A2224" s="12" t="s">
        <v>200</v>
      </c>
      <c r="B2224" s="5" t="s">
        <v>80</v>
      </c>
      <c r="C2224" s="11">
        <v>0.587</v>
      </c>
      <c r="D2224" s="11">
        <v>16.0</v>
      </c>
      <c r="E2224" s="8"/>
      <c r="F2224" s="11">
        <v>128.0</v>
      </c>
      <c r="G2224" s="11">
        <v>0.136</v>
      </c>
      <c r="H2224" s="11">
        <v>0.261</v>
      </c>
      <c r="I2224" s="9" t="s">
        <v>68</v>
      </c>
    </row>
    <row r="2225">
      <c r="A2225" s="12" t="s">
        <v>280</v>
      </c>
      <c r="B2225" s="5" t="s">
        <v>80</v>
      </c>
      <c r="C2225" s="11">
        <v>0.084</v>
      </c>
      <c r="D2225" s="11">
        <v>47.0</v>
      </c>
      <c r="E2225" s="8"/>
      <c r="F2225" s="11">
        <v>120.0</v>
      </c>
      <c r="G2225" s="11">
        <v>0.068</v>
      </c>
      <c r="H2225" s="11">
        <v>0.118</v>
      </c>
      <c r="I2225" s="9" t="s">
        <v>68</v>
      </c>
    </row>
    <row r="2226">
      <c r="A2226" s="12" t="s">
        <v>267</v>
      </c>
      <c r="B2226" s="5" t="s">
        <v>80</v>
      </c>
      <c r="C2226" s="11">
        <v>0.275</v>
      </c>
      <c r="D2226" s="11">
        <v>32.0</v>
      </c>
      <c r="E2226" s="8"/>
      <c r="F2226" s="11">
        <v>164.0</v>
      </c>
      <c r="G2226" s="11">
        <v>0.072</v>
      </c>
      <c r="H2226" s="11">
        <v>0.455</v>
      </c>
      <c r="I2226" s="9" t="s">
        <v>68</v>
      </c>
    </row>
    <row r="2227">
      <c r="A2227" s="12" t="s">
        <v>233</v>
      </c>
      <c r="B2227" s="5" t="s">
        <v>80</v>
      </c>
      <c r="C2227" s="11">
        <v>0.198</v>
      </c>
      <c r="D2227" s="11">
        <v>35.0</v>
      </c>
      <c r="E2227" s="8"/>
      <c r="F2227" s="11">
        <v>224.0</v>
      </c>
      <c r="G2227" s="11">
        <v>0.047</v>
      </c>
      <c r="H2227" s="11">
        <v>0.472</v>
      </c>
      <c r="I2227" s="9" t="s">
        <v>68</v>
      </c>
    </row>
    <row r="2228">
      <c r="A2228" s="12" t="s">
        <v>222</v>
      </c>
      <c r="B2228" s="5" t="s">
        <v>80</v>
      </c>
      <c r="C2228" s="11">
        <v>0.415</v>
      </c>
      <c r="D2228" s="11">
        <v>51.0</v>
      </c>
      <c r="E2228" s="8"/>
      <c r="F2228" s="11">
        <v>207.0</v>
      </c>
      <c r="G2228" s="11">
        <v>0.018</v>
      </c>
      <c r="H2228" s="11">
        <v>0.047</v>
      </c>
      <c r="I2228" s="9" t="s">
        <v>68</v>
      </c>
    </row>
    <row r="2229">
      <c r="A2229" s="12" t="s">
        <v>245</v>
      </c>
      <c r="B2229" s="5" t="s">
        <v>80</v>
      </c>
      <c r="C2229" s="11">
        <v>0.261</v>
      </c>
      <c r="D2229" s="11">
        <v>56.0</v>
      </c>
      <c r="E2229" s="8"/>
      <c r="F2229" s="11">
        <v>80.0</v>
      </c>
      <c r="G2229" s="11">
        <v>0.02</v>
      </c>
      <c r="H2229" s="11">
        <v>0.022</v>
      </c>
      <c r="I2229" s="9" t="s">
        <v>68</v>
      </c>
    </row>
    <row r="2230">
      <c r="A2230" s="12" t="s">
        <v>196</v>
      </c>
      <c r="B2230" s="5" t="s">
        <v>80</v>
      </c>
      <c r="C2230" s="11">
        <v>0.648</v>
      </c>
      <c r="D2230" s="11">
        <v>17.0</v>
      </c>
      <c r="E2230" s="8"/>
      <c r="F2230" s="11">
        <v>128.0</v>
      </c>
      <c r="G2230" s="11">
        <v>0.04</v>
      </c>
      <c r="H2230" s="8"/>
      <c r="I2230" s="9" t="s">
        <v>68</v>
      </c>
    </row>
    <row r="2231">
      <c r="A2231" s="12" t="s">
        <v>79</v>
      </c>
      <c r="B2231" s="5" t="s">
        <v>80</v>
      </c>
      <c r="C2231" s="8"/>
      <c r="D2231" s="8"/>
      <c r="E2231" s="8"/>
      <c r="F2231" s="8"/>
      <c r="G2231" s="8"/>
      <c r="H2231" s="8"/>
      <c r="I2231" s="9" t="s">
        <v>69</v>
      </c>
    </row>
    <row r="2232">
      <c r="A2232" s="12" t="s">
        <v>196</v>
      </c>
      <c r="B2232" s="5" t="s">
        <v>80</v>
      </c>
      <c r="C2232" s="11">
        <v>0.648</v>
      </c>
      <c r="D2232" s="11">
        <v>17.0</v>
      </c>
      <c r="E2232" s="8"/>
      <c r="F2232" s="11">
        <v>128.0</v>
      </c>
      <c r="G2232" s="11">
        <v>0.046</v>
      </c>
      <c r="H2232" s="8"/>
      <c r="I2232" s="9" t="s">
        <v>69</v>
      </c>
    </row>
    <row r="2233">
      <c r="A2233" s="12" t="s">
        <v>88</v>
      </c>
      <c r="B2233" s="5" t="s">
        <v>80</v>
      </c>
      <c r="C2233" s="11">
        <v>0.499</v>
      </c>
      <c r="D2233" s="11">
        <v>3.0</v>
      </c>
      <c r="E2233" s="8"/>
      <c r="F2233" s="11">
        <v>107.0</v>
      </c>
      <c r="G2233" s="11">
        <v>0.717</v>
      </c>
      <c r="H2233" s="11">
        <v>1.022</v>
      </c>
      <c r="I2233" s="9" t="s">
        <v>69</v>
      </c>
    </row>
    <row r="2234">
      <c r="A2234" s="12" t="s">
        <v>212</v>
      </c>
      <c r="B2234" s="5" t="s">
        <v>80</v>
      </c>
      <c r="C2234" s="11">
        <v>0.36</v>
      </c>
      <c r="D2234" s="11">
        <v>1.0</v>
      </c>
      <c r="E2234" s="8"/>
      <c r="F2234" s="11">
        <v>172.0</v>
      </c>
      <c r="G2234" s="11">
        <v>0.72</v>
      </c>
      <c r="H2234" s="11">
        <v>1.08</v>
      </c>
      <c r="I2234" s="9" t="s">
        <v>69</v>
      </c>
    </row>
    <row r="2235">
      <c r="A2235" s="12" t="s">
        <v>211</v>
      </c>
      <c r="B2235" s="5" t="s">
        <v>80</v>
      </c>
      <c r="C2235" s="8"/>
      <c r="D2235" s="8"/>
      <c r="E2235" s="8"/>
      <c r="F2235" s="8"/>
      <c r="G2235" s="11">
        <v>0.345</v>
      </c>
      <c r="H2235" s="11">
        <v>0.821</v>
      </c>
      <c r="I2235" s="9" t="s">
        <v>69</v>
      </c>
    </row>
    <row r="2236">
      <c r="A2236" s="12" t="s">
        <v>144</v>
      </c>
      <c r="B2236" s="5" t="s">
        <v>80</v>
      </c>
      <c r="C2236" s="8"/>
      <c r="D2236" s="8"/>
      <c r="E2236" s="8"/>
      <c r="F2236" s="8"/>
      <c r="G2236" s="11">
        <v>0.339</v>
      </c>
      <c r="H2236" s="11">
        <v>0.712</v>
      </c>
      <c r="I2236" s="9" t="s">
        <v>69</v>
      </c>
    </row>
    <row r="2237">
      <c r="A2237" s="12" t="s">
        <v>153</v>
      </c>
      <c r="B2237" s="5" t="s">
        <v>80</v>
      </c>
      <c r="C2237" s="8"/>
      <c r="D2237" s="8"/>
      <c r="E2237" s="8"/>
      <c r="F2237" s="8"/>
      <c r="G2237" s="11">
        <v>0.484</v>
      </c>
      <c r="H2237" s="8"/>
      <c r="I2237" s="9" t="s">
        <v>69</v>
      </c>
    </row>
    <row r="2238">
      <c r="A2238" s="12" t="s">
        <v>141</v>
      </c>
      <c r="B2238" s="5" t="s">
        <v>80</v>
      </c>
      <c r="C2238" s="11">
        <v>0.415</v>
      </c>
      <c r="D2238" s="11">
        <v>46.0</v>
      </c>
      <c r="E2238" s="8"/>
      <c r="F2238" s="11">
        <v>140.0</v>
      </c>
      <c r="G2238" s="11">
        <v>0.13</v>
      </c>
      <c r="H2238" s="11">
        <v>0.711</v>
      </c>
      <c r="I2238" s="9" t="s">
        <v>69</v>
      </c>
    </row>
    <row r="2239">
      <c r="A2239" s="12" t="s">
        <v>176</v>
      </c>
      <c r="B2239" s="5" t="s">
        <v>80</v>
      </c>
      <c r="C2239" s="11">
        <v>0.318</v>
      </c>
      <c r="D2239" s="11">
        <v>31.0</v>
      </c>
      <c r="E2239" s="8"/>
      <c r="F2239" s="11">
        <v>120.0</v>
      </c>
      <c r="G2239" s="11">
        <v>0.07</v>
      </c>
      <c r="H2239" s="11">
        <v>0.011</v>
      </c>
      <c r="I2239" s="9" t="s">
        <v>69</v>
      </c>
    </row>
    <row r="2240">
      <c r="A2240" s="12" t="s">
        <v>200</v>
      </c>
      <c r="B2240" s="5" t="s">
        <v>80</v>
      </c>
      <c r="C2240" s="11">
        <v>0.587</v>
      </c>
      <c r="D2240" s="11">
        <v>16.0</v>
      </c>
      <c r="E2240" s="8"/>
      <c r="F2240" s="11">
        <v>128.0</v>
      </c>
      <c r="G2240" s="11">
        <v>0.145</v>
      </c>
      <c r="H2240" s="11">
        <v>0.263</v>
      </c>
      <c r="I2240" s="9" t="s">
        <v>69</v>
      </c>
    </row>
    <row r="2241">
      <c r="A2241" s="12" t="s">
        <v>280</v>
      </c>
      <c r="B2241" s="5" t="s">
        <v>80</v>
      </c>
      <c r="C2241" s="11">
        <v>0.084</v>
      </c>
      <c r="D2241" s="11">
        <v>47.0</v>
      </c>
      <c r="E2241" s="8"/>
      <c r="F2241" s="11">
        <v>120.0</v>
      </c>
      <c r="G2241" s="11">
        <v>0.073</v>
      </c>
      <c r="H2241" s="11">
        <v>0.16</v>
      </c>
      <c r="I2241" s="9" t="s">
        <v>69</v>
      </c>
    </row>
    <row r="2242">
      <c r="A2242" s="12" t="s">
        <v>267</v>
      </c>
      <c r="B2242" s="5" t="s">
        <v>80</v>
      </c>
      <c r="C2242" s="11">
        <v>0.275</v>
      </c>
      <c r="D2242" s="11">
        <v>25.0</v>
      </c>
      <c r="E2242" s="8"/>
      <c r="F2242" s="11">
        <v>164.0</v>
      </c>
      <c r="G2242" s="11">
        <v>0.081</v>
      </c>
      <c r="H2242" s="11">
        <v>0.49</v>
      </c>
      <c r="I2242" s="9" t="s">
        <v>69</v>
      </c>
    </row>
    <row r="2243">
      <c r="A2243" s="12" t="s">
        <v>233</v>
      </c>
      <c r="B2243" s="5" t="s">
        <v>80</v>
      </c>
      <c r="C2243" s="11">
        <v>0.189</v>
      </c>
      <c r="D2243" s="11">
        <v>35.0</v>
      </c>
      <c r="E2243" s="8"/>
      <c r="F2243" s="11">
        <v>224.0</v>
      </c>
      <c r="G2243" s="11">
        <v>0.05</v>
      </c>
      <c r="H2243" s="8"/>
      <c r="I2243" s="9" t="s">
        <v>69</v>
      </c>
    </row>
    <row r="2244">
      <c r="A2244" s="12" t="s">
        <v>222</v>
      </c>
      <c r="B2244" s="5" t="s">
        <v>80</v>
      </c>
      <c r="C2244" s="11">
        <v>0.415</v>
      </c>
      <c r="D2244" s="11">
        <v>51.0</v>
      </c>
      <c r="E2244" s="8"/>
      <c r="F2244" s="11">
        <v>194.0</v>
      </c>
      <c r="G2244" s="11">
        <v>0.012</v>
      </c>
      <c r="H2244" s="11">
        <v>0.133</v>
      </c>
      <c r="I2244" s="9" t="s">
        <v>69</v>
      </c>
    </row>
    <row r="2245">
      <c r="A2245" s="12" t="s">
        <v>245</v>
      </c>
      <c r="B2245" s="5" t="s">
        <v>80</v>
      </c>
      <c r="C2245" s="11">
        <v>0.261</v>
      </c>
      <c r="D2245" s="11">
        <v>56.0</v>
      </c>
      <c r="E2245" s="8"/>
      <c r="F2245" s="11">
        <v>80.0</v>
      </c>
      <c r="G2245" s="11">
        <v>0.03</v>
      </c>
      <c r="H2245" s="11">
        <v>0.06</v>
      </c>
      <c r="I2245" s="9" t="s">
        <v>69</v>
      </c>
    </row>
    <row r="2246">
      <c r="A2246" s="12" t="s">
        <v>79</v>
      </c>
      <c r="B2246" s="5" t="s">
        <v>80</v>
      </c>
      <c r="C2246" s="8"/>
      <c r="D2246" s="8"/>
      <c r="E2246" s="8"/>
      <c r="F2246" s="8"/>
      <c r="G2246" s="8"/>
      <c r="H2246" s="8"/>
      <c r="I2246" s="9" t="s">
        <v>70</v>
      </c>
    </row>
    <row r="2247">
      <c r="A2247" s="12" t="s">
        <v>196</v>
      </c>
      <c r="B2247" s="5" t="s">
        <v>80</v>
      </c>
      <c r="C2247" s="11">
        <v>0.648</v>
      </c>
      <c r="D2247" s="11">
        <v>17.0</v>
      </c>
      <c r="E2247" s="8"/>
      <c r="F2247" s="11">
        <v>128.0</v>
      </c>
      <c r="G2247" s="11">
        <v>0.056</v>
      </c>
      <c r="H2247" s="8"/>
      <c r="I2247" s="9" t="s">
        <v>70</v>
      </c>
    </row>
    <row r="2248">
      <c r="A2248" s="12" t="s">
        <v>212</v>
      </c>
      <c r="B2248" s="5" t="s">
        <v>80</v>
      </c>
      <c r="C2248" s="11">
        <v>0.332</v>
      </c>
      <c r="D2248" s="11">
        <v>1.0</v>
      </c>
      <c r="E2248" s="8"/>
      <c r="F2248" s="11">
        <v>172.0</v>
      </c>
      <c r="G2248" s="11">
        <v>0.797</v>
      </c>
      <c r="H2248" s="11">
        <v>1.087</v>
      </c>
      <c r="I2248" s="9" t="s">
        <v>70</v>
      </c>
    </row>
    <row r="2249">
      <c r="A2249" s="12" t="s">
        <v>88</v>
      </c>
      <c r="B2249" s="5" t="s">
        <v>80</v>
      </c>
      <c r="C2249" s="11">
        <v>0.476</v>
      </c>
      <c r="D2249" s="11">
        <v>3.0</v>
      </c>
      <c r="E2249" s="8"/>
      <c r="F2249" s="11">
        <v>107.0</v>
      </c>
      <c r="G2249" s="11">
        <v>0.743</v>
      </c>
      <c r="H2249" s="11">
        <v>1.007</v>
      </c>
      <c r="I2249" s="9" t="s">
        <v>70</v>
      </c>
    </row>
    <row r="2250">
      <c r="A2250" s="12" t="s">
        <v>211</v>
      </c>
      <c r="B2250" s="5" t="s">
        <v>80</v>
      </c>
      <c r="C2250" s="8"/>
      <c r="D2250" s="8"/>
      <c r="E2250" s="8"/>
      <c r="F2250" s="8"/>
      <c r="G2250" s="11">
        <v>0.34</v>
      </c>
      <c r="H2250" s="11">
        <v>0.863</v>
      </c>
      <c r="I2250" s="9" t="s">
        <v>70</v>
      </c>
    </row>
    <row r="2251">
      <c r="A2251" s="12" t="s">
        <v>144</v>
      </c>
      <c r="B2251" s="5" t="s">
        <v>80</v>
      </c>
      <c r="C2251" s="8"/>
      <c r="D2251" s="8"/>
      <c r="E2251" s="8"/>
      <c r="F2251" s="8"/>
      <c r="G2251" s="11">
        <v>0.446</v>
      </c>
      <c r="H2251" s="11">
        <v>0.785</v>
      </c>
      <c r="I2251" s="9" t="s">
        <v>70</v>
      </c>
    </row>
    <row r="2252">
      <c r="A2252" s="12" t="s">
        <v>153</v>
      </c>
      <c r="B2252" s="5" t="s">
        <v>80</v>
      </c>
      <c r="C2252" s="8"/>
      <c r="D2252" s="8"/>
      <c r="E2252" s="8"/>
      <c r="F2252" s="8"/>
      <c r="G2252" s="11">
        <v>0.506</v>
      </c>
      <c r="H2252" s="8"/>
      <c r="I2252" s="9" t="s">
        <v>70</v>
      </c>
    </row>
    <row r="2253">
      <c r="A2253" s="12" t="s">
        <v>141</v>
      </c>
      <c r="B2253" s="5" t="s">
        <v>80</v>
      </c>
      <c r="C2253" s="11">
        <v>0.412</v>
      </c>
      <c r="D2253" s="11">
        <v>46.0</v>
      </c>
      <c r="E2253" s="8"/>
      <c r="F2253" s="11">
        <v>150.0</v>
      </c>
      <c r="G2253" s="11">
        <v>0.17</v>
      </c>
      <c r="H2253" s="11">
        <v>0.751</v>
      </c>
      <c r="I2253" s="9" t="s">
        <v>70</v>
      </c>
    </row>
    <row r="2254">
      <c r="A2254" s="12" t="s">
        <v>176</v>
      </c>
      <c r="B2254" s="5" t="s">
        <v>80</v>
      </c>
      <c r="C2254" s="11">
        <v>0.318</v>
      </c>
      <c r="D2254" s="11">
        <v>31.0</v>
      </c>
      <c r="E2254" s="8"/>
      <c r="F2254" s="11">
        <v>120.0</v>
      </c>
      <c r="G2254" s="11">
        <v>0.09</v>
      </c>
      <c r="H2254" s="11">
        <v>0.103</v>
      </c>
      <c r="I2254" s="9" t="s">
        <v>70</v>
      </c>
    </row>
    <row r="2255">
      <c r="A2255" s="12" t="s">
        <v>200</v>
      </c>
      <c r="B2255" s="5" t="s">
        <v>80</v>
      </c>
      <c r="C2255" s="11">
        <v>0.587</v>
      </c>
      <c r="D2255" s="11">
        <v>16.0</v>
      </c>
      <c r="E2255" s="8"/>
      <c r="F2255" s="11">
        <v>128.0</v>
      </c>
      <c r="G2255" s="11">
        <v>0.154</v>
      </c>
      <c r="H2255" s="11">
        <v>0.264</v>
      </c>
      <c r="I2255" s="9" t="s">
        <v>70</v>
      </c>
    </row>
    <row r="2256">
      <c r="A2256" s="12" t="s">
        <v>280</v>
      </c>
      <c r="B2256" s="5" t="s">
        <v>80</v>
      </c>
      <c r="C2256" s="11">
        <v>0.084</v>
      </c>
      <c r="D2256" s="11">
        <v>47.0</v>
      </c>
      <c r="E2256" s="8"/>
      <c r="F2256" s="11">
        <v>120.0</v>
      </c>
      <c r="G2256" s="11">
        <v>0.075</v>
      </c>
      <c r="H2256" s="11">
        <v>0.57</v>
      </c>
      <c r="I2256" s="9" t="s">
        <v>70</v>
      </c>
    </row>
    <row r="2257">
      <c r="A2257" s="12" t="s">
        <v>233</v>
      </c>
      <c r="B2257" s="5" t="s">
        <v>80</v>
      </c>
      <c r="C2257" s="11">
        <v>0.189</v>
      </c>
      <c r="D2257" s="11">
        <v>9.0</v>
      </c>
      <c r="E2257" s="8"/>
      <c r="F2257" s="11">
        <v>224.0</v>
      </c>
      <c r="G2257" s="11">
        <v>0.06</v>
      </c>
      <c r="H2257" s="8"/>
      <c r="I2257" s="9" t="s">
        <v>70</v>
      </c>
    </row>
    <row r="2258">
      <c r="A2258" s="12" t="s">
        <v>267</v>
      </c>
      <c r="B2258" s="5" t="s">
        <v>80</v>
      </c>
      <c r="C2258" s="11">
        <v>0.275</v>
      </c>
      <c r="D2258" s="11">
        <v>25.0</v>
      </c>
      <c r="E2258" s="8"/>
      <c r="F2258" s="11">
        <v>164.0</v>
      </c>
      <c r="G2258" s="11">
        <v>0.1</v>
      </c>
      <c r="H2258" s="11">
        <v>0.512</v>
      </c>
      <c r="I2258" s="9" t="s">
        <v>70</v>
      </c>
    </row>
    <row r="2259">
      <c r="A2259" s="12" t="s">
        <v>222</v>
      </c>
      <c r="B2259" s="5" t="s">
        <v>80</v>
      </c>
      <c r="C2259" s="11">
        <v>0.421</v>
      </c>
      <c r="D2259" s="11">
        <v>51.0</v>
      </c>
      <c r="E2259" s="8"/>
      <c r="F2259" s="11">
        <v>194.0</v>
      </c>
      <c r="G2259" s="11">
        <v>0.016</v>
      </c>
      <c r="H2259" s="11">
        <v>0.211</v>
      </c>
      <c r="I2259" s="9" t="s">
        <v>70</v>
      </c>
    </row>
    <row r="2260">
      <c r="A2260" s="12" t="s">
        <v>245</v>
      </c>
      <c r="B2260" s="5" t="s">
        <v>80</v>
      </c>
      <c r="C2260" s="11">
        <v>0.261</v>
      </c>
      <c r="D2260" s="11">
        <v>56.0</v>
      </c>
      <c r="E2260" s="8"/>
      <c r="F2260" s="11">
        <v>80.0</v>
      </c>
      <c r="G2260" s="11">
        <v>0.04</v>
      </c>
      <c r="H2260" s="11">
        <v>0.097</v>
      </c>
      <c r="I2260" s="9" t="s">
        <v>70</v>
      </c>
    </row>
    <row r="2261">
      <c r="A2261" s="12" t="s">
        <v>196</v>
      </c>
      <c r="B2261" s="5" t="s">
        <v>80</v>
      </c>
      <c r="C2261" s="11">
        <v>0.648</v>
      </c>
      <c r="D2261" s="11">
        <v>17.0</v>
      </c>
      <c r="E2261" s="8"/>
      <c r="F2261" s="11">
        <v>128.0</v>
      </c>
      <c r="G2261" s="11">
        <v>0.07</v>
      </c>
      <c r="H2261" s="8"/>
      <c r="I2261" s="9" t="s">
        <v>71</v>
      </c>
    </row>
    <row r="2262">
      <c r="A2262" s="12" t="s">
        <v>88</v>
      </c>
      <c r="B2262" s="5" t="s">
        <v>80</v>
      </c>
      <c r="C2262" s="11">
        <v>0.475</v>
      </c>
      <c r="D2262" s="11">
        <v>3.0</v>
      </c>
      <c r="E2262" s="8"/>
      <c r="F2262" s="11">
        <v>109.0</v>
      </c>
      <c r="G2262" s="11">
        <v>0.76</v>
      </c>
      <c r="H2262" s="11">
        <v>1.004</v>
      </c>
      <c r="I2262" s="9" t="s">
        <v>71</v>
      </c>
    </row>
    <row r="2263">
      <c r="A2263" s="12" t="s">
        <v>212</v>
      </c>
      <c r="B2263" s="5" t="s">
        <v>80</v>
      </c>
      <c r="C2263" s="11">
        <v>0.347</v>
      </c>
      <c r="D2263" s="11">
        <v>1.0</v>
      </c>
      <c r="E2263" s="8"/>
      <c r="F2263" s="11">
        <v>172.0</v>
      </c>
      <c r="G2263" s="11">
        <v>0.805</v>
      </c>
      <c r="H2263" s="11">
        <v>1.078</v>
      </c>
      <c r="I2263" s="9" t="s">
        <v>71</v>
      </c>
    </row>
    <row r="2264">
      <c r="A2264" s="12" t="s">
        <v>144</v>
      </c>
      <c r="B2264" s="5" t="s">
        <v>80</v>
      </c>
      <c r="C2264" s="8"/>
      <c r="D2264" s="8"/>
      <c r="E2264" s="8"/>
      <c r="F2264" s="8"/>
      <c r="G2264" s="11">
        <v>0.49</v>
      </c>
      <c r="H2264" s="11">
        <v>0.805</v>
      </c>
      <c r="I2264" s="9" t="s">
        <v>71</v>
      </c>
    </row>
    <row r="2265">
      <c r="A2265" s="12" t="s">
        <v>211</v>
      </c>
      <c r="B2265" s="5" t="s">
        <v>80</v>
      </c>
      <c r="C2265" s="8"/>
      <c r="D2265" s="8"/>
      <c r="E2265" s="8"/>
      <c r="F2265" s="8"/>
      <c r="G2265" s="11">
        <v>0.42</v>
      </c>
      <c r="H2265" s="11">
        <v>0.896</v>
      </c>
      <c r="I2265" s="9" t="s">
        <v>71</v>
      </c>
    </row>
    <row r="2266">
      <c r="A2266" s="12" t="s">
        <v>153</v>
      </c>
      <c r="B2266" s="5" t="s">
        <v>80</v>
      </c>
      <c r="C2266" s="8"/>
      <c r="D2266" s="8"/>
      <c r="E2266" s="8"/>
      <c r="F2266" s="8"/>
      <c r="G2266" s="11">
        <v>0.54</v>
      </c>
      <c r="H2266" s="8"/>
      <c r="I2266" s="9" t="s">
        <v>71</v>
      </c>
    </row>
    <row r="2267">
      <c r="A2267" s="12" t="s">
        <v>79</v>
      </c>
      <c r="B2267" s="5" t="s">
        <v>80</v>
      </c>
      <c r="C2267" s="8"/>
      <c r="D2267" s="8"/>
      <c r="E2267" s="8"/>
      <c r="F2267" s="8"/>
      <c r="G2267" s="8"/>
      <c r="H2267" s="8"/>
      <c r="I2267" s="9" t="s">
        <v>71</v>
      </c>
    </row>
    <row r="2268">
      <c r="A2268" s="12" t="s">
        <v>141</v>
      </c>
      <c r="B2268" s="5" t="s">
        <v>80</v>
      </c>
      <c r="C2268" s="11">
        <v>0.393</v>
      </c>
      <c r="D2268" s="11">
        <v>46.0</v>
      </c>
      <c r="E2268" s="8"/>
      <c r="F2268" s="11">
        <v>163.0</v>
      </c>
      <c r="G2268" s="11">
        <v>0.2</v>
      </c>
      <c r="H2268" s="11">
        <v>0.811</v>
      </c>
      <c r="I2268" s="9" t="s">
        <v>71</v>
      </c>
    </row>
    <row r="2269">
      <c r="A2269" s="12" t="s">
        <v>176</v>
      </c>
      <c r="B2269" s="5" t="s">
        <v>80</v>
      </c>
      <c r="C2269" s="11">
        <v>0.318</v>
      </c>
      <c r="D2269" s="11">
        <v>31.0</v>
      </c>
      <c r="E2269" s="8"/>
      <c r="F2269" s="11">
        <v>120.0</v>
      </c>
      <c r="G2269" s="11">
        <v>0.091</v>
      </c>
      <c r="H2269" s="11">
        <v>0.108</v>
      </c>
      <c r="I2269" s="9" t="s">
        <v>71</v>
      </c>
    </row>
    <row r="2270">
      <c r="A2270" s="12" t="s">
        <v>200</v>
      </c>
      <c r="B2270" s="5" t="s">
        <v>80</v>
      </c>
      <c r="C2270" s="11">
        <v>0.587</v>
      </c>
      <c r="D2270" s="11">
        <v>16.0</v>
      </c>
      <c r="E2270" s="8"/>
      <c r="F2270" s="11">
        <v>128.0</v>
      </c>
      <c r="G2270" s="11">
        <v>0.2</v>
      </c>
      <c r="H2270" s="11">
        <v>0.266</v>
      </c>
      <c r="I2270" s="9" t="s">
        <v>71</v>
      </c>
    </row>
    <row r="2271">
      <c r="A2271" s="12" t="s">
        <v>280</v>
      </c>
      <c r="B2271" s="5" t="s">
        <v>80</v>
      </c>
      <c r="C2271" s="11">
        <v>0.084</v>
      </c>
      <c r="D2271" s="11">
        <v>47.0</v>
      </c>
      <c r="E2271" s="8"/>
      <c r="F2271" s="11">
        <v>120.0</v>
      </c>
      <c r="G2271" s="11">
        <v>0.08</v>
      </c>
      <c r="H2271" s="11">
        <v>0.719</v>
      </c>
      <c r="I2271" s="9" t="s">
        <v>71</v>
      </c>
    </row>
    <row r="2272">
      <c r="A2272" s="12" t="s">
        <v>267</v>
      </c>
      <c r="B2272" s="5" t="s">
        <v>80</v>
      </c>
      <c r="C2272" s="11">
        <v>0.254</v>
      </c>
      <c r="D2272" s="11">
        <v>25.0</v>
      </c>
      <c r="E2272" s="8"/>
      <c r="F2272" s="11">
        <v>164.0</v>
      </c>
      <c r="G2272" s="11">
        <v>0.16</v>
      </c>
      <c r="H2272" s="11">
        <v>0.522</v>
      </c>
      <c r="I2272" s="9" t="s">
        <v>71</v>
      </c>
    </row>
    <row r="2273">
      <c r="A2273" s="12" t="s">
        <v>233</v>
      </c>
      <c r="B2273" s="5" t="s">
        <v>80</v>
      </c>
      <c r="C2273" s="11">
        <v>0.189</v>
      </c>
      <c r="D2273" s="11">
        <v>9.0</v>
      </c>
      <c r="E2273" s="8"/>
      <c r="F2273" s="11">
        <v>224.0</v>
      </c>
      <c r="G2273" s="11">
        <v>0.07</v>
      </c>
      <c r="H2273" s="8"/>
      <c r="I2273" s="9" t="s">
        <v>71</v>
      </c>
    </row>
    <row r="2274">
      <c r="A2274" s="12" t="s">
        <v>222</v>
      </c>
      <c r="B2274" s="5" t="s">
        <v>80</v>
      </c>
      <c r="C2274" s="11">
        <v>0.421</v>
      </c>
      <c r="D2274" s="11">
        <v>51.0</v>
      </c>
      <c r="E2274" s="8"/>
      <c r="F2274" s="11">
        <v>194.0</v>
      </c>
      <c r="G2274" s="11">
        <v>0.013</v>
      </c>
      <c r="H2274" s="11">
        <v>0.278</v>
      </c>
      <c r="I2274" s="9" t="s">
        <v>71</v>
      </c>
    </row>
    <row r="2275">
      <c r="A2275" s="12" t="s">
        <v>245</v>
      </c>
      <c r="B2275" s="5" t="s">
        <v>80</v>
      </c>
      <c r="C2275" s="11">
        <v>0.262</v>
      </c>
      <c r="D2275" s="11">
        <v>56.0</v>
      </c>
      <c r="E2275" s="8"/>
      <c r="F2275" s="11">
        <v>80.0</v>
      </c>
      <c r="G2275" s="11">
        <v>0.05</v>
      </c>
      <c r="H2275" s="11">
        <v>0.219</v>
      </c>
      <c r="I2275" s="9" t="s">
        <v>71</v>
      </c>
    </row>
    <row r="2276">
      <c r="A2276" s="12" t="s">
        <v>79</v>
      </c>
      <c r="B2276" s="5" t="s">
        <v>80</v>
      </c>
      <c r="C2276" s="8"/>
      <c r="D2276" s="8"/>
      <c r="E2276" s="8"/>
      <c r="F2276" s="8"/>
      <c r="G2276" s="8"/>
      <c r="H2276" s="8"/>
      <c r="I2276" s="9" t="s">
        <v>72</v>
      </c>
    </row>
    <row r="2277">
      <c r="A2277" s="12" t="s">
        <v>196</v>
      </c>
      <c r="B2277" s="5" t="s">
        <v>80</v>
      </c>
      <c r="C2277" s="11">
        <v>0.648</v>
      </c>
      <c r="D2277" s="11">
        <v>17.0</v>
      </c>
      <c r="E2277" s="8"/>
      <c r="F2277" s="11">
        <v>128.0</v>
      </c>
      <c r="G2277" s="11">
        <v>0.081</v>
      </c>
      <c r="H2277" s="8"/>
      <c r="I2277" s="9" t="s">
        <v>72</v>
      </c>
    </row>
    <row r="2278">
      <c r="A2278" s="12" t="s">
        <v>212</v>
      </c>
      <c r="B2278" s="5" t="s">
        <v>80</v>
      </c>
      <c r="C2278" s="11">
        <v>0.344</v>
      </c>
      <c r="D2278" s="11">
        <v>1.0</v>
      </c>
      <c r="E2278" s="8"/>
      <c r="F2278" s="11">
        <v>172.0</v>
      </c>
      <c r="G2278" s="11">
        <v>0.812</v>
      </c>
      <c r="H2278" s="11">
        <v>1.092</v>
      </c>
      <c r="I2278" s="9" t="s">
        <v>72</v>
      </c>
    </row>
    <row r="2279">
      <c r="A2279" s="12" t="s">
        <v>88</v>
      </c>
      <c r="B2279" s="5" t="s">
        <v>80</v>
      </c>
      <c r="C2279" s="11">
        <v>0.473</v>
      </c>
      <c r="D2279" s="11">
        <v>3.0</v>
      </c>
      <c r="E2279" s="8"/>
      <c r="F2279" s="11">
        <v>109.0</v>
      </c>
      <c r="G2279" s="11">
        <v>0.795</v>
      </c>
      <c r="H2279" s="11">
        <v>1.046</v>
      </c>
      <c r="I2279" s="9" t="s">
        <v>72</v>
      </c>
    </row>
    <row r="2280">
      <c r="A2280" s="12" t="s">
        <v>211</v>
      </c>
      <c r="B2280" s="5" t="s">
        <v>80</v>
      </c>
      <c r="C2280" s="8"/>
      <c r="D2280" s="8"/>
      <c r="E2280" s="8"/>
      <c r="F2280" s="8"/>
      <c r="G2280" s="11">
        <v>0.5</v>
      </c>
      <c r="H2280" s="11">
        <v>0.91</v>
      </c>
      <c r="I2280" s="9" t="s">
        <v>72</v>
      </c>
    </row>
    <row r="2281">
      <c r="A2281" s="12" t="s">
        <v>144</v>
      </c>
      <c r="B2281" s="5" t="s">
        <v>80</v>
      </c>
      <c r="C2281" s="8"/>
      <c r="D2281" s="8"/>
      <c r="E2281" s="8"/>
      <c r="F2281" s="8"/>
      <c r="G2281" s="11">
        <v>0.49</v>
      </c>
      <c r="H2281" s="11">
        <v>0.823</v>
      </c>
      <c r="I2281" s="9" t="s">
        <v>72</v>
      </c>
    </row>
    <row r="2282">
      <c r="A2282" s="12" t="s">
        <v>153</v>
      </c>
      <c r="B2282" s="5" t="s">
        <v>80</v>
      </c>
      <c r="C2282" s="8"/>
      <c r="D2282" s="8"/>
      <c r="E2282" s="8"/>
      <c r="F2282" s="8"/>
      <c r="G2282" s="11">
        <v>0.577</v>
      </c>
      <c r="H2282" s="8"/>
      <c r="I2282" s="9" t="s">
        <v>72</v>
      </c>
    </row>
    <row r="2283">
      <c r="A2283" s="12" t="s">
        <v>141</v>
      </c>
      <c r="B2283" s="5" t="s">
        <v>80</v>
      </c>
      <c r="C2283" s="11">
        <v>0.383</v>
      </c>
      <c r="D2283" s="11">
        <v>45.0</v>
      </c>
      <c r="E2283" s="8"/>
      <c r="F2283" s="11">
        <v>163.0</v>
      </c>
      <c r="G2283" s="11">
        <v>0.28</v>
      </c>
      <c r="H2283" s="11">
        <v>0.838</v>
      </c>
      <c r="I2283" s="9" t="s">
        <v>72</v>
      </c>
    </row>
    <row r="2284">
      <c r="A2284" s="12" t="s">
        <v>176</v>
      </c>
      <c r="B2284" s="5" t="s">
        <v>80</v>
      </c>
      <c r="C2284" s="11">
        <v>0.318</v>
      </c>
      <c r="D2284" s="11">
        <v>31.0</v>
      </c>
      <c r="E2284" s="8"/>
      <c r="F2284" s="11">
        <v>120.0</v>
      </c>
      <c r="G2284" s="11">
        <v>0.1</v>
      </c>
      <c r="H2284" s="11">
        <v>0.139</v>
      </c>
      <c r="I2284" s="9" t="s">
        <v>72</v>
      </c>
    </row>
    <row r="2285">
      <c r="A2285" s="12" t="s">
        <v>200</v>
      </c>
      <c r="B2285" s="5" t="s">
        <v>80</v>
      </c>
      <c r="C2285" s="11">
        <v>0.59</v>
      </c>
      <c r="D2285" s="11">
        <v>16.0</v>
      </c>
      <c r="E2285" s="8"/>
      <c r="F2285" s="11">
        <v>128.0</v>
      </c>
      <c r="G2285" s="11">
        <v>0.228</v>
      </c>
      <c r="H2285" s="11">
        <v>0.267</v>
      </c>
      <c r="I2285" s="9" t="s">
        <v>72</v>
      </c>
    </row>
    <row r="2286">
      <c r="A2286" s="12" t="s">
        <v>280</v>
      </c>
      <c r="B2286" s="5" t="s">
        <v>80</v>
      </c>
      <c r="C2286" s="11">
        <v>0.084</v>
      </c>
      <c r="D2286" s="11">
        <v>35.0</v>
      </c>
      <c r="E2286" s="8"/>
      <c r="F2286" s="11">
        <v>120.0</v>
      </c>
      <c r="G2286" s="11">
        <v>0.092</v>
      </c>
      <c r="H2286" s="11">
        <v>0.644</v>
      </c>
      <c r="I2286" s="9" t="s">
        <v>72</v>
      </c>
    </row>
    <row r="2287">
      <c r="A2287" s="12" t="s">
        <v>267</v>
      </c>
      <c r="B2287" s="5" t="s">
        <v>80</v>
      </c>
      <c r="C2287" s="11">
        <v>0.254</v>
      </c>
      <c r="D2287" s="11">
        <v>16.0</v>
      </c>
      <c r="E2287" s="8"/>
      <c r="F2287" s="11">
        <v>164.0</v>
      </c>
      <c r="G2287" s="11">
        <v>0.25</v>
      </c>
      <c r="H2287" s="11">
        <v>0.526</v>
      </c>
      <c r="I2287" s="9" t="s">
        <v>72</v>
      </c>
    </row>
    <row r="2288">
      <c r="A2288" s="12" t="s">
        <v>233</v>
      </c>
      <c r="B2288" s="5" t="s">
        <v>80</v>
      </c>
      <c r="C2288" s="11">
        <v>0.189</v>
      </c>
      <c r="D2288" s="11">
        <v>9.0</v>
      </c>
      <c r="E2288" s="8"/>
      <c r="F2288" s="11">
        <v>224.0</v>
      </c>
      <c r="G2288" s="11">
        <v>0.11</v>
      </c>
      <c r="H2288" s="8"/>
      <c r="I2288" s="9" t="s">
        <v>72</v>
      </c>
    </row>
    <row r="2289">
      <c r="A2289" s="12" t="s">
        <v>222</v>
      </c>
      <c r="B2289" s="5" t="s">
        <v>80</v>
      </c>
      <c r="C2289" s="11">
        <v>0.421</v>
      </c>
      <c r="D2289" s="11">
        <v>51.0</v>
      </c>
      <c r="E2289" s="8"/>
      <c r="F2289" s="11">
        <v>194.0</v>
      </c>
      <c r="G2289" s="11">
        <v>0.02</v>
      </c>
      <c r="H2289" s="11">
        <v>0.342</v>
      </c>
      <c r="I2289" s="9" t="s">
        <v>72</v>
      </c>
    </row>
    <row r="2290">
      <c r="A2290" s="12" t="s">
        <v>245</v>
      </c>
      <c r="B2290" s="5" t="s">
        <v>80</v>
      </c>
      <c r="C2290" s="11">
        <v>0.262</v>
      </c>
      <c r="D2290" s="11">
        <v>42.0</v>
      </c>
      <c r="E2290" s="8"/>
      <c r="F2290" s="11">
        <v>80.0</v>
      </c>
      <c r="G2290" s="11">
        <v>0.06</v>
      </c>
      <c r="H2290" s="11">
        <v>0.511</v>
      </c>
      <c r="I2290" s="9" t="s">
        <v>72</v>
      </c>
    </row>
    <row r="2291">
      <c r="A2291" s="12" t="s">
        <v>79</v>
      </c>
      <c r="B2291" s="5" t="s">
        <v>80</v>
      </c>
      <c r="C2291" s="8"/>
      <c r="D2291" s="8"/>
      <c r="E2291" s="8"/>
      <c r="F2291" s="8"/>
      <c r="G2291" s="8"/>
      <c r="H2291" s="8"/>
      <c r="I2291" s="9" t="s">
        <v>73</v>
      </c>
    </row>
    <row r="2292">
      <c r="A2292" s="12" t="s">
        <v>196</v>
      </c>
      <c r="B2292" s="5" t="s">
        <v>80</v>
      </c>
      <c r="C2292" s="11">
        <v>0.648</v>
      </c>
      <c r="D2292" s="11">
        <v>17.0</v>
      </c>
      <c r="E2292" s="11">
        <v>110.0</v>
      </c>
      <c r="F2292" s="11">
        <v>128.0</v>
      </c>
      <c r="G2292" s="11">
        <v>0.1</v>
      </c>
      <c r="H2292" s="8"/>
      <c r="I2292" s="9" t="s">
        <v>73</v>
      </c>
    </row>
    <row r="2293">
      <c r="A2293" s="12" t="s">
        <v>212</v>
      </c>
      <c r="B2293" s="5" t="s">
        <v>80</v>
      </c>
      <c r="C2293" s="11">
        <v>0.34</v>
      </c>
      <c r="D2293" s="11">
        <v>1.0</v>
      </c>
      <c r="E2293" s="11">
        <v>3.0</v>
      </c>
      <c r="F2293" s="11">
        <v>152.0</v>
      </c>
      <c r="G2293" s="11">
        <v>0.82</v>
      </c>
      <c r="H2293" s="11">
        <v>1.104</v>
      </c>
      <c r="I2293" s="9" t="s">
        <v>73</v>
      </c>
    </row>
    <row r="2294">
      <c r="A2294" s="12" t="s">
        <v>88</v>
      </c>
      <c r="B2294" s="5" t="s">
        <v>80</v>
      </c>
      <c r="C2294" s="11">
        <v>0.472</v>
      </c>
      <c r="D2294" s="11">
        <v>3.0</v>
      </c>
      <c r="E2294" s="11">
        <v>10.0</v>
      </c>
      <c r="F2294" s="11">
        <v>109.0</v>
      </c>
      <c r="G2294" s="11">
        <v>0.79</v>
      </c>
      <c r="H2294" s="11">
        <v>1.056</v>
      </c>
      <c r="I2294" s="9" t="s">
        <v>73</v>
      </c>
    </row>
    <row r="2295">
      <c r="A2295" s="12" t="s">
        <v>211</v>
      </c>
      <c r="B2295" s="5" t="s">
        <v>80</v>
      </c>
      <c r="C2295" s="8"/>
      <c r="D2295" s="8"/>
      <c r="E2295" s="8"/>
      <c r="F2295" s="8"/>
      <c r="G2295" s="11">
        <v>0.58</v>
      </c>
      <c r="H2295" s="11">
        <v>0.912</v>
      </c>
      <c r="I2295" s="9" t="s">
        <v>73</v>
      </c>
    </row>
    <row r="2296">
      <c r="A2296" s="12" t="s">
        <v>144</v>
      </c>
      <c r="B2296" s="5" t="s">
        <v>80</v>
      </c>
      <c r="C2296" s="8"/>
      <c r="D2296" s="8"/>
      <c r="E2296" s="8"/>
      <c r="F2296" s="8"/>
      <c r="G2296" s="11">
        <v>0.529</v>
      </c>
      <c r="H2296" s="11">
        <v>0.825</v>
      </c>
      <c r="I2296" s="9" t="s">
        <v>73</v>
      </c>
    </row>
    <row r="2297">
      <c r="A2297" s="12" t="s">
        <v>153</v>
      </c>
      <c r="B2297" s="5" t="s">
        <v>80</v>
      </c>
      <c r="C2297" s="8"/>
      <c r="D2297" s="8"/>
      <c r="E2297" s="8"/>
      <c r="F2297" s="8"/>
      <c r="G2297" s="11">
        <v>0.615</v>
      </c>
      <c r="H2297" s="8"/>
      <c r="I2297" s="9" t="s">
        <v>73</v>
      </c>
    </row>
    <row r="2298">
      <c r="A2298" s="12" t="s">
        <v>141</v>
      </c>
      <c r="B2298" s="5" t="s">
        <v>80</v>
      </c>
      <c r="C2298" s="11">
        <v>0.376</v>
      </c>
      <c r="D2298" s="11">
        <v>59.0</v>
      </c>
      <c r="E2298" s="11">
        <v>58.0</v>
      </c>
      <c r="F2298" s="11">
        <v>163.0</v>
      </c>
      <c r="G2298" s="11">
        <v>0.337</v>
      </c>
      <c r="H2298" s="11">
        <v>0.982</v>
      </c>
      <c r="I2298" s="9" t="s">
        <v>73</v>
      </c>
    </row>
    <row r="2299">
      <c r="A2299" s="12" t="s">
        <v>176</v>
      </c>
      <c r="B2299" s="5" t="s">
        <v>80</v>
      </c>
      <c r="C2299" s="11">
        <v>0.318</v>
      </c>
      <c r="D2299" s="11">
        <v>31.0</v>
      </c>
      <c r="E2299" s="11">
        <v>117.0</v>
      </c>
      <c r="F2299" s="11">
        <v>120.0</v>
      </c>
      <c r="G2299" s="11">
        <v>0.107</v>
      </c>
      <c r="H2299" s="11">
        <v>0.159</v>
      </c>
      <c r="I2299" s="9" t="s">
        <v>73</v>
      </c>
    </row>
    <row r="2300">
      <c r="A2300" s="12" t="s">
        <v>200</v>
      </c>
      <c r="B2300" s="5" t="s">
        <v>80</v>
      </c>
      <c r="C2300" s="11">
        <v>0.599</v>
      </c>
      <c r="D2300" s="11">
        <v>16.0</v>
      </c>
      <c r="E2300" s="11">
        <v>150.0</v>
      </c>
      <c r="F2300" s="11">
        <v>128.0</v>
      </c>
      <c r="G2300" s="11">
        <v>0.26</v>
      </c>
      <c r="H2300" s="11">
        <v>0.302</v>
      </c>
      <c r="I2300" s="9" t="s">
        <v>73</v>
      </c>
    </row>
    <row r="2301">
      <c r="A2301" s="12" t="s">
        <v>267</v>
      </c>
      <c r="B2301" s="5" t="s">
        <v>80</v>
      </c>
      <c r="C2301" s="11">
        <v>0.254</v>
      </c>
      <c r="D2301" s="11">
        <v>16.0</v>
      </c>
      <c r="E2301" s="11">
        <v>60.0</v>
      </c>
      <c r="F2301" s="11">
        <v>164.0</v>
      </c>
      <c r="G2301" s="11">
        <v>0.349</v>
      </c>
      <c r="H2301" s="11">
        <v>0.534</v>
      </c>
      <c r="I2301" s="9" t="s">
        <v>73</v>
      </c>
    </row>
    <row r="2302">
      <c r="A2302" s="12" t="s">
        <v>280</v>
      </c>
      <c r="B2302" s="5" t="s">
        <v>80</v>
      </c>
      <c r="C2302" s="11">
        <v>0.084</v>
      </c>
      <c r="D2302" s="11">
        <v>35.0</v>
      </c>
      <c r="E2302" s="11">
        <v>78.0</v>
      </c>
      <c r="F2302" s="11">
        <v>120.0</v>
      </c>
      <c r="G2302" s="11">
        <v>0.106</v>
      </c>
      <c r="H2302" s="11">
        <v>0.591</v>
      </c>
      <c r="I2302" s="9" t="s">
        <v>73</v>
      </c>
    </row>
    <row r="2303">
      <c r="A2303" s="12" t="s">
        <v>233</v>
      </c>
      <c r="B2303" s="5" t="s">
        <v>80</v>
      </c>
      <c r="C2303" s="11">
        <v>0.189</v>
      </c>
      <c r="D2303" s="11">
        <v>9.0</v>
      </c>
      <c r="E2303" s="11">
        <v>55.0</v>
      </c>
      <c r="F2303" s="11">
        <v>224.0</v>
      </c>
      <c r="G2303" s="11">
        <v>0.129</v>
      </c>
      <c r="H2303" s="8"/>
      <c r="I2303" s="9" t="s">
        <v>73</v>
      </c>
    </row>
    <row r="2304">
      <c r="A2304" s="12" t="s">
        <v>222</v>
      </c>
      <c r="B2304" s="5" t="s">
        <v>80</v>
      </c>
      <c r="C2304" s="11">
        <v>0.421</v>
      </c>
      <c r="D2304" s="11">
        <v>53.0</v>
      </c>
      <c r="E2304" s="11">
        <v>108.0</v>
      </c>
      <c r="F2304" s="11">
        <v>207.0</v>
      </c>
      <c r="G2304" s="11">
        <v>0.035</v>
      </c>
      <c r="H2304" s="11">
        <v>0.378</v>
      </c>
      <c r="I2304" s="9" t="s">
        <v>73</v>
      </c>
    </row>
    <row r="2305">
      <c r="A2305" s="12" t="s">
        <v>245</v>
      </c>
      <c r="B2305" s="5" t="s">
        <v>80</v>
      </c>
      <c r="C2305" s="11">
        <v>0.253</v>
      </c>
      <c r="D2305" s="11">
        <v>9.0</v>
      </c>
      <c r="E2305" s="11">
        <v>92.0</v>
      </c>
      <c r="F2305" s="11">
        <v>80.0</v>
      </c>
      <c r="G2305" s="11">
        <v>0.07</v>
      </c>
      <c r="H2305" s="11">
        <v>0.55</v>
      </c>
      <c r="I2305" s="9" t="s">
        <v>73</v>
      </c>
    </row>
    <row r="2306">
      <c r="A2306" s="12" t="s">
        <v>113</v>
      </c>
      <c r="B2306" s="5" t="s">
        <v>84</v>
      </c>
      <c r="C2306" s="8"/>
      <c r="D2306" s="8"/>
      <c r="E2306" s="8"/>
      <c r="F2306" s="8"/>
      <c r="G2306" s="8"/>
      <c r="H2306" s="11">
        <v>0.715</v>
      </c>
      <c r="I2306" s="9" t="s">
        <v>65</v>
      </c>
    </row>
    <row r="2307">
      <c r="A2307" s="12" t="s">
        <v>126</v>
      </c>
      <c r="B2307" s="5" t="s">
        <v>84</v>
      </c>
      <c r="C2307" s="8"/>
      <c r="D2307" s="8"/>
      <c r="E2307" s="8"/>
      <c r="F2307" s="8"/>
      <c r="G2307" s="8"/>
      <c r="H2307" s="8"/>
      <c r="I2307" s="9" t="s">
        <v>65</v>
      </c>
    </row>
    <row r="2308">
      <c r="A2308" s="12" t="s">
        <v>242</v>
      </c>
      <c r="B2308" s="5" t="s">
        <v>84</v>
      </c>
      <c r="C2308" s="8"/>
      <c r="D2308" s="8"/>
      <c r="E2308" s="8"/>
      <c r="F2308" s="8"/>
      <c r="G2308" s="8"/>
      <c r="H2308" s="8"/>
      <c r="I2308" s="9" t="s">
        <v>65</v>
      </c>
    </row>
    <row r="2309">
      <c r="A2309" s="12" t="s">
        <v>272</v>
      </c>
      <c r="B2309" s="5" t="s">
        <v>84</v>
      </c>
      <c r="C2309" s="8"/>
      <c r="D2309" s="8"/>
      <c r="E2309" s="8"/>
      <c r="F2309" s="8"/>
      <c r="G2309" s="8"/>
      <c r="H2309" s="8"/>
      <c r="I2309" s="9" t="s">
        <v>65</v>
      </c>
    </row>
    <row r="2310">
      <c r="A2310" s="12" t="s">
        <v>252</v>
      </c>
      <c r="B2310" s="5" t="s">
        <v>84</v>
      </c>
      <c r="C2310" s="8"/>
      <c r="D2310" s="8"/>
      <c r="E2310" s="8"/>
      <c r="F2310" s="8"/>
      <c r="G2310" s="11">
        <v>0.247</v>
      </c>
      <c r="H2310" s="11">
        <v>0.599</v>
      </c>
      <c r="I2310" s="9" t="s">
        <v>65</v>
      </c>
    </row>
    <row r="2311">
      <c r="A2311" s="12" t="s">
        <v>131</v>
      </c>
      <c r="B2311" s="5" t="s">
        <v>84</v>
      </c>
      <c r="C2311" s="8"/>
      <c r="D2311" s="8"/>
      <c r="E2311" s="8"/>
      <c r="F2311" s="8"/>
      <c r="G2311" s="11">
        <v>0.303</v>
      </c>
      <c r="H2311" s="11">
        <v>0.595</v>
      </c>
      <c r="I2311" s="9" t="s">
        <v>65</v>
      </c>
    </row>
    <row r="2312">
      <c r="A2312" s="12" t="s">
        <v>112</v>
      </c>
      <c r="B2312" s="5" t="s">
        <v>84</v>
      </c>
      <c r="C2312" s="8"/>
      <c r="D2312" s="11">
        <v>3.0</v>
      </c>
      <c r="E2312" s="8"/>
      <c r="F2312" s="8"/>
      <c r="G2312" s="11">
        <v>0.66</v>
      </c>
      <c r="H2312" s="11">
        <v>0.471</v>
      </c>
      <c r="I2312" s="9" t="s">
        <v>65</v>
      </c>
    </row>
    <row r="2313">
      <c r="A2313" s="12" t="s">
        <v>125</v>
      </c>
      <c r="B2313" s="5" t="s">
        <v>84</v>
      </c>
      <c r="C2313" s="8"/>
      <c r="D2313" s="8"/>
      <c r="E2313" s="8"/>
      <c r="F2313" s="8"/>
      <c r="G2313" s="11">
        <v>0.084</v>
      </c>
      <c r="H2313" s="11">
        <v>0.007</v>
      </c>
      <c r="I2313" s="9" t="s">
        <v>65</v>
      </c>
    </row>
    <row r="2314">
      <c r="A2314" s="12" t="s">
        <v>228</v>
      </c>
      <c r="B2314" s="5" t="s">
        <v>84</v>
      </c>
      <c r="C2314" s="8"/>
      <c r="D2314" s="11">
        <v>7.0</v>
      </c>
      <c r="E2314" s="8"/>
      <c r="F2314" s="8"/>
      <c r="G2314" s="11">
        <v>0.221</v>
      </c>
      <c r="H2314" s="11">
        <v>0.49</v>
      </c>
      <c r="I2314" s="9" t="s">
        <v>65</v>
      </c>
    </row>
    <row r="2315">
      <c r="A2315" s="12" t="s">
        <v>277</v>
      </c>
      <c r="B2315" s="5" t="s">
        <v>84</v>
      </c>
      <c r="C2315" s="8"/>
      <c r="D2315" s="11">
        <v>6.0</v>
      </c>
      <c r="E2315" s="8"/>
      <c r="F2315" s="8"/>
      <c r="G2315" s="11">
        <v>0.648</v>
      </c>
      <c r="H2315" s="11">
        <v>0.625</v>
      </c>
      <c r="I2315" s="9" t="s">
        <v>65</v>
      </c>
    </row>
    <row r="2316">
      <c r="A2316" s="12" t="s">
        <v>268</v>
      </c>
      <c r="B2316" s="5" t="s">
        <v>84</v>
      </c>
      <c r="C2316" s="8"/>
      <c r="D2316" s="8"/>
      <c r="E2316" s="8"/>
      <c r="F2316" s="8"/>
      <c r="G2316" s="11">
        <v>0.27</v>
      </c>
      <c r="H2316" s="11">
        <v>0.505</v>
      </c>
      <c r="I2316" s="9" t="s">
        <v>65</v>
      </c>
    </row>
    <row r="2317">
      <c r="A2317" s="12" t="s">
        <v>116</v>
      </c>
      <c r="B2317" s="5" t="s">
        <v>84</v>
      </c>
      <c r="C2317" s="8"/>
      <c r="D2317" s="11">
        <v>27.0</v>
      </c>
      <c r="E2317" s="8"/>
      <c r="F2317" s="8"/>
      <c r="G2317" s="11">
        <v>0.282</v>
      </c>
      <c r="H2317" s="11">
        <v>0.573</v>
      </c>
      <c r="I2317" s="9" t="s">
        <v>65</v>
      </c>
    </row>
    <row r="2318">
      <c r="A2318" s="12" t="s">
        <v>151</v>
      </c>
      <c r="B2318" s="5" t="s">
        <v>84</v>
      </c>
      <c r="C2318" s="8"/>
      <c r="D2318" s="8"/>
      <c r="E2318" s="8"/>
      <c r="F2318" s="8"/>
      <c r="G2318" s="11">
        <v>0.561</v>
      </c>
      <c r="H2318" s="11">
        <v>0.686</v>
      </c>
      <c r="I2318" s="9" t="s">
        <v>65</v>
      </c>
    </row>
    <row r="2319">
      <c r="A2319" s="12" t="s">
        <v>278</v>
      </c>
      <c r="B2319" s="5" t="s">
        <v>84</v>
      </c>
      <c r="C2319" s="8"/>
      <c r="D2319" s="11">
        <v>45.0</v>
      </c>
      <c r="E2319" s="8"/>
      <c r="F2319" s="8"/>
      <c r="G2319" s="11">
        <v>0.171</v>
      </c>
      <c r="H2319" s="11">
        <v>0.18</v>
      </c>
      <c r="I2319" s="9" t="s">
        <v>65</v>
      </c>
    </row>
    <row r="2320">
      <c r="A2320" s="12" t="s">
        <v>171</v>
      </c>
      <c r="B2320" s="5" t="s">
        <v>84</v>
      </c>
      <c r="C2320" s="8"/>
      <c r="D2320" s="11">
        <v>31.0</v>
      </c>
      <c r="E2320" s="8"/>
      <c r="F2320" s="8"/>
      <c r="G2320" s="11">
        <v>0.1</v>
      </c>
      <c r="H2320" s="11">
        <v>0.689</v>
      </c>
      <c r="I2320" s="9" t="s">
        <v>65</v>
      </c>
    </row>
    <row r="2321">
      <c r="A2321" s="12" t="s">
        <v>254</v>
      </c>
      <c r="B2321" s="5" t="s">
        <v>84</v>
      </c>
      <c r="C2321" s="8"/>
      <c r="D2321" s="8"/>
      <c r="E2321" s="8"/>
      <c r="F2321" s="8"/>
      <c r="G2321" s="8"/>
      <c r="H2321" s="8"/>
      <c r="I2321" s="9" t="s">
        <v>65</v>
      </c>
    </row>
    <row r="2322">
      <c r="A2322" s="12" t="s">
        <v>255</v>
      </c>
      <c r="B2322" s="5" t="s">
        <v>84</v>
      </c>
      <c r="C2322" s="8"/>
      <c r="D2322" s="8"/>
      <c r="E2322" s="8"/>
      <c r="F2322" s="8"/>
      <c r="G2322" s="11">
        <v>0.074</v>
      </c>
      <c r="H2322" s="11">
        <v>0.663</v>
      </c>
      <c r="I2322" s="9" t="s">
        <v>65</v>
      </c>
    </row>
    <row r="2323">
      <c r="A2323" s="12" t="s">
        <v>253</v>
      </c>
      <c r="B2323" s="5" t="s">
        <v>84</v>
      </c>
      <c r="C2323" s="8"/>
      <c r="D2323" s="8"/>
      <c r="E2323" s="8"/>
      <c r="F2323" s="8"/>
      <c r="G2323" s="11">
        <v>0.214</v>
      </c>
      <c r="H2323" s="11">
        <v>0.618</v>
      </c>
      <c r="I2323" s="9" t="s">
        <v>65</v>
      </c>
    </row>
    <row r="2324">
      <c r="A2324" s="12" t="s">
        <v>122</v>
      </c>
      <c r="B2324" s="5" t="s">
        <v>84</v>
      </c>
      <c r="C2324" s="8"/>
      <c r="D2324" s="11">
        <v>77.0</v>
      </c>
      <c r="E2324" s="8"/>
      <c r="F2324" s="8"/>
      <c r="G2324" s="11">
        <v>0.208</v>
      </c>
      <c r="H2324" s="11">
        <v>0.217</v>
      </c>
      <c r="I2324" s="9" t="s">
        <v>65</v>
      </c>
    </row>
    <row r="2325">
      <c r="A2325" s="12" t="s">
        <v>152</v>
      </c>
      <c r="B2325" s="5" t="s">
        <v>84</v>
      </c>
      <c r="C2325" s="8"/>
      <c r="D2325" s="8"/>
      <c r="E2325" s="8"/>
      <c r="F2325" s="8"/>
      <c r="G2325" s="11">
        <v>0.196</v>
      </c>
      <c r="H2325" s="11">
        <v>0.422</v>
      </c>
      <c r="I2325" s="9" t="s">
        <v>65</v>
      </c>
    </row>
    <row r="2326">
      <c r="A2326" s="12" t="s">
        <v>257</v>
      </c>
      <c r="B2326" s="5" t="s">
        <v>84</v>
      </c>
      <c r="C2326" s="8"/>
      <c r="D2326" s="8"/>
      <c r="E2326" s="8"/>
      <c r="F2326" s="8"/>
      <c r="G2326" s="11">
        <v>0.061</v>
      </c>
      <c r="H2326" s="11">
        <v>0.431</v>
      </c>
      <c r="I2326" s="9" t="s">
        <v>65</v>
      </c>
    </row>
    <row r="2327">
      <c r="A2327" s="12" t="s">
        <v>135</v>
      </c>
      <c r="B2327" s="5" t="s">
        <v>84</v>
      </c>
      <c r="C2327" s="8"/>
      <c r="D2327" s="11">
        <v>115.0</v>
      </c>
      <c r="E2327" s="8"/>
      <c r="F2327" s="8"/>
      <c r="G2327" s="11">
        <v>0.032</v>
      </c>
      <c r="H2327" s="11">
        <v>0.303</v>
      </c>
      <c r="I2327" s="9" t="s">
        <v>65</v>
      </c>
    </row>
    <row r="2328">
      <c r="A2328" s="12" t="s">
        <v>157</v>
      </c>
      <c r="B2328" s="5" t="s">
        <v>84</v>
      </c>
      <c r="C2328" s="8"/>
      <c r="D2328" s="11">
        <v>46.0</v>
      </c>
      <c r="E2328" s="8"/>
      <c r="F2328" s="8"/>
      <c r="G2328" s="8"/>
      <c r="H2328" s="11">
        <v>0.227</v>
      </c>
      <c r="I2328" s="9" t="s">
        <v>65</v>
      </c>
    </row>
    <row r="2329">
      <c r="A2329" s="12" t="s">
        <v>118</v>
      </c>
      <c r="B2329" s="5" t="s">
        <v>84</v>
      </c>
      <c r="C2329" s="8"/>
      <c r="D2329" s="11">
        <v>42.0</v>
      </c>
      <c r="E2329" s="8"/>
      <c r="F2329" s="8"/>
      <c r="G2329" s="11">
        <v>0.091</v>
      </c>
      <c r="H2329" s="11">
        <v>0.245</v>
      </c>
      <c r="I2329" s="9" t="s">
        <v>65</v>
      </c>
    </row>
    <row r="2330">
      <c r="A2330" s="12" t="s">
        <v>224</v>
      </c>
      <c r="B2330" s="5" t="s">
        <v>84</v>
      </c>
      <c r="C2330" s="8"/>
      <c r="D2330" s="11">
        <v>98.0</v>
      </c>
      <c r="E2330" s="8"/>
      <c r="F2330" s="8"/>
      <c r="G2330" s="11">
        <v>0.141</v>
      </c>
      <c r="H2330" s="11">
        <v>0.149</v>
      </c>
      <c r="I2330" s="9" t="s">
        <v>65</v>
      </c>
    </row>
    <row r="2331">
      <c r="A2331" s="12" t="s">
        <v>281</v>
      </c>
      <c r="B2331" s="5" t="s">
        <v>84</v>
      </c>
      <c r="C2331" s="8"/>
      <c r="D2331" s="11">
        <v>141.0</v>
      </c>
      <c r="E2331" s="8"/>
      <c r="F2331" s="8"/>
      <c r="G2331" s="11">
        <v>0.084</v>
      </c>
      <c r="H2331" s="11">
        <v>0.321</v>
      </c>
      <c r="I2331" s="9" t="s">
        <v>65</v>
      </c>
    </row>
    <row r="2332">
      <c r="A2332" s="12" t="s">
        <v>199</v>
      </c>
      <c r="B2332" s="5" t="s">
        <v>84</v>
      </c>
      <c r="C2332" s="8"/>
      <c r="D2332" s="11">
        <v>58.0</v>
      </c>
      <c r="E2332" s="8"/>
      <c r="F2332" s="8"/>
      <c r="G2332" s="11">
        <v>0.141</v>
      </c>
      <c r="H2332" s="11">
        <v>0.352</v>
      </c>
      <c r="I2332" s="9" t="s">
        <v>65</v>
      </c>
    </row>
    <row r="2333">
      <c r="A2333" s="12" t="s">
        <v>221</v>
      </c>
      <c r="B2333" s="5" t="s">
        <v>84</v>
      </c>
      <c r="C2333" s="8"/>
      <c r="D2333" s="11">
        <v>18.0</v>
      </c>
      <c r="E2333" s="8"/>
      <c r="F2333" s="8"/>
      <c r="G2333" s="11">
        <v>0.111</v>
      </c>
      <c r="H2333" s="11">
        <v>0.381</v>
      </c>
      <c r="I2333" s="9" t="s">
        <v>65</v>
      </c>
    </row>
    <row r="2334">
      <c r="A2334" s="12" t="s">
        <v>132</v>
      </c>
      <c r="B2334" s="5" t="s">
        <v>84</v>
      </c>
      <c r="C2334" s="8"/>
      <c r="D2334" s="11">
        <v>77.0</v>
      </c>
      <c r="E2334" s="8"/>
      <c r="F2334" s="8"/>
      <c r="G2334" s="11">
        <v>0.089</v>
      </c>
      <c r="H2334" s="11">
        <v>0.275</v>
      </c>
      <c r="I2334" s="9" t="s">
        <v>65</v>
      </c>
    </row>
    <row r="2335">
      <c r="A2335" s="12" t="s">
        <v>133</v>
      </c>
      <c r="B2335" s="5" t="s">
        <v>84</v>
      </c>
      <c r="C2335" s="8"/>
      <c r="D2335" s="11">
        <v>92.0</v>
      </c>
      <c r="E2335" s="8"/>
      <c r="F2335" s="8"/>
      <c r="G2335" s="11">
        <v>0.048</v>
      </c>
      <c r="H2335" s="11">
        <v>0.262</v>
      </c>
      <c r="I2335" s="9" t="s">
        <v>65</v>
      </c>
    </row>
    <row r="2336">
      <c r="A2336" s="12" t="s">
        <v>223</v>
      </c>
      <c r="B2336" s="5" t="s">
        <v>84</v>
      </c>
      <c r="C2336" s="8"/>
      <c r="D2336" s="11">
        <v>74.0</v>
      </c>
      <c r="E2336" s="8"/>
      <c r="F2336" s="8"/>
      <c r="G2336" s="11">
        <v>0.035</v>
      </c>
      <c r="H2336" s="11">
        <v>0.302</v>
      </c>
      <c r="I2336" s="9" t="s">
        <v>65</v>
      </c>
    </row>
    <row r="2337">
      <c r="A2337" s="12" t="s">
        <v>213</v>
      </c>
      <c r="B2337" s="5" t="s">
        <v>84</v>
      </c>
      <c r="C2337" s="8"/>
      <c r="D2337" s="11">
        <v>39.0</v>
      </c>
      <c r="E2337" s="8"/>
      <c r="F2337" s="8"/>
      <c r="G2337" s="11">
        <v>0.023</v>
      </c>
      <c r="H2337" s="11">
        <v>0.137</v>
      </c>
      <c r="I2337" s="9" t="s">
        <v>65</v>
      </c>
    </row>
    <row r="2338">
      <c r="A2338" s="12" t="s">
        <v>158</v>
      </c>
      <c r="B2338" s="5" t="s">
        <v>84</v>
      </c>
      <c r="C2338" s="8"/>
      <c r="D2338" s="11">
        <v>202.0</v>
      </c>
      <c r="E2338" s="8"/>
      <c r="F2338" s="8"/>
      <c r="G2338" s="11">
        <v>0.054</v>
      </c>
      <c r="H2338" s="11">
        <v>0.044</v>
      </c>
      <c r="I2338" s="9" t="s">
        <v>65</v>
      </c>
    </row>
    <row r="2339">
      <c r="A2339" s="12" t="s">
        <v>159</v>
      </c>
      <c r="B2339" s="5" t="s">
        <v>84</v>
      </c>
      <c r="C2339" s="8"/>
      <c r="D2339" s="11">
        <v>62.0</v>
      </c>
      <c r="E2339" s="8"/>
      <c r="F2339" s="8"/>
      <c r="G2339" s="11">
        <v>0.056</v>
      </c>
      <c r="H2339" s="11">
        <v>0.105</v>
      </c>
      <c r="I2339" s="9" t="s">
        <v>65</v>
      </c>
    </row>
    <row r="2340">
      <c r="A2340" s="12" t="s">
        <v>154</v>
      </c>
      <c r="B2340" s="5" t="s">
        <v>84</v>
      </c>
      <c r="C2340" s="8"/>
      <c r="D2340" s="11">
        <v>39.0</v>
      </c>
      <c r="E2340" s="8"/>
      <c r="F2340" s="8"/>
      <c r="G2340" s="11">
        <v>0.051</v>
      </c>
      <c r="H2340" s="11">
        <v>0.256</v>
      </c>
      <c r="I2340" s="9" t="s">
        <v>65</v>
      </c>
    </row>
    <row r="2341">
      <c r="A2341" s="12" t="s">
        <v>113</v>
      </c>
      <c r="B2341" s="5" t="s">
        <v>84</v>
      </c>
      <c r="C2341" s="8"/>
      <c r="D2341" s="8"/>
      <c r="E2341" s="8"/>
      <c r="F2341" s="8"/>
      <c r="G2341" s="11">
        <v>0.38</v>
      </c>
      <c r="H2341" s="11">
        <v>1.665</v>
      </c>
      <c r="I2341" s="9" t="s">
        <v>66</v>
      </c>
    </row>
    <row r="2342">
      <c r="A2342" s="12" t="s">
        <v>126</v>
      </c>
      <c r="B2342" s="5" t="s">
        <v>84</v>
      </c>
      <c r="C2342" s="8"/>
      <c r="D2342" s="8"/>
      <c r="E2342" s="8"/>
      <c r="F2342" s="8"/>
      <c r="G2342" s="8"/>
      <c r="H2342" s="8"/>
      <c r="I2342" s="9" t="s">
        <v>66</v>
      </c>
    </row>
    <row r="2343">
      <c r="A2343" s="12" t="s">
        <v>242</v>
      </c>
      <c r="B2343" s="5" t="s">
        <v>84</v>
      </c>
      <c r="C2343" s="8"/>
      <c r="D2343" s="8"/>
      <c r="E2343" s="8"/>
      <c r="F2343" s="8"/>
      <c r="G2343" s="8"/>
      <c r="H2343" s="8"/>
      <c r="I2343" s="9" t="s">
        <v>66</v>
      </c>
    </row>
    <row r="2344">
      <c r="A2344" s="12" t="s">
        <v>272</v>
      </c>
      <c r="B2344" s="5" t="s">
        <v>84</v>
      </c>
      <c r="C2344" s="8"/>
      <c r="D2344" s="8"/>
      <c r="E2344" s="8"/>
      <c r="F2344" s="8"/>
      <c r="G2344" s="8"/>
      <c r="H2344" s="8"/>
      <c r="I2344" s="9" t="s">
        <v>66</v>
      </c>
    </row>
    <row r="2345">
      <c r="A2345" s="12" t="s">
        <v>131</v>
      </c>
      <c r="B2345" s="5" t="s">
        <v>84</v>
      </c>
      <c r="C2345" s="11">
        <v>0.37</v>
      </c>
      <c r="D2345" s="11">
        <v>14.0</v>
      </c>
      <c r="E2345" s="8"/>
      <c r="F2345" s="11">
        <v>147.0</v>
      </c>
      <c r="G2345" s="11">
        <v>0.385</v>
      </c>
      <c r="H2345" s="11">
        <v>0.737</v>
      </c>
      <c r="I2345" s="9" t="s">
        <v>66</v>
      </c>
    </row>
    <row r="2346">
      <c r="A2346" s="12" t="s">
        <v>252</v>
      </c>
      <c r="B2346" s="5" t="s">
        <v>84</v>
      </c>
      <c r="C2346" s="11">
        <v>0.523</v>
      </c>
      <c r="D2346" s="11">
        <v>19.0</v>
      </c>
      <c r="E2346" s="8"/>
      <c r="F2346" s="11">
        <v>172.0</v>
      </c>
      <c r="G2346" s="11">
        <v>0.34</v>
      </c>
      <c r="H2346" s="11">
        <v>1.038</v>
      </c>
      <c r="I2346" s="9" t="s">
        <v>66</v>
      </c>
    </row>
    <row r="2347">
      <c r="A2347" s="12" t="s">
        <v>125</v>
      </c>
      <c r="B2347" s="5" t="s">
        <v>84</v>
      </c>
      <c r="C2347" s="8"/>
      <c r="D2347" s="8"/>
      <c r="E2347" s="8"/>
      <c r="F2347" s="8"/>
      <c r="G2347" s="11">
        <v>0.097</v>
      </c>
      <c r="H2347" s="11">
        <v>0.012</v>
      </c>
      <c r="I2347" s="9" t="s">
        <v>66</v>
      </c>
    </row>
    <row r="2348">
      <c r="A2348" s="12" t="s">
        <v>112</v>
      </c>
      <c r="B2348" s="5" t="s">
        <v>84</v>
      </c>
      <c r="C2348" s="11">
        <v>0.475</v>
      </c>
      <c r="D2348" s="11">
        <v>3.0</v>
      </c>
      <c r="E2348" s="8"/>
      <c r="F2348" s="11">
        <v>119.0</v>
      </c>
      <c r="G2348" s="11">
        <v>0.717</v>
      </c>
      <c r="H2348" s="11">
        <v>0.528</v>
      </c>
      <c r="I2348" s="9" t="s">
        <v>66</v>
      </c>
    </row>
    <row r="2349">
      <c r="A2349" s="12" t="s">
        <v>87</v>
      </c>
      <c r="B2349" s="5" t="s">
        <v>84</v>
      </c>
      <c r="C2349" s="8"/>
      <c r="D2349" s="8"/>
      <c r="E2349" s="8"/>
      <c r="F2349" s="8"/>
      <c r="G2349" s="11">
        <v>0.254</v>
      </c>
      <c r="H2349" s="11">
        <v>1.034</v>
      </c>
      <c r="I2349" s="9" t="s">
        <v>66</v>
      </c>
    </row>
    <row r="2350">
      <c r="A2350" s="12" t="s">
        <v>95</v>
      </c>
      <c r="B2350" s="5" t="s">
        <v>84</v>
      </c>
      <c r="C2350" s="8"/>
      <c r="D2350" s="8"/>
      <c r="E2350" s="8"/>
      <c r="F2350" s="8"/>
      <c r="G2350" s="11">
        <v>0.525</v>
      </c>
      <c r="H2350" s="11">
        <v>0.754</v>
      </c>
      <c r="I2350" s="9" t="s">
        <v>66</v>
      </c>
    </row>
    <row r="2351">
      <c r="A2351" s="12" t="s">
        <v>228</v>
      </c>
      <c r="B2351" s="5" t="s">
        <v>84</v>
      </c>
      <c r="C2351" s="11">
        <v>0.576</v>
      </c>
      <c r="D2351" s="11">
        <v>7.0</v>
      </c>
      <c r="E2351" s="8"/>
      <c r="F2351" s="11">
        <v>140.0</v>
      </c>
      <c r="G2351" s="11">
        <v>0.234</v>
      </c>
      <c r="H2351" s="11">
        <v>0.53</v>
      </c>
      <c r="I2351" s="9" t="s">
        <v>66</v>
      </c>
    </row>
    <row r="2352">
      <c r="A2352" s="12" t="s">
        <v>100</v>
      </c>
      <c r="B2352" s="5" t="s">
        <v>84</v>
      </c>
      <c r="C2352" s="8"/>
      <c r="D2352" s="8"/>
      <c r="E2352" s="8"/>
      <c r="F2352" s="8"/>
      <c r="G2352" s="11">
        <v>0.654</v>
      </c>
      <c r="H2352" s="11">
        <v>0.822</v>
      </c>
      <c r="I2352" s="9" t="s">
        <v>66</v>
      </c>
    </row>
    <row r="2353">
      <c r="A2353" s="12" t="s">
        <v>277</v>
      </c>
      <c r="B2353" s="5" t="s">
        <v>84</v>
      </c>
      <c r="C2353" s="11">
        <v>0.458</v>
      </c>
      <c r="D2353" s="11">
        <v>6.0</v>
      </c>
      <c r="E2353" s="8"/>
      <c r="F2353" s="11">
        <v>325.0</v>
      </c>
      <c r="G2353" s="11">
        <v>0.68</v>
      </c>
      <c r="H2353" s="11">
        <v>0.683</v>
      </c>
      <c r="I2353" s="9" t="s">
        <v>66</v>
      </c>
    </row>
    <row r="2354">
      <c r="A2354" s="12" t="s">
        <v>268</v>
      </c>
      <c r="B2354" s="5" t="s">
        <v>84</v>
      </c>
      <c r="C2354" s="11">
        <v>0.37</v>
      </c>
      <c r="D2354" s="11">
        <v>43.0</v>
      </c>
      <c r="E2354" s="8"/>
      <c r="F2354" s="11">
        <v>210.0</v>
      </c>
      <c r="G2354" s="11">
        <v>0.29</v>
      </c>
      <c r="H2354" s="11">
        <v>0.713</v>
      </c>
      <c r="I2354" s="9" t="s">
        <v>66</v>
      </c>
    </row>
    <row r="2355">
      <c r="A2355" s="12" t="s">
        <v>91</v>
      </c>
      <c r="B2355" s="5" t="s">
        <v>84</v>
      </c>
      <c r="C2355" s="8"/>
      <c r="D2355" s="8"/>
      <c r="E2355" s="8"/>
      <c r="F2355" s="8"/>
      <c r="G2355" s="11">
        <v>0.25</v>
      </c>
      <c r="H2355" s="11">
        <v>0.692</v>
      </c>
      <c r="I2355" s="9" t="s">
        <v>66</v>
      </c>
    </row>
    <row r="2356">
      <c r="A2356" s="12" t="s">
        <v>278</v>
      </c>
      <c r="B2356" s="5" t="s">
        <v>84</v>
      </c>
      <c r="C2356" s="11">
        <v>0.713</v>
      </c>
      <c r="D2356" s="11">
        <v>45.0</v>
      </c>
      <c r="E2356" s="8"/>
      <c r="F2356" s="11">
        <v>304.0</v>
      </c>
      <c r="G2356" s="11">
        <v>0.201</v>
      </c>
      <c r="H2356" s="11">
        <v>0.347</v>
      </c>
      <c r="I2356" s="9" t="s">
        <v>66</v>
      </c>
    </row>
    <row r="2357">
      <c r="A2357" s="12" t="s">
        <v>116</v>
      </c>
      <c r="B2357" s="5" t="s">
        <v>84</v>
      </c>
      <c r="C2357" s="11">
        <v>0.253</v>
      </c>
      <c r="D2357" s="11">
        <v>27.0</v>
      </c>
      <c r="E2357" s="8"/>
      <c r="F2357" s="11">
        <v>316.0</v>
      </c>
      <c r="G2357" s="11">
        <v>0.312</v>
      </c>
      <c r="H2357" s="11">
        <v>0.647</v>
      </c>
      <c r="I2357" s="9" t="s">
        <v>66</v>
      </c>
    </row>
    <row r="2358">
      <c r="A2358" s="12" t="s">
        <v>151</v>
      </c>
      <c r="B2358" s="5" t="s">
        <v>84</v>
      </c>
      <c r="C2358" s="8"/>
      <c r="D2358" s="8"/>
      <c r="E2358" s="8"/>
      <c r="F2358" s="8"/>
      <c r="G2358" s="11">
        <v>0.577</v>
      </c>
      <c r="H2358" s="11">
        <v>0.816</v>
      </c>
      <c r="I2358" s="9" t="s">
        <v>66</v>
      </c>
    </row>
    <row r="2359">
      <c r="A2359" s="12" t="s">
        <v>253</v>
      </c>
      <c r="B2359" s="5" t="s">
        <v>84</v>
      </c>
      <c r="C2359" s="11">
        <v>0.357</v>
      </c>
      <c r="D2359" s="11">
        <v>20.0</v>
      </c>
      <c r="E2359" s="8"/>
      <c r="F2359" s="11">
        <v>71.0</v>
      </c>
      <c r="G2359" s="11">
        <v>0.216</v>
      </c>
      <c r="H2359" s="11">
        <v>0.639</v>
      </c>
      <c r="I2359" s="9" t="s">
        <v>66</v>
      </c>
    </row>
    <row r="2360">
      <c r="A2360" s="12" t="s">
        <v>122</v>
      </c>
      <c r="B2360" s="5" t="s">
        <v>84</v>
      </c>
      <c r="C2360" s="11">
        <v>0.552</v>
      </c>
      <c r="D2360" s="11">
        <v>77.0</v>
      </c>
      <c r="E2360" s="8"/>
      <c r="F2360" s="11">
        <v>402.0</v>
      </c>
      <c r="G2360" s="11">
        <v>0.221</v>
      </c>
      <c r="H2360" s="11">
        <v>0.255</v>
      </c>
      <c r="I2360" s="9" t="s">
        <v>66</v>
      </c>
    </row>
    <row r="2361">
      <c r="A2361" s="12" t="s">
        <v>105</v>
      </c>
      <c r="B2361" s="5" t="s">
        <v>84</v>
      </c>
      <c r="C2361" s="11">
        <v>0.69</v>
      </c>
      <c r="D2361" s="11">
        <v>152.0</v>
      </c>
      <c r="E2361" s="8"/>
      <c r="F2361" s="11">
        <v>2600.0</v>
      </c>
      <c r="G2361" s="11">
        <v>0.21</v>
      </c>
      <c r="H2361" s="11">
        <v>0.463</v>
      </c>
      <c r="I2361" s="9" t="s">
        <v>66</v>
      </c>
    </row>
    <row r="2362">
      <c r="A2362" s="12" t="s">
        <v>171</v>
      </c>
      <c r="B2362" s="5" t="s">
        <v>84</v>
      </c>
      <c r="C2362" s="11">
        <v>0.499</v>
      </c>
      <c r="D2362" s="11">
        <v>8.0</v>
      </c>
      <c r="E2362" s="8"/>
      <c r="F2362" s="11">
        <v>414.0</v>
      </c>
      <c r="G2362" s="11">
        <v>0.128</v>
      </c>
      <c r="H2362" s="11">
        <v>0.739</v>
      </c>
      <c r="I2362" s="9" t="s">
        <v>66</v>
      </c>
    </row>
    <row r="2363">
      <c r="A2363" s="12" t="s">
        <v>255</v>
      </c>
      <c r="B2363" s="5" t="s">
        <v>84</v>
      </c>
      <c r="C2363" s="11">
        <v>0.45</v>
      </c>
      <c r="D2363" s="11">
        <v>12.0</v>
      </c>
      <c r="E2363" s="8"/>
      <c r="F2363" s="11">
        <v>76.0</v>
      </c>
      <c r="G2363" s="11">
        <v>0.092</v>
      </c>
      <c r="H2363" s="11">
        <v>0.649</v>
      </c>
      <c r="I2363" s="9" t="s">
        <v>66</v>
      </c>
    </row>
    <row r="2364">
      <c r="A2364" s="12" t="s">
        <v>85</v>
      </c>
      <c r="B2364" s="5" t="s">
        <v>84</v>
      </c>
      <c r="C2364" s="11">
        <v>1.075</v>
      </c>
      <c r="D2364" s="11">
        <v>30.0</v>
      </c>
      <c r="E2364" s="8"/>
      <c r="F2364" s="11">
        <v>453.0</v>
      </c>
      <c r="G2364" s="11">
        <v>0.177</v>
      </c>
      <c r="H2364" s="11">
        <v>0.573</v>
      </c>
      <c r="I2364" s="9" t="s">
        <v>66</v>
      </c>
    </row>
    <row r="2365">
      <c r="A2365" s="12" t="s">
        <v>254</v>
      </c>
      <c r="B2365" s="5" t="s">
        <v>84</v>
      </c>
      <c r="C2365" s="8"/>
      <c r="D2365" s="8"/>
      <c r="E2365" s="8"/>
      <c r="F2365" s="8"/>
      <c r="G2365" s="8"/>
      <c r="H2365" s="8"/>
      <c r="I2365" s="9" t="s">
        <v>66</v>
      </c>
    </row>
    <row r="2366">
      <c r="A2366" s="12" t="s">
        <v>152</v>
      </c>
      <c r="B2366" s="5" t="s">
        <v>84</v>
      </c>
      <c r="C2366" s="11">
        <v>0.453</v>
      </c>
      <c r="D2366" s="11">
        <v>20.0</v>
      </c>
      <c r="E2366" s="8"/>
      <c r="F2366" s="11">
        <v>140.0</v>
      </c>
      <c r="G2366" s="11">
        <v>0.205</v>
      </c>
      <c r="H2366" s="11">
        <v>0.455</v>
      </c>
      <c r="I2366" s="9" t="s">
        <v>66</v>
      </c>
    </row>
    <row r="2367">
      <c r="A2367" s="12" t="s">
        <v>83</v>
      </c>
      <c r="B2367" s="5" t="s">
        <v>84</v>
      </c>
      <c r="C2367" s="11">
        <v>0.515</v>
      </c>
      <c r="D2367" s="11">
        <v>31.0</v>
      </c>
      <c r="E2367" s="8"/>
      <c r="F2367" s="11">
        <v>184.0</v>
      </c>
      <c r="G2367" s="11">
        <v>0.27</v>
      </c>
      <c r="H2367" s="11">
        <v>1.042</v>
      </c>
      <c r="I2367" s="9" t="s">
        <v>66</v>
      </c>
    </row>
    <row r="2368">
      <c r="A2368" s="12" t="s">
        <v>257</v>
      </c>
      <c r="B2368" s="5" t="s">
        <v>84</v>
      </c>
      <c r="C2368" s="11">
        <v>0.279</v>
      </c>
      <c r="D2368" s="11">
        <v>694.0</v>
      </c>
      <c r="E2368" s="8"/>
      <c r="F2368" s="11">
        <v>199.0</v>
      </c>
      <c r="G2368" s="11">
        <v>0.064</v>
      </c>
      <c r="H2368" s="11">
        <v>0.466</v>
      </c>
      <c r="I2368" s="9" t="s">
        <v>66</v>
      </c>
    </row>
    <row r="2369">
      <c r="A2369" s="12" t="s">
        <v>135</v>
      </c>
      <c r="B2369" s="5" t="s">
        <v>84</v>
      </c>
      <c r="C2369" s="11">
        <v>0.347</v>
      </c>
      <c r="D2369" s="11">
        <v>40.0</v>
      </c>
      <c r="E2369" s="8"/>
      <c r="F2369" s="11">
        <v>320.0</v>
      </c>
      <c r="G2369" s="11">
        <v>0.042</v>
      </c>
      <c r="H2369" s="11">
        <v>0.397</v>
      </c>
      <c r="I2369" s="9" t="s">
        <v>66</v>
      </c>
    </row>
    <row r="2370">
      <c r="A2370" s="12" t="s">
        <v>118</v>
      </c>
      <c r="B2370" s="5" t="s">
        <v>84</v>
      </c>
      <c r="C2370" s="11">
        <v>0.837</v>
      </c>
      <c r="D2370" s="11">
        <v>42.0</v>
      </c>
      <c r="E2370" s="8"/>
      <c r="F2370" s="11">
        <v>456.0</v>
      </c>
      <c r="G2370" s="11">
        <v>0.11</v>
      </c>
      <c r="H2370" s="11">
        <v>0.506</v>
      </c>
      <c r="I2370" s="9" t="s">
        <v>66</v>
      </c>
    </row>
    <row r="2371">
      <c r="A2371" s="12" t="s">
        <v>157</v>
      </c>
      <c r="B2371" s="5" t="s">
        <v>84</v>
      </c>
      <c r="C2371" s="11">
        <v>0.39</v>
      </c>
      <c r="D2371" s="11">
        <v>42.0</v>
      </c>
      <c r="E2371" s="8"/>
      <c r="F2371" s="11">
        <v>288.0</v>
      </c>
      <c r="G2371" s="8"/>
      <c r="H2371" s="11">
        <v>0.37</v>
      </c>
      <c r="I2371" s="9" t="s">
        <v>66</v>
      </c>
    </row>
    <row r="2372">
      <c r="A2372" s="12" t="s">
        <v>224</v>
      </c>
      <c r="B2372" s="5" t="s">
        <v>84</v>
      </c>
      <c r="C2372" s="11">
        <v>0.384</v>
      </c>
      <c r="D2372" s="11">
        <v>102.0</v>
      </c>
      <c r="E2372" s="8"/>
      <c r="F2372" s="11">
        <v>424.0</v>
      </c>
      <c r="G2372" s="11">
        <v>0.171</v>
      </c>
      <c r="H2372" s="11">
        <v>0.201</v>
      </c>
      <c r="I2372" s="9" t="s">
        <v>66</v>
      </c>
    </row>
    <row r="2373">
      <c r="A2373" s="12" t="s">
        <v>281</v>
      </c>
      <c r="B2373" s="5" t="s">
        <v>84</v>
      </c>
      <c r="C2373" s="11">
        <v>0.502</v>
      </c>
      <c r="D2373" s="11">
        <v>141.0</v>
      </c>
      <c r="E2373" s="8"/>
      <c r="F2373" s="11">
        <v>864.0</v>
      </c>
      <c r="G2373" s="11">
        <v>0.126</v>
      </c>
      <c r="H2373" s="11">
        <v>0.468</v>
      </c>
      <c r="I2373" s="9" t="s">
        <v>66</v>
      </c>
    </row>
    <row r="2374">
      <c r="A2374" s="12" t="s">
        <v>199</v>
      </c>
      <c r="B2374" s="5" t="s">
        <v>84</v>
      </c>
      <c r="C2374" s="11">
        <v>0.557</v>
      </c>
      <c r="D2374" s="11">
        <v>58.0</v>
      </c>
      <c r="E2374" s="8"/>
      <c r="F2374" s="11">
        <v>552.0</v>
      </c>
      <c r="G2374" s="11">
        <v>0.172</v>
      </c>
      <c r="H2374" s="11">
        <v>0.426</v>
      </c>
      <c r="I2374" s="9" t="s">
        <v>66</v>
      </c>
    </row>
    <row r="2375">
      <c r="A2375" s="12" t="s">
        <v>221</v>
      </c>
      <c r="B2375" s="5" t="s">
        <v>84</v>
      </c>
      <c r="C2375" s="11">
        <v>0.439</v>
      </c>
      <c r="D2375" s="11">
        <v>18.0</v>
      </c>
      <c r="E2375" s="8"/>
      <c r="F2375" s="11">
        <v>560.0</v>
      </c>
      <c r="G2375" s="11">
        <v>0.115</v>
      </c>
      <c r="H2375" s="11">
        <v>0.52</v>
      </c>
      <c r="I2375" s="9" t="s">
        <v>66</v>
      </c>
    </row>
    <row r="2376">
      <c r="A2376" s="12" t="s">
        <v>132</v>
      </c>
      <c r="B2376" s="5" t="s">
        <v>84</v>
      </c>
      <c r="C2376" s="11">
        <v>0.355</v>
      </c>
      <c r="D2376" s="11">
        <v>74.0</v>
      </c>
      <c r="E2376" s="8"/>
      <c r="F2376" s="11">
        <v>232.0</v>
      </c>
      <c r="G2376" s="11">
        <v>0.115</v>
      </c>
      <c r="H2376" s="11">
        <v>0.388</v>
      </c>
      <c r="I2376" s="9" t="s">
        <v>66</v>
      </c>
    </row>
    <row r="2377">
      <c r="A2377" s="12" t="s">
        <v>133</v>
      </c>
      <c r="B2377" s="5" t="s">
        <v>84</v>
      </c>
      <c r="C2377" s="11">
        <v>0.353</v>
      </c>
      <c r="D2377" s="11">
        <v>69.0</v>
      </c>
      <c r="E2377" s="8"/>
      <c r="F2377" s="11">
        <v>600.0</v>
      </c>
      <c r="G2377" s="11">
        <v>0.06</v>
      </c>
      <c r="H2377" s="11">
        <v>0.453</v>
      </c>
      <c r="I2377" s="9" t="s">
        <v>66</v>
      </c>
    </row>
    <row r="2378">
      <c r="A2378" s="12" t="s">
        <v>213</v>
      </c>
      <c r="B2378" s="5" t="s">
        <v>84</v>
      </c>
      <c r="C2378" s="11">
        <v>0.635</v>
      </c>
      <c r="D2378" s="11">
        <v>39.0</v>
      </c>
      <c r="E2378" s="8"/>
      <c r="F2378" s="11">
        <v>240.0</v>
      </c>
      <c r="G2378" s="11">
        <v>0.026</v>
      </c>
      <c r="H2378" s="11">
        <v>0.205</v>
      </c>
      <c r="I2378" s="9" t="s">
        <v>66</v>
      </c>
    </row>
    <row r="2379">
      <c r="A2379" s="12" t="s">
        <v>223</v>
      </c>
      <c r="B2379" s="5" t="s">
        <v>84</v>
      </c>
      <c r="C2379" s="11">
        <v>0.545</v>
      </c>
      <c r="D2379" s="11">
        <v>74.0</v>
      </c>
      <c r="E2379" s="8"/>
      <c r="F2379" s="11">
        <v>328.0</v>
      </c>
      <c r="G2379" s="11">
        <v>0.079</v>
      </c>
      <c r="H2379" s="11">
        <v>0.32</v>
      </c>
      <c r="I2379" s="9" t="s">
        <v>66</v>
      </c>
    </row>
    <row r="2380">
      <c r="A2380" s="12" t="s">
        <v>98</v>
      </c>
      <c r="B2380" s="5" t="s">
        <v>84</v>
      </c>
      <c r="C2380" s="11">
        <v>0.347</v>
      </c>
      <c r="D2380" s="11">
        <v>45.0</v>
      </c>
      <c r="E2380" s="8"/>
      <c r="F2380" s="11">
        <v>147.0</v>
      </c>
      <c r="G2380" s="11">
        <v>0.092</v>
      </c>
      <c r="H2380" s="11">
        <v>0.353</v>
      </c>
      <c r="I2380" s="9" t="s">
        <v>66</v>
      </c>
    </row>
    <row r="2381">
      <c r="A2381" s="12" t="s">
        <v>158</v>
      </c>
      <c r="B2381" s="5" t="s">
        <v>84</v>
      </c>
      <c r="C2381" s="11">
        <v>0.404</v>
      </c>
      <c r="D2381" s="11">
        <v>202.0</v>
      </c>
      <c r="E2381" s="8"/>
      <c r="F2381" s="11">
        <v>184.0</v>
      </c>
      <c r="G2381" s="11">
        <v>0.064</v>
      </c>
      <c r="H2381" s="11">
        <v>0.054</v>
      </c>
      <c r="I2381" s="9" t="s">
        <v>66</v>
      </c>
    </row>
    <row r="2382">
      <c r="A2382" s="12" t="s">
        <v>102</v>
      </c>
      <c r="B2382" s="5" t="s">
        <v>84</v>
      </c>
      <c r="C2382" s="11">
        <v>0.8</v>
      </c>
      <c r="D2382" s="11">
        <v>50.0</v>
      </c>
      <c r="E2382" s="8"/>
      <c r="F2382" s="11">
        <v>1080.0</v>
      </c>
      <c r="G2382" s="11">
        <v>0.052</v>
      </c>
      <c r="H2382" s="11">
        <v>0.259</v>
      </c>
      <c r="I2382" s="9" t="s">
        <v>66</v>
      </c>
    </row>
    <row r="2383">
      <c r="A2383" s="12" t="s">
        <v>159</v>
      </c>
      <c r="B2383" s="5" t="s">
        <v>84</v>
      </c>
      <c r="C2383" s="11">
        <v>0.44</v>
      </c>
      <c r="D2383" s="11">
        <v>62.0</v>
      </c>
      <c r="E2383" s="8"/>
      <c r="F2383" s="11">
        <v>424.0</v>
      </c>
      <c r="G2383" s="11">
        <v>0.065</v>
      </c>
      <c r="H2383" s="11">
        <v>0.186</v>
      </c>
      <c r="I2383" s="9" t="s">
        <v>66</v>
      </c>
    </row>
    <row r="2384">
      <c r="A2384" s="12" t="s">
        <v>154</v>
      </c>
      <c r="B2384" s="5" t="s">
        <v>84</v>
      </c>
      <c r="C2384" s="11">
        <v>0.387</v>
      </c>
      <c r="D2384" s="11">
        <v>39.0</v>
      </c>
      <c r="E2384" s="8"/>
      <c r="F2384" s="11">
        <v>344.0</v>
      </c>
      <c r="G2384" s="11">
        <v>0.057</v>
      </c>
      <c r="H2384" s="11">
        <v>0.356</v>
      </c>
      <c r="I2384" s="9" t="s">
        <v>66</v>
      </c>
    </row>
    <row r="2385">
      <c r="A2385" s="12" t="s">
        <v>113</v>
      </c>
      <c r="B2385" s="5" t="s">
        <v>84</v>
      </c>
      <c r="C2385" s="8"/>
      <c r="D2385" s="8"/>
      <c r="E2385" s="8"/>
      <c r="F2385" s="8"/>
      <c r="G2385" s="11">
        <v>0.445</v>
      </c>
      <c r="H2385" s="11">
        <v>1.85</v>
      </c>
      <c r="I2385" s="9" t="s">
        <v>67</v>
      </c>
    </row>
    <row r="2386">
      <c r="A2386" s="12" t="s">
        <v>242</v>
      </c>
      <c r="B2386" s="5" t="s">
        <v>84</v>
      </c>
      <c r="C2386" s="8"/>
      <c r="D2386" s="8"/>
      <c r="E2386" s="8"/>
      <c r="F2386" s="8"/>
      <c r="G2386" s="8"/>
      <c r="H2386" s="8"/>
      <c r="I2386" s="9" t="s">
        <v>67</v>
      </c>
    </row>
    <row r="2387">
      <c r="A2387" s="12" t="s">
        <v>272</v>
      </c>
      <c r="B2387" s="5" t="s">
        <v>84</v>
      </c>
      <c r="C2387" s="8"/>
      <c r="D2387" s="8"/>
      <c r="E2387" s="8"/>
      <c r="F2387" s="8"/>
      <c r="G2387" s="8"/>
      <c r="H2387" s="8"/>
      <c r="I2387" s="9" t="s">
        <v>67</v>
      </c>
    </row>
    <row r="2388">
      <c r="A2388" s="12" t="s">
        <v>252</v>
      </c>
      <c r="B2388" s="5" t="s">
        <v>84</v>
      </c>
      <c r="C2388" s="11">
        <v>0.523</v>
      </c>
      <c r="D2388" s="11">
        <v>19.0</v>
      </c>
      <c r="E2388" s="8"/>
      <c r="F2388" s="11">
        <v>172.0</v>
      </c>
      <c r="G2388" s="11">
        <v>0.49</v>
      </c>
      <c r="H2388" s="11">
        <v>1.024</v>
      </c>
      <c r="I2388" s="9" t="s">
        <v>67</v>
      </c>
    </row>
    <row r="2389">
      <c r="A2389" s="12" t="s">
        <v>125</v>
      </c>
      <c r="B2389" s="5" t="s">
        <v>84</v>
      </c>
      <c r="C2389" s="8"/>
      <c r="D2389" s="8"/>
      <c r="E2389" s="8"/>
      <c r="F2389" s="8"/>
      <c r="G2389" s="11">
        <v>0.112</v>
      </c>
      <c r="H2389" s="11">
        <v>0.014</v>
      </c>
      <c r="I2389" s="9" t="s">
        <v>67</v>
      </c>
    </row>
    <row r="2390">
      <c r="A2390" s="12" t="s">
        <v>112</v>
      </c>
      <c r="B2390" s="5" t="s">
        <v>84</v>
      </c>
      <c r="C2390" s="11">
        <v>0.45</v>
      </c>
      <c r="D2390" s="11">
        <v>3.0</v>
      </c>
      <c r="E2390" s="8"/>
      <c r="F2390" s="11">
        <v>119.0</v>
      </c>
      <c r="G2390" s="11">
        <v>0.724</v>
      </c>
      <c r="H2390" s="11">
        <v>0.575</v>
      </c>
      <c r="I2390" s="9" t="s">
        <v>67</v>
      </c>
    </row>
    <row r="2391">
      <c r="A2391" s="12" t="s">
        <v>87</v>
      </c>
      <c r="B2391" s="5" t="s">
        <v>84</v>
      </c>
      <c r="C2391" s="8"/>
      <c r="D2391" s="8"/>
      <c r="E2391" s="8"/>
      <c r="F2391" s="8"/>
      <c r="G2391" s="11">
        <v>0.28</v>
      </c>
      <c r="H2391" s="11">
        <v>1.081</v>
      </c>
      <c r="I2391" s="9" t="s">
        <v>67</v>
      </c>
    </row>
    <row r="2392">
      <c r="A2392" s="12" t="s">
        <v>228</v>
      </c>
      <c r="B2392" s="5" t="s">
        <v>84</v>
      </c>
      <c r="C2392" s="11">
        <v>0.576</v>
      </c>
      <c r="D2392" s="11">
        <v>7.0</v>
      </c>
      <c r="E2392" s="8"/>
      <c r="F2392" s="11">
        <v>140.0</v>
      </c>
      <c r="G2392" s="11">
        <v>0.254</v>
      </c>
      <c r="H2392" s="11">
        <v>0.586</v>
      </c>
      <c r="I2392" s="9" t="s">
        <v>67</v>
      </c>
    </row>
    <row r="2393">
      <c r="A2393" s="12" t="s">
        <v>95</v>
      </c>
      <c r="B2393" s="5" t="s">
        <v>84</v>
      </c>
      <c r="C2393" s="8"/>
      <c r="D2393" s="8"/>
      <c r="E2393" s="8"/>
      <c r="F2393" s="8"/>
      <c r="G2393" s="11">
        <v>0.553</v>
      </c>
      <c r="H2393" s="11">
        <v>0.862</v>
      </c>
      <c r="I2393" s="9" t="s">
        <v>67</v>
      </c>
    </row>
    <row r="2394">
      <c r="A2394" s="12" t="s">
        <v>100</v>
      </c>
      <c r="B2394" s="5" t="s">
        <v>84</v>
      </c>
      <c r="C2394" s="8"/>
      <c r="D2394" s="8"/>
      <c r="E2394" s="8"/>
      <c r="F2394" s="8"/>
      <c r="G2394" s="11">
        <v>0.699</v>
      </c>
      <c r="H2394" s="11">
        <v>0.934</v>
      </c>
      <c r="I2394" s="9" t="s">
        <v>67</v>
      </c>
    </row>
    <row r="2395">
      <c r="A2395" s="12" t="s">
        <v>126</v>
      </c>
      <c r="B2395" s="5" t="s">
        <v>84</v>
      </c>
      <c r="C2395" s="8"/>
      <c r="D2395" s="8"/>
      <c r="E2395" s="8"/>
      <c r="F2395" s="8"/>
      <c r="G2395" s="8"/>
      <c r="H2395" s="8"/>
      <c r="I2395" s="9" t="s">
        <v>67</v>
      </c>
    </row>
    <row r="2396">
      <c r="A2396" s="12" t="s">
        <v>277</v>
      </c>
      <c r="B2396" s="5" t="s">
        <v>84</v>
      </c>
      <c r="C2396" s="11">
        <v>0.474</v>
      </c>
      <c r="D2396" s="11">
        <v>6.0</v>
      </c>
      <c r="E2396" s="8"/>
      <c r="F2396" s="11">
        <v>325.0</v>
      </c>
      <c r="G2396" s="11">
        <v>0.689</v>
      </c>
      <c r="H2396" s="11">
        <v>0.763</v>
      </c>
      <c r="I2396" s="9" t="s">
        <v>67</v>
      </c>
    </row>
    <row r="2397">
      <c r="A2397" s="12" t="s">
        <v>131</v>
      </c>
      <c r="B2397" s="5" t="s">
        <v>84</v>
      </c>
      <c r="C2397" s="11">
        <v>0.37</v>
      </c>
      <c r="D2397" s="11">
        <v>14.0</v>
      </c>
      <c r="E2397" s="8"/>
      <c r="F2397" s="11">
        <v>147.0</v>
      </c>
      <c r="G2397" s="11">
        <v>0.394</v>
      </c>
      <c r="H2397" s="11">
        <v>1.011</v>
      </c>
      <c r="I2397" s="9" t="s">
        <v>67</v>
      </c>
    </row>
    <row r="2398">
      <c r="A2398" s="12" t="s">
        <v>268</v>
      </c>
      <c r="B2398" s="5" t="s">
        <v>84</v>
      </c>
      <c r="C2398" s="11">
        <v>0.372</v>
      </c>
      <c r="D2398" s="11">
        <v>43.0</v>
      </c>
      <c r="E2398" s="8"/>
      <c r="F2398" s="11">
        <v>210.0</v>
      </c>
      <c r="G2398" s="11">
        <v>0.3</v>
      </c>
      <c r="H2398" s="11">
        <v>1.165</v>
      </c>
      <c r="I2398" s="9" t="s">
        <v>67</v>
      </c>
    </row>
    <row r="2399">
      <c r="A2399" s="12" t="s">
        <v>151</v>
      </c>
      <c r="B2399" s="5" t="s">
        <v>84</v>
      </c>
      <c r="C2399" s="8"/>
      <c r="D2399" s="8"/>
      <c r="E2399" s="8"/>
      <c r="F2399" s="8"/>
      <c r="G2399" s="11">
        <v>0.594</v>
      </c>
      <c r="H2399" s="11">
        <v>0.947</v>
      </c>
      <c r="I2399" s="9" t="s">
        <v>67</v>
      </c>
    </row>
    <row r="2400">
      <c r="A2400" s="12" t="s">
        <v>91</v>
      </c>
      <c r="B2400" s="5" t="s">
        <v>84</v>
      </c>
      <c r="C2400" s="8"/>
      <c r="D2400" s="8"/>
      <c r="E2400" s="8"/>
      <c r="F2400" s="8"/>
      <c r="G2400" s="11">
        <v>0.26</v>
      </c>
      <c r="H2400" s="11">
        <v>0.754</v>
      </c>
      <c r="I2400" s="9" t="s">
        <v>67</v>
      </c>
    </row>
    <row r="2401">
      <c r="A2401" s="12" t="s">
        <v>278</v>
      </c>
      <c r="B2401" s="5" t="s">
        <v>84</v>
      </c>
      <c r="C2401" s="11">
        <v>0.713</v>
      </c>
      <c r="D2401" s="11">
        <v>43.0</v>
      </c>
      <c r="E2401" s="8"/>
      <c r="F2401" s="11">
        <v>304.0</v>
      </c>
      <c r="G2401" s="11">
        <v>0.294</v>
      </c>
      <c r="H2401" s="11">
        <v>0.7</v>
      </c>
      <c r="I2401" s="9" t="s">
        <v>67</v>
      </c>
    </row>
    <row r="2402">
      <c r="A2402" s="12" t="s">
        <v>116</v>
      </c>
      <c r="B2402" s="5" t="s">
        <v>84</v>
      </c>
      <c r="C2402" s="11">
        <v>0.251</v>
      </c>
      <c r="D2402" s="11">
        <v>27.0</v>
      </c>
      <c r="E2402" s="8"/>
      <c r="F2402" s="11">
        <v>316.0</v>
      </c>
      <c r="G2402" s="11">
        <v>0.345</v>
      </c>
      <c r="H2402" s="11">
        <v>0.754</v>
      </c>
      <c r="I2402" s="9" t="s">
        <v>67</v>
      </c>
    </row>
    <row r="2403">
      <c r="A2403" s="12" t="s">
        <v>171</v>
      </c>
      <c r="B2403" s="5" t="s">
        <v>84</v>
      </c>
      <c r="C2403" s="11">
        <v>0.499</v>
      </c>
      <c r="D2403" s="11">
        <v>8.0</v>
      </c>
      <c r="E2403" s="8"/>
      <c r="F2403" s="11">
        <v>414.0</v>
      </c>
      <c r="G2403" s="11">
        <v>0.164</v>
      </c>
      <c r="H2403" s="11">
        <v>0.844</v>
      </c>
      <c r="I2403" s="9" t="s">
        <v>67</v>
      </c>
    </row>
    <row r="2404">
      <c r="A2404" s="12" t="s">
        <v>105</v>
      </c>
      <c r="B2404" s="5" t="s">
        <v>84</v>
      </c>
      <c r="C2404" s="11">
        <v>0.69</v>
      </c>
      <c r="D2404" s="11">
        <v>149.0</v>
      </c>
      <c r="E2404" s="8"/>
      <c r="F2404" s="11">
        <v>2600.0</v>
      </c>
      <c r="G2404" s="11">
        <v>0.282</v>
      </c>
      <c r="H2404" s="11">
        <v>0.531</v>
      </c>
      <c r="I2404" s="9" t="s">
        <v>67</v>
      </c>
    </row>
    <row r="2405">
      <c r="A2405" s="12" t="s">
        <v>253</v>
      </c>
      <c r="B2405" s="5" t="s">
        <v>84</v>
      </c>
      <c r="C2405" s="11">
        <v>0.34</v>
      </c>
      <c r="D2405" s="11">
        <v>20.0</v>
      </c>
      <c r="E2405" s="8"/>
      <c r="F2405" s="11">
        <v>71.0</v>
      </c>
      <c r="G2405" s="11">
        <v>0.245</v>
      </c>
      <c r="H2405" s="11">
        <v>0.63</v>
      </c>
      <c r="I2405" s="9" t="s">
        <v>67</v>
      </c>
    </row>
    <row r="2406">
      <c r="A2406" s="12" t="s">
        <v>122</v>
      </c>
      <c r="B2406" s="5" t="s">
        <v>84</v>
      </c>
      <c r="C2406" s="11">
        <v>0.552</v>
      </c>
      <c r="D2406" s="11">
        <v>77.0</v>
      </c>
      <c r="E2406" s="8"/>
      <c r="F2406" s="11">
        <v>402.0</v>
      </c>
      <c r="G2406" s="11">
        <v>0.251</v>
      </c>
      <c r="H2406" s="11">
        <v>0.329</v>
      </c>
      <c r="I2406" s="9" t="s">
        <v>67</v>
      </c>
    </row>
    <row r="2407">
      <c r="A2407" s="12" t="s">
        <v>255</v>
      </c>
      <c r="B2407" s="5" t="s">
        <v>84</v>
      </c>
      <c r="C2407" s="11">
        <v>0.45</v>
      </c>
      <c r="D2407" s="11">
        <v>12.0</v>
      </c>
      <c r="E2407" s="8"/>
      <c r="F2407" s="11">
        <v>76.0</v>
      </c>
      <c r="G2407" s="11">
        <v>0.12</v>
      </c>
      <c r="H2407" s="11">
        <v>0.805</v>
      </c>
      <c r="I2407" s="9" t="s">
        <v>67</v>
      </c>
    </row>
    <row r="2408">
      <c r="A2408" s="12" t="s">
        <v>85</v>
      </c>
      <c r="B2408" s="5" t="s">
        <v>84</v>
      </c>
      <c r="C2408" s="11">
        <v>1.076</v>
      </c>
      <c r="D2408" s="11">
        <v>30.0</v>
      </c>
      <c r="E2408" s="8"/>
      <c r="F2408" s="11">
        <v>453.0</v>
      </c>
      <c r="G2408" s="11">
        <v>0.209</v>
      </c>
      <c r="H2408" s="11">
        <v>0.808</v>
      </c>
      <c r="I2408" s="9" t="s">
        <v>67</v>
      </c>
    </row>
    <row r="2409">
      <c r="A2409" s="12" t="s">
        <v>83</v>
      </c>
      <c r="B2409" s="5" t="s">
        <v>84</v>
      </c>
      <c r="C2409" s="11">
        <v>0.476</v>
      </c>
      <c r="D2409" s="11">
        <v>21.0</v>
      </c>
      <c r="E2409" s="8"/>
      <c r="F2409" s="11">
        <v>184.0</v>
      </c>
      <c r="G2409" s="11">
        <v>0.3</v>
      </c>
      <c r="H2409" s="11">
        <v>1.32</v>
      </c>
      <c r="I2409" s="9" t="s">
        <v>67</v>
      </c>
    </row>
    <row r="2410">
      <c r="A2410" s="12" t="s">
        <v>254</v>
      </c>
      <c r="B2410" s="5" t="s">
        <v>84</v>
      </c>
      <c r="C2410" s="8"/>
      <c r="D2410" s="8"/>
      <c r="E2410" s="8"/>
      <c r="F2410" s="8"/>
      <c r="G2410" s="8"/>
      <c r="H2410" s="8"/>
      <c r="I2410" s="9" t="s">
        <v>67</v>
      </c>
    </row>
    <row r="2411">
      <c r="A2411" s="12" t="s">
        <v>152</v>
      </c>
      <c r="B2411" s="5" t="s">
        <v>84</v>
      </c>
      <c r="C2411" s="11">
        <v>0.453</v>
      </c>
      <c r="D2411" s="11">
        <v>20.0</v>
      </c>
      <c r="E2411" s="8"/>
      <c r="F2411" s="11">
        <v>140.0</v>
      </c>
      <c r="G2411" s="11">
        <v>0.214</v>
      </c>
      <c r="H2411" s="11">
        <v>0.447</v>
      </c>
      <c r="I2411" s="9" t="s">
        <v>67</v>
      </c>
    </row>
    <row r="2412">
      <c r="A2412" s="12" t="s">
        <v>257</v>
      </c>
      <c r="B2412" s="5" t="s">
        <v>84</v>
      </c>
      <c r="C2412" s="11">
        <v>0.279</v>
      </c>
      <c r="D2412" s="11">
        <v>694.0</v>
      </c>
      <c r="E2412" s="8"/>
      <c r="F2412" s="11">
        <v>199.0</v>
      </c>
      <c r="G2412" s="11">
        <v>0.095</v>
      </c>
      <c r="H2412" s="11">
        <v>0.633</v>
      </c>
      <c r="I2412" s="9" t="s">
        <v>67</v>
      </c>
    </row>
    <row r="2413">
      <c r="A2413" s="12" t="s">
        <v>135</v>
      </c>
      <c r="B2413" s="5" t="s">
        <v>84</v>
      </c>
      <c r="C2413" s="11">
        <v>0.347</v>
      </c>
      <c r="D2413" s="11">
        <v>26.0</v>
      </c>
      <c r="E2413" s="8"/>
      <c r="F2413" s="11">
        <v>320.0</v>
      </c>
      <c r="G2413" s="11">
        <v>0.055</v>
      </c>
      <c r="H2413" s="11">
        <v>0.632</v>
      </c>
      <c r="I2413" s="9" t="s">
        <v>67</v>
      </c>
    </row>
    <row r="2414">
      <c r="A2414" s="12" t="s">
        <v>118</v>
      </c>
      <c r="B2414" s="5" t="s">
        <v>84</v>
      </c>
      <c r="C2414" s="11">
        <v>0.84</v>
      </c>
      <c r="D2414" s="11">
        <v>43.0</v>
      </c>
      <c r="E2414" s="8"/>
      <c r="F2414" s="11">
        <v>456.0</v>
      </c>
      <c r="G2414" s="11">
        <v>0.153</v>
      </c>
      <c r="H2414" s="11">
        <v>0.679</v>
      </c>
      <c r="I2414" s="9" t="s">
        <v>67</v>
      </c>
    </row>
    <row r="2415">
      <c r="A2415" s="12" t="s">
        <v>199</v>
      </c>
      <c r="B2415" s="5" t="s">
        <v>84</v>
      </c>
      <c r="C2415" s="11">
        <v>0.531</v>
      </c>
      <c r="D2415" s="11">
        <v>25.0</v>
      </c>
      <c r="E2415" s="8"/>
      <c r="F2415" s="11">
        <v>560.0</v>
      </c>
      <c r="G2415" s="11">
        <v>0.195</v>
      </c>
      <c r="H2415" s="11">
        <v>0.494</v>
      </c>
      <c r="I2415" s="9" t="s">
        <v>67</v>
      </c>
    </row>
    <row r="2416">
      <c r="A2416" s="12" t="s">
        <v>157</v>
      </c>
      <c r="B2416" s="5" t="s">
        <v>84</v>
      </c>
      <c r="C2416" s="11">
        <v>0.39</v>
      </c>
      <c r="D2416" s="11">
        <v>41.0</v>
      </c>
      <c r="E2416" s="8"/>
      <c r="F2416" s="11">
        <v>288.0</v>
      </c>
      <c r="G2416" s="8"/>
      <c r="H2416" s="11">
        <v>0.523</v>
      </c>
      <c r="I2416" s="9" t="s">
        <v>67</v>
      </c>
    </row>
    <row r="2417">
      <c r="A2417" s="12" t="s">
        <v>224</v>
      </c>
      <c r="B2417" s="5" t="s">
        <v>84</v>
      </c>
      <c r="C2417" s="11">
        <v>0.383</v>
      </c>
      <c r="D2417" s="11">
        <v>72.0</v>
      </c>
      <c r="E2417" s="8"/>
      <c r="F2417" s="11">
        <v>424.0</v>
      </c>
      <c r="G2417" s="11">
        <v>0.207</v>
      </c>
      <c r="H2417" s="11">
        <v>0.325</v>
      </c>
      <c r="I2417" s="9" t="s">
        <v>67</v>
      </c>
    </row>
    <row r="2418">
      <c r="A2418" s="12" t="s">
        <v>281</v>
      </c>
      <c r="B2418" s="5" t="s">
        <v>84</v>
      </c>
      <c r="C2418" s="11">
        <v>0.498</v>
      </c>
      <c r="D2418" s="11">
        <v>141.0</v>
      </c>
      <c r="E2418" s="8"/>
      <c r="F2418" s="11">
        <v>864.0</v>
      </c>
      <c r="G2418" s="11">
        <v>0.152</v>
      </c>
      <c r="H2418" s="11">
        <v>0.691</v>
      </c>
      <c r="I2418" s="9" t="s">
        <v>67</v>
      </c>
    </row>
    <row r="2419">
      <c r="A2419" s="12" t="s">
        <v>221</v>
      </c>
      <c r="B2419" s="5" t="s">
        <v>84</v>
      </c>
      <c r="C2419" s="11">
        <v>0.441</v>
      </c>
      <c r="D2419" s="11">
        <v>18.0</v>
      </c>
      <c r="E2419" s="8"/>
      <c r="F2419" s="11">
        <v>560.0</v>
      </c>
      <c r="G2419" s="11">
        <v>0.173</v>
      </c>
      <c r="H2419" s="11">
        <v>0.634</v>
      </c>
      <c r="I2419" s="9" t="s">
        <v>67</v>
      </c>
    </row>
    <row r="2420">
      <c r="A2420" s="12" t="s">
        <v>132</v>
      </c>
      <c r="B2420" s="5" t="s">
        <v>84</v>
      </c>
      <c r="C2420" s="11">
        <v>0.358</v>
      </c>
      <c r="D2420" s="11">
        <v>72.0</v>
      </c>
      <c r="E2420" s="8"/>
      <c r="F2420" s="11">
        <v>286.0</v>
      </c>
      <c r="G2420" s="11">
        <v>0.148</v>
      </c>
      <c r="H2420" s="11">
        <v>0.486</v>
      </c>
      <c r="I2420" s="9" t="s">
        <v>67</v>
      </c>
    </row>
    <row r="2421">
      <c r="A2421" s="12" t="s">
        <v>133</v>
      </c>
      <c r="B2421" s="5" t="s">
        <v>84</v>
      </c>
      <c r="C2421" s="11">
        <v>0.353</v>
      </c>
      <c r="D2421" s="11">
        <v>65.0</v>
      </c>
      <c r="E2421" s="8"/>
      <c r="F2421" s="11">
        <v>600.0</v>
      </c>
      <c r="G2421" s="11">
        <v>0.072</v>
      </c>
      <c r="H2421" s="11">
        <v>0.605</v>
      </c>
      <c r="I2421" s="9" t="s">
        <v>67</v>
      </c>
    </row>
    <row r="2422">
      <c r="A2422" s="12" t="s">
        <v>223</v>
      </c>
      <c r="B2422" s="5" t="s">
        <v>84</v>
      </c>
      <c r="C2422" s="11">
        <v>0.448</v>
      </c>
      <c r="D2422" s="11">
        <v>74.0</v>
      </c>
      <c r="E2422" s="8"/>
      <c r="F2422" s="11">
        <v>328.0</v>
      </c>
      <c r="G2422" s="11">
        <v>0.08</v>
      </c>
      <c r="H2422" s="11">
        <v>0.537</v>
      </c>
      <c r="I2422" s="9" t="s">
        <v>67</v>
      </c>
    </row>
    <row r="2423">
      <c r="A2423" s="12" t="s">
        <v>213</v>
      </c>
      <c r="B2423" s="5" t="s">
        <v>84</v>
      </c>
      <c r="C2423" s="11">
        <v>0.635</v>
      </c>
      <c r="D2423" s="11">
        <v>39.0</v>
      </c>
      <c r="E2423" s="8"/>
      <c r="F2423" s="11">
        <v>240.0</v>
      </c>
      <c r="G2423" s="11">
        <v>0.028</v>
      </c>
      <c r="H2423" s="11">
        <v>0.331</v>
      </c>
      <c r="I2423" s="9" t="s">
        <v>67</v>
      </c>
    </row>
    <row r="2424">
      <c r="A2424" s="12" t="s">
        <v>98</v>
      </c>
      <c r="B2424" s="5" t="s">
        <v>84</v>
      </c>
      <c r="C2424" s="11">
        <v>0.348</v>
      </c>
      <c r="D2424" s="11">
        <v>45.0</v>
      </c>
      <c r="E2424" s="8"/>
      <c r="F2424" s="11">
        <v>147.0</v>
      </c>
      <c r="G2424" s="11">
        <v>0.104</v>
      </c>
      <c r="H2424" s="11">
        <v>0.423</v>
      </c>
      <c r="I2424" s="9" t="s">
        <v>67</v>
      </c>
    </row>
    <row r="2425">
      <c r="A2425" s="12" t="s">
        <v>158</v>
      </c>
      <c r="B2425" s="5" t="s">
        <v>84</v>
      </c>
      <c r="C2425" s="11">
        <v>0.404</v>
      </c>
      <c r="D2425" s="11">
        <v>202.0</v>
      </c>
      <c r="E2425" s="8"/>
      <c r="F2425" s="11">
        <v>184.0</v>
      </c>
      <c r="G2425" s="11">
        <v>0.068</v>
      </c>
      <c r="H2425" s="11">
        <v>0.128</v>
      </c>
      <c r="I2425" s="9" t="s">
        <v>67</v>
      </c>
    </row>
    <row r="2426">
      <c r="A2426" s="12" t="s">
        <v>102</v>
      </c>
      <c r="B2426" s="5" t="s">
        <v>84</v>
      </c>
      <c r="C2426" s="11">
        <v>0.8</v>
      </c>
      <c r="D2426" s="11">
        <v>50.0</v>
      </c>
      <c r="E2426" s="8"/>
      <c r="F2426" s="11">
        <v>1080.0</v>
      </c>
      <c r="G2426" s="11">
        <v>0.062</v>
      </c>
      <c r="H2426" s="11">
        <v>0.302</v>
      </c>
      <c r="I2426" s="9" t="s">
        <v>67</v>
      </c>
    </row>
    <row r="2427">
      <c r="A2427" s="12" t="s">
        <v>159</v>
      </c>
      <c r="B2427" s="5" t="s">
        <v>84</v>
      </c>
      <c r="C2427" s="11">
        <v>0.44</v>
      </c>
      <c r="D2427" s="11">
        <v>44.0</v>
      </c>
      <c r="E2427" s="8"/>
      <c r="F2427" s="11">
        <v>424.0</v>
      </c>
      <c r="G2427" s="11">
        <v>0.078</v>
      </c>
      <c r="H2427" s="11">
        <v>0.318</v>
      </c>
      <c r="I2427" s="9" t="s">
        <v>67</v>
      </c>
    </row>
    <row r="2428">
      <c r="A2428" s="12" t="s">
        <v>154</v>
      </c>
      <c r="B2428" s="5" t="s">
        <v>84</v>
      </c>
      <c r="C2428" s="11">
        <v>0.387</v>
      </c>
      <c r="D2428" s="11">
        <v>30.0</v>
      </c>
      <c r="E2428" s="8"/>
      <c r="F2428" s="11">
        <v>344.0</v>
      </c>
      <c r="G2428" s="11">
        <v>0.065</v>
      </c>
      <c r="H2428" s="11">
        <v>0.552</v>
      </c>
      <c r="I2428" s="9" t="s">
        <v>67</v>
      </c>
    </row>
    <row r="2429">
      <c r="A2429" s="12" t="s">
        <v>272</v>
      </c>
      <c r="B2429" s="5" t="s">
        <v>84</v>
      </c>
      <c r="C2429" s="8"/>
      <c r="D2429" s="8"/>
      <c r="E2429" s="8"/>
      <c r="F2429" s="8"/>
      <c r="G2429" s="8"/>
      <c r="H2429" s="8"/>
      <c r="I2429" s="9" t="s">
        <v>68</v>
      </c>
    </row>
    <row r="2430">
      <c r="A2430" s="12" t="s">
        <v>131</v>
      </c>
      <c r="B2430" s="5" t="s">
        <v>84</v>
      </c>
      <c r="C2430" s="11">
        <v>0.37</v>
      </c>
      <c r="D2430" s="11">
        <v>14.0</v>
      </c>
      <c r="E2430" s="8"/>
      <c r="F2430" s="11">
        <v>147.0</v>
      </c>
      <c r="G2430" s="11">
        <v>0.403</v>
      </c>
      <c r="H2430" s="11">
        <v>1.257</v>
      </c>
      <c r="I2430" s="9" t="s">
        <v>68</v>
      </c>
    </row>
    <row r="2431">
      <c r="A2431" s="12" t="s">
        <v>252</v>
      </c>
      <c r="B2431" s="5" t="s">
        <v>84</v>
      </c>
      <c r="C2431" s="11">
        <v>0.523</v>
      </c>
      <c r="D2431" s="11">
        <v>19.0</v>
      </c>
      <c r="E2431" s="8"/>
      <c r="F2431" s="11">
        <v>172.0</v>
      </c>
      <c r="G2431" s="11">
        <v>0.52</v>
      </c>
      <c r="H2431" s="11">
        <v>1.278</v>
      </c>
      <c r="I2431" s="9" t="s">
        <v>68</v>
      </c>
    </row>
    <row r="2432">
      <c r="A2432" s="12" t="s">
        <v>242</v>
      </c>
      <c r="B2432" s="5" t="s">
        <v>84</v>
      </c>
      <c r="C2432" s="8"/>
      <c r="D2432" s="8"/>
      <c r="E2432" s="8"/>
      <c r="F2432" s="8"/>
      <c r="G2432" s="8"/>
      <c r="H2432" s="8"/>
      <c r="I2432" s="9" t="s">
        <v>68</v>
      </c>
    </row>
    <row r="2433">
      <c r="A2433" s="12" t="s">
        <v>125</v>
      </c>
      <c r="B2433" s="5" t="s">
        <v>84</v>
      </c>
      <c r="C2433" s="8"/>
      <c r="D2433" s="8"/>
      <c r="E2433" s="8"/>
      <c r="F2433" s="8"/>
      <c r="G2433" s="11">
        <v>0.117</v>
      </c>
      <c r="H2433" s="11">
        <v>0.018</v>
      </c>
      <c r="I2433" s="9" t="s">
        <v>68</v>
      </c>
    </row>
    <row r="2434">
      <c r="A2434" s="12" t="s">
        <v>112</v>
      </c>
      <c r="B2434" s="5" t="s">
        <v>84</v>
      </c>
      <c r="C2434" s="11">
        <v>0.443</v>
      </c>
      <c r="D2434" s="11">
        <v>3.0</v>
      </c>
      <c r="E2434" s="8"/>
      <c r="F2434" s="11">
        <v>119.0</v>
      </c>
      <c r="G2434" s="11">
        <v>0.732</v>
      </c>
      <c r="H2434" s="11">
        <v>0.615</v>
      </c>
      <c r="I2434" s="9" t="s">
        <v>68</v>
      </c>
    </row>
    <row r="2435">
      <c r="A2435" s="12" t="s">
        <v>87</v>
      </c>
      <c r="B2435" s="5" t="s">
        <v>84</v>
      </c>
      <c r="C2435" s="8"/>
      <c r="D2435" s="8"/>
      <c r="E2435" s="8"/>
      <c r="F2435" s="8"/>
      <c r="G2435" s="11">
        <v>0.309</v>
      </c>
      <c r="H2435" s="11">
        <v>1.122</v>
      </c>
      <c r="I2435" s="9" t="s">
        <v>68</v>
      </c>
    </row>
    <row r="2436">
      <c r="A2436" s="12" t="s">
        <v>228</v>
      </c>
      <c r="B2436" s="5" t="s">
        <v>84</v>
      </c>
      <c r="C2436" s="11">
        <v>0.576</v>
      </c>
      <c r="D2436" s="11">
        <v>7.0</v>
      </c>
      <c r="E2436" s="8"/>
      <c r="F2436" s="11">
        <v>140.0</v>
      </c>
      <c r="G2436" s="11">
        <v>0.279</v>
      </c>
      <c r="H2436" s="11">
        <v>0.65</v>
      </c>
      <c r="I2436" s="9" t="s">
        <v>68</v>
      </c>
    </row>
    <row r="2437">
      <c r="A2437" s="12" t="s">
        <v>95</v>
      </c>
      <c r="B2437" s="5" t="s">
        <v>84</v>
      </c>
      <c r="C2437" s="8"/>
      <c r="D2437" s="8"/>
      <c r="E2437" s="8"/>
      <c r="F2437" s="8"/>
      <c r="G2437" s="11">
        <v>0.582</v>
      </c>
      <c r="H2437" s="11">
        <v>0.932</v>
      </c>
      <c r="I2437" s="9" t="s">
        <v>68</v>
      </c>
    </row>
    <row r="2438">
      <c r="A2438" s="12" t="s">
        <v>126</v>
      </c>
      <c r="B2438" s="5" t="s">
        <v>84</v>
      </c>
      <c r="C2438" s="8"/>
      <c r="D2438" s="8"/>
      <c r="E2438" s="8"/>
      <c r="F2438" s="8"/>
      <c r="G2438" s="8"/>
      <c r="H2438" s="8"/>
      <c r="I2438" s="9" t="s">
        <v>68</v>
      </c>
    </row>
    <row r="2439">
      <c r="A2439" s="12" t="s">
        <v>100</v>
      </c>
      <c r="B2439" s="5" t="s">
        <v>84</v>
      </c>
      <c r="C2439" s="8"/>
      <c r="D2439" s="8"/>
      <c r="E2439" s="8"/>
      <c r="F2439" s="8"/>
      <c r="G2439" s="11">
        <v>0.744</v>
      </c>
      <c r="H2439" s="11">
        <v>1.07</v>
      </c>
      <c r="I2439" s="9" t="s">
        <v>68</v>
      </c>
    </row>
    <row r="2440">
      <c r="A2440" s="12" t="s">
        <v>113</v>
      </c>
      <c r="B2440" s="5" t="s">
        <v>84</v>
      </c>
      <c r="C2440" s="8"/>
      <c r="D2440" s="8"/>
      <c r="E2440" s="8"/>
      <c r="F2440" s="8"/>
      <c r="G2440" s="11">
        <v>0.52</v>
      </c>
      <c r="H2440" s="11">
        <v>1.972</v>
      </c>
      <c r="I2440" s="9" t="s">
        <v>68</v>
      </c>
    </row>
    <row r="2441">
      <c r="A2441" s="12" t="s">
        <v>277</v>
      </c>
      <c r="B2441" s="5" t="s">
        <v>84</v>
      </c>
      <c r="C2441" s="11">
        <v>0.461</v>
      </c>
      <c r="D2441" s="11">
        <v>6.0</v>
      </c>
      <c r="E2441" s="8"/>
      <c r="F2441" s="11">
        <v>325.0</v>
      </c>
      <c r="G2441" s="11">
        <v>0.75</v>
      </c>
      <c r="H2441" s="11">
        <v>0.821</v>
      </c>
      <c r="I2441" s="9" t="s">
        <v>68</v>
      </c>
    </row>
    <row r="2442">
      <c r="A2442" s="12" t="s">
        <v>268</v>
      </c>
      <c r="B2442" s="5" t="s">
        <v>84</v>
      </c>
      <c r="C2442" s="11">
        <v>0.331</v>
      </c>
      <c r="D2442" s="11">
        <v>43.0</v>
      </c>
      <c r="E2442" s="8"/>
      <c r="F2442" s="11">
        <v>210.0</v>
      </c>
      <c r="G2442" s="11">
        <v>0.323</v>
      </c>
      <c r="H2442" s="11">
        <v>1.152</v>
      </c>
      <c r="I2442" s="9" t="s">
        <v>68</v>
      </c>
    </row>
    <row r="2443">
      <c r="A2443" s="12" t="s">
        <v>151</v>
      </c>
      <c r="B2443" s="5" t="s">
        <v>84</v>
      </c>
      <c r="C2443" s="8"/>
      <c r="D2443" s="8"/>
      <c r="E2443" s="8"/>
      <c r="F2443" s="8"/>
      <c r="G2443" s="11">
        <v>0.611</v>
      </c>
      <c r="H2443" s="11">
        <v>1.169</v>
      </c>
      <c r="I2443" s="9" t="s">
        <v>68</v>
      </c>
    </row>
    <row r="2444">
      <c r="A2444" s="12" t="s">
        <v>91</v>
      </c>
      <c r="B2444" s="5" t="s">
        <v>84</v>
      </c>
      <c r="C2444" s="11">
        <v>0.449</v>
      </c>
      <c r="D2444" s="11">
        <v>31.0</v>
      </c>
      <c r="E2444" s="8"/>
      <c r="F2444" s="11">
        <v>58.0</v>
      </c>
      <c r="G2444" s="11">
        <v>0.27</v>
      </c>
      <c r="H2444" s="11">
        <v>1.093</v>
      </c>
      <c r="I2444" s="9" t="s">
        <v>68</v>
      </c>
    </row>
    <row r="2445">
      <c r="A2445" s="12" t="s">
        <v>278</v>
      </c>
      <c r="B2445" s="5" t="s">
        <v>84</v>
      </c>
      <c r="C2445" s="11">
        <v>0.713</v>
      </c>
      <c r="D2445" s="11">
        <v>44.0</v>
      </c>
      <c r="E2445" s="8"/>
      <c r="F2445" s="11">
        <v>304.0</v>
      </c>
      <c r="G2445" s="11">
        <v>0.34</v>
      </c>
      <c r="H2445" s="11">
        <v>0.9</v>
      </c>
      <c r="I2445" s="9" t="s">
        <v>68</v>
      </c>
    </row>
    <row r="2446">
      <c r="A2446" s="12" t="s">
        <v>116</v>
      </c>
      <c r="B2446" s="5" t="s">
        <v>84</v>
      </c>
      <c r="C2446" s="11">
        <v>0.251</v>
      </c>
      <c r="D2446" s="11">
        <v>27.0</v>
      </c>
      <c r="E2446" s="8"/>
      <c r="F2446" s="11">
        <v>316.0</v>
      </c>
      <c r="G2446" s="11">
        <v>0.359</v>
      </c>
      <c r="H2446" s="11">
        <v>0.837</v>
      </c>
      <c r="I2446" s="9" t="s">
        <v>68</v>
      </c>
    </row>
    <row r="2447">
      <c r="A2447" s="12" t="s">
        <v>171</v>
      </c>
      <c r="B2447" s="5" t="s">
        <v>84</v>
      </c>
      <c r="C2447" s="11">
        <v>0.499</v>
      </c>
      <c r="D2447" s="11">
        <v>8.0</v>
      </c>
      <c r="E2447" s="8"/>
      <c r="F2447" s="11">
        <v>414.0</v>
      </c>
      <c r="G2447" s="11">
        <v>0.211</v>
      </c>
      <c r="H2447" s="11">
        <v>0.991</v>
      </c>
      <c r="I2447" s="9" t="s">
        <v>68</v>
      </c>
    </row>
    <row r="2448">
      <c r="A2448" s="12" t="s">
        <v>105</v>
      </c>
      <c r="B2448" s="5" t="s">
        <v>84</v>
      </c>
      <c r="C2448" s="11">
        <v>0.69</v>
      </c>
      <c r="D2448" s="11">
        <v>149.0</v>
      </c>
      <c r="E2448" s="8"/>
      <c r="F2448" s="11">
        <v>2600.0</v>
      </c>
      <c r="G2448" s="11">
        <v>0.309</v>
      </c>
      <c r="H2448" s="11">
        <v>0.637</v>
      </c>
      <c r="I2448" s="9" t="s">
        <v>68</v>
      </c>
    </row>
    <row r="2449">
      <c r="A2449" s="12" t="s">
        <v>253</v>
      </c>
      <c r="B2449" s="5" t="s">
        <v>84</v>
      </c>
      <c r="C2449" s="11">
        <v>0.34</v>
      </c>
      <c r="D2449" s="11">
        <v>20.0</v>
      </c>
      <c r="E2449" s="8"/>
      <c r="F2449" s="11">
        <v>71.0</v>
      </c>
      <c r="G2449" s="11">
        <v>0.279</v>
      </c>
      <c r="H2449" s="11">
        <v>0.864</v>
      </c>
      <c r="I2449" s="9" t="s">
        <v>68</v>
      </c>
    </row>
    <row r="2450">
      <c r="A2450" s="12" t="s">
        <v>85</v>
      </c>
      <c r="B2450" s="5" t="s">
        <v>84</v>
      </c>
      <c r="C2450" s="11">
        <v>1.076</v>
      </c>
      <c r="D2450" s="11">
        <v>30.0</v>
      </c>
      <c r="E2450" s="8"/>
      <c r="F2450" s="11">
        <v>453.0</v>
      </c>
      <c r="G2450" s="11">
        <v>0.259</v>
      </c>
      <c r="H2450" s="11">
        <v>1.027</v>
      </c>
      <c r="I2450" s="9" t="s">
        <v>68</v>
      </c>
    </row>
    <row r="2451">
      <c r="A2451" s="12" t="s">
        <v>254</v>
      </c>
      <c r="B2451" s="5" t="s">
        <v>84</v>
      </c>
      <c r="C2451" s="8"/>
      <c r="D2451" s="8"/>
      <c r="E2451" s="8"/>
      <c r="F2451" s="8"/>
      <c r="G2451" s="8"/>
      <c r="H2451" s="8"/>
      <c r="I2451" s="9" t="s">
        <v>68</v>
      </c>
    </row>
    <row r="2452">
      <c r="A2452" s="12" t="s">
        <v>122</v>
      </c>
      <c r="B2452" s="5" t="s">
        <v>84</v>
      </c>
      <c r="C2452" s="11">
        <v>0.552</v>
      </c>
      <c r="D2452" s="11">
        <v>77.0</v>
      </c>
      <c r="E2452" s="8"/>
      <c r="F2452" s="11">
        <v>402.0</v>
      </c>
      <c r="G2452" s="11">
        <v>0.284</v>
      </c>
      <c r="H2452" s="11">
        <v>0.338</v>
      </c>
      <c r="I2452" s="9" t="s">
        <v>68</v>
      </c>
    </row>
    <row r="2453">
      <c r="A2453" s="12" t="s">
        <v>255</v>
      </c>
      <c r="B2453" s="5" t="s">
        <v>84</v>
      </c>
      <c r="C2453" s="11">
        <v>0.45</v>
      </c>
      <c r="D2453" s="11">
        <v>12.0</v>
      </c>
      <c r="E2453" s="8"/>
      <c r="F2453" s="11">
        <v>76.0</v>
      </c>
      <c r="G2453" s="11">
        <v>0.16</v>
      </c>
      <c r="H2453" s="11">
        <v>1.013</v>
      </c>
      <c r="I2453" s="9" t="s">
        <v>68</v>
      </c>
    </row>
    <row r="2454">
      <c r="A2454" s="12" t="s">
        <v>83</v>
      </c>
      <c r="B2454" s="5" t="s">
        <v>84</v>
      </c>
      <c r="C2454" s="11">
        <v>0.462</v>
      </c>
      <c r="D2454" s="11">
        <v>21.0</v>
      </c>
      <c r="E2454" s="8"/>
      <c r="F2454" s="11">
        <v>184.0</v>
      </c>
      <c r="G2454" s="11">
        <v>0.34</v>
      </c>
      <c r="H2454" s="11">
        <v>1.332</v>
      </c>
      <c r="I2454" s="9" t="s">
        <v>68</v>
      </c>
    </row>
    <row r="2455">
      <c r="A2455" s="12" t="s">
        <v>257</v>
      </c>
      <c r="B2455" s="5" t="s">
        <v>84</v>
      </c>
      <c r="C2455" s="11">
        <v>0.279</v>
      </c>
      <c r="D2455" s="11">
        <v>694.0</v>
      </c>
      <c r="E2455" s="8"/>
      <c r="F2455" s="11">
        <v>199.0</v>
      </c>
      <c r="G2455" s="11">
        <v>0.141</v>
      </c>
      <c r="H2455" s="11">
        <v>0.744</v>
      </c>
      <c r="I2455" s="9" t="s">
        <v>68</v>
      </c>
    </row>
    <row r="2456">
      <c r="A2456" s="12" t="s">
        <v>152</v>
      </c>
      <c r="B2456" s="5" t="s">
        <v>84</v>
      </c>
      <c r="C2456" s="11">
        <v>0.453</v>
      </c>
      <c r="D2456" s="11">
        <v>20.0</v>
      </c>
      <c r="E2456" s="8"/>
      <c r="F2456" s="11">
        <v>140.0</v>
      </c>
      <c r="G2456" s="11">
        <v>0.223</v>
      </c>
      <c r="H2456" s="11">
        <v>0.496</v>
      </c>
      <c r="I2456" s="9" t="s">
        <v>68</v>
      </c>
    </row>
    <row r="2457">
      <c r="A2457" s="12" t="s">
        <v>135</v>
      </c>
      <c r="B2457" s="5" t="s">
        <v>84</v>
      </c>
      <c r="C2457" s="11">
        <v>0.347</v>
      </c>
      <c r="D2457" s="11">
        <v>22.0</v>
      </c>
      <c r="E2457" s="8"/>
      <c r="F2457" s="11">
        <v>320.0</v>
      </c>
      <c r="G2457" s="11">
        <v>0.061</v>
      </c>
      <c r="H2457" s="11">
        <v>1.002</v>
      </c>
      <c r="I2457" s="9" t="s">
        <v>68</v>
      </c>
    </row>
    <row r="2458">
      <c r="A2458" s="12" t="s">
        <v>118</v>
      </c>
      <c r="B2458" s="5" t="s">
        <v>84</v>
      </c>
      <c r="C2458" s="11">
        <v>0.842</v>
      </c>
      <c r="D2458" s="11">
        <v>42.0</v>
      </c>
      <c r="E2458" s="8"/>
      <c r="F2458" s="11">
        <v>268.0</v>
      </c>
      <c r="G2458" s="11">
        <v>0.218</v>
      </c>
      <c r="H2458" s="11">
        <v>0.763</v>
      </c>
      <c r="I2458" s="9" t="s">
        <v>68</v>
      </c>
    </row>
    <row r="2459">
      <c r="A2459" s="12" t="s">
        <v>224</v>
      </c>
      <c r="B2459" s="5" t="s">
        <v>84</v>
      </c>
      <c r="C2459" s="11">
        <v>0.383</v>
      </c>
      <c r="D2459" s="11">
        <v>72.0</v>
      </c>
      <c r="E2459" s="8"/>
      <c r="F2459" s="11">
        <v>424.0</v>
      </c>
      <c r="G2459" s="11">
        <v>0.252</v>
      </c>
      <c r="H2459" s="11">
        <v>0.544</v>
      </c>
      <c r="I2459" s="9" t="s">
        <v>68</v>
      </c>
    </row>
    <row r="2460">
      <c r="A2460" s="12" t="s">
        <v>199</v>
      </c>
      <c r="B2460" s="5" t="s">
        <v>84</v>
      </c>
      <c r="C2460" s="11">
        <v>0.523</v>
      </c>
      <c r="D2460" s="11">
        <v>25.0</v>
      </c>
      <c r="E2460" s="8"/>
      <c r="F2460" s="11">
        <v>485.0</v>
      </c>
      <c r="G2460" s="11">
        <v>0.208</v>
      </c>
      <c r="H2460" s="11">
        <v>0.586</v>
      </c>
      <c r="I2460" s="9" t="s">
        <v>68</v>
      </c>
    </row>
    <row r="2461">
      <c r="A2461" s="12" t="s">
        <v>221</v>
      </c>
      <c r="B2461" s="5" t="s">
        <v>84</v>
      </c>
      <c r="C2461" s="11">
        <v>0.447</v>
      </c>
      <c r="D2461" s="11">
        <v>18.0</v>
      </c>
      <c r="E2461" s="8"/>
      <c r="F2461" s="11">
        <v>482.0</v>
      </c>
      <c r="G2461" s="11">
        <v>0.223</v>
      </c>
      <c r="H2461" s="11">
        <v>0.862</v>
      </c>
      <c r="I2461" s="9" t="s">
        <v>68</v>
      </c>
    </row>
    <row r="2462">
      <c r="A2462" s="12" t="s">
        <v>157</v>
      </c>
      <c r="B2462" s="5" t="s">
        <v>84</v>
      </c>
      <c r="C2462" s="11">
        <v>0.39</v>
      </c>
      <c r="D2462" s="11">
        <v>37.0</v>
      </c>
      <c r="E2462" s="8"/>
      <c r="F2462" s="11">
        <v>288.0</v>
      </c>
      <c r="G2462" s="11">
        <v>0.138</v>
      </c>
      <c r="H2462" s="11">
        <v>0.699</v>
      </c>
      <c r="I2462" s="9" t="s">
        <v>68</v>
      </c>
    </row>
    <row r="2463">
      <c r="A2463" s="12" t="s">
        <v>281</v>
      </c>
      <c r="B2463" s="5" t="s">
        <v>84</v>
      </c>
      <c r="C2463" s="11">
        <v>0.536</v>
      </c>
      <c r="D2463" s="11">
        <v>141.0</v>
      </c>
      <c r="E2463" s="8"/>
      <c r="F2463" s="11">
        <v>864.0</v>
      </c>
      <c r="G2463" s="11">
        <v>0.208</v>
      </c>
      <c r="H2463" s="11">
        <v>0.861</v>
      </c>
      <c r="I2463" s="9" t="s">
        <v>68</v>
      </c>
    </row>
    <row r="2464">
      <c r="A2464" s="12" t="s">
        <v>132</v>
      </c>
      <c r="B2464" s="5" t="s">
        <v>84</v>
      </c>
      <c r="C2464" s="11">
        <v>0.395</v>
      </c>
      <c r="D2464" s="11">
        <v>22.0</v>
      </c>
      <c r="E2464" s="8"/>
      <c r="F2464" s="11">
        <v>286.0</v>
      </c>
      <c r="G2464" s="11">
        <v>0.177</v>
      </c>
      <c r="H2464" s="11">
        <v>0.573</v>
      </c>
      <c r="I2464" s="9" t="s">
        <v>68</v>
      </c>
    </row>
    <row r="2465">
      <c r="A2465" s="12" t="s">
        <v>133</v>
      </c>
      <c r="B2465" s="5" t="s">
        <v>84</v>
      </c>
      <c r="C2465" s="11">
        <v>0.353</v>
      </c>
      <c r="D2465" s="11">
        <v>65.0</v>
      </c>
      <c r="E2465" s="8"/>
      <c r="F2465" s="11">
        <v>600.0</v>
      </c>
      <c r="G2465" s="11">
        <v>0.108</v>
      </c>
      <c r="H2465" s="11">
        <v>0.697</v>
      </c>
      <c r="I2465" s="9" t="s">
        <v>68</v>
      </c>
    </row>
    <row r="2466">
      <c r="A2466" s="12" t="s">
        <v>223</v>
      </c>
      <c r="B2466" s="5" t="s">
        <v>84</v>
      </c>
      <c r="C2466" s="11">
        <v>0.351</v>
      </c>
      <c r="D2466" s="11">
        <v>35.0</v>
      </c>
      <c r="E2466" s="8"/>
      <c r="F2466" s="11">
        <v>328.0</v>
      </c>
      <c r="G2466" s="11">
        <v>0.112</v>
      </c>
      <c r="H2466" s="11">
        <v>0.766</v>
      </c>
      <c r="I2466" s="9" t="s">
        <v>68</v>
      </c>
    </row>
    <row r="2467">
      <c r="A2467" s="12" t="s">
        <v>213</v>
      </c>
      <c r="B2467" s="5" t="s">
        <v>84</v>
      </c>
      <c r="C2467" s="11">
        <v>0.635</v>
      </c>
      <c r="D2467" s="11">
        <v>39.0</v>
      </c>
      <c r="E2467" s="8"/>
      <c r="F2467" s="11">
        <v>240.0</v>
      </c>
      <c r="G2467" s="11">
        <v>0.039</v>
      </c>
      <c r="H2467" s="11">
        <v>0.447</v>
      </c>
      <c r="I2467" s="9" t="s">
        <v>68</v>
      </c>
    </row>
    <row r="2468">
      <c r="A2468" s="12" t="s">
        <v>98</v>
      </c>
      <c r="B2468" s="5" t="s">
        <v>84</v>
      </c>
      <c r="C2468" s="11">
        <v>0.348</v>
      </c>
      <c r="D2468" s="11">
        <v>44.0</v>
      </c>
      <c r="E2468" s="8"/>
      <c r="F2468" s="11">
        <v>147.0</v>
      </c>
      <c r="G2468" s="11">
        <v>0.109</v>
      </c>
      <c r="H2468" s="11">
        <v>0.413</v>
      </c>
      <c r="I2468" s="9" t="s">
        <v>68</v>
      </c>
    </row>
    <row r="2469">
      <c r="A2469" s="12" t="s">
        <v>158</v>
      </c>
      <c r="B2469" s="5" t="s">
        <v>84</v>
      </c>
      <c r="C2469" s="11">
        <v>0.404</v>
      </c>
      <c r="D2469" s="11">
        <v>202.0</v>
      </c>
      <c r="E2469" s="8"/>
      <c r="F2469" s="11">
        <v>184.0</v>
      </c>
      <c r="G2469" s="11">
        <v>0.072</v>
      </c>
      <c r="H2469" s="11">
        <v>0.263</v>
      </c>
      <c r="I2469" s="9" t="s">
        <v>68</v>
      </c>
    </row>
    <row r="2470">
      <c r="A2470" s="12" t="s">
        <v>102</v>
      </c>
      <c r="B2470" s="5" t="s">
        <v>84</v>
      </c>
      <c r="C2470" s="11">
        <v>0.8</v>
      </c>
      <c r="D2470" s="11">
        <v>50.0</v>
      </c>
      <c r="E2470" s="8"/>
      <c r="F2470" s="11">
        <v>1080.0</v>
      </c>
      <c r="G2470" s="11">
        <v>0.105</v>
      </c>
      <c r="H2470" s="11">
        <v>0.336</v>
      </c>
      <c r="I2470" s="9" t="s">
        <v>68</v>
      </c>
    </row>
    <row r="2471">
      <c r="A2471" s="12" t="s">
        <v>159</v>
      </c>
      <c r="B2471" s="5" t="s">
        <v>84</v>
      </c>
      <c r="C2471" s="11">
        <v>0.44</v>
      </c>
      <c r="D2471" s="11">
        <v>21.0</v>
      </c>
      <c r="E2471" s="8"/>
      <c r="F2471" s="11">
        <v>424.0</v>
      </c>
      <c r="G2471" s="11">
        <v>0.094</v>
      </c>
      <c r="H2471" s="11">
        <v>0.583</v>
      </c>
      <c r="I2471" s="9" t="s">
        <v>68</v>
      </c>
    </row>
    <row r="2472">
      <c r="A2472" s="12" t="s">
        <v>154</v>
      </c>
      <c r="B2472" s="5" t="s">
        <v>84</v>
      </c>
      <c r="C2472" s="11">
        <v>0.365</v>
      </c>
      <c r="D2472" s="11">
        <v>34.0</v>
      </c>
      <c r="E2472" s="8"/>
      <c r="F2472" s="11">
        <v>344.0</v>
      </c>
      <c r="G2472" s="11">
        <v>0.073</v>
      </c>
      <c r="H2472" s="11">
        <v>0.893</v>
      </c>
      <c r="I2472" s="9" t="s">
        <v>68</v>
      </c>
    </row>
    <row r="2473">
      <c r="A2473" s="12" t="s">
        <v>113</v>
      </c>
      <c r="B2473" s="5" t="s">
        <v>84</v>
      </c>
      <c r="C2473" s="8"/>
      <c r="D2473" s="8"/>
      <c r="E2473" s="8"/>
      <c r="F2473" s="8"/>
      <c r="G2473" s="11">
        <v>0.61</v>
      </c>
      <c r="H2473" s="11">
        <v>1.858</v>
      </c>
      <c r="I2473" s="9" t="s">
        <v>69</v>
      </c>
    </row>
    <row r="2474">
      <c r="A2474" s="12" t="s">
        <v>272</v>
      </c>
      <c r="B2474" s="5" t="s">
        <v>84</v>
      </c>
      <c r="C2474" s="8"/>
      <c r="D2474" s="8"/>
      <c r="E2474" s="8"/>
      <c r="F2474" s="8"/>
      <c r="G2474" s="8"/>
      <c r="H2474" s="8"/>
      <c r="I2474" s="9" t="s">
        <v>69</v>
      </c>
    </row>
    <row r="2475">
      <c r="A2475" s="12" t="s">
        <v>131</v>
      </c>
      <c r="B2475" s="5" t="s">
        <v>84</v>
      </c>
      <c r="C2475" s="11">
        <v>0.37</v>
      </c>
      <c r="D2475" s="11">
        <v>13.0</v>
      </c>
      <c r="E2475" s="8"/>
      <c r="F2475" s="11">
        <v>117.0</v>
      </c>
      <c r="G2475" s="11">
        <v>0.412</v>
      </c>
      <c r="H2475" s="11">
        <v>1.284</v>
      </c>
      <c r="I2475" s="9" t="s">
        <v>69</v>
      </c>
    </row>
    <row r="2476">
      <c r="A2476" s="12" t="s">
        <v>252</v>
      </c>
      <c r="B2476" s="5" t="s">
        <v>84</v>
      </c>
      <c r="C2476" s="11">
        <v>0.525</v>
      </c>
      <c r="D2476" s="11">
        <v>19.0</v>
      </c>
      <c r="E2476" s="8"/>
      <c r="F2476" s="11">
        <v>172.0</v>
      </c>
      <c r="G2476" s="11">
        <v>0.6</v>
      </c>
      <c r="H2476" s="11">
        <v>1.458</v>
      </c>
      <c r="I2476" s="9" t="s">
        <v>69</v>
      </c>
    </row>
    <row r="2477">
      <c r="A2477" s="12" t="s">
        <v>125</v>
      </c>
      <c r="B2477" s="5" t="s">
        <v>84</v>
      </c>
      <c r="C2477" s="8"/>
      <c r="D2477" s="8"/>
      <c r="E2477" s="8"/>
      <c r="F2477" s="8"/>
      <c r="G2477" s="11">
        <v>0.129</v>
      </c>
      <c r="H2477" s="11">
        <v>0.029</v>
      </c>
      <c r="I2477" s="9" t="s">
        <v>69</v>
      </c>
    </row>
    <row r="2478">
      <c r="A2478" s="12" t="s">
        <v>87</v>
      </c>
      <c r="B2478" s="5" t="s">
        <v>84</v>
      </c>
      <c r="C2478" s="8"/>
      <c r="D2478" s="8"/>
      <c r="E2478" s="8"/>
      <c r="F2478" s="8"/>
      <c r="G2478" s="11">
        <v>0.52</v>
      </c>
      <c r="H2478" s="11">
        <v>1.192</v>
      </c>
      <c r="I2478" s="9" t="s">
        <v>69</v>
      </c>
    </row>
    <row r="2479">
      <c r="A2479" s="12" t="s">
        <v>112</v>
      </c>
      <c r="B2479" s="5" t="s">
        <v>84</v>
      </c>
      <c r="C2479" s="11">
        <v>0.441</v>
      </c>
      <c r="D2479" s="11">
        <v>5.0</v>
      </c>
      <c r="E2479" s="8"/>
      <c r="F2479" s="11">
        <v>119.0</v>
      </c>
      <c r="G2479" s="11">
        <v>0.767</v>
      </c>
      <c r="H2479" s="11">
        <v>0.662</v>
      </c>
      <c r="I2479" s="9" t="s">
        <v>69</v>
      </c>
    </row>
    <row r="2480">
      <c r="A2480" s="12" t="s">
        <v>228</v>
      </c>
      <c r="B2480" s="5" t="s">
        <v>84</v>
      </c>
      <c r="C2480" s="11">
        <v>0.606</v>
      </c>
      <c r="D2480" s="11">
        <v>7.0</v>
      </c>
      <c r="E2480" s="8"/>
      <c r="F2480" s="11">
        <v>218.0</v>
      </c>
      <c r="G2480" s="11">
        <v>0.38</v>
      </c>
      <c r="H2480" s="11">
        <v>0.682</v>
      </c>
      <c r="I2480" s="9" t="s">
        <v>69</v>
      </c>
    </row>
    <row r="2481">
      <c r="A2481" s="12" t="s">
        <v>242</v>
      </c>
      <c r="B2481" s="5" t="s">
        <v>84</v>
      </c>
      <c r="C2481" s="8"/>
      <c r="D2481" s="8"/>
      <c r="E2481" s="8"/>
      <c r="F2481" s="8"/>
      <c r="G2481" s="8"/>
      <c r="H2481" s="8"/>
      <c r="I2481" s="9" t="s">
        <v>69</v>
      </c>
    </row>
    <row r="2482">
      <c r="A2482" s="12" t="s">
        <v>95</v>
      </c>
      <c r="B2482" s="5" t="s">
        <v>84</v>
      </c>
      <c r="C2482" s="8"/>
      <c r="D2482" s="8"/>
      <c r="E2482" s="8"/>
      <c r="F2482" s="8"/>
      <c r="G2482" s="11">
        <v>0.614</v>
      </c>
      <c r="H2482" s="11">
        <v>1.04</v>
      </c>
      <c r="I2482" s="9" t="s">
        <v>69</v>
      </c>
    </row>
    <row r="2483">
      <c r="A2483" s="12" t="s">
        <v>100</v>
      </c>
      <c r="B2483" s="5" t="s">
        <v>84</v>
      </c>
      <c r="C2483" s="8"/>
      <c r="D2483" s="8"/>
      <c r="E2483" s="8"/>
      <c r="F2483" s="8"/>
      <c r="G2483" s="11">
        <v>0.823</v>
      </c>
      <c r="H2483" s="11">
        <v>1.222</v>
      </c>
      <c r="I2483" s="9" t="s">
        <v>69</v>
      </c>
    </row>
    <row r="2484">
      <c r="A2484" s="12" t="s">
        <v>126</v>
      </c>
      <c r="B2484" s="5" t="s">
        <v>84</v>
      </c>
      <c r="C2484" s="8"/>
      <c r="D2484" s="8"/>
      <c r="E2484" s="8"/>
      <c r="F2484" s="8"/>
      <c r="G2484" s="8"/>
      <c r="H2484" s="8"/>
      <c r="I2484" s="9" t="s">
        <v>69</v>
      </c>
    </row>
    <row r="2485">
      <c r="A2485" s="12" t="s">
        <v>277</v>
      </c>
      <c r="B2485" s="5" t="s">
        <v>84</v>
      </c>
      <c r="C2485" s="11">
        <v>0.464</v>
      </c>
      <c r="D2485" s="11">
        <v>5.0</v>
      </c>
      <c r="E2485" s="8"/>
      <c r="F2485" s="11">
        <v>187.0</v>
      </c>
      <c r="G2485" s="11">
        <v>0.74</v>
      </c>
      <c r="H2485" s="11">
        <v>0.852</v>
      </c>
      <c r="I2485" s="9" t="s">
        <v>69</v>
      </c>
    </row>
    <row r="2486">
      <c r="A2486" s="12" t="s">
        <v>268</v>
      </c>
      <c r="B2486" s="5" t="s">
        <v>84</v>
      </c>
      <c r="C2486" s="11">
        <v>0.331</v>
      </c>
      <c r="D2486" s="11">
        <v>43.0</v>
      </c>
      <c r="E2486" s="8"/>
      <c r="F2486" s="11">
        <v>210.0</v>
      </c>
      <c r="G2486" s="11">
        <v>0.348</v>
      </c>
      <c r="H2486" s="11">
        <v>1.372</v>
      </c>
      <c r="I2486" s="9" t="s">
        <v>69</v>
      </c>
    </row>
    <row r="2487">
      <c r="A2487" s="12" t="s">
        <v>151</v>
      </c>
      <c r="B2487" s="5" t="s">
        <v>84</v>
      </c>
      <c r="C2487" s="8"/>
      <c r="D2487" s="8"/>
      <c r="E2487" s="8"/>
      <c r="F2487" s="8"/>
      <c r="G2487" s="11">
        <v>0.628</v>
      </c>
      <c r="H2487" s="11">
        <v>0.985</v>
      </c>
      <c r="I2487" s="9" t="s">
        <v>69</v>
      </c>
    </row>
    <row r="2488">
      <c r="A2488" s="12" t="s">
        <v>278</v>
      </c>
      <c r="B2488" s="5" t="s">
        <v>84</v>
      </c>
      <c r="C2488" s="11">
        <v>0.43</v>
      </c>
      <c r="D2488" s="11">
        <v>44.0</v>
      </c>
      <c r="E2488" s="8"/>
      <c r="F2488" s="11">
        <v>336.0</v>
      </c>
      <c r="G2488" s="11">
        <v>0.393</v>
      </c>
      <c r="H2488" s="11">
        <v>1.047</v>
      </c>
      <c r="I2488" s="9" t="s">
        <v>69</v>
      </c>
    </row>
    <row r="2489">
      <c r="A2489" s="12" t="s">
        <v>116</v>
      </c>
      <c r="B2489" s="5" t="s">
        <v>84</v>
      </c>
      <c r="C2489" s="11">
        <v>0.251</v>
      </c>
      <c r="D2489" s="11">
        <v>27.0</v>
      </c>
      <c r="E2489" s="8"/>
      <c r="F2489" s="11">
        <v>316.0</v>
      </c>
      <c r="G2489" s="11">
        <v>0.373</v>
      </c>
      <c r="H2489" s="11">
        <v>0.879</v>
      </c>
      <c r="I2489" s="9" t="s">
        <v>69</v>
      </c>
    </row>
    <row r="2490">
      <c r="A2490" s="12" t="s">
        <v>105</v>
      </c>
      <c r="B2490" s="5" t="s">
        <v>84</v>
      </c>
      <c r="C2490" s="11">
        <v>0.684</v>
      </c>
      <c r="D2490" s="11">
        <v>149.0</v>
      </c>
      <c r="E2490" s="8"/>
      <c r="F2490" s="11">
        <v>2600.0</v>
      </c>
      <c r="G2490" s="11">
        <v>0.338</v>
      </c>
      <c r="H2490" s="11">
        <v>0.786</v>
      </c>
      <c r="I2490" s="9" t="s">
        <v>69</v>
      </c>
    </row>
    <row r="2491">
      <c r="A2491" s="12" t="s">
        <v>171</v>
      </c>
      <c r="B2491" s="5" t="s">
        <v>84</v>
      </c>
      <c r="C2491" s="11">
        <v>0.499</v>
      </c>
      <c r="D2491" s="11">
        <v>8.0</v>
      </c>
      <c r="E2491" s="8"/>
      <c r="F2491" s="11">
        <v>414.0</v>
      </c>
      <c r="G2491" s="11">
        <v>0.236</v>
      </c>
      <c r="H2491" s="11">
        <v>1.002</v>
      </c>
      <c r="I2491" s="9" t="s">
        <v>69</v>
      </c>
    </row>
    <row r="2492">
      <c r="A2492" s="12" t="s">
        <v>91</v>
      </c>
      <c r="B2492" s="5" t="s">
        <v>84</v>
      </c>
      <c r="C2492" s="11">
        <v>0.449</v>
      </c>
      <c r="D2492" s="11">
        <v>31.0</v>
      </c>
      <c r="E2492" s="8"/>
      <c r="F2492" s="11">
        <v>58.0</v>
      </c>
      <c r="G2492" s="11">
        <v>0.315</v>
      </c>
      <c r="H2492" s="11">
        <v>1.028</v>
      </c>
      <c r="I2492" s="9" t="s">
        <v>69</v>
      </c>
    </row>
    <row r="2493">
      <c r="A2493" s="12" t="s">
        <v>122</v>
      </c>
      <c r="B2493" s="5" t="s">
        <v>84</v>
      </c>
      <c r="C2493" s="11">
        <v>0.552</v>
      </c>
      <c r="D2493" s="11">
        <v>60.0</v>
      </c>
      <c r="E2493" s="8"/>
      <c r="F2493" s="11">
        <v>282.0</v>
      </c>
      <c r="G2493" s="11">
        <v>0.323</v>
      </c>
      <c r="H2493" s="11">
        <v>0.416</v>
      </c>
      <c r="I2493" s="9" t="s">
        <v>69</v>
      </c>
    </row>
    <row r="2494">
      <c r="A2494" s="12" t="s">
        <v>253</v>
      </c>
      <c r="B2494" s="5" t="s">
        <v>84</v>
      </c>
      <c r="C2494" s="11">
        <v>0.34</v>
      </c>
      <c r="D2494" s="11">
        <v>20.0</v>
      </c>
      <c r="E2494" s="8"/>
      <c r="F2494" s="11">
        <v>61.0</v>
      </c>
      <c r="G2494" s="11">
        <v>0.32</v>
      </c>
      <c r="H2494" s="11">
        <v>1.013</v>
      </c>
      <c r="I2494" s="9" t="s">
        <v>69</v>
      </c>
    </row>
    <row r="2495">
      <c r="A2495" s="12" t="s">
        <v>85</v>
      </c>
      <c r="B2495" s="5" t="s">
        <v>84</v>
      </c>
      <c r="C2495" s="11">
        <v>1.076</v>
      </c>
      <c r="D2495" s="11">
        <v>31.0</v>
      </c>
      <c r="E2495" s="8"/>
      <c r="F2495" s="11">
        <v>453.0</v>
      </c>
      <c r="G2495" s="11">
        <v>0.281</v>
      </c>
      <c r="H2495" s="11">
        <v>1.172</v>
      </c>
      <c r="I2495" s="9" t="s">
        <v>69</v>
      </c>
    </row>
    <row r="2496">
      <c r="A2496" s="12" t="s">
        <v>254</v>
      </c>
      <c r="B2496" s="5" t="s">
        <v>84</v>
      </c>
      <c r="C2496" s="8"/>
      <c r="D2496" s="8"/>
      <c r="E2496" s="8"/>
      <c r="F2496" s="8"/>
      <c r="G2496" s="8"/>
      <c r="H2496" s="8"/>
      <c r="I2496" s="9" t="s">
        <v>69</v>
      </c>
    </row>
    <row r="2497">
      <c r="A2497" s="12" t="s">
        <v>255</v>
      </c>
      <c r="B2497" s="5" t="s">
        <v>84</v>
      </c>
      <c r="C2497" s="11">
        <v>0.426</v>
      </c>
      <c r="D2497" s="11">
        <v>12.0</v>
      </c>
      <c r="E2497" s="8"/>
      <c r="F2497" s="11">
        <v>117.0</v>
      </c>
      <c r="G2497" s="11">
        <v>0.21</v>
      </c>
      <c r="H2497" s="11">
        <v>1.192</v>
      </c>
      <c r="I2497" s="9" t="s">
        <v>69</v>
      </c>
    </row>
    <row r="2498">
      <c r="A2498" s="12" t="s">
        <v>83</v>
      </c>
      <c r="B2498" s="5" t="s">
        <v>84</v>
      </c>
      <c r="C2498" s="11">
        <v>0.462</v>
      </c>
      <c r="D2498" s="11">
        <v>21.0</v>
      </c>
      <c r="E2498" s="8"/>
      <c r="F2498" s="11">
        <v>207.0</v>
      </c>
      <c r="G2498" s="11">
        <v>0.38</v>
      </c>
      <c r="H2498" s="11">
        <v>1.6</v>
      </c>
      <c r="I2498" s="9" t="s">
        <v>69</v>
      </c>
    </row>
    <row r="2499">
      <c r="A2499" s="12" t="s">
        <v>257</v>
      </c>
      <c r="B2499" s="5" t="s">
        <v>84</v>
      </c>
      <c r="C2499" s="11">
        <v>0.279</v>
      </c>
      <c r="D2499" s="11">
        <v>694.0</v>
      </c>
      <c r="E2499" s="8"/>
      <c r="F2499" s="11">
        <v>199.0</v>
      </c>
      <c r="G2499" s="11">
        <v>0.211</v>
      </c>
      <c r="H2499" s="11">
        <v>1.275</v>
      </c>
      <c r="I2499" s="9" t="s">
        <v>69</v>
      </c>
    </row>
    <row r="2500">
      <c r="A2500" s="12" t="s">
        <v>152</v>
      </c>
      <c r="B2500" s="5" t="s">
        <v>84</v>
      </c>
      <c r="C2500" s="11">
        <v>0.453</v>
      </c>
      <c r="D2500" s="11">
        <v>20.0</v>
      </c>
      <c r="E2500" s="8"/>
      <c r="F2500" s="11">
        <v>140.0</v>
      </c>
      <c r="G2500" s="11">
        <v>0.232</v>
      </c>
      <c r="H2500" s="11">
        <v>0.578</v>
      </c>
      <c r="I2500" s="9" t="s">
        <v>69</v>
      </c>
    </row>
    <row r="2501">
      <c r="A2501" s="12" t="s">
        <v>118</v>
      </c>
      <c r="B2501" s="5" t="s">
        <v>84</v>
      </c>
      <c r="C2501" s="11">
        <v>0.801</v>
      </c>
      <c r="D2501" s="11">
        <v>36.0</v>
      </c>
      <c r="E2501" s="8"/>
      <c r="F2501" s="11">
        <v>256.0</v>
      </c>
      <c r="G2501" s="11">
        <v>0.256</v>
      </c>
      <c r="H2501" s="11">
        <v>0.916</v>
      </c>
      <c r="I2501" s="9" t="s">
        <v>69</v>
      </c>
    </row>
    <row r="2502">
      <c r="A2502" s="12" t="s">
        <v>199</v>
      </c>
      <c r="B2502" s="5" t="s">
        <v>84</v>
      </c>
      <c r="C2502" s="11">
        <v>0.515</v>
      </c>
      <c r="D2502" s="11">
        <v>26.0</v>
      </c>
      <c r="E2502" s="8"/>
      <c r="F2502" s="11">
        <v>549.0</v>
      </c>
      <c r="G2502" s="11">
        <v>0.217</v>
      </c>
      <c r="H2502" s="11">
        <v>0.655</v>
      </c>
      <c r="I2502" s="9" t="s">
        <v>69</v>
      </c>
    </row>
    <row r="2503">
      <c r="A2503" s="12" t="s">
        <v>135</v>
      </c>
      <c r="B2503" s="5" t="s">
        <v>84</v>
      </c>
      <c r="C2503" s="11">
        <v>0.347</v>
      </c>
      <c r="D2503" s="11">
        <v>17.0</v>
      </c>
      <c r="E2503" s="8"/>
      <c r="F2503" s="11">
        <v>320.0</v>
      </c>
      <c r="G2503" s="11">
        <v>0.101</v>
      </c>
      <c r="H2503" s="11">
        <v>1.13</v>
      </c>
      <c r="I2503" s="9" t="s">
        <v>69</v>
      </c>
    </row>
    <row r="2504">
      <c r="A2504" s="12" t="s">
        <v>224</v>
      </c>
      <c r="B2504" s="5" t="s">
        <v>84</v>
      </c>
      <c r="C2504" s="11">
        <v>0.381</v>
      </c>
      <c r="D2504" s="11">
        <v>65.0</v>
      </c>
      <c r="E2504" s="8"/>
      <c r="F2504" s="11">
        <v>424.0</v>
      </c>
      <c r="G2504" s="11">
        <v>0.306</v>
      </c>
      <c r="H2504" s="11">
        <v>0.732</v>
      </c>
      <c r="I2504" s="9" t="s">
        <v>69</v>
      </c>
    </row>
    <row r="2505">
      <c r="A2505" s="12" t="s">
        <v>281</v>
      </c>
      <c r="B2505" s="5" t="s">
        <v>84</v>
      </c>
      <c r="C2505" s="11">
        <v>0.556</v>
      </c>
      <c r="D2505" s="11">
        <v>141.0</v>
      </c>
      <c r="E2505" s="8"/>
      <c r="F2505" s="11">
        <v>864.0</v>
      </c>
      <c r="G2505" s="11">
        <v>0.259</v>
      </c>
      <c r="H2505" s="11">
        <v>0.975</v>
      </c>
      <c r="I2505" s="9" t="s">
        <v>69</v>
      </c>
    </row>
    <row r="2506">
      <c r="A2506" s="12" t="s">
        <v>221</v>
      </c>
      <c r="B2506" s="5" t="s">
        <v>84</v>
      </c>
      <c r="C2506" s="11">
        <v>0.438</v>
      </c>
      <c r="D2506" s="11">
        <v>12.0</v>
      </c>
      <c r="E2506" s="8"/>
      <c r="F2506" s="11">
        <v>482.0</v>
      </c>
      <c r="G2506" s="11">
        <v>0.338</v>
      </c>
      <c r="H2506" s="11">
        <v>1.102</v>
      </c>
      <c r="I2506" s="9" t="s">
        <v>69</v>
      </c>
    </row>
    <row r="2507">
      <c r="A2507" s="12" t="s">
        <v>157</v>
      </c>
      <c r="B2507" s="5" t="s">
        <v>84</v>
      </c>
      <c r="C2507" s="11">
        <v>0.39</v>
      </c>
      <c r="D2507" s="11">
        <v>39.0</v>
      </c>
      <c r="E2507" s="8"/>
      <c r="F2507" s="11">
        <v>288.0</v>
      </c>
      <c r="G2507" s="11">
        <v>0.182</v>
      </c>
      <c r="H2507" s="11">
        <v>0.577</v>
      </c>
      <c r="I2507" s="9" t="s">
        <v>69</v>
      </c>
    </row>
    <row r="2508">
      <c r="A2508" s="12" t="s">
        <v>133</v>
      </c>
      <c r="B2508" s="5" t="s">
        <v>84</v>
      </c>
      <c r="C2508" s="11">
        <v>0.349</v>
      </c>
      <c r="D2508" s="11">
        <v>65.0</v>
      </c>
      <c r="E2508" s="8"/>
      <c r="F2508" s="11">
        <v>600.0</v>
      </c>
      <c r="G2508" s="11">
        <v>0.188</v>
      </c>
      <c r="H2508" s="11">
        <v>0.805</v>
      </c>
      <c r="I2508" s="9" t="s">
        <v>69</v>
      </c>
    </row>
    <row r="2509">
      <c r="A2509" s="12" t="s">
        <v>132</v>
      </c>
      <c r="B2509" s="5" t="s">
        <v>84</v>
      </c>
      <c r="C2509" s="11">
        <v>0.352</v>
      </c>
      <c r="D2509" s="11">
        <v>19.0</v>
      </c>
      <c r="E2509" s="8"/>
      <c r="F2509" s="11">
        <v>480.0</v>
      </c>
      <c r="G2509" s="11">
        <v>0.208</v>
      </c>
      <c r="H2509" s="11">
        <v>0.74</v>
      </c>
      <c r="I2509" s="9" t="s">
        <v>69</v>
      </c>
    </row>
    <row r="2510">
      <c r="A2510" s="12" t="s">
        <v>223</v>
      </c>
      <c r="B2510" s="5" t="s">
        <v>84</v>
      </c>
      <c r="C2510" s="11">
        <v>0.35</v>
      </c>
      <c r="D2510" s="11">
        <v>35.0</v>
      </c>
      <c r="E2510" s="8"/>
      <c r="F2510" s="11">
        <v>328.0</v>
      </c>
      <c r="G2510" s="11">
        <v>0.143</v>
      </c>
      <c r="H2510" s="11">
        <v>0.929</v>
      </c>
      <c r="I2510" s="9" t="s">
        <v>69</v>
      </c>
    </row>
    <row r="2511">
      <c r="A2511" s="12" t="s">
        <v>213</v>
      </c>
      <c r="B2511" s="5" t="s">
        <v>84</v>
      </c>
      <c r="C2511" s="11">
        <v>0.632</v>
      </c>
      <c r="D2511" s="11">
        <v>39.0</v>
      </c>
      <c r="E2511" s="8"/>
      <c r="F2511" s="11">
        <v>240.0</v>
      </c>
      <c r="G2511" s="11">
        <v>0.053</v>
      </c>
      <c r="H2511" s="11">
        <v>0.548</v>
      </c>
      <c r="I2511" s="9" t="s">
        <v>69</v>
      </c>
    </row>
    <row r="2512">
      <c r="A2512" s="12" t="s">
        <v>98</v>
      </c>
      <c r="B2512" s="5" t="s">
        <v>84</v>
      </c>
      <c r="C2512" s="11">
        <v>0.332</v>
      </c>
      <c r="D2512" s="11">
        <v>44.0</v>
      </c>
      <c r="E2512" s="8"/>
      <c r="F2512" s="11">
        <v>147.0</v>
      </c>
      <c r="G2512" s="11">
        <v>0.113</v>
      </c>
      <c r="H2512" s="11">
        <v>0.545</v>
      </c>
      <c r="I2512" s="9" t="s">
        <v>69</v>
      </c>
    </row>
    <row r="2513">
      <c r="A2513" s="12" t="s">
        <v>158</v>
      </c>
      <c r="B2513" s="5" t="s">
        <v>84</v>
      </c>
      <c r="C2513" s="11">
        <v>0.404</v>
      </c>
      <c r="D2513" s="11">
        <v>195.0</v>
      </c>
      <c r="E2513" s="8"/>
      <c r="F2513" s="11">
        <v>184.0</v>
      </c>
      <c r="G2513" s="11">
        <v>0.076</v>
      </c>
      <c r="H2513" s="11">
        <v>0.332</v>
      </c>
      <c r="I2513" s="9" t="s">
        <v>69</v>
      </c>
    </row>
    <row r="2514">
      <c r="A2514" s="12" t="s">
        <v>102</v>
      </c>
      <c r="B2514" s="5" t="s">
        <v>84</v>
      </c>
      <c r="C2514" s="11">
        <v>0.8</v>
      </c>
      <c r="D2514" s="11">
        <v>50.0</v>
      </c>
      <c r="E2514" s="8"/>
      <c r="F2514" s="11">
        <v>1080.0</v>
      </c>
      <c r="G2514" s="11">
        <v>0.125</v>
      </c>
      <c r="H2514" s="11">
        <v>0.512</v>
      </c>
      <c r="I2514" s="9" t="s">
        <v>69</v>
      </c>
    </row>
    <row r="2515">
      <c r="A2515" s="12" t="s">
        <v>159</v>
      </c>
      <c r="B2515" s="5" t="s">
        <v>84</v>
      </c>
      <c r="C2515" s="11">
        <v>0.441</v>
      </c>
      <c r="D2515" s="11">
        <v>20.0</v>
      </c>
      <c r="E2515" s="8"/>
      <c r="F2515" s="11">
        <v>224.0</v>
      </c>
      <c r="G2515" s="11">
        <v>0.096</v>
      </c>
      <c r="H2515" s="11">
        <v>0.848</v>
      </c>
      <c r="I2515" s="9" t="s">
        <v>69</v>
      </c>
    </row>
    <row r="2516">
      <c r="A2516" s="12" t="s">
        <v>154</v>
      </c>
      <c r="B2516" s="5" t="s">
        <v>84</v>
      </c>
      <c r="C2516" s="11">
        <v>0.409</v>
      </c>
      <c r="D2516" s="11">
        <v>34.0</v>
      </c>
      <c r="E2516" s="8"/>
      <c r="F2516" s="11">
        <v>344.0</v>
      </c>
      <c r="G2516" s="11">
        <v>0.083</v>
      </c>
      <c r="H2516" s="11">
        <v>1.095</v>
      </c>
      <c r="I2516" s="9" t="s">
        <v>69</v>
      </c>
    </row>
    <row r="2517">
      <c r="A2517" s="12" t="s">
        <v>272</v>
      </c>
      <c r="B2517" s="5" t="s">
        <v>84</v>
      </c>
      <c r="C2517" s="8"/>
      <c r="D2517" s="8"/>
      <c r="E2517" s="8"/>
      <c r="F2517" s="8"/>
      <c r="G2517" s="8"/>
      <c r="H2517" s="8"/>
      <c r="I2517" s="9" t="s">
        <v>70</v>
      </c>
    </row>
    <row r="2518">
      <c r="A2518" s="12" t="s">
        <v>131</v>
      </c>
      <c r="B2518" s="5" t="s">
        <v>84</v>
      </c>
      <c r="C2518" s="11">
        <v>0.37</v>
      </c>
      <c r="D2518" s="11">
        <v>13.0</v>
      </c>
      <c r="E2518" s="8"/>
      <c r="F2518" s="11">
        <v>117.0</v>
      </c>
      <c r="G2518" s="11">
        <v>0.42</v>
      </c>
      <c r="H2518" s="11">
        <v>1.387</v>
      </c>
      <c r="I2518" s="9" t="s">
        <v>70</v>
      </c>
    </row>
    <row r="2519">
      <c r="A2519" s="12" t="s">
        <v>252</v>
      </c>
      <c r="B2519" s="5" t="s">
        <v>84</v>
      </c>
      <c r="C2519" s="11">
        <v>0.525</v>
      </c>
      <c r="D2519" s="11">
        <v>19.0</v>
      </c>
      <c r="E2519" s="8"/>
      <c r="F2519" s="11">
        <v>155.0</v>
      </c>
      <c r="G2519" s="11">
        <v>0.69</v>
      </c>
      <c r="H2519" s="11">
        <v>1.459</v>
      </c>
      <c r="I2519" s="9" t="s">
        <v>70</v>
      </c>
    </row>
    <row r="2520">
      <c r="A2520" s="12" t="s">
        <v>242</v>
      </c>
      <c r="B2520" s="5" t="s">
        <v>84</v>
      </c>
      <c r="C2520" s="8"/>
      <c r="D2520" s="8"/>
      <c r="E2520" s="8"/>
      <c r="F2520" s="8"/>
      <c r="G2520" s="8"/>
      <c r="H2520" s="8"/>
      <c r="I2520" s="9" t="s">
        <v>70</v>
      </c>
    </row>
    <row r="2521">
      <c r="A2521" s="12" t="s">
        <v>125</v>
      </c>
      <c r="B2521" s="5" t="s">
        <v>84</v>
      </c>
      <c r="C2521" s="8"/>
      <c r="D2521" s="8"/>
      <c r="E2521" s="8"/>
      <c r="F2521" s="8"/>
      <c r="G2521" s="11">
        <v>0.143</v>
      </c>
      <c r="H2521" s="11">
        <v>0.055</v>
      </c>
      <c r="I2521" s="9" t="s">
        <v>70</v>
      </c>
    </row>
    <row r="2522">
      <c r="A2522" s="12" t="s">
        <v>87</v>
      </c>
      <c r="B2522" s="5" t="s">
        <v>84</v>
      </c>
      <c r="C2522" s="8"/>
      <c r="D2522" s="8"/>
      <c r="E2522" s="8"/>
      <c r="F2522" s="8"/>
      <c r="G2522" s="11">
        <v>0.58</v>
      </c>
      <c r="H2522" s="11">
        <v>1.262</v>
      </c>
      <c r="I2522" s="9" t="s">
        <v>70</v>
      </c>
    </row>
    <row r="2523">
      <c r="A2523" s="12" t="s">
        <v>112</v>
      </c>
      <c r="B2523" s="5" t="s">
        <v>84</v>
      </c>
      <c r="C2523" s="11">
        <v>0.423</v>
      </c>
      <c r="D2523" s="11">
        <v>5.0</v>
      </c>
      <c r="E2523" s="8"/>
      <c r="F2523" s="11">
        <v>119.0</v>
      </c>
      <c r="G2523" s="11">
        <v>0.803</v>
      </c>
      <c r="H2523" s="11">
        <v>0.705</v>
      </c>
      <c r="I2523" s="9" t="s">
        <v>70</v>
      </c>
    </row>
    <row r="2524">
      <c r="A2524" s="12" t="s">
        <v>228</v>
      </c>
      <c r="B2524" s="5" t="s">
        <v>84</v>
      </c>
      <c r="C2524" s="11">
        <v>0.606</v>
      </c>
      <c r="D2524" s="11">
        <v>7.0</v>
      </c>
      <c r="E2524" s="8"/>
      <c r="F2524" s="11">
        <v>218.0</v>
      </c>
      <c r="G2524" s="11">
        <v>0.415</v>
      </c>
      <c r="H2524" s="11">
        <v>0.729</v>
      </c>
      <c r="I2524" s="9" t="s">
        <v>70</v>
      </c>
    </row>
    <row r="2525">
      <c r="A2525" s="12" t="s">
        <v>100</v>
      </c>
      <c r="B2525" s="5" t="s">
        <v>84</v>
      </c>
      <c r="C2525" s="8"/>
      <c r="D2525" s="8"/>
      <c r="E2525" s="8"/>
      <c r="F2525" s="8"/>
      <c r="G2525" s="11">
        <v>0.833</v>
      </c>
      <c r="H2525" s="11">
        <v>1.311</v>
      </c>
      <c r="I2525" s="9" t="s">
        <v>70</v>
      </c>
    </row>
    <row r="2526">
      <c r="A2526" s="12" t="s">
        <v>95</v>
      </c>
      <c r="B2526" s="5" t="s">
        <v>84</v>
      </c>
      <c r="C2526" s="8"/>
      <c r="D2526" s="8"/>
      <c r="E2526" s="8"/>
      <c r="F2526" s="8"/>
      <c r="G2526" s="11">
        <v>0.647</v>
      </c>
      <c r="H2526" s="11">
        <v>1.208</v>
      </c>
      <c r="I2526" s="9" t="s">
        <v>70</v>
      </c>
    </row>
    <row r="2527">
      <c r="A2527" s="12" t="s">
        <v>126</v>
      </c>
      <c r="B2527" s="5" t="s">
        <v>84</v>
      </c>
      <c r="C2527" s="8"/>
      <c r="D2527" s="8"/>
      <c r="E2527" s="8"/>
      <c r="F2527" s="8"/>
      <c r="G2527" s="8"/>
      <c r="H2527" s="11">
        <v>1.402</v>
      </c>
      <c r="I2527" s="9" t="s">
        <v>70</v>
      </c>
    </row>
    <row r="2528">
      <c r="A2528" s="12" t="s">
        <v>277</v>
      </c>
      <c r="B2528" s="5" t="s">
        <v>84</v>
      </c>
      <c r="C2528" s="11">
        <v>0.461</v>
      </c>
      <c r="D2528" s="11">
        <v>5.0</v>
      </c>
      <c r="E2528" s="8"/>
      <c r="F2528" s="11">
        <v>187.0</v>
      </c>
      <c r="G2528" s="11">
        <v>0.71</v>
      </c>
      <c r="H2528" s="11">
        <v>0.886</v>
      </c>
      <c r="I2528" s="9" t="s">
        <v>70</v>
      </c>
    </row>
    <row r="2529">
      <c r="A2529" s="12" t="s">
        <v>116</v>
      </c>
      <c r="B2529" s="5" t="s">
        <v>84</v>
      </c>
      <c r="C2529" s="11">
        <v>0.248</v>
      </c>
      <c r="D2529" s="11">
        <v>27.0</v>
      </c>
      <c r="E2529" s="8"/>
      <c r="F2529" s="11">
        <v>316.0</v>
      </c>
      <c r="G2529" s="11">
        <v>0.416</v>
      </c>
      <c r="H2529" s="11">
        <v>0.968</v>
      </c>
      <c r="I2529" s="9" t="s">
        <v>70</v>
      </c>
    </row>
    <row r="2530">
      <c r="A2530" s="12" t="s">
        <v>268</v>
      </c>
      <c r="B2530" s="5" t="s">
        <v>84</v>
      </c>
      <c r="C2530" s="11">
        <v>0.331</v>
      </c>
      <c r="D2530" s="11">
        <v>43.0</v>
      </c>
      <c r="E2530" s="8"/>
      <c r="F2530" s="11">
        <v>210.0</v>
      </c>
      <c r="G2530" s="11">
        <v>0.443</v>
      </c>
      <c r="H2530" s="11">
        <v>1.396</v>
      </c>
      <c r="I2530" s="9" t="s">
        <v>70</v>
      </c>
    </row>
    <row r="2531">
      <c r="A2531" s="12" t="s">
        <v>278</v>
      </c>
      <c r="B2531" s="5" t="s">
        <v>84</v>
      </c>
      <c r="C2531" s="11">
        <v>0.419</v>
      </c>
      <c r="D2531" s="11">
        <v>65.0</v>
      </c>
      <c r="E2531" s="8"/>
      <c r="F2531" s="11">
        <v>336.0</v>
      </c>
      <c r="G2531" s="11">
        <v>0.418</v>
      </c>
      <c r="H2531" s="11">
        <v>1.224</v>
      </c>
      <c r="I2531" s="9" t="s">
        <v>70</v>
      </c>
    </row>
    <row r="2532">
      <c r="A2532" s="12" t="s">
        <v>113</v>
      </c>
      <c r="B2532" s="5" t="s">
        <v>84</v>
      </c>
      <c r="C2532" s="8"/>
      <c r="D2532" s="8"/>
      <c r="E2532" s="8"/>
      <c r="F2532" s="8"/>
      <c r="G2532" s="11">
        <v>0.645</v>
      </c>
      <c r="H2532" s="11">
        <v>2.003</v>
      </c>
      <c r="I2532" s="9" t="s">
        <v>70</v>
      </c>
    </row>
    <row r="2533">
      <c r="A2533" s="12" t="s">
        <v>151</v>
      </c>
      <c r="B2533" s="5" t="s">
        <v>84</v>
      </c>
      <c r="C2533" s="8"/>
      <c r="D2533" s="8"/>
      <c r="E2533" s="8"/>
      <c r="F2533" s="8"/>
      <c r="G2533" s="11">
        <v>0.628</v>
      </c>
      <c r="H2533" s="11">
        <v>0.945</v>
      </c>
      <c r="I2533" s="9" t="s">
        <v>70</v>
      </c>
    </row>
    <row r="2534">
      <c r="A2534" s="12" t="s">
        <v>105</v>
      </c>
      <c r="B2534" s="5" t="s">
        <v>84</v>
      </c>
      <c r="C2534" s="11">
        <v>0.656</v>
      </c>
      <c r="D2534" s="11">
        <v>119.0</v>
      </c>
      <c r="E2534" s="8"/>
      <c r="F2534" s="11">
        <v>2600.0</v>
      </c>
      <c r="G2534" s="11">
        <v>0.392</v>
      </c>
      <c r="H2534" s="11">
        <v>0.875</v>
      </c>
      <c r="I2534" s="9" t="s">
        <v>70</v>
      </c>
    </row>
    <row r="2535">
      <c r="A2535" s="12" t="s">
        <v>171</v>
      </c>
      <c r="B2535" s="5" t="s">
        <v>84</v>
      </c>
      <c r="C2535" s="11">
        <v>0.499</v>
      </c>
      <c r="D2535" s="11">
        <v>8.0</v>
      </c>
      <c r="E2535" s="8"/>
      <c r="F2535" s="11">
        <v>414.0</v>
      </c>
      <c r="G2535" s="11">
        <v>0.243</v>
      </c>
      <c r="H2535" s="11">
        <v>1.083</v>
      </c>
      <c r="I2535" s="9" t="s">
        <v>70</v>
      </c>
    </row>
    <row r="2536">
      <c r="A2536" s="12" t="s">
        <v>91</v>
      </c>
      <c r="B2536" s="5" t="s">
        <v>84</v>
      </c>
      <c r="C2536" s="11">
        <v>0.449</v>
      </c>
      <c r="D2536" s="11">
        <v>31.0</v>
      </c>
      <c r="E2536" s="8"/>
      <c r="F2536" s="11">
        <v>58.0</v>
      </c>
      <c r="G2536" s="11">
        <v>0.339</v>
      </c>
      <c r="H2536" s="11">
        <v>1.012</v>
      </c>
      <c r="I2536" s="9" t="s">
        <v>70</v>
      </c>
    </row>
    <row r="2537">
      <c r="A2537" s="12" t="s">
        <v>122</v>
      </c>
      <c r="B2537" s="5" t="s">
        <v>84</v>
      </c>
      <c r="C2537" s="11">
        <v>0.552</v>
      </c>
      <c r="D2537" s="11">
        <v>60.0</v>
      </c>
      <c r="E2537" s="8"/>
      <c r="F2537" s="11">
        <v>282.0</v>
      </c>
      <c r="G2537" s="11">
        <v>0.343</v>
      </c>
      <c r="H2537" s="11">
        <v>0.424</v>
      </c>
      <c r="I2537" s="9" t="s">
        <v>70</v>
      </c>
    </row>
    <row r="2538">
      <c r="A2538" s="12" t="s">
        <v>255</v>
      </c>
      <c r="B2538" s="5" t="s">
        <v>84</v>
      </c>
      <c r="C2538" s="11">
        <v>0.41</v>
      </c>
      <c r="D2538" s="11">
        <v>11.0</v>
      </c>
      <c r="E2538" s="8"/>
      <c r="F2538" s="11">
        <v>111.0</v>
      </c>
      <c r="G2538" s="11">
        <v>0.31</v>
      </c>
      <c r="H2538" s="11">
        <v>1.109</v>
      </c>
      <c r="I2538" s="9" t="s">
        <v>70</v>
      </c>
    </row>
    <row r="2539">
      <c r="A2539" s="12" t="s">
        <v>253</v>
      </c>
      <c r="B2539" s="5" t="s">
        <v>84</v>
      </c>
      <c r="C2539" s="11">
        <v>0.344</v>
      </c>
      <c r="D2539" s="11">
        <v>14.0</v>
      </c>
      <c r="E2539" s="8"/>
      <c r="F2539" s="11">
        <v>92.0</v>
      </c>
      <c r="G2539" s="11">
        <v>0.36</v>
      </c>
      <c r="H2539" s="11">
        <v>1.083</v>
      </c>
      <c r="I2539" s="9" t="s">
        <v>70</v>
      </c>
    </row>
    <row r="2540">
      <c r="A2540" s="12" t="s">
        <v>85</v>
      </c>
      <c r="B2540" s="5" t="s">
        <v>84</v>
      </c>
      <c r="C2540" s="11">
        <v>1.076</v>
      </c>
      <c r="D2540" s="11">
        <v>26.0</v>
      </c>
      <c r="E2540" s="8"/>
      <c r="F2540" s="11">
        <v>453.0</v>
      </c>
      <c r="G2540" s="11">
        <v>0.34</v>
      </c>
      <c r="H2540" s="11">
        <v>1.311</v>
      </c>
      <c r="I2540" s="9" t="s">
        <v>70</v>
      </c>
    </row>
    <row r="2541">
      <c r="A2541" s="12" t="s">
        <v>83</v>
      </c>
      <c r="B2541" s="5" t="s">
        <v>84</v>
      </c>
      <c r="C2541" s="11">
        <v>0.41</v>
      </c>
      <c r="D2541" s="11">
        <v>21.0</v>
      </c>
      <c r="E2541" s="8"/>
      <c r="F2541" s="11">
        <v>207.0</v>
      </c>
      <c r="G2541" s="11">
        <v>0.42</v>
      </c>
      <c r="H2541" s="11">
        <v>1.563</v>
      </c>
      <c r="I2541" s="9" t="s">
        <v>70</v>
      </c>
    </row>
    <row r="2542">
      <c r="A2542" s="12" t="s">
        <v>254</v>
      </c>
      <c r="B2542" s="5" t="s">
        <v>84</v>
      </c>
      <c r="C2542" s="8"/>
      <c r="D2542" s="8"/>
      <c r="E2542" s="8"/>
      <c r="F2542" s="8"/>
      <c r="G2542" s="8"/>
      <c r="H2542" s="8"/>
      <c r="I2542" s="9" t="s">
        <v>70</v>
      </c>
    </row>
    <row r="2543">
      <c r="A2543" s="12" t="s">
        <v>257</v>
      </c>
      <c r="B2543" s="5" t="s">
        <v>84</v>
      </c>
      <c r="C2543" s="11">
        <v>0.279</v>
      </c>
      <c r="D2543" s="11">
        <v>694.0</v>
      </c>
      <c r="E2543" s="8"/>
      <c r="F2543" s="11">
        <v>199.0</v>
      </c>
      <c r="G2543" s="11">
        <v>0.314</v>
      </c>
      <c r="H2543" s="11">
        <v>1.469</v>
      </c>
      <c r="I2543" s="9" t="s">
        <v>70</v>
      </c>
    </row>
    <row r="2544">
      <c r="A2544" s="12" t="s">
        <v>152</v>
      </c>
      <c r="B2544" s="5" t="s">
        <v>84</v>
      </c>
      <c r="C2544" s="11">
        <v>0.453</v>
      </c>
      <c r="D2544" s="11">
        <v>20.0</v>
      </c>
      <c r="E2544" s="8"/>
      <c r="F2544" s="11">
        <v>140.0</v>
      </c>
      <c r="G2544" s="11">
        <v>0.241</v>
      </c>
      <c r="H2544" s="11">
        <v>1.097</v>
      </c>
      <c r="I2544" s="9" t="s">
        <v>70</v>
      </c>
    </row>
    <row r="2545">
      <c r="A2545" s="12" t="s">
        <v>118</v>
      </c>
      <c r="B2545" s="5" t="s">
        <v>84</v>
      </c>
      <c r="C2545" s="11">
        <v>0.803</v>
      </c>
      <c r="D2545" s="11">
        <v>20.0</v>
      </c>
      <c r="E2545" s="8"/>
      <c r="F2545" s="11">
        <v>208.0</v>
      </c>
      <c r="G2545" s="11">
        <v>0.3</v>
      </c>
      <c r="H2545" s="11">
        <v>0.92</v>
      </c>
      <c r="I2545" s="9" t="s">
        <v>70</v>
      </c>
    </row>
    <row r="2546">
      <c r="A2546" s="12" t="s">
        <v>199</v>
      </c>
      <c r="B2546" s="5" t="s">
        <v>84</v>
      </c>
      <c r="C2546" s="11">
        <v>0.51</v>
      </c>
      <c r="D2546" s="11">
        <v>11.0</v>
      </c>
      <c r="E2546" s="8"/>
      <c r="F2546" s="11">
        <v>517.0</v>
      </c>
      <c r="G2546" s="11">
        <v>0.263</v>
      </c>
      <c r="H2546" s="11">
        <v>0.715</v>
      </c>
      <c r="I2546" s="9" t="s">
        <v>70</v>
      </c>
    </row>
    <row r="2547">
      <c r="A2547" s="12" t="s">
        <v>135</v>
      </c>
      <c r="B2547" s="5" t="s">
        <v>84</v>
      </c>
      <c r="C2547" s="11">
        <v>0.348</v>
      </c>
      <c r="D2547" s="11">
        <v>17.0</v>
      </c>
      <c r="E2547" s="8"/>
      <c r="F2547" s="11">
        <v>320.0</v>
      </c>
      <c r="G2547" s="11">
        <v>0.121</v>
      </c>
      <c r="H2547" s="11">
        <v>1.224</v>
      </c>
      <c r="I2547" s="9" t="s">
        <v>70</v>
      </c>
    </row>
    <row r="2548">
      <c r="A2548" s="12" t="s">
        <v>224</v>
      </c>
      <c r="B2548" s="5" t="s">
        <v>84</v>
      </c>
      <c r="C2548" s="11">
        <v>0.372</v>
      </c>
      <c r="D2548" s="11">
        <v>41.0</v>
      </c>
      <c r="E2548" s="8"/>
      <c r="F2548" s="11">
        <v>380.0</v>
      </c>
      <c r="G2548" s="11">
        <v>0.314</v>
      </c>
      <c r="H2548" s="11">
        <v>0.854</v>
      </c>
      <c r="I2548" s="9" t="s">
        <v>70</v>
      </c>
    </row>
    <row r="2549">
      <c r="A2549" s="12" t="s">
        <v>281</v>
      </c>
      <c r="B2549" s="5" t="s">
        <v>84</v>
      </c>
      <c r="C2549" s="11">
        <v>0.604</v>
      </c>
      <c r="D2549" s="11">
        <v>141.0</v>
      </c>
      <c r="E2549" s="8"/>
      <c r="F2549" s="11">
        <v>864.0</v>
      </c>
      <c r="G2549" s="11">
        <v>0.327</v>
      </c>
      <c r="H2549" s="11">
        <v>0.984</v>
      </c>
      <c r="I2549" s="9" t="s">
        <v>70</v>
      </c>
    </row>
    <row r="2550">
      <c r="A2550" s="12" t="s">
        <v>221</v>
      </c>
      <c r="B2550" s="5" t="s">
        <v>84</v>
      </c>
      <c r="C2550" s="11">
        <v>0.438</v>
      </c>
      <c r="D2550" s="11">
        <v>12.0</v>
      </c>
      <c r="E2550" s="8"/>
      <c r="F2550" s="11">
        <v>482.0</v>
      </c>
      <c r="G2550" s="11">
        <v>0.391</v>
      </c>
      <c r="H2550" s="11">
        <v>1.678</v>
      </c>
      <c r="I2550" s="9" t="s">
        <v>70</v>
      </c>
    </row>
    <row r="2551">
      <c r="A2551" s="12" t="s">
        <v>157</v>
      </c>
      <c r="B2551" s="5" t="s">
        <v>84</v>
      </c>
      <c r="C2551" s="11">
        <v>0.388</v>
      </c>
      <c r="D2551" s="11">
        <v>30.0</v>
      </c>
      <c r="E2551" s="8"/>
      <c r="F2551" s="11">
        <v>288.0</v>
      </c>
      <c r="G2551" s="11">
        <v>0.239</v>
      </c>
      <c r="H2551" s="11">
        <v>0.625</v>
      </c>
      <c r="I2551" s="9" t="s">
        <v>70</v>
      </c>
    </row>
    <row r="2552">
      <c r="A2552" s="12" t="s">
        <v>132</v>
      </c>
      <c r="B2552" s="5" t="s">
        <v>84</v>
      </c>
      <c r="C2552" s="11">
        <v>0.384</v>
      </c>
      <c r="D2552" s="11">
        <v>13.0</v>
      </c>
      <c r="E2552" s="8"/>
      <c r="F2552" s="11">
        <v>324.0</v>
      </c>
      <c r="G2552" s="11">
        <v>0.277</v>
      </c>
      <c r="H2552" s="11">
        <v>0.873</v>
      </c>
      <c r="I2552" s="9" t="s">
        <v>70</v>
      </c>
    </row>
    <row r="2553">
      <c r="A2553" s="12" t="s">
        <v>133</v>
      </c>
      <c r="B2553" s="5" t="s">
        <v>84</v>
      </c>
      <c r="C2553" s="11">
        <v>0.349</v>
      </c>
      <c r="D2553" s="11">
        <v>64.0</v>
      </c>
      <c r="E2553" s="8"/>
      <c r="F2553" s="11">
        <v>600.0</v>
      </c>
      <c r="G2553" s="11">
        <v>0.246</v>
      </c>
      <c r="H2553" s="11">
        <v>0.897</v>
      </c>
      <c r="I2553" s="9" t="s">
        <v>70</v>
      </c>
    </row>
    <row r="2554">
      <c r="A2554" s="12" t="s">
        <v>213</v>
      </c>
      <c r="B2554" s="5" t="s">
        <v>84</v>
      </c>
      <c r="C2554" s="11">
        <v>0.632</v>
      </c>
      <c r="D2554" s="11">
        <v>39.0</v>
      </c>
      <c r="E2554" s="8"/>
      <c r="F2554" s="11">
        <v>240.0</v>
      </c>
      <c r="G2554" s="11">
        <v>0.073</v>
      </c>
      <c r="H2554" s="11">
        <v>0.582</v>
      </c>
      <c r="I2554" s="9" t="s">
        <v>70</v>
      </c>
    </row>
    <row r="2555">
      <c r="A2555" s="12" t="s">
        <v>223</v>
      </c>
      <c r="B2555" s="5" t="s">
        <v>84</v>
      </c>
      <c r="C2555" s="11">
        <v>0.35</v>
      </c>
      <c r="D2555" s="11">
        <v>35.0</v>
      </c>
      <c r="E2555" s="8"/>
      <c r="F2555" s="11">
        <v>328.0</v>
      </c>
      <c r="G2555" s="11">
        <v>0.189</v>
      </c>
      <c r="H2555" s="11">
        <v>0.885</v>
      </c>
      <c r="I2555" s="9" t="s">
        <v>70</v>
      </c>
    </row>
    <row r="2556">
      <c r="A2556" s="12" t="s">
        <v>98</v>
      </c>
      <c r="B2556" s="5" t="s">
        <v>84</v>
      </c>
      <c r="C2556" s="11">
        <v>0.332</v>
      </c>
      <c r="D2556" s="11">
        <v>44.0</v>
      </c>
      <c r="E2556" s="8"/>
      <c r="F2556" s="11">
        <v>147.0</v>
      </c>
      <c r="G2556" s="11">
        <v>0.117</v>
      </c>
      <c r="H2556" s="11">
        <v>0.537</v>
      </c>
      <c r="I2556" s="9" t="s">
        <v>70</v>
      </c>
    </row>
    <row r="2557">
      <c r="A2557" s="12" t="s">
        <v>158</v>
      </c>
      <c r="B2557" s="5" t="s">
        <v>84</v>
      </c>
      <c r="C2557" s="11">
        <v>0.404</v>
      </c>
      <c r="D2557" s="11">
        <v>195.0</v>
      </c>
      <c r="E2557" s="8"/>
      <c r="F2557" s="11">
        <v>184.0</v>
      </c>
      <c r="G2557" s="11">
        <v>0.081</v>
      </c>
      <c r="H2557" s="11">
        <v>0.374</v>
      </c>
      <c r="I2557" s="9" t="s">
        <v>70</v>
      </c>
    </row>
    <row r="2558">
      <c r="A2558" s="12" t="s">
        <v>102</v>
      </c>
      <c r="B2558" s="5" t="s">
        <v>84</v>
      </c>
      <c r="C2558" s="11">
        <v>0.8</v>
      </c>
      <c r="D2558" s="11">
        <v>50.0</v>
      </c>
      <c r="E2558" s="8"/>
      <c r="F2558" s="11">
        <v>1080.0</v>
      </c>
      <c r="G2558" s="11">
        <v>0.168</v>
      </c>
      <c r="H2558" s="11">
        <v>0.647</v>
      </c>
      <c r="I2558" s="9" t="s">
        <v>70</v>
      </c>
    </row>
    <row r="2559">
      <c r="A2559" s="12" t="s">
        <v>159</v>
      </c>
      <c r="B2559" s="5" t="s">
        <v>84</v>
      </c>
      <c r="C2559" s="11">
        <v>0.441</v>
      </c>
      <c r="D2559" s="11">
        <v>14.0</v>
      </c>
      <c r="E2559" s="8"/>
      <c r="F2559" s="11">
        <v>224.0</v>
      </c>
      <c r="G2559" s="11">
        <v>0.098</v>
      </c>
      <c r="H2559" s="11">
        <v>1.123</v>
      </c>
      <c r="I2559" s="9" t="s">
        <v>70</v>
      </c>
    </row>
    <row r="2560">
      <c r="A2560" s="12" t="s">
        <v>154</v>
      </c>
      <c r="B2560" s="5" t="s">
        <v>84</v>
      </c>
      <c r="C2560" s="11">
        <v>0.409</v>
      </c>
      <c r="D2560" s="11">
        <v>37.0</v>
      </c>
      <c r="E2560" s="8"/>
      <c r="F2560" s="11">
        <v>344.0</v>
      </c>
      <c r="G2560" s="11">
        <v>0.093</v>
      </c>
      <c r="H2560" s="11">
        <v>1.237</v>
      </c>
      <c r="I2560" s="9" t="s">
        <v>70</v>
      </c>
    </row>
    <row r="2561">
      <c r="A2561" s="12" t="s">
        <v>242</v>
      </c>
      <c r="B2561" s="5" t="s">
        <v>84</v>
      </c>
      <c r="C2561" s="8"/>
      <c r="D2561" s="8"/>
      <c r="E2561" s="8"/>
      <c r="F2561" s="8"/>
      <c r="G2561" s="8"/>
      <c r="H2561" s="8"/>
      <c r="I2561" s="9" t="s">
        <v>71</v>
      </c>
    </row>
    <row r="2562">
      <c r="A2562" s="12" t="s">
        <v>272</v>
      </c>
      <c r="B2562" s="5" t="s">
        <v>84</v>
      </c>
      <c r="C2562" s="8"/>
      <c r="D2562" s="8"/>
      <c r="E2562" s="8"/>
      <c r="F2562" s="8"/>
      <c r="G2562" s="8"/>
      <c r="H2562" s="8"/>
      <c r="I2562" s="9" t="s">
        <v>71</v>
      </c>
    </row>
    <row r="2563">
      <c r="A2563" s="12" t="s">
        <v>252</v>
      </c>
      <c r="B2563" s="5" t="s">
        <v>84</v>
      </c>
      <c r="C2563" s="11">
        <v>0.525</v>
      </c>
      <c r="D2563" s="11">
        <v>19.0</v>
      </c>
      <c r="E2563" s="8"/>
      <c r="F2563" s="11">
        <v>155.0</v>
      </c>
      <c r="G2563" s="11">
        <v>0.76</v>
      </c>
      <c r="H2563" s="11">
        <v>1.528</v>
      </c>
      <c r="I2563" s="9" t="s">
        <v>71</v>
      </c>
    </row>
    <row r="2564">
      <c r="A2564" s="12" t="s">
        <v>125</v>
      </c>
      <c r="B2564" s="5" t="s">
        <v>84</v>
      </c>
      <c r="C2564" s="8"/>
      <c r="D2564" s="8"/>
      <c r="E2564" s="8"/>
      <c r="F2564" s="8"/>
      <c r="G2564" s="11">
        <v>0.159</v>
      </c>
      <c r="H2564" s="11">
        <v>0.089</v>
      </c>
      <c r="I2564" s="9" t="s">
        <v>71</v>
      </c>
    </row>
    <row r="2565">
      <c r="A2565" s="12" t="s">
        <v>87</v>
      </c>
      <c r="B2565" s="5" t="s">
        <v>84</v>
      </c>
      <c r="C2565" s="8"/>
      <c r="D2565" s="8"/>
      <c r="E2565" s="8"/>
      <c r="F2565" s="8"/>
      <c r="G2565" s="11">
        <v>0.62</v>
      </c>
      <c r="H2565" s="11">
        <v>1.297</v>
      </c>
      <c r="I2565" s="9" t="s">
        <v>71</v>
      </c>
    </row>
    <row r="2566">
      <c r="A2566" s="12" t="s">
        <v>228</v>
      </c>
      <c r="B2566" s="5" t="s">
        <v>84</v>
      </c>
      <c r="C2566" s="11">
        <v>0.636</v>
      </c>
      <c r="D2566" s="11">
        <v>7.0</v>
      </c>
      <c r="E2566" s="8"/>
      <c r="F2566" s="11">
        <v>218.0</v>
      </c>
      <c r="G2566" s="11">
        <v>0.453</v>
      </c>
      <c r="H2566" s="11">
        <v>0.791</v>
      </c>
      <c r="I2566" s="9" t="s">
        <v>71</v>
      </c>
    </row>
    <row r="2567">
      <c r="A2567" s="12" t="s">
        <v>112</v>
      </c>
      <c r="B2567" s="5" t="s">
        <v>84</v>
      </c>
      <c r="C2567" s="11">
        <v>0.277</v>
      </c>
      <c r="D2567" s="11">
        <v>5.0</v>
      </c>
      <c r="E2567" s="8"/>
      <c r="F2567" s="11">
        <v>131.0</v>
      </c>
      <c r="G2567" s="11">
        <v>0.803</v>
      </c>
      <c r="H2567" s="11">
        <v>0.757</v>
      </c>
      <c r="I2567" s="9" t="s">
        <v>71</v>
      </c>
    </row>
    <row r="2568">
      <c r="A2568" s="12" t="s">
        <v>100</v>
      </c>
      <c r="B2568" s="5" t="s">
        <v>84</v>
      </c>
      <c r="C2568" s="8"/>
      <c r="D2568" s="8"/>
      <c r="E2568" s="8"/>
      <c r="F2568" s="8"/>
      <c r="G2568" s="11">
        <v>0.842</v>
      </c>
      <c r="H2568" s="11">
        <v>1.358</v>
      </c>
      <c r="I2568" s="9" t="s">
        <v>71</v>
      </c>
    </row>
    <row r="2569">
      <c r="A2569" s="12" t="s">
        <v>131</v>
      </c>
      <c r="B2569" s="5" t="s">
        <v>84</v>
      </c>
      <c r="C2569" s="11">
        <v>0.37</v>
      </c>
      <c r="D2569" s="11">
        <v>13.0</v>
      </c>
      <c r="E2569" s="8"/>
      <c r="F2569" s="11">
        <v>117.0</v>
      </c>
      <c r="G2569" s="11">
        <v>0.475</v>
      </c>
      <c r="H2569" s="11">
        <v>1.483</v>
      </c>
      <c r="I2569" s="9" t="s">
        <v>71</v>
      </c>
    </row>
    <row r="2570">
      <c r="A2570" s="12" t="s">
        <v>95</v>
      </c>
      <c r="B2570" s="5" t="s">
        <v>84</v>
      </c>
      <c r="C2570" s="8"/>
      <c r="D2570" s="8"/>
      <c r="E2570" s="8"/>
      <c r="F2570" s="8"/>
      <c r="G2570" s="11">
        <v>0.681</v>
      </c>
      <c r="H2570" s="11">
        <v>1.248</v>
      </c>
      <c r="I2570" s="9" t="s">
        <v>71</v>
      </c>
    </row>
    <row r="2571">
      <c r="A2571" s="12" t="s">
        <v>277</v>
      </c>
      <c r="B2571" s="5" t="s">
        <v>84</v>
      </c>
      <c r="C2571" s="11">
        <v>0.465</v>
      </c>
      <c r="D2571" s="11">
        <v>5.0</v>
      </c>
      <c r="E2571" s="8"/>
      <c r="F2571" s="11">
        <v>187.0</v>
      </c>
      <c r="G2571" s="11">
        <v>0.717</v>
      </c>
      <c r="H2571" s="11">
        <v>0.913</v>
      </c>
      <c r="I2571" s="9" t="s">
        <v>71</v>
      </c>
    </row>
    <row r="2572">
      <c r="A2572" s="12" t="s">
        <v>126</v>
      </c>
      <c r="B2572" s="5" t="s">
        <v>84</v>
      </c>
      <c r="C2572" s="8"/>
      <c r="D2572" s="8"/>
      <c r="E2572" s="8"/>
      <c r="F2572" s="8"/>
      <c r="G2572" s="8"/>
      <c r="H2572" s="11">
        <v>1.383</v>
      </c>
      <c r="I2572" s="9" t="s">
        <v>71</v>
      </c>
    </row>
    <row r="2573">
      <c r="A2573" s="12" t="s">
        <v>116</v>
      </c>
      <c r="B2573" s="5" t="s">
        <v>84</v>
      </c>
      <c r="C2573" s="11">
        <v>0.245</v>
      </c>
      <c r="D2573" s="11">
        <v>22.0</v>
      </c>
      <c r="E2573" s="8"/>
      <c r="F2573" s="11">
        <v>316.0</v>
      </c>
      <c r="G2573" s="11">
        <v>0.45</v>
      </c>
      <c r="H2573" s="11">
        <v>1.158</v>
      </c>
      <c r="I2573" s="9" t="s">
        <v>71</v>
      </c>
    </row>
    <row r="2574">
      <c r="A2574" s="12" t="s">
        <v>113</v>
      </c>
      <c r="B2574" s="5" t="s">
        <v>84</v>
      </c>
      <c r="C2574" s="8"/>
      <c r="D2574" s="8"/>
      <c r="E2574" s="8"/>
      <c r="F2574" s="8"/>
      <c r="G2574" s="11">
        <v>0.66</v>
      </c>
      <c r="H2574" s="11">
        <v>1.812</v>
      </c>
      <c r="I2574" s="9" t="s">
        <v>71</v>
      </c>
    </row>
    <row r="2575">
      <c r="A2575" s="12" t="s">
        <v>268</v>
      </c>
      <c r="B2575" s="5" t="s">
        <v>84</v>
      </c>
      <c r="C2575" s="11">
        <v>0.331</v>
      </c>
      <c r="D2575" s="11">
        <v>41.0</v>
      </c>
      <c r="E2575" s="8"/>
      <c r="F2575" s="11">
        <v>210.0</v>
      </c>
      <c r="G2575" s="11">
        <v>0.485</v>
      </c>
      <c r="H2575" s="11">
        <v>1.426</v>
      </c>
      <c r="I2575" s="9" t="s">
        <v>71</v>
      </c>
    </row>
    <row r="2576">
      <c r="A2576" s="12" t="s">
        <v>151</v>
      </c>
      <c r="B2576" s="5" t="s">
        <v>84</v>
      </c>
      <c r="C2576" s="8"/>
      <c r="D2576" s="8"/>
      <c r="E2576" s="8"/>
      <c r="F2576" s="8"/>
      <c r="G2576" s="11">
        <v>0.63</v>
      </c>
      <c r="H2576" s="11">
        <v>1.014</v>
      </c>
      <c r="I2576" s="9" t="s">
        <v>71</v>
      </c>
    </row>
    <row r="2577">
      <c r="A2577" s="12" t="s">
        <v>171</v>
      </c>
      <c r="B2577" s="5" t="s">
        <v>84</v>
      </c>
      <c r="C2577" s="11">
        <v>0.487</v>
      </c>
      <c r="D2577" s="11">
        <v>8.0</v>
      </c>
      <c r="E2577" s="8"/>
      <c r="F2577" s="11">
        <v>414.0</v>
      </c>
      <c r="G2577" s="11">
        <v>0.277</v>
      </c>
      <c r="H2577" s="11">
        <v>1.161</v>
      </c>
      <c r="I2577" s="9" t="s">
        <v>71</v>
      </c>
    </row>
    <row r="2578">
      <c r="A2578" s="12" t="s">
        <v>278</v>
      </c>
      <c r="B2578" s="5" t="s">
        <v>84</v>
      </c>
      <c r="C2578" s="11">
        <v>0.419</v>
      </c>
      <c r="D2578" s="11">
        <v>65.0</v>
      </c>
      <c r="E2578" s="8"/>
      <c r="F2578" s="11">
        <v>336.0</v>
      </c>
      <c r="G2578" s="11">
        <v>0.464</v>
      </c>
      <c r="H2578" s="11">
        <v>1.316</v>
      </c>
      <c r="I2578" s="9" t="s">
        <v>71</v>
      </c>
    </row>
    <row r="2579">
      <c r="A2579" s="12" t="s">
        <v>105</v>
      </c>
      <c r="B2579" s="5" t="s">
        <v>84</v>
      </c>
      <c r="C2579" s="11">
        <v>0.663</v>
      </c>
      <c r="D2579" s="11">
        <v>119.0</v>
      </c>
      <c r="E2579" s="8"/>
      <c r="F2579" s="11">
        <v>2600.0</v>
      </c>
      <c r="G2579" s="11">
        <v>0.407</v>
      </c>
      <c r="H2579" s="11">
        <v>1.009</v>
      </c>
      <c r="I2579" s="9" t="s">
        <v>71</v>
      </c>
    </row>
    <row r="2580">
      <c r="A2580" s="12" t="s">
        <v>253</v>
      </c>
      <c r="B2580" s="5" t="s">
        <v>84</v>
      </c>
      <c r="C2580" s="11">
        <v>0.34</v>
      </c>
      <c r="D2580" s="11">
        <v>14.0</v>
      </c>
      <c r="E2580" s="8"/>
      <c r="F2580" s="11">
        <v>92.0</v>
      </c>
      <c r="G2580" s="11">
        <v>0.433</v>
      </c>
      <c r="H2580" s="11">
        <v>1.117</v>
      </c>
      <c r="I2580" s="9" t="s">
        <v>71</v>
      </c>
    </row>
    <row r="2581">
      <c r="A2581" s="12" t="s">
        <v>91</v>
      </c>
      <c r="B2581" s="5" t="s">
        <v>84</v>
      </c>
      <c r="C2581" s="11">
        <v>0.449</v>
      </c>
      <c r="D2581" s="11">
        <v>24.0</v>
      </c>
      <c r="E2581" s="8"/>
      <c r="F2581" s="11">
        <v>58.0</v>
      </c>
      <c r="G2581" s="11">
        <v>0.43</v>
      </c>
      <c r="H2581" s="11">
        <v>1.188</v>
      </c>
      <c r="I2581" s="9" t="s">
        <v>71</v>
      </c>
    </row>
    <row r="2582">
      <c r="A2582" s="12" t="s">
        <v>122</v>
      </c>
      <c r="B2582" s="5" t="s">
        <v>84</v>
      </c>
      <c r="C2582" s="11">
        <v>0.553</v>
      </c>
      <c r="D2582" s="11">
        <v>60.0</v>
      </c>
      <c r="E2582" s="8"/>
      <c r="F2582" s="11">
        <v>272.0</v>
      </c>
      <c r="G2582" s="11">
        <v>0.365</v>
      </c>
      <c r="H2582" s="11">
        <v>0.67</v>
      </c>
      <c r="I2582" s="9" t="s">
        <v>71</v>
      </c>
    </row>
    <row r="2583">
      <c r="A2583" s="12" t="s">
        <v>255</v>
      </c>
      <c r="B2583" s="5" t="s">
        <v>84</v>
      </c>
      <c r="C2583" s="11">
        <v>0.387</v>
      </c>
      <c r="D2583" s="11">
        <v>10.0</v>
      </c>
      <c r="E2583" s="8"/>
      <c r="F2583" s="11">
        <v>111.0</v>
      </c>
      <c r="G2583" s="11">
        <v>0.385</v>
      </c>
      <c r="H2583" s="11">
        <v>1.206</v>
      </c>
      <c r="I2583" s="9" t="s">
        <v>71</v>
      </c>
    </row>
    <row r="2584">
      <c r="A2584" s="12" t="s">
        <v>85</v>
      </c>
      <c r="B2584" s="5" t="s">
        <v>84</v>
      </c>
      <c r="C2584" s="11">
        <v>1.076</v>
      </c>
      <c r="D2584" s="11">
        <v>25.0</v>
      </c>
      <c r="E2584" s="8"/>
      <c r="F2584" s="11">
        <v>453.0</v>
      </c>
      <c r="G2584" s="11">
        <v>0.45</v>
      </c>
      <c r="H2584" s="11">
        <v>1.414</v>
      </c>
      <c r="I2584" s="9" t="s">
        <v>71</v>
      </c>
    </row>
    <row r="2585">
      <c r="A2585" s="12" t="s">
        <v>83</v>
      </c>
      <c r="B2585" s="5" t="s">
        <v>84</v>
      </c>
      <c r="C2585" s="11">
        <v>0.41</v>
      </c>
      <c r="D2585" s="11">
        <v>21.0</v>
      </c>
      <c r="E2585" s="8"/>
      <c r="F2585" s="11">
        <v>207.0</v>
      </c>
      <c r="G2585" s="11">
        <v>0.47</v>
      </c>
      <c r="H2585" s="11">
        <v>1.926</v>
      </c>
      <c r="I2585" s="9" t="s">
        <v>71</v>
      </c>
    </row>
    <row r="2586">
      <c r="A2586" s="12" t="s">
        <v>254</v>
      </c>
      <c r="B2586" s="5" t="s">
        <v>84</v>
      </c>
      <c r="C2586" s="8"/>
      <c r="D2586" s="8"/>
      <c r="E2586" s="8"/>
      <c r="F2586" s="8"/>
      <c r="G2586" s="8"/>
      <c r="H2586" s="8"/>
      <c r="I2586" s="9" t="s">
        <v>71</v>
      </c>
    </row>
    <row r="2587">
      <c r="A2587" s="12" t="s">
        <v>257</v>
      </c>
      <c r="B2587" s="5" t="s">
        <v>84</v>
      </c>
      <c r="C2587" s="11">
        <v>0.279</v>
      </c>
      <c r="D2587" s="11">
        <v>694.0</v>
      </c>
      <c r="E2587" s="8"/>
      <c r="F2587" s="11">
        <v>199.0</v>
      </c>
      <c r="G2587" s="11">
        <v>0.316</v>
      </c>
      <c r="H2587" s="11">
        <v>0.993</v>
      </c>
      <c r="I2587" s="9" t="s">
        <v>71</v>
      </c>
    </row>
    <row r="2588">
      <c r="A2588" s="12" t="s">
        <v>152</v>
      </c>
      <c r="B2588" s="5" t="s">
        <v>84</v>
      </c>
      <c r="C2588" s="11">
        <v>0.453</v>
      </c>
      <c r="D2588" s="11">
        <v>15.0</v>
      </c>
      <c r="E2588" s="8"/>
      <c r="F2588" s="11">
        <v>140.0</v>
      </c>
      <c r="G2588" s="11">
        <v>0.27</v>
      </c>
      <c r="H2588" s="11">
        <v>1.165</v>
      </c>
      <c r="I2588" s="9" t="s">
        <v>71</v>
      </c>
    </row>
    <row r="2589">
      <c r="A2589" s="12" t="s">
        <v>135</v>
      </c>
      <c r="B2589" s="5" t="s">
        <v>84</v>
      </c>
      <c r="C2589" s="11">
        <v>0.348</v>
      </c>
      <c r="D2589" s="11">
        <v>17.0</v>
      </c>
      <c r="E2589" s="8"/>
      <c r="F2589" s="11">
        <v>320.0</v>
      </c>
      <c r="G2589" s="11">
        <v>0.159</v>
      </c>
      <c r="H2589" s="11">
        <v>1.238</v>
      </c>
      <c r="I2589" s="9" t="s">
        <v>71</v>
      </c>
    </row>
    <row r="2590">
      <c r="A2590" s="12" t="s">
        <v>118</v>
      </c>
      <c r="B2590" s="5" t="s">
        <v>84</v>
      </c>
      <c r="C2590" s="11">
        <v>0.803</v>
      </c>
      <c r="D2590" s="11">
        <v>14.0</v>
      </c>
      <c r="E2590" s="8"/>
      <c r="F2590" s="11">
        <v>208.0</v>
      </c>
      <c r="G2590" s="11">
        <v>0.365</v>
      </c>
      <c r="H2590" s="11">
        <v>0.958</v>
      </c>
      <c r="I2590" s="9" t="s">
        <v>71</v>
      </c>
    </row>
    <row r="2591">
      <c r="A2591" s="12" t="s">
        <v>199</v>
      </c>
      <c r="B2591" s="5" t="s">
        <v>84</v>
      </c>
      <c r="C2591" s="11">
        <v>0.505</v>
      </c>
      <c r="D2591" s="11">
        <v>7.0</v>
      </c>
      <c r="E2591" s="8"/>
      <c r="F2591" s="11">
        <v>404.0</v>
      </c>
      <c r="G2591" s="11">
        <v>0.311</v>
      </c>
      <c r="H2591" s="11">
        <v>0.775</v>
      </c>
      <c r="I2591" s="9" t="s">
        <v>71</v>
      </c>
    </row>
    <row r="2592">
      <c r="A2592" s="12" t="s">
        <v>221</v>
      </c>
      <c r="B2592" s="5" t="s">
        <v>84</v>
      </c>
      <c r="C2592" s="11">
        <v>0.438</v>
      </c>
      <c r="D2592" s="11">
        <v>9.0</v>
      </c>
      <c r="E2592" s="8"/>
      <c r="F2592" s="11">
        <v>482.0</v>
      </c>
      <c r="G2592" s="11">
        <v>0.401</v>
      </c>
      <c r="H2592" s="11">
        <v>1.807</v>
      </c>
      <c r="I2592" s="9" t="s">
        <v>71</v>
      </c>
    </row>
    <row r="2593">
      <c r="A2593" s="12" t="s">
        <v>224</v>
      </c>
      <c r="B2593" s="5" t="s">
        <v>84</v>
      </c>
      <c r="C2593" s="11">
        <v>0.371</v>
      </c>
      <c r="D2593" s="11">
        <v>26.0</v>
      </c>
      <c r="E2593" s="8"/>
      <c r="F2593" s="11">
        <v>380.0</v>
      </c>
      <c r="G2593" s="11">
        <v>0.348</v>
      </c>
      <c r="H2593" s="11">
        <v>0.995</v>
      </c>
      <c r="I2593" s="9" t="s">
        <v>71</v>
      </c>
    </row>
    <row r="2594">
      <c r="A2594" s="12" t="s">
        <v>281</v>
      </c>
      <c r="B2594" s="5" t="s">
        <v>84</v>
      </c>
      <c r="C2594" s="11">
        <v>0.519</v>
      </c>
      <c r="D2594" s="11">
        <v>141.0</v>
      </c>
      <c r="E2594" s="8"/>
      <c r="F2594" s="11">
        <v>864.0</v>
      </c>
      <c r="G2594" s="11">
        <v>0.374</v>
      </c>
      <c r="H2594" s="11">
        <v>0.96</v>
      </c>
      <c r="I2594" s="9" t="s">
        <v>71</v>
      </c>
    </row>
    <row r="2595">
      <c r="A2595" s="12" t="s">
        <v>157</v>
      </c>
      <c r="B2595" s="5" t="s">
        <v>84</v>
      </c>
      <c r="C2595" s="11">
        <v>0.388</v>
      </c>
      <c r="D2595" s="11">
        <v>24.0</v>
      </c>
      <c r="E2595" s="8"/>
      <c r="F2595" s="11">
        <v>288.0</v>
      </c>
      <c r="G2595" s="11">
        <v>0.299</v>
      </c>
      <c r="H2595" s="11">
        <v>0.713</v>
      </c>
      <c r="I2595" s="9" t="s">
        <v>71</v>
      </c>
    </row>
    <row r="2596">
      <c r="A2596" s="12" t="s">
        <v>132</v>
      </c>
      <c r="B2596" s="5" t="s">
        <v>84</v>
      </c>
      <c r="C2596" s="11">
        <v>0.401</v>
      </c>
      <c r="D2596" s="11">
        <v>19.0</v>
      </c>
      <c r="E2596" s="8"/>
      <c r="F2596" s="11">
        <v>324.0</v>
      </c>
      <c r="G2596" s="11">
        <v>0.314</v>
      </c>
      <c r="H2596" s="11">
        <v>0.888</v>
      </c>
      <c r="I2596" s="9" t="s">
        <v>71</v>
      </c>
    </row>
    <row r="2597">
      <c r="A2597" s="12" t="s">
        <v>133</v>
      </c>
      <c r="B2597" s="5" t="s">
        <v>84</v>
      </c>
      <c r="C2597" s="11">
        <v>0.353</v>
      </c>
      <c r="D2597" s="11">
        <v>56.0</v>
      </c>
      <c r="E2597" s="8"/>
      <c r="F2597" s="11">
        <v>654.0</v>
      </c>
      <c r="G2597" s="11">
        <v>0.29</v>
      </c>
      <c r="H2597" s="11">
        <v>0.985</v>
      </c>
      <c r="I2597" s="9" t="s">
        <v>71</v>
      </c>
    </row>
    <row r="2598">
      <c r="A2598" s="12" t="s">
        <v>223</v>
      </c>
      <c r="B2598" s="5" t="s">
        <v>84</v>
      </c>
      <c r="C2598" s="11">
        <v>0.35</v>
      </c>
      <c r="D2598" s="11">
        <v>35.0</v>
      </c>
      <c r="E2598" s="8"/>
      <c r="F2598" s="11">
        <v>311.0</v>
      </c>
      <c r="G2598" s="11">
        <v>0.198</v>
      </c>
      <c r="H2598" s="11">
        <v>0.917</v>
      </c>
      <c r="I2598" s="9" t="s">
        <v>71</v>
      </c>
    </row>
    <row r="2599">
      <c r="A2599" s="12" t="s">
        <v>98</v>
      </c>
      <c r="B2599" s="5" t="s">
        <v>84</v>
      </c>
      <c r="C2599" s="11">
        <v>0.332</v>
      </c>
      <c r="D2599" s="11">
        <v>44.0</v>
      </c>
      <c r="E2599" s="8"/>
      <c r="F2599" s="11">
        <v>147.0</v>
      </c>
      <c r="G2599" s="11">
        <v>0.14</v>
      </c>
      <c r="H2599" s="11">
        <v>0.629</v>
      </c>
      <c r="I2599" s="9" t="s">
        <v>71</v>
      </c>
    </row>
    <row r="2600">
      <c r="A2600" s="12" t="s">
        <v>213</v>
      </c>
      <c r="B2600" s="5" t="s">
        <v>84</v>
      </c>
      <c r="C2600" s="11">
        <v>0.632</v>
      </c>
      <c r="D2600" s="11">
        <v>39.0</v>
      </c>
      <c r="E2600" s="8"/>
      <c r="F2600" s="11">
        <v>222.0</v>
      </c>
      <c r="G2600" s="11">
        <v>0.1</v>
      </c>
      <c r="H2600" s="11">
        <v>0.681</v>
      </c>
      <c r="I2600" s="9" t="s">
        <v>71</v>
      </c>
    </row>
    <row r="2601">
      <c r="A2601" s="12" t="s">
        <v>102</v>
      </c>
      <c r="B2601" s="5" t="s">
        <v>84</v>
      </c>
      <c r="C2601" s="11">
        <v>0.8</v>
      </c>
      <c r="D2601" s="11">
        <v>49.0</v>
      </c>
      <c r="E2601" s="8"/>
      <c r="F2601" s="11">
        <v>1080.0</v>
      </c>
      <c r="G2601" s="11">
        <v>0.224</v>
      </c>
      <c r="H2601" s="11">
        <v>0.707</v>
      </c>
      <c r="I2601" s="9" t="s">
        <v>71</v>
      </c>
    </row>
    <row r="2602">
      <c r="A2602" s="12" t="s">
        <v>158</v>
      </c>
      <c r="B2602" s="5" t="s">
        <v>84</v>
      </c>
      <c r="C2602" s="11">
        <v>0.404</v>
      </c>
      <c r="D2602" s="11">
        <v>105.0</v>
      </c>
      <c r="E2602" s="8"/>
      <c r="F2602" s="11">
        <v>184.0</v>
      </c>
      <c r="G2602" s="11">
        <v>0.084</v>
      </c>
      <c r="H2602" s="11">
        <v>0.404</v>
      </c>
      <c r="I2602" s="9" t="s">
        <v>71</v>
      </c>
    </row>
    <row r="2603">
      <c r="A2603" s="12" t="s">
        <v>159</v>
      </c>
      <c r="B2603" s="5" t="s">
        <v>84</v>
      </c>
      <c r="C2603" s="11">
        <v>0.441</v>
      </c>
      <c r="D2603" s="11">
        <v>14.0</v>
      </c>
      <c r="E2603" s="8"/>
      <c r="F2603" s="11">
        <v>224.0</v>
      </c>
      <c r="G2603" s="11">
        <v>0.111</v>
      </c>
      <c r="H2603" s="11">
        <v>1.247</v>
      </c>
      <c r="I2603" s="9" t="s">
        <v>71</v>
      </c>
    </row>
    <row r="2604">
      <c r="A2604" s="12" t="s">
        <v>154</v>
      </c>
      <c r="B2604" s="5" t="s">
        <v>84</v>
      </c>
      <c r="C2604" s="11">
        <v>0.409</v>
      </c>
      <c r="D2604" s="11">
        <v>37.0</v>
      </c>
      <c r="E2604" s="8"/>
      <c r="F2604" s="11">
        <v>344.0</v>
      </c>
      <c r="G2604" s="11">
        <v>0.105</v>
      </c>
      <c r="H2604" s="11">
        <v>1.26</v>
      </c>
      <c r="I2604" s="9" t="s">
        <v>71</v>
      </c>
    </row>
    <row r="2605">
      <c r="A2605" s="12" t="s">
        <v>242</v>
      </c>
      <c r="B2605" s="5" t="s">
        <v>84</v>
      </c>
      <c r="C2605" s="8"/>
      <c r="D2605" s="8"/>
      <c r="E2605" s="8"/>
      <c r="F2605" s="8"/>
      <c r="G2605" s="8"/>
      <c r="H2605" s="8"/>
      <c r="I2605" s="9" t="s">
        <v>72</v>
      </c>
    </row>
    <row r="2606">
      <c r="A2606" s="12" t="s">
        <v>272</v>
      </c>
      <c r="B2606" s="5" t="s">
        <v>84</v>
      </c>
      <c r="C2606" s="8"/>
      <c r="D2606" s="8"/>
      <c r="E2606" s="8"/>
      <c r="F2606" s="8"/>
      <c r="G2606" s="8"/>
      <c r="H2606" s="8"/>
      <c r="I2606" s="9" t="s">
        <v>72</v>
      </c>
    </row>
    <row r="2607">
      <c r="A2607" s="12" t="s">
        <v>131</v>
      </c>
      <c r="B2607" s="5" t="s">
        <v>84</v>
      </c>
      <c r="C2607" s="11">
        <v>0.371</v>
      </c>
      <c r="D2607" s="11">
        <v>12.0</v>
      </c>
      <c r="E2607" s="8"/>
      <c r="F2607" s="11">
        <v>117.0</v>
      </c>
      <c r="G2607" s="11">
        <v>0.513</v>
      </c>
      <c r="H2607" s="11">
        <v>1.526</v>
      </c>
      <c r="I2607" s="9" t="s">
        <v>72</v>
      </c>
    </row>
    <row r="2608">
      <c r="A2608" s="12" t="s">
        <v>252</v>
      </c>
      <c r="B2608" s="5" t="s">
        <v>84</v>
      </c>
      <c r="C2608" s="11">
        <v>0.525</v>
      </c>
      <c r="D2608" s="11">
        <v>19.0</v>
      </c>
      <c r="E2608" s="8"/>
      <c r="F2608" s="11">
        <v>203.0</v>
      </c>
      <c r="G2608" s="11">
        <v>0.776</v>
      </c>
      <c r="H2608" s="11">
        <v>1.454</v>
      </c>
      <c r="I2608" s="9" t="s">
        <v>72</v>
      </c>
    </row>
    <row r="2609">
      <c r="A2609" s="12" t="s">
        <v>125</v>
      </c>
      <c r="B2609" s="5" t="s">
        <v>84</v>
      </c>
      <c r="C2609" s="8"/>
      <c r="D2609" s="8"/>
      <c r="E2609" s="8"/>
      <c r="F2609" s="8"/>
      <c r="G2609" s="11">
        <v>0.16</v>
      </c>
      <c r="H2609" s="11">
        <v>0.117</v>
      </c>
      <c r="I2609" s="9" t="s">
        <v>72</v>
      </c>
    </row>
    <row r="2610">
      <c r="A2610" s="12" t="s">
        <v>87</v>
      </c>
      <c r="B2610" s="5" t="s">
        <v>84</v>
      </c>
      <c r="C2610" s="8"/>
      <c r="D2610" s="8"/>
      <c r="E2610" s="8"/>
      <c r="F2610" s="8"/>
      <c r="G2610" s="11">
        <v>0.69</v>
      </c>
      <c r="H2610" s="8"/>
      <c r="I2610" s="9" t="s">
        <v>72</v>
      </c>
    </row>
    <row r="2611">
      <c r="A2611" s="12" t="s">
        <v>228</v>
      </c>
      <c r="B2611" s="5" t="s">
        <v>84</v>
      </c>
      <c r="C2611" s="11">
        <v>0.631</v>
      </c>
      <c r="D2611" s="11">
        <v>6.0</v>
      </c>
      <c r="E2611" s="8"/>
      <c r="F2611" s="11">
        <v>218.0</v>
      </c>
      <c r="G2611" s="11">
        <v>0.48</v>
      </c>
      <c r="H2611" s="11">
        <v>0.84</v>
      </c>
      <c r="I2611" s="9" t="s">
        <v>72</v>
      </c>
    </row>
    <row r="2612">
      <c r="A2612" s="12" t="s">
        <v>112</v>
      </c>
      <c r="B2612" s="5" t="s">
        <v>84</v>
      </c>
      <c r="C2612" s="11">
        <v>0.261</v>
      </c>
      <c r="D2612" s="11">
        <v>5.0</v>
      </c>
      <c r="E2612" s="8"/>
      <c r="F2612" s="11">
        <v>131.0</v>
      </c>
      <c r="G2612" s="11">
        <v>0.83</v>
      </c>
      <c r="H2612" s="11">
        <v>0.794</v>
      </c>
      <c r="I2612" s="9" t="s">
        <v>72</v>
      </c>
    </row>
    <row r="2613">
      <c r="A2613" s="12" t="s">
        <v>100</v>
      </c>
      <c r="B2613" s="5" t="s">
        <v>84</v>
      </c>
      <c r="C2613" s="8"/>
      <c r="D2613" s="8"/>
      <c r="E2613" s="8"/>
      <c r="F2613" s="8"/>
      <c r="G2613" s="11">
        <v>0.883</v>
      </c>
      <c r="H2613" s="8"/>
      <c r="I2613" s="9" t="s">
        <v>72</v>
      </c>
    </row>
    <row r="2614">
      <c r="A2614" s="12" t="s">
        <v>95</v>
      </c>
      <c r="B2614" s="5" t="s">
        <v>84</v>
      </c>
      <c r="C2614" s="11">
        <v>0.411</v>
      </c>
      <c r="D2614" s="11">
        <v>18.0</v>
      </c>
      <c r="E2614" s="8"/>
      <c r="F2614" s="11">
        <v>245.0</v>
      </c>
      <c r="G2614" s="11">
        <v>0.718</v>
      </c>
      <c r="H2614" s="11">
        <v>1.235</v>
      </c>
      <c r="I2614" s="9" t="s">
        <v>72</v>
      </c>
    </row>
    <row r="2615">
      <c r="A2615" s="12" t="s">
        <v>126</v>
      </c>
      <c r="B2615" s="5" t="s">
        <v>84</v>
      </c>
      <c r="C2615" s="8"/>
      <c r="D2615" s="8"/>
      <c r="E2615" s="8"/>
      <c r="F2615" s="8"/>
      <c r="G2615" s="8"/>
      <c r="H2615" s="11">
        <v>1.361</v>
      </c>
      <c r="I2615" s="9" t="s">
        <v>72</v>
      </c>
    </row>
    <row r="2616">
      <c r="A2616" s="12" t="s">
        <v>277</v>
      </c>
      <c r="B2616" s="5" t="s">
        <v>84</v>
      </c>
      <c r="C2616" s="11">
        <v>0.465</v>
      </c>
      <c r="D2616" s="11">
        <v>5.0</v>
      </c>
      <c r="E2616" s="8"/>
      <c r="F2616" s="11">
        <v>187.0</v>
      </c>
      <c r="G2616" s="11">
        <v>0.697</v>
      </c>
      <c r="H2616" s="11">
        <v>0.944</v>
      </c>
      <c r="I2616" s="9" t="s">
        <v>72</v>
      </c>
    </row>
    <row r="2617">
      <c r="A2617" s="12" t="s">
        <v>151</v>
      </c>
      <c r="B2617" s="5" t="s">
        <v>84</v>
      </c>
      <c r="C2617" s="8"/>
      <c r="D2617" s="8"/>
      <c r="E2617" s="8"/>
      <c r="F2617" s="8"/>
      <c r="G2617" s="11">
        <v>0.64</v>
      </c>
      <c r="H2617" s="11">
        <v>1.037</v>
      </c>
      <c r="I2617" s="9" t="s">
        <v>72</v>
      </c>
    </row>
    <row r="2618">
      <c r="A2618" s="12" t="s">
        <v>116</v>
      </c>
      <c r="B2618" s="5" t="s">
        <v>84</v>
      </c>
      <c r="C2618" s="11">
        <v>0.245</v>
      </c>
      <c r="D2618" s="11">
        <v>8.0</v>
      </c>
      <c r="E2618" s="8"/>
      <c r="F2618" s="11">
        <v>316.0</v>
      </c>
      <c r="G2618" s="11">
        <v>0.522</v>
      </c>
      <c r="H2618" s="11">
        <v>1.289</v>
      </c>
      <c r="I2618" s="9" t="s">
        <v>72</v>
      </c>
    </row>
    <row r="2619">
      <c r="A2619" s="12" t="s">
        <v>113</v>
      </c>
      <c r="B2619" s="5" t="s">
        <v>84</v>
      </c>
      <c r="C2619" s="8"/>
      <c r="D2619" s="8"/>
      <c r="E2619" s="8"/>
      <c r="F2619" s="8"/>
      <c r="G2619" s="11">
        <v>0.695</v>
      </c>
      <c r="H2619" s="11">
        <v>1.71</v>
      </c>
      <c r="I2619" s="9" t="s">
        <v>72</v>
      </c>
    </row>
    <row r="2620">
      <c r="A2620" s="12" t="s">
        <v>268</v>
      </c>
      <c r="B2620" s="5" t="s">
        <v>84</v>
      </c>
      <c r="C2620" s="11">
        <v>0.291</v>
      </c>
      <c r="D2620" s="11">
        <v>41.0</v>
      </c>
      <c r="E2620" s="8"/>
      <c r="F2620" s="11">
        <v>210.0</v>
      </c>
      <c r="G2620" s="11">
        <v>0.552</v>
      </c>
      <c r="H2620" s="11">
        <v>1.37</v>
      </c>
      <c r="I2620" s="9" t="s">
        <v>72</v>
      </c>
    </row>
    <row r="2621">
      <c r="A2621" s="12" t="s">
        <v>105</v>
      </c>
      <c r="B2621" s="5" t="s">
        <v>84</v>
      </c>
      <c r="C2621" s="11">
        <v>0.663</v>
      </c>
      <c r="D2621" s="11">
        <v>119.0</v>
      </c>
      <c r="E2621" s="8"/>
      <c r="F2621" s="11">
        <v>2600.0</v>
      </c>
      <c r="G2621" s="11">
        <v>0.457</v>
      </c>
      <c r="H2621" s="11">
        <v>1.19</v>
      </c>
      <c r="I2621" s="9" t="s">
        <v>72</v>
      </c>
    </row>
    <row r="2622">
      <c r="A2622" s="12" t="s">
        <v>171</v>
      </c>
      <c r="B2622" s="5" t="s">
        <v>84</v>
      </c>
      <c r="C2622" s="11">
        <v>0.443</v>
      </c>
      <c r="D2622" s="11">
        <v>7.0</v>
      </c>
      <c r="E2622" s="8"/>
      <c r="F2622" s="11">
        <v>414.0</v>
      </c>
      <c r="G2622" s="11">
        <v>0.374</v>
      </c>
      <c r="H2622" s="11">
        <v>1.069</v>
      </c>
      <c r="I2622" s="9" t="s">
        <v>72</v>
      </c>
    </row>
    <row r="2623">
      <c r="A2623" s="12" t="s">
        <v>91</v>
      </c>
      <c r="B2623" s="5" t="s">
        <v>84</v>
      </c>
      <c r="C2623" s="11">
        <v>0.466</v>
      </c>
      <c r="D2623" s="11">
        <v>24.0</v>
      </c>
      <c r="E2623" s="8"/>
      <c r="F2623" s="11">
        <v>58.0</v>
      </c>
      <c r="G2623" s="11">
        <v>0.65</v>
      </c>
      <c r="H2623" s="11">
        <v>0.816</v>
      </c>
      <c r="I2623" s="9" t="s">
        <v>72</v>
      </c>
    </row>
    <row r="2624">
      <c r="A2624" s="12" t="s">
        <v>278</v>
      </c>
      <c r="B2624" s="5" t="s">
        <v>84</v>
      </c>
      <c r="C2624" s="11">
        <v>0.419</v>
      </c>
      <c r="D2624" s="11">
        <v>7.0</v>
      </c>
      <c r="E2624" s="8"/>
      <c r="F2624" s="11">
        <v>336.0</v>
      </c>
      <c r="G2624" s="11">
        <v>0.514</v>
      </c>
      <c r="H2624" s="11">
        <v>1.406</v>
      </c>
      <c r="I2624" s="9" t="s">
        <v>72</v>
      </c>
    </row>
    <row r="2625">
      <c r="A2625" s="12" t="s">
        <v>253</v>
      </c>
      <c r="B2625" s="5" t="s">
        <v>84</v>
      </c>
      <c r="C2625" s="11">
        <v>0.344</v>
      </c>
      <c r="D2625" s="11">
        <v>15.0</v>
      </c>
      <c r="E2625" s="8"/>
      <c r="F2625" s="11">
        <v>92.0</v>
      </c>
      <c r="G2625" s="11">
        <v>0.45</v>
      </c>
      <c r="H2625" s="11">
        <v>1.208</v>
      </c>
      <c r="I2625" s="9" t="s">
        <v>72</v>
      </c>
    </row>
    <row r="2626">
      <c r="A2626" s="12" t="s">
        <v>122</v>
      </c>
      <c r="B2626" s="5" t="s">
        <v>84</v>
      </c>
      <c r="C2626" s="11">
        <v>0.553</v>
      </c>
      <c r="D2626" s="11">
        <v>60.0</v>
      </c>
      <c r="E2626" s="8"/>
      <c r="F2626" s="11">
        <v>246.0</v>
      </c>
      <c r="G2626" s="11">
        <v>0.392</v>
      </c>
      <c r="H2626" s="11">
        <v>0.877</v>
      </c>
      <c r="I2626" s="9" t="s">
        <v>72</v>
      </c>
    </row>
    <row r="2627">
      <c r="A2627" s="12" t="s">
        <v>255</v>
      </c>
      <c r="B2627" s="5" t="s">
        <v>84</v>
      </c>
      <c r="C2627" s="11">
        <v>0.387</v>
      </c>
      <c r="D2627" s="11">
        <v>10.0</v>
      </c>
      <c r="E2627" s="8"/>
      <c r="F2627" s="11">
        <v>111.0</v>
      </c>
      <c r="G2627" s="11">
        <v>0.43</v>
      </c>
      <c r="H2627" s="11">
        <v>1.205</v>
      </c>
      <c r="I2627" s="9" t="s">
        <v>72</v>
      </c>
    </row>
    <row r="2628">
      <c r="A2628" s="12" t="s">
        <v>85</v>
      </c>
      <c r="B2628" s="5" t="s">
        <v>84</v>
      </c>
      <c r="C2628" s="11">
        <v>1.077</v>
      </c>
      <c r="D2628" s="11">
        <v>25.0</v>
      </c>
      <c r="E2628" s="8"/>
      <c r="F2628" s="11">
        <v>415.0</v>
      </c>
      <c r="G2628" s="11">
        <v>0.51</v>
      </c>
      <c r="H2628" s="11">
        <v>1.491</v>
      </c>
      <c r="I2628" s="9" t="s">
        <v>72</v>
      </c>
    </row>
    <row r="2629">
      <c r="A2629" s="12" t="s">
        <v>83</v>
      </c>
      <c r="B2629" s="5" t="s">
        <v>84</v>
      </c>
      <c r="C2629" s="11">
        <v>0.41</v>
      </c>
      <c r="D2629" s="11">
        <v>21.0</v>
      </c>
      <c r="E2629" s="8"/>
      <c r="F2629" s="11">
        <v>207.0</v>
      </c>
      <c r="G2629" s="11">
        <v>0.53</v>
      </c>
      <c r="H2629" s="11">
        <v>1.997</v>
      </c>
      <c r="I2629" s="9" t="s">
        <v>72</v>
      </c>
    </row>
    <row r="2630">
      <c r="A2630" s="12" t="s">
        <v>254</v>
      </c>
      <c r="B2630" s="5" t="s">
        <v>84</v>
      </c>
      <c r="C2630" s="8"/>
      <c r="D2630" s="8"/>
      <c r="E2630" s="8"/>
      <c r="F2630" s="8"/>
      <c r="G2630" s="8"/>
      <c r="H2630" s="8"/>
      <c r="I2630" s="9" t="s">
        <v>72</v>
      </c>
    </row>
    <row r="2631">
      <c r="A2631" s="12" t="s">
        <v>257</v>
      </c>
      <c r="B2631" s="5" t="s">
        <v>84</v>
      </c>
      <c r="C2631" s="11">
        <v>0.279</v>
      </c>
      <c r="D2631" s="11">
        <v>694.0</v>
      </c>
      <c r="E2631" s="8"/>
      <c r="F2631" s="11">
        <v>199.0</v>
      </c>
      <c r="G2631" s="11">
        <v>0.32</v>
      </c>
      <c r="H2631" s="11">
        <v>1.007</v>
      </c>
      <c r="I2631" s="9" t="s">
        <v>72</v>
      </c>
    </row>
    <row r="2632">
      <c r="A2632" s="12" t="s">
        <v>152</v>
      </c>
      <c r="B2632" s="5" t="s">
        <v>84</v>
      </c>
      <c r="C2632" s="11">
        <v>0.453</v>
      </c>
      <c r="D2632" s="11">
        <v>15.0</v>
      </c>
      <c r="E2632" s="8"/>
      <c r="F2632" s="11">
        <v>140.0</v>
      </c>
      <c r="G2632" s="11">
        <v>0.3</v>
      </c>
      <c r="H2632" s="11">
        <v>1.15</v>
      </c>
      <c r="I2632" s="9" t="s">
        <v>72</v>
      </c>
    </row>
    <row r="2633">
      <c r="A2633" s="12" t="s">
        <v>118</v>
      </c>
      <c r="B2633" s="5" t="s">
        <v>84</v>
      </c>
      <c r="C2633" s="11">
        <v>0.764</v>
      </c>
      <c r="D2633" s="11">
        <v>14.0</v>
      </c>
      <c r="E2633" s="8"/>
      <c r="F2633" s="11">
        <v>193.0</v>
      </c>
      <c r="G2633" s="11">
        <v>0.404</v>
      </c>
      <c r="H2633" s="11">
        <v>0.981</v>
      </c>
      <c r="I2633" s="9" t="s">
        <v>72</v>
      </c>
    </row>
    <row r="2634">
      <c r="A2634" s="12" t="s">
        <v>199</v>
      </c>
      <c r="B2634" s="5" t="s">
        <v>84</v>
      </c>
      <c r="C2634" s="11">
        <v>0.527</v>
      </c>
      <c r="D2634" s="11">
        <v>6.0</v>
      </c>
      <c r="E2634" s="8"/>
      <c r="F2634" s="11">
        <v>347.0</v>
      </c>
      <c r="G2634" s="11">
        <v>0.372</v>
      </c>
      <c r="H2634" s="11">
        <v>0.792</v>
      </c>
      <c r="I2634" s="9" t="s">
        <v>72</v>
      </c>
    </row>
    <row r="2635">
      <c r="A2635" s="12" t="s">
        <v>135</v>
      </c>
      <c r="B2635" s="5" t="s">
        <v>84</v>
      </c>
      <c r="C2635" s="11">
        <v>0.348</v>
      </c>
      <c r="D2635" s="11">
        <v>17.0</v>
      </c>
      <c r="E2635" s="8"/>
      <c r="F2635" s="11">
        <v>320.0</v>
      </c>
      <c r="G2635" s="11">
        <v>0.189</v>
      </c>
      <c r="H2635" s="11">
        <v>1.329</v>
      </c>
      <c r="I2635" s="9" t="s">
        <v>72</v>
      </c>
    </row>
    <row r="2636">
      <c r="A2636" s="12" t="s">
        <v>281</v>
      </c>
      <c r="B2636" s="5" t="s">
        <v>84</v>
      </c>
      <c r="C2636" s="11">
        <v>0.628</v>
      </c>
      <c r="D2636" s="11">
        <v>141.0</v>
      </c>
      <c r="E2636" s="8"/>
      <c r="F2636" s="11">
        <v>864.0</v>
      </c>
      <c r="G2636" s="11">
        <v>0.402</v>
      </c>
      <c r="H2636" s="11">
        <v>0.976</v>
      </c>
      <c r="I2636" s="9" t="s">
        <v>72</v>
      </c>
    </row>
    <row r="2637">
      <c r="A2637" s="12" t="s">
        <v>224</v>
      </c>
      <c r="B2637" s="5" t="s">
        <v>84</v>
      </c>
      <c r="C2637" s="11">
        <v>0.366</v>
      </c>
      <c r="D2637" s="11">
        <v>25.0</v>
      </c>
      <c r="E2637" s="8"/>
      <c r="F2637" s="11">
        <v>309.0</v>
      </c>
      <c r="G2637" s="11">
        <v>0.36</v>
      </c>
      <c r="H2637" s="11">
        <v>1.096</v>
      </c>
      <c r="I2637" s="9" t="s">
        <v>72</v>
      </c>
    </row>
    <row r="2638">
      <c r="A2638" s="12" t="s">
        <v>221</v>
      </c>
      <c r="B2638" s="5" t="s">
        <v>84</v>
      </c>
      <c r="C2638" s="11">
        <v>0.436</v>
      </c>
      <c r="D2638" s="11">
        <v>8.0</v>
      </c>
      <c r="E2638" s="8"/>
      <c r="F2638" s="11">
        <v>482.0</v>
      </c>
      <c r="G2638" s="11">
        <v>0.427</v>
      </c>
      <c r="H2638" s="11">
        <v>1.801</v>
      </c>
      <c r="I2638" s="9" t="s">
        <v>72</v>
      </c>
    </row>
    <row r="2639">
      <c r="A2639" s="12" t="s">
        <v>157</v>
      </c>
      <c r="B2639" s="5" t="s">
        <v>84</v>
      </c>
      <c r="C2639" s="11">
        <v>0.359</v>
      </c>
      <c r="D2639" s="11">
        <v>20.0</v>
      </c>
      <c r="E2639" s="8"/>
      <c r="F2639" s="11">
        <v>263.0</v>
      </c>
      <c r="G2639" s="11">
        <v>0.31</v>
      </c>
      <c r="H2639" s="11">
        <v>0.669</v>
      </c>
      <c r="I2639" s="9" t="s">
        <v>72</v>
      </c>
    </row>
    <row r="2640">
      <c r="A2640" s="12" t="s">
        <v>133</v>
      </c>
      <c r="B2640" s="5" t="s">
        <v>84</v>
      </c>
      <c r="C2640" s="11">
        <v>0.353</v>
      </c>
      <c r="D2640" s="11">
        <v>56.0</v>
      </c>
      <c r="E2640" s="8"/>
      <c r="F2640" s="11">
        <v>654.0</v>
      </c>
      <c r="G2640" s="11">
        <v>0.314</v>
      </c>
      <c r="H2640" s="11">
        <v>1.006</v>
      </c>
      <c r="I2640" s="9" t="s">
        <v>72</v>
      </c>
    </row>
    <row r="2641">
      <c r="A2641" s="12" t="s">
        <v>132</v>
      </c>
      <c r="B2641" s="5" t="s">
        <v>84</v>
      </c>
      <c r="C2641" s="11">
        <v>0.412</v>
      </c>
      <c r="D2641" s="11">
        <v>19.0</v>
      </c>
      <c r="E2641" s="8"/>
      <c r="F2641" s="11">
        <v>324.0</v>
      </c>
      <c r="G2641" s="11">
        <v>0.38</v>
      </c>
      <c r="H2641" s="11">
        <v>0.864</v>
      </c>
      <c r="I2641" s="9" t="s">
        <v>72</v>
      </c>
    </row>
    <row r="2642">
      <c r="A2642" s="12" t="s">
        <v>223</v>
      </c>
      <c r="B2642" s="5" t="s">
        <v>84</v>
      </c>
      <c r="C2642" s="11">
        <v>0.35</v>
      </c>
      <c r="D2642" s="11">
        <v>35.0</v>
      </c>
      <c r="E2642" s="8"/>
      <c r="F2642" s="11">
        <v>387.0</v>
      </c>
      <c r="G2642" s="11">
        <v>0.248</v>
      </c>
      <c r="H2642" s="11">
        <v>0.993</v>
      </c>
      <c r="I2642" s="9" t="s">
        <v>72</v>
      </c>
    </row>
    <row r="2643">
      <c r="A2643" s="12" t="s">
        <v>213</v>
      </c>
      <c r="B2643" s="5" t="s">
        <v>84</v>
      </c>
      <c r="C2643" s="11">
        <v>0.669</v>
      </c>
      <c r="D2643" s="11">
        <v>39.0</v>
      </c>
      <c r="E2643" s="8"/>
      <c r="F2643" s="11">
        <v>207.0</v>
      </c>
      <c r="G2643" s="11">
        <v>0.106</v>
      </c>
      <c r="H2643" s="11">
        <v>0.817</v>
      </c>
      <c r="I2643" s="9" t="s">
        <v>72</v>
      </c>
    </row>
    <row r="2644">
      <c r="A2644" s="12" t="s">
        <v>98</v>
      </c>
      <c r="B2644" s="5" t="s">
        <v>84</v>
      </c>
      <c r="C2644" s="11">
        <v>0.332</v>
      </c>
      <c r="D2644" s="11">
        <v>44.0</v>
      </c>
      <c r="E2644" s="8"/>
      <c r="F2644" s="11">
        <v>147.0</v>
      </c>
      <c r="G2644" s="11">
        <v>0.187</v>
      </c>
      <c r="H2644" s="11">
        <v>0.703</v>
      </c>
      <c r="I2644" s="9" t="s">
        <v>72</v>
      </c>
    </row>
    <row r="2645">
      <c r="A2645" s="12" t="s">
        <v>158</v>
      </c>
      <c r="B2645" s="5" t="s">
        <v>84</v>
      </c>
      <c r="C2645" s="11">
        <v>0.404</v>
      </c>
      <c r="D2645" s="11">
        <v>105.0</v>
      </c>
      <c r="E2645" s="8"/>
      <c r="F2645" s="11">
        <v>184.0</v>
      </c>
      <c r="G2645" s="11">
        <v>0.09</v>
      </c>
      <c r="H2645" s="11">
        <v>0.419</v>
      </c>
      <c r="I2645" s="9" t="s">
        <v>72</v>
      </c>
    </row>
    <row r="2646">
      <c r="A2646" s="12" t="s">
        <v>102</v>
      </c>
      <c r="B2646" s="5" t="s">
        <v>84</v>
      </c>
      <c r="C2646" s="11">
        <v>0.8</v>
      </c>
      <c r="D2646" s="11">
        <v>49.0</v>
      </c>
      <c r="E2646" s="8"/>
      <c r="F2646" s="11">
        <v>1080.0</v>
      </c>
      <c r="G2646" s="11">
        <v>0.3</v>
      </c>
      <c r="H2646" s="11">
        <v>0.809</v>
      </c>
      <c r="I2646" s="9" t="s">
        <v>72</v>
      </c>
    </row>
    <row r="2647">
      <c r="A2647" s="12" t="s">
        <v>159</v>
      </c>
      <c r="B2647" s="5" t="s">
        <v>84</v>
      </c>
      <c r="C2647" s="11">
        <v>0.436</v>
      </c>
      <c r="D2647" s="11">
        <v>14.0</v>
      </c>
      <c r="E2647" s="8"/>
      <c r="F2647" s="11">
        <v>224.0</v>
      </c>
      <c r="G2647" s="11">
        <v>0.159</v>
      </c>
      <c r="H2647" s="11">
        <v>1.037</v>
      </c>
      <c r="I2647" s="9" t="s">
        <v>72</v>
      </c>
    </row>
    <row r="2648">
      <c r="A2648" s="12" t="s">
        <v>154</v>
      </c>
      <c r="B2648" s="5" t="s">
        <v>84</v>
      </c>
      <c r="C2648" s="11">
        <v>0.409</v>
      </c>
      <c r="D2648" s="11">
        <v>37.0</v>
      </c>
      <c r="E2648" s="8"/>
      <c r="F2648" s="11">
        <v>344.0</v>
      </c>
      <c r="G2648" s="11">
        <v>0.123</v>
      </c>
      <c r="H2648" s="11">
        <v>1.325</v>
      </c>
      <c r="I2648" s="9" t="s">
        <v>72</v>
      </c>
    </row>
    <row r="2649">
      <c r="A2649" s="12" t="s">
        <v>242</v>
      </c>
      <c r="B2649" s="5" t="s">
        <v>84</v>
      </c>
      <c r="C2649" s="8"/>
      <c r="D2649" s="8"/>
      <c r="E2649" s="8"/>
      <c r="F2649" s="8"/>
      <c r="G2649" s="8"/>
      <c r="H2649" s="8"/>
      <c r="I2649" s="9" t="s">
        <v>73</v>
      </c>
    </row>
    <row r="2650">
      <c r="A2650" s="12" t="s">
        <v>272</v>
      </c>
      <c r="B2650" s="5" t="s">
        <v>84</v>
      </c>
      <c r="C2650" s="8"/>
      <c r="D2650" s="8"/>
      <c r="E2650" s="8"/>
      <c r="F2650" s="8"/>
      <c r="G2650" s="8"/>
      <c r="H2650" s="8"/>
      <c r="I2650" s="9" t="s">
        <v>73</v>
      </c>
    </row>
    <row r="2651">
      <c r="A2651" s="12" t="s">
        <v>131</v>
      </c>
      <c r="B2651" s="5" t="s">
        <v>84</v>
      </c>
      <c r="C2651" s="11">
        <v>0.371</v>
      </c>
      <c r="D2651" s="11">
        <v>12.0</v>
      </c>
      <c r="E2651" s="11">
        <v>69.0</v>
      </c>
      <c r="F2651" s="11">
        <v>117.0</v>
      </c>
      <c r="G2651" s="11">
        <v>0.552</v>
      </c>
      <c r="H2651" s="11">
        <v>1.525</v>
      </c>
      <c r="I2651" s="9" t="s">
        <v>73</v>
      </c>
    </row>
    <row r="2652">
      <c r="A2652" s="12" t="s">
        <v>252</v>
      </c>
      <c r="B2652" s="5" t="s">
        <v>84</v>
      </c>
      <c r="C2652" s="11">
        <v>0.519</v>
      </c>
      <c r="D2652" s="11">
        <v>19.0</v>
      </c>
      <c r="E2652" s="11">
        <v>97.0</v>
      </c>
      <c r="F2652" s="11">
        <v>203.0</v>
      </c>
      <c r="G2652" s="11">
        <v>0.793</v>
      </c>
      <c r="H2652" s="11">
        <v>1.418</v>
      </c>
      <c r="I2652" s="9" t="s">
        <v>73</v>
      </c>
    </row>
    <row r="2653">
      <c r="A2653" s="12" t="s">
        <v>87</v>
      </c>
      <c r="B2653" s="5" t="s">
        <v>84</v>
      </c>
      <c r="C2653" s="8"/>
      <c r="D2653" s="8"/>
      <c r="E2653" s="8"/>
      <c r="F2653" s="8"/>
      <c r="G2653" s="11">
        <v>0.74</v>
      </c>
      <c r="H2653" s="11">
        <v>1.319</v>
      </c>
      <c r="I2653" s="9" t="s">
        <v>73</v>
      </c>
    </row>
    <row r="2654">
      <c r="A2654" s="12" t="s">
        <v>125</v>
      </c>
      <c r="B2654" s="5" t="s">
        <v>84</v>
      </c>
      <c r="C2654" s="8"/>
      <c r="D2654" s="8"/>
      <c r="E2654" s="8"/>
      <c r="F2654" s="8"/>
      <c r="G2654" s="11">
        <v>0.256</v>
      </c>
      <c r="H2654" s="11">
        <v>0.149</v>
      </c>
      <c r="I2654" s="9" t="s">
        <v>73</v>
      </c>
    </row>
    <row r="2655">
      <c r="A2655" s="12" t="s">
        <v>228</v>
      </c>
      <c r="B2655" s="5" t="s">
        <v>84</v>
      </c>
      <c r="C2655" s="11">
        <v>0.507</v>
      </c>
      <c r="D2655" s="11">
        <v>6.0</v>
      </c>
      <c r="E2655" s="11">
        <v>37.0</v>
      </c>
      <c r="F2655" s="11">
        <v>218.0</v>
      </c>
      <c r="G2655" s="11">
        <v>0.69</v>
      </c>
      <c r="H2655" s="11">
        <v>0.826</v>
      </c>
      <c r="I2655" s="9" t="s">
        <v>73</v>
      </c>
    </row>
    <row r="2656">
      <c r="A2656" s="12" t="s">
        <v>112</v>
      </c>
      <c r="B2656" s="5" t="s">
        <v>84</v>
      </c>
      <c r="C2656" s="11">
        <v>0.246</v>
      </c>
      <c r="D2656" s="11">
        <v>5.0</v>
      </c>
      <c r="E2656" s="11">
        <v>17.0</v>
      </c>
      <c r="F2656" s="11">
        <v>131.0</v>
      </c>
      <c r="G2656" s="11">
        <v>0.83</v>
      </c>
      <c r="H2656" s="11">
        <v>0.801</v>
      </c>
      <c r="I2656" s="9" t="s">
        <v>73</v>
      </c>
    </row>
    <row r="2657">
      <c r="A2657" s="12" t="s">
        <v>100</v>
      </c>
      <c r="B2657" s="5" t="s">
        <v>84</v>
      </c>
      <c r="C2657" s="8"/>
      <c r="D2657" s="8"/>
      <c r="E2657" s="8"/>
      <c r="F2657" s="8"/>
      <c r="G2657" s="11">
        <v>0.913</v>
      </c>
      <c r="H2657" s="11">
        <v>1.395</v>
      </c>
      <c r="I2657" s="9" t="s">
        <v>73</v>
      </c>
    </row>
    <row r="2658">
      <c r="A2658" s="12" t="s">
        <v>113</v>
      </c>
      <c r="B2658" s="5" t="s">
        <v>84</v>
      </c>
      <c r="C2658" s="8"/>
      <c r="D2658" s="8"/>
      <c r="E2658" s="8"/>
      <c r="F2658" s="8"/>
      <c r="G2658" s="11">
        <v>0.741</v>
      </c>
      <c r="H2658" s="11">
        <v>1.717</v>
      </c>
      <c r="I2658" s="9" t="s">
        <v>73</v>
      </c>
    </row>
    <row r="2659">
      <c r="A2659" s="12" t="s">
        <v>126</v>
      </c>
      <c r="B2659" s="5" t="s">
        <v>84</v>
      </c>
      <c r="C2659" s="8"/>
      <c r="D2659" s="8"/>
      <c r="E2659" s="8"/>
      <c r="F2659" s="8"/>
      <c r="G2659" s="8"/>
      <c r="H2659" s="11">
        <v>1.318</v>
      </c>
      <c r="I2659" s="9" t="s">
        <v>73</v>
      </c>
    </row>
    <row r="2660">
      <c r="A2660" s="12" t="s">
        <v>95</v>
      </c>
      <c r="B2660" s="5" t="s">
        <v>84</v>
      </c>
      <c r="C2660" s="11">
        <v>0.408</v>
      </c>
      <c r="D2660" s="11">
        <v>18.0</v>
      </c>
      <c r="E2660" s="11">
        <v>84.0</v>
      </c>
      <c r="F2660" s="11">
        <v>237.0</v>
      </c>
      <c r="G2660" s="11">
        <v>0.733</v>
      </c>
      <c r="H2660" s="11">
        <v>1.233</v>
      </c>
      <c r="I2660" s="9" t="s">
        <v>73</v>
      </c>
    </row>
    <row r="2661">
      <c r="A2661" s="12" t="s">
        <v>277</v>
      </c>
      <c r="B2661" s="5" t="s">
        <v>84</v>
      </c>
      <c r="C2661" s="11">
        <v>0.464</v>
      </c>
      <c r="D2661" s="11">
        <v>5.0</v>
      </c>
      <c r="E2661" s="11">
        <v>4.0</v>
      </c>
      <c r="F2661" s="11">
        <v>175.0</v>
      </c>
      <c r="G2661" s="11">
        <v>0.793</v>
      </c>
      <c r="H2661" s="11">
        <v>0.96</v>
      </c>
      <c r="I2661" s="9" t="s">
        <v>73</v>
      </c>
    </row>
    <row r="2662">
      <c r="A2662" s="12" t="s">
        <v>151</v>
      </c>
      <c r="B2662" s="5" t="s">
        <v>84</v>
      </c>
      <c r="C2662" s="8"/>
      <c r="D2662" s="8"/>
      <c r="E2662" s="8"/>
      <c r="F2662" s="8"/>
      <c r="G2662" s="11">
        <v>0.649</v>
      </c>
      <c r="H2662" s="11">
        <v>1.047</v>
      </c>
      <c r="I2662" s="9" t="s">
        <v>73</v>
      </c>
    </row>
    <row r="2663">
      <c r="A2663" s="12" t="s">
        <v>116</v>
      </c>
      <c r="B2663" s="5" t="s">
        <v>84</v>
      </c>
      <c r="C2663" s="11">
        <v>0.277</v>
      </c>
      <c r="D2663" s="11">
        <v>8.0</v>
      </c>
      <c r="E2663" s="11">
        <v>34.0</v>
      </c>
      <c r="F2663" s="11">
        <v>291.0</v>
      </c>
      <c r="G2663" s="11">
        <v>0.614</v>
      </c>
      <c r="H2663" s="11">
        <v>1.371</v>
      </c>
      <c r="I2663" s="9" t="s">
        <v>73</v>
      </c>
    </row>
    <row r="2664">
      <c r="A2664" s="12" t="s">
        <v>268</v>
      </c>
      <c r="B2664" s="5" t="s">
        <v>84</v>
      </c>
      <c r="C2664" s="11">
        <v>0.291</v>
      </c>
      <c r="D2664" s="11">
        <v>41.0</v>
      </c>
      <c r="E2664" s="11">
        <v>63.0</v>
      </c>
      <c r="F2664" s="11">
        <v>210.0</v>
      </c>
      <c r="G2664" s="11">
        <v>0.595</v>
      </c>
      <c r="H2664" s="11">
        <v>1.408</v>
      </c>
      <c r="I2664" s="9" t="s">
        <v>73</v>
      </c>
    </row>
    <row r="2665">
      <c r="A2665" s="12" t="s">
        <v>105</v>
      </c>
      <c r="B2665" s="5" t="s">
        <v>84</v>
      </c>
      <c r="C2665" s="11">
        <v>0.685</v>
      </c>
      <c r="D2665" s="11">
        <v>119.0</v>
      </c>
      <c r="E2665" s="11">
        <v>118.0</v>
      </c>
      <c r="F2665" s="11">
        <v>2600.0</v>
      </c>
      <c r="G2665" s="11">
        <v>0.486</v>
      </c>
      <c r="H2665" s="11">
        <v>1.25</v>
      </c>
      <c r="I2665" s="9" t="s">
        <v>73</v>
      </c>
    </row>
    <row r="2666">
      <c r="A2666" s="12" t="s">
        <v>171</v>
      </c>
      <c r="B2666" s="5" t="s">
        <v>84</v>
      </c>
      <c r="C2666" s="11">
        <v>0.443</v>
      </c>
      <c r="D2666" s="11">
        <v>7.0</v>
      </c>
      <c r="E2666" s="11">
        <v>91.0</v>
      </c>
      <c r="F2666" s="11">
        <v>368.0</v>
      </c>
      <c r="G2666" s="11">
        <v>0.338</v>
      </c>
      <c r="H2666" s="11">
        <v>0.98</v>
      </c>
      <c r="I2666" s="9" t="s">
        <v>73</v>
      </c>
    </row>
    <row r="2667">
      <c r="A2667" s="12" t="s">
        <v>91</v>
      </c>
      <c r="B2667" s="5" t="s">
        <v>84</v>
      </c>
      <c r="C2667" s="11">
        <v>0.466</v>
      </c>
      <c r="D2667" s="11">
        <v>24.0</v>
      </c>
      <c r="E2667" s="11">
        <v>76.0</v>
      </c>
      <c r="F2667" s="11">
        <v>58.0</v>
      </c>
      <c r="G2667" s="11">
        <v>0.717</v>
      </c>
      <c r="H2667" s="11">
        <v>0.807</v>
      </c>
      <c r="I2667" s="9" t="s">
        <v>73</v>
      </c>
    </row>
    <row r="2668">
      <c r="A2668" s="12" t="s">
        <v>278</v>
      </c>
      <c r="B2668" s="5" t="s">
        <v>84</v>
      </c>
      <c r="C2668" s="11">
        <v>0.419</v>
      </c>
      <c r="D2668" s="11">
        <v>7.0</v>
      </c>
      <c r="E2668" s="11">
        <v>85.0</v>
      </c>
      <c r="F2668" s="11">
        <v>310.0</v>
      </c>
      <c r="G2668" s="11">
        <v>0.545</v>
      </c>
      <c r="H2668" s="11">
        <v>1.471</v>
      </c>
      <c r="I2668" s="9" t="s">
        <v>73</v>
      </c>
    </row>
    <row r="2669">
      <c r="A2669" s="12" t="s">
        <v>122</v>
      </c>
      <c r="B2669" s="5" t="s">
        <v>84</v>
      </c>
      <c r="C2669" s="11">
        <v>0.553</v>
      </c>
      <c r="D2669" s="11">
        <v>60.0</v>
      </c>
      <c r="E2669" s="11">
        <v>109.0</v>
      </c>
      <c r="F2669" s="11">
        <v>226.0</v>
      </c>
      <c r="G2669" s="11">
        <v>0.475</v>
      </c>
      <c r="H2669" s="11">
        <v>1.119</v>
      </c>
      <c r="I2669" s="9" t="s">
        <v>73</v>
      </c>
    </row>
    <row r="2670">
      <c r="A2670" s="12" t="s">
        <v>253</v>
      </c>
      <c r="B2670" s="5" t="s">
        <v>84</v>
      </c>
      <c r="C2670" s="11">
        <v>0.346</v>
      </c>
      <c r="D2670" s="11">
        <v>15.0</v>
      </c>
      <c r="E2670" s="11">
        <v>59.0</v>
      </c>
      <c r="F2670" s="11">
        <v>92.0</v>
      </c>
      <c r="G2670" s="11">
        <v>0.348</v>
      </c>
      <c r="H2670" s="11">
        <v>1.194</v>
      </c>
      <c r="I2670" s="9" t="s">
        <v>73</v>
      </c>
    </row>
    <row r="2671">
      <c r="A2671" s="12" t="s">
        <v>254</v>
      </c>
      <c r="B2671" s="5" t="s">
        <v>84</v>
      </c>
      <c r="C2671" s="8"/>
      <c r="D2671" s="8"/>
      <c r="E2671" s="8"/>
      <c r="F2671" s="8"/>
      <c r="G2671" s="8"/>
      <c r="H2671" s="8"/>
      <c r="I2671" s="9" t="s">
        <v>73</v>
      </c>
    </row>
    <row r="2672">
      <c r="A2672" s="12" t="s">
        <v>255</v>
      </c>
      <c r="B2672" s="5" t="s">
        <v>84</v>
      </c>
      <c r="C2672" s="11">
        <v>0.387</v>
      </c>
      <c r="D2672" s="11">
        <v>10.0</v>
      </c>
      <c r="E2672" s="11">
        <v>75.0</v>
      </c>
      <c r="F2672" s="11">
        <v>111.0</v>
      </c>
      <c r="G2672" s="11">
        <v>0.475</v>
      </c>
      <c r="H2672" s="11">
        <v>1.161</v>
      </c>
      <c r="I2672" s="9" t="s">
        <v>73</v>
      </c>
    </row>
    <row r="2673">
      <c r="A2673" s="12" t="s">
        <v>85</v>
      </c>
      <c r="B2673" s="5" t="s">
        <v>84</v>
      </c>
      <c r="C2673" s="11">
        <v>1.078</v>
      </c>
      <c r="D2673" s="11">
        <v>25.0</v>
      </c>
      <c r="E2673" s="11">
        <v>121.0</v>
      </c>
      <c r="F2673" s="11">
        <v>405.0</v>
      </c>
      <c r="G2673" s="11">
        <v>0.558</v>
      </c>
      <c r="H2673" s="11">
        <v>1.566</v>
      </c>
      <c r="I2673" s="9" t="s">
        <v>73</v>
      </c>
    </row>
    <row r="2674">
      <c r="A2674" s="12" t="s">
        <v>83</v>
      </c>
      <c r="B2674" s="5" t="s">
        <v>84</v>
      </c>
      <c r="C2674" s="11">
        <v>0.41</v>
      </c>
      <c r="D2674" s="11">
        <v>21.0</v>
      </c>
      <c r="E2674" s="11">
        <v>66.0</v>
      </c>
      <c r="F2674" s="11">
        <v>207.0</v>
      </c>
      <c r="G2674" s="11">
        <v>0.59</v>
      </c>
      <c r="H2674" s="11">
        <v>1.43</v>
      </c>
      <c r="I2674" s="9" t="s">
        <v>73</v>
      </c>
    </row>
    <row r="2675">
      <c r="A2675" s="12" t="s">
        <v>257</v>
      </c>
      <c r="B2675" s="5" t="s">
        <v>84</v>
      </c>
      <c r="C2675" s="11">
        <v>0.279</v>
      </c>
      <c r="D2675" s="11">
        <v>694.0</v>
      </c>
      <c r="E2675" s="11">
        <v>165.0</v>
      </c>
      <c r="F2675" s="11">
        <v>199.0</v>
      </c>
      <c r="G2675" s="11">
        <v>0.347</v>
      </c>
      <c r="H2675" s="11">
        <v>1.065</v>
      </c>
      <c r="I2675" s="9" t="s">
        <v>73</v>
      </c>
    </row>
    <row r="2676">
      <c r="A2676" s="12" t="s">
        <v>152</v>
      </c>
      <c r="B2676" s="5" t="s">
        <v>84</v>
      </c>
      <c r="C2676" s="11">
        <v>0.453</v>
      </c>
      <c r="D2676" s="11">
        <v>15.0</v>
      </c>
      <c r="E2676" s="11">
        <v>102.0</v>
      </c>
      <c r="F2676" s="11">
        <v>140.0</v>
      </c>
      <c r="G2676" s="11">
        <v>0.32</v>
      </c>
      <c r="H2676" s="11">
        <v>1.232</v>
      </c>
      <c r="I2676" s="9" t="s">
        <v>73</v>
      </c>
    </row>
    <row r="2677">
      <c r="A2677" s="12" t="s">
        <v>118</v>
      </c>
      <c r="B2677" s="5" t="s">
        <v>84</v>
      </c>
      <c r="C2677" s="11">
        <v>0.76</v>
      </c>
      <c r="D2677" s="11">
        <v>15.0</v>
      </c>
      <c r="E2677" s="11">
        <v>42.0</v>
      </c>
      <c r="F2677" s="11">
        <v>203.0</v>
      </c>
      <c r="G2677" s="11">
        <v>0.49</v>
      </c>
      <c r="H2677" s="11">
        <v>1.029</v>
      </c>
      <c r="I2677" s="9" t="s">
        <v>73</v>
      </c>
    </row>
    <row r="2678">
      <c r="A2678" s="12" t="s">
        <v>199</v>
      </c>
      <c r="B2678" s="5" t="s">
        <v>84</v>
      </c>
      <c r="C2678" s="11">
        <v>0.525</v>
      </c>
      <c r="D2678" s="11">
        <v>6.0</v>
      </c>
      <c r="E2678" s="11">
        <v>51.0</v>
      </c>
      <c r="F2678" s="11">
        <v>337.0</v>
      </c>
      <c r="G2678" s="11">
        <v>0.398</v>
      </c>
      <c r="H2678" s="11">
        <v>0.834</v>
      </c>
      <c r="I2678" s="9" t="s">
        <v>73</v>
      </c>
    </row>
    <row r="2679">
      <c r="A2679" s="12" t="s">
        <v>135</v>
      </c>
      <c r="B2679" s="5" t="s">
        <v>84</v>
      </c>
      <c r="C2679" s="11">
        <v>0.348</v>
      </c>
      <c r="D2679" s="11">
        <v>17.0</v>
      </c>
      <c r="E2679" s="11">
        <v>115.0</v>
      </c>
      <c r="F2679" s="11">
        <v>320.0</v>
      </c>
      <c r="G2679" s="11">
        <v>0.203</v>
      </c>
      <c r="H2679" s="11">
        <v>1.373</v>
      </c>
      <c r="I2679" s="9" t="s">
        <v>73</v>
      </c>
    </row>
    <row r="2680">
      <c r="A2680" s="12" t="s">
        <v>224</v>
      </c>
      <c r="B2680" s="5" t="s">
        <v>84</v>
      </c>
      <c r="C2680" s="11">
        <v>0.364</v>
      </c>
      <c r="D2680" s="11">
        <v>25.0</v>
      </c>
      <c r="E2680" s="11">
        <v>39.0</v>
      </c>
      <c r="F2680" s="11">
        <v>293.0</v>
      </c>
      <c r="G2680" s="11">
        <v>0.382</v>
      </c>
      <c r="H2680" s="11">
        <v>0.98</v>
      </c>
      <c r="I2680" s="9" t="s">
        <v>73</v>
      </c>
    </row>
    <row r="2681">
      <c r="A2681" s="12" t="s">
        <v>281</v>
      </c>
      <c r="B2681" s="5" t="s">
        <v>84</v>
      </c>
      <c r="C2681" s="11">
        <v>0.619</v>
      </c>
      <c r="D2681" s="11">
        <v>144.0</v>
      </c>
      <c r="E2681" s="11">
        <v>180.0</v>
      </c>
      <c r="F2681" s="11">
        <v>792.0</v>
      </c>
      <c r="G2681" s="11">
        <v>0.491</v>
      </c>
      <c r="H2681" s="11">
        <v>1.021</v>
      </c>
      <c r="I2681" s="9" t="s">
        <v>73</v>
      </c>
    </row>
    <row r="2682">
      <c r="A2682" s="12" t="s">
        <v>221</v>
      </c>
      <c r="B2682" s="5" t="s">
        <v>84</v>
      </c>
      <c r="C2682" s="11">
        <v>0.405</v>
      </c>
      <c r="D2682" s="11">
        <v>7.0</v>
      </c>
      <c r="E2682" s="11">
        <v>61.0</v>
      </c>
      <c r="F2682" s="11">
        <v>431.0</v>
      </c>
      <c r="G2682" s="11">
        <v>0.403</v>
      </c>
      <c r="H2682" s="11">
        <v>1.634</v>
      </c>
      <c r="I2682" s="9" t="s">
        <v>73</v>
      </c>
    </row>
    <row r="2683">
      <c r="A2683" s="12" t="s">
        <v>157</v>
      </c>
      <c r="B2683" s="5" t="s">
        <v>84</v>
      </c>
      <c r="C2683" s="11">
        <v>0.359</v>
      </c>
      <c r="D2683" s="11">
        <v>20.0</v>
      </c>
      <c r="E2683" s="11">
        <v>113.0</v>
      </c>
      <c r="F2683" s="11">
        <v>263.0</v>
      </c>
      <c r="G2683" s="11">
        <v>0.33</v>
      </c>
      <c r="H2683" s="11">
        <v>0.688</v>
      </c>
      <c r="I2683" s="9" t="s">
        <v>73</v>
      </c>
    </row>
    <row r="2684">
      <c r="A2684" s="12" t="s">
        <v>132</v>
      </c>
      <c r="B2684" s="5" t="s">
        <v>84</v>
      </c>
      <c r="C2684" s="11">
        <v>0.434</v>
      </c>
      <c r="D2684" s="11">
        <v>19.0</v>
      </c>
      <c r="E2684" s="11">
        <v>112.0</v>
      </c>
      <c r="F2684" s="11">
        <v>324.0</v>
      </c>
      <c r="G2684" s="11">
        <v>0.412</v>
      </c>
      <c r="H2684" s="11">
        <v>0.869</v>
      </c>
      <c r="I2684" s="9" t="s">
        <v>73</v>
      </c>
    </row>
    <row r="2685">
      <c r="A2685" s="12" t="s">
        <v>133</v>
      </c>
      <c r="B2685" s="5" t="s">
        <v>84</v>
      </c>
      <c r="C2685" s="11">
        <v>0.346</v>
      </c>
      <c r="D2685" s="11">
        <v>56.0</v>
      </c>
      <c r="E2685" s="11">
        <v>134.0</v>
      </c>
      <c r="F2685" s="11">
        <v>654.0</v>
      </c>
      <c r="G2685" s="11">
        <v>0.351</v>
      </c>
      <c r="H2685" s="11">
        <v>1.062</v>
      </c>
      <c r="I2685" s="9" t="s">
        <v>73</v>
      </c>
    </row>
    <row r="2686">
      <c r="A2686" s="12" t="s">
        <v>213</v>
      </c>
      <c r="B2686" s="5" t="s">
        <v>84</v>
      </c>
      <c r="C2686" s="11">
        <v>0.649</v>
      </c>
      <c r="D2686" s="11">
        <v>39.0</v>
      </c>
      <c r="E2686" s="11">
        <v>123.0</v>
      </c>
      <c r="F2686" s="11">
        <v>207.0</v>
      </c>
      <c r="G2686" s="11">
        <v>0.135</v>
      </c>
      <c r="H2686" s="11">
        <v>0.977</v>
      </c>
      <c r="I2686" s="9" t="s">
        <v>73</v>
      </c>
    </row>
    <row r="2687">
      <c r="A2687" s="12" t="s">
        <v>223</v>
      </c>
      <c r="B2687" s="5" t="s">
        <v>84</v>
      </c>
      <c r="C2687" s="11">
        <v>0.35</v>
      </c>
      <c r="D2687" s="11">
        <v>35.0</v>
      </c>
      <c r="E2687" s="11">
        <v>107.0</v>
      </c>
      <c r="F2687" s="11">
        <v>387.0</v>
      </c>
      <c r="G2687" s="11">
        <v>0.293</v>
      </c>
      <c r="H2687" s="11">
        <v>1.016</v>
      </c>
      <c r="I2687" s="9" t="s">
        <v>73</v>
      </c>
    </row>
    <row r="2688">
      <c r="A2688" s="12" t="s">
        <v>98</v>
      </c>
      <c r="B2688" s="5" t="s">
        <v>84</v>
      </c>
      <c r="C2688" s="11">
        <v>0.332</v>
      </c>
      <c r="D2688" s="11">
        <v>44.0</v>
      </c>
      <c r="E2688" s="11">
        <v>104.0</v>
      </c>
      <c r="F2688" s="11">
        <v>147.0</v>
      </c>
      <c r="G2688" s="11">
        <v>0.25</v>
      </c>
      <c r="H2688" s="11">
        <v>0.532</v>
      </c>
      <c r="I2688" s="9" t="s">
        <v>73</v>
      </c>
    </row>
    <row r="2689">
      <c r="A2689" s="12" t="s">
        <v>158</v>
      </c>
      <c r="B2689" s="5" t="s">
        <v>84</v>
      </c>
      <c r="C2689" s="11">
        <v>0.404</v>
      </c>
      <c r="D2689" s="11">
        <v>105.0</v>
      </c>
      <c r="E2689" s="11">
        <v>177.0</v>
      </c>
      <c r="F2689" s="11">
        <v>184.0</v>
      </c>
      <c r="G2689" s="11">
        <v>0.098</v>
      </c>
      <c r="H2689" s="11">
        <v>0.599</v>
      </c>
      <c r="I2689" s="9" t="s">
        <v>73</v>
      </c>
    </row>
    <row r="2690">
      <c r="A2690" s="12" t="s">
        <v>102</v>
      </c>
      <c r="B2690" s="5" t="s">
        <v>84</v>
      </c>
      <c r="C2690" s="11">
        <v>0.834</v>
      </c>
      <c r="D2690" s="11">
        <v>49.0</v>
      </c>
      <c r="E2690" s="11">
        <v>158.0</v>
      </c>
      <c r="F2690" s="11">
        <v>1025.0</v>
      </c>
      <c r="G2690" s="11">
        <v>0.355</v>
      </c>
      <c r="H2690" s="11">
        <v>0.904</v>
      </c>
      <c r="I2690" s="9" t="s">
        <v>73</v>
      </c>
    </row>
    <row r="2691">
      <c r="A2691" s="12" t="s">
        <v>159</v>
      </c>
      <c r="B2691" s="5" t="s">
        <v>84</v>
      </c>
      <c r="C2691" s="11">
        <v>0.4</v>
      </c>
      <c r="D2691" s="11">
        <v>14.0</v>
      </c>
      <c r="E2691" s="11">
        <v>125.0</v>
      </c>
      <c r="F2691" s="11">
        <v>224.0</v>
      </c>
      <c r="G2691" s="11">
        <v>0.181</v>
      </c>
      <c r="H2691" s="11">
        <v>0.929</v>
      </c>
      <c r="I2691" s="9" t="s">
        <v>73</v>
      </c>
    </row>
    <row r="2692">
      <c r="A2692" s="12" t="s">
        <v>154</v>
      </c>
      <c r="B2692" s="5" t="s">
        <v>84</v>
      </c>
      <c r="C2692" s="11">
        <v>0.409</v>
      </c>
      <c r="D2692" s="11">
        <v>40.0</v>
      </c>
      <c r="E2692" s="11">
        <v>93.0</v>
      </c>
      <c r="F2692" s="11">
        <v>332.0</v>
      </c>
      <c r="G2692" s="11">
        <v>0.16</v>
      </c>
      <c r="H2692" s="11">
        <v>1.378</v>
      </c>
      <c r="I2692" s="9" t="s">
        <v>73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26.5"/>
    <col customWidth="1" min="13" max="13" width="16.63"/>
    <col customWidth="1" min="15" max="15" width="17.38"/>
    <col customWidth="1" min="25" max="25" width="17.63"/>
    <col customWidth="1" min="29" max="29" width="16.5"/>
  </cols>
  <sheetData>
    <row r="1">
      <c r="A1" s="5" t="s">
        <v>286</v>
      </c>
      <c r="B1" s="5" t="s">
        <v>5</v>
      </c>
      <c r="C1" s="5" t="s">
        <v>4</v>
      </c>
      <c r="D1" s="5" t="s">
        <v>46</v>
      </c>
      <c r="E1" s="5" t="s">
        <v>48</v>
      </c>
      <c r="F1" s="5" t="s">
        <v>50</v>
      </c>
      <c r="G1" s="5" t="s">
        <v>52</v>
      </c>
      <c r="H1" s="5" t="s">
        <v>54</v>
      </c>
      <c r="I1" s="5" t="s">
        <v>56</v>
      </c>
      <c r="J1" s="6" t="s">
        <v>58</v>
      </c>
      <c r="K1" s="5" t="s">
        <v>4</v>
      </c>
      <c r="L1" s="5" t="s">
        <v>41</v>
      </c>
      <c r="M1" s="5" t="s">
        <v>5</v>
      </c>
      <c r="N1" s="6" t="s">
        <v>58</v>
      </c>
      <c r="O1" s="5" t="s">
        <v>43</v>
      </c>
      <c r="P1" s="5" t="s">
        <v>22</v>
      </c>
      <c r="Q1" s="5" t="s">
        <v>24</v>
      </c>
      <c r="R1" s="5" t="s">
        <v>26</v>
      </c>
      <c r="S1" s="5" t="s">
        <v>28</v>
      </c>
      <c r="T1" s="5" t="s">
        <v>30</v>
      </c>
      <c r="U1" s="5" t="s">
        <v>32</v>
      </c>
      <c r="V1" s="5" t="s">
        <v>34</v>
      </c>
      <c r="W1" s="5" t="s">
        <v>36</v>
      </c>
      <c r="X1" s="5" t="s">
        <v>38</v>
      </c>
      <c r="Y1" s="5" t="s">
        <v>5</v>
      </c>
      <c r="Z1" s="5" t="s">
        <v>4</v>
      </c>
      <c r="AA1" s="6" t="s">
        <v>58</v>
      </c>
      <c r="AB1" s="5" t="s">
        <v>4</v>
      </c>
      <c r="AC1" s="5" t="s">
        <v>5</v>
      </c>
      <c r="AD1" s="6" t="s">
        <v>58</v>
      </c>
      <c r="AE1" s="5" t="s">
        <v>17</v>
      </c>
      <c r="AF1" s="5" t="s">
        <v>19</v>
      </c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</row>
    <row r="2">
      <c r="A2" s="12">
        <f t="array" ref="A2:A2692">SEQUENCE(2691)</f>
        <v>1</v>
      </c>
      <c r="B2" s="12" t="s">
        <v>59</v>
      </c>
      <c r="C2" s="5" t="s">
        <v>61</v>
      </c>
      <c r="D2" s="8"/>
      <c r="E2" s="8"/>
      <c r="F2" s="8"/>
      <c r="G2" s="8"/>
      <c r="H2" s="8"/>
      <c r="I2" s="8"/>
      <c r="J2" s="9" t="s">
        <v>60</v>
      </c>
      <c r="K2" s="14" t="str">
        <f>IFERROR(__xludf.DUMMYFUNCTION("ARRAYFORMULA(VLOOKUP(A2,IMPORTRANGE(""https://docs.google.com/spreadsheets/d/1BuTWp7qHGjWhqrnf-OmePP568O4A5Am9ttzvVdP67zw/edit#gid=1603210130"", ""TOURISM!$A$2:$F$2692""), {2,3,4,5,6},0))"),"Asia")</f>
        <v>Asia</v>
      </c>
      <c r="L2" s="14"/>
      <c r="M2" s="14" t="str">
        <f>IFERROR(__xludf.DUMMYFUNCTION("""COMPUTED_VALUE"""),"Afghanistan-Asia")</f>
        <v>Afghanistan-Asia</v>
      </c>
      <c r="N2" s="14" t="str">
        <f>IFERROR(__xludf.DUMMYFUNCTION("""COMPUTED_VALUE"""),"2000")</f>
        <v>2000</v>
      </c>
      <c r="O2" s="14"/>
      <c r="P2" s="15">
        <f>IFERROR(__xludf.DUMMYFUNCTION("ARRAYFORMULA(VLOOKUP(A2,IMPORTRANGE(""https://docs.google.com/spreadsheets/d/1BuTWp7qHGjWhqrnf-OmePP568O4A5Am9ttzvVdP67zw/edit#gid=771602874"" ,""HUMAN RESOURCES!$A$2:$M$2692""), {2,3,4,5,6,7,8,9,10,11,12,13},0))"),0.05)</f>
        <v>0.05</v>
      </c>
      <c r="Q2" s="14">
        <f>IFERROR(__xludf.DUMMYFUNCTION("""COMPUTED_VALUE"""),0.095)</f>
        <v>0.095</v>
      </c>
      <c r="R2" s="14">
        <f>IFERROR(__xludf.DUMMYFUNCTION("""COMPUTED_VALUE"""),56.0)</f>
        <v>56</v>
      </c>
      <c r="S2" s="14">
        <f>IFERROR(__xludf.DUMMYFUNCTION("""COMPUTED_VALUE"""),54.0)</f>
        <v>54</v>
      </c>
      <c r="T2" s="14">
        <f>IFERROR(__xludf.DUMMYFUNCTION("""COMPUTED_VALUE"""),0.495)</f>
        <v>0.495</v>
      </c>
      <c r="U2" s="14">
        <f>IFERROR(__xludf.DUMMYFUNCTION("""COMPUTED_VALUE"""),0.485)</f>
        <v>0.485</v>
      </c>
      <c r="V2" s="14">
        <f>IFERROR(__xludf.DUMMYFUNCTION("""COMPUTED_VALUE"""),0.02)</f>
        <v>0.02</v>
      </c>
      <c r="W2" s="14">
        <f>IFERROR(__xludf.DUMMYFUNCTION("""COMPUTED_VALUE"""),2.059536E7)</f>
        <v>20595360</v>
      </c>
      <c r="X2" s="14">
        <f>IFERROR(__xludf.DUMMYFUNCTION("""COMPUTED_VALUE"""),0.213)</f>
        <v>0.213</v>
      </c>
      <c r="Y2" s="14" t="str">
        <f>IFERROR(__xludf.DUMMYFUNCTION("""COMPUTED_VALUE"""),"Afghanistan-Asia")</f>
        <v>Afghanistan-Asia</v>
      </c>
      <c r="Z2" s="14" t="str">
        <f>IFERROR(__xludf.DUMMYFUNCTION("""COMPUTED_VALUE"""),"Asia")</f>
        <v>Asia</v>
      </c>
      <c r="AA2" s="14" t="str">
        <f>IFERROR(__xludf.DUMMYFUNCTION("""COMPUTED_VALUE"""),"2000")</f>
        <v>2000</v>
      </c>
      <c r="AB2" s="15" t="str">
        <f>IFERROR(__xludf.DUMMYFUNCTION("ARRAYFORMULA(VLOOKUP(A2,IMPORTRANGE(""https://docs.google.com/spreadsheets/d/1BuTWp7qHGjWhqrnf-OmePP568O4A5Am9ttzvVdP67zw/edit#gid=1931367683"" ,""ENERGY!$A$2:$F$2692""), {2,3,4,5,6},0))"),"Asia")</f>
        <v>Asia</v>
      </c>
      <c r="AC2" s="14" t="str">
        <f>IFERROR(__xludf.DUMMYFUNCTION("""COMPUTED_VALUE"""),"Afghanistan-Asia")</f>
        <v>Afghanistan-Asia</v>
      </c>
      <c r="AD2" s="14" t="str">
        <f>IFERROR(__xludf.DUMMYFUNCTION("""COMPUTED_VALUE"""),"2000")</f>
        <v>2000</v>
      </c>
      <c r="AE2" s="14"/>
      <c r="AF2" s="14"/>
    </row>
    <row r="3">
      <c r="A3" s="12">
        <v>2.0</v>
      </c>
      <c r="B3" s="12" t="s">
        <v>59</v>
      </c>
      <c r="C3" s="5" t="s">
        <v>61</v>
      </c>
      <c r="D3" s="8"/>
      <c r="E3" s="8"/>
      <c r="F3" s="8"/>
      <c r="G3" s="8"/>
      <c r="H3" s="11">
        <v>0.0</v>
      </c>
      <c r="I3" s="8"/>
      <c r="J3" s="9" t="s">
        <v>62</v>
      </c>
      <c r="K3" s="14" t="str">
        <f>IFERROR(__xludf.DUMMYFUNCTION("ARRAYFORMULA(VLOOKUP(A3,IMPORTRANGE(""https://docs.google.com/spreadsheets/d/1BuTWp7qHGjWhqrnf-OmePP568O4A5Am9ttzvVdP67zw/edit#gid=1603210130"", ""TOURISM!$A$2:$F$2692""), {2,3,4,5,6},0))"),"Asia")</f>
        <v>Asia</v>
      </c>
      <c r="L3" s="14"/>
      <c r="M3" s="14" t="str">
        <f>IFERROR(__xludf.DUMMYFUNCTION("""COMPUTED_VALUE"""),"Afghanistan-Asia")</f>
        <v>Afghanistan-Asia</v>
      </c>
      <c r="N3" s="14" t="str">
        <f>IFERROR(__xludf.DUMMYFUNCTION("""COMPUTED_VALUE"""),"2001")</f>
        <v>2001</v>
      </c>
      <c r="O3" s="14"/>
      <c r="P3" s="15">
        <f>IFERROR(__xludf.DUMMYFUNCTION("ARRAYFORMULA(VLOOKUP(A3,IMPORTRANGE(""https://docs.google.com/spreadsheets/d/1BuTWp7qHGjWhqrnf-OmePP568O4A5Am9ttzvVdP67zw/edit#gid=771602874"" ,""HUMAN RESOURCES!$A$2:$M$2692""), {2,3,4,5,6,7,8,9,10,11,12,13},0))"),0.049)</f>
        <v>0.049</v>
      </c>
      <c r="Q3" s="14">
        <f>IFERROR(__xludf.DUMMYFUNCTION("""COMPUTED_VALUE"""),0.093)</f>
        <v>0.093</v>
      </c>
      <c r="R3" s="14">
        <f>IFERROR(__xludf.DUMMYFUNCTION("""COMPUTED_VALUE"""),56.0)</f>
        <v>56</v>
      </c>
      <c r="S3" s="14">
        <f>IFERROR(__xludf.DUMMYFUNCTION("""COMPUTED_VALUE"""),54.0)</f>
        <v>54</v>
      </c>
      <c r="T3" s="14">
        <f>IFERROR(__xludf.DUMMYFUNCTION("""COMPUTED_VALUE"""),0.495)</f>
        <v>0.495</v>
      </c>
      <c r="U3" s="14">
        <f>IFERROR(__xludf.DUMMYFUNCTION("""COMPUTED_VALUE"""),0.484)</f>
        <v>0.484</v>
      </c>
      <c r="V3" s="14">
        <f>IFERROR(__xludf.DUMMYFUNCTION("""COMPUTED_VALUE"""),0.02)</f>
        <v>0.02</v>
      </c>
      <c r="W3" s="14">
        <f>IFERROR(__xludf.DUMMYFUNCTION("""COMPUTED_VALUE"""),2.1347782E7)</f>
        <v>21347782</v>
      </c>
      <c r="X3" s="14">
        <f>IFERROR(__xludf.DUMMYFUNCTION("""COMPUTED_VALUE"""),0.216)</f>
        <v>0.216</v>
      </c>
      <c r="Y3" s="14" t="str">
        <f>IFERROR(__xludf.DUMMYFUNCTION("""COMPUTED_VALUE"""),"Afghanistan-Asia")</f>
        <v>Afghanistan-Asia</v>
      </c>
      <c r="Z3" s="14" t="str">
        <f>IFERROR(__xludf.DUMMYFUNCTION("""COMPUTED_VALUE"""),"Asia")</f>
        <v>Asia</v>
      </c>
      <c r="AA3" s="14" t="str">
        <f>IFERROR(__xludf.DUMMYFUNCTION("""COMPUTED_VALUE"""),"2001")</f>
        <v>2001</v>
      </c>
      <c r="AB3" s="15" t="str">
        <f>IFERROR(__xludf.DUMMYFUNCTION("ARRAYFORMULA(VLOOKUP(A3,IMPORTRANGE(""https://docs.google.com/spreadsheets/d/1BuTWp7qHGjWhqrnf-OmePP568O4A5Am9ttzvVdP67zw/edit#gid=1931367683"" ,""ENERGY!$A$2:$F$2692""), {2,3,4,5,6},0))"),"Asia")</f>
        <v>Asia</v>
      </c>
      <c r="AC3" s="14" t="str">
        <f>IFERROR(__xludf.DUMMYFUNCTION("""COMPUTED_VALUE"""),"Afghanistan-Asia")</f>
        <v>Afghanistan-Asia</v>
      </c>
      <c r="AD3" s="14" t="str">
        <f>IFERROR(__xludf.DUMMYFUNCTION("""COMPUTED_VALUE"""),"2001")</f>
        <v>2001</v>
      </c>
      <c r="AE3" s="14"/>
      <c r="AF3" s="14"/>
    </row>
    <row r="4">
      <c r="A4" s="12">
        <v>3.0</v>
      </c>
      <c r="B4" s="12" t="s">
        <v>59</v>
      </c>
      <c r="C4" s="5" t="s">
        <v>61</v>
      </c>
      <c r="D4" s="8"/>
      <c r="E4" s="8"/>
      <c r="F4" s="8"/>
      <c r="G4" s="8"/>
      <c r="H4" s="11">
        <v>0.0</v>
      </c>
      <c r="I4" s="11">
        <v>0.001</v>
      </c>
      <c r="J4" s="9" t="s">
        <v>63</v>
      </c>
      <c r="K4" s="14" t="str">
        <f>IFERROR(__xludf.DUMMYFUNCTION("ARRAYFORMULA(VLOOKUP(A4,IMPORTRANGE(""https://docs.google.com/spreadsheets/d/1BuTWp7qHGjWhqrnf-OmePP568O4A5Am9ttzvVdP67zw/edit#gid=1603210130"", ""TOURISM!$A$2:$F$2692""), {2,3,4,5,6},0))"),"Asia")</f>
        <v>Asia</v>
      </c>
      <c r="L4" s="14"/>
      <c r="M4" s="14" t="str">
        <f>IFERROR(__xludf.DUMMYFUNCTION("""COMPUTED_VALUE"""),"Afghanistan-Asia")</f>
        <v>Afghanistan-Asia</v>
      </c>
      <c r="N4" s="14" t="str">
        <f>IFERROR(__xludf.DUMMYFUNCTION("""COMPUTED_VALUE"""),"2002")</f>
        <v>2002</v>
      </c>
      <c r="O4" s="14"/>
      <c r="P4" s="15">
        <f>IFERROR(__xludf.DUMMYFUNCTION("ARRAYFORMULA(VLOOKUP(A4,IMPORTRANGE(""https://docs.google.com/spreadsheets/d/1BuTWp7qHGjWhqrnf-OmePP568O4A5Am9ttzvVdP67zw/edit#gid=771602874"" ,""HUMAN RESOURCES!$A$2:$M$2692""), {2,3,4,5,6,7,8,9,10,11,12,13},0))"),0.048)</f>
        <v>0.048</v>
      </c>
      <c r="Q4" s="14">
        <f>IFERROR(__xludf.DUMMYFUNCTION("""COMPUTED_VALUE"""),0.091)</f>
        <v>0.091</v>
      </c>
      <c r="R4" s="14">
        <f>IFERROR(__xludf.DUMMYFUNCTION("""COMPUTED_VALUE"""),57.0)</f>
        <v>57</v>
      </c>
      <c r="S4" s="14">
        <f>IFERROR(__xludf.DUMMYFUNCTION("""COMPUTED_VALUE"""),55.0)</f>
        <v>55</v>
      </c>
      <c r="T4" s="14">
        <f>IFERROR(__xludf.DUMMYFUNCTION("""COMPUTED_VALUE"""),0.495)</f>
        <v>0.495</v>
      </c>
      <c r="U4" s="14">
        <f>IFERROR(__xludf.DUMMYFUNCTION("""COMPUTED_VALUE"""),0.485)</f>
        <v>0.485</v>
      </c>
      <c r="V4" s="14">
        <f>IFERROR(__xludf.DUMMYFUNCTION("""COMPUTED_VALUE"""),0.02)</f>
        <v>0.02</v>
      </c>
      <c r="W4" s="14">
        <f>IFERROR(__xludf.DUMMYFUNCTION("""COMPUTED_VALUE"""),2.2202806E7)</f>
        <v>22202806</v>
      </c>
      <c r="X4" s="14">
        <f>IFERROR(__xludf.DUMMYFUNCTION("""COMPUTED_VALUE"""),0.219)</f>
        <v>0.219</v>
      </c>
      <c r="Y4" s="14" t="str">
        <f>IFERROR(__xludf.DUMMYFUNCTION("""COMPUTED_VALUE"""),"Afghanistan-Asia")</f>
        <v>Afghanistan-Asia</v>
      </c>
      <c r="Z4" s="14" t="str">
        <f>IFERROR(__xludf.DUMMYFUNCTION("""COMPUTED_VALUE"""),"Asia")</f>
        <v>Asia</v>
      </c>
      <c r="AA4" s="14" t="str">
        <f>IFERROR(__xludf.DUMMYFUNCTION("""COMPUTED_VALUE"""),"2002")</f>
        <v>2002</v>
      </c>
      <c r="AB4" s="15" t="str">
        <f>IFERROR(__xludf.DUMMYFUNCTION("ARRAYFORMULA(VLOOKUP(A4,IMPORTRANGE(""https://docs.google.com/spreadsheets/d/1BuTWp7qHGjWhqrnf-OmePP568O4A5Am9ttzvVdP67zw/edit#gid=1931367683"" ,""ENERGY!$A$2:$F$2692""), {2,3,4,5,6},0))"),"Asia")</f>
        <v>Asia</v>
      </c>
      <c r="AC4" s="14" t="str">
        <f>IFERROR(__xludf.DUMMYFUNCTION("""COMPUTED_VALUE"""),"Afghanistan-Asia")</f>
        <v>Afghanistan-Asia</v>
      </c>
      <c r="AD4" s="14" t="str">
        <f>IFERROR(__xludf.DUMMYFUNCTION("""COMPUTED_VALUE"""),"2002")</f>
        <v>2002</v>
      </c>
      <c r="AE4" s="14"/>
      <c r="AF4" s="14">
        <f>IFERROR(__xludf.DUMMYFUNCTION("""COMPUTED_VALUE"""),8236.0)</f>
        <v>8236</v>
      </c>
    </row>
    <row r="5">
      <c r="A5" s="12">
        <v>4.0</v>
      </c>
      <c r="B5" s="12" t="s">
        <v>59</v>
      </c>
      <c r="C5" s="5" t="s">
        <v>61</v>
      </c>
      <c r="D5" s="8"/>
      <c r="E5" s="8"/>
      <c r="F5" s="8"/>
      <c r="G5" s="8"/>
      <c r="H5" s="11">
        <v>0.001</v>
      </c>
      <c r="I5" s="11">
        <v>0.009</v>
      </c>
      <c r="J5" s="9" t="s">
        <v>64</v>
      </c>
      <c r="K5" s="14" t="str">
        <f>IFERROR(__xludf.DUMMYFUNCTION("ARRAYFORMULA(VLOOKUP(A5,IMPORTRANGE(""https://docs.google.com/spreadsheets/d/1BuTWp7qHGjWhqrnf-OmePP568O4A5Am9ttzvVdP67zw/edit#gid=1603210130"", ""TOURISM!$A$2:$F$2692""), {2,3,4,5,6},0))"),"Asia")</f>
        <v>Asia</v>
      </c>
      <c r="L5" s="14"/>
      <c r="M5" s="14" t="str">
        <f>IFERROR(__xludf.DUMMYFUNCTION("""COMPUTED_VALUE"""),"Afghanistan-Asia")</f>
        <v>Afghanistan-Asia</v>
      </c>
      <c r="N5" s="14" t="str">
        <f>IFERROR(__xludf.DUMMYFUNCTION("""COMPUTED_VALUE"""),"2003")</f>
        <v>2003</v>
      </c>
      <c r="O5" s="14"/>
      <c r="P5" s="15">
        <f>IFERROR(__xludf.DUMMYFUNCTION("ARRAYFORMULA(VLOOKUP(A5,IMPORTRANGE(""https://docs.google.com/spreadsheets/d/1BuTWp7qHGjWhqrnf-OmePP568O4A5Am9ttzvVdP67zw/edit#gid=771602874"" ,""HUMAN RESOURCES!$A$2:$M$2692""), {2,3,4,5,6,7,8,9,10,11,12,13},0))"),0.047)</f>
        <v>0.047</v>
      </c>
      <c r="Q5" s="14">
        <f>IFERROR(__xludf.DUMMYFUNCTION("""COMPUTED_VALUE"""),0.088)</f>
        <v>0.088</v>
      </c>
      <c r="R5" s="14">
        <f>IFERROR(__xludf.DUMMYFUNCTION("""COMPUTED_VALUE"""),57.0)</f>
        <v>57</v>
      </c>
      <c r="S5" s="14">
        <f>IFERROR(__xludf.DUMMYFUNCTION("""COMPUTED_VALUE"""),55.0)</f>
        <v>55</v>
      </c>
      <c r="T5" s="14">
        <f>IFERROR(__xludf.DUMMYFUNCTION("""COMPUTED_VALUE"""),0.494)</f>
        <v>0.494</v>
      </c>
      <c r="U5" s="14">
        <f>IFERROR(__xludf.DUMMYFUNCTION("""COMPUTED_VALUE"""),0.485)</f>
        <v>0.485</v>
      </c>
      <c r="V5" s="14">
        <f>IFERROR(__xludf.DUMMYFUNCTION("""COMPUTED_VALUE"""),0.02)</f>
        <v>0.02</v>
      </c>
      <c r="W5" s="14">
        <f>IFERROR(__xludf.DUMMYFUNCTION("""COMPUTED_VALUE"""),2.3116142E7)</f>
        <v>23116142</v>
      </c>
      <c r="X5" s="14">
        <f>IFERROR(__xludf.DUMMYFUNCTION("""COMPUTED_VALUE"""),0.222)</f>
        <v>0.222</v>
      </c>
      <c r="Y5" s="14" t="str">
        <f>IFERROR(__xludf.DUMMYFUNCTION("""COMPUTED_VALUE"""),"Afghanistan-Asia")</f>
        <v>Afghanistan-Asia</v>
      </c>
      <c r="Z5" s="14" t="str">
        <f>IFERROR(__xludf.DUMMYFUNCTION("""COMPUTED_VALUE"""),"Asia")</f>
        <v>Asia</v>
      </c>
      <c r="AA5" s="14" t="str">
        <f>IFERROR(__xludf.DUMMYFUNCTION("""COMPUTED_VALUE"""),"2003")</f>
        <v>2003</v>
      </c>
      <c r="AB5" s="15" t="str">
        <f>IFERROR(__xludf.DUMMYFUNCTION("ARRAYFORMULA(VLOOKUP(A5,IMPORTRANGE(""https://docs.google.com/spreadsheets/d/1BuTWp7qHGjWhqrnf-OmePP568O4A5Am9ttzvVdP67zw/edit#gid=1931367683"" ,""ENERGY!$A$2:$F$2692""), {2,3,4,5,6},0))"),"Asia")</f>
        <v>Asia</v>
      </c>
      <c r="AC5" s="14" t="str">
        <f>IFERROR(__xludf.DUMMYFUNCTION("""COMPUTED_VALUE"""),"Afghanistan-Asia")</f>
        <v>Afghanistan-Asia</v>
      </c>
      <c r="AD5" s="14" t="str">
        <f>IFERROR(__xludf.DUMMYFUNCTION("""COMPUTED_VALUE"""),"2003")</f>
        <v>2003</v>
      </c>
      <c r="AE5" s="14"/>
      <c r="AF5" s="14">
        <f>IFERROR(__xludf.DUMMYFUNCTION("""COMPUTED_VALUE"""),6524.0)</f>
        <v>6524</v>
      </c>
    </row>
    <row r="6">
      <c r="A6" s="12">
        <v>5.0</v>
      </c>
      <c r="B6" s="12" t="s">
        <v>59</v>
      </c>
      <c r="C6" s="5" t="s">
        <v>61</v>
      </c>
      <c r="D6" s="8"/>
      <c r="E6" s="11">
        <v>9.0</v>
      </c>
      <c r="F6" s="8"/>
      <c r="G6" s="8"/>
      <c r="H6" s="11">
        <v>0.001</v>
      </c>
      <c r="I6" s="11">
        <v>0.025</v>
      </c>
      <c r="J6" s="9" t="s">
        <v>65</v>
      </c>
      <c r="K6" s="14" t="str">
        <f>IFERROR(__xludf.DUMMYFUNCTION("ARRAYFORMULA(VLOOKUP(A6,IMPORTRANGE(""https://docs.google.com/spreadsheets/d/1BuTWp7qHGjWhqrnf-OmePP568O4A5Am9ttzvVdP67zw/edit#gid=1603210130"", ""TOURISM!$A$2:$F$2692""), {2,3,4,5,6},0))"),"Asia")</f>
        <v>Asia</v>
      </c>
      <c r="L6" s="14"/>
      <c r="M6" s="14" t="str">
        <f>IFERROR(__xludf.DUMMYFUNCTION("""COMPUTED_VALUE"""),"Afghanistan-Asia")</f>
        <v>Afghanistan-Asia</v>
      </c>
      <c r="N6" s="14" t="str">
        <f>IFERROR(__xludf.DUMMYFUNCTION("""COMPUTED_VALUE"""),"2004")</f>
        <v>2004</v>
      </c>
      <c r="O6" s="14"/>
      <c r="P6" s="15">
        <f>IFERROR(__xludf.DUMMYFUNCTION("ARRAYFORMULA(VLOOKUP(A6,IMPORTRANGE(""https://docs.google.com/spreadsheets/d/1BuTWp7qHGjWhqrnf-OmePP568O4A5Am9ttzvVdP67zw/edit#gid=771602874"" ,""HUMAN RESOURCES!$A$2:$M$2692""), {2,3,4,5,6,7,8,9,10,11,12,13},0))"),0.046)</f>
        <v>0.046</v>
      </c>
      <c r="Q6" s="14">
        <f>IFERROR(__xludf.DUMMYFUNCTION("""COMPUTED_VALUE"""),0.086)</f>
        <v>0.086</v>
      </c>
      <c r="R6" s="14">
        <f>IFERROR(__xludf.DUMMYFUNCTION("""COMPUTED_VALUE"""),58.0)</f>
        <v>58</v>
      </c>
      <c r="S6" s="14">
        <f>IFERROR(__xludf.DUMMYFUNCTION("""COMPUTED_VALUE"""),55.0)</f>
        <v>55</v>
      </c>
      <c r="T6" s="14">
        <f>IFERROR(__xludf.DUMMYFUNCTION("""COMPUTED_VALUE"""),0.494)</f>
        <v>0.494</v>
      </c>
      <c r="U6" s="14">
        <f>IFERROR(__xludf.DUMMYFUNCTION("""COMPUTED_VALUE"""),0.486)</f>
        <v>0.486</v>
      </c>
      <c r="V6" s="14">
        <f>IFERROR(__xludf.DUMMYFUNCTION("""COMPUTED_VALUE"""),0.02)</f>
        <v>0.02</v>
      </c>
      <c r="W6" s="14">
        <f>IFERROR(__xludf.DUMMYFUNCTION("""COMPUTED_VALUE"""),2.4018682E7)</f>
        <v>24018682</v>
      </c>
      <c r="X6" s="14">
        <f>IFERROR(__xludf.DUMMYFUNCTION("""COMPUTED_VALUE"""),0.226)</f>
        <v>0.226</v>
      </c>
      <c r="Y6" s="14" t="str">
        <f>IFERROR(__xludf.DUMMYFUNCTION("""COMPUTED_VALUE"""),"Afghanistan-Asia")</f>
        <v>Afghanistan-Asia</v>
      </c>
      <c r="Z6" s="14" t="str">
        <f>IFERROR(__xludf.DUMMYFUNCTION("""COMPUTED_VALUE"""),"Asia")</f>
        <v>Asia</v>
      </c>
      <c r="AA6" s="14" t="str">
        <f>IFERROR(__xludf.DUMMYFUNCTION("""COMPUTED_VALUE"""),"2004")</f>
        <v>2004</v>
      </c>
      <c r="AB6" s="15" t="str">
        <f>IFERROR(__xludf.DUMMYFUNCTION("ARRAYFORMULA(VLOOKUP(A6,IMPORTRANGE(""https://docs.google.com/spreadsheets/d/1BuTWp7qHGjWhqrnf-OmePP568O4A5Am9ttzvVdP67zw/edit#gid=1931367683"" ,""ENERGY!$A$2:$F$2692""), {2,3,4,5,6},0))"),"Asia")</f>
        <v>Asia</v>
      </c>
      <c r="AC6" s="14" t="str">
        <f>IFERROR(__xludf.DUMMYFUNCTION("""COMPUTED_VALUE"""),"Afghanistan-Asia")</f>
        <v>Afghanistan-Asia</v>
      </c>
      <c r="AD6" s="14" t="str">
        <f>IFERROR(__xludf.DUMMYFUNCTION("""COMPUTED_VALUE"""),"2004")</f>
        <v>2004</v>
      </c>
      <c r="AE6" s="14"/>
      <c r="AF6" s="14">
        <f>IFERROR(__xludf.DUMMYFUNCTION("""COMPUTED_VALUE"""),3927.0)</f>
        <v>3927</v>
      </c>
    </row>
    <row r="7">
      <c r="A7" s="12">
        <v>6.0</v>
      </c>
      <c r="B7" s="12" t="s">
        <v>59</v>
      </c>
      <c r="C7" s="5" t="s">
        <v>61</v>
      </c>
      <c r="D7" s="11">
        <v>0.363</v>
      </c>
      <c r="E7" s="11">
        <v>9.0</v>
      </c>
      <c r="F7" s="8"/>
      <c r="G7" s="11">
        <v>275.0</v>
      </c>
      <c r="H7" s="11">
        <v>0.012</v>
      </c>
      <c r="I7" s="11">
        <v>0.048</v>
      </c>
      <c r="J7" s="9" t="s">
        <v>66</v>
      </c>
      <c r="K7" s="14" t="str">
        <f>IFERROR(__xludf.DUMMYFUNCTION("ARRAYFORMULA(VLOOKUP(A7,IMPORTRANGE(""https://docs.google.com/spreadsheets/d/1BuTWp7qHGjWhqrnf-OmePP568O4A5Am9ttzvVdP67zw/edit#gid=1603210130"", ""TOURISM!$A$2:$F$2692""), {2,3,4,5,6},0))"),"Asia")</f>
        <v>Asia</v>
      </c>
      <c r="L7" s="14"/>
      <c r="M7" s="14" t="str">
        <f>IFERROR(__xludf.DUMMYFUNCTION("""COMPUTED_VALUE"""),"Afghanistan-Asia")</f>
        <v>Afghanistan-Asia</v>
      </c>
      <c r="N7" s="14" t="str">
        <f>IFERROR(__xludf.DUMMYFUNCTION("""COMPUTED_VALUE"""),"2005")</f>
        <v>2005</v>
      </c>
      <c r="O7" s="14"/>
      <c r="P7" s="15">
        <f>IFERROR(__xludf.DUMMYFUNCTION("ARRAYFORMULA(VLOOKUP(A7,IMPORTRANGE(""https://docs.google.com/spreadsheets/d/1BuTWp7qHGjWhqrnf-OmePP568O4A5Am9ttzvVdP67zw/edit#gid=771602874"" ,""HUMAN RESOURCES!$A$2:$M$2692""), {2,3,4,5,6,7,8,9,10,11,12,13},0))"),0.045)</f>
        <v>0.045</v>
      </c>
      <c r="Q7" s="14">
        <f>IFERROR(__xludf.DUMMYFUNCTION("""COMPUTED_VALUE"""),0.084)</f>
        <v>0.084</v>
      </c>
      <c r="R7" s="14">
        <f>IFERROR(__xludf.DUMMYFUNCTION("""COMPUTED_VALUE"""),58.0)</f>
        <v>58</v>
      </c>
      <c r="S7" s="14">
        <f>IFERROR(__xludf.DUMMYFUNCTION("""COMPUTED_VALUE"""),56.0)</f>
        <v>56</v>
      </c>
      <c r="T7" s="14">
        <f>IFERROR(__xludf.DUMMYFUNCTION("""COMPUTED_VALUE"""),0.493)</f>
        <v>0.493</v>
      </c>
      <c r="U7" s="14">
        <f>IFERROR(__xludf.DUMMYFUNCTION("""COMPUTED_VALUE"""),0.487)</f>
        <v>0.487</v>
      </c>
      <c r="V7" s="14">
        <f>IFERROR(__xludf.DUMMYFUNCTION("""COMPUTED_VALUE"""),0.02)</f>
        <v>0.02</v>
      </c>
      <c r="W7" s="14">
        <f>IFERROR(__xludf.DUMMYFUNCTION("""COMPUTED_VALUE"""),2.4860855E7)</f>
        <v>24860855</v>
      </c>
      <c r="X7" s="14">
        <f>IFERROR(__xludf.DUMMYFUNCTION("""COMPUTED_VALUE"""),0.229)</f>
        <v>0.229</v>
      </c>
      <c r="Y7" s="14" t="str">
        <f>IFERROR(__xludf.DUMMYFUNCTION("""COMPUTED_VALUE"""),"Afghanistan-Asia")</f>
        <v>Afghanistan-Asia</v>
      </c>
      <c r="Z7" s="14" t="str">
        <f>IFERROR(__xludf.DUMMYFUNCTION("""COMPUTED_VALUE"""),"Asia")</f>
        <v>Asia</v>
      </c>
      <c r="AA7" s="14" t="str">
        <f>IFERROR(__xludf.DUMMYFUNCTION("""COMPUTED_VALUE"""),"2005")</f>
        <v>2005</v>
      </c>
      <c r="AB7" s="15" t="str">
        <f>IFERROR(__xludf.DUMMYFUNCTION("ARRAYFORMULA(VLOOKUP(A7,IMPORTRANGE(""https://docs.google.com/spreadsheets/d/1BuTWp7qHGjWhqrnf-OmePP568O4A5Am9ttzvVdP67zw/edit#gid=1931367683"" ,""ENERGY!$A$2:$F$2692""), {2,3,4,5,6},0))"),"Asia")</f>
        <v>Asia</v>
      </c>
      <c r="AC7" s="14" t="str">
        <f>IFERROR(__xludf.DUMMYFUNCTION("""COMPUTED_VALUE"""),"Afghanistan-Asia")</f>
        <v>Afghanistan-Asia</v>
      </c>
      <c r="AD7" s="14" t="str">
        <f>IFERROR(__xludf.DUMMYFUNCTION("""COMPUTED_VALUE"""),"2005")</f>
        <v>2005</v>
      </c>
      <c r="AE7" s="14"/>
      <c r="AF7" s="14">
        <f>IFERROR(__xludf.DUMMYFUNCTION("""COMPUTED_VALUE"""),1991.0)</f>
        <v>1991</v>
      </c>
    </row>
    <row r="8">
      <c r="A8" s="12">
        <v>7.0</v>
      </c>
      <c r="B8" s="12" t="s">
        <v>59</v>
      </c>
      <c r="C8" s="5" t="s">
        <v>61</v>
      </c>
      <c r="D8" s="11">
        <v>0.363</v>
      </c>
      <c r="E8" s="11">
        <v>9.0</v>
      </c>
      <c r="F8" s="8"/>
      <c r="G8" s="11">
        <v>275.0</v>
      </c>
      <c r="H8" s="11">
        <v>0.021</v>
      </c>
      <c r="I8" s="11">
        <v>0.098</v>
      </c>
      <c r="J8" s="9" t="s">
        <v>67</v>
      </c>
      <c r="K8" s="14" t="str">
        <f>IFERROR(__xludf.DUMMYFUNCTION("ARRAYFORMULA(VLOOKUP(A8,IMPORTRANGE(""https://docs.google.com/spreadsheets/d/1BuTWp7qHGjWhqrnf-OmePP568O4A5Am9ttzvVdP67zw/edit#gid=1603210130"", ""TOURISM!$A$2:$F$2692""), {2,3,4,5,6},0))"),"Asia")</f>
        <v>Asia</v>
      </c>
      <c r="L8" s="14"/>
      <c r="M8" s="14" t="str">
        <f>IFERROR(__xludf.DUMMYFUNCTION("""COMPUTED_VALUE"""),"Afghanistan-Asia")</f>
        <v>Afghanistan-Asia</v>
      </c>
      <c r="N8" s="14" t="str">
        <f>IFERROR(__xludf.DUMMYFUNCTION("""COMPUTED_VALUE"""),"2006")</f>
        <v>2006</v>
      </c>
      <c r="O8" s="14"/>
      <c r="P8" s="15">
        <f>IFERROR(__xludf.DUMMYFUNCTION("ARRAYFORMULA(VLOOKUP(A8,IMPORTRANGE(""https://docs.google.com/spreadsheets/d/1BuTWp7qHGjWhqrnf-OmePP568O4A5Am9ttzvVdP67zw/edit#gid=771602874"" ,""HUMAN RESOURCES!$A$2:$M$2692""), {2,3,4,5,6,7,8,9,10,11,12,13},0))"),0.044)</f>
        <v>0.044</v>
      </c>
      <c r="Q8" s="14">
        <f>IFERROR(__xludf.DUMMYFUNCTION("""COMPUTED_VALUE"""),0.082)</f>
        <v>0.082</v>
      </c>
      <c r="R8" s="14">
        <f>IFERROR(__xludf.DUMMYFUNCTION("""COMPUTED_VALUE"""),59.0)</f>
        <v>59</v>
      </c>
      <c r="S8" s="14">
        <f>IFERROR(__xludf.DUMMYFUNCTION("""COMPUTED_VALUE"""),56.0)</f>
        <v>56</v>
      </c>
      <c r="T8" s="14">
        <f>IFERROR(__xludf.DUMMYFUNCTION("""COMPUTED_VALUE"""),0.493)</f>
        <v>0.493</v>
      </c>
      <c r="U8" s="14">
        <f>IFERROR(__xludf.DUMMYFUNCTION("""COMPUTED_VALUE"""),0.487)</f>
        <v>0.487</v>
      </c>
      <c r="V8" s="14">
        <f>IFERROR(__xludf.DUMMYFUNCTION("""COMPUTED_VALUE"""),0.02)</f>
        <v>0.02</v>
      </c>
      <c r="W8" s="14">
        <f>IFERROR(__xludf.DUMMYFUNCTION("""COMPUTED_VALUE"""),2.5631282E7)</f>
        <v>25631282</v>
      </c>
      <c r="X8" s="14">
        <f>IFERROR(__xludf.DUMMYFUNCTION("""COMPUTED_VALUE"""),0.232)</f>
        <v>0.232</v>
      </c>
      <c r="Y8" s="14" t="str">
        <f>IFERROR(__xludf.DUMMYFUNCTION("""COMPUTED_VALUE"""),"Afghanistan-Asia")</f>
        <v>Afghanistan-Asia</v>
      </c>
      <c r="Z8" s="14" t="str">
        <f>IFERROR(__xludf.DUMMYFUNCTION("""COMPUTED_VALUE"""),"Asia")</f>
        <v>Asia</v>
      </c>
      <c r="AA8" s="14" t="str">
        <f>IFERROR(__xludf.DUMMYFUNCTION("""COMPUTED_VALUE"""),"2006")</f>
        <v>2006</v>
      </c>
      <c r="AB8" s="15" t="str">
        <f>IFERROR(__xludf.DUMMYFUNCTION("ARRAYFORMULA(VLOOKUP(A8,IMPORTRANGE(""https://docs.google.com/spreadsheets/d/1BuTWp7qHGjWhqrnf-OmePP568O4A5Am9ttzvVdP67zw/edit#gid=1931367683"" ,""ENERGY!$A$2:$F$2692""), {2,3,4,5,6},0))"),"Asia")</f>
        <v>Asia</v>
      </c>
      <c r="AC8" s="14" t="str">
        <f>IFERROR(__xludf.DUMMYFUNCTION("""COMPUTED_VALUE"""),"Afghanistan-Asia")</f>
        <v>Afghanistan-Asia</v>
      </c>
      <c r="AD8" s="14" t="str">
        <f>IFERROR(__xludf.DUMMYFUNCTION("""COMPUTED_VALUE"""),"2009")</f>
        <v>2009</v>
      </c>
      <c r="AE8" s="14"/>
      <c r="AF8" s="14">
        <f>IFERROR(__xludf.DUMMYFUNCTION("""COMPUTED_VALUE"""),1338.0)</f>
        <v>1338</v>
      </c>
    </row>
    <row r="9">
      <c r="A9" s="12">
        <v>8.0</v>
      </c>
      <c r="B9" s="12" t="s">
        <v>59</v>
      </c>
      <c r="C9" s="5" t="s">
        <v>61</v>
      </c>
      <c r="D9" s="11">
        <v>0.363</v>
      </c>
      <c r="E9" s="11">
        <v>9.0</v>
      </c>
      <c r="F9" s="8"/>
      <c r="G9" s="11">
        <v>275.0</v>
      </c>
      <c r="H9" s="11">
        <v>0.019</v>
      </c>
      <c r="I9" s="11">
        <v>0.177</v>
      </c>
      <c r="J9" s="9" t="s">
        <v>68</v>
      </c>
      <c r="K9" s="14" t="str">
        <f>IFERROR(__xludf.DUMMYFUNCTION("ARRAYFORMULA(VLOOKUP(A9,IMPORTRANGE(""https://docs.google.com/spreadsheets/d/1BuTWp7qHGjWhqrnf-OmePP568O4A5Am9ttzvVdP67zw/edit#gid=1603210130"", ""TOURISM!$A$2:$F$2692""), {2,3,4,5,6},0))"),"Asia")</f>
        <v>Asia</v>
      </c>
      <c r="L9" s="14"/>
      <c r="M9" s="14" t="str">
        <f>IFERROR(__xludf.DUMMYFUNCTION("""COMPUTED_VALUE"""),"Afghanistan-Asia")</f>
        <v>Afghanistan-Asia</v>
      </c>
      <c r="N9" s="14" t="str">
        <f>IFERROR(__xludf.DUMMYFUNCTION("""COMPUTED_VALUE"""),"2007")</f>
        <v>2007</v>
      </c>
      <c r="O9" s="14"/>
      <c r="P9" s="15">
        <f>IFERROR(__xludf.DUMMYFUNCTION("ARRAYFORMULA(VLOOKUP(A9,IMPORTRANGE(""https://docs.google.com/spreadsheets/d/1BuTWp7qHGjWhqrnf-OmePP568O4A5Am9ttzvVdP67zw/edit#gid=771602874"" ,""HUMAN RESOURCES!$A$2:$M$2692""), {2,3,4,5,6,7,8,9,10,11,12,13},0))"),0.042)</f>
        <v>0.042</v>
      </c>
      <c r="Q9" s="14">
        <f>IFERROR(__xludf.DUMMYFUNCTION("""COMPUTED_VALUE"""),0.08)</f>
        <v>0.08</v>
      </c>
      <c r="R9" s="14">
        <f>IFERROR(__xludf.DUMMYFUNCTION("""COMPUTED_VALUE"""),59.0)</f>
        <v>59</v>
      </c>
      <c r="S9" s="14">
        <f>IFERROR(__xludf.DUMMYFUNCTION("""COMPUTED_VALUE"""),57.0)</f>
        <v>57</v>
      </c>
      <c r="T9" s="14">
        <f>IFERROR(__xludf.DUMMYFUNCTION("""COMPUTED_VALUE"""),0.492)</f>
        <v>0.492</v>
      </c>
      <c r="U9" s="14">
        <f>IFERROR(__xludf.DUMMYFUNCTION("""COMPUTED_VALUE"""),0.487)</f>
        <v>0.487</v>
      </c>
      <c r="V9" s="14">
        <f>IFERROR(__xludf.DUMMYFUNCTION("""COMPUTED_VALUE"""),0.021)</f>
        <v>0.021</v>
      </c>
      <c r="W9" s="14">
        <f>IFERROR(__xludf.DUMMYFUNCTION("""COMPUTED_VALUE"""),2.6349243E7)</f>
        <v>26349243</v>
      </c>
      <c r="X9" s="14">
        <f>IFERROR(__xludf.DUMMYFUNCTION("""COMPUTED_VALUE"""),0.236)</f>
        <v>0.236</v>
      </c>
      <c r="Y9" s="14" t="str">
        <f>IFERROR(__xludf.DUMMYFUNCTION("""COMPUTED_VALUE"""),"Afghanistan-Asia")</f>
        <v>Afghanistan-Asia</v>
      </c>
      <c r="Z9" s="14" t="str">
        <f>IFERROR(__xludf.DUMMYFUNCTION("""COMPUTED_VALUE"""),"Asia")</f>
        <v>Asia</v>
      </c>
      <c r="AA9" s="14" t="str">
        <f>IFERROR(__xludf.DUMMYFUNCTION("""COMPUTED_VALUE"""),"2007")</f>
        <v>2007</v>
      </c>
      <c r="AB9" s="15" t="str">
        <f>IFERROR(__xludf.DUMMYFUNCTION("ARRAYFORMULA(VLOOKUP(A9,IMPORTRANGE(""https://docs.google.com/spreadsheets/d/1BuTWp7qHGjWhqrnf-OmePP568O4A5Am9ttzvVdP67zw/edit#gid=1931367683"" ,""ENERGY!$A$2:$F$2692""), {2,3,4,5,6},0))"),"Asia")</f>
        <v>Asia</v>
      </c>
      <c r="AC9" s="14" t="str">
        <f>IFERROR(__xludf.DUMMYFUNCTION("""COMPUTED_VALUE"""),"Afghanistan-Asia")</f>
        <v>Afghanistan-Asia</v>
      </c>
      <c r="AD9" s="14" t="str">
        <f>IFERROR(__xludf.DUMMYFUNCTION("""COMPUTED_VALUE"""),"2005")</f>
        <v>2005</v>
      </c>
      <c r="AE9" s="14"/>
      <c r="AF9" s="14">
        <f>IFERROR(__xludf.DUMMYFUNCTION("""COMPUTED_VALUE"""),1016.0)</f>
        <v>1016</v>
      </c>
    </row>
    <row r="10">
      <c r="A10" s="12">
        <v>9.0</v>
      </c>
      <c r="B10" s="12" t="s">
        <v>59</v>
      </c>
      <c r="C10" s="5" t="s">
        <v>61</v>
      </c>
      <c r="D10" s="11">
        <v>0.363</v>
      </c>
      <c r="E10" s="11">
        <v>9.0</v>
      </c>
      <c r="F10" s="8"/>
      <c r="G10" s="11">
        <v>275.0</v>
      </c>
      <c r="H10" s="11">
        <v>0.018</v>
      </c>
      <c r="I10" s="11">
        <v>0.292</v>
      </c>
      <c r="J10" s="9" t="s">
        <v>69</v>
      </c>
      <c r="K10" s="14" t="str">
        <f>IFERROR(__xludf.DUMMYFUNCTION("ARRAYFORMULA(VLOOKUP(A10,IMPORTRANGE(""https://docs.google.com/spreadsheets/d/1BuTWp7qHGjWhqrnf-OmePP568O4A5Am9ttzvVdP67zw/edit#gid=1603210130"", ""TOURISM!$A$2:$F$2692""), {2,3,4,5,6},0))"),"Asia")</f>
        <v>Asia</v>
      </c>
      <c r="L10" s="14">
        <f>IFERROR(__xludf.DUMMYFUNCTION("""COMPUTED_VALUE"""),4.3E7)</f>
        <v>43000000</v>
      </c>
      <c r="M10" s="14" t="str">
        <f>IFERROR(__xludf.DUMMYFUNCTION("""COMPUTED_VALUE"""),"Afghanistan-Asia")</f>
        <v>Afghanistan-Asia</v>
      </c>
      <c r="N10" s="14" t="str">
        <f>IFERROR(__xludf.DUMMYFUNCTION("""COMPUTED_VALUE"""),"2008")</f>
        <v>2008</v>
      </c>
      <c r="O10" s="14">
        <f>IFERROR(__xludf.DUMMYFUNCTION("""COMPUTED_VALUE"""),5.8E7)</f>
        <v>58000000</v>
      </c>
      <c r="P10" s="15">
        <f>IFERROR(__xludf.DUMMYFUNCTION("ARRAYFORMULA(VLOOKUP(A10,IMPORTRANGE(""https://docs.google.com/spreadsheets/d/1BuTWp7qHGjWhqrnf-OmePP568O4A5Am9ttzvVdP67zw/edit#gid=771602874"" ,""HUMAN RESOURCES!$A$2:$M$2692""), {2,3,4,5,6,7,8,9,10,11,12,13},0))"),0.041)</f>
        <v>0.041</v>
      </c>
      <c r="Q10" s="14">
        <f>IFERROR(__xludf.DUMMYFUNCTION("""COMPUTED_VALUE"""),0.079)</f>
        <v>0.079</v>
      </c>
      <c r="R10" s="14">
        <f>IFERROR(__xludf.DUMMYFUNCTION("""COMPUTED_VALUE"""),60.0)</f>
        <v>60</v>
      </c>
      <c r="S10" s="14">
        <f>IFERROR(__xludf.DUMMYFUNCTION("""COMPUTED_VALUE"""),57.0)</f>
        <v>57</v>
      </c>
      <c r="T10" s="14">
        <f>IFERROR(__xludf.DUMMYFUNCTION("""COMPUTED_VALUE"""),0.492)</f>
        <v>0.492</v>
      </c>
      <c r="U10" s="14">
        <f>IFERROR(__xludf.DUMMYFUNCTION("""COMPUTED_VALUE"""),0.487)</f>
        <v>0.487</v>
      </c>
      <c r="V10" s="14">
        <f>IFERROR(__xludf.DUMMYFUNCTION("""COMPUTED_VALUE"""),0.021)</f>
        <v>0.021</v>
      </c>
      <c r="W10" s="14">
        <f>IFERROR(__xludf.DUMMYFUNCTION("""COMPUTED_VALUE"""),2.7032197E7)</f>
        <v>27032197</v>
      </c>
      <c r="X10" s="14">
        <f>IFERROR(__xludf.DUMMYFUNCTION("""COMPUTED_VALUE"""),0.239)</f>
        <v>0.239</v>
      </c>
      <c r="Y10" s="14" t="str">
        <f>IFERROR(__xludf.DUMMYFUNCTION("""COMPUTED_VALUE"""),"Afghanistan-Asia")</f>
        <v>Afghanistan-Asia</v>
      </c>
      <c r="Z10" s="14" t="str">
        <f>IFERROR(__xludf.DUMMYFUNCTION("""COMPUTED_VALUE"""),"Asia")</f>
        <v>Asia</v>
      </c>
      <c r="AA10" s="14" t="str">
        <f>IFERROR(__xludf.DUMMYFUNCTION("""COMPUTED_VALUE"""),"2008")</f>
        <v>2008</v>
      </c>
      <c r="AB10" s="15" t="str">
        <f>IFERROR(__xludf.DUMMYFUNCTION("ARRAYFORMULA(VLOOKUP(A10,IMPORTRANGE(""https://docs.google.com/spreadsheets/d/1BuTWp7qHGjWhqrnf-OmePP568O4A5Am9ttzvVdP67zw/edit#gid=1931367683"" ,""ENERGY!$A$2:$F$2692""), {2,3,4,5,6},0))"),"Asia")</f>
        <v>Asia</v>
      </c>
      <c r="AC10" s="14" t="str">
        <f>IFERROR(__xludf.DUMMYFUNCTION("""COMPUTED_VALUE"""),"Afghanistan-Asia")</f>
        <v>Afghanistan-Asia</v>
      </c>
      <c r="AD10" s="14" t="str">
        <f>IFERROR(__xludf.DUMMYFUNCTION("""COMPUTED_VALUE"""),"2011")</f>
        <v>2011</v>
      </c>
      <c r="AE10" s="14"/>
      <c r="AF10" s="14">
        <f>IFERROR(__xludf.DUMMYFUNCTION("""COMPUTED_VALUE"""),733.0)</f>
        <v>733</v>
      </c>
    </row>
    <row r="11">
      <c r="A11" s="12">
        <v>10.0</v>
      </c>
      <c r="B11" s="12" t="s">
        <v>59</v>
      </c>
      <c r="C11" s="5" t="s">
        <v>61</v>
      </c>
      <c r="D11" s="11">
        <v>0.363</v>
      </c>
      <c r="E11" s="11">
        <v>7.0</v>
      </c>
      <c r="F11" s="8"/>
      <c r="G11" s="11">
        <v>275.0</v>
      </c>
      <c r="H11" s="11">
        <v>0.036</v>
      </c>
      <c r="I11" s="11">
        <v>0.379</v>
      </c>
      <c r="J11" s="9" t="s">
        <v>70</v>
      </c>
      <c r="K11" s="14" t="str">
        <f>IFERROR(__xludf.DUMMYFUNCTION("ARRAYFORMULA(VLOOKUP(A11,IMPORTRANGE(""https://docs.google.com/spreadsheets/d/1BuTWp7qHGjWhqrnf-OmePP568O4A5Am9ttzvVdP67zw/edit#gid=1603210130"", ""TOURISM!$A$2:$F$2692""), {2,3,4,5,6},0))"),"Asia")</f>
        <v>Asia</v>
      </c>
      <c r="L11" s="14">
        <f>IFERROR(__xludf.DUMMYFUNCTION("""COMPUTED_VALUE"""),9.6E7)</f>
        <v>96000000</v>
      </c>
      <c r="M11" s="14" t="str">
        <f>IFERROR(__xludf.DUMMYFUNCTION("""COMPUTED_VALUE"""),"Afghanistan-Asia")</f>
        <v>Afghanistan-Asia</v>
      </c>
      <c r="N11" s="14" t="str">
        <f>IFERROR(__xludf.DUMMYFUNCTION("""COMPUTED_VALUE"""),"2009")</f>
        <v>2009</v>
      </c>
      <c r="O11" s="14">
        <f>IFERROR(__xludf.DUMMYFUNCTION("""COMPUTED_VALUE"""),6.1E7)</f>
        <v>61000000</v>
      </c>
      <c r="P11" s="15">
        <f>IFERROR(__xludf.DUMMYFUNCTION("ARRAYFORMULA(VLOOKUP(A11,IMPORTRANGE(""https://docs.google.com/spreadsheets/d/1BuTWp7qHGjWhqrnf-OmePP568O4A5Am9ttzvVdP67zw/edit#gid=771602874"" ,""HUMAN RESOURCES!$A$2:$M$2692""), {2,3,4,5,6,7,8,9,10,11,12,13},0))"),0.039)</f>
        <v>0.039</v>
      </c>
      <c r="Q11" s="14">
        <f>IFERROR(__xludf.DUMMYFUNCTION("""COMPUTED_VALUE"""),0.077)</f>
        <v>0.077</v>
      </c>
      <c r="R11" s="14">
        <f>IFERROR(__xludf.DUMMYFUNCTION("""COMPUTED_VALUE"""),60.0)</f>
        <v>60</v>
      </c>
      <c r="S11" s="14">
        <f>IFERROR(__xludf.DUMMYFUNCTION("""COMPUTED_VALUE"""),58.0)</f>
        <v>58</v>
      </c>
      <c r="T11" s="14">
        <f>IFERROR(__xludf.DUMMYFUNCTION("""COMPUTED_VALUE"""),0.49)</f>
        <v>0.49</v>
      </c>
      <c r="U11" s="14">
        <f>IFERROR(__xludf.DUMMYFUNCTION("""COMPUTED_VALUE"""),0.489)</f>
        <v>0.489</v>
      </c>
      <c r="V11" s="14">
        <f>IFERROR(__xludf.DUMMYFUNCTION("""COMPUTED_VALUE"""),0.021)</f>
        <v>0.021</v>
      </c>
      <c r="W11" s="14">
        <f>IFERROR(__xludf.DUMMYFUNCTION("""COMPUTED_VALUE"""),2.7708187E7)</f>
        <v>27708187</v>
      </c>
      <c r="X11" s="14">
        <f>IFERROR(__xludf.DUMMYFUNCTION("""COMPUTED_VALUE"""),0.243)</f>
        <v>0.243</v>
      </c>
      <c r="Y11" s="14" t="str">
        <f>IFERROR(__xludf.DUMMYFUNCTION("""COMPUTED_VALUE"""),"Afghanistan-Asia")</f>
        <v>Afghanistan-Asia</v>
      </c>
      <c r="Z11" s="14" t="str">
        <f>IFERROR(__xludf.DUMMYFUNCTION("""COMPUTED_VALUE"""),"Asia")</f>
        <v>Asia</v>
      </c>
      <c r="AA11" s="14" t="str">
        <f>IFERROR(__xludf.DUMMYFUNCTION("""COMPUTED_VALUE"""),"2009")</f>
        <v>2009</v>
      </c>
      <c r="AB11" s="15" t="str">
        <f>IFERROR(__xludf.DUMMYFUNCTION("ARRAYFORMULA(VLOOKUP(A11,IMPORTRANGE(""https://docs.google.com/spreadsheets/d/1BuTWp7qHGjWhqrnf-OmePP568O4A5Am9ttzvVdP67zw/edit#gid=1931367683"" ,""ENERGY!$A$2:$F$2692""), {2,3,4,5,6},0))"),"Asia")</f>
        <v>Asia</v>
      </c>
      <c r="AC11" s="14" t="str">
        <f>IFERROR(__xludf.DUMMYFUNCTION("""COMPUTED_VALUE"""),"Afghanistan-Asia")</f>
        <v>Afghanistan-Asia</v>
      </c>
      <c r="AD11" s="14" t="str">
        <f>IFERROR(__xludf.DUMMYFUNCTION("""COMPUTED_VALUE"""),"2008")</f>
        <v>2008</v>
      </c>
      <c r="AE11" s="14"/>
      <c r="AF11" s="14">
        <f>IFERROR(__xludf.DUMMYFUNCTION("""COMPUTED_VALUE"""),583.0)</f>
        <v>583</v>
      </c>
    </row>
    <row r="12">
      <c r="A12" s="12">
        <v>11.0</v>
      </c>
      <c r="B12" s="12" t="s">
        <v>59</v>
      </c>
      <c r="C12" s="5" t="s">
        <v>61</v>
      </c>
      <c r="D12" s="11">
        <v>0.363</v>
      </c>
      <c r="E12" s="11">
        <v>7.0</v>
      </c>
      <c r="F12" s="8"/>
      <c r="G12" s="11">
        <v>275.0</v>
      </c>
      <c r="H12" s="11">
        <v>0.04</v>
      </c>
      <c r="I12" s="11">
        <v>0.458</v>
      </c>
      <c r="J12" s="9" t="s">
        <v>71</v>
      </c>
      <c r="K12" s="14" t="str">
        <f>IFERROR(__xludf.DUMMYFUNCTION("ARRAYFORMULA(VLOOKUP(A12,IMPORTRANGE(""https://docs.google.com/spreadsheets/d/1BuTWp7qHGjWhqrnf-OmePP568O4A5Am9ttzvVdP67zw/edit#gid=1603210130"", ""TOURISM!$A$2:$F$2692""), {2,3,4,5,6},0))"),"Asia")</f>
        <v>Asia</v>
      </c>
      <c r="L12" s="14">
        <f>IFERROR(__xludf.DUMMYFUNCTION("""COMPUTED_VALUE"""),1.38E8)</f>
        <v>138000000</v>
      </c>
      <c r="M12" s="14" t="str">
        <f>IFERROR(__xludf.DUMMYFUNCTION("""COMPUTED_VALUE"""),"Afghanistan-Asia")</f>
        <v>Afghanistan-Asia</v>
      </c>
      <c r="N12" s="14" t="str">
        <f>IFERROR(__xludf.DUMMYFUNCTION("""COMPUTED_VALUE"""),"2010")</f>
        <v>2010</v>
      </c>
      <c r="O12" s="14">
        <f>IFERROR(__xludf.DUMMYFUNCTION("""COMPUTED_VALUE"""),8.6E7)</f>
        <v>86000000</v>
      </c>
      <c r="P12" s="15">
        <f>IFERROR(__xludf.DUMMYFUNCTION("ARRAYFORMULA(VLOOKUP(A12,IMPORTRANGE(""https://docs.google.com/spreadsheets/d/1BuTWp7qHGjWhqrnf-OmePP568O4A5Am9ttzvVdP67zw/edit#gid=771602874"" ,""HUMAN RESOURCES!$A$2:$M$2692""), {2,3,4,5,6,7,8,9,10,11,12,13},0))"),0.038)</f>
        <v>0.038</v>
      </c>
      <c r="Q12" s="14">
        <f>IFERROR(__xludf.DUMMYFUNCTION("""COMPUTED_VALUE"""),0.075)</f>
        <v>0.075</v>
      </c>
      <c r="R12" s="14">
        <f>IFERROR(__xludf.DUMMYFUNCTION("""COMPUTED_VALUE"""),61.0)</f>
        <v>61</v>
      </c>
      <c r="S12" s="14">
        <f>IFERROR(__xludf.DUMMYFUNCTION("""COMPUTED_VALUE"""),58.0)</f>
        <v>58</v>
      </c>
      <c r="T12" s="14">
        <f>IFERROR(__xludf.DUMMYFUNCTION("""COMPUTED_VALUE"""),0.486)</f>
        <v>0.486</v>
      </c>
      <c r="U12" s="14">
        <f>IFERROR(__xludf.DUMMYFUNCTION("""COMPUTED_VALUE"""),0.492)</f>
        <v>0.492</v>
      </c>
      <c r="V12" s="14">
        <f>IFERROR(__xludf.DUMMYFUNCTION("""COMPUTED_VALUE"""),0.022)</f>
        <v>0.022</v>
      </c>
      <c r="W12" s="14">
        <f>IFERROR(__xludf.DUMMYFUNCTION("""COMPUTED_VALUE"""),2.8397812E7)</f>
        <v>28397812</v>
      </c>
      <c r="X12" s="14">
        <f>IFERROR(__xludf.DUMMYFUNCTION("""COMPUTED_VALUE"""),0.247)</f>
        <v>0.247</v>
      </c>
      <c r="Y12" s="14" t="str">
        <f>IFERROR(__xludf.DUMMYFUNCTION("""COMPUTED_VALUE"""),"Afghanistan-Asia")</f>
        <v>Afghanistan-Asia</v>
      </c>
      <c r="Z12" s="14" t="str">
        <f>IFERROR(__xludf.DUMMYFUNCTION("""COMPUTED_VALUE"""),"Asia")</f>
        <v>Asia</v>
      </c>
      <c r="AA12" s="14" t="str">
        <f>IFERROR(__xludf.DUMMYFUNCTION("""COMPUTED_VALUE"""),"2010")</f>
        <v>2010</v>
      </c>
      <c r="AB12" s="15" t="str">
        <f>IFERROR(__xludf.DUMMYFUNCTION("ARRAYFORMULA(VLOOKUP(A12,IMPORTRANGE(""https://docs.google.com/spreadsheets/d/1BuTWp7qHGjWhqrnf-OmePP568O4A5Am9ttzvVdP67zw/edit#gid=1931367683"" ,""ENERGY!$A$2:$F$2692""), {2,3,4,5,6},0))"),"Asia")</f>
        <v>Asia</v>
      </c>
      <c r="AC12" s="14" t="str">
        <f>IFERROR(__xludf.DUMMYFUNCTION("""COMPUTED_VALUE"""),"Afghanistan-Asia")</f>
        <v>Afghanistan-Asia</v>
      </c>
      <c r="AD12" s="14" t="str">
        <f>IFERROR(__xludf.DUMMYFUNCTION("""COMPUTED_VALUE"""),"2012")</f>
        <v>2012</v>
      </c>
      <c r="AE12" s="14"/>
      <c r="AF12" s="14">
        <f>IFERROR(__xludf.DUMMYFUNCTION("""COMPUTED_VALUE"""),359.0)</f>
        <v>359</v>
      </c>
    </row>
    <row r="13">
      <c r="A13" s="12">
        <v>12.0</v>
      </c>
      <c r="B13" s="12" t="s">
        <v>59</v>
      </c>
      <c r="C13" s="5" t="s">
        <v>61</v>
      </c>
      <c r="D13" s="11">
        <v>0.363</v>
      </c>
      <c r="E13" s="11">
        <v>7.0</v>
      </c>
      <c r="F13" s="8"/>
      <c r="G13" s="11">
        <v>275.0</v>
      </c>
      <c r="H13" s="11">
        <v>0.05</v>
      </c>
      <c r="I13" s="11">
        <v>0.603</v>
      </c>
      <c r="J13" s="9" t="s">
        <v>72</v>
      </c>
      <c r="K13" s="14" t="str">
        <f>IFERROR(__xludf.DUMMYFUNCTION("ARRAYFORMULA(VLOOKUP(A13,IMPORTRANGE(""https://docs.google.com/spreadsheets/d/1BuTWp7qHGjWhqrnf-OmePP568O4A5Am9ttzvVdP67zw/edit#gid=1603210130"", ""TOURISM!$A$2:$F$2692""), {2,3,4,5,6},0))"),"Asia")</f>
        <v>Asia</v>
      </c>
      <c r="L13" s="14">
        <f>IFERROR(__xludf.DUMMYFUNCTION("""COMPUTED_VALUE"""),1.37E8)</f>
        <v>137000000</v>
      </c>
      <c r="M13" s="14" t="str">
        <f>IFERROR(__xludf.DUMMYFUNCTION("""COMPUTED_VALUE"""),"Afghanistan-Asia")</f>
        <v>Afghanistan-Asia</v>
      </c>
      <c r="N13" s="14" t="str">
        <f>IFERROR(__xludf.DUMMYFUNCTION("""COMPUTED_VALUE"""),"2011")</f>
        <v>2011</v>
      </c>
      <c r="O13" s="14">
        <f>IFERROR(__xludf.DUMMYFUNCTION("""COMPUTED_VALUE"""),1.27E8)</f>
        <v>127000000</v>
      </c>
      <c r="P13" s="15">
        <f>IFERROR(__xludf.DUMMYFUNCTION("ARRAYFORMULA(VLOOKUP(A13,IMPORTRANGE(""https://docs.google.com/spreadsheets/d/1BuTWp7qHGjWhqrnf-OmePP568O4A5Am9ttzvVdP67zw/edit#gid=771602874"" ,""HUMAN RESOURCES!$A$2:$M$2692""), {2,3,4,5,6,7,8,9,10,11,12,13},0))"),0.037)</f>
        <v>0.037</v>
      </c>
      <c r="Q13" s="14">
        <f>IFERROR(__xludf.DUMMYFUNCTION("""COMPUTED_VALUE"""),0.074)</f>
        <v>0.074</v>
      </c>
      <c r="R13" s="14">
        <f>IFERROR(__xludf.DUMMYFUNCTION("""COMPUTED_VALUE"""),61.0)</f>
        <v>61</v>
      </c>
      <c r="S13" s="14">
        <f>IFERROR(__xludf.DUMMYFUNCTION("""COMPUTED_VALUE"""),59.0)</f>
        <v>59</v>
      </c>
      <c r="T13" s="14">
        <f>IFERROR(__xludf.DUMMYFUNCTION("""COMPUTED_VALUE"""),0.481)</f>
        <v>0.481</v>
      </c>
      <c r="U13" s="14">
        <f>IFERROR(__xludf.DUMMYFUNCTION("""COMPUTED_VALUE"""),0.497)</f>
        <v>0.497</v>
      </c>
      <c r="V13" s="14">
        <f>IFERROR(__xludf.DUMMYFUNCTION("""COMPUTED_VALUE"""),0.022)</f>
        <v>0.022</v>
      </c>
      <c r="W13" s="14">
        <f>IFERROR(__xludf.DUMMYFUNCTION("""COMPUTED_VALUE"""),2.910548E7)</f>
        <v>29105480</v>
      </c>
      <c r="X13" s="14">
        <f>IFERROR(__xludf.DUMMYFUNCTION("""COMPUTED_VALUE"""),0.251)</f>
        <v>0.251</v>
      </c>
      <c r="Y13" s="14" t="str">
        <f>IFERROR(__xludf.DUMMYFUNCTION("""COMPUTED_VALUE"""),"Afghanistan-Asia")</f>
        <v>Afghanistan-Asia</v>
      </c>
      <c r="Z13" s="14" t="str">
        <f>IFERROR(__xludf.DUMMYFUNCTION("""COMPUTED_VALUE"""),"Asia")</f>
        <v>Asia</v>
      </c>
      <c r="AA13" s="14" t="str">
        <f>IFERROR(__xludf.DUMMYFUNCTION("""COMPUTED_VALUE"""),"2011")</f>
        <v>2011</v>
      </c>
      <c r="AB13" s="15" t="str">
        <f>IFERROR(__xludf.DUMMYFUNCTION("ARRAYFORMULA(VLOOKUP(A13,IMPORTRANGE(""https://docs.google.com/spreadsheets/d/1BuTWp7qHGjWhqrnf-OmePP568O4A5Am9ttzvVdP67zw/edit#gid=1931367683"" ,""ENERGY!$A$2:$F$2692""), {2,3,4,5,6},0))"),"Asia")</f>
        <v>Asia</v>
      </c>
      <c r="AC13" s="14" t="str">
        <f>IFERROR(__xludf.DUMMYFUNCTION("""COMPUTED_VALUE"""),"Afghanistan-Asia")</f>
        <v>Afghanistan-Asia</v>
      </c>
      <c r="AD13" s="14" t="str">
        <f>IFERROR(__xludf.DUMMYFUNCTION("""COMPUTED_VALUE"""),"2011")</f>
        <v>2011</v>
      </c>
      <c r="AE13" s="14"/>
      <c r="AF13" s="14">
        <f>IFERROR(__xludf.DUMMYFUNCTION("""COMPUTED_VALUE"""),645.0)</f>
        <v>645</v>
      </c>
    </row>
    <row r="14">
      <c r="A14" s="12">
        <v>13.0</v>
      </c>
      <c r="B14" s="12" t="s">
        <v>59</v>
      </c>
      <c r="C14" s="5" t="s">
        <v>61</v>
      </c>
      <c r="D14" s="11">
        <v>0.363</v>
      </c>
      <c r="E14" s="11">
        <v>7.0</v>
      </c>
      <c r="F14" s="11">
        <v>170.0</v>
      </c>
      <c r="G14" s="11">
        <v>275.0</v>
      </c>
      <c r="H14" s="11">
        <v>0.055</v>
      </c>
      <c r="I14" s="11">
        <v>0.655</v>
      </c>
      <c r="J14" s="9" t="s">
        <v>73</v>
      </c>
      <c r="K14" s="14" t="str">
        <f>IFERROR(__xludf.DUMMYFUNCTION("ARRAYFORMULA(VLOOKUP(A14,IMPORTRANGE(""https://docs.google.com/spreadsheets/d/1BuTWp7qHGjWhqrnf-OmePP568O4A5Am9ttzvVdP67zw/edit#gid=1603210130"", ""TOURISM!$A$2:$F$2692""), {2,3,4,5,6},0))"),"Asia")</f>
        <v>Asia</v>
      </c>
      <c r="L14" s="14">
        <f>IFERROR(__xludf.DUMMYFUNCTION("""COMPUTED_VALUE"""),1.16E8)</f>
        <v>116000000</v>
      </c>
      <c r="M14" s="14" t="str">
        <f>IFERROR(__xludf.DUMMYFUNCTION("""COMPUTED_VALUE"""),"Afghanistan-Asia")</f>
        <v>Afghanistan-Asia</v>
      </c>
      <c r="N14" s="14" t="str">
        <f>IFERROR(__xludf.DUMMYFUNCTION("""COMPUTED_VALUE"""),"2012")</f>
        <v>2012</v>
      </c>
      <c r="O14" s="14">
        <f>IFERROR(__xludf.DUMMYFUNCTION("""COMPUTED_VALUE"""),8.0E7)</f>
        <v>80000000</v>
      </c>
      <c r="P14" s="15">
        <f>IFERROR(__xludf.DUMMYFUNCTION("ARRAYFORMULA(VLOOKUP(A14,IMPORTRANGE(""https://docs.google.com/spreadsheets/d/1BuTWp7qHGjWhqrnf-OmePP568O4A5Am9ttzvVdP67zw/edit#gid=771602874"" ,""HUMAN RESOURCES!$A$2:$M$2692""), {2,3,4,5,6,7,8,9,10,11,12,13},0))"),0.035)</f>
        <v>0.035</v>
      </c>
      <c r="Q14" s="14">
        <f>IFERROR(__xludf.DUMMYFUNCTION("""COMPUTED_VALUE"""),0.072)</f>
        <v>0.072</v>
      </c>
      <c r="R14" s="14">
        <f>IFERROR(__xludf.DUMMYFUNCTION("""COMPUTED_VALUE"""),62.0)</f>
        <v>62</v>
      </c>
      <c r="S14" s="14">
        <f>IFERROR(__xludf.DUMMYFUNCTION("""COMPUTED_VALUE"""),59.0)</f>
        <v>59</v>
      </c>
      <c r="T14" s="14">
        <f>IFERROR(__xludf.DUMMYFUNCTION("""COMPUTED_VALUE"""),0.474)</f>
        <v>0.474</v>
      </c>
      <c r="U14" s="14">
        <f>IFERROR(__xludf.DUMMYFUNCTION("""COMPUTED_VALUE"""),0.503)</f>
        <v>0.503</v>
      </c>
      <c r="V14" s="14">
        <f>IFERROR(__xludf.DUMMYFUNCTION("""COMPUTED_VALUE"""),0.023)</f>
        <v>0.023</v>
      </c>
      <c r="W14" s="14">
        <f>IFERROR(__xludf.DUMMYFUNCTION("""COMPUTED_VALUE"""),2.9824536E7)</f>
        <v>29824536</v>
      </c>
      <c r="X14" s="14">
        <f>IFERROR(__xludf.DUMMYFUNCTION("""COMPUTED_VALUE"""),0.255)</f>
        <v>0.255</v>
      </c>
      <c r="Y14" s="14" t="str">
        <f>IFERROR(__xludf.DUMMYFUNCTION("""COMPUTED_VALUE"""),"Afghanistan-Asia")</f>
        <v>Afghanistan-Asia</v>
      </c>
      <c r="Z14" s="14" t="str">
        <f>IFERROR(__xludf.DUMMYFUNCTION("""COMPUTED_VALUE"""),"Asia")</f>
        <v>Asia</v>
      </c>
      <c r="AA14" s="14" t="str">
        <f>IFERROR(__xludf.DUMMYFUNCTION("""COMPUTED_VALUE"""),"2012")</f>
        <v>2012</v>
      </c>
      <c r="AB14" s="15" t="str">
        <f>IFERROR(__xludf.DUMMYFUNCTION("ARRAYFORMULA(VLOOKUP(A14,IMPORTRANGE(""https://docs.google.com/spreadsheets/d/1BuTWp7qHGjWhqrnf-OmePP568O4A5Am9ttzvVdP67zw/edit#gid=1931367683"" ,""ENERGY!$A$2:$F$2692""), {2,3,4,5,6},0))"),"Asia")</f>
        <v>Asia</v>
      </c>
      <c r="AC14" s="14" t="str">
        <f>IFERROR(__xludf.DUMMYFUNCTION("""COMPUTED_VALUE"""),"Afghanistan-Asia")</f>
        <v>Afghanistan-Asia</v>
      </c>
      <c r="AD14" s="14" t="str">
        <f>IFERROR(__xludf.DUMMYFUNCTION("""COMPUTED_VALUE"""),"2008")</f>
        <v>2008</v>
      </c>
      <c r="AE14" s="14"/>
      <c r="AF14" s="14">
        <f>IFERROR(__xludf.DUMMYFUNCTION("""COMPUTED_VALUE"""),781.0)</f>
        <v>781</v>
      </c>
    </row>
    <row r="15">
      <c r="A15" s="12">
        <v>14.0</v>
      </c>
      <c r="B15" s="12" t="s">
        <v>74</v>
      </c>
      <c r="C15" s="5" t="s">
        <v>75</v>
      </c>
      <c r="D15" s="8"/>
      <c r="E15" s="8"/>
      <c r="F15" s="8"/>
      <c r="G15" s="8"/>
      <c r="H15" s="11">
        <v>0.001</v>
      </c>
      <c r="I15" s="11">
        <v>0.009</v>
      </c>
      <c r="J15" s="9" t="s">
        <v>60</v>
      </c>
      <c r="K15" s="14" t="str">
        <f>IFERROR(__xludf.DUMMYFUNCTION("ARRAYFORMULA(VLOOKUP(A15,IMPORTRANGE(""https://docs.google.com/spreadsheets/d/1BuTWp7qHGjWhqrnf-OmePP568O4A5Am9ttzvVdP67zw/edit#gid=1603210130"", ""TOURISM!$A$2:$F$2692""), {2,3,4,5,6},0))"),"Europe")</f>
        <v>Europe</v>
      </c>
      <c r="L15" s="14">
        <f>IFERROR(__xludf.DUMMYFUNCTION("""COMPUTED_VALUE"""),3.98E8)</f>
        <v>398000000</v>
      </c>
      <c r="M15" s="14" t="str">
        <f>IFERROR(__xludf.DUMMYFUNCTION("""COMPUTED_VALUE"""),"Albania-Europe")</f>
        <v>Albania-Europe</v>
      </c>
      <c r="N15" s="14" t="str">
        <f>IFERROR(__xludf.DUMMYFUNCTION("""COMPUTED_VALUE"""),"2000")</f>
        <v>2000</v>
      </c>
      <c r="O15" s="14">
        <f>IFERROR(__xludf.DUMMYFUNCTION("""COMPUTED_VALUE"""),2.9E8)</f>
        <v>290000000</v>
      </c>
      <c r="P15" s="15">
        <f>IFERROR(__xludf.DUMMYFUNCTION("ARRAYFORMULA(VLOOKUP(A15,IMPORTRANGE(""https://docs.google.com/spreadsheets/d/1BuTWp7qHGjWhqrnf-OmePP568O4A5Am9ttzvVdP67zw/edit#gid=771602874"" ,""HUMAN RESOURCES!$A$2:$M$2692""), {2,3,4,5,6,7,8,9,10,11,12,13},0))"),0.019)</f>
        <v>0.019</v>
      </c>
      <c r="Q15" s="14">
        <f>IFERROR(__xludf.DUMMYFUNCTION("""COMPUTED_VALUE"""),0.023)</f>
        <v>0.023</v>
      </c>
      <c r="R15" s="14">
        <f>IFERROR(__xludf.DUMMYFUNCTION("""COMPUTED_VALUE"""),77.0)</f>
        <v>77</v>
      </c>
      <c r="S15" s="14">
        <f>IFERROR(__xludf.DUMMYFUNCTION("""COMPUTED_VALUE"""),71.0)</f>
        <v>71</v>
      </c>
      <c r="T15" s="14">
        <f>IFERROR(__xludf.DUMMYFUNCTION("""COMPUTED_VALUE"""),0.303)</f>
        <v>0.303</v>
      </c>
      <c r="U15" s="14">
        <f>IFERROR(__xludf.DUMMYFUNCTION("""COMPUTED_VALUE"""),0.628)</f>
        <v>0.628</v>
      </c>
      <c r="V15" s="14">
        <f>IFERROR(__xludf.DUMMYFUNCTION("""COMPUTED_VALUE"""),0.068)</f>
        <v>0.068</v>
      </c>
      <c r="W15" s="14">
        <f>IFERROR(__xludf.DUMMYFUNCTION("""COMPUTED_VALUE"""),3089027.0)</f>
        <v>3089027</v>
      </c>
      <c r="X15" s="14">
        <f>IFERROR(__xludf.DUMMYFUNCTION("""COMPUTED_VALUE"""),0.417)</f>
        <v>0.417</v>
      </c>
      <c r="Y15" s="14" t="str">
        <f>IFERROR(__xludf.DUMMYFUNCTION("""COMPUTED_VALUE"""),"Albania-Europe")</f>
        <v>Albania-Europe</v>
      </c>
      <c r="Z15" s="14" t="str">
        <f>IFERROR(__xludf.DUMMYFUNCTION("""COMPUTED_VALUE"""),"Europe")</f>
        <v>Europe</v>
      </c>
      <c r="AA15" s="14" t="str">
        <f>IFERROR(__xludf.DUMMYFUNCTION("""COMPUTED_VALUE"""),"2000")</f>
        <v>2000</v>
      </c>
      <c r="AB15" s="15" t="str">
        <f>IFERROR(__xludf.DUMMYFUNCTION("ARRAYFORMULA(VLOOKUP(A15,IMPORTRANGE(""https://docs.google.com/spreadsheets/d/1BuTWp7qHGjWhqrnf-OmePP568O4A5Am9ttzvVdP67zw/edit#gid=1931367683"" ,""ENERGY!$A$2:$F$2692""), {2,3,4,5,6},0))"),"Europe")</f>
        <v>Europe</v>
      </c>
      <c r="AC15" s="14" t="str">
        <f>IFERROR(__xludf.DUMMYFUNCTION("""COMPUTED_VALUE"""),"Albania-Europe")</f>
        <v>Albania-Europe</v>
      </c>
      <c r="AD15" s="14" t="str">
        <f>IFERROR(__xludf.DUMMYFUNCTION("""COMPUTED_VALUE"""),"2000")</f>
        <v>2000</v>
      </c>
      <c r="AE15" s="14"/>
      <c r="AF15" s="14"/>
    </row>
    <row r="16">
      <c r="A16" s="12">
        <v>15.0</v>
      </c>
      <c r="B16" s="12" t="s">
        <v>74</v>
      </c>
      <c r="C16" s="5" t="s">
        <v>75</v>
      </c>
      <c r="D16" s="8"/>
      <c r="E16" s="8"/>
      <c r="F16" s="8"/>
      <c r="G16" s="8"/>
      <c r="H16" s="11">
        <v>0.003</v>
      </c>
      <c r="I16" s="11">
        <v>0.119</v>
      </c>
      <c r="J16" s="9" t="s">
        <v>62</v>
      </c>
      <c r="K16" s="14" t="str">
        <f>IFERROR(__xludf.DUMMYFUNCTION("ARRAYFORMULA(VLOOKUP(A16,IMPORTRANGE(""https://docs.google.com/spreadsheets/d/1BuTWp7qHGjWhqrnf-OmePP568O4A5Am9ttzvVdP67zw/edit#gid=1603210130"", ""TOURISM!$A$2:$F$2692""), {2,3,4,5,6},0))"),"Europe")</f>
        <v>Europe</v>
      </c>
      <c r="L16" s="14">
        <f>IFERROR(__xludf.DUMMYFUNCTION("""COMPUTED_VALUE"""),4.51E8)</f>
        <v>451000000</v>
      </c>
      <c r="M16" s="14" t="str">
        <f>IFERROR(__xludf.DUMMYFUNCTION("""COMPUTED_VALUE"""),"Albania-Europe")</f>
        <v>Albania-Europe</v>
      </c>
      <c r="N16" s="14" t="str">
        <f>IFERROR(__xludf.DUMMYFUNCTION("""COMPUTED_VALUE"""),"2001")</f>
        <v>2001</v>
      </c>
      <c r="O16" s="14">
        <f>IFERROR(__xludf.DUMMYFUNCTION("""COMPUTED_VALUE"""),2.69E8)</f>
        <v>269000000</v>
      </c>
      <c r="P16" s="15">
        <f>IFERROR(__xludf.DUMMYFUNCTION("ARRAYFORMULA(VLOOKUP(A16,IMPORTRANGE(""https://docs.google.com/spreadsheets/d/1BuTWp7qHGjWhqrnf-OmePP568O4A5Am9ttzvVdP67zw/edit#gid=771602874"" ,""HUMAN RESOURCES!$A$2:$M$2692""), {2,3,4,5,6,7,8,9,10,11,12,13},0))"),0.018)</f>
        <v>0.018</v>
      </c>
      <c r="Q16" s="14">
        <f>IFERROR(__xludf.DUMMYFUNCTION("""COMPUTED_VALUE"""),0.022)</f>
        <v>0.022</v>
      </c>
      <c r="R16" s="14">
        <f>IFERROR(__xludf.DUMMYFUNCTION("""COMPUTED_VALUE"""),78.0)</f>
        <v>78</v>
      </c>
      <c r="S16" s="14">
        <f>IFERROR(__xludf.DUMMYFUNCTION("""COMPUTED_VALUE"""),72.0)</f>
        <v>72</v>
      </c>
      <c r="T16" s="14">
        <f>IFERROR(__xludf.DUMMYFUNCTION("""COMPUTED_VALUE"""),0.297)</f>
        <v>0.297</v>
      </c>
      <c r="U16" s="14">
        <f>IFERROR(__xludf.DUMMYFUNCTION("""COMPUTED_VALUE"""),0.632)</f>
        <v>0.632</v>
      </c>
      <c r="V16" s="14">
        <f>IFERROR(__xludf.DUMMYFUNCTION("""COMPUTED_VALUE"""),0.071)</f>
        <v>0.071</v>
      </c>
      <c r="W16" s="14">
        <f>IFERROR(__xludf.DUMMYFUNCTION("""COMPUTED_VALUE"""),3064111.0)</f>
        <v>3064111</v>
      </c>
      <c r="X16" s="14">
        <f>IFERROR(__xludf.DUMMYFUNCTION("""COMPUTED_VALUE"""),0.424)</f>
        <v>0.424</v>
      </c>
      <c r="Y16" s="14" t="str">
        <f>IFERROR(__xludf.DUMMYFUNCTION("""COMPUTED_VALUE"""),"Albania-Europe")</f>
        <v>Albania-Europe</v>
      </c>
      <c r="Z16" s="14" t="str">
        <f>IFERROR(__xludf.DUMMYFUNCTION("""COMPUTED_VALUE"""),"Europe")</f>
        <v>Europe</v>
      </c>
      <c r="AA16" s="14" t="str">
        <f>IFERROR(__xludf.DUMMYFUNCTION("""COMPUTED_VALUE"""),"2001")</f>
        <v>2001</v>
      </c>
      <c r="AB16" s="15" t="str">
        <f>IFERROR(__xludf.DUMMYFUNCTION("ARRAYFORMULA(VLOOKUP(A16,IMPORTRANGE(""https://docs.google.com/spreadsheets/d/1BuTWp7qHGjWhqrnf-OmePP568O4A5Am9ttzvVdP67zw/edit#gid=1931367683"" ,""ENERGY!$A$2:$F$2692""), {2,3,4,5,6},0))"),"Europe")</f>
        <v>Europe</v>
      </c>
      <c r="AC16" s="14" t="str">
        <f>IFERROR(__xludf.DUMMYFUNCTION("""COMPUTED_VALUE"""),"Albania-Europe")</f>
        <v>Albania-Europe</v>
      </c>
      <c r="AD16" s="14" t="str">
        <f>IFERROR(__xludf.DUMMYFUNCTION("""COMPUTED_VALUE"""),"2001")</f>
        <v>2001</v>
      </c>
      <c r="AE16" s="14">
        <f>IFERROR(__xludf.DUMMYFUNCTION("""COMPUTED_VALUE"""),2173.0)</f>
        <v>2173</v>
      </c>
      <c r="AF16" s="14"/>
    </row>
    <row r="17">
      <c r="A17" s="12">
        <v>16.0</v>
      </c>
      <c r="B17" s="12" t="s">
        <v>74</v>
      </c>
      <c r="C17" s="5" t="s">
        <v>75</v>
      </c>
      <c r="D17" s="8"/>
      <c r="E17" s="8"/>
      <c r="F17" s="8"/>
      <c r="G17" s="8"/>
      <c r="H17" s="11">
        <v>0.004</v>
      </c>
      <c r="I17" s="11">
        <v>0.261</v>
      </c>
      <c r="J17" s="9" t="s">
        <v>63</v>
      </c>
      <c r="K17" s="14" t="str">
        <f>IFERROR(__xludf.DUMMYFUNCTION("ARRAYFORMULA(VLOOKUP(A17,IMPORTRANGE(""https://docs.google.com/spreadsheets/d/1BuTWp7qHGjWhqrnf-OmePP568O4A5Am9ttzvVdP67zw/edit#gid=1603210130"", ""TOURISM!$A$2:$F$2692""), {2,3,4,5,6},0))"),"Europe")</f>
        <v>Europe</v>
      </c>
      <c r="L17" s="14">
        <f>IFERROR(__xludf.DUMMYFUNCTION("""COMPUTED_VALUE"""),4.92E8)</f>
        <v>492000000</v>
      </c>
      <c r="M17" s="14" t="str">
        <f>IFERROR(__xludf.DUMMYFUNCTION("""COMPUTED_VALUE"""),"Albania-Europe")</f>
        <v>Albania-Europe</v>
      </c>
      <c r="N17" s="14" t="str">
        <f>IFERROR(__xludf.DUMMYFUNCTION("""COMPUTED_VALUE"""),"2002")</f>
        <v>2002</v>
      </c>
      <c r="O17" s="14">
        <f>IFERROR(__xludf.DUMMYFUNCTION("""COMPUTED_VALUE"""),3.86E8)</f>
        <v>386000000</v>
      </c>
      <c r="P17" s="15">
        <f>IFERROR(__xludf.DUMMYFUNCTION("ARRAYFORMULA(VLOOKUP(A17,IMPORTRANGE(""https://docs.google.com/spreadsheets/d/1BuTWp7qHGjWhqrnf-OmePP568O4A5Am9ttzvVdP67zw/edit#gid=771602874"" ,""HUMAN RESOURCES!$A$2:$M$2692""), {2,3,4,5,6,7,8,9,10,11,12,13},0))"),0.017)</f>
        <v>0.017</v>
      </c>
      <c r="Q17" s="14">
        <f>IFERROR(__xludf.DUMMYFUNCTION("""COMPUTED_VALUE"""),0.021)</f>
        <v>0.021</v>
      </c>
      <c r="R17" s="14">
        <f>IFERROR(__xludf.DUMMYFUNCTION("""COMPUTED_VALUE"""),78.0)</f>
        <v>78</v>
      </c>
      <c r="S17" s="14">
        <f>IFERROR(__xludf.DUMMYFUNCTION("""COMPUTED_VALUE"""),72.0)</f>
        <v>72</v>
      </c>
      <c r="T17" s="14">
        <f>IFERROR(__xludf.DUMMYFUNCTION("""COMPUTED_VALUE"""),0.29)</f>
        <v>0.29</v>
      </c>
      <c r="U17" s="14">
        <f>IFERROR(__xludf.DUMMYFUNCTION("""COMPUTED_VALUE"""),0.636)</f>
        <v>0.636</v>
      </c>
      <c r="V17" s="14">
        <f>IFERROR(__xludf.DUMMYFUNCTION("""COMPUTED_VALUE"""),0.075)</f>
        <v>0.075</v>
      </c>
      <c r="W17" s="14">
        <f>IFERROR(__xludf.DUMMYFUNCTION("""COMPUTED_VALUE"""),3051427.0)</f>
        <v>3051427</v>
      </c>
      <c r="X17" s="14">
        <f>IFERROR(__xludf.DUMMYFUNCTION("""COMPUTED_VALUE"""),0.435)</f>
        <v>0.435</v>
      </c>
      <c r="Y17" s="14" t="str">
        <f>IFERROR(__xludf.DUMMYFUNCTION("""COMPUTED_VALUE"""),"Albania-Europe")</f>
        <v>Albania-Europe</v>
      </c>
      <c r="Z17" s="14" t="str">
        <f>IFERROR(__xludf.DUMMYFUNCTION("""COMPUTED_VALUE"""),"Europe")</f>
        <v>Europe</v>
      </c>
      <c r="AA17" s="14" t="str">
        <f>IFERROR(__xludf.DUMMYFUNCTION("""COMPUTED_VALUE"""),"2002")</f>
        <v>2002</v>
      </c>
      <c r="AB17" s="15" t="str">
        <f>IFERROR(__xludf.DUMMYFUNCTION("ARRAYFORMULA(VLOOKUP(A17,IMPORTRANGE(""https://docs.google.com/spreadsheets/d/1BuTWp7qHGjWhqrnf-OmePP568O4A5Am9ttzvVdP67zw/edit#gid=1931367683"" ,""ENERGY!$A$2:$F$2692""), {2,3,4,5,6},0))"),"Europe")</f>
        <v>Europe</v>
      </c>
      <c r="AC17" s="14" t="str">
        <f>IFERROR(__xludf.DUMMYFUNCTION("""COMPUTED_VALUE"""),"Albania-Europe")</f>
        <v>Albania-Europe</v>
      </c>
      <c r="AD17" s="14" t="str">
        <f>IFERROR(__xludf.DUMMYFUNCTION("""COMPUTED_VALUE"""),"2002")</f>
        <v>2002</v>
      </c>
      <c r="AE17" s="14">
        <f>IFERROR(__xludf.DUMMYFUNCTION("""COMPUTED_VALUE"""),2059.0)</f>
        <v>2059</v>
      </c>
      <c r="AF17" s="14">
        <f>IFERROR(__xludf.DUMMYFUNCTION("""COMPUTED_VALUE"""),4283.0)</f>
        <v>4283</v>
      </c>
    </row>
    <row r="18">
      <c r="A18" s="12">
        <v>17.0</v>
      </c>
      <c r="B18" s="12" t="s">
        <v>74</v>
      </c>
      <c r="C18" s="5" t="s">
        <v>75</v>
      </c>
      <c r="D18" s="8"/>
      <c r="E18" s="11">
        <v>41.0</v>
      </c>
      <c r="F18" s="8"/>
      <c r="G18" s="8"/>
      <c r="H18" s="11">
        <v>0.01</v>
      </c>
      <c r="I18" s="11">
        <v>0.34</v>
      </c>
      <c r="J18" s="9" t="s">
        <v>64</v>
      </c>
      <c r="K18" s="14" t="str">
        <f>IFERROR(__xludf.DUMMYFUNCTION("ARRAYFORMULA(VLOOKUP(A18,IMPORTRANGE(""https://docs.google.com/spreadsheets/d/1BuTWp7qHGjWhqrnf-OmePP568O4A5Am9ttzvVdP67zw/edit#gid=1603210130"", ""TOURISM!$A$2:$F$2692""), {2,3,4,5,6},0))"),"Europe")</f>
        <v>Europe</v>
      </c>
      <c r="L18" s="14">
        <f>IFERROR(__xludf.DUMMYFUNCTION("""COMPUTED_VALUE"""),5.37E8)</f>
        <v>537000000</v>
      </c>
      <c r="M18" s="14" t="str">
        <f>IFERROR(__xludf.DUMMYFUNCTION("""COMPUTED_VALUE"""),"Albania-Europe")</f>
        <v>Albania-Europe</v>
      </c>
      <c r="N18" s="14" t="str">
        <f>IFERROR(__xludf.DUMMYFUNCTION("""COMPUTED_VALUE"""),"2003")</f>
        <v>2003</v>
      </c>
      <c r="O18" s="14">
        <f>IFERROR(__xludf.DUMMYFUNCTION("""COMPUTED_VALUE"""),5.07E8)</f>
        <v>507000000</v>
      </c>
      <c r="P18" s="15">
        <f>IFERROR(__xludf.DUMMYFUNCTION("ARRAYFORMULA(VLOOKUP(A18,IMPORTRANGE(""https://docs.google.com/spreadsheets/d/1BuTWp7qHGjWhqrnf-OmePP568O4A5Am9ttzvVdP67zw/edit#gid=771602874"" ,""HUMAN RESOURCES!$A$2:$M$2692""), {2,3,4,5,6,7,8,9,10,11,12,13},0))"),0.016)</f>
        <v>0.016</v>
      </c>
      <c r="Q18" s="14">
        <f>IFERROR(__xludf.DUMMYFUNCTION("""COMPUTED_VALUE"""),0.02)</f>
        <v>0.02</v>
      </c>
      <c r="R18" s="14">
        <f>IFERROR(__xludf.DUMMYFUNCTION("""COMPUTED_VALUE"""),79.0)</f>
        <v>79</v>
      </c>
      <c r="S18" s="14">
        <f>IFERROR(__xludf.DUMMYFUNCTION("""COMPUTED_VALUE"""),72.0)</f>
        <v>72</v>
      </c>
      <c r="T18" s="14">
        <f>IFERROR(__xludf.DUMMYFUNCTION("""COMPUTED_VALUE"""),0.282)</f>
        <v>0.282</v>
      </c>
      <c r="U18" s="14">
        <f>IFERROR(__xludf.DUMMYFUNCTION("""COMPUTED_VALUE"""),0.64)</f>
        <v>0.64</v>
      </c>
      <c r="V18" s="14">
        <f>IFERROR(__xludf.DUMMYFUNCTION("""COMPUTED_VALUE"""),0.078)</f>
        <v>0.078</v>
      </c>
      <c r="W18" s="14">
        <f>IFERROR(__xludf.DUMMYFUNCTION("""COMPUTED_VALUE"""),3033659.0)</f>
        <v>3033659</v>
      </c>
      <c r="X18" s="14">
        <f>IFERROR(__xludf.DUMMYFUNCTION("""COMPUTED_VALUE"""),0.446)</f>
        <v>0.446</v>
      </c>
      <c r="Y18" s="14" t="str">
        <f>IFERROR(__xludf.DUMMYFUNCTION("""COMPUTED_VALUE"""),"Albania-Europe")</f>
        <v>Albania-Europe</v>
      </c>
      <c r="Z18" s="14" t="str">
        <f>IFERROR(__xludf.DUMMYFUNCTION("""COMPUTED_VALUE"""),"Europe")</f>
        <v>Europe</v>
      </c>
      <c r="AA18" s="14" t="str">
        <f>IFERROR(__xludf.DUMMYFUNCTION("""COMPUTED_VALUE"""),"2003")</f>
        <v>2003</v>
      </c>
      <c r="AB18" s="15" t="str">
        <f>IFERROR(__xludf.DUMMYFUNCTION("ARRAYFORMULA(VLOOKUP(A18,IMPORTRANGE(""https://docs.google.com/spreadsheets/d/1BuTWp7qHGjWhqrnf-OmePP568O4A5Am9ttzvVdP67zw/edit#gid=1931367683"" ,""ENERGY!$A$2:$F$2692""), {2,3,4,5,6},0))"),"Europe")</f>
        <v>Europe</v>
      </c>
      <c r="AC18" s="14" t="str">
        <f>IFERROR(__xludf.DUMMYFUNCTION("""COMPUTED_VALUE"""),"Albania-Europe")</f>
        <v>Albania-Europe</v>
      </c>
      <c r="AD18" s="14" t="str">
        <f>IFERROR(__xludf.DUMMYFUNCTION("""COMPUTED_VALUE"""),"2003")</f>
        <v>2003</v>
      </c>
      <c r="AE18" s="14">
        <f>IFERROR(__xludf.DUMMYFUNCTION("""COMPUTED_VALUE"""),2068.0)</f>
        <v>2068</v>
      </c>
      <c r="AF18" s="14">
        <f>IFERROR(__xludf.DUMMYFUNCTION("""COMPUTED_VALUE"""),3880.0)</f>
        <v>3880</v>
      </c>
    </row>
    <row r="19">
      <c r="A19" s="12">
        <v>18.0</v>
      </c>
      <c r="B19" s="12" t="s">
        <v>74</v>
      </c>
      <c r="C19" s="5" t="s">
        <v>75</v>
      </c>
      <c r="D19" s="8"/>
      <c r="E19" s="11">
        <v>41.0</v>
      </c>
      <c r="F19" s="8"/>
      <c r="G19" s="8"/>
      <c r="H19" s="11">
        <v>0.024</v>
      </c>
      <c r="I19" s="11">
        <v>0.392</v>
      </c>
      <c r="J19" s="9" t="s">
        <v>65</v>
      </c>
      <c r="K19" s="14" t="str">
        <f>IFERROR(__xludf.DUMMYFUNCTION("ARRAYFORMULA(VLOOKUP(A19,IMPORTRANGE(""https://docs.google.com/spreadsheets/d/1BuTWp7qHGjWhqrnf-OmePP568O4A5Am9ttzvVdP67zw/edit#gid=1603210130"", ""TOURISM!$A$2:$F$2692""), {2,3,4,5,6},0))"),"Europe")</f>
        <v>Europe</v>
      </c>
      <c r="L19" s="14">
        <f>IFERROR(__xludf.DUMMYFUNCTION("""COMPUTED_VALUE"""),7.56E8)</f>
        <v>756000000</v>
      </c>
      <c r="M19" s="14" t="str">
        <f>IFERROR(__xludf.DUMMYFUNCTION("""COMPUTED_VALUE"""),"Albania-Europe")</f>
        <v>Albania-Europe</v>
      </c>
      <c r="N19" s="14" t="str">
        <f>IFERROR(__xludf.DUMMYFUNCTION("""COMPUTED_VALUE"""),"2004")</f>
        <v>2004</v>
      </c>
      <c r="O19" s="14">
        <f>IFERROR(__xludf.DUMMYFUNCTION("""COMPUTED_VALUE"""),6.69E8)</f>
        <v>669000000</v>
      </c>
      <c r="P19" s="15">
        <f>IFERROR(__xludf.DUMMYFUNCTION("ARRAYFORMULA(VLOOKUP(A19,IMPORTRANGE(""https://docs.google.com/spreadsheets/d/1BuTWp7qHGjWhqrnf-OmePP568O4A5Am9ttzvVdP67zw/edit#gid=771602874"" ,""HUMAN RESOURCES!$A$2:$M$2692""), {2,3,4,5,6,7,8,9,10,11,12,13},0))"),0.015)</f>
        <v>0.015</v>
      </c>
      <c r="Q19" s="14">
        <f>IFERROR(__xludf.DUMMYFUNCTION("""COMPUTED_VALUE"""),0.019)</f>
        <v>0.019</v>
      </c>
      <c r="R19" s="14">
        <f>IFERROR(__xludf.DUMMYFUNCTION("""COMPUTED_VALUE"""),79.0)</f>
        <v>79</v>
      </c>
      <c r="S19" s="14">
        <f>IFERROR(__xludf.DUMMYFUNCTION("""COMPUTED_VALUE"""),73.0)</f>
        <v>73</v>
      </c>
      <c r="T19" s="14">
        <f>IFERROR(__xludf.DUMMYFUNCTION("""COMPUTED_VALUE"""),0.273)</f>
        <v>0.273</v>
      </c>
      <c r="U19" s="14">
        <f>IFERROR(__xludf.DUMMYFUNCTION("""COMPUTED_VALUE"""),0.645)</f>
        <v>0.645</v>
      </c>
      <c r="V19" s="14">
        <f>IFERROR(__xludf.DUMMYFUNCTION("""COMPUTED_VALUE"""),0.082)</f>
        <v>0.082</v>
      </c>
      <c r="W19" s="14">
        <f>IFERROR(__xludf.DUMMYFUNCTION("""COMPUTED_VALUE"""),3014579.0)</f>
        <v>3014579</v>
      </c>
      <c r="X19" s="14">
        <f>IFERROR(__xludf.DUMMYFUNCTION("""COMPUTED_VALUE"""),0.457)</f>
        <v>0.457</v>
      </c>
      <c r="Y19" s="14" t="str">
        <f>IFERROR(__xludf.DUMMYFUNCTION("""COMPUTED_VALUE"""),"Albania-Europe")</f>
        <v>Albania-Europe</v>
      </c>
      <c r="Z19" s="14" t="str">
        <f>IFERROR(__xludf.DUMMYFUNCTION("""COMPUTED_VALUE"""),"Europe")</f>
        <v>Europe</v>
      </c>
      <c r="AA19" s="14" t="str">
        <f>IFERROR(__xludf.DUMMYFUNCTION("""COMPUTED_VALUE"""),"2004")</f>
        <v>2004</v>
      </c>
      <c r="AB19" s="15" t="str">
        <f>IFERROR(__xludf.DUMMYFUNCTION("ARRAYFORMULA(VLOOKUP(A19,IMPORTRANGE(""https://docs.google.com/spreadsheets/d/1BuTWp7qHGjWhqrnf-OmePP568O4A5Am9ttzvVdP67zw/edit#gid=1931367683"" ,""ENERGY!$A$2:$F$2692""), {2,3,4,5,6},0))"),"Europe")</f>
        <v>Europe</v>
      </c>
      <c r="AC19" s="14" t="str">
        <f>IFERROR(__xludf.DUMMYFUNCTION("""COMPUTED_VALUE"""),"Albania-Europe")</f>
        <v>Albania-Europe</v>
      </c>
      <c r="AD19" s="14" t="str">
        <f>IFERROR(__xludf.DUMMYFUNCTION("""COMPUTED_VALUE"""),"2004")</f>
        <v>2004</v>
      </c>
      <c r="AE19" s="14">
        <f>IFERROR(__xludf.DUMMYFUNCTION("""COMPUTED_VALUE"""),2061.0)</f>
        <v>2061</v>
      </c>
      <c r="AF19" s="14">
        <f>IFERROR(__xludf.DUMMYFUNCTION("""COMPUTED_VALUE"""),4129.0)</f>
        <v>4129</v>
      </c>
    </row>
    <row r="20">
      <c r="A20" s="12">
        <v>19.0</v>
      </c>
      <c r="B20" s="12" t="s">
        <v>74</v>
      </c>
      <c r="C20" s="5" t="s">
        <v>75</v>
      </c>
      <c r="D20" s="11">
        <v>0.582</v>
      </c>
      <c r="E20" s="11">
        <v>41.0</v>
      </c>
      <c r="F20" s="8"/>
      <c r="G20" s="11">
        <v>364.0</v>
      </c>
      <c r="H20" s="11">
        <v>0.06</v>
      </c>
      <c r="I20" s="11">
        <v>0.479</v>
      </c>
      <c r="J20" s="9" t="s">
        <v>66</v>
      </c>
      <c r="K20" s="14" t="str">
        <f>IFERROR(__xludf.DUMMYFUNCTION("ARRAYFORMULA(VLOOKUP(A20,IMPORTRANGE(""https://docs.google.com/spreadsheets/d/1BuTWp7qHGjWhqrnf-OmePP568O4A5Am9ttzvVdP67zw/edit#gid=1603210130"", ""TOURISM!$A$2:$F$2692""), {2,3,4,5,6},0))"),"Europe")</f>
        <v>Europe</v>
      </c>
      <c r="L20" s="14">
        <f>IFERROR(__xludf.DUMMYFUNCTION("""COMPUTED_VALUE"""),8.8E8)</f>
        <v>880000000</v>
      </c>
      <c r="M20" s="14" t="str">
        <f>IFERROR(__xludf.DUMMYFUNCTION("""COMPUTED_VALUE"""),"Albania-Europe")</f>
        <v>Albania-Europe</v>
      </c>
      <c r="N20" s="14" t="str">
        <f>IFERROR(__xludf.DUMMYFUNCTION("""COMPUTED_VALUE"""),"2005")</f>
        <v>2005</v>
      </c>
      <c r="O20" s="14">
        <f>IFERROR(__xludf.DUMMYFUNCTION("""COMPUTED_VALUE"""),8.08E8)</f>
        <v>808000000</v>
      </c>
      <c r="P20" s="15">
        <f>IFERROR(__xludf.DUMMYFUNCTION("ARRAYFORMULA(VLOOKUP(A20,IMPORTRANGE(""https://docs.google.com/spreadsheets/d/1BuTWp7qHGjWhqrnf-OmePP568O4A5Am9ttzvVdP67zw/edit#gid=771602874"" ,""HUMAN RESOURCES!$A$2:$M$2692""), {2,3,4,5,6,7,8,9,10,11,12,13},0))"),0.014)</f>
        <v>0.014</v>
      </c>
      <c r="Q20" s="14">
        <f>IFERROR(__xludf.DUMMYFUNCTION("""COMPUTED_VALUE"""),0.018)</f>
        <v>0.018</v>
      </c>
      <c r="R20" s="14">
        <f>IFERROR(__xludf.DUMMYFUNCTION("""COMPUTED_VALUE"""),79.0)</f>
        <v>79</v>
      </c>
      <c r="S20" s="14">
        <f>IFERROR(__xludf.DUMMYFUNCTION("""COMPUTED_VALUE"""),73.0)</f>
        <v>73</v>
      </c>
      <c r="T20" s="14">
        <f>IFERROR(__xludf.DUMMYFUNCTION("""COMPUTED_VALUE"""),0.265)</f>
        <v>0.265</v>
      </c>
      <c r="U20" s="14">
        <f>IFERROR(__xludf.DUMMYFUNCTION("""COMPUTED_VALUE"""),0.649)</f>
        <v>0.649</v>
      </c>
      <c r="V20" s="14">
        <f>IFERROR(__xludf.DUMMYFUNCTION("""COMPUTED_VALUE"""),0.085)</f>
        <v>0.085</v>
      </c>
      <c r="W20" s="14">
        <f>IFERROR(__xludf.DUMMYFUNCTION("""COMPUTED_VALUE"""),2992724.0)</f>
        <v>2992724</v>
      </c>
      <c r="X20" s="14">
        <f>IFERROR(__xludf.DUMMYFUNCTION("""COMPUTED_VALUE"""),0.467)</f>
        <v>0.467</v>
      </c>
      <c r="Y20" s="14" t="str">
        <f>IFERROR(__xludf.DUMMYFUNCTION("""COMPUTED_VALUE"""),"Albania-Europe")</f>
        <v>Albania-Europe</v>
      </c>
      <c r="Z20" s="14" t="str">
        <f>IFERROR(__xludf.DUMMYFUNCTION("""COMPUTED_VALUE"""),"Europe")</f>
        <v>Europe</v>
      </c>
      <c r="AA20" s="14" t="str">
        <f>IFERROR(__xludf.DUMMYFUNCTION("""COMPUTED_VALUE"""),"2005")</f>
        <v>2005</v>
      </c>
      <c r="AB20" s="15" t="str">
        <f>IFERROR(__xludf.DUMMYFUNCTION("ARRAYFORMULA(VLOOKUP(A20,IMPORTRANGE(""https://docs.google.com/spreadsheets/d/1BuTWp7qHGjWhqrnf-OmePP568O4A5Am9ttzvVdP67zw/edit#gid=1931367683"" ,""ENERGY!$A$2:$F$2692""), {2,3,4,5,6},0))"),"Europe")</f>
        <v>Europe</v>
      </c>
      <c r="AC20" s="14" t="str">
        <f>IFERROR(__xludf.DUMMYFUNCTION("""COMPUTED_VALUE"""),"Albania-Europe")</f>
        <v>Albania-Europe</v>
      </c>
      <c r="AD20" s="14" t="str">
        <f>IFERROR(__xludf.DUMMYFUNCTION("""COMPUTED_VALUE"""),"2005")</f>
        <v>2005</v>
      </c>
      <c r="AE20" s="14">
        <f>IFERROR(__xludf.DUMMYFUNCTION("""COMPUTED_VALUE"""),2025.0)</f>
        <v>2025</v>
      </c>
      <c r="AF20" s="14">
        <f>IFERROR(__xludf.DUMMYFUNCTION("""COMPUTED_VALUE"""),4056.0)</f>
        <v>4056</v>
      </c>
    </row>
    <row r="21">
      <c r="A21" s="12">
        <v>20.0</v>
      </c>
      <c r="B21" s="12" t="s">
        <v>74</v>
      </c>
      <c r="C21" s="5" t="s">
        <v>75</v>
      </c>
      <c r="D21" s="11">
        <v>0.565</v>
      </c>
      <c r="E21" s="11">
        <v>39.0</v>
      </c>
      <c r="F21" s="8"/>
      <c r="G21" s="11">
        <v>364.0</v>
      </c>
      <c r="H21" s="11">
        <v>0.096</v>
      </c>
      <c r="I21" s="11">
        <v>0.601</v>
      </c>
      <c r="J21" s="9" t="s">
        <v>67</v>
      </c>
      <c r="K21" s="14" t="str">
        <f>IFERROR(__xludf.DUMMYFUNCTION("ARRAYFORMULA(VLOOKUP(A21,IMPORTRANGE(""https://docs.google.com/spreadsheets/d/1BuTWp7qHGjWhqrnf-OmePP568O4A5Am9ttzvVdP67zw/edit#gid=1603210130"", ""TOURISM!$A$2:$F$2692""), {2,3,4,5,6},0))"),"Europe")</f>
        <v>Europe</v>
      </c>
      <c r="L21" s="14">
        <f>IFERROR(__xludf.DUMMYFUNCTION("""COMPUTED_VALUE"""),1.057E9)</f>
        <v>1057000000</v>
      </c>
      <c r="M21" s="14" t="str">
        <f>IFERROR(__xludf.DUMMYFUNCTION("""COMPUTED_VALUE"""),"Albania-Europe")</f>
        <v>Albania-Europe</v>
      </c>
      <c r="N21" s="14" t="str">
        <f>IFERROR(__xludf.DUMMYFUNCTION("""COMPUTED_VALUE"""),"2006")</f>
        <v>2006</v>
      </c>
      <c r="O21" s="14">
        <f>IFERROR(__xludf.DUMMYFUNCTION("""COMPUTED_VALUE"""),9.89E8)</f>
        <v>989000000</v>
      </c>
      <c r="P21" s="15">
        <f>IFERROR(__xludf.DUMMYFUNCTION("ARRAYFORMULA(VLOOKUP(A21,IMPORTRANGE(""https://docs.google.com/spreadsheets/d/1BuTWp7qHGjWhqrnf-OmePP568O4A5Am9ttzvVdP67zw/edit#gid=771602874"" ,""HUMAN RESOURCES!$A$2:$M$2692""), {2,3,4,5,6,7,8,9,10,11,12,13},0))"),0.014)</f>
        <v>0.014</v>
      </c>
      <c r="Q21" s="14">
        <f>IFERROR(__xludf.DUMMYFUNCTION("""COMPUTED_VALUE"""),0.017)</f>
        <v>0.017</v>
      </c>
      <c r="R21" s="14">
        <f>IFERROR(__xludf.DUMMYFUNCTION("""COMPUTED_VALUE"""),80.0)</f>
        <v>80</v>
      </c>
      <c r="S21" s="14">
        <f>IFERROR(__xludf.DUMMYFUNCTION("""COMPUTED_VALUE"""),73.0)</f>
        <v>73</v>
      </c>
      <c r="T21" s="14">
        <f>IFERROR(__xludf.DUMMYFUNCTION("""COMPUTED_VALUE"""),0.258)</f>
        <v>0.258</v>
      </c>
      <c r="U21" s="14">
        <f>IFERROR(__xludf.DUMMYFUNCTION("""COMPUTED_VALUE"""),0.654)</f>
        <v>0.654</v>
      </c>
      <c r="V21" s="14">
        <f>IFERROR(__xludf.DUMMYFUNCTION("""COMPUTED_VALUE"""),0.089)</f>
        <v>0.089</v>
      </c>
      <c r="W21" s="14">
        <f>IFERROR(__xludf.DUMMYFUNCTION("""COMPUTED_VALUE"""),2968028.0)</f>
        <v>2968028</v>
      </c>
      <c r="X21" s="14">
        <f>IFERROR(__xludf.DUMMYFUNCTION("""COMPUTED_VALUE"""),0.478)</f>
        <v>0.478</v>
      </c>
      <c r="Y21" s="14" t="str">
        <f>IFERROR(__xludf.DUMMYFUNCTION("""COMPUTED_VALUE"""),"Albania-Europe")</f>
        <v>Albania-Europe</v>
      </c>
      <c r="Z21" s="14" t="str">
        <f>IFERROR(__xludf.DUMMYFUNCTION("""COMPUTED_VALUE"""),"Europe")</f>
        <v>Europe</v>
      </c>
      <c r="AA21" s="14" t="str">
        <f>IFERROR(__xludf.DUMMYFUNCTION("""COMPUTED_VALUE"""),"2006")</f>
        <v>2006</v>
      </c>
      <c r="AB21" s="15" t="str">
        <f>IFERROR(__xludf.DUMMYFUNCTION("ARRAYFORMULA(VLOOKUP(A21,IMPORTRANGE(""https://docs.google.com/spreadsheets/d/1BuTWp7qHGjWhqrnf-OmePP568O4A5Am9ttzvVdP67zw/edit#gid=1931367683"" ,""ENERGY!$A$2:$F$2692""), {2,3,4,5,6},0))"),"Europe")</f>
        <v>Europe</v>
      </c>
      <c r="AC21" s="14" t="str">
        <f>IFERROR(__xludf.DUMMYFUNCTION("""COMPUTED_VALUE"""),"Albania-Europe")</f>
        <v>Albania-Europe</v>
      </c>
      <c r="AD21" s="14" t="str">
        <f>IFERROR(__xludf.DUMMYFUNCTION("""COMPUTED_VALUE"""),"2009")</f>
        <v>2009</v>
      </c>
      <c r="AE21" s="14">
        <f>IFERROR(__xludf.DUMMYFUNCTION("""COMPUTED_VALUE"""),2068.0)</f>
        <v>2068</v>
      </c>
      <c r="AF21" s="14">
        <f>IFERROR(__xludf.DUMMYFUNCTION("""COMPUTED_VALUE"""),3865.0)</f>
        <v>3865</v>
      </c>
    </row>
    <row r="22">
      <c r="A22" s="12">
        <v>21.0</v>
      </c>
      <c r="B22" s="12" t="s">
        <v>74</v>
      </c>
      <c r="C22" s="5" t="s">
        <v>75</v>
      </c>
      <c r="D22" s="11">
        <v>0.459</v>
      </c>
      <c r="E22" s="11">
        <v>36.0</v>
      </c>
      <c r="F22" s="8"/>
      <c r="G22" s="11">
        <v>364.0</v>
      </c>
      <c r="H22" s="11">
        <v>0.15</v>
      </c>
      <c r="I22" s="11">
        <v>0.734</v>
      </c>
      <c r="J22" s="9" t="s">
        <v>68</v>
      </c>
      <c r="K22" s="14" t="str">
        <f>IFERROR(__xludf.DUMMYFUNCTION("ARRAYFORMULA(VLOOKUP(A22,IMPORTRANGE(""https://docs.google.com/spreadsheets/d/1BuTWp7qHGjWhqrnf-OmePP568O4A5Am9ttzvVdP67zw/edit#gid=1603210130"", ""TOURISM!$A$2:$F$2692""), {2,3,4,5,6},0))"),"Europe")</f>
        <v>Europe</v>
      </c>
      <c r="L22" s="14">
        <f>IFERROR(__xludf.DUMMYFUNCTION("""COMPUTED_VALUE"""),1.479E9)</f>
        <v>1479000000</v>
      </c>
      <c r="M22" s="14" t="str">
        <f>IFERROR(__xludf.DUMMYFUNCTION("""COMPUTED_VALUE"""),"Albania-Europe")</f>
        <v>Albania-Europe</v>
      </c>
      <c r="N22" s="14" t="str">
        <f>IFERROR(__xludf.DUMMYFUNCTION("""COMPUTED_VALUE"""),"2007")</f>
        <v>2007</v>
      </c>
      <c r="O22" s="14">
        <f>IFERROR(__xludf.DUMMYFUNCTION("""COMPUTED_VALUE"""),1.331E9)</f>
        <v>1331000000</v>
      </c>
      <c r="P22" s="15">
        <f>IFERROR(__xludf.DUMMYFUNCTION("ARRAYFORMULA(VLOOKUP(A22,IMPORTRANGE(""https://docs.google.com/spreadsheets/d/1BuTWp7qHGjWhqrnf-OmePP568O4A5Am9ttzvVdP67zw/edit#gid=771602874"" ,""HUMAN RESOURCES!$A$2:$M$2692""), {2,3,4,5,6,7,8,9,10,11,12,13},0))"),0.013)</f>
        <v>0.013</v>
      </c>
      <c r="Q22" s="14">
        <f>IFERROR(__xludf.DUMMYFUNCTION("""COMPUTED_VALUE"""),0.017)</f>
        <v>0.017</v>
      </c>
      <c r="R22" s="14">
        <f>IFERROR(__xludf.DUMMYFUNCTION("""COMPUTED_VALUE"""),80.0)</f>
        <v>80</v>
      </c>
      <c r="S22" s="14">
        <f>IFERROR(__xludf.DUMMYFUNCTION("""COMPUTED_VALUE"""),73.0)</f>
        <v>73</v>
      </c>
      <c r="T22" s="14">
        <f>IFERROR(__xludf.DUMMYFUNCTION("""COMPUTED_VALUE"""),0.25)</f>
        <v>0.25</v>
      </c>
      <c r="U22" s="14">
        <f>IFERROR(__xludf.DUMMYFUNCTION("""COMPUTED_VALUE"""),0.658)</f>
        <v>0.658</v>
      </c>
      <c r="V22" s="14">
        <f>IFERROR(__xludf.DUMMYFUNCTION("""COMPUTED_VALUE"""),0.092)</f>
        <v>0.092</v>
      </c>
      <c r="W22" s="14">
        <f>IFERROR(__xludf.DUMMYFUNCTION("""COMPUTED_VALUE"""),2940880.0)</f>
        <v>2940880</v>
      </c>
      <c r="X22" s="14">
        <f>IFERROR(__xludf.DUMMYFUNCTION("""COMPUTED_VALUE"""),0.489)</f>
        <v>0.489</v>
      </c>
      <c r="Y22" s="14" t="str">
        <f>IFERROR(__xludf.DUMMYFUNCTION("""COMPUTED_VALUE"""),"Albania-Europe")</f>
        <v>Albania-Europe</v>
      </c>
      <c r="Z22" s="14" t="str">
        <f>IFERROR(__xludf.DUMMYFUNCTION("""COMPUTED_VALUE"""),"Europe")</f>
        <v>Europe</v>
      </c>
      <c r="AA22" s="14" t="str">
        <f>IFERROR(__xludf.DUMMYFUNCTION("""COMPUTED_VALUE"""),"2007")</f>
        <v>2007</v>
      </c>
      <c r="AB22" s="15" t="str">
        <f>IFERROR(__xludf.DUMMYFUNCTION("ARRAYFORMULA(VLOOKUP(A22,IMPORTRANGE(""https://docs.google.com/spreadsheets/d/1BuTWp7qHGjWhqrnf-OmePP568O4A5Am9ttzvVdP67zw/edit#gid=1931367683"" ,""ENERGY!$A$2:$F$2692""), {2,3,4,5,6},0))"),"Europe")</f>
        <v>Europe</v>
      </c>
      <c r="AC22" s="14" t="str">
        <f>IFERROR(__xludf.DUMMYFUNCTION("""COMPUTED_VALUE"""),"Albania-Europe")</f>
        <v>Albania-Europe</v>
      </c>
      <c r="AD22" s="14" t="str">
        <f>IFERROR(__xludf.DUMMYFUNCTION("""COMPUTED_VALUE"""),"2005")</f>
        <v>2005</v>
      </c>
      <c r="AE22" s="14">
        <f>IFERROR(__xludf.DUMMYFUNCTION("""COMPUTED_VALUE"""),2172.0)</f>
        <v>2172</v>
      </c>
      <c r="AF22" s="14">
        <f>IFERROR(__xludf.DUMMYFUNCTION("""COMPUTED_VALUE"""),4254.0)</f>
        <v>4254</v>
      </c>
    </row>
    <row r="23">
      <c r="A23" s="12">
        <v>22.0</v>
      </c>
      <c r="B23" s="12" t="s">
        <v>74</v>
      </c>
      <c r="C23" s="5" t="s">
        <v>75</v>
      </c>
      <c r="D23" s="11">
        <v>0.462</v>
      </c>
      <c r="E23" s="11">
        <v>9.0</v>
      </c>
      <c r="F23" s="8"/>
      <c r="G23" s="11">
        <v>368.0</v>
      </c>
      <c r="H23" s="11">
        <v>0.239</v>
      </c>
      <c r="I23" s="11">
        <v>0.589</v>
      </c>
      <c r="J23" s="9" t="s">
        <v>69</v>
      </c>
      <c r="K23" s="14" t="str">
        <f>IFERROR(__xludf.DUMMYFUNCTION("ARRAYFORMULA(VLOOKUP(A23,IMPORTRANGE(""https://docs.google.com/spreadsheets/d/1BuTWp7qHGjWhqrnf-OmePP568O4A5Am9ttzvVdP67zw/edit#gid=1603210130"", ""TOURISM!$A$2:$F$2692""), {2,3,4,5,6},0))"),"Europe")</f>
        <v>Europe</v>
      </c>
      <c r="L23" s="14">
        <f>IFERROR(__xludf.DUMMYFUNCTION("""COMPUTED_VALUE"""),1.848E9)</f>
        <v>1848000000</v>
      </c>
      <c r="M23" s="14" t="str">
        <f>IFERROR(__xludf.DUMMYFUNCTION("""COMPUTED_VALUE"""),"Albania-Europe")</f>
        <v>Albania-Europe</v>
      </c>
      <c r="N23" s="14" t="str">
        <f>IFERROR(__xludf.DUMMYFUNCTION("""COMPUTED_VALUE"""),"2008")</f>
        <v>2008</v>
      </c>
      <c r="O23" s="14">
        <f>IFERROR(__xludf.DUMMYFUNCTION("""COMPUTED_VALUE"""),1.644E9)</f>
        <v>1644000000</v>
      </c>
      <c r="P23" s="15">
        <f>IFERROR(__xludf.DUMMYFUNCTION("ARRAYFORMULA(VLOOKUP(A23,IMPORTRANGE(""https://docs.google.com/spreadsheets/d/1BuTWp7qHGjWhqrnf-OmePP568O4A5Am9ttzvVdP67zw/edit#gid=771602874"" ,""HUMAN RESOURCES!$A$2:$M$2692""), {2,3,4,5,6,7,8,9,10,11,12,13},0))"),0.013)</f>
        <v>0.013</v>
      </c>
      <c r="Q23" s="14">
        <f>IFERROR(__xludf.DUMMYFUNCTION("""COMPUTED_VALUE"""),0.016)</f>
        <v>0.016</v>
      </c>
      <c r="R23" s="14">
        <f>IFERROR(__xludf.DUMMYFUNCTION("""COMPUTED_VALUE"""),80.0)</f>
        <v>80</v>
      </c>
      <c r="S23" s="14">
        <f>IFERROR(__xludf.DUMMYFUNCTION("""COMPUTED_VALUE"""),74.0)</f>
        <v>74</v>
      </c>
      <c r="T23" s="14">
        <f>IFERROR(__xludf.DUMMYFUNCTION("""COMPUTED_VALUE"""),0.243)</f>
        <v>0.243</v>
      </c>
      <c r="U23" s="14">
        <f>IFERROR(__xludf.DUMMYFUNCTION("""COMPUTED_VALUE"""),0.662)</f>
        <v>0.662</v>
      </c>
      <c r="V23" s="14">
        <f>IFERROR(__xludf.DUMMYFUNCTION("""COMPUTED_VALUE"""),0.095)</f>
        <v>0.095</v>
      </c>
      <c r="W23" s="14">
        <f>IFERROR(__xludf.DUMMYFUNCTION("""COMPUTED_VALUE"""),2912559.0)</f>
        <v>2912559</v>
      </c>
      <c r="X23" s="14">
        <f>IFERROR(__xludf.DUMMYFUNCTION("""COMPUTED_VALUE"""),0.5)</f>
        <v>0.5</v>
      </c>
      <c r="Y23" s="14" t="str">
        <f>IFERROR(__xludf.DUMMYFUNCTION("""COMPUTED_VALUE"""),"Albania-Europe")</f>
        <v>Albania-Europe</v>
      </c>
      <c r="Z23" s="14" t="str">
        <f>IFERROR(__xludf.DUMMYFUNCTION("""COMPUTED_VALUE"""),"Europe")</f>
        <v>Europe</v>
      </c>
      <c r="AA23" s="14" t="str">
        <f>IFERROR(__xludf.DUMMYFUNCTION("""COMPUTED_VALUE"""),"2008")</f>
        <v>2008</v>
      </c>
      <c r="AB23" s="15" t="str">
        <f>IFERROR(__xludf.DUMMYFUNCTION("ARRAYFORMULA(VLOOKUP(A23,IMPORTRANGE(""https://docs.google.com/spreadsheets/d/1BuTWp7qHGjWhqrnf-OmePP568O4A5Am9ttzvVdP67zw/edit#gid=1931367683"" ,""ENERGY!$A$2:$F$2692""), {2,3,4,5,6},0))"),"Europe")</f>
        <v>Europe</v>
      </c>
      <c r="AC23" s="14" t="str">
        <f>IFERROR(__xludf.DUMMYFUNCTION("""COMPUTED_VALUE"""),"Albania-Europe")</f>
        <v>Albania-Europe</v>
      </c>
      <c r="AD23" s="14" t="str">
        <f>IFERROR(__xludf.DUMMYFUNCTION("""COMPUTED_VALUE"""),"2011")</f>
        <v>2011</v>
      </c>
      <c r="AE23" s="14">
        <f>IFERROR(__xludf.DUMMYFUNCTION("""COMPUTED_VALUE"""),2172.0)</f>
        <v>2172</v>
      </c>
      <c r="AF23" s="14">
        <f>IFERROR(__xludf.DUMMYFUNCTION("""COMPUTED_VALUE"""),4166.0)</f>
        <v>4166</v>
      </c>
    </row>
    <row r="24">
      <c r="A24" s="12">
        <v>23.0</v>
      </c>
      <c r="B24" s="12" t="s">
        <v>74</v>
      </c>
      <c r="C24" s="5" t="s">
        <v>75</v>
      </c>
      <c r="D24" s="11">
        <v>0.37</v>
      </c>
      <c r="E24" s="11">
        <v>6.0</v>
      </c>
      <c r="F24" s="8"/>
      <c r="G24" s="11">
        <v>368.0</v>
      </c>
      <c r="H24" s="11">
        <v>0.412</v>
      </c>
      <c r="I24" s="11">
        <v>0.782</v>
      </c>
      <c r="J24" s="9" t="s">
        <v>70</v>
      </c>
      <c r="K24" s="14" t="str">
        <f>IFERROR(__xludf.DUMMYFUNCTION("ARRAYFORMULA(VLOOKUP(A24,IMPORTRANGE(""https://docs.google.com/spreadsheets/d/1BuTWp7qHGjWhqrnf-OmePP568O4A5Am9ttzvVdP67zw/edit#gid=1603210130"", ""TOURISM!$A$2:$F$2692""), {2,3,4,5,6},0))"),"Europe")</f>
        <v>Europe</v>
      </c>
      <c r="L24" s="14">
        <f>IFERROR(__xludf.DUMMYFUNCTION("""COMPUTED_VALUE"""),2.014E9)</f>
        <v>2014000000</v>
      </c>
      <c r="M24" s="14" t="str">
        <f>IFERROR(__xludf.DUMMYFUNCTION("""COMPUTED_VALUE"""),"Albania-Europe")</f>
        <v>Albania-Europe</v>
      </c>
      <c r="N24" s="14" t="str">
        <f>IFERROR(__xludf.DUMMYFUNCTION("""COMPUTED_VALUE"""),"2009")</f>
        <v>2009</v>
      </c>
      <c r="O24" s="14">
        <f>IFERROR(__xludf.DUMMYFUNCTION("""COMPUTED_VALUE"""),1.693E9)</f>
        <v>1693000000</v>
      </c>
      <c r="P24" s="15">
        <f>IFERROR(__xludf.DUMMYFUNCTION("ARRAYFORMULA(VLOOKUP(A24,IMPORTRANGE(""https://docs.google.com/spreadsheets/d/1BuTWp7qHGjWhqrnf-OmePP568O4A5Am9ttzvVdP67zw/edit#gid=771602874"" ,""HUMAN RESOURCES!$A$2:$M$2692""), {2,3,4,5,6,7,8,9,10,11,12,13},0))"),0.013)</f>
        <v>0.013</v>
      </c>
      <c r="Q24" s="14">
        <f>IFERROR(__xludf.DUMMYFUNCTION("""COMPUTED_VALUE"""),0.015)</f>
        <v>0.015</v>
      </c>
      <c r="R24" s="14">
        <f>IFERROR(__xludf.DUMMYFUNCTION("""COMPUTED_VALUE"""),80.0)</f>
        <v>80</v>
      </c>
      <c r="S24" s="14">
        <f>IFERROR(__xludf.DUMMYFUNCTION("""COMPUTED_VALUE"""),74.0)</f>
        <v>74</v>
      </c>
      <c r="T24" s="14">
        <f>IFERROR(__xludf.DUMMYFUNCTION("""COMPUTED_VALUE"""),0.236)</f>
        <v>0.236</v>
      </c>
      <c r="U24" s="14">
        <f>IFERROR(__xludf.DUMMYFUNCTION("""COMPUTED_VALUE"""),0.666)</f>
        <v>0.666</v>
      </c>
      <c r="V24" s="14">
        <f>IFERROR(__xludf.DUMMYFUNCTION("""COMPUTED_VALUE"""),0.098)</f>
        <v>0.098</v>
      </c>
      <c r="W24" s="14">
        <f>IFERROR(__xludf.DUMMYFUNCTION("""COMPUTED_VALUE"""),2884303.0)</f>
        <v>2884303</v>
      </c>
      <c r="X24" s="14">
        <f>IFERROR(__xludf.DUMMYFUNCTION("""COMPUTED_VALUE"""),0.511)</f>
        <v>0.511</v>
      </c>
      <c r="Y24" s="14" t="str">
        <f>IFERROR(__xludf.DUMMYFUNCTION("""COMPUTED_VALUE"""),"Albania-Europe")</f>
        <v>Albania-Europe</v>
      </c>
      <c r="Z24" s="14" t="str">
        <f>IFERROR(__xludf.DUMMYFUNCTION("""COMPUTED_VALUE"""),"Europe")</f>
        <v>Europe</v>
      </c>
      <c r="AA24" s="14" t="str">
        <f>IFERROR(__xludf.DUMMYFUNCTION("""COMPUTED_VALUE"""),"2009")</f>
        <v>2009</v>
      </c>
      <c r="AB24" s="15" t="str">
        <f>IFERROR(__xludf.DUMMYFUNCTION("ARRAYFORMULA(VLOOKUP(A24,IMPORTRANGE(""https://docs.google.com/spreadsheets/d/1BuTWp7qHGjWhqrnf-OmePP568O4A5Am9ttzvVdP67zw/edit#gid=1931367683"" ,""ENERGY!$A$2:$F$2692""), {2,3,4,5,6},0))"),"Europe")</f>
        <v>Europe</v>
      </c>
      <c r="AC24" s="14" t="str">
        <f>IFERROR(__xludf.DUMMYFUNCTION("""COMPUTED_VALUE"""),"Albania-Europe")</f>
        <v>Albania-Europe</v>
      </c>
      <c r="AD24" s="14" t="str">
        <f>IFERROR(__xludf.DUMMYFUNCTION("""COMPUTED_VALUE"""),"2008")</f>
        <v>2008</v>
      </c>
      <c r="AE24" s="14">
        <f>IFERROR(__xludf.DUMMYFUNCTION("""COMPUTED_VALUE"""),1976.0)</f>
        <v>1976</v>
      </c>
      <c r="AF24" s="14">
        <f>IFERROR(__xludf.DUMMYFUNCTION("""COMPUTED_VALUE"""),4294.0)</f>
        <v>4294</v>
      </c>
    </row>
    <row r="25">
      <c r="A25" s="12">
        <v>24.0</v>
      </c>
      <c r="B25" s="12" t="s">
        <v>74</v>
      </c>
      <c r="C25" s="5" t="s">
        <v>75</v>
      </c>
      <c r="D25" s="11">
        <v>0.331</v>
      </c>
      <c r="E25" s="11">
        <v>6.0</v>
      </c>
      <c r="F25" s="8"/>
      <c r="G25" s="11">
        <v>360.0</v>
      </c>
      <c r="H25" s="11">
        <v>0.45</v>
      </c>
      <c r="I25" s="11">
        <v>0.855</v>
      </c>
      <c r="J25" s="9" t="s">
        <v>71</v>
      </c>
      <c r="K25" s="14" t="str">
        <f>IFERROR(__xludf.DUMMYFUNCTION("ARRAYFORMULA(VLOOKUP(A25,IMPORTRANGE(""https://docs.google.com/spreadsheets/d/1BuTWp7qHGjWhqrnf-OmePP568O4A5Am9ttzvVdP67zw/edit#gid=1603210130"", ""TOURISM!$A$2:$F$2692""), {2,3,4,5,6},0))"),"Europe")</f>
        <v>Europe</v>
      </c>
      <c r="L25" s="14">
        <f>IFERROR(__xludf.DUMMYFUNCTION("""COMPUTED_VALUE"""),1.78E9)</f>
        <v>1780000000</v>
      </c>
      <c r="M25" s="14" t="str">
        <f>IFERROR(__xludf.DUMMYFUNCTION("""COMPUTED_VALUE"""),"Albania-Europe")</f>
        <v>Albania-Europe</v>
      </c>
      <c r="N25" s="14" t="str">
        <f>IFERROR(__xludf.DUMMYFUNCTION("""COMPUTED_VALUE"""),"2010")</f>
        <v>2010</v>
      </c>
      <c r="O25" s="14">
        <f>IFERROR(__xludf.DUMMYFUNCTION("""COMPUTED_VALUE"""),1.454E9)</f>
        <v>1454000000</v>
      </c>
      <c r="P25" s="15">
        <f>IFERROR(__xludf.DUMMYFUNCTION("ARRAYFORMULA(VLOOKUP(A25,IMPORTRANGE(""https://docs.google.com/spreadsheets/d/1BuTWp7qHGjWhqrnf-OmePP568O4A5Am9ttzvVdP67zw/edit#gid=771602874"" ,""HUMAN RESOURCES!$A$2:$M$2692""), {2,3,4,5,6,7,8,9,10,11,12,13},0))"),0.013)</f>
        <v>0.013</v>
      </c>
      <c r="Q25" s="14">
        <f>IFERROR(__xludf.DUMMYFUNCTION("""COMPUTED_VALUE"""),0.015)</f>
        <v>0.015</v>
      </c>
      <c r="R25" s="14">
        <f>IFERROR(__xludf.DUMMYFUNCTION("""COMPUTED_VALUE"""),80.0)</f>
        <v>80</v>
      </c>
      <c r="S25" s="14">
        <f>IFERROR(__xludf.DUMMYFUNCTION("""COMPUTED_VALUE"""),74.0)</f>
        <v>74</v>
      </c>
      <c r="T25" s="14">
        <f>IFERROR(__xludf.DUMMYFUNCTION("""COMPUTED_VALUE"""),0.228)</f>
        <v>0.228</v>
      </c>
      <c r="U25" s="14">
        <f>IFERROR(__xludf.DUMMYFUNCTION("""COMPUTED_VALUE"""),0.671)</f>
        <v>0.671</v>
      </c>
      <c r="V25" s="14">
        <f>IFERROR(__xludf.DUMMYFUNCTION("""COMPUTED_VALUE"""),0.101)</f>
        <v>0.101</v>
      </c>
      <c r="W25" s="14">
        <f>IFERROR(__xludf.DUMMYFUNCTION("""COMPUTED_VALUE"""),2856673.0)</f>
        <v>2856673</v>
      </c>
      <c r="X25" s="14">
        <f>IFERROR(__xludf.DUMMYFUNCTION("""COMPUTED_VALUE"""),0.522)</f>
        <v>0.522</v>
      </c>
      <c r="Y25" s="14" t="str">
        <f>IFERROR(__xludf.DUMMYFUNCTION("""COMPUTED_VALUE"""),"Albania-Europe")</f>
        <v>Albania-Europe</v>
      </c>
      <c r="Z25" s="14" t="str">
        <f>IFERROR(__xludf.DUMMYFUNCTION("""COMPUTED_VALUE"""),"Europe")</f>
        <v>Europe</v>
      </c>
      <c r="AA25" s="14" t="str">
        <f>IFERROR(__xludf.DUMMYFUNCTION("""COMPUTED_VALUE"""),"2010")</f>
        <v>2010</v>
      </c>
      <c r="AB25" s="15" t="str">
        <f>IFERROR(__xludf.DUMMYFUNCTION("ARRAYFORMULA(VLOOKUP(A25,IMPORTRANGE(""https://docs.google.com/spreadsheets/d/1BuTWp7qHGjWhqrnf-OmePP568O4A5Am9ttzvVdP67zw/edit#gid=1931367683"" ,""ENERGY!$A$2:$F$2692""), {2,3,4,5,6},0))"),"Europe")</f>
        <v>Europe</v>
      </c>
      <c r="AC25" s="14" t="str">
        <f>IFERROR(__xludf.DUMMYFUNCTION("""COMPUTED_VALUE"""),"Albania-Europe")</f>
        <v>Albania-Europe</v>
      </c>
      <c r="AD25" s="14" t="str">
        <f>IFERROR(__xludf.DUMMYFUNCTION("""COMPUTED_VALUE"""),"2012")</f>
        <v>2012</v>
      </c>
      <c r="AE25" s="14">
        <f>IFERROR(__xludf.DUMMYFUNCTION("""COMPUTED_VALUE"""),1975.0)</f>
        <v>1975</v>
      </c>
      <c r="AF25" s="14">
        <f>IFERROR(__xludf.DUMMYFUNCTION("""COMPUTED_VALUE"""),3751.0)</f>
        <v>3751</v>
      </c>
    </row>
    <row r="26">
      <c r="A26" s="12">
        <v>25.0</v>
      </c>
      <c r="B26" s="12" t="s">
        <v>74</v>
      </c>
      <c r="C26" s="5" t="s">
        <v>75</v>
      </c>
      <c r="D26" s="11">
        <v>0.315</v>
      </c>
      <c r="E26" s="11">
        <v>6.0</v>
      </c>
      <c r="F26" s="8"/>
      <c r="G26" s="11">
        <v>371.0</v>
      </c>
      <c r="H26" s="11">
        <v>0.49</v>
      </c>
      <c r="I26" s="11">
        <v>0.983</v>
      </c>
      <c r="J26" s="9" t="s">
        <v>72</v>
      </c>
      <c r="K26" s="14" t="str">
        <f>IFERROR(__xludf.DUMMYFUNCTION("ARRAYFORMULA(VLOOKUP(A26,IMPORTRANGE(""https://docs.google.com/spreadsheets/d/1BuTWp7qHGjWhqrnf-OmePP568O4A5Am9ttzvVdP67zw/edit#gid=1603210130"", ""TOURISM!$A$2:$F$2692""), {2,3,4,5,6},0))"),"Europe")</f>
        <v>Europe</v>
      </c>
      <c r="L26" s="14">
        <f>IFERROR(__xludf.DUMMYFUNCTION("""COMPUTED_VALUE"""),1.833E9)</f>
        <v>1833000000</v>
      </c>
      <c r="M26" s="14" t="str">
        <f>IFERROR(__xludf.DUMMYFUNCTION("""COMPUTED_VALUE"""),"Albania-Europe")</f>
        <v>Albania-Europe</v>
      </c>
      <c r="N26" s="14" t="str">
        <f>IFERROR(__xludf.DUMMYFUNCTION("""COMPUTED_VALUE"""),"2011")</f>
        <v>2011</v>
      </c>
      <c r="O26" s="14">
        <f>IFERROR(__xludf.DUMMYFUNCTION("""COMPUTED_VALUE"""),1.678E9)</f>
        <v>1678000000</v>
      </c>
      <c r="P26" s="15">
        <f>IFERROR(__xludf.DUMMYFUNCTION("ARRAYFORMULA(VLOOKUP(A26,IMPORTRANGE(""https://docs.google.com/spreadsheets/d/1BuTWp7qHGjWhqrnf-OmePP568O4A5Am9ttzvVdP67zw/edit#gid=771602874"" ,""HUMAN RESOURCES!$A$2:$M$2692""), {2,3,4,5,6,7,8,9,10,11,12,13},0))"),0.013)</f>
        <v>0.013</v>
      </c>
      <c r="Q26" s="14">
        <f>IFERROR(__xludf.DUMMYFUNCTION("""COMPUTED_VALUE"""),0.014)</f>
        <v>0.014</v>
      </c>
      <c r="R26" s="14">
        <f>IFERROR(__xludf.DUMMYFUNCTION("""COMPUTED_VALUE"""),80.0)</f>
        <v>80</v>
      </c>
      <c r="S26" s="14">
        <f>IFERROR(__xludf.DUMMYFUNCTION("""COMPUTED_VALUE"""),74.0)</f>
        <v>74</v>
      </c>
      <c r="T26" s="14">
        <f>IFERROR(__xludf.DUMMYFUNCTION("""COMPUTED_VALUE"""),0.221)</f>
        <v>0.221</v>
      </c>
      <c r="U26" s="14">
        <f>IFERROR(__xludf.DUMMYFUNCTION("""COMPUTED_VALUE"""),0.676)</f>
        <v>0.676</v>
      </c>
      <c r="V26" s="14">
        <f>IFERROR(__xludf.DUMMYFUNCTION("""COMPUTED_VALUE"""),0.103)</f>
        <v>0.103</v>
      </c>
      <c r="W26" s="14">
        <f>IFERROR(__xludf.DUMMYFUNCTION("""COMPUTED_VALUE"""),2829337.0)</f>
        <v>2829337</v>
      </c>
      <c r="X26" s="14">
        <f>IFERROR(__xludf.DUMMYFUNCTION("""COMPUTED_VALUE"""),0.532)</f>
        <v>0.532</v>
      </c>
      <c r="Y26" s="14" t="str">
        <f>IFERROR(__xludf.DUMMYFUNCTION("""COMPUTED_VALUE"""),"Albania-Europe")</f>
        <v>Albania-Europe</v>
      </c>
      <c r="Z26" s="14" t="str">
        <f>IFERROR(__xludf.DUMMYFUNCTION("""COMPUTED_VALUE"""),"Europe")</f>
        <v>Europe</v>
      </c>
      <c r="AA26" s="14" t="str">
        <f>IFERROR(__xludf.DUMMYFUNCTION("""COMPUTED_VALUE"""),"2011")</f>
        <v>2011</v>
      </c>
      <c r="AB26" s="15" t="str">
        <f>IFERROR(__xludf.DUMMYFUNCTION("ARRAYFORMULA(VLOOKUP(A26,IMPORTRANGE(""https://docs.google.com/spreadsheets/d/1BuTWp7qHGjWhqrnf-OmePP568O4A5Am9ttzvVdP67zw/edit#gid=1931367683"" ,""ENERGY!$A$2:$F$2692""), {2,3,4,5,6},0))"),"Europe")</f>
        <v>Europe</v>
      </c>
      <c r="AC26" s="14" t="str">
        <f>IFERROR(__xludf.DUMMYFUNCTION("""COMPUTED_VALUE"""),"Albania-Europe")</f>
        <v>Albania-Europe</v>
      </c>
      <c r="AD26" s="14" t="str">
        <f>IFERROR(__xludf.DUMMYFUNCTION("""COMPUTED_VALUE"""),"2011")</f>
        <v>2011</v>
      </c>
      <c r="AE26" s="14">
        <f>IFERROR(__xludf.DUMMYFUNCTION("""COMPUTED_VALUE"""),1783.0)</f>
        <v>1783</v>
      </c>
      <c r="AF26" s="14">
        <f>IFERROR(__xludf.DUMMYFUNCTION("""COMPUTED_VALUE"""),3223.0)</f>
        <v>3223</v>
      </c>
    </row>
    <row r="27">
      <c r="A27" s="12">
        <v>26.0</v>
      </c>
      <c r="B27" s="12" t="s">
        <v>74</v>
      </c>
      <c r="C27" s="5" t="s">
        <v>75</v>
      </c>
      <c r="D27" s="11">
        <v>0.32</v>
      </c>
      <c r="E27" s="11">
        <v>5.0</v>
      </c>
      <c r="F27" s="11">
        <v>82.0</v>
      </c>
      <c r="G27" s="11">
        <v>357.0</v>
      </c>
      <c r="H27" s="11">
        <v>0.547</v>
      </c>
      <c r="I27" s="11">
        <v>1.107</v>
      </c>
      <c r="J27" s="9" t="s">
        <v>73</v>
      </c>
      <c r="K27" s="14" t="str">
        <f>IFERROR(__xludf.DUMMYFUNCTION("ARRAYFORMULA(VLOOKUP(A27,IMPORTRANGE(""https://docs.google.com/spreadsheets/d/1BuTWp7qHGjWhqrnf-OmePP568O4A5Am9ttzvVdP67zw/edit#gid=1603210130"", ""TOURISM!$A$2:$F$2692""), {2,3,4,5,6},0))"),"Europe")</f>
        <v>Europe</v>
      </c>
      <c r="L27" s="14">
        <f>IFERROR(__xludf.DUMMYFUNCTION("""COMPUTED_VALUE"""),1.623E9)</f>
        <v>1623000000</v>
      </c>
      <c r="M27" s="14" t="str">
        <f>IFERROR(__xludf.DUMMYFUNCTION("""COMPUTED_VALUE"""),"Albania-Europe")</f>
        <v>Albania-Europe</v>
      </c>
      <c r="N27" s="14" t="str">
        <f>IFERROR(__xludf.DUMMYFUNCTION("""COMPUTED_VALUE"""),"2012")</f>
        <v>2012</v>
      </c>
      <c r="O27" s="14">
        <f>IFERROR(__xludf.DUMMYFUNCTION("""COMPUTED_VALUE"""),1.374E9)</f>
        <v>1374000000</v>
      </c>
      <c r="P27" s="15">
        <f>IFERROR(__xludf.DUMMYFUNCTION("ARRAYFORMULA(VLOOKUP(A27,IMPORTRANGE(""https://docs.google.com/spreadsheets/d/1BuTWp7qHGjWhqrnf-OmePP568O4A5Am9ttzvVdP67zw/edit#gid=771602874"" ,""HUMAN RESOURCES!$A$2:$M$2692""), {2,3,4,5,6,7,8,9,10,11,12,13},0))"),0.013)</f>
        <v>0.013</v>
      </c>
      <c r="Q27" s="14">
        <f>IFERROR(__xludf.DUMMYFUNCTION("""COMPUTED_VALUE"""),0.014)</f>
        <v>0.014</v>
      </c>
      <c r="R27" s="14">
        <f>IFERROR(__xludf.DUMMYFUNCTION("""COMPUTED_VALUE"""),80.0)</f>
        <v>80</v>
      </c>
      <c r="S27" s="14">
        <f>IFERROR(__xludf.DUMMYFUNCTION("""COMPUTED_VALUE"""),74.0)</f>
        <v>74</v>
      </c>
      <c r="T27" s="14">
        <f>IFERROR(__xludf.DUMMYFUNCTION("""COMPUTED_VALUE"""),0.213)</f>
        <v>0.213</v>
      </c>
      <c r="U27" s="14">
        <f>IFERROR(__xludf.DUMMYFUNCTION("""COMPUTED_VALUE"""),0.681)</f>
        <v>0.681</v>
      </c>
      <c r="V27" s="14">
        <f>IFERROR(__xludf.DUMMYFUNCTION("""COMPUTED_VALUE"""),0.106)</f>
        <v>0.106</v>
      </c>
      <c r="W27" s="14">
        <f>IFERROR(__xludf.DUMMYFUNCTION("""COMPUTED_VALUE"""),2801681.0)</f>
        <v>2801681</v>
      </c>
      <c r="X27" s="14">
        <f>IFERROR(__xludf.DUMMYFUNCTION("""COMPUTED_VALUE"""),0.543)</f>
        <v>0.543</v>
      </c>
      <c r="Y27" s="14" t="str">
        <f>IFERROR(__xludf.DUMMYFUNCTION("""COMPUTED_VALUE"""),"Albania-Europe")</f>
        <v>Albania-Europe</v>
      </c>
      <c r="Z27" s="14" t="str">
        <f>IFERROR(__xludf.DUMMYFUNCTION("""COMPUTED_VALUE"""),"Europe")</f>
        <v>Europe</v>
      </c>
      <c r="AA27" s="14" t="str">
        <f>IFERROR(__xludf.DUMMYFUNCTION("""COMPUTED_VALUE"""),"2012")</f>
        <v>2012</v>
      </c>
      <c r="AB27" s="15" t="str">
        <f>IFERROR(__xludf.DUMMYFUNCTION("ARRAYFORMULA(VLOOKUP(A27,IMPORTRANGE(""https://docs.google.com/spreadsheets/d/1BuTWp7qHGjWhqrnf-OmePP568O4A5Am9ttzvVdP67zw/edit#gid=1931367683"" ,""ENERGY!$A$2:$F$2692""), {2,3,4,5,6},0))"),"Europe")</f>
        <v>Europe</v>
      </c>
      <c r="AC27" s="14" t="str">
        <f>IFERROR(__xludf.DUMMYFUNCTION("""COMPUTED_VALUE"""),"Albania-Europe")</f>
        <v>Albania-Europe</v>
      </c>
      <c r="AD27" s="14" t="str">
        <f>IFERROR(__xludf.DUMMYFUNCTION("""COMPUTED_VALUE"""),"2008")</f>
        <v>2008</v>
      </c>
      <c r="AE27" s="14">
        <f>IFERROR(__xludf.DUMMYFUNCTION("""COMPUTED_VALUE"""),1763.0)</f>
        <v>1763</v>
      </c>
      <c r="AF27" s="14">
        <f>IFERROR(__xludf.DUMMYFUNCTION("""COMPUTED_VALUE"""),3022.0)</f>
        <v>3022</v>
      </c>
    </row>
    <row r="28">
      <c r="A28" s="12">
        <v>27.0</v>
      </c>
      <c r="B28" s="12" t="s">
        <v>76</v>
      </c>
      <c r="C28" s="5" t="s">
        <v>77</v>
      </c>
      <c r="D28" s="8"/>
      <c r="E28" s="8"/>
      <c r="F28" s="8"/>
      <c r="G28" s="8"/>
      <c r="H28" s="11">
        <v>0.005</v>
      </c>
      <c r="I28" s="11">
        <v>0.003</v>
      </c>
      <c r="J28" s="9" t="s">
        <v>60</v>
      </c>
      <c r="K28" s="14" t="str">
        <f>IFERROR(__xludf.DUMMYFUNCTION("ARRAYFORMULA(VLOOKUP(A28,IMPORTRANGE(""https://docs.google.com/spreadsheets/d/1BuTWp7qHGjWhqrnf-OmePP568O4A5Am9ttzvVdP67zw/edit#gid=1603210130"", ""TOURISM!$A$2:$F$2692""), {2,3,4,5,6},0))"),"Africa")</f>
        <v>Africa</v>
      </c>
      <c r="L28" s="14">
        <f>IFERROR(__xludf.DUMMYFUNCTION("""COMPUTED_VALUE"""),1.02E8)</f>
        <v>102000000</v>
      </c>
      <c r="M28" s="14" t="str">
        <f>IFERROR(__xludf.DUMMYFUNCTION("""COMPUTED_VALUE"""),"Algeria-Africa")</f>
        <v>Algeria-Africa</v>
      </c>
      <c r="N28" s="14" t="str">
        <f>IFERROR(__xludf.DUMMYFUNCTION("""COMPUTED_VALUE"""),"2000")</f>
        <v>2000</v>
      </c>
      <c r="O28" s="14">
        <f>IFERROR(__xludf.DUMMYFUNCTION("""COMPUTED_VALUE"""),1.93E8)</f>
        <v>193000000</v>
      </c>
      <c r="P28" s="15">
        <f>IFERROR(__xludf.DUMMYFUNCTION("ARRAYFORMULA(VLOOKUP(A28,IMPORTRANGE(""https://docs.google.com/spreadsheets/d/1BuTWp7qHGjWhqrnf-OmePP568O4A5Am9ttzvVdP67zw/edit#gid=771602874"" ,""HUMAN RESOURCES!$A$2:$M$2692""), {2,3,4,5,6,7,8,9,10,11,12,13},0))"),0.02)</f>
        <v>0.02</v>
      </c>
      <c r="Q28" s="14">
        <f>IFERROR(__xludf.DUMMYFUNCTION("""COMPUTED_VALUE"""),0.034)</f>
        <v>0.034</v>
      </c>
      <c r="R28" s="14">
        <f>IFERROR(__xludf.DUMMYFUNCTION("""COMPUTED_VALUE"""),71.0)</f>
        <v>71</v>
      </c>
      <c r="S28" s="14">
        <f>IFERROR(__xludf.DUMMYFUNCTION("""COMPUTED_VALUE"""),67.0)</f>
        <v>67</v>
      </c>
      <c r="T28" s="14">
        <f>IFERROR(__xludf.DUMMYFUNCTION("""COMPUTED_VALUE"""),0.342)</f>
        <v>0.342</v>
      </c>
      <c r="U28" s="14">
        <f>IFERROR(__xludf.DUMMYFUNCTION("""COMPUTED_VALUE"""),0.619)</f>
        <v>0.619</v>
      </c>
      <c r="V28" s="14">
        <f>IFERROR(__xludf.DUMMYFUNCTION("""COMPUTED_VALUE"""),0.039)</f>
        <v>0.039</v>
      </c>
      <c r="W28" s="14">
        <f>IFERROR(__xludf.DUMMYFUNCTION("""COMPUTED_VALUE"""),3.1719449E7)</f>
        <v>31719449</v>
      </c>
      <c r="X28" s="14">
        <f>IFERROR(__xludf.DUMMYFUNCTION("""COMPUTED_VALUE"""),0.599)</f>
        <v>0.599</v>
      </c>
      <c r="Y28" s="14" t="str">
        <f>IFERROR(__xludf.DUMMYFUNCTION("""COMPUTED_VALUE"""),"Algeria-Africa")</f>
        <v>Algeria-Africa</v>
      </c>
      <c r="Z28" s="14" t="str">
        <f>IFERROR(__xludf.DUMMYFUNCTION("""COMPUTED_VALUE"""),"Africa")</f>
        <v>Africa</v>
      </c>
      <c r="AA28" s="14" t="str">
        <f>IFERROR(__xludf.DUMMYFUNCTION("""COMPUTED_VALUE"""),"2000")</f>
        <v>2000</v>
      </c>
      <c r="AB28" s="15" t="str">
        <f>IFERROR(__xludf.DUMMYFUNCTION("ARRAYFORMULA(VLOOKUP(A28,IMPORTRANGE(""https://docs.google.com/spreadsheets/d/1BuTWp7qHGjWhqrnf-OmePP568O4A5Am9ttzvVdP67zw/edit#gid=1931367683"" ,""ENERGY!$A$2:$F$2692""), {2,3,4,5,6},0))"),"Africa")</f>
        <v>Africa</v>
      </c>
      <c r="AC28" s="14" t="str">
        <f>IFERROR(__xludf.DUMMYFUNCTION("""COMPUTED_VALUE"""),"Algeria-Africa")</f>
        <v>Algeria-Africa</v>
      </c>
      <c r="AD28" s="14" t="str">
        <f>IFERROR(__xludf.DUMMYFUNCTION("""COMPUTED_VALUE"""),"2000")</f>
        <v>2000</v>
      </c>
      <c r="AE28" s="14"/>
      <c r="AF28" s="14"/>
    </row>
    <row r="29">
      <c r="A29" s="12">
        <v>28.0</v>
      </c>
      <c r="B29" s="12" t="s">
        <v>76</v>
      </c>
      <c r="C29" s="5" t="s">
        <v>77</v>
      </c>
      <c r="D29" s="8"/>
      <c r="E29" s="8"/>
      <c r="F29" s="8"/>
      <c r="G29" s="8"/>
      <c r="H29" s="11">
        <v>0.006</v>
      </c>
      <c r="I29" s="11">
        <v>0.003</v>
      </c>
      <c r="J29" s="9" t="s">
        <v>62</v>
      </c>
      <c r="K29" s="14" t="str">
        <f>IFERROR(__xludf.DUMMYFUNCTION("ARRAYFORMULA(VLOOKUP(A29,IMPORTRANGE(""https://docs.google.com/spreadsheets/d/1BuTWp7qHGjWhqrnf-OmePP568O4A5Am9ttzvVdP67zw/edit#gid=1603210130"", ""TOURISM!$A$2:$F$2692""), {2,3,4,5,6},0))"),"Africa")</f>
        <v>Africa</v>
      </c>
      <c r="L29" s="14">
        <f>IFERROR(__xludf.DUMMYFUNCTION("""COMPUTED_VALUE"""),1.0E8)</f>
        <v>100000000</v>
      </c>
      <c r="M29" s="14" t="str">
        <f>IFERROR(__xludf.DUMMYFUNCTION("""COMPUTED_VALUE"""),"Algeria-Africa")</f>
        <v>Algeria-Africa</v>
      </c>
      <c r="N29" s="14" t="str">
        <f>IFERROR(__xludf.DUMMYFUNCTION("""COMPUTED_VALUE"""),"2001")</f>
        <v>2001</v>
      </c>
      <c r="O29" s="14">
        <f>IFERROR(__xludf.DUMMYFUNCTION("""COMPUTED_VALUE"""),1.94E8)</f>
        <v>194000000</v>
      </c>
      <c r="P29" s="15">
        <f>IFERROR(__xludf.DUMMYFUNCTION("ARRAYFORMULA(VLOOKUP(A29,IMPORTRANGE(""https://docs.google.com/spreadsheets/d/1BuTWp7qHGjWhqrnf-OmePP568O4A5Am9ttzvVdP67zw/edit#gid=771602874"" ,""HUMAN RESOURCES!$A$2:$M$2692""), {2,3,4,5,6,7,8,9,10,11,12,13},0))"),0.019)</f>
        <v>0.019</v>
      </c>
      <c r="Q29" s="14">
        <f>IFERROR(__xludf.DUMMYFUNCTION("""COMPUTED_VALUE"""),0.033)</f>
        <v>0.033</v>
      </c>
      <c r="R29" s="14">
        <f>IFERROR(__xludf.DUMMYFUNCTION("""COMPUTED_VALUE"""),71.0)</f>
        <v>71</v>
      </c>
      <c r="S29" s="14">
        <f>IFERROR(__xludf.DUMMYFUNCTION("""COMPUTED_VALUE"""),68.0)</f>
        <v>68</v>
      </c>
      <c r="T29" s="14">
        <f>IFERROR(__xludf.DUMMYFUNCTION("""COMPUTED_VALUE"""),0.33)</f>
        <v>0.33</v>
      </c>
      <c r="U29" s="14">
        <f>IFERROR(__xludf.DUMMYFUNCTION("""COMPUTED_VALUE"""),0.63)</f>
        <v>0.63</v>
      </c>
      <c r="V29" s="14">
        <f>IFERROR(__xludf.DUMMYFUNCTION("""COMPUTED_VALUE"""),0.04)</f>
        <v>0.04</v>
      </c>
      <c r="W29" s="14">
        <f>IFERROR(__xludf.DUMMYFUNCTION("""COMPUTED_VALUE"""),3.2150198E7)</f>
        <v>32150198</v>
      </c>
      <c r="X29" s="14">
        <f>IFERROR(__xludf.DUMMYFUNCTION("""COMPUTED_VALUE"""),0.607)</f>
        <v>0.607</v>
      </c>
      <c r="Y29" s="14" t="str">
        <f>IFERROR(__xludf.DUMMYFUNCTION("""COMPUTED_VALUE"""),"Algeria-Africa")</f>
        <v>Algeria-Africa</v>
      </c>
      <c r="Z29" s="14" t="str">
        <f>IFERROR(__xludf.DUMMYFUNCTION("""COMPUTED_VALUE"""),"Africa")</f>
        <v>Africa</v>
      </c>
      <c r="AA29" s="14" t="str">
        <f>IFERROR(__xludf.DUMMYFUNCTION("""COMPUTED_VALUE"""),"2001")</f>
        <v>2001</v>
      </c>
      <c r="AB29" s="15" t="str">
        <f>IFERROR(__xludf.DUMMYFUNCTION("ARRAYFORMULA(VLOOKUP(A29,IMPORTRANGE(""https://docs.google.com/spreadsheets/d/1BuTWp7qHGjWhqrnf-OmePP568O4A5Am9ttzvVdP67zw/edit#gid=1931367683"" ,""ENERGY!$A$2:$F$2692""), {2,3,4,5,6},0))"),"Africa")</f>
        <v>Africa</v>
      </c>
      <c r="AC29" s="14" t="str">
        <f>IFERROR(__xludf.DUMMYFUNCTION("""COMPUTED_VALUE"""),"Algeria-Africa")</f>
        <v>Algeria-Africa</v>
      </c>
      <c r="AD29" s="14" t="str">
        <f>IFERROR(__xludf.DUMMYFUNCTION("""COMPUTED_VALUE"""),"2001")</f>
        <v>2001</v>
      </c>
      <c r="AE29" s="14">
        <f>IFERROR(__xludf.DUMMYFUNCTION("""COMPUTED_VALUE"""),41852.0)</f>
        <v>41852</v>
      </c>
      <c r="AF29" s="14"/>
    </row>
    <row r="30">
      <c r="A30" s="12">
        <v>29.0</v>
      </c>
      <c r="B30" s="12" t="s">
        <v>76</v>
      </c>
      <c r="C30" s="5" t="s">
        <v>77</v>
      </c>
      <c r="D30" s="8"/>
      <c r="E30" s="8"/>
      <c r="F30" s="8"/>
      <c r="G30" s="8"/>
      <c r="H30" s="11">
        <v>0.016</v>
      </c>
      <c r="I30" s="11">
        <v>0.014</v>
      </c>
      <c r="J30" s="9" t="s">
        <v>63</v>
      </c>
      <c r="K30" s="14" t="str">
        <f>IFERROR(__xludf.DUMMYFUNCTION("ARRAYFORMULA(VLOOKUP(A30,IMPORTRANGE(""https://docs.google.com/spreadsheets/d/1BuTWp7qHGjWhqrnf-OmePP568O4A5Am9ttzvVdP67zw/edit#gid=1603210130"", ""TOURISM!$A$2:$F$2692""), {2,3,4,5,6},0))"),"Africa")</f>
        <v>Africa</v>
      </c>
      <c r="L30" s="14">
        <f>IFERROR(__xludf.DUMMYFUNCTION("""COMPUTED_VALUE"""),1.11E8)</f>
        <v>111000000</v>
      </c>
      <c r="M30" s="14" t="str">
        <f>IFERROR(__xludf.DUMMYFUNCTION("""COMPUTED_VALUE"""),"Algeria-Africa")</f>
        <v>Algeria-Africa</v>
      </c>
      <c r="N30" s="14" t="str">
        <f>IFERROR(__xludf.DUMMYFUNCTION("""COMPUTED_VALUE"""),"2002")</f>
        <v>2002</v>
      </c>
      <c r="O30" s="14">
        <f>IFERROR(__xludf.DUMMYFUNCTION("""COMPUTED_VALUE"""),2.48E8)</f>
        <v>248000000</v>
      </c>
      <c r="P30" s="15">
        <f>IFERROR(__xludf.DUMMYFUNCTION("ARRAYFORMULA(VLOOKUP(A30,IMPORTRANGE(""https://docs.google.com/spreadsheets/d/1BuTWp7qHGjWhqrnf-OmePP568O4A5Am9ttzvVdP67zw/edit#gid=771602874"" ,""HUMAN RESOURCES!$A$2:$M$2692""), {2,3,4,5,6,7,8,9,10,11,12,13},0))"),0.019)</f>
        <v>0.019</v>
      </c>
      <c r="Q30" s="14">
        <f>IFERROR(__xludf.DUMMYFUNCTION("""COMPUTED_VALUE"""),0.032)</f>
        <v>0.032</v>
      </c>
      <c r="R30" s="14">
        <f>IFERROR(__xludf.DUMMYFUNCTION("""COMPUTED_VALUE"""),71.0)</f>
        <v>71</v>
      </c>
      <c r="S30" s="14">
        <f>IFERROR(__xludf.DUMMYFUNCTION("""COMPUTED_VALUE"""),68.0)</f>
        <v>68</v>
      </c>
      <c r="T30" s="14">
        <f>IFERROR(__xludf.DUMMYFUNCTION("""COMPUTED_VALUE"""),0.318)</f>
        <v>0.318</v>
      </c>
      <c r="U30" s="14">
        <f>IFERROR(__xludf.DUMMYFUNCTION("""COMPUTED_VALUE"""),0.641)</f>
        <v>0.641</v>
      </c>
      <c r="V30" s="14">
        <f>IFERROR(__xludf.DUMMYFUNCTION("""COMPUTED_VALUE"""),0.041)</f>
        <v>0.041</v>
      </c>
      <c r="W30" s="14">
        <f>IFERROR(__xludf.DUMMYFUNCTION("""COMPUTED_VALUE"""),3.2572977E7)</f>
        <v>32572977</v>
      </c>
      <c r="X30" s="14">
        <f>IFERROR(__xludf.DUMMYFUNCTION("""COMPUTED_VALUE"""),0.615)</f>
        <v>0.615</v>
      </c>
      <c r="Y30" s="14" t="str">
        <f>IFERROR(__xludf.DUMMYFUNCTION("""COMPUTED_VALUE"""),"Algeria-Africa")</f>
        <v>Algeria-Africa</v>
      </c>
      <c r="Z30" s="14" t="str">
        <f>IFERROR(__xludf.DUMMYFUNCTION("""COMPUTED_VALUE"""),"Africa")</f>
        <v>Africa</v>
      </c>
      <c r="AA30" s="14" t="str">
        <f>IFERROR(__xludf.DUMMYFUNCTION("""COMPUTED_VALUE"""),"2002")</f>
        <v>2002</v>
      </c>
      <c r="AB30" s="15" t="str">
        <f>IFERROR(__xludf.DUMMYFUNCTION("ARRAYFORMULA(VLOOKUP(A30,IMPORTRANGE(""https://docs.google.com/spreadsheets/d/1BuTWp7qHGjWhqrnf-OmePP568O4A5Am9ttzvVdP67zw/edit#gid=1931367683"" ,""ENERGY!$A$2:$F$2692""), {2,3,4,5,6},0))"),"Africa")</f>
        <v>Africa</v>
      </c>
      <c r="AC30" s="14" t="str">
        <f>IFERROR(__xludf.DUMMYFUNCTION("""COMPUTED_VALUE"""),"Algeria-Africa")</f>
        <v>Algeria-Africa</v>
      </c>
      <c r="AD30" s="14" t="str">
        <f>IFERROR(__xludf.DUMMYFUNCTION("""COMPUTED_VALUE"""),"2002")</f>
        <v>2002</v>
      </c>
      <c r="AE30" s="14">
        <f>IFERROR(__xludf.DUMMYFUNCTION("""COMPUTED_VALUE"""),40105.0)</f>
        <v>40105</v>
      </c>
      <c r="AF30" s="14">
        <f>IFERROR(__xludf.DUMMYFUNCTION("""COMPUTED_VALUE"""),123475.0)</f>
        <v>123475</v>
      </c>
    </row>
    <row r="31">
      <c r="A31" s="12">
        <v>30.0</v>
      </c>
      <c r="B31" s="12" t="s">
        <v>76</v>
      </c>
      <c r="C31" s="5" t="s">
        <v>77</v>
      </c>
      <c r="D31" s="8"/>
      <c r="E31" s="11">
        <v>25.0</v>
      </c>
      <c r="F31" s="8"/>
      <c r="G31" s="8"/>
      <c r="H31" s="11">
        <v>0.022</v>
      </c>
      <c r="I31" s="11">
        <v>0.044</v>
      </c>
      <c r="J31" s="9" t="s">
        <v>64</v>
      </c>
      <c r="K31" s="14" t="str">
        <f>IFERROR(__xludf.DUMMYFUNCTION("ARRAYFORMULA(VLOOKUP(A31,IMPORTRANGE(""https://docs.google.com/spreadsheets/d/1BuTWp7qHGjWhqrnf-OmePP568O4A5Am9ttzvVdP67zw/edit#gid=1603210130"", ""TOURISM!$A$2:$F$2692""), {2,3,4,5,6},0))"),"Africa")</f>
        <v>Africa</v>
      </c>
      <c r="L31" s="14">
        <f>IFERROR(__xludf.DUMMYFUNCTION("""COMPUTED_VALUE"""),1.12E8)</f>
        <v>112000000</v>
      </c>
      <c r="M31" s="14" t="str">
        <f>IFERROR(__xludf.DUMMYFUNCTION("""COMPUTED_VALUE"""),"Algeria-Africa")</f>
        <v>Algeria-Africa</v>
      </c>
      <c r="N31" s="14" t="str">
        <f>IFERROR(__xludf.DUMMYFUNCTION("""COMPUTED_VALUE"""),"2003")</f>
        <v>2003</v>
      </c>
      <c r="O31" s="14">
        <f>IFERROR(__xludf.DUMMYFUNCTION("""COMPUTED_VALUE"""),2.55E8)</f>
        <v>255000000</v>
      </c>
      <c r="P31" s="15">
        <f>IFERROR(__xludf.DUMMYFUNCTION("ARRAYFORMULA(VLOOKUP(A31,IMPORTRANGE(""https://docs.google.com/spreadsheets/d/1BuTWp7qHGjWhqrnf-OmePP568O4A5Am9ttzvVdP67zw/edit#gid=771602874"" ,""HUMAN RESOURCES!$A$2:$M$2692""), {2,3,4,5,6,7,8,9,10,11,12,13},0))"),0.02)</f>
        <v>0.02</v>
      </c>
      <c r="Q31" s="14">
        <f>IFERROR(__xludf.DUMMYFUNCTION("""COMPUTED_VALUE"""),0.031)</f>
        <v>0.031</v>
      </c>
      <c r="R31" s="14">
        <f>IFERROR(__xludf.DUMMYFUNCTION("""COMPUTED_VALUE"""),71.0)</f>
        <v>71</v>
      </c>
      <c r="S31" s="14">
        <f>IFERROR(__xludf.DUMMYFUNCTION("""COMPUTED_VALUE"""),68.0)</f>
        <v>68</v>
      </c>
      <c r="T31" s="14">
        <f>IFERROR(__xludf.DUMMYFUNCTION("""COMPUTED_VALUE"""),0.307)</f>
        <v>0.307</v>
      </c>
      <c r="U31" s="14">
        <f>IFERROR(__xludf.DUMMYFUNCTION("""COMPUTED_VALUE"""),0.651)</f>
        <v>0.651</v>
      </c>
      <c r="V31" s="14">
        <f>IFERROR(__xludf.DUMMYFUNCTION("""COMPUTED_VALUE"""),0.042)</f>
        <v>0.042</v>
      </c>
      <c r="W31" s="14">
        <f>IFERROR(__xludf.DUMMYFUNCTION("""COMPUTED_VALUE"""),3.3003442E7)</f>
        <v>33003442</v>
      </c>
      <c r="X31" s="14">
        <f>IFERROR(__xludf.DUMMYFUNCTION("""COMPUTED_VALUE"""),0.623)</f>
        <v>0.623</v>
      </c>
      <c r="Y31" s="14" t="str">
        <f>IFERROR(__xludf.DUMMYFUNCTION("""COMPUTED_VALUE"""),"Algeria-Africa")</f>
        <v>Algeria-Africa</v>
      </c>
      <c r="Z31" s="14" t="str">
        <f>IFERROR(__xludf.DUMMYFUNCTION("""COMPUTED_VALUE"""),"Africa")</f>
        <v>Africa</v>
      </c>
      <c r="AA31" s="14" t="str">
        <f>IFERROR(__xludf.DUMMYFUNCTION("""COMPUTED_VALUE"""),"2003")</f>
        <v>2003</v>
      </c>
      <c r="AB31" s="15" t="str">
        <f>IFERROR(__xludf.DUMMYFUNCTION("ARRAYFORMULA(VLOOKUP(A31,IMPORTRANGE(""https://docs.google.com/spreadsheets/d/1BuTWp7qHGjWhqrnf-OmePP568O4A5Am9ttzvVdP67zw/edit#gid=1931367683"" ,""ENERGY!$A$2:$F$2692""), {2,3,4,5,6},0))"),"Africa")</f>
        <v>Africa</v>
      </c>
      <c r="AC31" s="14" t="str">
        <f>IFERROR(__xludf.DUMMYFUNCTION("""COMPUTED_VALUE"""),"Algeria-Africa")</f>
        <v>Algeria-Africa</v>
      </c>
      <c r="AD31" s="14" t="str">
        <f>IFERROR(__xludf.DUMMYFUNCTION("""COMPUTED_VALUE"""),"2003")</f>
        <v>2003</v>
      </c>
      <c r="AE31" s="14">
        <f>IFERROR(__xludf.DUMMYFUNCTION("""COMPUTED_VALUE"""),40823.0)</f>
        <v>40823</v>
      </c>
      <c r="AF31" s="14">
        <f>IFERROR(__xludf.DUMMYFUNCTION("""COMPUTED_VALUE"""),124586.0)</f>
        <v>124586</v>
      </c>
    </row>
    <row r="32">
      <c r="A32" s="12">
        <v>31.0</v>
      </c>
      <c r="B32" s="12" t="s">
        <v>76</v>
      </c>
      <c r="C32" s="5" t="s">
        <v>77</v>
      </c>
      <c r="D32" s="8"/>
      <c r="E32" s="11">
        <v>25.0</v>
      </c>
      <c r="F32" s="8"/>
      <c r="G32" s="8"/>
      <c r="H32" s="11">
        <v>0.046</v>
      </c>
      <c r="I32" s="11">
        <v>0.146</v>
      </c>
      <c r="J32" s="9" t="s">
        <v>65</v>
      </c>
      <c r="K32" s="14" t="str">
        <f>IFERROR(__xludf.DUMMYFUNCTION("ARRAYFORMULA(VLOOKUP(A32,IMPORTRANGE(""https://docs.google.com/spreadsheets/d/1BuTWp7qHGjWhqrnf-OmePP568O4A5Am9ttzvVdP67zw/edit#gid=1603210130"", ""TOURISM!$A$2:$F$2692""), {2,3,4,5,6},0))"),"Africa")</f>
        <v>Africa</v>
      </c>
      <c r="L32" s="14">
        <f>IFERROR(__xludf.DUMMYFUNCTION("""COMPUTED_VALUE"""),1.78E8)</f>
        <v>178000000</v>
      </c>
      <c r="M32" s="14" t="str">
        <f>IFERROR(__xludf.DUMMYFUNCTION("""COMPUTED_VALUE"""),"Algeria-Africa")</f>
        <v>Algeria-Africa</v>
      </c>
      <c r="N32" s="14" t="str">
        <f>IFERROR(__xludf.DUMMYFUNCTION("""COMPUTED_VALUE"""),"2004")</f>
        <v>2004</v>
      </c>
      <c r="O32" s="14">
        <f>IFERROR(__xludf.DUMMYFUNCTION("""COMPUTED_VALUE"""),3.41E8)</f>
        <v>341000000</v>
      </c>
      <c r="P32" s="15">
        <f>IFERROR(__xludf.DUMMYFUNCTION("ARRAYFORMULA(VLOOKUP(A32,IMPORTRANGE(""https://docs.google.com/spreadsheets/d/1BuTWp7qHGjWhqrnf-OmePP568O4A5Am9ttzvVdP67zw/edit#gid=771602874"" ,""HUMAN RESOURCES!$A$2:$M$2692""), {2,3,4,5,6,7,8,9,10,11,12,13},0))"),0.02)</f>
        <v>0.02</v>
      </c>
      <c r="Q32" s="14">
        <f>IFERROR(__xludf.DUMMYFUNCTION("""COMPUTED_VALUE"""),0.03)</f>
        <v>0.03</v>
      </c>
      <c r="R32" s="14">
        <f>IFERROR(__xludf.DUMMYFUNCTION("""COMPUTED_VALUE"""),71.0)</f>
        <v>71</v>
      </c>
      <c r="S32" s="14">
        <f>IFERROR(__xludf.DUMMYFUNCTION("""COMPUTED_VALUE"""),68.0)</f>
        <v>68</v>
      </c>
      <c r="T32" s="14">
        <f>IFERROR(__xludf.DUMMYFUNCTION("""COMPUTED_VALUE"""),0.297)</f>
        <v>0.297</v>
      </c>
      <c r="U32" s="14">
        <f>IFERROR(__xludf.DUMMYFUNCTION("""COMPUTED_VALUE"""),0.66)</f>
        <v>0.66</v>
      </c>
      <c r="V32" s="14">
        <f>IFERROR(__xludf.DUMMYFUNCTION("""COMPUTED_VALUE"""),0.043)</f>
        <v>0.043</v>
      </c>
      <c r="W32" s="14">
        <f>IFERROR(__xludf.DUMMYFUNCTION("""COMPUTED_VALUE"""),3.3461345E7)</f>
        <v>33461345</v>
      </c>
      <c r="X32" s="14">
        <f>IFERROR(__xludf.DUMMYFUNCTION("""COMPUTED_VALUE"""),0.631)</f>
        <v>0.631</v>
      </c>
      <c r="Y32" s="14" t="str">
        <f>IFERROR(__xludf.DUMMYFUNCTION("""COMPUTED_VALUE"""),"Algeria-Africa")</f>
        <v>Algeria-Africa</v>
      </c>
      <c r="Z32" s="14" t="str">
        <f>IFERROR(__xludf.DUMMYFUNCTION("""COMPUTED_VALUE"""),"Africa")</f>
        <v>Africa</v>
      </c>
      <c r="AA32" s="14" t="str">
        <f>IFERROR(__xludf.DUMMYFUNCTION("""COMPUTED_VALUE"""),"2004")</f>
        <v>2004</v>
      </c>
      <c r="AB32" s="15" t="str">
        <f>IFERROR(__xludf.DUMMYFUNCTION("ARRAYFORMULA(VLOOKUP(A32,IMPORTRANGE(""https://docs.google.com/spreadsheets/d/1BuTWp7qHGjWhqrnf-OmePP568O4A5Am9ttzvVdP67zw/edit#gid=1931367683"" ,""ENERGY!$A$2:$F$2692""), {2,3,4,5,6},0))"),"Africa")</f>
        <v>Africa</v>
      </c>
      <c r="AC32" s="14" t="str">
        <f>IFERROR(__xludf.DUMMYFUNCTION("""COMPUTED_VALUE"""),"Algeria-Africa")</f>
        <v>Algeria-Africa</v>
      </c>
      <c r="AD32" s="14" t="str">
        <f>IFERROR(__xludf.DUMMYFUNCTION("""COMPUTED_VALUE"""),"2004")</f>
        <v>2004</v>
      </c>
      <c r="AE32" s="14">
        <f>IFERROR(__xludf.DUMMYFUNCTION("""COMPUTED_VALUE"""),37425.0)</f>
        <v>37425</v>
      </c>
      <c r="AF32" s="14">
        <f>IFERROR(__xludf.DUMMYFUNCTION("""COMPUTED_VALUE"""),114619.0)</f>
        <v>114619</v>
      </c>
    </row>
    <row r="33">
      <c r="A33" s="12">
        <v>32.0</v>
      </c>
      <c r="B33" s="12" t="s">
        <v>76</v>
      </c>
      <c r="C33" s="5" t="s">
        <v>77</v>
      </c>
      <c r="D33" s="11">
        <v>0.769</v>
      </c>
      <c r="E33" s="11">
        <v>25.0</v>
      </c>
      <c r="F33" s="8"/>
      <c r="G33" s="11">
        <v>451.0</v>
      </c>
      <c r="H33" s="11">
        <v>0.058</v>
      </c>
      <c r="I33" s="11">
        <v>0.402</v>
      </c>
      <c r="J33" s="9" t="s">
        <v>66</v>
      </c>
      <c r="K33" s="14" t="str">
        <f>IFERROR(__xludf.DUMMYFUNCTION("ARRAYFORMULA(VLOOKUP(A33,IMPORTRANGE(""https://docs.google.com/spreadsheets/d/1BuTWp7qHGjWhqrnf-OmePP568O4A5Am9ttzvVdP67zw/edit#gid=1603210130"", ""TOURISM!$A$2:$F$2692""), {2,3,4,5,6},0))"),"Africa")</f>
        <v>Africa</v>
      </c>
      <c r="L33" s="14">
        <f>IFERROR(__xludf.DUMMYFUNCTION("""COMPUTED_VALUE"""),4.77E8)</f>
        <v>477000000</v>
      </c>
      <c r="M33" s="14" t="str">
        <f>IFERROR(__xludf.DUMMYFUNCTION("""COMPUTED_VALUE"""),"Algeria-Africa")</f>
        <v>Algeria-Africa</v>
      </c>
      <c r="N33" s="14" t="str">
        <f>IFERROR(__xludf.DUMMYFUNCTION("""COMPUTED_VALUE"""),"2005")</f>
        <v>2005</v>
      </c>
      <c r="O33" s="14">
        <f>IFERROR(__xludf.DUMMYFUNCTION("""COMPUTED_VALUE"""),6.6E8)</f>
        <v>660000000</v>
      </c>
      <c r="P33" s="15">
        <f>IFERROR(__xludf.DUMMYFUNCTION("ARRAYFORMULA(VLOOKUP(A33,IMPORTRANGE(""https://docs.google.com/spreadsheets/d/1BuTWp7qHGjWhqrnf-OmePP568O4A5Am9ttzvVdP67zw/edit#gid=771602874"" ,""HUMAN RESOURCES!$A$2:$M$2692""), {2,3,4,5,6,7,8,9,10,11,12,13},0))"),0.021)</f>
        <v>0.021</v>
      </c>
      <c r="Q33" s="14">
        <f>IFERROR(__xludf.DUMMYFUNCTION("""COMPUTED_VALUE"""),0.029)</f>
        <v>0.029</v>
      </c>
      <c r="R33" s="14">
        <f>IFERROR(__xludf.DUMMYFUNCTION("""COMPUTED_VALUE"""),71.0)</f>
        <v>71</v>
      </c>
      <c r="S33" s="14">
        <f>IFERROR(__xludf.DUMMYFUNCTION("""COMPUTED_VALUE"""),68.0)</f>
        <v>68</v>
      </c>
      <c r="T33" s="14">
        <f>IFERROR(__xludf.DUMMYFUNCTION("""COMPUTED_VALUE"""),0.289)</f>
        <v>0.289</v>
      </c>
      <c r="U33" s="14">
        <f>IFERROR(__xludf.DUMMYFUNCTION("""COMPUTED_VALUE"""),0.667)</f>
        <v>0.667</v>
      </c>
      <c r="V33" s="14">
        <f>IFERROR(__xludf.DUMMYFUNCTION("""COMPUTED_VALUE"""),0.044)</f>
        <v>0.044</v>
      </c>
      <c r="W33" s="14">
        <f>IFERROR(__xludf.DUMMYFUNCTION("""COMPUTED_VALUE"""),3.3960903E7)</f>
        <v>33960903</v>
      </c>
      <c r="X33" s="14">
        <f>IFERROR(__xludf.DUMMYFUNCTION("""COMPUTED_VALUE"""),0.638)</f>
        <v>0.638</v>
      </c>
      <c r="Y33" s="14" t="str">
        <f>IFERROR(__xludf.DUMMYFUNCTION("""COMPUTED_VALUE"""),"Algeria-Africa")</f>
        <v>Algeria-Africa</v>
      </c>
      <c r="Z33" s="14" t="str">
        <f>IFERROR(__xludf.DUMMYFUNCTION("""COMPUTED_VALUE"""),"Africa")</f>
        <v>Africa</v>
      </c>
      <c r="AA33" s="14" t="str">
        <f>IFERROR(__xludf.DUMMYFUNCTION("""COMPUTED_VALUE"""),"2005")</f>
        <v>2005</v>
      </c>
      <c r="AB33" s="15" t="str">
        <f>IFERROR(__xludf.DUMMYFUNCTION("ARRAYFORMULA(VLOOKUP(A33,IMPORTRANGE(""https://docs.google.com/spreadsheets/d/1BuTWp7qHGjWhqrnf-OmePP568O4A5Am9ttzvVdP67zw/edit#gid=1931367683"" ,""ENERGY!$A$2:$F$2692""), {2,3,4,5,6},0))"),"Africa")</f>
        <v>Africa</v>
      </c>
      <c r="AC33" s="14" t="str">
        <f>IFERROR(__xludf.DUMMYFUNCTION("""COMPUTED_VALUE"""),"Algeria-Africa")</f>
        <v>Algeria-Africa</v>
      </c>
      <c r="AD33" s="14" t="str">
        <f>IFERROR(__xludf.DUMMYFUNCTION("""COMPUTED_VALUE"""),"2005")</f>
        <v>2005</v>
      </c>
      <c r="AE33" s="14">
        <f>IFERROR(__xludf.DUMMYFUNCTION("""COMPUTED_VALUE"""),36793.0)</f>
        <v>36793</v>
      </c>
      <c r="AF33" s="14">
        <f>IFERROR(__xludf.DUMMYFUNCTION("""COMPUTED_VALUE"""),112339.0)</f>
        <v>112339</v>
      </c>
    </row>
    <row r="34">
      <c r="A34" s="12">
        <v>33.0</v>
      </c>
      <c r="B34" s="12" t="s">
        <v>76</v>
      </c>
      <c r="C34" s="5" t="s">
        <v>77</v>
      </c>
      <c r="D34" s="11">
        <v>0.769</v>
      </c>
      <c r="E34" s="11">
        <v>25.0</v>
      </c>
      <c r="F34" s="8"/>
      <c r="G34" s="11">
        <v>451.0</v>
      </c>
      <c r="H34" s="11">
        <v>0.074</v>
      </c>
      <c r="I34" s="11">
        <v>0.609</v>
      </c>
      <c r="J34" s="9" t="s">
        <v>67</v>
      </c>
      <c r="K34" s="14" t="str">
        <f>IFERROR(__xludf.DUMMYFUNCTION("ARRAYFORMULA(VLOOKUP(A34,IMPORTRANGE(""https://docs.google.com/spreadsheets/d/1BuTWp7qHGjWhqrnf-OmePP568O4A5Am9ttzvVdP67zw/edit#gid=1603210130"", ""TOURISM!$A$2:$F$2692""), {2,3,4,5,6},0))"),"Africa")</f>
        <v>Africa</v>
      </c>
      <c r="L34" s="14">
        <f>IFERROR(__xludf.DUMMYFUNCTION("""COMPUTED_VALUE"""),3.93E8)</f>
        <v>393000000</v>
      </c>
      <c r="M34" s="14" t="str">
        <f>IFERROR(__xludf.DUMMYFUNCTION("""COMPUTED_VALUE"""),"Algeria-Africa")</f>
        <v>Algeria-Africa</v>
      </c>
      <c r="N34" s="14" t="str">
        <f>IFERROR(__xludf.DUMMYFUNCTION("""COMPUTED_VALUE"""),"2006")</f>
        <v>2006</v>
      </c>
      <c r="O34" s="14">
        <f>IFERROR(__xludf.DUMMYFUNCTION("""COMPUTED_VALUE"""),4.14E8)</f>
        <v>414000000</v>
      </c>
      <c r="P34" s="15">
        <f>IFERROR(__xludf.DUMMYFUNCTION("ARRAYFORMULA(VLOOKUP(A34,IMPORTRANGE(""https://docs.google.com/spreadsheets/d/1BuTWp7qHGjWhqrnf-OmePP568O4A5Am9ttzvVdP67zw/edit#gid=771602874"" ,""HUMAN RESOURCES!$A$2:$M$2692""), {2,3,4,5,6,7,8,9,10,11,12,13},0))"),0.022)</f>
        <v>0.022</v>
      </c>
      <c r="Q34" s="14">
        <f>IFERROR(__xludf.DUMMYFUNCTION("""COMPUTED_VALUE"""),0.028)</f>
        <v>0.028</v>
      </c>
      <c r="R34" s="14">
        <f>IFERROR(__xludf.DUMMYFUNCTION("""COMPUTED_VALUE"""),72.0)</f>
        <v>72</v>
      </c>
      <c r="S34" s="14">
        <f>IFERROR(__xludf.DUMMYFUNCTION("""COMPUTED_VALUE"""),68.0)</f>
        <v>68</v>
      </c>
      <c r="T34" s="14">
        <f>IFERROR(__xludf.DUMMYFUNCTION("""COMPUTED_VALUE"""),0.282)</f>
        <v>0.282</v>
      </c>
      <c r="U34" s="14">
        <f>IFERROR(__xludf.DUMMYFUNCTION("""COMPUTED_VALUE"""),0.673)</f>
        <v>0.673</v>
      </c>
      <c r="V34" s="14">
        <f>IFERROR(__xludf.DUMMYFUNCTION("""COMPUTED_VALUE"""),0.045)</f>
        <v>0.045</v>
      </c>
      <c r="W34" s="14">
        <f>IFERROR(__xludf.DUMMYFUNCTION("""COMPUTED_VALUE"""),3.4507214E7)</f>
        <v>34507214</v>
      </c>
      <c r="X34" s="14">
        <f>IFERROR(__xludf.DUMMYFUNCTION("""COMPUTED_VALUE"""),0.646)</f>
        <v>0.646</v>
      </c>
      <c r="Y34" s="14" t="str">
        <f>IFERROR(__xludf.DUMMYFUNCTION("""COMPUTED_VALUE"""),"Algeria-Africa")</f>
        <v>Algeria-Africa</v>
      </c>
      <c r="Z34" s="14" t="str">
        <f>IFERROR(__xludf.DUMMYFUNCTION("""COMPUTED_VALUE"""),"Africa")</f>
        <v>Africa</v>
      </c>
      <c r="AA34" s="14" t="str">
        <f>IFERROR(__xludf.DUMMYFUNCTION("""COMPUTED_VALUE"""),"2006")</f>
        <v>2006</v>
      </c>
      <c r="AB34" s="15" t="str">
        <f>IFERROR(__xludf.DUMMYFUNCTION("ARRAYFORMULA(VLOOKUP(A34,IMPORTRANGE(""https://docs.google.com/spreadsheets/d/1BuTWp7qHGjWhqrnf-OmePP568O4A5Am9ttzvVdP67zw/edit#gid=1931367683"" ,""ENERGY!$A$2:$F$2692""), {2,3,4,5,6},0))"),"Africa")</f>
        <v>Africa</v>
      </c>
      <c r="AC34" s="14" t="str">
        <f>IFERROR(__xludf.DUMMYFUNCTION("""COMPUTED_VALUE"""),"Algeria-Africa")</f>
        <v>Algeria-Africa</v>
      </c>
      <c r="AD34" s="14" t="str">
        <f>IFERROR(__xludf.DUMMYFUNCTION("""COMPUTED_VALUE"""),"2009")</f>
        <v>2009</v>
      </c>
      <c r="AE34" s="14">
        <f>IFERROR(__xludf.DUMMYFUNCTION("""COMPUTED_VALUE"""),34658.0)</f>
        <v>34658</v>
      </c>
      <c r="AF34" s="14">
        <f>IFERROR(__xludf.DUMMYFUNCTION("""COMPUTED_VALUE"""),103963.0)</f>
        <v>103963</v>
      </c>
    </row>
    <row r="35">
      <c r="A35" s="12">
        <v>34.0</v>
      </c>
      <c r="B35" s="12" t="s">
        <v>76</v>
      </c>
      <c r="C35" s="5" t="s">
        <v>77</v>
      </c>
      <c r="D35" s="11">
        <v>0.742</v>
      </c>
      <c r="E35" s="11">
        <v>25.0</v>
      </c>
      <c r="F35" s="8"/>
      <c r="G35" s="11">
        <v>451.0</v>
      </c>
      <c r="H35" s="11">
        <v>0.095</v>
      </c>
      <c r="I35" s="11">
        <v>0.785</v>
      </c>
      <c r="J35" s="9" t="s">
        <v>68</v>
      </c>
      <c r="K35" s="14" t="str">
        <f>IFERROR(__xludf.DUMMYFUNCTION("ARRAYFORMULA(VLOOKUP(A35,IMPORTRANGE(""https://docs.google.com/spreadsheets/d/1BuTWp7qHGjWhqrnf-OmePP568O4A5Am9ttzvVdP67zw/edit#gid=1603210130"", ""TOURISM!$A$2:$F$2692""), {2,3,4,5,6},0))"),"Africa")</f>
        <v>Africa</v>
      </c>
      <c r="L35" s="14">
        <f>IFERROR(__xludf.DUMMYFUNCTION("""COMPUTED_VALUE"""),3.32E8)</f>
        <v>332000000</v>
      </c>
      <c r="M35" s="14" t="str">
        <f>IFERROR(__xludf.DUMMYFUNCTION("""COMPUTED_VALUE"""),"Algeria-Africa")</f>
        <v>Algeria-Africa</v>
      </c>
      <c r="N35" s="14" t="str">
        <f>IFERROR(__xludf.DUMMYFUNCTION("""COMPUTED_VALUE"""),"2007")</f>
        <v>2007</v>
      </c>
      <c r="O35" s="14">
        <f>IFERROR(__xludf.DUMMYFUNCTION("""COMPUTED_VALUE"""),5.04E8)</f>
        <v>504000000</v>
      </c>
      <c r="P35" s="15">
        <f>IFERROR(__xludf.DUMMYFUNCTION("ARRAYFORMULA(VLOOKUP(A35,IMPORTRANGE(""https://docs.google.com/spreadsheets/d/1BuTWp7qHGjWhqrnf-OmePP568O4A5Am9ttzvVdP67zw/edit#gid=771602874"" ,""HUMAN RESOURCES!$A$2:$M$2692""), {2,3,4,5,6,7,8,9,10,11,12,13},0))"),0.023)</f>
        <v>0.023</v>
      </c>
      <c r="Q35" s="14">
        <f>IFERROR(__xludf.DUMMYFUNCTION("""COMPUTED_VALUE"""),0.026)</f>
        <v>0.026</v>
      </c>
      <c r="R35" s="14">
        <f>IFERROR(__xludf.DUMMYFUNCTION("""COMPUTED_VALUE"""),72.0)</f>
        <v>72</v>
      </c>
      <c r="S35" s="14">
        <f>IFERROR(__xludf.DUMMYFUNCTION("""COMPUTED_VALUE"""),69.0)</f>
        <v>69</v>
      </c>
      <c r="T35" s="14">
        <f>IFERROR(__xludf.DUMMYFUNCTION("""COMPUTED_VALUE"""),0.277)</f>
        <v>0.277</v>
      </c>
      <c r="U35" s="14">
        <f>IFERROR(__xludf.DUMMYFUNCTION("""COMPUTED_VALUE"""),0.677)</f>
        <v>0.677</v>
      </c>
      <c r="V35" s="14">
        <f>IFERROR(__xludf.DUMMYFUNCTION("""COMPUTED_VALUE"""),0.046)</f>
        <v>0.046</v>
      </c>
      <c r="W35" s="14">
        <f>IFERROR(__xludf.DUMMYFUNCTION("""COMPUTED_VALUE"""),3.5097043E7)</f>
        <v>35097043</v>
      </c>
      <c r="X35" s="14">
        <f>IFERROR(__xludf.DUMMYFUNCTION("""COMPUTED_VALUE"""),0.653)</f>
        <v>0.653</v>
      </c>
      <c r="Y35" s="14" t="str">
        <f>IFERROR(__xludf.DUMMYFUNCTION("""COMPUTED_VALUE"""),"Algeria-Africa")</f>
        <v>Algeria-Africa</v>
      </c>
      <c r="Z35" s="14" t="str">
        <f>IFERROR(__xludf.DUMMYFUNCTION("""COMPUTED_VALUE"""),"Africa")</f>
        <v>Africa</v>
      </c>
      <c r="AA35" s="14" t="str">
        <f>IFERROR(__xludf.DUMMYFUNCTION("""COMPUTED_VALUE"""),"2007")</f>
        <v>2007</v>
      </c>
      <c r="AB35" s="15" t="str">
        <f>IFERROR(__xludf.DUMMYFUNCTION("ARRAYFORMULA(VLOOKUP(A35,IMPORTRANGE(""https://docs.google.com/spreadsheets/d/1BuTWp7qHGjWhqrnf-OmePP568O4A5Am9ttzvVdP67zw/edit#gid=1931367683"" ,""ENERGY!$A$2:$F$2692""), {2,3,4,5,6},0))"),"Africa")</f>
        <v>Africa</v>
      </c>
      <c r="AC35" s="14" t="str">
        <f>IFERROR(__xludf.DUMMYFUNCTION("""COMPUTED_VALUE"""),"Algeria-Africa")</f>
        <v>Algeria-Africa</v>
      </c>
      <c r="AD35" s="14" t="str">
        <f>IFERROR(__xludf.DUMMYFUNCTION("""COMPUTED_VALUE"""),"2005")</f>
        <v>2005</v>
      </c>
      <c r="AE35" s="14">
        <f>IFERROR(__xludf.DUMMYFUNCTION("""COMPUTED_VALUE"""),32335.0)</f>
        <v>32335</v>
      </c>
      <c r="AF35" s="14">
        <f>IFERROR(__xludf.DUMMYFUNCTION("""COMPUTED_VALUE"""),107128.0)</f>
        <v>107128</v>
      </c>
    </row>
    <row r="36">
      <c r="A36" s="12">
        <v>35.0</v>
      </c>
      <c r="B36" s="12" t="s">
        <v>76</v>
      </c>
      <c r="C36" s="5" t="s">
        <v>77</v>
      </c>
      <c r="D36" s="11">
        <v>0.738</v>
      </c>
      <c r="E36" s="11">
        <v>25.0</v>
      </c>
      <c r="F36" s="8"/>
      <c r="G36" s="11">
        <v>451.0</v>
      </c>
      <c r="H36" s="11">
        <v>0.102</v>
      </c>
      <c r="I36" s="11">
        <v>0.757</v>
      </c>
      <c r="J36" s="9" t="s">
        <v>69</v>
      </c>
      <c r="K36" s="14" t="str">
        <f>IFERROR(__xludf.DUMMYFUNCTION("ARRAYFORMULA(VLOOKUP(A36,IMPORTRANGE(""https://docs.google.com/spreadsheets/d/1BuTWp7qHGjWhqrnf-OmePP568O4A5Am9ttzvVdP67zw/edit#gid=1603210130"", ""TOURISM!$A$2:$F$2692""), {2,3,4,5,6},0))"),"Africa")</f>
        <v>Africa</v>
      </c>
      <c r="L36" s="14">
        <f>IFERROR(__xludf.DUMMYFUNCTION("""COMPUTED_VALUE"""),4.74E8)</f>
        <v>474000000</v>
      </c>
      <c r="M36" s="14" t="str">
        <f>IFERROR(__xludf.DUMMYFUNCTION("""COMPUTED_VALUE"""),"Algeria-Africa")</f>
        <v>Algeria-Africa</v>
      </c>
      <c r="N36" s="14" t="str">
        <f>IFERROR(__xludf.DUMMYFUNCTION("""COMPUTED_VALUE"""),"2008")</f>
        <v>2008</v>
      </c>
      <c r="O36" s="14">
        <f>IFERROR(__xludf.DUMMYFUNCTION("""COMPUTED_VALUE"""),6.17E8)</f>
        <v>617000000</v>
      </c>
      <c r="P36" s="15">
        <f>IFERROR(__xludf.DUMMYFUNCTION("ARRAYFORMULA(VLOOKUP(A36,IMPORTRANGE(""https://docs.google.com/spreadsheets/d/1BuTWp7qHGjWhqrnf-OmePP568O4A5Am9ttzvVdP67zw/edit#gid=771602874"" ,""HUMAN RESOURCES!$A$2:$M$2692""), {2,3,4,5,6,7,8,9,10,11,12,13},0))"),0.024)</f>
        <v>0.024</v>
      </c>
      <c r="Q36" s="14">
        <f>IFERROR(__xludf.DUMMYFUNCTION("""COMPUTED_VALUE"""),0.025)</f>
        <v>0.025</v>
      </c>
      <c r="R36" s="14">
        <f>IFERROR(__xludf.DUMMYFUNCTION("""COMPUTED_VALUE"""),72.0)</f>
        <v>72</v>
      </c>
      <c r="S36" s="14">
        <f>IFERROR(__xludf.DUMMYFUNCTION("""COMPUTED_VALUE"""),69.0)</f>
        <v>69</v>
      </c>
      <c r="T36" s="14">
        <f>IFERROR(__xludf.DUMMYFUNCTION("""COMPUTED_VALUE"""),0.274)</f>
        <v>0.274</v>
      </c>
      <c r="U36" s="14">
        <f>IFERROR(__xludf.DUMMYFUNCTION("""COMPUTED_VALUE"""),0.68)</f>
        <v>0.68</v>
      </c>
      <c r="V36" s="14">
        <f>IFERROR(__xludf.DUMMYFUNCTION("""COMPUTED_VALUE"""),0.047)</f>
        <v>0.047</v>
      </c>
      <c r="W36" s="14">
        <f>IFERROR(__xludf.DUMMYFUNCTION("""COMPUTED_VALUE"""),3.5725377E7)</f>
        <v>35725377</v>
      </c>
      <c r="X36" s="14">
        <f>IFERROR(__xludf.DUMMYFUNCTION("""COMPUTED_VALUE"""),0.661)</f>
        <v>0.661</v>
      </c>
      <c r="Y36" s="14" t="str">
        <f>IFERROR(__xludf.DUMMYFUNCTION("""COMPUTED_VALUE"""),"Algeria-Africa")</f>
        <v>Algeria-Africa</v>
      </c>
      <c r="Z36" s="14" t="str">
        <f>IFERROR(__xludf.DUMMYFUNCTION("""COMPUTED_VALUE"""),"Africa")</f>
        <v>Africa</v>
      </c>
      <c r="AA36" s="14" t="str">
        <f>IFERROR(__xludf.DUMMYFUNCTION("""COMPUTED_VALUE"""),"2008")</f>
        <v>2008</v>
      </c>
      <c r="AB36" s="15" t="str">
        <f>IFERROR(__xludf.DUMMYFUNCTION("ARRAYFORMULA(VLOOKUP(A36,IMPORTRANGE(""https://docs.google.com/spreadsheets/d/1BuTWp7qHGjWhqrnf-OmePP568O4A5Am9ttzvVdP67zw/edit#gid=1931367683"" ,""ENERGY!$A$2:$F$2692""), {2,3,4,5,6},0))"),"Africa")</f>
        <v>Africa</v>
      </c>
      <c r="AC36" s="14" t="str">
        <f>IFERROR(__xludf.DUMMYFUNCTION("""COMPUTED_VALUE"""),"Algeria-Africa")</f>
        <v>Algeria-Africa</v>
      </c>
      <c r="AD36" s="14" t="str">
        <f>IFERROR(__xludf.DUMMYFUNCTION("""COMPUTED_VALUE"""),"2011")</f>
        <v>2011</v>
      </c>
      <c r="AE36" s="14">
        <f>IFERROR(__xludf.DUMMYFUNCTION("""COMPUTED_VALUE"""),30974.0)</f>
        <v>30974</v>
      </c>
      <c r="AF36" s="14">
        <f>IFERROR(__xludf.DUMMYFUNCTION("""COMPUTED_VALUE"""),89493.0)</f>
        <v>89493</v>
      </c>
    </row>
    <row r="37">
      <c r="A37" s="12">
        <v>36.0</v>
      </c>
      <c r="B37" s="12" t="s">
        <v>76</v>
      </c>
      <c r="C37" s="5" t="s">
        <v>77</v>
      </c>
      <c r="D37" s="11">
        <v>0.72</v>
      </c>
      <c r="E37" s="11">
        <v>25.0</v>
      </c>
      <c r="F37" s="8"/>
      <c r="G37" s="11">
        <v>451.0</v>
      </c>
      <c r="H37" s="11">
        <v>0.112</v>
      </c>
      <c r="I37" s="11">
        <v>0.9</v>
      </c>
      <c r="J37" s="9" t="s">
        <v>70</v>
      </c>
      <c r="K37" s="14" t="str">
        <f>IFERROR(__xludf.DUMMYFUNCTION("ARRAYFORMULA(VLOOKUP(A37,IMPORTRANGE(""https://docs.google.com/spreadsheets/d/1BuTWp7qHGjWhqrnf-OmePP568O4A5Am9ttzvVdP67zw/edit#gid=1603210130"", ""TOURISM!$A$2:$F$2692""), {2,3,4,5,6},0))"),"Africa")</f>
        <v>Africa</v>
      </c>
      <c r="L37" s="14">
        <f>IFERROR(__xludf.DUMMYFUNCTION("""COMPUTED_VALUE"""),3.81E8)</f>
        <v>381000000</v>
      </c>
      <c r="M37" s="14" t="str">
        <f>IFERROR(__xludf.DUMMYFUNCTION("""COMPUTED_VALUE"""),"Algeria-Africa")</f>
        <v>Algeria-Africa</v>
      </c>
      <c r="N37" s="14" t="str">
        <f>IFERROR(__xludf.DUMMYFUNCTION("""COMPUTED_VALUE"""),"2009")</f>
        <v>2009</v>
      </c>
      <c r="O37" s="14">
        <f>IFERROR(__xludf.DUMMYFUNCTION("""COMPUTED_VALUE"""),5.74E8)</f>
        <v>574000000</v>
      </c>
      <c r="P37" s="15">
        <f>IFERROR(__xludf.DUMMYFUNCTION("ARRAYFORMULA(VLOOKUP(A37,IMPORTRANGE(""https://docs.google.com/spreadsheets/d/1BuTWp7qHGjWhqrnf-OmePP568O4A5Am9ttzvVdP67zw/edit#gid=771602874"" ,""HUMAN RESOURCES!$A$2:$M$2692""), {2,3,4,5,6,7,8,9,10,11,12,13},0))"),0.024)</f>
        <v>0.024</v>
      </c>
      <c r="Q37" s="14">
        <f>IFERROR(__xludf.DUMMYFUNCTION("""COMPUTED_VALUE"""),0.024)</f>
        <v>0.024</v>
      </c>
      <c r="R37" s="14">
        <f>IFERROR(__xludf.DUMMYFUNCTION("""COMPUTED_VALUE"""),72.0)</f>
        <v>72</v>
      </c>
      <c r="S37" s="14">
        <f>IFERROR(__xludf.DUMMYFUNCTION("""COMPUTED_VALUE"""),69.0)</f>
        <v>69</v>
      </c>
      <c r="T37" s="14">
        <f>IFERROR(__xludf.DUMMYFUNCTION("""COMPUTED_VALUE"""),0.272)</f>
        <v>0.272</v>
      </c>
      <c r="U37" s="14">
        <f>IFERROR(__xludf.DUMMYFUNCTION("""COMPUTED_VALUE"""),0.681)</f>
        <v>0.681</v>
      </c>
      <c r="V37" s="14">
        <f>IFERROR(__xludf.DUMMYFUNCTION("""COMPUTED_VALUE"""),0.047)</f>
        <v>0.047</v>
      </c>
      <c r="W37" s="14">
        <f>IFERROR(__xludf.DUMMYFUNCTION("""COMPUTED_VALUE"""),3.6383302E7)</f>
        <v>36383302</v>
      </c>
      <c r="X37" s="14">
        <f>IFERROR(__xludf.DUMMYFUNCTION("""COMPUTED_VALUE"""),0.668)</f>
        <v>0.668</v>
      </c>
      <c r="Y37" s="14" t="str">
        <f>IFERROR(__xludf.DUMMYFUNCTION("""COMPUTED_VALUE"""),"Algeria-Africa")</f>
        <v>Algeria-Africa</v>
      </c>
      <c r="Z37" s="14" t="str">
        <f>IFERROR(__xludf.DUMMYFUNCTION("""COMPUTED_VALUE"""),"Africa")</f>
        <v>Africa</v>
      </c>
      <c r="AA37" s="14" t="str">
        <f>IFERROR(__xludf.DUMMYFUNCTION("""COMPUTED_VALUE"""),"2009")</f>
        <v>2009</v>
      </c>
      <c r="AB37" s="15" t="str">
        <f>IFERROR(__xludf.DUMMYFUNCTION("ARRAYFORMULA(VLOOKUP(A37,IMPORTRANGE(""https://docs.google.com/spreadsheets/d/1BuTWp7qHGjWhqrnf-OmePP568O4A5Am9ttzvVdP67zw/edit#gid=1931367683"" ,""ENERGY!$A$2:$F$2692""), {2,3,4,5,6},0))"),"Africa")</f>
        <v>Africa</v>
      </c>
      <c r="AC37" s="14" t="str">
        <f>IFERROR(__xludf.DUMMYFUNCTION("""COMPUTED_VALUE"""),"Algeria-Africa")</f>
        <v>Algeria-Africa</v>
      </c>
      <c r="AD37" s="14" t="str">
        <f>IFERROR(__xludf.DUMMYFUNCTION("""COMPUTED_VALUE"""),"2008")</f>
        <v>2008</v>
      </c>
      <c r="AE37" s="14">
        <f>IFERROR(__xludf.DUMMYFUNCTION("""COMPUTED_VALUE"""),30698.0)</f>
        <v>30698</v>
      </c>
      <c r="AF37" s="14">
        <f>IFERROR(__xludf.DUMMYFUNCTION("""COMPUTED_VALUE"""),92533.0)</f>
        <v>92533</v>
      </c>
    </row>
    <row r="38">
      <c r="A38" s="12">
        <v>37.0</v>
      </c>
      <c r="B38" s="12" t="s">
        <v>76</v>
      </c>
      <c r="C38" s="5" t="s">
        <v>77</v>
      </c>
      <c r="D38" s="11">
        <v>0.72</v>
      </c>
      <c r="E38" s="11">
        <v>25.0</v>
      </c>
      <c r="F38" s="8"/>
      <c r="G38" s="11">
        <v>451.0</v>
      </c>
      <c r="H38" s="11">
        <v>0.125</v>
      </c>
      <c r="I38" s="11">
        <v>0.884</v>
      </c>
      <c r="J38" s="9" t="s">
        <v>71</v>
      </c>
      <c r="K38" s="14" t="str">
        <f>IFERROR(__xludf.DUMMYFUNCTION("ARRAYFORMULA(VLOOKUP(A38,IMPORTRANGE(""https://docs.google.com/spreadsheets/d/1BuTWp7qHGjWhqrnf-OmePP568O4A5Am9ttzvVdP67zw/edit#gid=1603210130"", ""TOURISM!$A$2:$F$2692""), {2,3,4,5,6},0))"),"Africa")</f>
        <v>Africa</v>
      </c>
      <c r="L38" s="14">
        <f>IFERROR(__xludf.DUMMYFUNCTION("""COMPUTED_VALUE"""),3.23E8)</f>
        <v>323000000</v>
      </c>
      <c r="M38" s="14" t="str">
        <f>IFERROR(__xludf.DUMMYFUNCTION("""COMPUTED_VALUE"""),"Algeria-Africa")</f>
        <v>Algeria-Africa</v>
      </c>
      <c r="N38" s="14" t="str">
        <f>IFERROR(__xludf.DUMMYFUNCTION("""COMPUTED_VALUE"""),"2010")</f>
        <v>2010</v>
      </c>
      <c r="O38" s="14">
        <f>IFERROR(__xludf.DUMMYFUNCTION("""COMPUTED_VALUE"""),7.37E8)</f>
        <v>737000000</v>
      </c>
      <c r="P38" s="15">
        <f>IFERROR(__xludf.DUMMYFUNCTION("ARRAYFORMULA(VLOOKUP(A38,IMPORTRANGE(""https://docs.google.com/spreadsheets/d/1BuTWp7qHGjWhqrnf-OmePP568O4A5Am9ttzvVdP67zw/edit#gid=771602874"" ,""HUMAN RESOURCES!$A$2:$M$2692""), {2,3,4,5,6,7,8,9,10,11,12,13},0))"),0.025)</f>
        <v>0.025</v>
      </c>
      <c r="Q38" s="14">
        <f>IFERROR(__xludf.DUMMYFUNCTION("""COMPUTED_VALUE"""),0.024)</f>
        <v>0.024</v>
      </c>
      <c r="R38" s="14">
        <f>IFERROR(__xludf.DUMMYFUNCTION("""COMPUTED_VALUE"""),72.0)</f>
        <v>72</v>
      </c>
      <c r="S38" s="14">
        <f>IFERROR(__xludf.DUMMYFUNCTION("""COMPUTED_VALUE"""),69.0)</f>
        <v>69</v>
      </c>
      <c r="T38" s="14">
        <f>IFERROR(__xludf.DUMMYFUNCTION("""COMPUTED_VALUE"""),0.271)</f>
        <v>0.271</v>
      </c>
      <c r="U38" s="14">
        <f>IFERROR(__xludf.DUMMYFUNCTION("""COMPUTED_VALUE"""),0.681)</f>
        <v>0.681</v>
      </c>
      <c r="V38" s="14">
        <f>IFERROR(__xludf.DUMMYFUNCTION("""COMPUTED_VALUE"""),0.047)</f>
        <v>0.047</v>
      </c>
      <c r="W38" s="14">
        <f>IFERROR(__xludf.DUMMYFUNCTION("""COMPUTED_VALUE"""),3.706282E7)</f>
        <v>37062820</v>
      </c>
      <c r="X38" s="14">
        <f>IFERROR(__xludf.DUMMYFUNCTION("""COMPUTED_VALUE"""),0.675)</f>
        <v>0.675</v>
      </c>
      <c r="Y38" s="14" t="str">
        <f>IFERROR(__xludf.DUMMYFUNCTION("""COMPUTED_VALUE"""),"Algeria-Africa")</f>
        <v>Algeria-Africa</v>
      </c>
      <c r="Z38" s="14" t="str">
        <f>IFERROR(__xludf.DUMMYFUNCTION("""COMPUTED_VALUE"""),"Africa")</f>
        <v>Africa</v>
      </c>
      <c r="AA38" s="14" t="str">
        <f>IFERROR(__xludf.DUMMYFUNCTION("""COMPUTED_VALUE"""),"2010")</f>
        <v>2010</v>
      </c>
      <c r="AB38" s="15" t="str">
        <f>IFERROR(__xludf.DUMMYFUNCTION("ARRAYFORMULA(VLOOKUP(A38,IMPORTRANGE(""https://docs.google.com/spreadsheets/d/1BuTWp7qHGjWhqrnf-OmePP568O4A5Am9ttzvVdP67zw/edit#gid=1931367683"" ,""ENERGY!$A$2:$F$2692""), {2,3,4,5,6},0))"),"Africa")</f>
        <v>Africa</v>
      </c>
      <c r="AC38" s="14" t="str">
        <f>IFERROR(__xludf.DUMMYFUNCTION("""COMPUTED_VALUE"""),"Algeria-Africa")</f>
        <v>Algeria-Africa</v>
      </c>
      <c r="AD38" s="14" t="str">
        <f>IFERROR(__xludf.DUMMYFUNCTION("""COMPUTED_VALUE"""),"2012")</f>
        <v>2012</v>
      </c>
      <c r="AE38" s="14">
        <f>IFERROR(__xludf.DUMMYFUNCTION("""COMPUTED_VALUE"""),28773.0)</f>
        <v>28773</v>
      </c>
      <c r="AF38" s="14">
        <f>IFERROR(__xludf.DUMMYFUNCTION("""COMPUTED_VALUE"""),90854.0)</f>
        <v>90854</v>
      </c>
    </row>
    <row r="39">
      <c r="A39" s="12">
        <v>38.0</v>
      </c>
      <c r="B39" s="12" t="s">
        <v>76</v>
      </c>
      <c r="C39" s="5" t="s">
        <v>77</v>
      </c>
      <c r="D39" s="11">
        <v>0.72</v>
      </c>
      <c r="E39" s="11">
        <v>25.0</v>
      </c>
      <c r="F39" s="8"/>
      <c r="G39" s="11">
        <v>451.0</v>
      </c>
      <c r="H39" s="11">
        <v>0.14</v>
      </c>
      <c r="I39" s="11">
        <v>0.943</v>
      </c>
      <c r="J39" s="9" t="s">
        <v>72</v>
      </c>
      <c r="K39" s="14" t="str">
        <f>IFERROR(__xludf.DUMMYFUNCTION("ARRAYFORMULA(VLOOKUP(A39,IMPORTRANGE(""https://docs.google.com/spreadsheets/d/1BuTWp7qHGjWhqrnf-OmePP568O4A5Am9ttzvVdP67zw/edit#gid=1603210130"", ""TOURISM!$A$2:$F$2692""), {2,3,4,5,6},0))"),"Africa")</f>
        <v>Africa</v>
      </c>
      <c r="L39" s="14">
        <f>IFERROR(__xludf.DUMMYFUNCTION("""COMPUTED_VALUE"""),3.0E8)</f>
        <v>300000000</v>
      </c>
      <c r="M39" s="14" t="str">
        <f>IFERROR(__xludf.DUMMYFUNCTION("""COMPUTED_VALUE"""),"Algeria-Africa")</f>
        <v>Algeria-Africa</v>
      </c>
      <c r="N39" s="14" t="str">
        <f>IFERROR(__xludf.DUMMYFUNCTION("""COMPUTED_VALUE"""),"2011")</f>
        <v>2011</v>
      </c>
      <c r="O39" s="14">
        <f>IFERROR(__xludf.DUMMYFUNCTION("""COMPUTED_VALUE"""),5.71E8)</f>
        <v>571000000</v>
      </c>
      <c r="P39" s="15">
        <f>IFERROR(__xludf.DUMMYFUNCTION("ARRAYFORMULA(VLOOKUP(A39,IMPORTRANGE(""https://docs.google.com/spreadsheets/d/1BuTWp7qHGjWhqrnf-OmePP568O4A5Am9ttzvVdP67zw/edit#gid=771602874"" ,""HUMAN RESOURCES!$A$2:$M$2692""), {2,3,4,5,6,7,8,9,10,11,12,13},0))"),0.025)</f>
        <v>0.025</v>
      </c>
      <c r="Q39" s="14">
        <f>IFERROR(__xludf.DUMMYFUNCTION("""COMPUTED_VALUE"""),0.023)</f>
        <v>0.023</v>
      </c>
      <c r="R39" s="14">
        <f>IFERROR(__xludf.DUMMYFUNCTION("""COMPUTED_VALUE"""),72.0)</f>
        <v>72</v>
      </c>
      <c r="S39" s="14">
        <f>IFERROR(__xludf.DUMMYFUNCTION("""COMPUTED_VALUE"""),69.0)</f>
        <v>69</v>
      </c>
      <c r="T39" s="14">
        <f>IFERROR(__xludf.DUMMYFUNCTION("""COMPUTED_VALUE"""),0.272)</f>
        <v>0.272</v>
      </c>
      <c r="U39" s="14">
        <f>IFERROR(__xludf.DUMMYFUNCTION("""COMPUTED_VALUE"""),0.681)</f>
        <v>0.681</v>
      </c>
      <c r="V39" s="14">
        <f>IFERROR(__xludf.DUMMYFUNCTION("""COMPUTED_VALUE"""),0.047)</f>
        <v>0.047</v>
      </c>
      <c r="W39" s="14">
        <f>IFERROR(__xludf.DUMMYFUNCTION("""COMPUTED_VALUE"""),3.7762962E7)</f>
        <v>37762962</v>
      </c>
      <c r="X39" s="14">
        <f>IFERROR(__xludf.DUMMYFUNCTION("""COMPUTED_VALUE"""),0.682)</f>
        <v>0.682</v>
      </c>
      <c r="Y39" s="14" t="str">
        <f>IFERROR(__xludf.DUMMYFUNCTION("""COMPUTED_VALUE"""),"Algeria-Africa")</f>
        <v>Algeria-Africa</v>
      </c>
      <c r="Z39" s="14" t="str">
        <f>IFERROR(__xludf.DUMMYFUNCTION("""COMPUTED_VALUE"""),"Africa")</f>
        <v>Africa</v>
      </c>
      <c r="AA39" s="14" t="str">
        <f>IFERROR(__xludf.DUMMYFUNCTION("""COMPUTED_VALUE"""),"2011")</f>
        <v>2011</v>
      </c>
      <c r="AB39" s="15" t="str">
        <f>IFERROR(__xludf.DUMMYFUNCTION("ARRAYFORMULA(VLOOKUP(A39,IMPORTRANGE(""https://docs.google.com/spreadsheets/d/1BuTWp7qHGjWhqrnf-OmePP568O4A5Am9ttzvVdP67zw/edit#gid=1931367683"" ,""ENERGY!$A$2:$F$2692""), {2,3,4,5,6},0))"),"Africa")</f>
        <v>Africa</v>
      </c>
      <c r="AC39" s="14" t="str">
        <f>IFERROR(__xludf.DUMMYFUNCTION("""COMPUTED_VALUE"""),"Algeria-Africa")</f>
        <v>Algeria-Africa</v>
      </c>
      <c r="AD39" s="14" t="str">
        <f>IFERROR(__xludf.DUMMYFUNCTION("""COMPUTED_VALUE"""),"2011")</f>
        <v>2011</v>
      </c>
      <c r="AE39" s="14">
        <f>IFERROR(__xludf.DUMMYFUNCTION("""COMPUTED_VALUE"""),27072.0)</f>
        <v>27072</v>
      </c>
      <c r="AF39" s="14">
        <f>IFERROR(__xludf.DUMMYFUNCTION("""COMPUTED_VALUE"""),84293.0)</f>
        <v>84293</v>
      </c>
    </row>
    <row r="40">
      <c r="A40" s="12">
        <v>39.0</v>
      </c>
      <c r="B40" s="12" t="s">
        <v>76</v>
      </c>
      <c r="C40" s="5" t="s">
        <v>77</v>
      </c>
      <c r="D40" s="11">
        <v>0.719</v>
      </c>
      <c r="E40" s="11">
        <v>25.0</v>
      </c>
      <c r="F40" s="11">
        <v>151.0</v>
      </c>
      <c r="G40" s="11">
        <v>451.0</v>
      </c>
      <c r="H40" s="11">
        <v>0.152</v>
      </c>
      <c r="I40" s="11">
        <v>0.975</v>
      </c>
      <c r="J40" s="9" t="s">
        <v>73</v>
      </c>
      <c r="K40" s="14" t="str">
        <f>IFERROR(__xludf.DUMMYFUNCTION("ARRAYFORMULA(VLOOKUP(A40,IMPORTRANGE(""https://docs.google.com/spreadsheets/d/1BuTWp7qHGjWhqrnf-OmePP568O4A5Am9ttzvVdP67zw/edit#gid=1603210130"", ""TOURISM!$A$2:$F$2692""), {2,3,4,5,6},0))"),"Africa")</f>
        <v>Africa</v>
      </c>
      <c r="L40" s="14">
        <f>IFERROR(__xludf.DUMMYFUNCTION("""COMPUTED_VALUE"""),2.95E8)</f>
        <v>295000000</v>
      </c>
      <c r="M40" s="14" t="str">
        <f>IFERROR(__xludf.DUMMYFUNCTION("""COMPUTED_VALUE"""),"Algeria-Africa")</f>
        <v>Algeria-Africa</v>
      </c>
      <c r="N40" s="14" t="str">
        <f>IFERROR(__xludf.DUMMYFUNCTION("""COMPUTED_VALUE"""),"2012")</f>
        <v>2012</v>
      </c>
      <c r="O40" s="14">
        <f>IFERROR(__xludf.DUMMYFUNCTION("""COMPUTED_VALUE"""),5.59E8)</f>
        <v>559000000</v>
      </c>
      <c r="P40" s="15">
        <f>IFERROR(__xludf.DUMMYFUNCTION("ARRAYFORMULA(VLOOKUP(A40,IMPORTRANGE(""https://docs.google.com/spreadsheets/d/1BuTWp7qHGjWhqrnf-OmePP568O4A5Am9ttzvVdP67zw/edit#gid=771602874"" ,""HUMAN RESOURCES!$A$2:$M$2692""), {2,3,4,5,6,7,8,9,10,11,12,13},0))"),0.025)</f>
        <v>0.025</v>
      </c>
      <c r="Q40" s="14">
        <f>IFERROR(__xludf.DUMMYFUNCTION("""COMPUTED_VALUE"""),0.022)</f>
        <v>0.022</v>
      </c>
      <c r="R40" s="14">
        <f>IFERROR(__xludf.DUMMYFUNCTION("""COMPUTED_VALUE"""),73.0)</f>
        <v>73</v>
      </c>
      <c r="S40" s="14">
        <f>IFERROR(__xludf.DUMMYFUNCTION("""COMPUTED_VALUE"""),69.0)</f>
        <v>69</v>
      </c>
      <c r="T40" s="14">
        <f>IFERROR(__xludf.DUMMYFUNCTION("""COMPUTED_VALUE"""),0.274)</f>
        <v>0.274</v>
      </c>
      <c r="U40" s="14">
        <f>IFERROR(__xludf.DUMMYFUNCTION("""COMPUTED_VALUE"""),0.679)</f>
        <v>0.679</v>
      </c>
      <c r="V40" s="14">
        <f>IFERROR(__xludf.DUMMYFUNCTION("""COMPUTED_VALUE"""),0.047)</f>
        <v>0.047</v>
      </c>
      <c r="W40" s="14">
        <f>IFERROR(__xludf.DUMMYFUNCTION("""COMPUTED_VALUE"""),3.8481705E7)</f>
        <v>38481705</v>
      </c>
      <c r="X40" s="14">
        <f>IFERROR(__xludf.DUMMYFUNCTION("""COMPUTED_VALUE"""),0.689)</f>
        <v>0.689</v>
      </c>
      <c r="Y40" s="14" t="str">
        <f>IFERROR(__xludf.DUMMYFUNCTION("""COMPUTED_VALUE"""),"Algeria-Africa")</f>
        <v>Algeria-Africa</v>
      </c>
      <c r="Z40" s="14" t="str">
        <f>IFERROR(__xludf.DUMMYFUNCTION("""COMPUTED_VALUE"""),"Africa")</f>
        <v>Africa</v>
      </c>
      <c r="AA40" s="14" t="str">
        <f>IFERROR(__xludf.DUMMYFUNCTION("""COMPUTED_VALUE"""),"2012")</f>
        <v>2012</v>
      </c>
      <c r="AB40" s="15" t="str">
        <f>IFERROR(__xludf.DUMMYFUNCTION("ARRAYFORMULA(VLOOKUP(A40,IMPORTRANGE(""https://docs.google.com/spreadsheets/d/1BuTWp7qHGjWhqrnf-OmePP568O4A5Am9ttzvVdP67zw/edit#gid=1931367683"" ,""ENERGY!$A$2:$F$2692""), {2,3,4,5,6},0))"),"Africa")</f>
        <v>Africa</v>
      </c>
      <c r="AC40" s="14" t="str">
        <f>IFERROR(__xludf.DUMMYFUNCTION("""COMPUTED_VALUE"""),"Algeria-Africa")</f>
        <v>Algeria-Africa</v>
      </c>
      <c r="AD40" s="14" t="str">
        <f>IFERROR(__xludf.DUMMYFUNCTION("""COMPUTED_VALUE"""),"2008")</f>
        <v>2008</v>
      </c>
      <c r="AE40" s="14">
        <f>IFERROR(__xludf.DUMMYFUNCTION("""COMPUTED_VALUE"""),26998.0)</f>
        <v>26998</v>
      </c>
      <c r="AF40" s="14">
        <f>IFERROR(__xludf.DUMMYFUNCTION("""COMPUTED_VALUE"""),87931.0)</f>
        <v>87931</v>
      </c>
    </row>
    <row r="41">
      <c r="A41" s="12">
        <v>40.0</v>
      </c>
      <c r="B41" s="12" t="s">
        <v>79</v>
      </c>
      <c r="C41" s="5" t="s">
        <v>80</v>
      </c>
      <c r="D41" s="8"/>
      <c r="E41" s="8"/>
      <c r="F41" s="8"/>
      <c r="G41" s="8"/>
      <c r="H41" s="8"/>
      <c r="I41" s="11">
        <v>0.035</v>
      </c>
      <c r="J41" s="9" t="s">
        <v>60</v>
      </c>
      <c r="K41" s="14" t="str">
        <f>IFERROR(__xludf.DUMMYFUNCTION("ARRAYFORMULA(VLOOKUP(A41,IMPORTRANGE(""https://docs.google.com/spreadsheets/d/1BuTWp7qHGjWhqrnf-OmePP568O4A5Am9ttzvVdP67zw/edit#gid=1603210130"", ""TOURISM!$A$2:$F$2692""), {2,3,4,5,6},0))"),"Oceania")</f>
        <v>Oceania</v>
      </c>
      <c r="L41" s="14"/>
      <c r="M41" s="14" t="str">
        <f>IFERROR(__xludf.DUMMYFUNCTION("""COMPUTED_VALUE"""),"American Samoa-Oceania")</f>
        <v>American Samoa-Oceania</v>
      </c>
      <c r="N41" s="14" t="str">
        <f>IFERROR(__xludf.DUMMYFUNCTION("""COMPUTED_VALUE"""),"2000")</f>
        <v>2000</v>
      </c>
      <c r="O41" s="14"/>
      <c r="P41" s="15" t="str">
        <f>IFERROR(__xludf.DUMMYFUNCTION("ARRAYFORMULA(VLOOKUP(A41,IMPORTRANGE(""https://docs.google.com/spreadsheets/d/1BuTWp7qHGjWhqrnf-OmePP568O4A5Am9ttzvVdP67zw/edit#gid=771602874"" ,""HUMAN RESOURCES!$A$2:$M$2692""), {2,3,4,5,6,7,8,9,10,11,12,13},0))"),"")</f>
        <v/>
      </c>
      <c r="Q41" s="14"/>
      <c r="R41" s="14"/>
      <c r="S41" s="14"/>
      <c r="T41" s="14"/>
      <c r="U41" s="14"/>
      <c r="V41" s="14"/>
      <c r="W41" s="14">
        <f>IFERROR(__xludf.DUMMYFUNCTION("""COMPUTED_VALUE"""),57522.0)</f>
        <v>57522</v>
      </c>
      <c r="X41" s="14">
        <f>IFERROR(__xludf.DUMMYFUNCTION("""COMPUTED_VALUE"""),0.886)</f>
        <v>0.886</v>
      </c>
      <c r="Y41" s="14" t="str">
        <f>IFERROR(__xludf.DUMMYFUNCTION("""COMPUTED_VALUE"""),"American Samoa-Oceania")</f>
        <v>American Samoa-Oceania</v>
      </c>
      <c r="Z41" s="14" t="str">
        <f>IFERROR(__xludf.DUMMYFUNCTION("""COMPUTED_VALUE"""),"Oceania")</f>
        <v>Oceania</v>
      </c>
      <c r="AA41" s="14" t="str">
        <f>IFERROR(__xludf.DUMMYFUNCTION("""COMPUTED_VALUE"""),"2000")</f>
        <v>2000</v>
      </c>
      <c r="AB41" s="15" t="str">
        <f>IFERROR(__xludf.DUMMYFUNCTION("ARRAYFORMULA(VLOOKUP(A41,IMPORTRANGE(""https://docs.google.com/spreadsheets/d/1BuTWp7qHGjWhqrnf-OmePP568O4A5Am9ttzvVdP67zw/edit#gid=1931367683"" ,""ENERGY!$A$2:$F$2692""), {2,3,4,5,6},0))"),"Oceania")</f>
        <v>Oceania</v>
      </c>
      <c r="AC41" s="14" t="str">
        <f>IFERROR(__xludf.DUMMYFUNCTION("""COMPUTED_VALUE"""),"American Samoa-Oceania")</f>
        <v>American Samoa-Oceania</v>
      </c>
      <c r="AD41" s="14" t="str">
        <f>IFERROR(__xludf.DUMMYFUNCTION("""COMPUTED_VALUE"""),"2000")</f>
        <v>2000</v>
      </c>
      <c r="AE41" s="14"/>
      <c r="AF41" s="14"/>
    </row>
    <row r="42">
      <c r="A42" s="12">
        <v>41.0</v>
      </c>
      <c r="B42" s="12" t="s">
        <v>79</v>
      </c>
      <c r="C42" s="5" t="s">
        <v>80</v>
      </c>
      <c r="D42" s="8"/>
      <c r="E42" s="8"/>
      <c r="F42" s="8"/>
      <c r="G42" s="8"/>
      <c r="H42" s="8"/>
      <c r="I42" s="11">
        <v>0.037</v>
      </c>
      <c r="J42" s="9" t="s">
        <v>62</v>
      </c>
      <c r="K42" s="14" t="str">
        <f>IFERROR(__xludf.DUMMYFUNCTION("ARRAYFORMULA(VLOOKUP(A42,IMPORTRANGE(""https://docs.google.com/spreadsheets/d/1BuTWp7qHGjWhqrnf-OmePP568O4A5Am9ttzvVdP67zw/edit#gid=1603210130"", ""TOURISM!$A$2:$F$2692""), {2,3,4,5,6},0))"),"Oceania")</f>
        <v>Oceania</v>
      </c>
      <c r="L42" s="14"/>
      <c r="M42" s="14" t="str">
        <f>IFERROR(__xludf.DUMMYFUNCTION("""COMPUTED_VALUE"""),"American Samoa-Oceania")</f>
        <v>American Samoa-Oceania</v>
      </c>
      <c r="N42" s="14" t="str">
        <f>IFERROR(__xludf.DUMMYFUNCTION("""COMPUTED_VALUE"""),"2001")</f>
        <v>2001</v>
      </c>
      <c r="O42" s="14"/>
      <c r="P42" s="15" t="str">
        <f>IFERROR(__xludf.DUMMYFUNCTION("ARRAYFORMULA(VLOOKUP(A42,IMPORTRANGE(""https://docs.google.com/spreadsheets/d/1BuTWp7qHGjWhqrnf-OmePP568O4A5Am9ttzvVdP67zw/edit#gid=771602874"" ,""HUMAN RESOURCES!$A$2:$M$2692""), {2,3,4,5,6,7,8,9,10,11,12,13},0))"),"")</f>
        <v/>
      </c>
      <c r="Q42" s="14"/>
      <c r="R42" s="14"/>
      <c r="S42" s="14"/>
      <c r="T42" s="14"/>
      <c r="U42" s="14"/>
      <c r="V42" s="14"/>
      <c r="W42" s="14">
        <f>IFERROR(__xludf.DUMMYFUNCTION("""COMPUTED_VALUE"""),58176.0)</f>
        <v>58176</v>
      </c>
      <c r="X42" s="14">
        <f>IFERROR(__xludf.DUMMYFUNCTION("""COMPUTED_VALUE"""),0.885)</f>
        <v>0.885</v>
      </c>
      <c r="Y42" s="14" t="str">
        <f>IFERROR(__xludf.DUMMYFUNCTION("""COMPUTED_VALUE"""),"American Samoa-Oceania")</f>
        <v>American Samoa-Oceania</v>
      </c>
      <c r="Z42" s="14" t="str">
        <f>IFERROR(__xludf.DUMMYFUNCTION("""COMPUTED_VALUE"""),"Oceania")</f>
        <v>Oceania</v>
      </c>
      <c r="AA42" s="14" t="str">
        <f>IFERROR(__xludf.DUMMYFUNCTION("""COMPUTED_VALUE"""),"2001")</f>
        <v>2001</v>
      </c>
      <c r="AB42" s="15" t="str">
        <f>IFERROR(__xludf.DUMMYFUNCTION("ARRAYFORMULA(VLOOKUP(A42,IMPORTRANGE(""https://docs.google.com/spreadsheets/d/1BuTWp7qHGjWhqrnf-OmePP568O4A5Am9ttzvVdP67zw/edit#gid=1931367683"" ,""ENERGY!$A$2:$F$2692""), {2,3,4,5,6},0))"),"Oceania")</f>
        <v>Oceania</v>
      </c>
      <c r="AC42" s="14" t="str">
        <f>IFERROR(__xludf.DUMMYFUNCTION("""COMPUTED_VALUE"""),"American Samoa-Oceania")</f>
        <v>American Samoa-Oceania</v>
      </c>
      <c r="AD42" s="14" t="str">
        <f>IFERROR(__xludf.DUMMYFUNCTION("""COMPUTED_VALUE"""),"2001")</f>
        <v>2001</v>
      </c>
      <c r="AE42" s="14"/>
      <c r="AF42" s="14"/>
    </row>
    <row r="43">
      <c r="A43" s="12">
        <v>42.0</v>
      </c>
      <c r="B43" s="12" t="s">
        <v>79</v>
      </c>
      <c r="C43" s="5" t="s">
        <v>80</v>
      </c>
      <c r="D43" s="8"/>
      <c r="E43" s="8"/>
      <c r="F43" s="8"/>
      <c r="G43" s="8"/>
      <c r="H43" s="8"/>
      <c r="I43" s="11">
        <v>0.035</v>
      </c>
      <c r="J43" s="9" t="s">
        <v>63</v>
      </c>
      <c r="K43" s="14" t="str">
        <f>IFERROR(__xludf.DUMMYFUNCTION("ARRAYFORMULA(VLOOKUP(A43,IMPORTRANGE(""https://docs.google.com/spreadsheets/d/1BuTWp7qHGjWhqrnf-OmePP568O4A5Am9ttzvVdP67zw/edit#gid=1603210130"", ""TOURISM!$A$2:$F$2692""), {2,3,4,5,6},0))"),"Oceania")</f>
        <v>Oceania</v>
      </c>
      <c r="L43" s="14"/>
      <c r="M43" s="14" t="str">
        <f>IFERROR(__xludf.DUMMYFUNCTION("""COMPUTED_VALUE"""),"American Samoa-Oceania")</f>
        <v>American Samoa-Oceania</v>
      </c>
      <c r="N43" s="14" t="str">
        <f>IFERROR(__xludf.DUMMYFUNCTION("""COMPUTED_VALUE"""),"2002")</f>
        <v>2002</v>
      </c>
      <c r="O43" s="14"/>
      <c r="P43" s="15" t="str">
        <f>IFERROR(__xludf.DUMMYFUNCTION("ARRAYFORMULA(VLOOKUP(A43,IMPORTRANGE(""https://docs.google.com/spreadsheets/d/1BuTWp7qHGjWhqrnf-OmePP568O4A5Am9ttzvVdP67zw/edit#gid=771602874"" ,""HUMAN RESOURCES!$A$2:$M$2692""), {2,3,4,5,6,7,8,9,10,11,12,13},0))"),"")</f>
        <v/>
      </c>
      <c r="Q43" s="14"/>
      <c r="R43" s="14"/>
      <c r="S43" s="14"/>
      <c r="T43" s="14"/>
      <c r="U43" s="14"/>
      <c r="V43" s="14"/>
      <c r="W43" s="14">
        <f>IFERROR(__xludf.DUMMYFUNCTION("""COMPUTED_VALUE"""),58729.0)</f>
        <v>58729</v>
      </c>
      <c r="X43" s="14">
        <f>IFERROR(__xludf.DUMMYFUNCTION("""COMPUTED_VALUE"""),0.884)</f>
        <v>0.884</v>
      </c>
      <c r="Y43" s="14" t="str">
        <f>IFERROR(__xludf.DUMMYFUNCTION("""COMPUTED_VALUE"""),"American Samoa-Oceania")</f>
        <v>American Samoa-Oceania</v>
      </c>
      <c r="Z43" s="14" t="str">
        <f>IFERROR(__xludf.DUMMYFUNCTION("""COMPUTED_VALUE"""),"Oceania")</f>
        <v>Oceania</v>
      </c>
      <c r="AA43" s="14" t="str">
        <f>IFERROR(__xludf.DUMMYFUNCTION("""COMPUTED_VALUE"""),"2002")</f>
        <v>2002</v>
      </c>
      <c r="AB43" s="15" t="str">
        <f>IFERROR(__xludf.DUMMYFUNCTION("ARRAYFORMULA(VLOOKUP(A43,IMPORTRANGE(""https://docs.google.com/spreadsheets/d/1BuTWp7qHGjWhqrnf-OmePP568O4A5Am9ttzvVdP67zw/edit#gid=1931367683"" ,""ENERGY!$A$2:$F$2692""), {2,3,4,5,6},0))"),"Oceania")</f>
        <v>Oceania</v>
      </c>
      <c r="AC43" s="14" t="str">
        <f>IFERROR(__xludf.DUMMYFUNCTION("""COMPUTED_VALUE"""),"American Samoa-Oceania")</f>
        <v>American Samoa-Oceania</v>
      </c>
      <c r="AD43" s="14" t="str">
        <f>IFERROR(__xludf.DUMMYFUNCTION("""COMPUTED_VALUE"""),"2002")</f>
        <v>2002</v>
      </c>
      <c r="AE43" s="14"/>
      <c r="AF43" s="14"/>
    </row>
    <row r="44">
      <c r="A44" s="12">
        <v>43.0</v>
      </c>
      <c r="B44" s="12" t="s">
        <v>79</v>
      </c>
      <c r="C44" s="5" t="s">
        <v>80</v>
      </c>
      <c r="D44" s="8"/>
      <c r="E44" s="8"/>
      <c r="F44" s="8"/>
      <c r="G44" s="8"/>
      <c r="H44" s="8"/>
      <c r="I44" s="11">
        <v>0.036</v>
      </c>
      <c r="J44" s="9" t="s">
        <v>64</v>
      </c>
      <c r="K44" s="14" t="str">
        <f>IFERROR(__xludf.DUMMYFUNCTION("ARRAYFORMULA(VLOOKUP(A44,IMPORTRANGE(""https://docs.google.com/spreadsheets/d/1BuTWp7qHGjWhqrnf-OmePP568O4A5Am9ttzvVdP67zw/edit#gid=1603210130"", ""TOURISM!$A$2:$F$2692""), {2,3,4,5,6},0))"),"Oceania")</f>
        <v>Oceania</v>
      </c>
      <c r="L44" s="14"/>
      <c r="M44" s="14" t="str">
        <f>IFERROR(__xludf.DUMMYFUNCTION("""COMPUTED_VALUE"""),"American Samoa-Oceania")</f>
        <v>American Samoa-Oceania</v>
      </c>
      <c r="N44" s="14" t="str">
        <f>IFERROR(__xludf.DUMMYFUNCTION("""COMPUTED_VALUE"""),"2003")</f>
        <v>2003</v>
      </c>
      <c r="O44" s="14"/>
      <c r="P44" s="15" t="str">
        <f>IFERROR(__xludf.DUMMYFUNCTION("ARRAYFORMULA(VLOOKUP(A44,IMPORTRANGE(""https://docs.google.com/spreadsheets/d/1BuTWp7qHGjWhqrnf-OmePP568O4A5Am9ttzvVdP67zw/edit#gid=771602874"" ,""HUMAN RESOURCES!$A$2:$M$2692""), {2,3,4,5,6,7,8,9,10,11,12,13},0))"),"")</f>
        <v/>
      </c>
      <c r="Q44" s="14"/>
      <c r="R44" s="14"/>
      <c r="S44" s="14"/>
      <c r="T44" s="14"/>
      <c r="U44" s="14"/>
      <c r="V44" s="14"/>
      <c r="W44" s="14">
        <f>IFERROR(__xludf.DUMMYFUNCTION("""COMPUTED_VALUE"""),59117.0)</f>
        <v>59117</v>
      </c>
      <c r="X44" s="14">
        <f>IFERROR(__xludf.DUMMYFUNCTION("""COMPUTED_VALUE"""),0.883)</f>
        <v>0.883</v>
      </c>
      <c r="Y44" s="14" t="str">
        <f>IFERROR(__xludf.DUMMYFUNCTION("""COMPUTED_VALUE"""),"American Samoa-Oceania")</f>
        <v>American Samoa-Oceania</v>
      </c>
      <c r="Z44" s="14" t="str">
        <f>IFERROR(__xludf.DUMMYFUNCTION("""COMPUTED_VALUE"""),"Oceania")</f>
        <v>Oceania</v>
      </c>
      <c r="AA44" s="14" t="str">
        <f>IFERROR(__xludf.DUMMYFUNCTION("""COMPUTED_VALUE"""),"2003")</f>
        <v>2003</v>
      </c>
      <c r="AB44" s="15" t="str">
        <f>IFERROR(__xludf.DUMMYFUNCTION("ARRAYFORMULA(VLOOKUP(A44,IMPORTRANGE(""https://docs.google.com/spreadsheets/d/1BuTWp7qHGjWhqrnf-OmePP568O4A5Am9ttzvVdP67zw/edit#gid=1931367683"" ,""ENERGY!$A$2:$F$2692""), {2,3,4,5,6},0))"),"Oceania")</f>
        <v>Oceania</v>
      </c>
      <c r="AC44" s="14" t="str">
        <f>IFERROR(__xludf.DUMMYFUNCTION("""COMPUTED_VALUE"""),"American Samoa-Oceania")</f>
        <v>American Samoa-Oceania</v>
      </c>
      <c r="AD44" s="14" t="str">
        <f>IFERROR(__xludf.DUMMYFUNCTION("""COMPUTED_VALUE"""),"2003")</f>
        <v>2003</v>
      </c>
      <c r="AE44" s="14"/>
      <c r="AF44" s="14"/>
    </row>
    <row r="45">
      <c r="A45" s="12">
        <v>44.0</v>
      </c>
      <c r="B45" s="12" t="s">
        <v>79</v>
      </c>
      <c r="C45" s="5" t="s">
        <v>80</v>
      </c>
      <c r="D45" s="8"/>
      <c r="E45" s="8"/>
      <c r="F45" s="8"/>
      <c r="G45" s="8"/>
      <c r="H45" s="8"/>
      <c r="I45" s="11">
        <v>0.038</v>
      </c>
      <c r="J45" s="9" t="s">
        <v>65</v>
      </c>
      <c r="K45" s="14" t="str">
        <f>IFERROR(__xludf.DUMMYFUNCTION("ARRAYFORMULA(VLOOKUP(A45,IMPORTRANGE(""https://docs.google.com/spreadsheets/d/1BuTWp7qHGjWhqrnf-OmePP568O4A5Am9ttzvVdP67zw/edit#gid=1603210130"", ""TOURISM!$A$2:$F$2692""), {2,3,4,5,6},0))"),"Oceania")</f>
        <v>Oceania</v>
      </c>
      <c r="L45" s="14"/>
      <c r="M45" s="14" t="str">
        <f>IFERROR(__xludf.DUMMYFUNCTION("""COMPUTED_VALUE"""),"American Samoa-Oceania")</f>
        <v>American Samoa-Oceania</v>
      </c>
      <c r="N45" s="14" t="str">
        <f>IFERROR(__xludf.DUMMYFUNCTION("""COMPUTED_VALUE"""),"2004")</f>
        <v>2004</v>
      </c>
      <c r="O45" s="14"/>
      <c r="P45" s="15" t="str">
        <f>IFERROR(__xludf.DUMMYFUNCTION("ARRAYFORMULA(VLOOKUP(A45,IMPORTRANGE(""https://docs.google.com/spreadsheets/d/1BuTWp7qHGjWhqrnf-OmePP568O4A5Am9ttzvVdP67zw/edit#gid=771602874"" ,""HUMAN RESOURCES!$A$2:$M$2692""), {2,3,4,5,6,7,8,9,10,11,12,13},0))"),"")</f>
        <v/>
      </c>
      <c r="Q45" s="14"/>
      <c r="R45" s="14"/>
      <c r="S45" s="14"/>
      <c r="T45" s="14"/>
      <c r="U45" s="14"/>
      <c r="V45" s="14"/>
      <c r="W45" s="14">
        <f>IFERROR(__xludf.DUMMYFUNCTION("""COMPUTED_VALUE"""),59262.0)</f>
        <v>59262</v>
      </c>
      <c r="X45" s="14">
        <f>IFERROR(__xludf.DUMMYFUNCTION("""COMPUTED_VALUE"""),0.882)</f>
        <v>0.882</v>
      </c>
      <c r="Y45" s="14" t="str">
        <f>IFERROR(__xludf.DUMMYFUNCTION("""COMPUTED_VALUE"""),"American Samoa-Oceania")</f>
        <v>American Samoa-Oceania</v>
      </c>
      <c r="Z45" s="14" t="str">
        <f>IFERROR(__xludf.DUMMYFUNCTION("""COMPUTED_VALUE"""),"Oceania")</f>
        <v>Oceania</v>
      </c>
      <c r="AA45" s="14" t="str">
        <f>IFERROR(__xludf.DUMMYFUNCTION("""COMPUTED_VALUE"""),"2004")</f>
        <v>2004</v>
      </c>
      <c r="AB45" s="15" t="str">
        <f>IFERROR(__xludf.DUMMYFUNCTION("ARRAYFORMULA(VLOOKUP(A45,IMPORTRANGE(""https://docs.google.com/spreadsheets/d/1BuTWp7qHGjWhqrnf-OmePP568O4A5Am9ttzvVdP67zw/edit#gid=1931367683"" ,""ENERGY!$A$2:$F$2692""), {2,3,4,5,6},0))"),"Oceania")</f>
        <v>Oceania</v>
      </c>
      <c r="AC45" s="14" t="str">
        <f>IFERROR(__xludf.DUMMYFUNCTION("""COMPUTED_VALUE"""),"American Samoa-Oceania")</f>
        <v>American Samoa-Oceania</v>
      </c>
      <c r="AD45" s="14" t="str">
        <f>IFERROR(__xludf.DUMMYFUNCTION("""COMPUTED_VALUE"""),"2004")</f>
        <v>2004</v>
      </c>
      <c r="AE45" s="14"/>
      <c r="AF45" s="14"/>
    </row>
    <row r="46">
      <c r="A46" s="12">
        <v>45.0</v>
      </c>
      <c r="B46" s="12" t="s">
        <v>79</v>
      </c>
      <c r="C46" s="5" t="s">
        <v>80</v>
      </c>
      <c r="D46" s="8"/>
      <c r="E46" s="8"/>
      <c r="F46" s="8"/>
      <c r="G46" s="8"/>
      <c r="H46" s="8"/>
      <c r="I46" s="8"/>
      <c r="J46" s="9" t="s">
        <v>66</v>
      </c>
      <c r="K46" s="14" t="str">
        <f>IFERROR(__xludf.DUMMYFUNCTION("ARRAYFORMULA(VLOOKUP(A46,IMPORTRANGE(""https://docs.google.com/spreadsheets/d/1BuTWp7qHGjWhqrnf-OmePP568O4A5Am9ttzvVdP67zw/edit#gid=1603210130"", ""TOURISM!$A$2:$F$2692""), {2,3,4,5,6},0))"),"Oceania")</f>
        <v>Oceania</v>
      </c>
      <c r="L46" s="14"/>
      <c r="M46" s="14" t="str">
        <f>IFERROR(__xludf.DUMMYFUNCTION("""COMPUTED_VALUE"""),"American Samoa-Oceania")</f>
        <v>American Samoa-Oceania</v>
      </c>
      <c r="N46" s="14" t="str">
        <f>IFERROR(__xludf.DUMMYFUNCTION("""COMPUTED_VALUE"""),"2005")</f>
        <v>2005</v>
      </c>
      <c r="O46" s="14"/>
      <c r="P46" s="15" t="str">
        <f>IFERROR(__xludf.DUMMYFUNCTION("ARRAYFORMULA(VLOOKUP(A46,IMPORTRANGE(""https://docs.google.com/spreadsheets/d/1BuTWp7qHGjWhqrnf-OmePP568O4A5Am9ttzvVdP67zw/edit#gid=771602874"" ,""HUMAN RESOURCES!$A$2:$M$2692""), {2,3,4,5,6,7,8,9,10,11,12,13},0))"),"")</f>
        <v/>
      </c>
      <c r="Q46" s="14"/>
      <c r="R46" s="14"/>
      <c r="S46" s="14"/>
      <c r="T46" s="14"/>
      <c r="U46" s="14"/>
      <c r="V46" s="14"/>
      <c r="W46" s="14">
        <f>IFERROR(__xludf.DUMMYFUNCTION("""COMPUTED_VALUE"""),59117.0)</f>
        <v>59117</v>
      </c>
      <c r="X46" s="14">
        <f>IFERROR(__xludf.DUMMYFUNCTION("""COMPUTED_VALUE"""),0.881)</f>
        <v>0.881</v>
      </c>
      <c r="Y46" s="14" t="str">
        <f>IFERROR(__xludf.DUMMYFUNCTION("""COMPUTED_VALUE"""),"American Samoa-Oceania")</f>
        <v>American Samoa-Oceania</v>
      </c>
      <c r="Z46" s="14" t="str">
        <f>IFERROR(__xludf.DUMMYFUNCTION("""COMPUTED_VALUE"""),"Oceania")</f>
        <v>Oceania</v>
      </c>
      <c r="AA46" s="14" t="str">
        <f>IFERROR(__xludf.DUMMYFUNCTION("""COMPUTED_VALUE"""),"2005")</f>
        <v>2005</v>
      </c>
      <c r="AB46" s="15" t="str">
        <f>IFERROR(__xludf.DUMMYFUNCTION("ARRAYFORMULA(VLOOKUP(A46,IMPORTRANGE(""https://docs.google.com/spreadsheets/d/1BuTWp7qHGjWhqrnf-OmePP568O4A5Am9ttzvVdP67zw/edit#gid=1931367683"" ,""ENERGY!$A$2:$F$2692""), {2,3,4,5,6},0))"),"Oceania")</f>
        <v>Oceania</v>
      </c>
      <c r="AC46" s="14" t="str">
        <f>IFERROR(__xludf.DUMMYFUNCTION("""COMPUTED_VALUE"""),"American Samoa-Oceania")</f>
        <v>American Samoa-Oceania</v>
      </c>
      <c r="AD46" s="14" t="str">
        <f>IFERROR(__xludf.DUMMYFUNCTION("""COMPUTED_VALUE"""),"2005")</f>
        <v>2005</v>
      </c>
      <c r="AE46" s="14"/>
      <c r="AF46" s="14"/>
    </row>
    <row r="47">
      <c r="A47" s="12">
        <v>46.0</v>
      </c>
      <c r="B47" s="12" t="s">
        <v>79</v>
      </c>
      <c r="C47" s="5" t="s">
        <v>80</v>
      </c>
      <c r="D47" s="8"/>
      <c r="E47" s="8"/>
      <c r="F47" s="8"/>
      <c r="G47" s="8"/>
      <c r="H47" s="8"/>
      <c r="I47" s="8"/>
      <c r="J47" s="9" t="s">
        <v>67</v>
      </c>
      <c r="K47" s="14" t="str">
        <f>IFERROR(__xludf.DUMMYFUNCTION("ARRAYFORMULA(VLOOKUP(A47,IMPORTRANGE(""https://docs.google.com/spreadsheets/d/1BuTWp7qHGjWhqrnf-OmePP568O4A5Am9ttzvVdP67zw/edit#gid=1603210130"", ""TOURISM!$A$2:$F$2692""), {2,3,4,5,6},0))"),"Oceania")</f>
        <v>Oceania</v>
      </c>
      <c r="L47" s="14"/>
      <c r="M47" s="14" t="str">
        <f>IFERROR(__xludf.DUMMYFUNCTION("""COMPUTED_VALUE"""),"American Samoa-Oceania")</f>
        <v>American Samoa-Oceania</v>
      </c>
      <c r="N47" s="14" t="str">
        <f>IFERROR(__xludf.DUMMYFUNCTION("""COMPUTED_VALUE"""),"2006")</f>
        <v>2006</v>
      </c>
      <c r="O47" s="14"/>
      <c r="P47" s="15">
        <f>IFERROR(__xludf.DUMMYFUNCTION("ARRAYFORMULA(VLOOKUP(A47,IMPORTRANGE(""https://docs.google.com/spreadsheets/d/1BuTWp7qHGjWhqrnf-OmePP568O4A5Am9ttzvVdP67zw/edit#gid=771602874"" ,""HUMAN RESOURCES!$A$2:$M$2692""), {2,3,4,5,6,7,8,9,10,11,12,13},0))"),0.022)</f>
        <v>0.022</v>
      </c>
      <c r="Q47" s="14"/>
      <c r="R47" s="14"/>
      <c r="S47" s="14"/>
      <c r="T47" s="14"/>
      <c r="U47" s="14"/>
      <c r="V47" s="14"/>
      <c r="W47" s="14">
        <f>IFERROR(__xludf.DUMMYFUNCTION("""COMPUTED_VALUE"""),58652.0)</f>
        <v>58652</v>
      </c>
      <c r="X47" s="14">
        <f>IFERROR(__xludf.DUMMYFUNCTION("""COMPUTED_VALUE"""),0.88)</f>
        <v>0.88</v>
      </c>
      <c r="Y47" s="14" t="str">
        <f>IFERROR(__xludf.DUMMYFUNCTION("""COMPUTED_VALUE"""),"American Samoa-Oceania")</f>
        <v>American Samoa-Oceania</v>
      </c>
      <c r="Z47" s="14" t="str">
        <f>IFERROR(__xludf.DUMMYFUNCTION("""COMPUTED_VALUE"""),"Oceania")</f>
        <v>Oceania</v>
      </c>
      <c r="AA47" s="14" t="str">
        <f>IFERROR(__xludf.DUMMYFUNCTION("""COMPUTED_VALUE"""),"2006")</f>
        <v>2006</v>
      </c>
      <c r="AB47" s="15" t="str">
        <f>IFERROR(__xludf.DUMMYFUNCTION("ARRAYFORMULA(VLOOKUP(A47,IMPORTRANGE(""https://docs.google.com/spreadsheets/d/1BuTWp7qHGjWhqrnf-OmePP568O4A5Am9ttzvVdP67zw/edit#gid=1931367683"" ,""ENERGY!$A$2:$F$2692""), {2,3,4,5,6},0))"),"Oceania")</f>
        <v>Oceania</v>
      </c>
      <c r="AC47" s="14" t="str">
        <f>IFERROR(__xludf.DUMMYFUNCTION("""COMPUTED_VALUE"""),"American Samoa-Oceania")</f>
        <v>American Samoa-Oceania</v>
      </c>
      <c r="AD47" s="14" t="str">
        <f>IFERROR(__xludf.DUMMYFUNCTION("""COMPUTED_VALUE"""),"2009")</f>
        <v>2009</v>
      </c>
      <c r="AE47" s="14"/>
      <c r="AF47" s="14"/>
    </row>
    <row r="48">
      <c r="A48" s="12">
        <v>47.0</v>
      </c>
      <c r="B48" s="12" t="s">
        <v>79</v>
      </c>
      <c r="C48" s="5" t="s">
        <v>80</v>
      </c>
      <c r="D48" s="8"/>
      <c r="E48" s="8"/>
      <c r="F48" s="8"/>
      <c r="G48" s="8"/>
      <c r="H48" s="8"/>
      <c r="I48" s="8"/>
      <c r="J48" s="9" t="s">
        <v>68</v>
      </c>
      <c r="K48" s="14" t="str">
        <f>IFERROR(__xludf.DUMMYFUNCTION("ARRAYFORMULA(VLOOKUP(A48,IMPORTRANGE(""https://docs.google.com/spreadsheets/d/1BuTWp7qHGjWhqrnf-OmePP568O4A5Am9ttzvVdP67zw/edit#gid=1603210130"", ""TOURISM!$A$2:$F$2692""), {2,3,4,5,6},0))"),"Oceania")</f>
        <v>Oceania</v>
      </c>
      <c r="L48" s="14"/>
      <c r="M48" s="14" t="str">
        <f>IFERROR(__xludf.DUMMYFUNCTION("""COMPUTED_VALUE"""),"American Samoa-Oceania")</f>
        <v>American Samoa-Oceania</v>
      </c>
      <c r="N48" s="14" t="str">
        <f>IFERROR(__xludf.DUMMYFUNCTION("""COMPUTED_VALUE"""),"2007")</f>
        <v>2007</v>
      </c>
      <c r="O48" s="14"/>
      <c r="P48" s="15" t="str">
        <f>IFERROR(__xludf.DUMMYFUNCTION("ARRAYFORMULA(VLOOKUP(A48,IMPORTRANGE(""https://docs.google.com/spreadsheets/d/1BuTWp7qHGjWhqrnf-OmePP568O4A5Am9ttzvVdP67zw/edit#gid=771602874"" ,""HUMAN RESOURCES!$A$2:$M$2692""), {2,3,4,5,6,7,8,9,10,11,12,13},0))"),"")</f>
        <v/>
      </c>
      <c r="Q48" s="14"/>
      <c r="R48" s="14"/>
      <c r="S48" s="14"/>
      <c r="T48" s="14"/>
      <c r="U48" s="14"/>
      <c r="V48" s="14"/>
      <c r="W48" s="14">
        <f>IFERROR(__xludf.DUMMYFUNCTION("""COMPUTED_VALUE"""),57919.0)</f>
        <v>57919</v>
      </c>
      <c r="X48" s="14">
        <f>IFERROR(__xludf.DUMMYFUNCTION("""COMPUTED_VALUE"""),0.879)</f>
        <v>0.879</v>
      </c>
      <c r="Y48" s="14" t="str">
        <f>IFERROR(__xludf.DUMMYFUNCTION("""COMPUTED_VALUE"""),"American Samoa-Oceania")</f>
        <v>American Samoa-Oceania</v>
      </c>
      <c r="Z48" s="14" t="str">
        <f>IFERROR(__xludf.DUMMYFUNCTION("""COMPUTED_VALUE"""),"Oceania")</f>
        <v>Oceania</v>
      </c>
      <c r="AA48" s="14" t="str">
        <f>IFERROR(__xludf.DUMMYFUNCTION("""COMPUTED_VALUE"""),"2007")</f>
        <v>2007</v>
      </c>
      <c r="AB48" s="15" t="str">
        <f>IFERROR(__xludf.DUMMYFUNCTION("ARRAYFORMULA(VLOOKUP(A48,IMPORTRANGE(""https://docs.google.com/spreadsheets/d/1BuTWp7qHGjWhqrnf-OmePP568O4A5Am9ttzvVdP67zw/edit#gid=1931367683"" ,""ENERGY!$A$2:$F$2692""), {2,3,4,5,6},0))"),"Oceania")</f>
        <v>Oceania</v>
      </c>
      <c r="AC48" s="14" t="str">
        <f>IFERROR(__xludf.DUMMYFUNCTION("""COMPUTED_VALUE"""),"American Samoa-Oceania")</f>
        <v>American Samoa-Oceania</v>
      </c>
      <c r="AD48" s="14" t="str">
        <f>IFERROR(__xludf.DUMMYFUNCTION("""COMPUTED_VALUE"""),"2005")</f>
        <v>2005</v>
      </c>
      <c r="AE48" s="14"/>
      <c r="AF48" s="14"/>
    </row>
    <row r="49">
      <c r="A49" s="12">
        <v>48.0</v>
      </c>
      <c r="B49" s="12" t="s">
        <v>79</v>
      </c>
      <c r="C49" s="5" t="s">
        <v>80</v>
      </c>
      <c r="D49" s="8"/>
      <c r="E49" s="8"/>
      <c r="F49" s="8"/>
      <c r="G49" s="8"/>
      <c r="H49" s="8"/>
      <c r="I49" s="8"/>
      <c r="J49" s="9" t="s">
        <v>69</v>
      </c>
      <c r="K49" s="14" t="str">
        <f>IFERROR(__xludf.DUMMYFUNCTION("ARRAYFORMULA(VLOOKUP(A49,IMPORTRANGE(""https://docs.google.com/spreadsheets/d/1BuTWp7qHGjWhqrnf-OmePP568O4A5Am9ttzvVdP67zw/edit#gid=1603210130"", ""TOURISM!$A$2:$F$2692""), {2,3,4,5,6},0))"),"Oceania")</f>
        <v>Oceania</v>
      </c>
      <c r="L49" s="14"/>
      <c r="M49" s="14" t="str">
        <f>IFERROR(__xludf.DUMMYFUNCTION("""COMPUTED_VALUE"""),"American Samoa-Oceania")</f>
        <v>American Samoa-Oceania</v>
      </c>
      <c r="N49" s="14" t="str">
        <f>IFERROR(__xludf.DUMMYFUNCTION("""COMPUTED_VALUE"""),"2008")</f>
        <v>2008</v>
      </c>
      <c r="O49" s="14"/>
      <c r="P49" s="15" t="str">
        <f>IFERROR(__xludf.DUMMYFUNCTION("ARRAYFORMULA(VLOOKUP(A49,IMPORTRANGE(""https://docs.google.com/spreadsheets/d/1BuTWp7qHGjWhqrnf-OmePP568O4A5Am9ttzvVdP67zw/edit#gid=771602874"" ,""HUMAN RESOURCES!$A$2:$M$2692""), {2,3,4,5,6,7,8,9,10,11,12,13},0))"),"")</f>
        <v/>
      </c>
      <c r="Q49" s="14"/>
      <c r="R49" s="14"/>
      <c r="S49" s="14"/>
      <c r="T49" s="14"/>
      <c r="U49" s="14"/>
      <c r="V49" s="14"/>
      <c r="W49" s="14">
        <f>IFERROR(__xludf.DUMMYFUNCTION("""COMPUTED_VALUE"""),57053.0)</f>
        <v>57053</v>
      </c>
      <c r="X49" s="14">
        <f>IFERROR(__xludf.DUMMYFUNCTION("""COMPUTED_VALUE"""),0.878)</f>
        <v>0.878</v>
      </c>
      <c r="Y49" s="14" t="str">
        <f>IFERROR(__xludf.DUMMYFUNCTION("""COMPUTED_VALUE"""),"American Samoa-Oceania")</f>
        <v>American Samoa-Oceania</v>
      </c>
      <c r="Z49" s="14" t="str">
        <f>IFERROR(__xludf.DUMMYFUNCTION("""COMPUTED_VALUE"""),"Oceania")</f>
        <v>Oceania</v>
      </c>
      <c r="AA49" s="14" t="str">
        <f>IFERROR(__xludf.DUMMYFUNCTION("""COMPUTED_VALUE"""),"2008")</f>
        <v>2008</v>
      </c>
      <c r="AB49" s="15" t="str">
        <f>IFERROR(__xludf.DUMMYFUNCTION("ARRAYFORMULA(VLOOKUP(A49,IMPORTRANGE(""https://docs.google.com/spreadsheets/d/1BuTWp7qHGjWhqrnf-OmePP568O4A5Am9ttzvVdP67zw/edit#gid=1931367683"" ,""ENERGY!$A$2:$F$2692""), {2,3,4,5,6},0))"),"Oceania")</f>
        <v>Oceania</v>
      </c>
      <c r="AC49" s="14" t="str">
        <f>IFERROR(__xludf.DUMMYFUNCTION("""COMPUTED_VALUE"""),"American Samoa-Oceania")</f>
        <v>American Samoa-Oceania</v>
      </c>
      <c r="AD49" s="14" t="str">
        <f>IFERROR(__xludf.DUMMYFUNCTION("""COMPUTED_VALUE"""),"2011")</f>
        <v>2011</v>
      </c>
      <c r="AE49" s="14"/>
      <c r="AF49" s="14"/>
    </row>
    <row r="50">
      <c r="A50" s="12">
        <v>49.0</v>
      </c>
      <c r="B50" s="12" t="s">
        <v>79</v>
      </c>
      <c r="C50" s="5" t="s">
        <v>80</v>
      </c>
      <c r="D50" s="8"/>
      <c r="E50" s="8"/>
      <c r="F50" s="8"/>
      <c r="G50" s="8"/>
      <c r="H50" s="8"/>
      <c r="I50" s="8"/>
      <c r="J50" s="9" t="s">
        <v>70</v>
      </c>
      <c r="K50" s="14" t="str">
        <f>IFERROR(__xludf.DUMMYFUNCTION("ARRAYFORMULA(VLOOKUP(A50,IMPORTRANGE(""https://docs.google.com/spreadsheets/d/1BuTWp7qHGjWhqrnf-OmePP568O4A5Am9ttzvVdP67zw/edit#gid=1603210130"", ""TOURISM!$A$2:$F$2692""), {2,3,4,5,6},0))"),"Oceania")</f>
        <v>Oceania</v>
      </c>
      <c r="L50" s="14"/>
      <c r="M50" s="14" t="str">
        <f>IFERROR(__xludf.DUMMYFUNCTION("""COMPUTED_VALUE"""),"American Samoa-Oceania")</f>
        <v>American Samoa-Oceania</v>
      </c>
      <c r="N50" s="14" t="str">
        <f>IFERROR(__xludf.DUMMYFUNCTION("""COMPUTED_VALUE"""),"2009")</f>
        <v>2009</v>
      </c>
      <c r="O50" s="14"/>
      <c r="P50" s="15" t="str">
        <f>IFERROR(__xludf.DUMMYFUNCTION("ARRAYFORMULA(VLOOKUP(A50,IMPORTRANGE(""https://docs.google.com/spreadsheets/d/1BuTWp7qHGjWhqrnf-OmePP568O4A5Am9ttzvVdP67zw/edit#gid=771602874"" ,""HUMAN RESOURCES!$A$2:$M$2692""), {2,3,4,5,6,7,8,9,10,11,12,13},0))"),"")</f>
        <v/>
      </c>
      <c r="Q50" s="14"/>
      <c r="R50" s="14"/>
      <c r="S50" s="14"/>
      <c r="T50" s="14"/>
      <c r="U50" s="14"/>
      <c r="V50" s="14"/>
      <c r="W50" s="14">
        <f>IFERROR(__xludf.DUMMYFUNCTION("""COMPUTED_VALUE"""),56245.0)</f>
        <v>56245</v>
      </c>
      <c r="X50" s="14">
        <f>IFERROR(__xludf.DUMMYFUNCTION("""COMPUTED_VALUE"""),0.877)</f>
        <v>0.877</v>
      </c>
      <c r="Y50" s="14" t="str">
        <f>IFERROR(__xludf.DUMMYFUNCTION("""COMPUTED_VALUE"""),"American Samoa-Oceania")</f>
        <v>American Samoa-Oceania</v>
      </c>
      <c r="Z50" s="14" t="str">
        <f>IFERROR(__xludf.DUMMYFUNCTION("""COMPUTED_VALUE"""),"Oceania")</f>
        <v>Oceania</v>
      </c>
      <c r="AA50" s="14" t="str">
        <f>IFERROR(__xludf.DUMMYFUNCTION("""COMPUTED_VALUE"""),"2009")</f>
        <v>2009</v>
      </c>
      <c r="AB50" s="15" t="str">
        <f>IFERROR(__xludf.DUMMYFUNCTION("ARRAYFORMULA(VLOOKUP(A50,IMPORTRANGE(""https://docs.google.com/spreadsheets/d/1BuTWp7qHGjWhqrnf-OmePP568O4A5Am9ttzvVdP67zw/edit#gid=1931367683"" ,""ENERGY!$A$2:$F$2692""), {2,3,4,5,6},0))"),"Oceania")</f>
        <v>Oceania</v>
      </c>
      <c r="AC50" s="14" t="str">
        <f>IFERROR(__xludf.DUMMYFUNCTION("""COMPUTED_VALUE"""),"American Samoa-Oceania")</f>
        <v>American Samoa-Oceania</v>
      </c>
      <c r="AD50" s="14" t="str">
        <f>IFERROR(__xludf.DUMMYFUNCTION("""COMPUTED_VALUE"""),"2008")</f>
        <v>2008</v>
      </c>
      <c r="AE50" s="14"/>
      <c r="AF50" s="14"/>
    </row>
    <row r="51">
      <c r="A51" s="12">
        <v>50.0</v>
      </c>
      <c r="B51" s="12" t="s">
        <v>79</v>
      </c>
      <c r="C51" s="5" t="s">
        <v>80</v>
      </c>
      <c r="D51" s="8"/>
      <c r="E51" s="8"/>
      <c r="F51" s="8"/>
      <c r="G51" s="8"/>
      <c r="H51" s="8"/>
      <c r="I51" s="8"/>
      <c r="J51" s="9" t="s">
        <v>71</v>
      </c>
      <c r="K51" s="14" t="str">
        <f>IFERROR(__xludf.DUMMYFUNCTION("ARRAYFORMULA(VLOOKUP(A51,IMPORTRANGE(""https://docs.google.com/spreadsheets/d/1BuTWp7qHGjWhqrnf-OmePP568O4A5Am9ttzvVdP67zw/edit#gid=1603210130"", ""TOURISM!$A$2:$F$2692""), {2,3,4,5,6},0))"),"Oceania")</f>
        <v>Oceania</v>
      </c>
      <c r="L51" s="14"/>
      <c r="M51" s="14" t="str">
        <f>IFERROR(__xludf.DUMMYFUNCTION("""COMPUTED_VALUE"""),"American Samoa-Oceania")</f>
        <v>American Samoa-Oceania</v>
      </c>
      <c r="N51" s="14" t="str">
        <f>IFERROR(__xludf.DUMMYFUNCTION("""COMPUTED_VALUE"""),"2010")</f>
        <v>2010</v>
      </c>
      <c r="O51" s="14"/>
      <c r="P51" s="15">
        <f>IFERROR(__xludf.DUMMYFUNCTION("ARRAYFORMULA(VLOOKUP(A51,IMPORTRANGE(""https://docs.google.com/spreadsheets/d/1BuTWp7qHGjWhqrnf-OmePP568O4A5Am9ttzvVdP67zw/edit#gid=771602874"" ,""HUMAN RESOURCES!$A$2:$M$2692""), {2,3,4,5,6,7,8,9,10,11,12,13},0))"),0.019)</f>
        <v>0.019</v>
      </c>
      <c r="Q51" s="14"/>
      <c r="R51" s="14"/>
      <c r="S51" s="14"/>
      <c r="T51" s="14"/>
      <c r="U51" s="14"/>
      <c r="V51" s="14"/>
      <c r="W51" s="14">
        <f>IFERROR(__xludf.DUMMYFUNCTION("""COMPUTED_VALUE"""),55636.0)</f>
        <v>55636</v>
      </c>
      <c r="X51" s="14">
        <f>IFERROR(__xludf.DUMMYFUNCTION("""COMPUTED_VALUE"""),0.876)</f>
        <v>0.876</v>
      </c>
      <c r="Y51" s="14" t="str">
        <f>IFERROR(__xludf.DUMMYFUNCTION("""COMPUTED_VALUE"""),"American Samoa-Oceania")</f>
        <v>American Samoa-Oceania</v>
      </c>
      <c r="Z51" s="14" t="str">
        <f>IFERROR(__xludf.DUMMYFUNCTION("""COMPUTED_VALUE"""),"Oceania")</f>
        <v>Oceania</v>
      </c>
      <c r="AA51" s="14" t="str">
        <f>IFERROR(__xludf.DUMMYFUNCTION("""COMPUTED_VALUE"""),"2010")</f>
        <v>2010</v>
      </c>
      <c r="AB51" s="15" t="str">
        <f>IFERROR(__xludf.DUMMYFUNCTION("ARRAYFORMULA(VLOOKUP(A51,IMPORTRANGE(""https://docs.google.com/spreadsheets/d/1BuTWp7qHGjWhqrnf-OmePP568O4A5Am9ttzvVdP67zw/edit#gid=1931367683"" ,""ENERGY!$A$2:$F$2692""), {2,3,4,5,6},0))"),"Oceania")</f>
        <v>Oceania</v>
      </c>
      <c r="AC51" s="14" t="str">
        <f>IFERROR(__xludf.DUMMYFUNCTION("""COMPUTED_VALUE"""),"American Samoa-Oceania")</f>
        <v>American Samoa-Oceania</v>
      </c>
      <c r="AD51" s="14" t="str">
        <f>IFERROR(__xludf.DUMMYFUNCTION("""COMPUTED_VALUE"""),"2012")</f>
        <v>2012</v>
      </c>
      <c r="AE51" s="14"/>
      <c r="AF51" s="14"/>
    </row>
    <row r="52">
      <c r="A52" s="12">
        <v>51.0</v>
      </c>
      <c r="B52" s="12" t="s">
        <v>79</v>
      </c>
      <c r="C52" s="5" t="s">
        <v>80</v>
      </c>
      <c r="D52" s="8"/>
      <c r="E52" s="8"/>
      <c r="F52" s="8"/>
      <c r="G52" s="8"/>
      <c r="H52" s="8"/>
      <c r="I52" s="8"/>
      <c r="J52" s="9" t="s">
        <v>72</v>
      </c>
      <c r="K52" s="14" t="str">
        <f>IFERROR(__xludf.DUMMYFUNCTION("ARRAYFORMULA(VLOOKUP(A52,IMPORTRANGE(""https://docs.google.com/spreadsheets/d/1BuTWp7qHGjWhqrnf-OmePP568O4A5Am9ttzvVdP67zw/edit#gid=1603210130"", ""TOURISM!$A$2:$F$2692""), {2,3,4,5,6},0))"),"Oceania")</f>
        <v>Oceania</v>
      </c>
      <c r="L52" s="14"/>
      <c r="M52" s="14" t="str">
        <f>IFERROR(__xludf.DUMMYFUNCTION("""COMPUTED_VALUE"""),"American Samoa-Oceania")</f>
        <v>American Samoa-Oceania</v>
      </c>
      <c r="N52" s="14" t="str">
        <f>IFERROR(__xludf.DUMMYFUNCTION("""COMPUTED_VALUE"""),"2011")</f>
        <v>2011</v>
      </c>
      <c r="O52" s="14"/>
      <c r="P52" s="15" t="str">
        <f>IFERROR(__xludf.DUMMYFUNCTION("ARRAYFORMULA(VLOOKUP(A52,IMPORTRANGE(""https://docs.google.com/spreadsheets/d/1BuTWp7qHGjWhqrnf-OmePP568O4A5Am9ttzvVdP67zw/edit#gid=771602874"" ,""HUMAN RESOURCES!$A$2:$M$2692""), {2,3,4,5,6,7,8,9,10,11,12,13},0))"),"")</f>
        <v/>
      </c>
      <c r="Q52" s="14"/>
      <c r="R52" s="14"/>
      <c r="S52" s="14"/>
      <c r="T52" s="14"/>
      <c r="U52" s="14"/>
      <c r="V52" s="14"/>
      <c r="W52" s="14">
        <f>IFERROR(__xludf.DUMMYFUNCTION("""COMPUTED_VALUE"""),55274.0)</f>
        <v>55274</v>
      </c>
      <c r="X52" s="14">
        <f>IFERROR(__xludf.DUMMYFUNCTION("""COMPUTED_VALUE"""),0.875)</f>
        <v>0.875</v>
      </c>
      <c r="Y52" s="14" t="str">
        <f>IFERROR(__xludf.DUMMYFUNCTION("""COMPUTED_VALUE"""),"American Samoa-Oceania")</f>
        <v>American Samoa-Oceania</v>
      </c>
      <c r="Z52" s="14" t="str">
        <f>IFERROR(__xludf.DUMMYFUNCTION("""COMPUTED_VALUE"""),"Oceania")</f>
        <v>Oceania</v>
      </c>
      <c r="AA52" s="14" t="str">
        <f>IFERROR(__xludf.DUMMYFUNCTION("""COMPUTED_VALUE"""),"2011")</f>
        <v>2011</v>
      </c>
      <c r="AB52" s="15" t="str">
        <f>IFERROR(__xludf.DUMMYFUNCTION("ARRAYFORMULA(VLOOKUP(A52,IMPORTRANGE(""https://docs.google.com/spreadsheets/d/1BuTWp7qHGjWhqrnf-OmePP568O4A5Am9ttzvVdP67zw/edit#gid=1931367683"" ,""ENERGY!$A$2:$F$2692""), {2,3,4,5,6},0))"),"Oceania")</f>
        <v>Oceania</v>
      </c>
      <c r="AC52" s="14" t="str">
        <f>IFERROR(__xludf.DUMMYFUNCTION("""COMPUTED_VALUE"""),"American Samoa-Oceania")</f>
        <v>American Samoa-Oceania</v>
      </c>
      <c r="AD52" s="14" t="str">
        <f>IFERROR(__xludf.DUMMYFUNCTION("""COMPUTED_VALUE"""),"2011")</f>
        <v>2011</v>
      </c>
      <c r="AE52" s="14"/>
      <c r="AF52" s="14"/>
    </row>
    <row r="53">
      <c r="A53" s="12">
        <v>52.0</v>
      </c>
      <c r="B53" s="12" t="s">
        <v>79</v>
      </c>
      <c r="C53" s="5" t="s">
        <v>80</v>
      </c>
      <c r="D53" s="8"/>
      <c r="E53" s="8"/>
      <c r="F53" s="8"/>
      <c r="G53" s="8"/>
      <c r="H53" s="8"/>
      <c r="I53" s="8"/>
      <c r="J53" s="9" t="s">
        <v>73</v>
      </c>
      <c r="K53" s="14" t="str">
        <f>IFERROR(__xludf.DUMMYFUNCTION("ARRAYFORMULA(VLOOKUP(A53,IMPORTRANGE(""https://docs.google.com/spreadsheets/d/1BuTWp7qHGjWhqrnf-OmePP568O4A5Am9ttzvVdP67zw/edit#gid=1603210130"", ""TOURISM!$A$2:$F$2692""), {2,3,4,5,6},0))"),"Oceania")</f>
        <v>Oceania</v>
      </c>
      <c r="L53" s="14"/>
      <c r="M53" s="14" t="str">
        <f>IFERROR(__xludf.DUMMYFUNCTION("""COMPUTED_VALUE"""),"American Samoa-Oceania")</f>
        <v>American Samoa-Oceania</v>
      </c>
      <c r="N53" s="14" t="str">
        <f>IFERROR(__xludf.DUMMYFUNCTION("""COMPUTED_VALUE"""),"2012")</f>
        <v>2012</v>
      </c>
      <c r="O53" s="14"/>
      <c r="P53" s="15" t="str">
        <f>IFERROR(__xludf.DUMMYFUNCTION("ARRAYFORMULA(VLOOKUP(A53,IMPORTRANGE(""https://docs.google.com/spreadsheets/d/1BuTWp7qHGjWhqrnf-OmePP568O4A5Am9ttzvVdP67zw/edit#gid=771602874"" ,""HUMAN RESOURCES!$A$2:$M$2692""), {2,3,4,5,6,7,8,9,10,11,12,13},0))"),"")</f>
        <v/>
      </c>
      <c r="Q53" s="14"/>
      <c r="R53" s="14"/>
      <c r="S53" s="14"/>
      <c r="T53" s="14"/>
      <c r="U53" s="14"/>
      <c r="V53" s="14"/>
      <c r="W53" s="14">
        <f>IFERROR(__xludf.DUMMYFUNCTION("""COMPUTED_VALUE"""),55128.0)</f>
        <v>55128</v>
      </c>
      <c r="X53" s="14">
        <f>IFERROR(__xludf.DUMMYFUNCTION("""COMPUTED_VALUE"""),0.874)</f>
        <v>0.874</v>
      </c>
      <c r="Y53" s="14" t="str">
        <f>IFERROR(__xludf.DUMMYFUNCTION("""COMPUTED_VALUE"""),"American Samoa-Oceania")</f>
        <v>American Samoa-Oceania</v>
      </c>
      <c r="Z53" s="14" t="str">
        <f>IFERROR(__xludf.DUMMYFUNCTION("""COMPUTED_VALUE"""),"Oceania")</f>
        <v>Oceania</v>
      </c>
      <c r="AA53" s="14" t="str">
        <f>IFERROR(__xludf.DUMMYFUNCTION("""COMPUTED_VALUE"""),"2012")</f>
        <v>2012</v>
      </c>
      <c r="AB53" s="15" t="str">
        <f>IFERROR(__xludf.DUMMYFUNCTION("ARRAYFORMULA(VLOOKUP(A53,IMPORTRANGE(""https://docs.google.com/spreadsheets/d/1BuTWp7qHGjWhqrnf-OmePP568O4A5Am9ttzvVdP67zw/edit#gid=1931367683"" ,""ENERGY!$A$2:$F$2692""), {2,3,4,5,6},0))"),"Oceania")</f>
        <v>Oceania</v>
      </c>
      <c r="AC53" s="14" t="str">
        <f>IFERROR(__xludf.DUMMYFUNCTION("""COMPUTED_VALUE"""),"American Samoa-Oceania")</f>
        <v>American Samoa-Oceania</v>
      </c>
      <c r="AD53" s="14" t="str">
        <f>IFERROR(__xludf.DUMMYFUNCTION("""COMPUTED_VALUE"""),"2008")</f>
        <v>2008</v>
      </c>
      <c r="AE53" s="14"/>
      <c r="AF53" s="14"/>
    </row>
    <row r="54">
      <c r="A54" s="12">
        <v>53.0</v>
      </c>
      <c r="B54" s="12" t="s">
        <v>81</v>
      </c>
      <c r="C54" s="5" t="s">
        <v>75</v>
      </c>
      <c r="D54" s="8"/>
      <c r="E54" s="8"/>
      <c r="F54" s="8"/>
      <c r="G54" s="8"/>
      <c r="H54" s="11">
        <v>0.105</v>
      </c>
      <c r="I54" s="11">
        <v>0.36</v>
      </c>
      <c r="J54" s="9" t="s">
        <v>60</v>
      </c>
      <c r="K54" s="14" t="str">
        <f>IFERROR(__xludf.DUMMYFUNCTION("ARRAYFORMULA(VLOOKUP(A54,IMPORTRANGE(""https://docs.google.com/spreadsheets/d/1BuTWp7qHGjWhqrnf-OmePP568O4A5Am9ttzvVdP67zw/edit#gid=1603210130"", ""TOURISM!$A$2:$F$2692""), {2,3,4,5,6},0))"),"Europe")</f>
        <v>Europe</v>
      </c>
      <c r="L54" s="14"/>
      <c r="M54" s="14" t="str">
        <f>IFERROR(__xludf.DUMMYFUNCTION("""COMPUTED_VALUE"""),"Andorra-Europe")</f>
        <v>Andorra-Europe</v>
      </c>
      <c r="N54" s="14" t="str">
        <f>IFERROR(__xludf.DUMMYFUNCTION("""COMPUTED_VALUE"""),"2000")</f>
        <v>2000</v>
      </c>
      <c r="O54" s="14"/>
      <c r="P54" s="15">
        <f>IFERROR(__xludf.DUMMYFUNCTION("ARRAYFORMULA(VLOOKUP(A54,IMPORTRANGE(""https://docs.google.com/spreadsheets/d/1BuTWp7qHGjWhqrnf-OmePP568O4A5Am9ttzvVdP67zw/edit#gid=771602874"" ,""HUMAN RESOURCES!$A$2:$M$2692""), {2,3,4,5,6,7,8,9,10,11,12,13},0))"),0.011)</f>
        <v>0.011</v>
      </c>
      <c r="Q54" s="14">
        <f>IFERROR(__xludf.DUMMYFUNCTION("""COMPUTED_VALUE"""),0.004)</f>
        <v>0.004</v>
      </c>
      <c r="R54" s="14"/>
      <c r="S54" s="14"/>
      <c r="T54" s="14"/>
      <c r="U54" s="14"/>
      <c r="V54" s="14"/>
      <c r="W54" s="14">
        <f>IFERROR(__xludf.DUMMYFUNCTION("""COMPUTED_VALUE"""),65399.0)</f>
        <v>65399</v>
      </c>
      <c r="X54" s="14">
        <f>IFERROR(__xludf.DUMMYFUNCTION("""COMPUTED_VALUE"""),0.924)</f>
        <v>0.924</v>
      </c>
      <c r="Y54" s="14" t="str">
        <f>IFERROR(__xludf.DUMMYFUNCTION("""COMPUTED_VALUE"""),"Andorra-Europe")</f>
        <v>Andorra-Europe</v>
      </c>
      <c r="Z54" s="14" t="str">
        <f>IFERROR(__xludf.DUMMYFUNCTION("""COMPUTED_VALUE"""),"Europe")</f>
        <v>Europe</v>
      </c>
      <c r="AA54" s="14" t="str">
        <f>IFERROR(__xludf.DUMMYFUNCTION("""COMPUTED_VALUE"""),"2000")</f>
        <v>2000</v>
      </c>
      <c r="AB54" s="15" t="str">
        <f>IFERROR(__xludf.DUMMYFUNCTION("ARRAYFORMULA(VLOOKUP(A54,IMPORTRANGE(""https://docs.google.com/spreadsheets/d/1BuTWp7qHGjWhqrnf-OmePP568O4A5Am9ttzvVdP67zw/edit#gid=1931367683"" ,""ENERGY!$A$2:$F$2692""), {2,3,4,5,6},0))"),"Europe")</f>
        <v>Europe</v>
      </c>
      <c r="AC54" s="14" t="str">
        <f>IFERROR(__xludf.DUMMYFUNCTION("""COMPUTED_VALUE"""),"Andorra-Europe")</f>
        <v>Andorra-Europe</v>
      </c>
      <c r="AD54" s="14" t="str">
        <f>IFERROR(__xludf.DUMMYFUNCTION("""COMPUTED_VALUE"""),"2000")</f>
        <v>2000</v>
      </c>
      <c r="AE54" s="14"/>
      <c r="AF54" s="14"/>
    </row>
    <row r="55">
      <c r="A55" s="12">
        <v>54.0</v>
      </c>
      <c r="B55" s="12" t="s">
        <v>81</v>
      </c>
      <c r="C55" s="5" t="s">
        <v>75</v>
      </c>
      <c r="D55" s="8"/>
      <c r="E55" s="8"/>
      <c r="F55" s="8"/>
      <c r="G55" s="8"/>
      <c r="H55" s="8"/>
      <c r="I55" s="11">
        <v>0.433</v>
      </c>
      <c r="J55" s="9" t="s">
        <v>62</v>
      </c>
      <c r="K55" s="14" t="str">
        <f>IFERROR(__xludf.DUMMYFUNCTION("ARRAYFORMULA(VLOOKUP(A55,IMPORTRANGE(""https://docs.google.com/spreadsheets/d/1BuTWp7qHGjWhqrnf-OmePP568O4A5Am9ttzvVdP67zw/edit#gid=1603210130"", ""TOURISM!$A$2:$F$2692""), {2,3,4,5,6},0))"),"Europe")</f>
        <v>Europe</v>
      </c>
      <c r="L55" s="14"/>
      <c r="M55" s="14" t="str">
        <f>IFERROR(__xludf.DUMMYFUNCTION("""COMPUTED_VALUE"""),"Andorra-Europe")</f>
        <v>Andorra-Europe</v>
      </c>
      <c r="N55" s="14" t="str">
        <f>IFERROR(__xludf.DUMMYFUNCTION("""COMPUTED_VALUE"""),"2001")</f>
        <v>2001</v>
      </c>
      <c r="O55" s="14"/>
      <c r="P55" s="15">
        <f>IFERROR(__xludf.DUMMYFUNCTION("ARRAYFORMULA(VLOOKUP(A55,IMPORTRANGE(""https://docs.google.com/spreadsheets/d/1BuTWp7qHGjWhqrnf-OmePP568O4A5Am9ttzvVdP67zw/edit#gid=771602874"" ,""HUMAN RESOURCES!$A$2:$M$2692""), {2,3,4,5,6,7,8,9,10,11,12,13},0))"),0.012)</f>
        <v>0.012</v>
      </c>
      <c r="Q55" s="14">
        <f>IFERROR(__xludf.DUMMYFUNCTION("""COMPUTED_VALUE"""),0.004)</f>
        <v>0.004</v>
      </c>
      <c r="R55" s="14"/>
      <c r="S55" s="14"/>
      <c r="T55" s="14"/>
      <c r="U55" s="14"/>
      <c r="V55" s="14"/>
      <c r="W55" s="14">
        <f>IFERROR(__xludf.DUMMYFUNCTION("""COMPUTED_VALUE"""),68000.0)</f>
        <v>68000</v>
      </c>
      <c r="X55" s="14">
        <f>IFERROR(__xludf.DUMMYFUNCTION("""COMPUTED_VALUE"""),0.921)</f>
        <v>0.921</v>
      </c>
      <c r="Y55" s="14" t="str">
        <f>IFERROR(__xludf.DUMMYFUNCTION("""COMPUTED_VALUE"""),"Andorra-Europe")</f>
        <v>Andorra-Europe</v>
      </c>
      <c r="Z55" s="14" t="str">
        <f>IFERROR(__xludf.DUMMYFUNCTION("""COMPUTED_VALUE"""),"Europe")</f>
        <v>Europe</v>
      </c>
      <c r="AA55" s="14" t="str">
        <f>IFERROR(__xludf.DUMMYFUNCTION("""COMPUTED_VALUE"""),"2001")</f>
        <v>2001</v>
      </c>
      <c r="AB55" s="15" t="str">
        <f>IFERROR(__xludf.DUMMYFUNCTION("ARRAYFORMULA(VLOOKUP(A55,IMPORTRANGE(""https://docs.google.com/spreadsheets/d/1BuTWp7qHGjWhqrnf-OmePP568O4A5Am9ttzvVdP67zw/edit#gid=1931367683"" ,""ENERGY!$A$2:$F$2692""), {2,3,4,5,6},0))"),"Europe")</f>
        <v>Europe</v>
      </c>
      <c r="AC55" s="14" t="str">
        <f>IFERROR(__xludf.DUMMYFUNCTION("""COMPUTED_VALUE"""),"Andorra-Europe")</f>
        <v>Andorra-Europe</v>
      </c>
      <c r="AD55" s="14" t="str">
        <f>IFERROR(__xludf.DUMMYFUNCTION("""COMPUTED_VALUE"""),"2001")</f>
        <v>2001</v>
      </c>
      <c r="AE55" s="14"/>
      <c r="AF55" s="14"/>
    </row>
    <row r="56">
      <c r="A56" s="12">
        <v>55.0</v>
      </c>
      <c r="B56" s="12" t="s">
        <v>81</v>
      </c>
      <c r="C56" s="5" t="s">
        <v>75</v>
      </c>
      <c r="D56" s="8"/>
      <c r="E56" s="8"/>
      <c r="F56" s="8"/>
      <c r="G56" s="8"/>
      <c r="H56" s="11">
        <v>0.113</v>
      </c>
      <c r="I56" s="11">
        <v>0.458</v>
      </c>
      <c r="J56" s="9" t="s">
        <v>63</v>
      </c>
      <c r="K56" s="14" t="str">
        <f>IFERROR(__xludf.DUMMYFUNCTION("ARRAYFORMULA(VLOOKUP(A56,IMPORTRANGE(""https://docs.google.com/spreadsheets/d/1BuTWp7qHGjWhqrnf-OmePP568O4A5Am9ttzvVdP67zw/edit#gid=1603210130"", ""TOURISM!$A$2:$F$2692""), {2,3,4,5,6},0))"),"Europe")</f>
        <v>Europe</v>
      </c>
      <c r="L56" s="14"/>
      <c r="M56" s="14" t="str">
        <f>IFERROR(__xludf.DUMMYFUNCTION("""COMPUTED_VALUE"""),"Andorra-Europe")</f>
        <v>Andorra-Europe</v>
      </c>
      <c r="N56" s="14" t="str">
        <f>IFERROR(__xludf.DUMMYFUNCTION("""COMPUTED_VALUE"""),"2002")</f>
        <v>2002</v>
      </c>
      <c r="O56" s="14"/>
      <c r="P56" s="15">
        <f>IFERROR(__xludf.DUMMYFUNCTION("ARRAYFORMULA(VLOOKUP(A56,IMPORTRANGE(""https://docs.google.com/spreadsheets/d/1BuTWp7qHGjWhqrnf-OmePP568O4A5Am9ttzvVdP67zw/edit#gid=771602874"" ,""HUMAN RESOURCES!$A$2:$M$2692""), {2,3,4,5,6,7,8,9,10,11,12,13},0))"),0.011)</f>
        <v>0.011</v>
      </c>
      <c r="Q56" s="14">
        <f>IFERROR(__xludf.DUMMYFUNCTION("""COMPUTED_VALUE"""),0.004)</f>
        <v>0.004</v>
      </c>
      <c r="R56" s="14"/>
      <c r="S56" s="14"/>
      <c r="T56" s="14"/>
      <c r="U56" s="14"/>
      <c r="V56" s="14"/>
      <c r="W56" s="14">
        <f>IFERROR(__xludf.DUMMYFUNCTION("""COMPUTED_VALUE"""),71639.0)</f>
        <v>71639</v>
      </c>
      <c r="X56" s="14">
        <f>IFERROR(__xludf.DUMMYFUNCTION("""COMPUTED_VALUE"""),0.916)</f>
        <v>0.916</v>
      </c>
      <c r="Y56" s="14" t="str">
        <f>IFERROR(__xludf.DUMMYFUNCTION("""COMPUTED_VALUE"""),"Andorra-Europe")</f>
        <v>Andorra-Europe</v>
      </c>
      <c r="Z56" s="14" t="str">
        <f>IFERROR(__xludf.DUMMYFUNCTION("""COMPUTED_VALUE"""),"Europe")</f>
        <v>Europe</v>
      </c>
      <c r="AA56" s="14" t="str">
        <f>IFERROR(__xludf.DUMMYFUNCTION("""COMPUTED_VALUE"""),"2002")</f>
        <v>2002</v>
      </c>
      <c r="AB56" s="15" t="str">
        <f>IFERROR(__xludf.DUMMYFUNCTION("ARRAYFORMULA(VLOOKUP(A56,IMPORTRANGE(""https://docs.google.com/spreadsheets/d/1BuTWp7qHGjWhqrnf-OmePP568O4A5Am9ttzvVdP67zw/edit#gid=1931367683"" ,""ENERGY!$A$2:$F$2692""), {2,3,4,5,6},0))"),"Europe")</f>
        <v>Europe</v>
      </c>
      <c r="AC56" s="14" t="str">
        <f>IFERROR(__xludf.DUMMYFUNCTION("""COMPUTED_VALUE"""),"Andorra-Europe")</f>
        <v>Andorra-Europe</v>
      </c>
      <c r="AD56" s="14" t="str">
        <f>IFERROR(__xludf.DUMMYFUNCTION("""COMPUTED_VALUE"""),"2002")</f>
        <v>2002</v>
      </c>
      <c r="AE56" s="14"/>
      <c r="AF56" s="14">
        <f>IFERROR(__xludf.DUMMYFUNCTION("""COMPUTED_VALUE"""),517.0)</f>
        <v>517</v>
      </c>
    </row>
    <row r="57">
      <c r="A57" s="12">
        <v>56.0</v>
      </c>
      <c r="B57" s="12" t="s">
        <v>81</v>
      </c>
      <c r="C57" s="5" t="s">
        <v>75</v>
      </c>
      <c r="D57" s="8"/>
      <c r="E57" s="8"/>
      <c r="F57" s="8"/>
      <c r="G57" s="8"/>
      <c r="H57" s="11">
        <v>0.135</v>
      </c>
      <c r="I57" s="11">
        <v>0.686</v>
      </c>
      <c r="J57" s="9" t="s">
        <v>64</v>
      </c>
      <c r="K57" s="14" t="str">
        <f>IFERROR(__xludf.DUMMYFUNCTION("ARRAYFORMULA(VLOOKUP(A57,IMPORTRANGE(""https://docs.google.com/spreadsheets/d/1BuTWp7qHGjWhqrnf-OmePP568O4A5Am9ttzvVdP67zw/edit#gid=1603210130"", ""TOURISM!$A$2:$F$2692""), {2,3,4,5,6},0))"),"Europe")</f>
        <v>Europe</v>
      </c>
      <c r="L57" s="14"/>
      <c r="M57" s="14" t="str">
        <f>IFERROR(__xludf.DUMMYFUNCTION("""COMPUTED_VALUE"""),"Andorra-Europe")</f>
        <v>Andorra-Europe</v>
      </c>
      <c r="N57" s="14" t="str">
        <f>IFERROR(__xludf.DUMMYFUNCTION("""COMPUTED_VALUE"""),"2003")</f>
        <v>2003</v>
      </c>
      <c r="O57" s="14"/>
      <c r="P57" s="15">
        <f>IFERROR(__xludf.DUMMYFUNCTION("ARRAYFORMULA(VLOOKUP(A57,IMPORTRANGE(""https://docs.google.com/spreadsheets/d/1BuTWp7qHGjWhqrnf-OmePP568O4A5Am9ttzvVdP67zw/edit#gid=771602874"" ,""HUMAN RESOURCES!$A$2:$M$2692""), {2,3,4,5,6,7,8,9,10,11,12,13},0))"),0.01)</f>
        <v>0.01</v>
      </c>
      <c r="Q57" s="14">
        <f>IFERROR(__xludf.DUMMYFUNCTION("""COMPUTED_VALUE"""),0.003)</f>
        <v>0.003</v>
      </c>
      <c r="R57" s="14"/>
      <c r="S57" s="14"/>
      <c r="T57" s="14"/>
      <c r="U57" s="14"/>
      <c r="V57" s="14"/>
      <c r="W57" s="14">
        <f>IFERROR(__xludf.DUMMYFUNCTION("""COMPUTED_VALUE"""),75643.0)</f>
        <v>75643</v>
      </c>
      <c r="X57" s="14">
        <f>IFERROR(__xludf.DUMMYFUNCTION("""COMPUTED_VALUE"""),0.912)</f>
        <v>0.912</v>
      </c>
      <c r="Y57" s="14" t="str">
        <f>IFERROR(__xludf.DUMMYFUNCTION("""COMPUTED_VALUE"""),"Andorra-Europe")</f>
        <v>Andorra-Europe</v>
      </c>
      <c r="Z57" s="14" t="str">
        <f>IFERROR(__xludf.DUMMYFUNCTION("""COMPUTED_VALUE"""),"Europe")</f>
        <v>Europe</v>
      </c>
      <c r="AA57" s="14" t="str">
        <f>IFERROR(__xludf.DUMMYFUNCTION("""COMPUTED_VALUE"""),"2003")</f>
        <v>2003</v>
      </c>
      <c r="AB57" s="15" t="str">
        <f>IFERROR(__xludf.DUMMYFUNCTION("ARRAYFORMULA(VLOOKUP(A57,IMPORTRANGE(""https://docs.google.com/spreadsheets/d/1BuTWp7qHGjWhqrnf-OmePP568O4A5Am9ttzvVdP67zw/edit#gid=1931367683"" ,""ENERGY!$A$2:$F$2692""), {2,3,4,5,6},0))"),"Europe")</f>
        <v>Europe</v>
      </c>
      <c r="AC57" s="14" t="str">
        <f>IFERROR(__xludf.DUMMYFUNCTION("""COMPUTED_VALUE"""),"Andorra-Europe")</f>
        <v>Andorra-Europe</v>
      </c>
      <c r="AD57" s="14" t="str">
        <f>IFERROR(__xludf.DUMMYFUNCTION("""COMPUTED_VALUE"""),"2003")</f>
        <v>2003</v>
      </c>
      <c r="AE57" s="14"/>
      <c r="AF57" s="14">
        <f>IFERROR(__xludf.DUMMYFUNCTION("""COMPUTED_VALUE"""),517.0)</f>
        <v>517</v>
      </c>
    </row>
    <row r="58">
      <c r="A58" s="12">
        <v>57.0</v>
      </c>
      <c r="B58" s="12" t="s">
        <v>81</v>
      </c>
      <c r="C58" s="5" t="s">
        <v>75</v>
      </c>
      <c r="D58" s="8"/>
      <c r="E58" s="8"/>
      <c r="F58" s="8"/>
      <c r="G58" s="8"/>
      <c r="H58" s="11">
        <v>0.268</v>
      </c>
      <c r="I58" s="11">
        <v>0.738</v>
      </c>
      <c r="J58" s="9" t="s">
        <v>65</v>
      </c>
      <c r="K58" s="14" t="str">
        <f>IFERROR(__xludf.DUMMYFUNCTION("ARRAYFORMULA(VLOOKUP(A58,IMPORTRANGE(""https://docs.google.com/spreadsheets/d/1BuTWp7qHGjWhqrnf-OmePP568O4A5Am9ttzvVdP67zw/edit#gid=1603210130"", ""TOURISM!$A$2:$F$2692""), {2,3,4,5,6},0))"),"Europe")</f>
        <v>Europe</v>
      </c>
      <c r="L58" s="14"/>
      <c r="M58" s="14" t="str">
        <f>IFERROR(__xludf.DUMMYFUNCTION("""COMPUTED_VALUE"""),"Andorra-Europe")</f>
        <v>Andorra-Europe</v>
      </c>
      <c r="N58" s="14" t="str">
        <f>IFERROR(__xludf.DUMMYFUNCTION("""COMPUTED_VALUE"""),"2004")</f>
        <v>2004</v>
      </c>
      <c r="O58" s="14"/>
      <c r="P58" s="15">
        <f>IFERROR(__xludf.DUMMYFUNCTION("ARRAYFORMULA(VLOOKUP(A58,IMPORTRANGE(""https://docs.google.com/spreadsheets/d/1BuTWp7qHGjWhqrnf-OmePP568O4A5Am9ttzvVdP67zw/edit#gid=771602874"" ,""HUMAN RESOURCES!$A$2:$M$2692""), {2,3,4,5,6,7,8,9,10,11,12,13},0))"),0.011)</f>
        <v>0.011</v>
      </c>
      <c r="Q58" s="14">
        <f>IFERROR(__xludf.DUMMYFUNCTION("""COMPUTED_VALUE"""),0.003)</f>
        <v>0.003</v>
      </c>
      <c r="R58" s="14"/>
      <c r="S58" s="14"/>
      <c r="T58" s="14"/>
      <c r="U58" s="14"/>
      <c r="V58" s="14"/>
      <c r="W58" s="14">
        <f>IFERROR(__xludf.DUMMYFUNCTION("""COMPUTED_VALUE"""),79060.0)</f>
        <v>79060</v>
      </c>
      <c r="X58" s="14">
        <f>IFERROR(__xludf.DUMMYFUNCTION("""COMPUTED_VALUE"""),0.908)</f>
        <v>0.908</v>
      </c>
      <c r="Y58" s="14" t="str">
        <f>IFERROR(__xludf.DUMMYFUNCTION("""COMPUTED_VALUE"""),"Andorra-Europe")</f>
        <v>Andorra-Europe</v>
      </c>
      <c r="Z58" s="14" t="str">
        <f>IFERROR(__xludf.DUMMYFUNCTION("""COMPUTED_VALUE"""),"Europe")</f>
        <v>Europe</v>
      </c>
      <c r="AA58" s="14" t="str">
        <f>IFERROR(__xludf.DUMMYFUNCTION("""COMPUTED_VALUE"""),"2004")</f>
        <v>2004</v>
      </c>
      <c r="AB58" s="15" t="str">
        <f>IFERROR(__xludf.DUMMYFUNCTION("ARRAYFORMULA(VLOOKUP(A58,IMPORTRANGE(""https://docs.google.com/spreadsheets/d/1BuTWp7qHGjWhqrnf-OmePP568O4A5Am9ttzvVdP67zw/edit#gid=1931367683"" ,""ENERGY!$A$2:$F$2692""), {2,3,4,5,6},0))"),"Europe")</f>
        <v>Europe</v>
      </c>
      <c r="AC58" s="14" t="str">
        <f>IFERROR(__xludf.DUMMYFUNCTION("""COMPUTED_VALUE"""),"Andorra-Europe")</f>
        <v>Andorra-Europe</v>
      </c>
      <c r="AD58" s="14" t="str">
        <f>IFERROR(__xludf.DUMMYFUNCTION("""COMPUTED_VALUE"""),"2004")</f>
        <v>2004</v>
      </c>
      <c r="AE58" s="14"/>
      <c r="AF58" s="14">
        <f>IFERROR(__xludf.DUMMYFUNCTION("""COMPUTED_VALUE"""),539.0)</f>
        <v>539</v>
      </c>
    </row>
    <row r="59">
      <c r="A59" s="12">
        <v>58.0</v>
      </c>
      <c r="B59" s="12" t="s">
        <v>81</v>
      </c>
      <c r="C59" s="5" t="s">
        <v>75</v>
      </c>
      <c r="D59" s="8"/>
      <c r="E59" s="8"/>
      <c r="F59" s="8"/>
      <c r="G59" s="8"/>
      <c r="H59" s="11">
        <v>0.376</v>
      </c>
      <c r="I59" s="11">
        <v>0.795</v>
      </c>
      <c r="J59" s="9" t="s">
        <v>66</v>
      </c>
      <c r="K59" s="14" t="str">
        <f>IFERROR(__xludf.DUMMYFUNCTION("ARRAYFORMULA(VLOOKUP(A59,IMPORTRANGE(""https://docs.google.com/spreadsheets/d/1BuTWp7qHGjWhqrnf-OmePP568O4A5Am9ttzvVdP67zw/edit#gid=1603210130"", ""TOURISM!$A$2:$F$2692""), {2,3,4,5,6},0))"),"Europe")</f>
        <v>Europe</v>
      </c>
      <c r="L59" s="14"/>
      <c r="M59" s="14" t="str">
        <f>IFERROR(__xludf.DUMMYFUNCTION("""COMPUTED_VALUE"""),"Andorra-Europe")</f>
        <v>Andorra-Europe</v>
      </c>
      <c r="N59" s="14" t="str">
        <f>IFERROR(__xludf.DUMMYFUNCTION("""COMPUTED_VALUE"""),"2005")</f>
        <v>2005</v>
      </c>
      <c r="O59" s="14"/>
      <c r="P59" s="15">
        <f>IFERROR(__xludf.DUMMYFUNCTION("ARRAYFORMULA(VLOOKUP(A59,IMPORTRANGE(""https://docs.google.com/spreadsheets/d/1BuTWp7qHGjWhqrnf-OmePP568O4A5Am9ttzvVdP67zw/edit#gid=771602874"" ,""HUMAN RESOURCES!$A$2:$M$2692""), {2,3,4,5,6,7,8,9,10,11,12,13},0))"),0.011)</f>
        <v>0.011</v>
      </c>
      <c r="Q59" s="14">
        <f>IFERROR(__xludf.DUMMYFUNCTION("""COMPUTED_VALUE"""),0.003)</f>
        <v>0.003</v>
      </c>
      <c r="R59" s="14"/>
      <c r="S59" s="14"/>
      <c r="T59" s="14"/>
      <c r="U59" s="14"/>
      <c r="V59" s="14"/>
      <c r="W59" s="14">
        <f>IFERROR(__xludf.DUMMYFUNCTION("""COMPUTED_VALUE"""),81223.0)</f>
        <v>81223</v>
      </c>
      <c r="X59" s="14">
        <f>IFERROR(__xludf.DUMMYFUNCTION("""COMPUTED_VALUE"""),0.903)</f>
        <v>0.903</v>
      </c>
      <c r="Y59" s="14" t="str">
        <f>IFERROR(__xludf.DUMMYFUNCTION("""COMPUTED_VALUE"""),"Andorra-Europe")</f>
        <v>Andorra-Europe</v>
      </c>
      <c r="Z59" s="14" t="str">
        <f>IFERROR(__xludf.DUMMYFUNCTION("""COMPUTED_VALUE"""),"Europe")</f>
        <v>Europe</v>
      </c>
      <c r="AA59" s="14" t="str">
        <f>IFERROR(__xludf.DUMMYFUNCTION("""COMPUTED_VALUE"""),"2005")</f>
        <v>2005</v>
      </c>
      <c r="AB59" s="15" t="str">
        <f>IFERROR(__xludf.DUMMYFUNCTION("ARRAYFORMULA(VLOOKUP(A59,IMPORTRANGE(""https://docs.google.com/spreadsheets/d/1BuTWp7qHGjWhqrnf-OmePP568O4A5Am9ttzvVdP67zw/edit#gid=1931367683"" ,""ENERGY!$A$2:$F$2692""), {2,3,4,5,6},0))"),"Europe")</f>
        <v>Europe</v>
      </c>
      <c r="AC59" s="14" t="str">
        <f>IFERROR(__xludf.DUMMYFUNCTION("""COMPUTED_VALUE"""),"Andorra-Europe")</f>
        <v>Andorra-Europe</v>
      </c>
      <c r="AD59" s="14" t="str">
        <f>IFERROR(__xludf.DUMMYFUNCTION("""COMPUTED_VALUE"""),"2005")</f>
        <v>2005</v>
      </c>
      <c r="AE59" s="14"/>
      <c r="AF59" s="14">
        <f>IFERROR(__xludf.DUMMYFUNCTION("""COMPUTED_VALUE"""),539.0)</f>
        <v>539</v>
      </c>
    </row>
    <row r="60">
      <c r="A60" s="12">
        <v>59.0</v>
      </c>
      <c r="B60" s="12" t="s">
        <v>81</v>
      </c>
      <c r="C60" s="5" t="s">
        <v>75</v>
      </c>
      <c r="D60" s="8"/>
      <c r="E60" s="8"/>
      <c r="F60" s="8"/>
      <c r="G60" s="8"/>
      <c r="H60" s="11">
        <v>0.489</v>
      </c>
      <c r="I60" s="11">
        <v>0.843</v>
      </c>
      <c r="J60" s="9" t="s">
        <v>67</v>
      </c>
      <c r="K60" s="14" t="str">
        <f>IFERROR(__xludf.DUMMYFUNCTION("ARRAYFORMULA(VLOOKUP(A60,IMPORTRANGE(""https://docs.google.com/spreadsheets/d/1BuTWp7qHGjWhqrnf-OmePP568O4A5Am9ttzvVdP67zw/edit#gid=1603210130"", ""TOURISM!$A$2:$F$2692""), {2,3,4,5,6},0))"),"Europe")</f>
        <v>Europe</v>
      </c>
      <c r="L60" s="14"/>
      <c r="M60" s="14" t="str">
        <f>IFERROR(__xludf.DUMMYFUNCTION("""COMPUTED_VALUE"""),"Andorra-Europe")</f>
        <v>Andorra-Europe</v>
      </c>
      <c r="N60" s="14" t="str">
        <f>IFERROR(__xludf.DUMMYFUNCTION("""COMPUTED_VALUE"""),"2006")</f>
        <v>2006</v>
      </c>
      <c r="O60" s="14"/>
      <c r="P60" s="15">
        <f>IFERROR(__xludf.DUMMYFUNCTION("ARRAYFORMULA(VLOOKUP(A60,IMPORTRANGE(""https://docs.google.com/spreadsheets/d/1BuTWp7qHGjWhqrnf-OmePP568O4A5Am9ttzvVdP67zw/edit#gid=771602874"" ,""HUMAN RESOURCES!$A$2:$M$2692""), {2,3,4,5,6,7,8,9,10,11,12,13},0))"),0.011)</f>
        <v>0.011</v>
      </c>
      <c r="Q60" s="14">
        <f>IFERROR(__xludf.DUMMYFUNCTION("""COMPUTED_VALUE"""),0.003)</f>
        <v>0.003</v>
      </c>
      <c r="R60" s="14"/>
      <c r="S60" s="14"/>
      <c r="T60" s="14"/>
      <c r="U60" s="14"/>
      <c r="V60" s="14"/>
      <c r="W60" s="14">
        <f>IFERROR(__xludf.DUMMYFUNCTION("""COMPUTED_VALUE"""),81877.0)</f>
        <v>81877</v>
      </c>
      <c r="X60" s="14">
        <f>IFERROR(__xludf.DUMMYFUNCTION("""COMPUTED_VALUE"""),0.898)</f>
        <v>0.898</v>
      </c>
      <c r="Y60" s="14" t="str">
        <f>IFERROR(__xludf.DUMMYFUNCTION("""COMPUTED_VALUE"""),"Andorra-Europe")</f>
        <v>Andorra-Europe</v>
      </c>
      <c r="Z60" s="14" t="str">
        <f>IFERROR(__xludf.DUMMYFUNCTION("""COMPUTED_VALUE"""),"Europe")</f>
        <v>Europe</v>
      </c>
      <c r="AA60" s="14" t="str">
        <f>IFERROR(__xludf.DUMMYFUNCTION("""COMPUTED_VALUE"""),"2006")</f>
        <v>2006</v>
      </c>
      <c r="AB60" s="15" t="str">
        <f>IFERROR(__xludf.DUMMYFUNCTION("ARRAYFORMULA(VLOOKUP(A60,IMPORTRANGE(""https://docs.google.com/spreadsheets/d/1BuTWp7qHGjWhqrnf-OmePP568O4A5Am9ttzvVdP67zw/edit#gid=1931367683"" ,""ENERGY!$A$2:$F$2692""), {2,3,4,5,6},0))"),"Europe")</f>
        <v>Europe</v>
      </c>
      <c r="AC60" s="14" t="str">
        <f>IFERROR(__xludf.DUMMYFUNCTION("""COMPUTED_VALUE"""),"Andorra-Europe")</f>
        <v>Andorra-Europe</v>
      </c>
      <c r="AD60" s="14" t="str">
        <f>IFERROR(__xludf.DUMMYFUNCTION("""COMPUTED_VALUE"""),"2009")</f>
        <v>2009</v>
      </c>
      <c r="AE60" s="14"/>
      <c r="AF60" s="14">
        <f>IFERROR(__xludf.DUMMYFUNCTION("""COMPUTED_VALUE"""),546.0)</f>
        <v>546</v>
      </c>
    </row>
    <row r="61">
      <c r="A61" s="12">
        <v>60.0</v>
      </c>
      <c r="B61" s="12" t="s">
        <v>81</v>
      </c>
      <c r="C61" s="5" t="s">
        <v>75</v>
      </c>
      <c r="D61" s="8"/>
      <c r="E61" s="8"/>
      <c r="F61" s="8"/>
      <c r="G61" s="8"/>
      <c r="H61" s="11">
        <v>0.709</v>
      </c>
      <c r="I61" s="11">
        <v>0.781</v>
      </c>
      <c r="J61" s="9" t="s">
        <v>68</v>
      </c>
      <c r="K61" s="14" t="str">
        <f>IFERROR(__xludf.DUMMYFUNCTION("ARRAYFORMULA(VLOOKUP(A61,IMPORTRANGE(""https://docs.google.com/spreadsheets/d/1BuTWp7qHGjWhqrnf-OmePP568O4A5Am9ttzvVdP67zw/edit#gid=1603210130"", ""TOURISM!$A$2:$F$2692""), {2,3,4,5,6},0))"),"Europe")</f>
        <v>Europe</v>
      </c>
      <c r="L61" s="14"/>
      <c r="M61" s="14" t="str">
        <f>IFERROR(__xludf.DUMMYFUNCTION("""COMPUTED_VALUE"""),"Andorra-Europe")</f>
        <v>Andorra-Europe</v>
      </c>
      <c r="N61" s="14" t="str">
        <f>IFERROR(__xludf.DUMMYFUNCTION("""COMPUTED_VALUE"""),"2007")</f>
        <v>2007</v>
      </c>
      <c r="O61" s="14"/>
      <c r="P61" s="15">
        <f>IFERROR(__xludf.DUMMYFUNCTION("ARRAYFORMULA(VLOOKUP(A61,IMPORTRANGE(""https://docs.google.com/spreadsheets/d/1BuTWp7qHGjWhqrnf-OmePP568O4A5Am9ttzvVdP67zw/edit#gid=771602874"" ,""HUMAN RESOURCES!$A$2:$M$2692""), {2,3,4,5,6,7,8,9,10,11,12,13},0))"),0.01)</f>
        <v>0.01</v>
      </c>
      <c r="Q61" s="14">
        <f>IFERROR(__xludf.DUMMYFUNCTION("""COMPUTED_VALUE"""),0.003)</f>
        <v>0.003</v>
      </c>
      <c r="R61" s="14"/>
      <c r="S61" s="14"/>
      <c r="T61" s="14"/>
      <c r="U61" s="14"/>
      <c r="V61" s="14"/>
      <c r="W61" s="14">
        <f>IFERROR(__xludf.DUMMYFUNCTION("""COMPUTED_VALUE"""),81292.0)</f>
        <v>81292</v>
      </c>
      <c r="X61" s="14">
        <f>IFERROR(__xludf.DUMMYFUNCTION("""COMPUTED_VALUE"""),0.894)</f>
        <v>0.894</v>
      </c>
      <c r="Y61" s="14" t="str">
        <f>IFERROR(__xludf.DUMMYFUNCTION("""COMPUTED_VALUE"""),"Andorra-Europe")</f>
        <v>Andorra-Europe</v>
      </c>
      <c r="Z61" s="14" t="str">
        <f>IFERROR(__xludf.DUMMYFUNCTION("""COMPUTED_VALUE"""),"Europe")</f>
        <v>Europe</v>
      </c>
      <c r="AA61" s="14" t="str">
        <f>IFERROR(__xludf.DUMMYFUNCTION("""COMPUTED_VALUE"""),"2007")</f>
        <v>2007</v>
      </c>
      <c r="AB61" s="15" t="str">
        <f>IFERROR(__xludf.DUMMYFUNCTION("ARRAYFORMULA(VLOOKUP(A61,IMPORTRANGE(""https://docs.google.com/spreadsheets/d/1BuTWp7qHGjWhqrnf-OmePP568O4A5Am9ttzvVdP67zw/edit#gid=1931367683"" ,""ENERGY!$A$2:$F$2692""), {2,3,4,5,6},0))"),"Europe")</f>
        <v>Europe</v>
      </c>
      <c r="AC61" s="14" t="str">
        <f>IFERROR(__xludf.DUMMYFUNCTION("""COMPUTED_VALUE"""),"Andorra-Europe")</f>
        <v>Andorra-Europe</v>
      </c>
      <c r="AD61" s="14" t="str">
        <f>IFERROR(__xludf.DUMMYFUNCTION("""COMPUTED_VALUE"""),"2005")</f>
        <v>2005</v>
      </c>
      <c r="AE61" s="14"/>
      <c r="AF61" s="14">
        <f>IFERROR(__xludf.DUMMYFUNCTION("""COMPUTED_VALUE"""),576.0)</f>
        <v>576</v>
      </c>
    </row>
    <row r="62">
      <c r="A62" s="12">
        <v>61.0</v>
      </c>
      <c r="B62" s="12" t="s">
        <v>81</v>
      </c>
      <c r="C62" s="5" t="s">
        <v>75</v>
      </c>
      <c r="D62" s="8"/>
      <c r="E62" s="8"/>
      <c r="F62" s="8"/>
      <c r="G62" s="8"/>
      <c r="H62" s="11">
        <v>0.7</v>
      </c>
      <c r="I62" s="11">
        <v>0.803</v>
      </c>
      <c r="J62" s="9" t="s">
        <v>69</v>
      </c>
      <c r="K62" s="14" t="str">
        <f>IFERROR(__xludf.DUMMYFUNCTION("ARRAYFORMULA(VLOOKUP(A62,IMPORTRANGE(""https://docs.google.com/spreadsheets/d/1BuTWp7qHGjWhqrnf-OmePP568O4A5Am9ttzvVdP67zw/edit#gid=1603210130"", ""TOURISM!$A$2:$F$2692""), {2,3,4,5,6},0))"),"Europe")</f>
        <v>Europe</v>
      </c>
      <c r="L62" s="14"/>
      <c r="M62" s="14" t="str">
        <f>IFERROR(__xludf.DUMMYFUNCTION("""COMPUTED_VALUE"""),"Andorra-Europe")</f>
        <v>Andorra-Europe</v>
      </c>
      <c r="N62" s="14" t="str">
        <f>IFERROR(__xludf.DUMMYFUNCTION("""COMPUTED_VALUE"""),"2008")</f>
        <v>2008</v>
      </c>
      <c r="O62" s="14"/>
      <c r="P62" s="15">
        <f>IFERROR(__xludf.DUMMYFUNCTION("ARRAYFORMULA(VLOOKUP(A62,IMPORTRANGE(""https://docs.google.com/spreadsheets/d/1BuTWp7qHGjWhqrnf-OmePP568O4A5Am9ttzvVdP67zw/edit#gid=771602874"" ,""HUMAN RESOURCES!$A$2:$M$2692""), {2,3,4,5,6,7,8,9,10,11,12,13},0))"),0.01)</f>
        <v>0.01</v>
      </c>
      <c r="Q62" s="14">
        <f>IFERROR(__xludf.DUMMYFUNCTION("""COMPUTED_VALUE"""),0.003)</f>
        <v>0.003</v>
      </c>
      <c r="R62" s="14"/>
      <c r="S62" s="14"/>
      <c r="T62" s="14"/>
      <c r="U62" s="14"/>
      <c r="V62" s="14"/>
      <c r="W62" s="14">
        <f>IFERROR(__xludf.DUMMYFUNCTION("""COMPUTED_VALUE"""),79969.0)</f>
        <v>79969</v>
      </c>
      <c r="X62" s="14">
        <f>IFERROR(__xludf.DUMMYFUNCTION("""COMPUTED_VALUE"""),0.889)</f>
        <v>0.889</v>
      </c>
      <c r="Y62" s="14" t="str">
        <f>IFERROR(__xludf.DUMMYFUNCTION("""COMPUTED_VALUE"""),"Andorra-Europe")</f>
        <v>Andorra-Europe</v>
      </c>
      <c r="Z62" s="14" t="str">
        <f>IFERROR(__xludf.DUMMYFUNCTION("""COMPUTED_VALUE"""),"Europe")</f>
        <v>Europe</v>
      </c>
      <c r="AA62" s="14" t="str">
        <f>IFERROR(__xludf.DUMMYFUNCTION("""COMPUTED_VALUE"""),"2008")</f>
        <v>2008</v>
      </c>
      <c r="AB62" s="15" t="str">
        <f>IFERROR(__xludf.DUMMYFUNCTION("ARRAYFORMULA(VLOOKUP(A62,IMPORTRANGE(""https://docs.google.com/spreadsheets/d/1BuTWp7qHGjWhqrnf-OmePP568O4A5Am9ttzvVdP67zw/edit#gid=1931367683"" ,""ENERGY!$A$2:$F$2692""), {2,3,4,5,6},0))"),"Europe")</f>
        <v>Europe</v>
      </c>
      <c r="AC62" s="14" t="str">
        <f>IFERROR(__xludf.DUMMYFUNCTION("""COMPUTED_VALUE"""),"Andorra-Europe")</f>
        <v>Andorra-Europe</v>
      </c>
      <c r="AD62" s="14" t="str">
        <f>IFERROR(__xludf.DUMMYFUNCTION("""COMPUTED_VALUE"""),"2011")</f>
        <v>2011</v>
      </c>
      <c r="AE62" s="14"/>
      <c r="AF62" s="14">
        <f>IFERROR(__xludf.DUMMYFUNCTION("""COMPUTED_VALUE"""),565.0)</f>
        <v>565</v>
      </c>
    </row>
    <row r="63">
      <c r="A63" s="12">
        <v>62.0</v>
      </c>
      <c r="B63" s="12" t="s">
        <v>81</v>
      </c>
      <c r="C63" s="5" t="s">
        <v>75</v>
      </c>
      <c r="D63" s="8"/>
      <c r="E63" s="8"/>
      <c r="F63" s="8"/>
      <c r="G63" s="8"/>
      <c r="H63" s="11">
        <v>0.785</v>
      </c>
      <c r="I63" s="11">
        <v>0.821</v>
      </c>
      <c r="J63" s="9" t="s">
        <v>70</v>
      </c>
      <c r="K63" s="14" t="str">
        <f>IFERROR(__xludf.DUMMYFUNCTION("ARRAYFORMULA(VLOOKUP(A63,IMPORTRANGE(""https://docs.google.com/spreadsheets/d/1BuTWp7qHGjWhqrnf-OmePP568O4A5Am9ttzvVdP67zw/edit#gid=1603210130"", ""TOURISM!$A$2:$F$2692""), {2,3,4,5,6},0))"),"Europe")</f>
        <v>Europe</v>
      </c>
      <c r="L63" s="14"/>
      <c r="M63" s="14" t="str">
        <f>IFERROR(__xludf.DUMMYFUNCTION("""COMPUTED_VALUE"""),"Andorra-Europe")</f>
        <v>Andorra-Europe</v>
      </c>
      <c r="N63" s="14" t="str">
        <f>IFERROR(__xludf.DUMMYFUNCTION("""COMPUTED_VALUE"""),"2009")</f>
        <v>2009</v>
      </c>
      <c r="O63" s="14"/>
      <c r="P63" s="15">
        <f>IFERROR(__xludf.DUMMYFUNCTION("ARRAYFORMULA(VLOOKUP(A63,IMPORTRANGE(""https://docs.google.com/spreadsheets/d/1BuTWp7qHGjWhqrnf-OmePP568O4A5Am9ttzvVdP67zw/edit#gid=771602874"" ,""HUMAN RESOURCES!$A$2:$M$2692""), {2,3,4,5,6,7,8,9,10,11,12,13},0))"),0.01)</f>
        <v>0.01</v>
      </c>
      <c r="Q63" s="14">
        <f>IFERROR(__xludf.DUMMYFUNCTION("""COMPUTED_VALUE"""),0.003)</f>
        <v>0.003</v>
      </c>
      <c r="R63" s="14"/>
      <c r="S63" s="14"/>
      <c r="T63" s="14"/>
      <c r="U63" s="14"/>
      <c r="V63" s="14"/>
      <c r="W63" s="14">
        <f>IFERROR(__xludf.DUMMYFUNCTION("""COMPUTED_VALUE"""),78659.0)</f>
        <v>78659</v>
      </c>
      <c r="X63" s="14">
        <f>IFERROR(__xludf.DUMMYFUNCTION("""COMPUTED_VALUE"""),0.884)</f>
        <v>0.884</v>
      </c>
      <c r="Y63" s="14" t="str">
        <f>IFERROR(__xludf.DUMMYFUNCTION("""COMPUTED_VALUE"""),"Andorra-Europe")</f>
        <v>Andorra-Europe</v>
      </c>
      <c r="Z63" s="14" t="str">
        <f>IFERROR(__xludf.DUMMYFUNCTION("""COMPUTED_VALUE"""),"Europe")</f>
        <v>Europe</v>
      </c>
      <c r="AA63" s="14" t="str">
        <f>IFERROR(__xludf.DUMMYFUNCTION("""COMPUTED_VALUE"""),"2009")</f>
        <v>2009</v>
      </c>
      <c r="AB63" s="15" t="str">
        <f>IFERROR(__xludf.DUMMYFUNCTION("ARRAYFORMULA(VLOOKUP(A63,IMPORTRANGE(""https://docs.google.com/spreadsheets/d/1BuTWp7qHGjWhqrnf-OmePP568O4A5Am9ttzvVdP67zw/edit#gid=1931367683"" ,""ENERGY!$A$2:$F$2692""), {2,3,4,5,6},0))"),"Europe")</f>
        <v>Europe</v>
      </c>
      <c r="AC63" s="14" t="str">
        <f>IFERROR(__xludf.DUMMYFUNCTION("""COMPUTED_VALUE"""),"Andorra-Europe")</f>
        <v>Andorra-Europe</v>
      </c>
      <c r="AD63" s="14" t="str">
        <f>IFERROR(__xludf.DUMMYFUNCTION("""COMPUTED_VALUE"""),"2008")</f>
        <v>2008</v>
      </c>
      <c r="AE63" s="14"/>
      <c r="AF63" s="14">
        <f>IFERROR(__xludf.DUMMYFUNCTION("""COMPUTED_VALUE"""),535.0)</f>
        <v>535</v>
      </c>
    </row>
    <row r="64">
      <c r="A64" s="12">
        <v>63.0</v>
      </c>
      <c r="B64" s="12" t="s">
        <v>81</v>
      </c>
      <c r="C64" s="5" t="s">
        <v>75</v>
      </c>
      <c r="D64" s="8"/>
      <c r="E64" s="8"/>
      <c r="F64" s="8"/>
      <c r="G64" s="8"/>
      <c r="H64" s="11">
        <v>0.81</v>
      </c>
      <c r="I64" s="11">
        <v>0.841</v>
      </c>
      <c r="J64" s="9" t="s">
        <v>71</v>
      </c>
      <c r="K64" s="14" t="str">
        <f>IFERROR(__xludf.DUMMYFUNCTION("ARRAYFORMULA(VLOOKUP(A64,IMPORTRANGE(""https://docs.google.com/spreadsheets/d/1BuTWp7qHGjWhqrnf-OmePP568O4A5Am9ttzvVdP67zw/edit#gid=1603210130"", ""TOURISM!$A$2:$F$2692""), {2,3,4,5,6},0))"),"Europe")</f>
        <v>Europe</v>
      </c>
      <c r="L64" s="14"/>
      <c r="M64" s="14" t="str">
        <f>IFERROR(__xludf.DUMMYFUNCTION("""COMPUTED_VALUE"""),"Andorra-Europe")</f>
        <v>Andorra-Europe</v>
      </c>
      <c r="N64" s="14" t="str">
        <f>IFERROR(__xludf.DUMMYFUNCTION("""COMPUTED_VALUE"""),"2010")</f>
        <v>2010</v>
      </c>
      <c r="O64" s="14"/>
      <c r="P64" s="15">
        <f>IFERROR(__xludf.DUMMYFUNCTION("ARRAYFORMULA(VLOOKUP(A64,IMPORTRANGE(""https://docs.google.com/spreadsheets/d/1BuTWp7qHGjWhqrnf-OmePP568O4A5Am9ttzvVdP67zw/edit#gid=771602874"" ,""HUMAN RESOURCES!$A$2:$M$2692""), {2,3,4,5,6,7,8,9,10,11,12,13},0))"),0.01)</f>
        <v>0.01</v>
      </c>
      <c r="Q64" s="14">
        <f>IFERROR(__xludf.DUMMYFUNCTION("""COMPUTED_VALUE"""),0.002)</f>
        <v>0.002</v>
      </c>
      <c r="R64" s="14"/>
      <c r="S64" s="14"/>
      <c r="T64" s="14"/>
      <c r="U64" s="14"/>
      <c r="V64" s="14"/>
      <c r="W64" s="14">
        <f>IFERROR(__xludf.DUMMYFUNCTION("""COMPUTED_VALUE"""),77907.0)</f>
        <v>77907</v>
      </c>
      <c r="X64" s="14">
        <f>IFERROR(__xludf.DUMMYFUNCTION("""COMPUTED_VALUE"""),0.878)</f>
        <v>0.878</v>
      </c>
      <c r="Y64" s="14" t="str">
        <f>IFERROR(__xludf.DUMMYFUNCTION("""COMPUTED_VALUE"""),"Andorra-Europe")</f>
        <v>Andorra-Europe</v>
      </c>
      <c r="Z64" s="14" t="str">
        <f>IFERROR(__xludf.DUMMYFUNCTION("""COMPUTED_VALUE"""),"Europe")</f>
        <v>Europe</v>
      </c>
      <c r="AA64" s="14" t="str">
        <f>IFERROR(__xludf.DUMMYFUNCTION("""COMPUTED_VALUE"""),"2010")</f>
        <v>2010</v>
      </c>
      <c r="AB64" s="15" t="str">
        <f>IFERROR(__xludf.DUMMYFUNCTION("ARRAYFORMULA(VLOOKUP(A64,IMPORTRANGE(""https://docs.google.com/spreadsheets/d/1BuTWp7qHGjWhqrnf-OmePP568O4A5Am9ttzvVdP67zw/edit#gid=1931367683"" ,""ENERGY!$A$2:$F$2692""), {2,3,4,5,6},0))"),"Europe")</f>
        <v>Europe</v>
      </c>
      <c r="AC64" s="14" t="str">
        <f>IFERROR(__xludf.DUMMYFUNCTION("""COMPUTED_VALUE"""),"Andorra-Europe")</f>
        <v>Andorra-Europe</v>
      </c>
      <c r="AD64" s="14" t="str">
        <f>IFERROR(__xludf.DUMMYFUNCTION("""COMPUTED_VALUE"""),"2012")</f>
        <v>2012</v>
      </c>
      <c r="AE64" s="14"/>
      <c r="AF64" s="14">
        <f>IFERROR(__xludf.DUMMYFUNCTION("""COMPUTED_VALUE"""),532.0)</f>
        <v>532</v>
      </c>
    </row>
    <row r="65">
      <c r="A65" s="12">
        <v>64.0</v>
      </c>
      <c r="B65" s="12" t="s">
        <v>81</v>
      </c>
      <c r="C65" s="5" t="s">
        <v>75</v>
      </c>
      <c r="D65" s="8"/>
      <c r="E65" s="8"/>
      <c r="F65" s="8"/>
      <c r="G65" s="8"/>
      <c r="H65" s="11">
        <v>0.81</v>
      </c>
      <c r="I65" s="11">
        <v>0.835</v>
      </c>
      <c r="J65" s="9" t="s">
        <v>72</v>
      </c>
      <c r="K65" s="14" t="str">
        <f>IFERROR(__xludf.DUMMYFUNCTION("ARRAYFORMULA(VLOOKUP(A65,IMPORTRANGE(""https://docs.google.com/spreadsheets/d/1BuTWp7qHGjWhqrnf-OmePP568O4A5Am9ttzvVdP67zw/edit#gid=1603210130"", ""TOURISM!$A$2:$F$2692""), {2,3,4,5,6},0))"),"Europe")</f>
        <v>Europe</v>
      </c>
      <c r="L65" s="14"/>
      <c r="M65" s="14" t="str">
        <f>IFERROR(__xludf.DUMMYFUNCTION("""COMPUTED_VALUE"""),"Andorra-Europe")</f>
        <v>Andorra-Europe</v>
      </c>
      <c r="N65" s="14" t="str">
        <f>IFERROR(__xludf.DUMMYFUNCTION("""COMPUTED_VALUE"""),"2011")</f>
        <v>2011</v>
      </c>
      <c r="O65" s="14"/>
      <c r="P65" s="15" t="str">
        <f>IFERROR(__xludf.DUMMYFUNCTION("ARRAYFORMULA(VLOOKUP(A65,IMPORTRANGE(""https://docs.google.com/spreadsheets/d/1BuTWp7qHGjWhqrnf-OmePP568O4A5Am9ttzvVdP67zw/edit#gid=771602874"" ,""HUMAN RESOURCES!$A$2:$M$2692""), {2,3,4,5,6,7,8,9,10,11,12,13},0))"),"")</f>
        <v/>
      </c>
      <c r="Q65" s="14">
        <f>IFERROR(__xludf.DUMMYFUNCTION("""COMPUTED_VALUE"""),0.002)</f>
        <v>0.002</v>
      </c>
      <c r="R65" s="14"/>
      <c r="S65" s="14"/>
      <c r="T65" s="14"/>
      <c r="U65" s="14"/>
      <c r="V65" s="14"/>
      <c r="W65" s="14">
        <f>IFERROR(__xludf.DUMMYFUNCTION("""COMPUTED_VALUE"""),77865.0)</f>
        <v>77865</v>
      </c>
      <c r="X65" s="14">
        <f>IFERROR(__xludf.DUMMYFUNCTION("""COMPUTED_VALUE"""),0.873)</f>
        <v>0.873</v>
      </c>
      <c r="Y65" s="14" t="str">
        <f>IFERROR(__xludf.DUMMYFUNCTION("""COMPUTED_VALUE"""),"Andorra-Europe")</f>
        <v>Andorra-Europe</v>
      </c>
      <c r="Z65" s="14" t="str">
        <f>IFERROR(__xludf.DUMMYFUNCTION("""COMPUTED_VALUE"""),"Europe")</f>
        <v>Europe</v>
      </c>
      <c r="AA65" s="14" t="str">
        <f>IFERROR(__xludf.DUMMYFUNCTION("""COMPUTED_VALUE"""),"2011")</f>
        <v>2011</v>
      </c>
      <c r="AB65" s="15" t="str">
        <f>IFERROR(__xludf.DUMMYFUNCTION("ARRAYFORMULA(VLOOKUP(A65,IMPORTRANGE(""https://docs.google.com/spreadsheets/d/1BuTWp7qHGjWhqrnf-OmePP568O4A5Am9ttzvVdP67zw/edit#gid=1931367683"" ,""ENERGY!$A$2:$F$2692""), {2,3,4,5,6},0))"),"Europe")</f>
        <v>Europe</v>
      </c>
      <c r="AC65" s="14" t="str">
        <f>IFERROR(__xludf.DUMMYFUNCTION("""COMPUTED_VALUE"""),"Andorra-Europe")</f>
        <v>Andorra-Europe</v>
      </c>
      <c r="AD65" s="14" t="str">
        <f>IFERROR(__xludf.DUMMYFUNCTION("""COMPUTED_VALUE"""),"2011")</f>
        <v>2011</v>
      </c>
      <c r="AE65" s="14"/>
      <c r="AF65" s="14">
        <f>IFERROR(__xludf.DUMMYFUNCTION("""COMPUTED_VALUE"""),524.0)</f>
        <v>524</v>
      </c>
    </row>
    <row r="66">
      <c r="A66" s="12">
        <v>65.0</v>
      </c>
      <c r="B66" s="12" t="s">
        <v>81</v>
      </c>
      <c r="C66" s="5" t="s">
        <v>75</v>
      </c>
      <c r="D66" s="8"/>
      <c r="E66" s="8"/>
      <c r="F66" s="8"/>
      <c r="G66" s="8"/>
      <c r="H66" s="11">
        <v>0.864</v>
      </c>
      <c r="I66" s="11">
        <v>0.815</v>
      </c>
      <c r="J66" s="9" t="s">
        <v>73</v>
      </c>
      <c r="K66" s="14" t="str">
        <f>IFERROR(__xludf.DUMMYFUNCTION("ARRAYFORMULA(VLOOKUP(A66,IMPORTRANGE(""https://docs.google.com/spreadsheets/d/1BuTWp7qHGjWhqrnf-OmePP568O4A5Am9ttzvVdP67zw/edit#gid=1603210130"", ""TOURISM!$A$2:$F$2692""), {2,3,4,5,6},0))"),"Europe")</f>
        <v>Europe</v>
      </c>
      <c r="L66" s="14"/>
      <c r="M66" s="14" t="str">
        <f>IFERROR(__xludf.DUMMYFUNCTION("""COMPUTED_VALUE"""),"Andorra-Europe")</f>
        <v>Andorra-Europe</v>
      </c>
      <c r="N66" s="14" t="str">
        <f>IFERROR(__xludf.DUMMYFUNCTION("""COMPUTED_VALUE"""),"2012")</f>
        <v>2012</v>
      </c>
      <c r="O66" s="14"/>
      <c r="P66" s="15">
        <f>IFERROR(__xludf.DUMMYFUNCTION("ARRAYFORMULA(VLOOKUP(A66,IMPORTRANGE(""https://docs.google.com/spreadsheets/d/1BuTWp7qHGjWhqrnf-OmePP568O4A5Am9ttzvVdP67zw/edit#gid=771602874"" ,""HUMAN RESOURCES!$A$2:$M$2692""), {2,3,4,5,6,7,8,9,10,11,12,13},0))"),0.01)</f>
        <v>0.01</v>
      </c>
      <c r="Q66" s="14">
        <f>IFERROR(__xludf.DUMMYFUNCTION("""COMPUTED_VALUE"""),0.002)</f>
        <v>0.002</v>
      </c>
      <c r="R66" s="14"/>
      <c r="S66" s="14"/>
      <c r="T66" s="14"/>
      <c r="U66" s="14"/>
      <c r="V66" s="14"/>
      <c r="W66" s="14">
        <f>IFERROR(__xludf.DUMMYFUNCTION("""COMPUTED_VALUE"""),78360.0)</f>
        <v>78360</v>
      </c>
      <c r="X66" s="14">
        <f>IFERROR(__xludf.DUMMYFUNCTION("""COMPUTED_VALUE"""),0.867)</f>
        <v>0.867</v>
      </c>
      <c r="Y66" s="14" t="str">
        <f>IFERROR(__xludf.DUMMYFUNCTION("""COMPUTED_VALUE"""),"Andorra-Europe")</f>
        <v>Andorra-Europe</v>
      </c>
      <c r="Z66" s="14" t="str">
        <f>IFERROR(__xludf.DUMMYFUNCTION("""COMPUTED_VALUE"""),"Europe")</f>
        <v>Europe</v>
      </c>
      <c r="AA66" s="14" t="str">
        <f>IFERROR(__xludf.DUMMYFUNCTION("""COMPUTED_VALUE"""),"2012")</f>
        <v>2012</v>
      </c>
      <c r="AB66" s="15" t="str">
        <f>IFERROR(__xludf.DUMMYFUNCTION("ARRAYFORMULA(VLOOKUP(A66,IMPORTRANGE(""https://docs.google.com/spreadsheets/d/1BuTWp7qHGjWhqrnf-OmePP568O4A5Am9ttzvVdP67zw/edit#gid=1931367683"" ,""ENERGY!$A$2:$F$2692""), {2,3,4,5,6},0))"),"Europe")</f>
        <v>Europe</v>
      </c>
      <c r="AC66" s="14" t="str">
        <f>IFERROR(__xludf.DUMMYFUNCTION("""COMPUTED_VALUE"""),"Andorra-Europe")</f>
        <v>Andorra-Europe</v>
      </c>
      <c r="AD66" s="14" t="str">
        <f>IFERROR(__xludf.DUMMYFUNCTION("""COMPUTED_VALUE"""),"2008")</f>
        <v>2008</v>
      </c>
      <c r="AE66" s="14"/>
      <c r="AF66" s="14">
        <f>IFERROR(__xludf.DUMMYFUNCTION("""COMPUTED_VALUE"""),524.0)</f>
        <v>524</v>
      </c>
    </row>
    <row r="67">
      <c r="A67" s="12">
        <v>66.0</v>
      </c>
      <c r="B67" s="12" t="s">
        <v>82</v>
      </c>
      <c r="C67" s="5" t="s">
        <v>77</v>
      </c>
      <c r="D67" s="8"/>
      <c r="E67" s="8"/>
      <c r="F67" s="8"/>
      <c r="G67" s="8"/>
      <c r="H67" s="11">
        <v>0.001</v>
      </c>
      <c r="I67" s="11">
        <v>0.002</v>
      </c>
      <c r="J67" s="9" t="s">
        <v>60</v>
      </c>
      <c r="K67" s="14" t="str">
        <f>IFERROR(__xludf.DUMMYFUNCTION("ARRAYFORMULA(VLOOKUP(A67,IMPORTRANGE(""https://docs.google.com/spreadsheets/d/1BuTWp7qHGjWhqrnf-OmePP568O4A5Am9ttzvVdP67zw/edit#gid=1603210130"", ""TOURISM!$A$2:$F$2692""), {2,3,4,5,6},0))"),"Africa")</f>
        <v>Africa</v>
      </c>
      <c r="L67" s="14">
        <f>IFERROR(__xludf.DUMMYFUNCTION("""COMPUTED_VALUE"""),3.4E7)</f>
        <v>34000000</v>
      </c>
      <c r="M67" s="14" t="str">
        <f>IFERROR(__xludf.DUMMYFUNCTION("""COMPUTED_VALUE"""),"Angola-Africa")</f>
        <v>Angola-Africa</v>
      </c>
      <c r="N67" s="14" t="str">
        <f>IFERROR(__xludf.DUMMYFUNCTION("""COMPUTED_VALUE"""),"2000")</f>
        <v>2000</v>
      </c>
      <c r="O67" s="14">
        <f>IFERROR(__xludf.DUMMYFUNCTION("""COMPUTED_VALUE"""),1.46E8)</f>
        <v>146000000</v>
      </c>
      <c r="P67" s="15">
        <f>IFERROR(__xludf.DUMMYFUNCTION("ARRAYFORMULA(VLOOKUP(A67,IMPORTRANGE(""https://docs.google.com/spreadsheets/d/1BuTWp7qHGjWhqrnf-OmePP568O4A5Am9ttzvVdP67zw/edit#gid=771602874"" ,""HUMAN RESOURCES!$A$2:$M$2692""), {2,3,4,5,6,7,8,9,10,11,12,13},0))"),0.05)</f>
        <v>0.05</v>
      </c>
      <c r="Q67" s="14">
        <f>IFERROR(__xludf.DUMMYFUNCTION("""COMPUTED_VALUE"""),0.128)</f>
        <v>0.128</v>
      </c>
      <c r="R67" s="14">
        <f>IFERROR(__xludf.DUMMYFUNCTION("""COMPUTED_VALUE"""),47.0)</f>
        <v>47</v>
      </c>
      <c r="S67" s="14">
        <f>IFERROR(__xludf.DUMMYFUNCTION("""COMPUTED_VALUE"""),44.0)</f>
        <v>44</v>
      </c>
      <c r="T67" s="14">
        <f>IFERROR(__xludf.DUMMYFUNCTION("""COMPUTED_VALUE"""),0.476)</f>
        <v>0.476</v>
      </c>
      <c r="U67" s="14">
        <f>IFERROR(__xludf.DUMMYFUNCTION("""COMPUTED_VALUE"""),0.499)</f>
        <v>0.499</v>
      </c>
      <c r="V67" s="14">
        <f>IFERROR(__xludf.DUMMYFUNCTION("""COMPUTED_VALUE"""),0.025)</f>
        <v>0.025</v>
      </c>
      <c r="W67" s="14">
        <f>IFERROR(__xludf.DUMMYFUNCTION("""COMPUTED_VALUE"""),1.392493E7)</f>
        <v>13924930</v>
      </c>
      <c r="X67" s="14">
        <f>IFERROR(__xludf.DUMMYFUNCTION("""COMPUTED_VALUE"""),0.324)</f>
        <v>0.324</v>
      </c>
      <c r="Y67" s="14" t="str">
        <f>IFERROR(__xludf.DUMMYFUNCTION("""COMPUTED_VALUE"""),"Angola-Africa")</f>
        <v>Angola-Africa</v>
      </c>
      <c r="Z67" s="14" t="str">
        <f>IFERROR(__xludf.DUMMYFUNCTION("""COMPUTED_VALUE"""),"Africa")</f>
        <v>Africa</v>
      </c>
      <c r="AA67" s="14" t="str">
        <f>IFERROR(__xludf.DUMMYFUNCTION("""COMPUTED_VALUE"""),"2000")</f>
        <v>2000</v>
      </c>
      <c r="AB67" s="15" t="str">
        <f>IFERROR(__xludf.DUMMYFUNCTION("ARRAYFORMULA(VLOOKUP(A67,IMPORTRANGE(""https://docs.google.com/spreadsheets/d/1BuTWp7qHGjWhqrnf-OmePP568O4A5Am9ttzvVdP67zw/edit#gid=1931367683"" ,""ENERGY!$A$2:$F$2692""), {2,3,4,5,6},0))"),"Africa")</f>
        <v>Africa</v>
      </c>
      <c r="AC67" s="14" t="str">
        <f>IFERROR(__xludf.DUMMYFUNCTION("""COMPUTED_VALUE"""),"Angola-Africa")</f>
        <v>Angola-Africa</v>
      </c>
      <c r="AD67" s="14" t="str">
        <f>IFERROR(__xludf.DUMMYFUNCTION("""COMPUTED_VALUE"""),"2000")</f>
        <v>2000</v>
      </c>
      <c r="AE67" s="14"/>
      <c r="AF67" s="14"/>
    </row>
    <row r="68">
      <c r="A68" s="12">
        <v>67.0</v>
      </c>
      <c r="B68" s="12" t="s">
        <v>82</v>
      </c>
      <c r="C68" s="5" t="s">
        <v>77</v>
      </c>
      <c r="D68" s="8"/>
      <c r="E68" s="8"/>
      <c r="F68" s="8"/>
      <c r="G68" s="8"/>
      <c r="H68" s="11">
        <v>0.001</v>
      </c>
      <c r="I68" s="11">
        <v>0.005</v>
      </c>
      <c r="J68" s="9" t="s">
        <v>62</v>
      </c>
      <c r="K68" s="14" t="str">
        <f>IFERROR(__xludf.DUMMYFUNCTION("ARRAYFORMULA(VLOOKUP(A68,IMPORTRANGE(""https://docs.google.com/spreadsheets/d/1BuTWp7qHGjWhqrnf-OmePP568O4A5Am9ttzvVdP67zw/edit#gid=1603210130"", ""TOURISM!$A$2:$F$2692""), {2,3,4,5,6},0))"),"Africa")</f>
        <v>Africa</v>
      </c>
      <c r="L68" s="14">
        <f>IFERROR(__xludf.DUMMYFUNCTION("""COMPUTED_VALUE"""),3.5E7)</f>
        <v>35000000</v>
      </c>
      <c r="M68" s="14" t="str">
        <f>IFERROR(__xludf.DUMMYFUNCTION("""COMPUTED_VALUE"""),"Angola-Africa")</f>
        <v>Angola-Africa</v>
      </c>
      <c r="N68" s="14" t="str">
        <f>IFERROR(__xludf.DUMMYFUNCTION("""COMPUTED_VALUE"""),"2001")</f>
        <v>2001</v>
      </c>
      <c r="O68" s="14">
        <f>IFERROR(__xludf.DUMMYFUNCTION("""COMPUTED_VALUE"""),8.0E7)</f>
        <v>80000000</v>
      </c>
      <c r="P68" s="15">
        <f>IFERROR(__xludf.DUMMYFUNCTION("ARRAYFORMULA(VLOOKUP(A68,IMPORTRANGE(""https://docs.google.com/spreadsheets/d/1BuTWp7qHGjWhqrnf-OmePP568O4A5Am9ttzvVdP67zw/edit#gid=771602874"" ,""HUMAN RESOURCES!$A$2:$M$2692""), {2,3,4,5,6,7,8,9,10,11,12,13},0))"),0.05)</f>
        <v>0.05</v>
      </c>
      <c r="Q68" s="14">
        <f>IFERROR(__xludf.DUMMYFUNCTION("""COMPUTED_VALUE"""),0.127)</f>
        <v>0.127</v>
      </c>
      <c r="R68" s="14">
        <f>IFERROR(__xludf.DUMMYFUNCTION("""COMPUTED_VALUE"""),47.0)</f>
        <v>47</v>
      </c>
      <c r="S68" s="14">
        <f>IFERROR(__xludf.DUMMYFUNCTION("""COMPUTED_VALUE"""),45.0)</f>
        <v>45</v>
      </c>
      <c r="T68" s="14">
        <f>IFERROR(__xludf.DUMMYFUNCTION("""COMPUTED_VALUE"""),0.477)</f>
        <v>0.477</v>
      </c>
      <c r="U68" s="14">
        <f>IFERROR(__xludf.DUMMYFUNCTION("""COMPUTED_VALUE"""),0.499)</f>
        <v>0.499</v>
      </c>
      <c r="V68" s="14">
        <f>IFERROR(__xludf.DUMMYFUNCTION("""COMPUTED_VALUE"""),0.025)</f>
        <v>0.025</v>
      </c>
      <c r="W68" s="14">
        <f>IFERROR(__xludf.DUMMYFUNCTION("""COMPUTED_VALUE"""),1.4385283E7)</f>
        <v>14385283</v>
      </c>
      <c r="X68" s="14">
        <f>IFERROR(__xludf.DUMMYFUNCTION("""COMPUTED_VALUE"""),0.332)</f>
        <v>0.332</v>
      </c>
      <c r="Y68" s="14" t="str">
        <f>IFERROR(__xludf.DUMMYFUNCTION("""COMPUTED_VALUE"""),"Angola-Africa")</f>
        <v>Angola-Africa</v>
      </c>
      <c r="Z68" s="14" t="str">
        <f>IFERROR(__xludf.DUMMYFUNCTION("""COMPUTED_VALUE"""),"Africa")</f>
        <v>Africa</v>
      </c>
      <c r="AA68" s="14" t="str">
        <f>IFERROR(__xludf.DUMMYFUNCTION("""COMPUTED_VALUE"""),"2001")</f>
        <v>2001</v>
      </c>
      <c r="AB68" s="15" t="str">
        <f>IFERROR(__xludf.DUMMYFUNCTION("ARRAYFORMULA(VLOOKUP(A68,IMPORTRANGE(""https://docs.google.com/spreadsheets/d/1BuTWp7qHGjWhqrnf-OmePP568O4A5Am9ttzvVdP67zw/edit#gid=1931367683"" ,""ENERGY!$A$2:$F$2692""), {2,3,4,5,6},0))"),"Africa")</f>
        <v>Africa</v>
      </c>
      <c r="AC68" s="14" t="str">
        <f>IFERROR(__xludf.DUMMYFUNCTION("""COMPUTED_VALUE"""),"Angola-Africa")</f>
        <v>Angola-Africa</v>
      </c>
      <c r="AD68" s="14" t="str">
        <f>IFERROR(__xludf.DUMMYFUNCTION("""COMPUTED_VALUE"""),"2001")</f>
        <v>2001</v>
      </c>
      <c r="AE68" s="14">
        <f>IFERROR(__xludf.DUMMYFUNCTION("""COMPUTED_VALUE"""),13576.0)</f>
        <v>13576</v>
      </c>
      <c r="AF68" s="14"/>
    </row>
    <row r="69">
      <c r="A69" s="12">
        <v>68.0</v>
      </c>
      <c r="B69" s="12" t="s">
        <v>82</v>
      </c>
      <c r="C69" s="5" t="s">
        <v>77</v>
      </c>
      <c r="D69" s="8"/>
      <c r="E69" s="8"/>
      <c r="F69" s="8"/>
      <c r="G69" s="8"/>
      <c r="H69" s="11">
        <v>0.003</v>
      </c>
      <c r="I69" s="11">
        <v>0.009</v>
      </c>
      <c r="J69" s="9" t="s">
        <v>63</v>
      </c>
      <c r="K69" s="14" t="str">
        <f>IFERROR(__xludf.DUMMYFUNCTION("ARRAYFORMULA(VLOOKUP(A69,IMPORTRANGE(""https://docs.google.com/spreadsheets/d/1BuTWp7qHGjWhqrnf-OmePP568O4A5Am9ttzvVdP67zw/edit#gid=1603210130"", ""TOURISM!$A$2:$F$2692""), {2,3,4,5,6},0))"),"Africa")</f>
        <v>Africa</v>
      </c>
      <c r="L69" s="14">
        <f>IFERROR(__xludf.DUMMYFUNCTION("""COMPUTED_VALUE"""),5.1E7)</f>
        <v>51000000</v>
      </c>
      <c r="M69" s="14" t="str">
        <f>IFERROR(__xludf.DUMMYFUNCTION("""COMPUTED_VALUE"""),"Angola-Africa")</f>
        <v>Angola-Africa</v>
      </c>
      <c r="N69" s="14" t="str">
        <f>IFERROR(__xludf.DUMMYFUNCTION("""COMPUTED_VALUE"""),"2002")</f>
        <v>2002</v>
      </c>
      <c r="O69" s="14">
        <f>IFERROR(__xludf.DUMMYFUNCTION("""COMPUTED_VALUE"""),5.2E7)</f>
        <v>52000000</v>
      </c>
      <c r="P69" s="15">
        <f>IFERROR(__xludf.DUMMYFUNCTION("ARRAYFORMULA(VLOOKUP(A69,IMPORTRANGE(""https://docs.google.com/spreadsheets/d/1BuTWp7qHGjWhqrnf-OmePP568O4A5Am9ttzvVdP67zw/edit#gid=771602874"" ,""HUMAN RESOURCES!$A$2:$M$2692""), {2,3,4,5,6,7,8,9,10,11,12,13},0))"),0.05)</f>
        <v>0.05</v>
      </c>
      <c r="Q69" s="14">
        <f>IFERROR(__xludf.DUMMYFUNCTION("""COMPUTED_VALUE"""),0.126)</f>
        <v>0.126</v>
      </c>
      <c r="R69" s="14">
        <f>IFERROR(__xludf.DUMMYFUNCTION("""COMPUTED_VALUE"""),48.0)</f>
        <v>48</v>
      </c>
      <c r="S69" s="14">
        <f>IFERROR(__xludf.DUMMYFUNCTION("""COMPUTED_VALUE"""),45.0)</f>
        <v>45</v>
      </c>
      <c r="T69" s="14">
        <f>IFERROR(__xludf.DUMMYFUNCTION("""COMPUTED_VALUE"""),0.477)</f>
        <v>0.477</v>
      </c>
      <c r="U69" s="14">
        <f>IFERROR(__xludf.DUMMYFUNCTION("""COMPUTED_VALUE"""),0.499)</f>
        <v>0.499</v>
      </c>
      <c r="V69" s="14">
        <f>IFERROR(__xludf.DUMMYFUNCTION("""COMPUTED_VALUE"""),0.025)</f>
        <v>0.025</v>
      </c>
      <c r="W69" s="14">
        <f>IFERROR(__xludf.DUMMYFUNCTION("""COMPUTED_VALUE"""),1.4886574E7)</f>
        <v>14886574</v>
      </c>
      <c r="X69" s="14">
        <f>IFERROR(__xludf.DUMMYFUNCTION("""COMPUTED_VALUE"""),0.339)</f>
        <v>0.339</v>
      </c>
      <c r="Y69" s="14" t="str">
        <f>IFERROR(__xludf.DUMMYFUNCTION("""COMPUTED_VALUE"""),"Angola-Africa")</f>
        <v>Angola-Africa</v>
      </c>
      <c r="Z69" s="14" t="str">
        <f>IFERROR(__xludf.DUMMYFUNCTION("""COMPUTED_VALUE"""),"Africa")</f>
        <v>Africa</v>
      </c>
      <c r="AA69" s="14" t="str">
        <f>IFERROR(__xludf.DUMMYFUNCTION("""COMPUTED_VALUE"""),"2002")</f>
        <v>2002</v>
      </c>
      <c r="AB69" s="15" t="str">
        <f>IFERROR(__xludf.DUMMYFUNCTION("ARRAYFORMULA(VLOOKUP(A69,IMPORTRANGE(""https://docs.google.com/spreadsheets/d/1BuTWp7qHGjWhqrnf-OmePP568O4A5Am9ttzvVdP67zw/edit#gid=1931367683"" ,""ENERGY!$A$2:$F$2692""), {2,3,4,5,6},0))"),"Africa")</f>
        <v>Africa</v>
      </c>
      <c r="AC69" s="14" t="str">
        <f>IFERROR(__xludf.DUMMYFUNCTION("""COMPUTED_VALUE"""),"Angola-Africa")</f>
        <v>Angola-Africa</v>
      </c>
      <c r="AD69" s="14" t="str">
        <f>IFERROR(__xludf.DUMMYFUNCTION("""COMPUTED_VALUE"""),"2002")</f>
        <v>2002</v>
      </c>
      <c r="AE69" s="14">
        <f>IFERROR(__xludf.DUMMYFUNCTION("""COMPUTED_VALUE"""),13378.0)</f>
        <v>13378</v>
      </c>
      <c r="AF69" s="14">
        <f>IFERROR(__xludf.DUMMYFUNCTION("""COMPUTED_VALUE"""),30418.0)</f>
        <v>30418</v>
      </c>
    </row>
    <row r="70">
      <c r="A70" s="12">
        <v>69.0</v>
      </c>
      <c r="B70" s="12" t="s">
        <v>82</v>
      </c>
      <c r="C70" s="5" t="s">
        <v>77</v>
      </c>
      <c r="D70" s="8"/>
      <c r="E70" s="11">
        <v>119.0</v>
      </c>
      <c r="F70" s="8"/>
      <c r="G70" s="8"/>
      <c r="H70" s="11">
        <v>0.004</v>
      </c>
      <c r="I70" s="11">
        <v>0.023</v>
      </c>
      <c r="J70" s="9" t="s">
        <v>64</v>
      </c>
      <c r="K70" s="14" t="str">
        <f>IFERROR(__xludf.DUMMYFUNCTION("ARRAYFORMULA(VLOOKUP(A70,IMPORTRANGE(""https://docs.google.com/spreadsheets/d/1BuTWp7qHGjWhqrnf-OmePP568O4A5Am9ttzvVdP67zw/edit#gid=1603210130"", ""TOURISM!$A$2:$F$2692""), {2,3,4,5,6},0))"),"Africa")</f>
        <v>Africa</v>
      </c>
      <c r="L70" s="14">
        <f>IFERROR(__xludf.DUMMYFUNCTION("""COMPUTED_VALUE"""),6.3E7)</f>
        <v>63000000</v>
      </c>
      <c r="M70" s="14" t="str">
        <f>IFERROR(__xludf.DUMMYFUNCTION("""COMPUTED_VALUE"""),"Angola-Africa")</f>
        <v>Angola-Africa</v>
      </c>
      <c r="N70" s="14" t="str">
        <f>IFERROR(__xludf.DUMMYFUNCTION("""COMPUTED_VALUE"""),"2003")</f>
        <v>2003</v>
      </c>
      <c r="O70" s="14">
        <f>IFERROR(__xludf.DUMMYFUNCTION("""COMPUTED_VALUE"""),4.9E7)</f>
        <v>49000000</v>
      </c>
      <c r="P70" s="15">
        <f>IFERROR(__xludf.DUMMYFUNCTION("ARRAYFORMULA(VLOOKUP(A70,IMPORTRANGE(""https://docs.google.com/spreadsheets/d/1BuTWp7qHGjWhqrnf-OmePP568O4A5Am9ttzvVdP67zw/edit#gid=771602874"" ,""HUMAN RESOURCES!$A$2:$M$2692""), {2,3,4,5,6,7,8,9,10,11,12,13},0))"),0.05)</f>
        <v>0.05</v>
      </c>
      <c r="Q70" s="14">
        <f>IFERROR(__xludf.DUMMYFUNCTION("""COMPUTED_VALUE"""),0.125)</f>
        <v>0.125</v>
      </c>
      <c r="R70" s="14">
        <f>IFERROR(__xludf.DUMMYFUNCTION("""COMPUTED_VALUE"""),49.0)</f>
        <v>49</v>
      </c>
      <c r="S70" s="14">
        <f>IFERROR(__xludf.DUMMYFUNCTION("""COMPUTED_VALUE"""),46.0)</f>
        <v>46</v>
      </c>
      <c r="T70" s="14">
        <f>IFERROR(__xludf.DUMMYFUNCTION("""COMPUTED_VALUE"""),0.477)</f>
        <v>0.477</v>
      </c>
      <c r="U70" s="14">
        <f>IFERROR(__xludf.DUMMYFUNCTION("""COMPUTED_VALUE"""),0.498)</f>
        <v>0.498</v>
      </c>
      <c r="V70" s="14">
        <f>IFERROR(__xludf.DUMMYFUNCTION("""COMPUTED_VALUE"""),0.025)</f>
        <v>0.025</v>
      </c>
      <c r="W70" s="14">
        <f>IFERROR(__xludf.DUMMYFUNCTION("""COMPUTED_VALUE"""),1.5421075E7)</f>
        <v>15421075</v>
      </c>
      <c r="X70" s="14">
        <f>IFERROR(__xludf.DUMMYFUNCTION("""COMPUTED_VALUE"""),0.346)</f>
        <v>0.346</v>
      </c>
      <c r="Y70" s="14" t="str">
        <f>IFERROR(__xludf.DUMMYFUNCTION("""COMPUTED_VALUE"""),"Angola-Africa")</f>
        <v>Angola-Africa</v>
      </c>
      <c r="Z70" s="14" t="str">
        <f>IFERROR(__xludf.DUMMYFUNCTION("""COMPUTED_VALUE"""),"Africa")</f>
        <v>Africa</v>
      </c>
      <c r="AA70" s="14" t="str">
        <f>IFERROR(__xludf.DUMMYFUNCTION("""COMPUTED_VALUE"""),"2003")</f>
        <v>2003</v>
      </c>
      <c r="AB70" s="15" t="str">
        <f>IFERROR(__xludf.DUMMYFUNCTION("ARRAYFORMULA(VLOOKUP(A70,IMPORTRANGE(""https://docs.google.com/spreadsheets/d/1BuTWp7qHGjWhqrnf-OmePP568O4A5Am9ttzvVdP67zw/edit#gid=1931367683"" ,""ENERGY!$A$2:$F$2692""), {2,3,4,5,6},0))"),"Africa")</f>
        <v>Africa</v>
      </c>
      <c r="AC70" s="14" t="str">
        <f>IFERROR(__xludf.DUMMYFUNCTION("""COMPUTED_VALUE"""),"Angola-Africa")</f>
        <v>Angola-Africa</v>
      </c>
      <c r="AD70" s="14" t="str">
        <f>IFERROR(__xludf.DUMMYFUNCTION("""COMPUTED_VALUE"""),"2003")</f>
        <v>2003</v>
      </c>
      <c r="AE70" s="14">
        <f>IFERROR(__xludf.DUMMYFUNCTION("""COMPUTED_VALUE"""),12586.0)</f>
        <v>12586</v>
      </c>
      <c r="AF70" s="14">
        <f>IFERROR(__xludf.DUMMYFUNCTION("""COMPUTED_VALUE"""),27836.0)</f>
        <v>27836</v>
      </c>
    </row>
    <row r="71">
      <c r="A71" s="12">
        <v>70.0</v>
      </c>
      <c r="B71" s="12" t="s">
        <v>82</v>
      </c>
      <c r="C71" s="5" t="s">
        <v>77</v>
      </c>
      <c r="D71" s="8"/>
      <c r="E71" s="11">
        <v>119.0</v>
      </c>
      <c r="F71" s="8"/>
      <c r="G71" s="8"/>
      <c r="H71" s="11">
        <v>0.005</v>
      </c>
      <c r="I71" s="11">
        <v>0.046</v>
      </c>
      <c r="J71" s="9" t="s">
        <v>65</v>
      </c>
      <c r="K71" s="14" t="str">
        <f>IFERROR(__xludf.DUMMYFUNCTION("ARRAYFORMULA(VLOOKUP(A71,IMPORTRANGE(""https://docs.google.com/spreadsheets/d/1BuTWp7qHGjWhqrnf-OmePP568O4A5Am9ttzvVdP67zw/edit#gid=1603210130"", ""TOURISM!$A$2:$F$2692""), {2,3,4,5,6},0))"),"Africa")</f>
        <v>Africa</v>
      </c>
      <c r="L71" s="14">
        <f>IFERROR(__xludf.DUMMYFUNCTION("""COMPUTED_VALUE"""),8.2E7)</f>
        <v>82000000</v>
      </c>
      <c r="M71" s="14" t="str">
        <f>IFERROR(__xludf.DUMMYFUNCTION("""COMPUTED_VALUE"""),"Angola-Africa")</f>
        <v>Angola-Africa</v>
      </c>
      <c r="N71" s="14" t="str">
        <f>IFERROR(__xludf.DUMMYFUNCTION("""COMPUTED_VALUE"""),"2004")</f>
        <v>2004</v>
      </c>
      <c r="O71" s="14">
        <f>IFERROR(__xludf.DUMMYFUNCTION("""COMPUTED_VALUE"""),8.6E7)</f>
        <v>86000000</v>
      </c>
      <c r="P71" s="15">
        <f>IFERROR(__xludf.DUMMYFUNCTION("ARRAYFORMULA(VLOOKUP(A71,IMPORTRANGE(""https://docs.google.com/spreadsheets/d/1BuTWp7qHGjWhqrnf-OmePP568O4A5Am9ttzvVdP67zw/edit#gid=771602874"" ,""HUMAN RESOURCES!$A$2:$M$2692""), {2,3,4,5,6,7,8,9,10,11,12,13},0))"),0.05)</f>
        <v>0.05</v>
      </c>
      <c r="Q71" s="14">
        <f>IFERROR(__xludf.DUMMYFUNCTION("""COMPUTED_VALUE"""),0.123)</f>
        <v>0.123</v>
      </c>
      <c r="R71" s="14">
        <f>IFERROR(__xludf.DUMMYFUNCTION("""COMPUTED_VALUE"""),49.0)</f>
        <v>49</v>
      </c>
      <c r="S71" s="14">
        <f>IFERROR(__xludf.DUMMYFUNCTION("""COMPUTED_VALUE"""),47.0)</f>
        <v>47</v>
      </c>
      <c r="T71" s="14">
        <f>IFERROR(__xludf.DUMMYFUNCTION("""COMPUTED_VALUE"""),0.477)</f>
        <v>0.477</v>
      </c>
      <c r="U71" s="14">
        <f>IFERROR(__xludf.DUMMYFUNCTION("""COMPUTED_VALUE"""),0.498)</f>
        <v>0.498</v>
      </c>
      <c r="V71" s="14">
        <f>IFERROR(__xludf.DUMMYFUNCTION("""COMPUTED_VALUE"""),0.025)</f>
        <v>0.025</v>
      </c>
      <c r="W71" s="14">
        <f>IFERROR(__xludf.DUMMYFUNCTION("""COMPUTED_VALUE"""),1.5976715E7)</f>
        <v>15976715</v>
      </c>
      <c r="X71" s="14">
        <f>IFERROR(__xludf.DUMMYFUNCTION("""COMPUTED_VALUE"""),0.354)</f>
        <v>0.354</v>
      </c>
      <c r="Y71" s="14" t="str">
        <f>IFERROR(__xludf.DUMMYFUNCTION("""COMPUTED_VALUE"""),"Angola-Africa")</f>
        <v>Angola-Africa</v>
      </c>
      <c r="Z71" s="14" t="str">
        <f>IFERROR(__xludf.DUMMYFUNCTION("""COMPUTED_VALUE"""),"Africa")</f>
        <v>Africa</v>
      </c>
      <c r="AA71" s="14" t="str">
        <f>IFERROR(__xludf.DUMMYFUNCTION("""COMPUTED_VALUE"""),"2004")</f>
        <v>2004</v>
      </c>
      <c r="AB71" s="15" t="str">
        <f>IFERROR(__xludf.DUMMYFUNCTION("ARRAYFORMULA(VLOOKUP(A71,IMPORTRANGE(""https://docs.google.com/spreadsheets/d/1BuTWp7qHGjWhqrnf-OmePP568O4A5Am9ttzvVdP67zw/edit#gid=1931367683"" ,""ENERGY!$A$2:$F$2692""), {2,3,4,5,6},0))"),"Africa")</f>
        <v>Africa</v>
      </c>
      <c r="AC71" s="14" t="str">
        <f>IFERROR(__xludf.DUMMYFUNCTION("""COMPUTED_VALUE"""),"Angola-Africa")</f>
        <v>Angola-Africa</v>
      </c>
      <c r="AD71" s="14" t="str">
        <f>IFERROR(__xludf.DUMMYFUNCTION("""COMPUTED_VALUE"""),"2004")</f>
        <v>2004</v>
      </c>
      <c r="AE71" s="14">
        <f>IFERROR(__xludf.DUMMYFUNCTION("""COMPUTED_VALUE"""),11584.0)</f>
        <v>11584</v>
      </c>
      <c r="AF71" s="14">
        <f>IFERROR(__xludf.DUMMYFUNCTION("""COMPUTED_VALUE"""),26597.0)</f>
        <v>26597</v>
      </c>
    </row>
    <row r="72">
      <c r="A72" s="12">
        <v>71.0</v>
      </c>
      <c r="B72" s="12" t="s">
        <v>82</v>
      </c>
      <c r="C72" s="5" t="s">
        <v>77</v>
      </c>
      <c r="D72" s="11">
        <v>0.521</v>
      </c>
      <c r="E72" s="11">
        <v>119.0</v>
      </c>
      <c r="F72" s="8"/>
      <c r="G72" s="11">
        <v>272.0</v>
      </c>
      <c r="H72" s="11">
        <v>0.011</v>
      </c>
      <c r="I72" s="11">
        <v>0.097</v>
      </c>
      <c r="J72" s="9" t="s">
        <v>66</v>
      </c>
      <c r="K72" s="14" t="str">
        <f>IFERROR(__xludf.DUMMYFUNCTION("ARRAYFORMULA(VLOOKUP(A72,IMPORTRANGE(""https://docs.google.com/spreadsheets/d/1BuTWp7qHGjWhqrnf-OmePP568O4A5Am9ttzvVdP67zw/edit#gid=1603210130"", ""TOURISM!$A$2:$F$2692""), {2,3,4,5,6},0))"),"Africa")</f>
        <v>Africa</v>
      </c>
      <c r="L72" s="14">
        <f>IFERROR(__xludf.DUMMYFUNCTION("""COMPUTED_VALUE"""),1.03E8)</f>
        <v>103000000</v>
      </c>
      <c r="M72" s="14" t="str">
        <f>IFERROR(__xludf.DUMMYFUNCTION("""COMPUTED_VALUE"""),"Angola-Africa")</f>
        <v>Angola-Africa</v>
      </c>
      <c r="N72" s="14" t="str">
        <f>IFERROR(__xludf.DUMMYFUNCTION("""COMPUTED_VALUE"""),"2005")</f>
        <v>2005</v>
      </c>
      <c r="O72" s="14">
        <f>IFERROR(__xludf.DUMMYFUNCTION("""COMPUTED_VALUE"""),1.35E8)</f>
        <v>135000000</v>
      </c>
      <c r="P72" s="15">
        <f>IFERROR(__xludf.DUMMYFUNCTION("ARRAYFORMULA(VLOOKUP(A72,IMPORTRANGE(""https://docs.google.com/spreadsheets/d/1BuTWp7qHGjWhqrnf-OmePP568O4A5Am9ttzvVdP67zw/edit#gid=771602874"" ,""HUMAN RESOURCES!$A$2:$M$2692""), {2,3,4,5,6,7,8,9,10,11,12,13},0))"),0.049)</f>
        <v>0.049</v>
      </c>
      <c r="Q72" s="14">
        <f>IFERROR(__xludf.DUMMYFUNCTION("""COMPUTED_VALUE"""),0.122)</f>
        <v>0.122</v>
      </c>
      <c r="R72" s="14">
        <f>IFERROR(__xludf.DUMMYFUNCTION("""COMPUTED_VALUE"""),50.0)</f>
        <v>50</v>
      </c>
      <c r="S72" s="14">
        <f>IFERROR(__xludf.DUMMYFUNCTION("""COMPUTED_VALUE"""),47.0)</f>
        <v>47</v>
      </c>
      <c r="T72" s="14">
        <f>IFERROR(__xludf.DUMMYFUNCTION("""COMPUTED_VALUE"""),0.478)</f>
        <v>0.478</v>
      </c>
      <c r="U72" s="14">
        <f>IFERROR(__xludf.DUMMYFUNCTION("""COMPUTED_VALUE"""),0.498)</f>
        <v>0.498</v>
      </c>
      <c r="V72" s="14">
        <f>IFERROR(__xludf.DUMMYFUNCTION("""COMPUTED_VALUE"""),0.025)</f>
        <v>0.025</v>
      </c>
      <c r="W72" s="14">
        <f>IFERROR(__xludf.DUMMYFUNCTION("""COMPUTED_VALUE"""),1.6544376E7)</f>
        <v>16544376</v>
      </c>
      <c r="X72" s="14">
        <f>IFERROR(__xludf.DUMMYFUNCTION("""COMPUTED_VALUE"""),0.362)</f>
        <v>0.362</v>
      </c>
      <c r="Y72" s="14" t="str">
        <f>IFERROR(__xludf.DUMMYFUNCTION("""COMPUTED_VALUE"""),"Angola-Africa")</f>
        <v>Angola-Africa</v>
      </c>
      <c r="Z72" s="14" t="str">
        <f>IFERROR(__xludf.DUMMYFUNCTION("""COMPUTED_VALUE"""),"Africa")</f>
        <v>Africa</v>
      </c>
      <c r="AA72" s="14" t="str">
        <f>IFERROR(__xludf.DUMMYFUNCTION("""COMPUTED_VALUE"""),"2005")</f>
        <v>2005</v>
      </c>
      <c r="AB72" s="15" t="str">
        <f>IFERROR(__xludf.DUMMYFUNCTION("ARRAYFORMULA(VLOOKUP(A72,IMPORTRANGE(""https://docs.google.com/spreadsheets/d/1BuTWp7qHGjWhqrnf-OmePP568O4A5Am9ttzvVdP67zw/edit#gid=1931367683"" ,""ENERGY!$A$2:$F$2692""), {2,3,4,5,6},0))"),"Africa")</f>
        <v>Africa</v>
      </c>
      <c r="AC72" s="14" t="str">
        <f>IFERROR(__xludf.DUMMYFUNCTION("""COMPUTED_VALUE"""),"Angola-Africa")</f>
        <v>Angola-Africa</v>
      </c>
      <c r="AD72" s="14" t="str">
        <f>IFERROR(__xludf.DUMMYFUNCTION("""COMPUTED_VALUE"""),"2005")</f>
        <v>2005</v>
      </c>
      <c r="AE72" s="14">
        <f>IFERROR(__xludf.DUMMYFUNCTION("""COMPUTED_VALUE"""),10697.0)</f>
        <v>10697</v>
      </c>
      <c r="AF72" s="14">
        <f>IFERROR(__xludf.DUMMYFUNCTION("""COMPUTED_VALUE"""),25152.0)</f>
        <v>25152</v>
      </c>
    </row>
    <row r="73">
      <c r="A73" s="12">
        <v>72.0</v>
      </c>
      <c r="B73" s="12" t="s">
        <v>82</v>
      </c>
      <c r="C73" s="5" t="s">
        <v>77</v>
      </c>
      <c r="D73" s="11">
        <v>0.521</v>
      </c>
      <c r="E73" s="11">
        <v>119.0</v>
      </c>
      <c r="F73" s="8"/>
      <c r="G73" s="11">
        <v>272.0</v>
      </c>
      <c r="H73" s="11">
        <v>0.019</v>
      </c>
      <c r="I73" s="11">
        <v>0.178</v>
      </c>
      <c r="J73" s="9" t="s">
        <v>67</v>
      </c>
      <c r="K73" s="14" t="str">
        <f>IFERROR(__xludf.DUMMYFUNCTION("ARRAYFORMULA(VLOOKUP(A73,IMPORTRANGE(""https://docs.google.com/spreadsheets/d/1BuTWp7qHGjWhqrnf-OmePP568O4A5Am9ttzvVdP67zw/edit#gid=1603210130"", ""TOURISM!$A$2:$F$2692""), {2,3,4,5,6},0))"),"Africa")</f>
        <v>Africa</v>
      </c>
      <c r="L73" s="14">
        <f>IFERROR(__xludf.DUMMYFUNCTION("""COMPUTED_VALUE"""),9.1E7)</f>
        <v>91000000</v>
      </c>
      <c r="M73" s="14" t="str">
        <f>IFERROR(__xludf.DUMMYFUNCTION("""COMPUTED_VALUE"""),"Angola-Africa")</f>
        <v>Angola-Africa</v>
      </c>
      <c r="N73" s="14" t="str">
        <f>IFERROR(__xludf.DUMMYFUNCTION("""COMPUTED_VALUE"""),"2006")</f>
        <v>2006</v>
      </c>
      <c r="O73" s="14">
        <f>IFERROR(__xludf.DUMMYFUNCTION("""COMPUTED_VALUE"""),3.93E8)</f>
        <v>393000000</v>
      </c>
      <c r="P73" s="15">
        <f>IFERROR(__xludf.DUMMYFUNCTION("ARRAYFORMULA(VLOOKUP(A73,IMPORTRANGE(""https://docs.google.com/spreadsheets/d/1BuTWp7qHGjWhqrnf-OmePP568O4A5Am9ttzvVdP67zw/edit#gid=771602874"" ,""HUMAN RESOURCES!$A$2:$M$2692""), {2,3,4,5,6,7,8,9,10,11,12,13},0))"),0.049)</f>
        <v>0.049</v>
      </c>
      <c r="Q73" s="14">
        <f>IFERROR(__xludf.DUMMYFUNCTION("""COMPUTED_VALUE"""),0.12)</f>
        <v>0.12</v>
      </c>
      <c r="R73" s="14">
        <f>IFERROR(__xludf.DUMMYFUNCTION("""COMPUTED_VALUE"""),50.0)</f>
        <v>50</v>
      </c>
      <c r="S73" s="14">
        <f>IFERROR(__xludf.DUMMYFUNCTION("""COMPUTED_VALUE"""),48.0)</f>
        <v>48</v>
      </c>
      <c r="T73" s="14">
        <f>IFERROR(__xludf.DUMMYFUNCTION("""COMPUTED_VALUE"""),0.478)</f>
        <v>0.478</v>
      </c>
      <c r="U73" s="14">
        <f>IFERROR(__xludf.DUMMYFUNCTION("""COMPUTED_VALUE"""),0.497)</f>
        <v>0.497</v>
      </c>
      <c r="V73" s="14">
        <f>IFERROR(__xludf.DUMMYFUNCTION("""COMPUTED_VALUE"""),0.024)</f>
        <v>0.024</v>
      </c>
      <c r="W73" s="14">
        <f>IFERROR(__xludf.DUMMYFUNCTION("""COMPUTED_VALUE"""),1.7122409E7)</f>
        <v>17122409</v>
      </c>
      <c r="X73" s="14">
        <f>IFERROR(__xludf.DUMMYFUNCTION("""COMPUTED_VALUE"""),0.369)</f>
        <v>0.369</v>
      </c>
      <c r="Y73" s="14" t="str">
        <f>IFERROR(__xludf.DUMMYFUNCTION("""COMPUTED_VALUE"""),"Angola-Africa")</f>
        <v>Angola-Africa</v>
      </c>
      <c r="Z73" s="14" t="str">
        <f>IFERROR(__xludf.DUMMYFUNCTION("""COMPUTED_VALUE"""),"Africa")</f>
        <v>Africa</v>
      </c>
      <c r="AA73" s="14" t="str">
        <f>IFERROR(__xludf.DUMMYFUNCTION("""COMPUTED_VALUE"""),"2006")</f>
        <v>2006</v>
      </c>
      <c r="AB73" s="15" t="str">
        <f>IFERROR(__xludf.DUMMYFUNCTION("ARRAYFORMULA(VLOOKUP(A73,IMPORTRANGE(""https://docs.google.com/spreadsheets/d/1BuTWp7qHGjWhqrnf-OmePP568O4A5Am9ttzvVdP67zw/edit#gid=1931367683"" ,""ENERGY!$A$2:$F$2692""), {2,3,4,5,6},0))"),"Africa")</f>
        <v>Africa</v>
      </c>
      <c r="AC73" s="14" t="str">
        <f>IFERROR(__xludf.DUMMYFUNCTION("""COMPUTED_VALUE"""),"Angola-Africa")</f>
        <v>Angola-Africa</v>
      </c>
      <c r="AD73" s="14" t="str">
        <f>IFERROR(__xludf.DUMMYFUNCTION("""COMPUTED_VALUE"""),"2009")</f>
        <v>2009</v>
      </c>
      <c r="AE73" s="14">
        <f>IFERROR(__xludf.DUMMYFUNCTION("""COMPUTED_VALUE"""),10006.0)</f>
        <v>10006</v>
      </c>
      <c r="AF73" s="14">
        <f>IFERROR(__xludf.DUMMYFUNCTION("""COMPUTED_VALUE"""),22266.0)</f>
        <v>22266</v>
      </c>
    </row>
    <row r="74">
      <c r="A74" s="12">
        <v>73.0</v>
      </c>
      <c r="B74" s="12" t="s">
        <v>82</v>
      </c>
      <c r="C74" s="5" t="s">
        <v>77</v>
      </c>
      <c r="D74" s="11">
        <v>0.521</v>
      </c>
      <c r="E74" s="11">
        <v>119.0</v>
      </c>
      <c r="F74" s="8"/>
      <c r="G74" s="11">
        <v>272.0</v>
      </c>
      <c r="H74" s="11">
        <v>0.032</v>
      </c>
      <c r="I74" s="11">
        <v>0.28</v>
      </c>
      <c r="J74" s="9" t="s">
        <v>68</v>
      </c>
      <c r="K74" s="14" t="str">
        <f>IFERROR(__xludf.DUMMYFUNCTION("ARRAYFORMULA(VLOOKUP(A74,IMPORTRANGE(""https://docs.google.com/spreadsheets/d/1BuTWp7qHGjWhqrnf-OmePP568O4A5Am9ttzvVdP67zw/edit#gid=1603210130"", ""TOURISM!$A$2:$F$2692""), {2,3,4,5,6},0))"),"Africa")</f>
        <v>Africa</v>
      </c>
      <c r="L74" s="14">
        <f>IFERROR(__xludf.DUMMYFUNCTION("""COMPUTED_VALUE"""),2.36E8)</f>
        <v>236000000</v>
      </c>
      <c r="M74" s="14" t="str">
        <f>IFERROR(__xludf.DUMMYFUNCTION("""COMPUTED_VALUE"""),"Angola-Africa")</f>
        <v>Angola-Africa</v>
      </c>
      <c r="N74" s="14" t="str">
        <f>IFERROR(__xludf.DUMMYFUNCTION("""COMPUTED_VALUE"""),"2007")</f>
        <v>2007</v>
      </c>
      <c r="O74" s="14">
        <f>IFERROR(__xludf.DUMMYFUNCTION("""COMPUTED_VALUE"""),4.73E8)</f>
        <v>473000000</v>
      </c>
      <c r="P74" s="15">
        <f>IFERROR(__xludf.DUMMYFUNCTION("ARRAYFORMULA(VLOOKUP(A74,IMPORTRANGE(""https://docs.google.com/spreadsheets/d/1BuTWp7qHGjWhqrnf-OmePP568O4A5Am9ttzvVdP67zw/edit#gid=771602874"" ,""HUMAN RESOURCES!$A$2:$M$2692""), {2,3,4,5,6,7,8,9,10,11,12,13},0))"),0.048)</f>
        <v>0.048</v>
      </c>
      <c r="Q74" s="14">
        <f>IFERROR(__xludf.DUMMYFUNCTION("""COMPUTED_VALUE"""),0.117)</f>
        <v>0.117</v>
      </c>
      <c r="R74" s="14">
        <f>IFERROR(__xludf.DUMMYFUNCTION("""COMPUTED_VALUE"""),51.0)</f>
        <v>51</v>
      </c>
      <c r="S74" s="14">
        <f>IFERROR(__xludf.DUMMYFUNCTION("""COMPUTED_VALUE"""),48.0)</f>
        <v>48</v>
      </c>
      <c r="T74" s="14">
        <f>IFERROR(__xludf.DUMMYFUNCTION("""COMPUTED_VALUE"""),0.479)</f>
        <v>0.479</v>
      </c>
      <c r="U74" s="14">
        <f>IFERROR(__xludf.DUMMYFUNCTION("""COMPUTED_VALUE"""),0.497)</f>
        <v>0.497</v>
      </c>
      <c r="V74" s="14">
        <f>IFERROR(__xludf.DUMMYFUNCTION("""COMPUTED_VALUE"""),0.024)</f>
        <v>0.024</v>
      </c>
      <c r="W74" s="14">
        <f>IFERROR(__xludf.DUMMYFUNCTION("""COMPUTED_VALUE"""),1.7712824E7)</f>
        <v>17712824</v>
      </c>
      <c r="X74" s="14">
        <f>IFERROR(__xludf.DUMMYFUNCTION("""COMPUTED_VALUE"""),0.377)</f>
        <v>0.377</v>
      </c>
      <c r="Y74" s="14" t="str">
        <f>IFERROR(__xludf.DUMMYFUNCTION("""COMPUTED_VALUE"""),"Angola-Africa")</f>
        <v>Angola-Africa</v>
      </c>
      <c r="Z74" s="14" t="str">
        <f>IFERROR(__xludf.DUMMYFUNCTION("""COMPUTED_VALUE"""),"Africa")</f>
        <v>Africa</v>
      </c>
      <c r="AA74" s="14" t="str">
        <f>IFERROR(__xludf.DUMMYFUNCTION("""COMPUTED_VALUE"""),"2007")</f>
        <v>2007</v>
      </c>
      <c r="AB74" s="15" t="str">
        <f>IFERROR(__xludf.DUMMYFUNCTION("ARRAYFORMULA(VLOOKUP(A74,IMPORTRANGE(""https://docs.google.com/spreadsheets/d/1BuTWp7qHGjWhqrnf-OmePP568O4A5Am9ttzvVdP67zw/edit#gid=1931367683"" ,""ENERGY!$A$2:$F$2692""), {2,3,4,5,6},0))"),"Africa")</f>
        <v>Africa</v>
      </c>
      <c r="AC74" s="14" t="str">
        <f>IFERROR(__xludf.DUMMYFUNCTION("""COMPUTED_VALUE"""),"Angola-Africa")</f>
        <v>Angola-Africa</v>
      </c>
      <c r="AD74" s="14" t="str">
        <f>IFERROR(__xludf.DUMMYFUNCTION("""COMPUTED_VALUE"""),"2005")</f>
        <v>2005</v>
      </c>
      <c r="AE74" s="14">
        <f>IFERROR(__xludf.DUMMYFUNCTION("""COMPUTED_VALUE"""),9356.0)</f>
        <v>9356</v>
      </c>
      <c r="AF74" s="14">
        <f>IFERROR(__xludf.DUMMYFUNCTION("""COMPUTED_VALUE"""),19156.0)</f>
        <v>19156</v>
      </c>
    </row>
    <row r="75">
      <c r="A75" s="12">
        <v>74.0</v>
      </c>
      <c r="B75" s="12" t="s">
        <v>82</v>
      </c>
      <c r="C75" s="5" t="s">
        <v>77</v>
      </c>
      <c r="D75" s="11">
        <v>0.521</v>
      </c>
      <c r="E75" s="11">
        <v>68.0</v>
      </c>
      <c r="F75" s="8"/>
      <c r="G75" s="11">
        <v>272.0</v>
      </c>
      <c r="H75" s="11">
        <v>0.046</v>
      </c>
      <c r="I75" s="11">
        <v>0.37</v>
      </c>
      <c r="J75" s="9" t="s">
        <v>69</v>
      </c>
      <c r="K75" s="14" t="str">
        <f>IFERROR(__xludf.DUMMYFUNCTION("ARRAYFORMULA(VLOOKUP(A75,IMPORTRANGE(""https://docs.google.com/spreadsheets/d/1BuTWp7qHGjWhqrnf-OmePP568O4A5Am9ttzvVdP67zw/edit#gid=1603210130"", ""TOURISM!$A$2:$F$2692""), {2,3,4,5,6},0))"),"Africa")</f>
        <v>Africa</v>
      </c>
      <c r="L75" s="14">
        <f>IFERROR(__xludf.DUMMYFUNCTION("""COMPUTED_VALUE"""),2.93E8)</f>
        <v>293000000</v>
      </c>
      <c r="M75" s="14" t="str">
        <f>IFERROR(__xludf.DUMMYFUNCTION("""COMPUTED_VALUE"""),"Angola-Africa")</f>
        <v>Angola-Africa</v>
      </c>
      <c r="N75" s="14" t="str">
        <f>IFERROR(__xludf.DUMMYFUNCTION("""COMPUTED_VALUE"""),"2008")</f>
        <v>2008</v>
      </c>
      <c r="O75" s="14">
        <f>IFERROR(__xludf.DUMMYFUNCTION("""COMPUTED_VALUE"""),4.47E8)</f>
        <v>447000000</v>
      </c>
      <c r="P75" s="15">
        <f>IFERROR(__xludf.DUMMYFUNCTION("ARRAYFORMULA(VLOOKUP(A75,IMPORTRANGE(""https://docs.google.com/spreadsheets/d/1BuTWp7qHGjWhqrnf-OmePP568O4A5Am9ttzvVdP67zw/edit#gid=771602874"" ,""HUMAN RESOURCES!$A$2:$M$2692""), {2,3,4,5,6,7,8,9,10,11,12,13},0))"),0.048)</f>
        <v>0.048</v>
      </c>
      <c r="Q75" s="14">
        <f>IFERROR(__xludf.DUMMYFUNCTION("""COMPUTED_VALUE"""),0.115)</f>
        <v>0.115</v>
      </c>
      <c r="R75" s="14">
        <f>IFERROR(__xludf.DUMMYFUNCTION("""COMPUTED_VALUE"""),51.0)</f>
        <v>51</v>
      </c>
      <c r="S75" s="14">
        <f>IFERROR(__xludf.DUMMYFUNCTION("""COMPUTED_VALUE"""),48.0)</f>
        <v>48</v>
      </c>
      <c r="T75" s="14">
        <f>IFERROR(__xludf.DUMMYFUNCTION("""COMPUTED_VALUE"""),0.479)</f>
        <v>0.479</v>
      </c>
      <c r="U75" s="14">
        <f>IFERROR(__xludf.DUMMYFUNCTION("""COMPUTED_VALUE"""),0.497)</f>
        <v>0.497</v>
      </c>
      <c r="V75" s="14">
        <f>IFERROR(__xludf.DUMMYFUNCTION("""COMPUTED_VALUE"""),0.024)</f>
        <v>0.024</v>
      </c>
      <c r="W75" s="14">
        <f>IFERROR(__xludf.DUMMYFUNCTION("""COMPUTED_VALUE"""),1.8314441E7)</f>
        <v>18314441</v>
      </c>
      <c r="X75" s="14">
        <f>IFERROR(__xludf.DUMMYFUNCTION("""COMPUTED_VALUE"""),0.385)</f>
        <v>0.385</v>
      </c>
      <c r="Y75" s="14" t="str">
        <f>IFERROR(__xludf.DUMMYFUNCTION("""COMPUTED_VALUE"""),"Angola-Africa")</f>
        <v>Angola-Africa</v>
      </c>
      <c r="Z75" s="14" t="str">
        <f>IFERROR(__xludf.DUMMYFUNCTION("""COMPUTED_VALUE"""),"Africa")</f>
        <v>Africa</v>
      </c>
      <c r="AA75" s="14" t="str">
        <f>IFERROR(__xludf.DUMMYFUNCTION("""COMPUTED_VALUE"""),"2008")</f>
        <v>2008</v>
      </c>
      <c r="AB75" s="15" t="str">
        <f>IFERROR(__xludf.DUMMYFUNCTION("ARRAYFORMULA(VLOOKUP(A75,IMPORTRANGE(""https://docs.google.com/spreadsheets/d/1BuTWp7qHGjWhqrnf-OmePP568O4A5Am9ttzvVdP67zw/edit#gid=1931367683"" ,""ENERGY!$A$2:$F$2692""), {2,3,4,5,6},0))"),"Africa")</f>
        <v>Africa</v>
      </c>
      <c r="AC75" s="14" t="str">
        <f>IFERROR(__xludf.DUMMYFUNCTION("""COMPUTED_VALUE"""),"Angola-Africa")</f>
        <v>Angola-Africa</v>
      </c>
      <c r="AD75" s="14" t="str">
        <f>IFERROR(__xludf.DUMMYFUNCTION("""COMPUTED_VALUE"""),"2011")</f>
        <v>2011</v>
      </c>
      <c r="AE75" s="14">
        <f>IFERROR(__xludf.DUMMYFUNCTION("""COMPUTED_VALUE"""),9676.0)</f>
        <v>9676</v>
      </c>
      <c r="AF75" s="14">
        <f>IFERROR(__xludf.DUMMYFUNCTION("""COMPUTED_VALUE"""),18793.0)</f>
        <v>18793</v>
      </c>
    </row>
    <row r="76">
      <c r="A76" s="12">
        <v>75.0</v>
      </c>
      <c r="B76" s="12" t="s">
        <v>82</v>
      </c>
      <c r="C76" s="5" t="s">
        <v>77</v>
      </c>
      <c r="D76" s="11">
        <v>0.521</v>
      </c>
      <c r="E76" s="11">
        <v>68.0</v>
      </c>
      <c r="F76" s="8"/>
      <c r="G76" s="11">
        <v>272.0</v>
      </c>
      <c r="H76" s="11">
        <v>0.06</v>
      </c>
      <c r="I76" s="11">
        <v>0.428</v>
      </c>
      <c r="J76" s="9" t="s">
        <v>70</v>
      </c>
      <c r="K76" s="14" t="str">
        <f>IFERROR(__xludf.DUMMYFUNCTION("ARRAYFORMULA(VLOOKUP(A76,IMPORTRANGE(""https://docs.google.com/spreadsheets/d/1BuTWp7qHGjWhqrnf-OmePP568O4A5Am9ttzvVdP67zw/edit#gid=1603210130"", ""TOURISM!$A$2:$F$2692""), {2,3,4,5,6},0))"),"Africa")</f>
        <v>Africa</v>
      </c>
      <c r="L76" s="14">
        <f>IFERROR(__xludf.DUMMYFUNCTION("""COMPUTED_VALUE"""),5.54E8)</f>
        <v>554000000</v>
      </c>
      <c r="M76" s="14" t="str">
        <f>IFERROR(__xludf.DUMMYFUNCTION("""COMPUTED_VALUE"""),"Angola-Africa")</f>
        <v>Angola-Africa</v>
      </c>
      <c r="N76" s="14" t="str">
        <f>IFERROR(__xludf.DUMMYFUNCTION("""COMPUTED_VALUE"""),"2009")</f>
        <v>2009</v>
      </c>
      <c r="O76" s="14">
        <f>IFERROR(__xludf.DUMMYFUNCTION("""COMPUTED_VALUE"""),2.7E8)</f>
        <v>270000000</v>
      </c>
      <c r="P76" s="15">
        <f>IFERROR(__xludf.DUMMYFUNCTION("ARRAYFORMULA(VLOOKUP(A76,IMPORTRANGE(""https://docs.google.com/spreadsheets/d/1BuTWp7qHGjWhqrnf-OmePP568O4A5Am9ttzvVdP67zw/edit#gid=771602874"" ,""HUMAN RESOURCES!$A$2:$M$2692""), {2,3,4,5,6,7,8,9,10,11,12,13},0))"),0.047)</f>
        <v>0.047</v>
      </c>
      <c r="Q76" s="14">
        <f>IFERROR(__xludf.DUMMYFUNCTION("""COMPUTED_VALUE"""),0.112)</f>
        <v>0.112</v>
      </c>
      <c r="R76" s="14">
        <f>IFERROR(__xludf.DUMMYFUNCTION("""COMPUTED_VALUE"""),52.0)</f>
        <v>52</v>
      </c>
      <c r="S76" s="14">
        <f>IFERROR(__xludf.DUMMYFUNCTION("""COMPUTED_VALUE"""),49.0)</f>
        <v>49</v>
      </c>
      <c r="T76" s="14">
        <f>IFERROR(__xludf.DUMMYFUNCTION("""COMPUTED_VALUE"""),0.479)</f>
        <v>0.479</v>
      </c>
      <c r="U76" s="14">
        <f>IFERROR(__xludf.DUMMYFUNCTION("""COMPUTED_VALUE"""),0.497)</f>
        <v>0.497</v>
      </c>
      <c r="V76" s="14">
        <f>IFERROR(__xludf.DUMMYFUNCTION("""COMPUTED_VALUE"""),0.024)</f>
        <v>0.024</v>
      </c>
      <c r="W76" s="14">
        <f>IFERROR(__xludf.DUMMYFUNCTION("""COMPUTED_VALUE"""),1.892665E7)</f>
        <v>18926650</v>
      </c>
      <c r="X76" s="14">
        <f>IFERROR(__xludf.DUMMYFUNCTION("""COMPUTED_VALUE"""),0.393)</f>
        <v>0.393</v>
      </c>
      <c r="Y76" s="14" t="str">
        <f>IFERROR(__xludf.DUMMYFUNCTION("""COMPUTED_VALUE"""),"Angola-Africa")</f>
        <v>Angola-Africa</v>
      </c>
      <c r="Z76" s="14" t="str">
        <f>IFERROR(__xludf.DUMMYFUNCTION("""COMPUTED_VALUE"""),"Africa")</f>
        <v>Africa</v>
      </c>
      <c r="AA76" s="14" t="str">
        <f>IFERROR(__xludf.DUMMYFUNCTION("""COMPUTED_VALUE"""),"2009")</f>
        <v>2009</v>
      </c>
      <c r="AB76" s="15" t="str">
        <f>IFERROR(__xludf.DUMMYFUNCTION("ARRAYFORMULA(VLOOKUP(A76,IMPORTRANGE(""https://docs.google.com/spreadsheets/d/1BuTWp7qHGjWhqrnf-OmePP568O4A5Am9ttzvVdP67zw/edit#gid=1931367683"" ,""ENERGY!$A$2:$F$2692""), {2,3,4,5,6},0))"),"Africa")</f>
        <v>Africa</v>
      </c>
      <c r="AC76" s="14" t="str">
        <f>IFERROR(__xludf.DUMMYFUNCTION("""COMPUTED_VALUE"""),"Angola-Africa")</f>
        <v>Angola-Africa</v>
      </c>
      <c r="AD76" s="14" t="str">
        <f>IFERROR(__xludf.DUMMYFUNCTION("""COMPUTED_VALUE"""),"2008")</f>
        <v>2008</v>
      </c>
      <c r="AE76" s="14">
        <f>IFERROR(__xludf.DUMMYFUNCTION("""COMPUTED_VALUE"""),9004.0)</f>
        <v>9004</v>
      </c>
      <c r="AF76" s="14">
        <f>IFERROR(__xludf.DUMMYFUNCTION("""COMPUTED_VALUE"""),9065.0)</f>
        <v>9065</v>
      </c>
    </row>
    <row r="77">
      <c r="A77" s="12">
        <v>76.0</v>
      </c>
      <c r="B77" s="12" t="s">
        <v>82</v>
      </c>
      <c r="C77" s="5" t="s">
        <v>77</v>
      </c>
      <c r="D77" s="11">
        <v>0.521</v>
      </c>
      <c r="E77" s="11">
        <v>66.0</v>
      </c>
      <c r="F77" s="8"/>
      <c r="G77" s="11">
        <v>282.0</v>
      </c>
      <c r="H77" s="11">
        <v>0.1</v>
      </c>
      <c r="I77" s="11">
        <v>0.481</v>
      </c>
      <c r="J77" s="9" t="s">
        <v>71</v>
      </c>
      <c r="K77" s="14" t="str">
        <f>IFERROR(__xludf.DUMMYFUNCTION("ARRAYFORMULA(VLOOKUP(A77,IMPORTRANGE(""https://docs.google.com/spreadsheets/d/1BuTWp7qHGjWhqrnf-OmePP568O4A5Am9ttzvVdP67zw/edit#gid=1603210130"", ""TOURISM!$A$2:$F$2692""), {2,3,4,5,6},0))"),"Africa")</f>
        <v>Africa</v>
      </c>
      <c r="L77" s="14">
        <f>IFERROR(__xludf.DUMMYFUNCTION("""COMPUTED_VALUE"""),7.26E8)</f>
        <v>726000000</v>
      </c>
      <c r="M77" s="14" t="str">
        <f>IFERROR(__xludf.DUMMYFUNCTION("""COMPUTED_VALUE"""),"Angola-Africa")</f>
        <v>Angola-Africa</v>
      </c>
      <c r="N77" s="14" t="str">
        <f>IFERROR(__xludf.DUMMYFUNCTION("""COMPUTED_VALUE"""),"2010")</f>
        <v>2010</v>
      </c>
      <c r="O77" s="14">
        <f>IFERROR(__xludf.DUMMYFUNCTION("""COMPUTED_VALUE"""),2.75E8)</f>
        <v>275000000</v>
      </c>
      <c r="P77" s="15">
        <f>IFERROR(__xludf.DUMMYFUNCTION("ARRAYFORMULA(VLOOKUP(A77,IMPORTRANGE(""https://docs.google.com/spreadsheets/d/1BuTWp7qHGjWhqrnf-OmePP568O4A5Am9ttzvVdP67zw/edit#gid=771602874"" ,""HUMAN RESOURCES!$A$2:$M$2692""), {2,3,4,5,6,7,8,9,10,11,12,13},0))"),0.046)</f>
        <v>0.046</v>
      </c>
      <c r="Q77" s="14">
        <f>IFERROR(__xludf.DUMMYFUNCTION("""COMPUTED_VALUE"""),0.11)</f>
        <v>0.11</v>
      </c>
      <c r="R77" s="14">
        <f>IFERROR(__xludf.DUMMYFUNCTION("""COMPUTED_VALUE"""),52.0)</f>
        <v>52</v>
      </c>
      <c r="S77" s="14">
        <f>IFERROR(__xludf.DUMMYFUNCTION("""COMPUTED_VALUE"""),49.0)</f>
        <v>49</v>
      </c>
      <c r="T77" s="14">
        <f>IFERROR(__xludf.DUMMYFUNCTION("""COMPUTED_VALUE"""),0.478)</f>
        <v>0.478</v>
      </c>
      <c r="U77" s="14">
        <f>IFERROR(__xludf.DUMMYFUNCTION("""COMPUTED_VALUE"""),0.498)</f>
        <v>0.498</v>
      </c>
      <c r="V77" s="14">
        <f>IFERROR(__xludf.DUMMYFUNCTION("""COMPUTED_VALUE"""),0.024)</f>
        <v>0.024</v>
      </c>
      <c r="W77" s="14">
        <f>IFERROR(__xludf.DUMMYFUNCTION("""COMPUTED_VALUE"""),1.9549124E7)</f>
        <v>19549124</v>
      </c>
      <c r="X77" s="14">
        <f>IFERROR(__xludf.DUMMYFUNCTION("""COMPUTED_VALUE"""),0.401)</f>
        <v>0.401</v>
      </c>
      <c r="Y77" s="14" t="str">
        <f>IFERROR(__xludf.DUMMYFUNCTION("""COMPUTED_VALUE"""),"Angola-Africa")</f>
        <v>Angola-Africa</v>
      </c>
      <c r="Z77" s="14" t="str">
        <f>IFERROR(__xludf.DUMMYFUNCTION("""COMPUTED_VALUE"""),"Africa")</f>
        <v>Africa</v>
      </c>
      <c r="AA77" s="14" t="str">
        <f>IFERROR(__xludf.DUMMYFUNCTION("""COMPUTED_VALUE"""),"2010")</f>
        <v>2010</v>
      </c>
      <c r="AB77" s="15" t="str">
        <f>IFERROR(__xludf.DUMMYFUNCTION("ARRAYFORMULA(VLOOKUP(A77,IMPORTRANGE(""https://docs.google.com/spreadsheets/d/1BuTWp7qHGjWhqrnf-OmePP568O4A5Am9ttzvVdP67zw/edit#gid=1931367683"" ,""ENERGY!$A$2:$F$2692""), {2,3,4,5,6},0))"),"Africa")</f>
        <v>Africa</v>
      </c>
      <c r="AC77" s="14" t="str">
        <f>IFERROR(__xludf.DUMMYFUNCTION("""COMPUTED_VALUE"""),"Angola-Africa")</f>
        <v>Angola-Africa</v>
      </c>
      <c r="AD77" s="14" t="str">
        <f>IFERROR(__xludf.DUMMYFUNCTION("""COMPUTED_VALUE"""),"2012")</f>
        <v>2012</v>
      </c>
      <c r="AE77" s="14">
        <f>IFERROR(__xludf.DUMMYFUNCTION("""COMPUTED_VALUE"""),8304.0)</f>
        <v>8304</v>
      </c>
      <c r="AF77" s="14">
        <f>IFERROR(__xludf.DUMMYFUNCTION("""COMPUTED_VALUE"""),12666.0)</f>
        <v>12666</v>
      </c>
    </row>
    <row r="78">
      <c r="A78" s="12">
        <v>77.0</v>
      </c>
      <c r="B78" s="12" t="s">
        <v>82</v>
      </c>
      <c r="C78" s="5" t="s">
        <v>77</v>
      </c>
      <c r="D78" s="11">
        <v>0.521</v>
      </c>
      <c r="E78" s="11">
        <v>66.0</v>
      </c>
      <c r="F78" s="8"/>
      <c r="G78" s="11">
        <v>282.0</v>
      </c>
      <c r="H78" s="11">
        <v>0.148</v>
      </c>
      <c r="I78" s="11">
        <v>0.53</v>
      </c>
      <c r="J78" s="9" t="s">
        <v>72</v>
      </c>
      <c r="K78" s="14" t="str">
        <f>IFERROR(__xludf.DUMMYFUNCTION("ARRAYFORMULA(VLOOKUP(A78,IMPORTRANGE(""https://docs.google.com/spreadsheets/d/1BuTWp7qHGjWhqrnf-OmePP568O4A5Am9ttzvVdP67zw/edit#gid=1603210130"", ""TOURISM!$A$2:$F$2692""), {2,3,4,5,6},0))"),"Africa")</f>
        <v>Africa</v>
      </c>
      <c r="L78" s="14">
        <f>IFERROR(__xludf.DUMMYFUNCTION("""COMPUTED_VALUE"""),6.53E8)</f>
        <v>653000000</v>
      </c>
      <c r="M78" s="14" t="str">
        <f>IFERROR(__xludf.DUMMYFUNCTION("""COMPUTED_VALUE"""),"Angola-Africa")</f>
        <v>Angola-Africa</v>
      </c>
      <c r="N78" s="14" t="str">
        <f>IFERROR(__xludf.DUMMYFUNCTION("""COMPUTED_VALUE"""),"2011")</f>
        <v>2011</v>
      </c>
      <c r="O78" s="14">
        <f>IFERROR(__xludf.DUMMYFUNCTION("""COMPUTED_VALUE"""),3.23E8)</f>
        <v>323000000</v>
      </c>
      <c r="P78" s="15">
        <f>IFERROR(__xludf.DUMMYFUNCTION("ARRAYFORMULA(VLOOKUP(A78,IMPORTRANGE(""https://docs.google.com/spreadsheets/d/1BuTWp7qHGjWhqrnf-OmePP568O4A5Am9ttzvVdP67zw/edit#gid=771602874"" ,""HUMAN RESOURCES!$A$2:$M$2692""), {2,3,4,5,6,7,8,9,10,11,12,13},0))"),0.046)</f>
        <v>0.046</v>
      </c>
      <c r="Q78" s="14">
        <f>IFERROR(__xludf.DUMMYFUNCTION("""COMPUTED_VALUE"""),0.107)</f>
        <v>0.107</v>
      </c>
      <c r="R78" s="14">
        <f>IFERROR(__xludf.DUMMYFUNCTION("""COMPUTED_VALUE"""),53.0)</f>
        <v>53</v>
      </c>
      <c r="S78" s="14">
        <f>IFERROR(__xludf.DUMMYFUNCTION("""COMPUTED_VALUE"""),50.0)</f>
        <v>50</v>
      </c>
      <c r="T78" s="14">
        <f>IFERROR(__xludf.DUMMYFUNCTION("""COMPUTED_VALUE"""),0.477)</f>
        <v>0.477</v>
      </c>
      <c r="U78" s="14">
        <f>IFERROR(__xludf.DUMMYFUNCTION("""COMPUTED_VALUE"""),0.499)</f>
        <v>0.499</v>
      </c>
      <c r="V78" s="14">
        <f>IFERROR(__xludf.DUMMYFUNCTION("""COMPUTED_VALUE"""),0.024)</f>
        <v>0.024</v>
      </c>
      <c r="W78" s="14">
        <f>IFERROR(__xludf.DUMMYFUNCTION("""COMPUTED_VALUE"""),2.018049E7)</f>
        <v>20180490</v>
      </c>
      <c r="X78" s="14">
        <f>IFERROR(__xludf.DUMMYFUNCTION("""COMPUTED_VALUE"""),0.409)</f>
        <v>0.409</v>
      </c>
      <c r="Y78" s="14" t="str">
        <f>IFERROR(__xludf.DUMMYFUNCTION("""COMPUTED_VALUE"""),"Angola-Africa")</f>
        <v>Angola-Africa</v>
      </c>
      <c r="Z78" s="14" t="str">
        <f>IFERROR(__xludf.DUMMYFUNCTION("""COMPUTED_VALUE"""),"Africa")</f>
        <v>Africa</v>
      </c>
      <c r="AA78" s="14" t="str">
        <f>IFERROR(__xludf.DUMMYFUNCTION("""COMPUTED_VALUE"""),"2011")</f>
        <v>2011</v>
      </c>
      <c r="AB78" s="15" t="str">
        <f>IFERROR(__xludf.DUMMYFUNCTION("ARRAYFORMULA(VLOOKUP(A78,IMPORTRANGE(""https://docs.google.com/spreadsheets/d/1BuTWp7qHGjWhqrnf-OmePP568O4A5Am9ttzvVdP67zw/edit#gid=1931367683"" ,""ENERGY!$A$2:$F$2692""), {2,3,4,5,6},0))"),"Africa")</f>
        <v>Africa</v>
      </c>
      <c r="AC78" s="14" t="str">
        <f>IFERROR(__xludf.DUMMYFUNCTION("""COMPUTED_VALUE"""),"Angola-Africa")</f>
        <v>Angola-Africa</v>
      </c>
      <c r="AD78" s="14" t="str">
        <f>IFERROR(__xludf.DUMMYFUNCTION("""COMPUTED_VALUE"""),"2011")</f>
        <v>2011</v>
      </c>
      <c r="AE78" s="14">
        <f>IFERROR(__xludf.DUMMYFUNCTION("""COMPUTED_VALUE"""),7883.0)</f>
        <v>7883</v>
      </c>
      <c r="AF78" s="14">
        <f>IFERROR(__xludf.DUMMYFUNCTION("""COMPUTED_VALUE"""),9732.0)</f>
        <v>9732</v>
      </c>
    </row>
    <row r="79">
      <c r="A79" s="12">
        <v>78.0</v>
      </c>
      <c r="B79" s="12" t="s">
        <v>82</v>
      </c>
      <c r="C79" s="5" t="s">
        <v>77</v>
      </c>
      <c r="D79" s="11">
        <v>0.521</v>
      </c>
      <c r="E79" s="11">
        <v>66.0</v>
      </c>
      <c r="F79" s="11">
        <v>178.0</v>
      </c>
      <c r="G79" s="11">
        <v>282.0</v>
      </c>
      <c r="H79" s="11">
        <v>0.169</v>
      </c>
      <c r="I79" s="11">
        <v>0.614</v>
      </c>
      <c r="J79" s="9" t="s">
        <v>73</v>
      </c>
      <c r="K79" s="14" t="str">
        <f>IFERROR(__xludf.DUMMYFUNCTION("ARRAYFORMULA(VLOOKUP(A79,IMPORTRANGE(""https://docs.google.com/spreadsheets/d/1BuTWp7qHGjWhqrnf-OmePP568O4A5Am9ttzvVdP67zw/edit#gid=1603210130"", ""TOURISM!$A$2:$F$2692""), {2,3,4,5,6},0))"),"Africa")</f>
        <v>Africa</v>
      </c>
      <c r="L79" s="14">
        <f>IFERROR(__xludf.DUMMYFUNCTION("""COMPUTED_VALUE"""),7.11E8)</f>
        <v>711000000</v>
      </c>
      <c r="M79" s="14" t="str">
        <f>IFERROR(__xludf.DUMMYFUNCTION("""COMPUTED_VALUE"""),"Angola-Africa")</f>
        <v>Angola-Africa</v>
      </c>
      <c r="N79" s="14" t="str">
        <f>IFERROR(__xludf.DUMMYFUNCTION("""COMPUTED_VALUE"""),"2012")</f>
        <v>2012</v>
      </c>
      <c r="O79" s="14">
        <f>IFERROR(__xludf.DUMMYFUNCTION("""COMPUTED_VALUE"""),2.92E8)</f>
        <v>292000000</v>
      </c>
      <c r="P79" s="15">
        <f>IFERROR(__xludf.DUMMYFUNCTION("ARRAYFORMULA(VLOOKUP(A79,IMPORTRANGE(""https://docs.google.com/spreadsheets/d/1BuTWp7qHGjWhqrnf-OmePP568O4A5Am9ttzvVdP67zw/edit#gid=771602874"" ,""HUMAN RESOURCES!$A$2:$M$2692""), {2,3,4,5,6,7,8,9,10,11,12,13},0))"),0.045)</f>
        <v>0.045</v>
      </c>
      <c r="Q79" s="14">
        <f>IFERROR(__xludf.DUMMYFUNCTION("""COMPUTED_VALUE"""),0.104)</f>
        <v>0.104</v>
      </c>
      <c r="R79" s="14">
        <f>IFERROR(__xludf.DUMMYFUNCTION("""COMPUTED_VALUE"""),53.0)</f>
        <v>53</v>
      </c>
      <c r="S79" s="14">
        <f>IFERROR(__xludf.DUMMYFUNCTION("""COMPUTED_VALUE"""),50.0)</f>
        <v>50</v>
      </c>
      <c r="T79" s="14">
        <f>IFERROR(__xludf.DUMMYFUNCTION("""COMPUTED_VALUE"""),0.476)</f>
        <v>0.476</v>
      </c>
      <c r="U79" s="14">
        <f>IFERROR(__xludf.DUMMYFUNCTION("""COMPUTED_VALUE"""),0.5)</f>
        <v>0.5</v>
      </c>
      <c r="V79" s="14">
        <f>IFERROR(__xludf.DUMMYFUNCTION("""COMPUTED_VALUE"""),0.024)</f>
        <v>0.024</v>
      </c>
      <c r="W79" s="14">
        <f>IFERROR(__xludf.DUMMYFUNCTION("""COMPUTED_VALUE"""),2.0820525E7)</f>
        <v>20820525</v>
      </c>
      <c r="X79" s="14">
        <f>IFERROR(__xludf.DUMMYFUNCTION("""COMPUTED_VALUE"""),0.417)</f>
        <v>0.417</v>
      </c>
      <c r="Y79" s="14" t="str">
        <f>IFERROR(__xludf.DUMMYFUNCTION("""COMPUTED_VALUE"""),"Angola-Africa")</f>
        <v>Angola-Africa</v>
      </c>
      <c r="Z79" s="14" t="str">
        <f>IFERROR(__xludf.DUMMYFUNCTION("""COMPUTED_VALUE"""),"Africa")</f>
        <v>Africa</v>
      </c>
      <c r="AA79" s="14" t="str">
        <f>IFERROR(__xludf.DUMMYFUNCTION("""COMPUTED_VALUE"""),"2012")</f>
        <v>2012</v>
      </c>
      <c r="AB79" s="15" t="str">
        <f>IFERROR(__xludf.DUMMYFUNCTION("ARRAYFORMULA(VLOOKUP(A79,IMPORTRANGE(""https://docs.google.com/spreadsheets/d/1BuTWp7qHGjWhqrnf-OmePP568O4A5Am9ttzvVdP67zw/edit#gid=1931367683"" ,""ENERGY!$A$2:$F$2692""), {2,3,4,5,6},0))"),"Africa")</f>
        <v>Africa</v>
      </c>
      <c r="AC79" s="14" t="str">
        <f>IFERROR(__xludf.DUMMYFUNCTION("""COMPUTED_VALUE"""),"Angola-Africa")</f>
        <v>Angola-Africa</v>
      </c>
      <c r="AD79" s="14" t="str">
        <f>IFERROR(__xludf.DUMMYFUNCTION("""COMPUTED_VALUE"""),"2008")</f>
        <v>2008</v>
      </c>
      <c r="AE79" s="14">
        <f>IFERROR(__xludf.DUMMYFUNCTION("""COMPUTED_VALUE"""),7499.0)</f>
        <v>7499</v>
      </c>
      <c r="AF79" s="14">
        <f>IFERROR(__xludf.DUMMYFUNCTION("""COMPUTED_VALUE"""),9542.0)</f>
        <v>9542</v>
      </c>
    </row>
    <row r="80">
      <c r="A80" s="12">
        <v>79.0</v>
      </c>
      <c r="B80" s="12" t="s">
        <v>83</v>
      </c>
      <c r="C80" s="5" t="s">
        <v>84</v>
      </c>
      <c r="D80" s="8"/>
      <c r="E80" s="8"/>
      <c r="F80" s="8"/>
      <c r="G80" s="8"/>
      <c r="H80" s="11">
        <v>0.065</v>
      </c>
      <c r="I80" s="11">
        <v>0.283</v>
      </c>
      <c r="J80" s="9" t="s">
        <v>60</v>
      </c>
      <c r="K80" s="14" t="str">
        <f>IFERROR(__xludf.DUMMYFUNCTION("ARRAYFORMULA(VLOOKUP(A80,IMPORTRANGE(""https://docs.google.com/spreadsheets/d/1BuTWp7qHGjWhqrnf-OmePP568O4A5Am9ttzvVdP67zw/edit#gid=1603210130"", ""TOURISM!$A$2:$F$2692""), {2,3,4,5,6},0))"),"The Americas")</f>
        <v>The Americas</v>
      </c>
      <c r="L80" s="14">
        <f>IFERROR(__xludf.DUMMYFUNCTION("""COMPUTED_VALUE"""),2.91E8)</f>
        <v>291000000</v>
      </c>
      <c r="M80" s="14" t="str">
        <f>IFERROR(__xludf.DUMMYFUNCTION("""COMPUTED_VALUE"""),"Antigua and Barbuda-The Americas")</f>
        <v>Antigua and Barbuda-The Americas</v>
      </c>
      <c r="N80" s="14" t="str">
        <f>IFERROR(__xludf.DUMMYFUNCTION("""COMPUTED_VALUE"""),"2000")</f>
        <v>2000</v>
      </c>
      <c r="O80" s="14">
        <f>IFERROR(__xludf.DUMMYFUNCTION("""COMPUTED_VALUE"""),3.1E7)</f>
        <v>31000000</v>
      </c>
      <c r="P80" s="15">
        <f>IFERROR(__xludf.DUMMYFUNCTION("ARRAYFORMULA(VLOOKUP(A80,IMPORTRANGE(""https://docs.google.com/spreadsheets/d/1BuTWp7qHGjWhqrnf-OmePP568O4A5Am9ttzvVdP67zw/edit#gid=771602874"" ,""HUMAN RESOURCES!$A$2:$M$2692""), {2,3,4,5,6,7,8,9,10,11,12,13},0))"),0.02)</f>
        <v>0.02</v>
      </c>
      <c r="Q80" s="14">
        <f>IFERROR(__xludf.DUMMYFUNCTION("""COMPUTED_VALUE"""),0.014)</f>
        <v>0.014</v>
      </c>
      <c r="R80" s="14">
        <f>IFERROR(__xludf.DUMMYFUNCTION("""COMPUTED_VALUE"""),76.0)</f>
        <v>76</v>
      </c>
      <c r="S80" s="14">
        <f>IFERROR(__xludf.DUMMYFUNCTION("""COMPUTED_VALUE"""),71.0)</f>
        <v>71</v>
      </c>
      <c r="T80" s="14">
        <f>IFERROR(__xludf.DUMMYFUNCTION("""COMPUTED_VALUE"""),0.292)</f>
        <v>0.292</v>
      </c>
      <c r="U80" s="14">
        <f>IFERROR(__xludf.DUMMYFUNCTION("""COMPUTED_VALUE"""),0.637)</f>
        <v>0.637</v>
      </c>
      <c r="V80" s="14">
        <f>IFERROR(__xludf.DUMMYFUNCTION("""COMPUTED_VALUE"""),0.071)</f>
        <v>0.071</v>
      </c>
      <c r="W80" s="14">
        <f>IFERROR(__xludf.DUMMYFUNCTION("""COMPUTED_VALUE"""),77648.0)</f>
        <v>77648</v>
      </c>
      <c r="X80" s="14">
        <f>IFERROR(__xludf.DUMMYFUNCTION("""COMPUTED_VALUE"""),0.321)</f>
        <v>0.321</v>
      </c>
      <c r="Y80" s="14" t="str">
        <f>IFERROR(__xludf.DUMMYFUNCTION("""COMPUTED_VALUE"""),"Antigua and Barbuda-The Americas")</f>
        <v>Antigua and Barbuda-The Americas</v>
      </c>
      <c r="Z80" s="14" t="str">
        <f>IFERROR(__xludf.DUMMYFUNCTION("""COMPUTED_VALUE"""),"The Americas")</f>
        <v>The Americas</v>
      </c>
      <c r="AA80" s="14" t="str">
        <f>IFERROR(__xludf.DUMMYFUNCTION("""COMPUTED_VALUE"""),"2000")</f>
        <v>2000</v>
      </c>
      <c r="AB80" s="15" t="str">
        <f>IFERROR(__xludf.DUMMYFUNCTION("ARRAYFORMULA(VLOOKUP(A80,IMPORTRANGE(""https://docs.google.com/spreadsheets/d/1BuTWp7qHGjWhqrnf-OmePP568O4A5Am9ttzvVdP67zw/edit#gid=1931367683"" ,""ENERGY!$A$2:$F$2692""), {2,3,4,5,6},0))"),"The Americas")</f>
        <v>The Americas</v>
      </c>
      <c r="AC80" s="14" t="str">
        <f>IFERROR(__xludf.DUMMYFUNCTION("""COMPUTED_VALUE"""),"Antigua and Barbuda-The Americas")</f>
        <v>Antigua and Barbuda-The Americas</v>
      </c>
      <c r="AD80" s="14" t="str">
        <f>IFERROR(__xludf.DUMMYFUNCTION("""COMPUTED_VALUE"""),"2000")</f>
        <v>2000</v>
      </c>
      <c r="AE80" s="14"/>
      <c r="AF80" s="14"/>
    </row>
    <row r="81">
      <c r="A81" s="12">
        <v>80.0</v>
      </c>
      <c r="B81" s="12" t="s">
        <v>83</v>
      </c>
      <c r="C81" s="5" t="s">
        <v>84</v>
      </c>
      <c r="D81" s="8"/>
      <c r="E81" s="8"/>
      <c r="F81" s="8"/>
      <c r="G81" s="8"/>
      <c r="H81" s="11">
        <v>0.089</v>
      </c>
      <c r="I81" s="11">
        <v>0.317</v>
      </c>
      <c r="J81" s="9" t="s">
        <v>62</v>
      </c>
      <c r="K81" s="14" t="str">
        <f>IFERROR(__xludf.DUMMYFUNCTION("ARRAYFORMULA(VLOOKUP(A81,IMPORTRANGE(""https://docs.google.com/spreadsheets/d/1BuTWp7qHGjWhqrnf-OmePP568O4A5Am9ttzvVdP67zw/edit#gid=1603210130"", ""TOURISM!$A$2:$F$2692""), {2,3,4,5,6},0))"),"The Americas")</f>
        <v>The Americas</v>
      </c>
      <c r="L81" s="14">
        <f>IFERROR(__xludf.DUMMYFUNCTION("""COMPUTED_VALUE"""),2.72E8)</f>
        <v>272000000</v>
      </c>
      <c r="M81" s="14" t="str">
        <f>IFERROR(__xludf.DUMMYFUNCTION("""COMPUTED_VALUE"""),"Antigua and Barbuda-The Americas")</f>
        <v>Antigua and Barbuda-The Americas</v>
      </c>
      <c r="N81" s="14" t="str">
        <f>IFERROR(__xludf.DUMMYFUNCTION("""COMPUTED_VALUE"""),"2001")</f>
        <v>2001</v>
      </c>
      <c r="O81" s="14">
        <f>IFERROR(__xludf.DUMMYFUNCTION("""COMPUTED_VALUE"""),3.2E7)</f>
        <v>32000000</v>
      </c>
      <c r="P81" s="15">
        <f>IFERROR(__xludf.DUMMYFUNCTION("ARRAYFORMULA(VLOOKUP(A81,IMPORTRANGE(""https://docs.google.com/spreadsheets/d/1BuTWp7qHGjWhqrnf-OmePP568O4A5Am9ttzvVdP67zw/edit#gid=771602874"" ,""HUMAN RESOURCES!$A$2:$M$2692""), {2,3,4,5,6,7,8,9,10,11,12,13},0))"),0.02)</f>
        <v>0.02</v>
      </c>
      <c r="Q81" s="14">
        <f>IFERROR(__xludf.DUMMYFUNCTION("""COMPUTED_VALUE"""),0.013)</f>
        <v>0.013</v>
      </c>
      <c r="R81" s="14">
        <f>IFERROR(__xludf.DUMMYFUNCTION("""COMPUTED_VALUE"""),76.0)</f>
        <v>76</v>
      </c>
      <c r="S81" s="14">
        <f>IFERROR(__xludf.DUMMYFUNCTION("""COMPUTED_VALUE"""),71.0)</f>
        <v>71</v>
      </c>
      <c r="T81" s="14">
        <f>IFERROR(__xludf.DUMMYFUNCTION("""COMPUTED_VALUE"""),0.291)</f>
        <v>0.291</v>
      </c>
      <c r="U81" s="14">
        <f>IFERROR(__xludf.DUMMYFUNCTION("""COMPUTED_VALUE"""),0.639)</f>
        <v>0.639</v>
      </c>
      <c r="V81" s="14">
        <f>IFERROR(__xludf.DUMMYFUNCTION("""COMPUTED_VALUE"""),0.07)</f>
        <v>0.07</v>
      </c>
      <c r="W81" s="14">
        <f>IFERROR(__xludf.DUMMYFUNCTION("""COMPUTED_VALUE"""),78972.0)</f>
        <v>78972</v>
      </c>
      <c r="X81" s="14">
        <f>IFERROR(__xludf.DUMMYFUNCTION("""COMPUTED_VALUE"""),0.317)</f>
        <v>0.317</v>
      </c>
      <c r="Y81" s="14" t="str">
        <f>IFERROR(__xludf.DUMMYFUNCTION("""COMPUTED_VALUE"""),"Antigua and Barbuda-The Americas")</f>
        <v>Antigua and Barbuda-The Americas</v>
      </c>
      <c r="Z81" s="14" t="str">
        <f>IFERROR(__xludf.DUMMYFUNCTION("""COMPUTED_VALUE"""),"The Americas")</f>
        <v>The Americas</v>
      </c>
      <c r="AA81" s="14" t="str">
        <f>IFERROR(__xludf.DUMMYFUNCTION("""COMPUTED_VALUE"""),"2001")</f>
        <v>2001</v>
      </c>
      <c r="AB81" s="15" t="str">
        <f>IFERROR(__xludf.DUMMYFUNCTION("ARRAYFORMULA(VLOOKUP(A81,IMPORTRANGE(""https://docs.google.com/spreadsheets/d/1BuTWp7qHGjWhqrnf-OmePP568O4A5Am9ttzvVdP67zw/edit#gid=1931367683"" ,""ENERGY!$A$2:$F$2692""), {2,3,4,5,6},0))"),"The Americas")</f>
        <v>The Americas</v>
      </c>
      <c r="AC81" s="14" t="str">
        <f>IFERROR(__xludf.DUMMYFUNCTION("""COMPUTED_VALUE"""),"Antigua and Barbuda-The Americas")</f>
        <v>Antigua and Barbuda-The Americas</v>
      </c>
      <c r="AD81" s="14" t="str">
        <f>IFERROR(__xludf.DUMMYFUNCTION("""COMPUTED_VALUE"""),"2001")</f>
        <v>2001</v>
      </c>
      <c r="AE81" s="14"/>
      <c r="AF81" s="14"/>
    </row>
    <row r="82">
      <c r="A82" s="12">
        <v>81.0</v>
      </c>
      <c r="B82" s="12" t="s">
        <v>83</v>
      </c>
      <c r="C82" s="5" t="s">
        <v>84</v>
      </c>
      <c r="D82" s="8"/>
      <c r="E82" s="8"/>
      <c r="F82" s="8"/>
      <c r="G82" s="8"/>
      <c r="H82" s="11">
        <v>0.125</v>
      </c>
      <c r="I82" s="11">
        <v>0.477</v>
      </c>
      <c r="J82" s="9" t="s">
        <v>63</v>
      </c>
      <c r="K82" s="14" t="str">
        <f>IFERROR(__xludf.DUMMYFUNCTION("ARRAYFORMULA(VLOOKUP(A82,IMPORTRANGE(""https://docs.google.com/spreadsheets/d/1BuTWp7qHGjWhqrnf-OmePP568O4A5Am9ttzvVdP67zw/edit#gid=1603210130"", ""TOURISM!$A$2:$F$2692""), {2,3,4,5,6},0))"),"The Americas")</f>
        <v>The Americas</v>
      </c>
      <c r="L82" s="14">
        <f>IFERROR(__xludf.DUMMYFUNCTION("""COMPUTED_VALUE"""),2.74E8)</f>
        <v>274000000</v>
      </c>
      <c r="M82" s="14" t="str">
        <f>IFERROR(__xludf.DUMMYFUNCTION("""COMPUTED_VALUE"""),"Antigua and Barbuda-The Americas")</f>
        <v>Antigua and Barbuda-The Americas</v>
      </c>
      <c r="N82" s="14" t="str">
        <f>IFERROR(__xludf.DUMMYFUNCTION("""COMPUTED_VALUE"""),"2002")</f>
        <v>2002</v>
      </c>
      <c r="O82" s="14">
        <f>IFERROR(__xludf.DUMMYFUNCTION("""COMPUTED_VALUE"""),3.3E7)</f>
        <v>33000000</v>
      </c>
      <c r="P82" s="15">
        <f>IFERROR(__xludf.DUMMYFUNCTION("ARRAYFORMULA(VLOOKUP(A82,IMPORTRANGE(""https://docs.google.com/spreadsheets/d/1BuTWp7qHGjWhqrnf-OmePP568O4A5Am9ttzvVdP67zw/edit#gid=771602874"" ,""HUMAN RESOURCES!$A$2:$M$2692""), {2,3,4,5,6,7,8,9,10,11,12,13},0))"),0.02)</f>
        <v>0.02</v>
      </c>
      <c r="Q82" s="14">
        <f>IFERROR(__xludf.DUMMYFUNCTION("""COMPUTED_VALUE"""),0.012)</f>
        <v>0.012</v>
      </c>
      <c r="R82" s="14">
        <f>IFERROR(__xludf.DUMMYFUNCTION("""COMPUTED_VALUE"""),76.0)</f>
        <v>76</v>
      </c>
      <c r="S82" s="14">
        <f>IFERROR(__xludf.DUMMYFUNCTION("""COMPUTED_VALUE"""),71.0)</f>
        <v>71</v>
      </c>
      <c r="T82" s="14">
        <f>IFERROR(__xludf.DUMMYFUNCTION("""COMPUTED_VALUE"""),0.29)</f>
        <v>0.29</v>
      </c>
      <c r="U82" s="14">
        <f>IFERROR(__xludf.DUMMYFUNCTION("""COMPUTED_VALUE"""),0.64)</f>
        <v>0.64</v>
      </c>
      <c r="V82" s="14">
        <f>IFERROR(__xludf.DUMMYFUNCTION("""COMPUTED_VALUE"""),0.07)</f>
        <v>0.07</v>
      </c>
      <c r="W82" s="14">
        <f>IFERROR(__xludf.DUMMYFUNCTION("""COMPUTED_VALUE"""),80030.0)</f>
        <v>80030</v>
      </c>
      <c r="X82" s="14">
        <f>IFERROR(__xludf.DUMMYFUNCTION("""COMPUTED_VALUE"""),0.311)</f>
        <v>0.311</v>
      </c>
      <c r="Y82" s="14" t="str">
        <f>IFERROR(__xludf.DUMMYFUNCTION("""COMPUTED_VALUE"""),"Antigua and Barbuda-The Americas")</f>
        <v>Antigua and Barbuda-The Americas</v>
      </c>
      <c r="Z82" s="14" t="str">
        <f>IFERROR(__xludf.DUMMYFUNCTION("""COMPUTED_VALUE"""),"The Americas")</f>
        <v>The Americas</v>
      </c>
      <c r="AA82" s="14" t="str">
        <f>IFERROR(__xludf.DUMMYFUNCTION("""COMPUTED_VALUE"""),"2002")</f>
        <v>2002</v>
      </c>
      <c r="AB82" s="15" t="str">
        <f>IFERROR(__xludf.DUMMYFUNCTION("ARRAYFORMULA(VLOOKUP(A82,IMPORTRANGE(""https://docs.google.com/spreadsheets/d/1BuTWp7qHGjWhqrnf-OmePP568O4A5Am9ttzvVdP67zw/edit#gid=1931367683"" ,""ENERGY!$A$2:$F$2692""), {2,3,4,5,6},0))"),"The Americas")</f>
        <v>The Americas</v>
      </c>
      <c r="AC82" s="14" t="str">
        <f>IFERROR(__xludf.DUMMYFUNCTION("""COMPUTED_VALUE"""),"Antigua and Barbuda-The Americas")</f>
        <v>Antigua and Barbuda-The Americas</v>
      </c>
      <c r="AD82" s="14" t="str">
        <f>IFERROR(__xludf.DUMMYFUNCTION("""COMPUTED_VALUE"""),"2002")</f>
        <v>2002</v>
      </c>
      <c r="AE82" s="14"/>
      <c r="AF82" s="14">
        <f>IFERROR(__xludf.DUMMYFUNCTION("""COMPUTED_VALUE"""),513.0)</f>
        <v>513</v>
      </c>
    </row>
    <row r="83">
      <c r="A83" s="12">
        <v>82.0</v>
      </c>
      <c r="B83" s="12" t="s">
        <v>83</v>
      </c>
      <c r="C83" s="5" t="s">
        <v>84</v>
      </c>
      <c r="D83" s="8"/>
      <c r="E83" s="8"/>
      <c r="F83" s="8"/>
      <c r="G83" s="8"/>
      <c r="H83" s="11">
        <v>0.172</v>
      </c>
      <c r="I83" s="11">
        <v>0.57</v>
      </c>
      <c r="J83" s="9" t="s">
        <v>64</v>
      </c>
      <c r="K83" s="14" t="str">
        <f>IFERROR(__xludf.DUMMYFUNCTION("ARRAYFORMULA(VLOOKUP(A83,IMPORTRANGE(""https://docs.google.com/spreadsheets/d/1BuTWp7qHGjWhqrnf-OmePP568O4A5Am9ttzvVdP67zw/edit#gid=1603210130"", ""TOURISM!$A$2:$F$2692""), {2,3,4,5,6},0))"),"The Americas")</f>
        <v>The Americas</v>
      </c>
      <c r="L83" s="14">
        <f>IFERROR(__xludf.DUMMYFUNCTION("""COMPUTED_VALUE"""),3.0E8)</f>
        <v>300000000</v>
      </c>
      <c r="M83" s="14" t="str">
        <f>IFERROR(__xludf.DUMMYFUNCTION("""COMPUTED_VALUE"""),"Antigua and Barbuda-The Americas")</f>
        <v>Antigua and Barbuda-The Americas</v>
      </c>
      <c r="N83" s="14" t="str">
        <f>IFERROR(__xludf.DUMMYFUNCTION("""COMPUTED_VALUE"""),"2003")</f>
        <v>2003</v>
      </c>
      <c r="O83" s="14">
        <f>IFERROR(__xludf.DUMMYFUNCTION("""COMPUTED_VALUE"""),3.5E7)</f>
        <v>35000000</v>
      </c>
      <c r="P83" s="15">
        <f>IFERROR(__xludf.DUMMYFUNCTION("ARRAYFORMULA(VLOOKUP(A83,IMPORTRANGE(""https://docs.google.com/spreadsheets/d/1BuTWp7qHGjWhqrnf-OmePP568O4A5Am9ttzvVdP67zw/edit#gid=771602874"" ,""HUMAN RESOURCES!$A$2:$M$2692""), {2,3,4,5,6,7,8,9,10,11,12,13},0))"),0.019)</f>
        <v>0.019</v>
      </c>
      <c r="Q83" s="14">
        <f>IFERROR(__xludf.DUMMYFUNCTION("""COMPUTED_VALUE"""),0.012)</f>
        <v>0.012</v>
      </c>
      <c r="R83" s="14">
        <f>IFERROR(__xludf.DUMMYFUNCTION("""COMPUTED_VALUE"""),77.0)</f>
        <v>77</v>
      </c>
      <c r="S83" s="14">
        <f>IFERROR(__xludf.DUMMYFUNCTION("""COMPUTED_VALUE"""),72.0)</f>
        <v>72</v>
      </c>
      <c r="T83" s="14">
        <f>IFERROR(__xludf.DUMMYFUNCTION("""COMPUTED_VALUE"""),0.288)</f>
        <v>0.288</v>
      </c>
      <c r="U83" s="14">
        <f>IFERROR(__xludf.DUMMYFUNCTION("""COMPUTED_VALUE"""),0.64)</f>
        <v>0.64</v>
      </c>
      <c r="V83" s="14">
        <f>IFERROR(__xludf.DUMMYFUNCTION("""COMPUTED_VALUE"""),0.071)</f>
        <v>0.071</v>
      </c>
      <c r="W83" s="14">
        <f>IFERROR(__xludf.DUMMYFUNCTION("""COMPUTED_VALUE"""),80904.0)</f>
        <v>80904</v>
      </c>
      <c r="X83" s="14">
        <f>IFERROR(__xludf.DUMMYFUNCTION("""COMPUTED_VALUE"""),0.305)</f>
        <v>0.305</v>
      </c>
      <c r="Y83" s="14" t="str">
        <f>IFERROR(__xludf.DUMMYFUNCTION("""COMPUTED_VALUE"""),"Antigua and Barbuda-The Americas")</f>
        <v>Antigua and Barbuda-The Americas</v>
      </c>
      <c r="Z83" s="14" t="str">
        <f>IFERROR(__xludf.DUMMYFUNCTION("""COMPUTED_VALUE"""),"The Americas")</f>
        <v>The Americas</v>
      </c>
      <c r="AA83" s="14" t="str">
        <f>IFERROR(__xludf.DUMMYFUNCTION("""COMPUTED_VALUE"""),"2003")</f>
        <v>2003</v>
      </c>
      <c r="AB83" s="15" t="str">
        <f>IFERROR(__xludf.DUMMYFUNCTION("ARRAYFORMULA(VLOOKUP(A83,IMPORTRANGE(""https://docs.google.com/spreadsheets/d/1BuTWp7qHGjWhqrnf-OmePP568O4A5Am9ttzvVdP67zw/edit#gid=1931367683"" ,""ENERGY!$A$2:$F$2692""), {2,3,4,5,6},0))"),"The Americas")</f>
        <v>The Americas</v>
      </c>
      <c r="AC83" s="14" t="str">
        <f>IFERROR(__xludf.DUMMYFUNCTION("""COMPUTED_VALUE"""),"Antigua and Barbuda-The Americas")</f>
        <v>Antigua and Barbuda-The Americas</v>
      </c>
      <c r="AD83" s="14" t="str">
        <f>IFERROR(__xludf.DUMMYFUNCTION("""COMPUTED_VALUE"""),"2003")</f>
        <v>2003</v>
      </c>
      <c r="AE83" s="14"/>
      <c r="AF83" s="14">
        <f>IFERROR(__xludf.DUMMYFUNCTION("""COMPUTED_VALUE"""),499.0)</f>
        <v>499</v>
      </c>
    </row>
    <row r="84">
      <c r="A84" s="12">
        <v>83.0</v>
      </c>
      <c r="B84" s="12" t="s">
        <v>83</v>
      </c>
      <c r="C84" s="5" t="s">
        <v>84</v>
      </c>
      <c r="D84" s="8"/>
      <c r="E84" s="8"/>
      <c r="F84" s="8"/>
      <c r="G84" s="8"/>
      <c r="H84" s="11">
        <v>0.243</v>
      </c>
      <c r="I84" s="11">
        <v>0.661</v>
      </c>
      <c r="J84" s="9" t="s">
        <v>65</v>
      </c>
      <c r="K84" s="14" t="str">
        <f>IFERROR(__xludf.DUMMYFUNCTION("ARRAYFORMULA(VLOOKUP(A84,IMPORTRANGE(""https://docs.google.com/spreadsheets/d/1BuTWp7qHGjWhqrnf-OmePP568O4A5Am9ttzvVdP67zw/edit#gid=1603210130"", ""TOURISM!$A$2:$F$2692""), {2,3,4,5,6},0))"),"The Americas")</f>
        <v>The Americas</v>
      </c>
      <c r="L84" s="14">
        <f>IFERROR(__xludf.DUMMYFUNCTION("""COMPUTED_VALUE"""),3.37E8)</f>
        <v>337000000</v>
      </c>
      <c r="M84" s="14" t="str">
        <f>IFERROR(__xludf.DUMMYFUNCTION("""COMPUTED_VALUE"""),"Antigua and Barbuda-The Americas")</f>
        <v>Antigua and Barbuda-The Americas</v>
      </c>
      <c r="N84" s="14" t="str">
        <f>IFERROR(__xludf.DUMMYFUNCTION("""COMPUTED_VALUE"""),"2004")</f>
        <v>2004</v>
      </c>
      <c r="O84" s="14">
        <f>IFERROR(__xludf.DUMMYFUNCTION("""COMPUTED_VALUE"""),3.8E7)</f>
        <v>38000000</v>
      </c>
      <c r="P84" s="15">
        <f>IFERROR(__xludf.DUMMYFUNCTION("ARRAYFORMULA(VLOOKUP(A84,IMPORTRANGE(""https://docs.google.com/spreadsheets/d/1BuTWp7qHGjWhqrnf-OmePP568O4A5Am9ttzvVdP67zw/edit#gid=771602874"" ,""HUMAN RESOURCES!$A$2:$M$2692""), {2,3,4,5,6,7,8,9,10,11,12,13},0))"),0.019)</f>
        <v>0.019</v>
      </c>
      <c r="Q84" s="14">
        <f>IFERROR(__xludf.DUMMYFUNCTION("""COMPUTED_VALUE"""),0.011)</f>
        <v>0.011</v>
      </c>
      <c r="R84" s="14">
        <f>IFERROR(__xludf.DUMMYFUNCTION("""COMPUTED_VALUE"""),77.0)</f>
        <v>77</v>
      </c>
      <c r="S84" s="14">
        <f>IFERROR(__xludf.DUMMYFUNCTION("""COMPUTED_VALUE"""),72.0)</f>
        <v>72</v>
      </c>
      <c r="T84" s="14">
        <f>IFERROR(__xludf.DUMMYFUNCTION("""COMPUTED_VALUE"""),0.286)</f>
        <v>0.286</v>
      </c>
      <c r="U84" s="14">
        <f>IFERROR(__xludf.DUMMYFUNCTION("""COMPUTED_VALUE"""),0.642)</f>
        <v>0.642</v>
      </c>
      <c r="V84" s="14">
        <f>IFERROR(__xludf.DUMMYFUNCTION("""COMPUTED_VALUE"""),0.072)</f>
        <v>0.072</v>
      </c>
      <c r="W84" s="14">
        <f>IFERROR(__xludf.DUMMYFUNCTION("""COMPUTED_VALUE"""),81718.0)</f>
        <v>81718</v>
      </c>
      <c r="X84" s="14">
        <f>IFERROR(__xludf.DUMMYFUNCTION("""COMPUTED_VALUE"""),0.298)</f>
        <v>0.298</v>
      </c>
      <c r="Y84" s="14" t="str">
        <f>IFERROR(__xludf.DUMMYFUNCTION("""COMPUTED_VALUE"""),"Antigua and Barbuda-The Americas")</f>
        <v>Antigua and Barbuda-The Americas</v>
      </c>
      <c r="Z84" s="14" t="str">
        <f>IFERROR(__xludf.DUMMYFUNCTION("""COMPUTED_VALUE"""),"The Americas")</f>
        <v>The Americas</v>
      </c>
      <c r="AA84" s="14" t="str">
        <f>IFERROR(__xludf.DUMMYFUNCTION("""COMPUTED_VALUE"""),"2004")</f>
        <v>2004</v>
      </c>
      <c r="AB84" s="15" t="str">
        <f>IFERROR(__xludf.DUMMYFUNCTION("ARRAYFORMULA(VLOOKUP(A84,IMPORTRANGE(""https://docs.google.com/spreadsheets/d/1BuTWp7qHGjWhqrnf-OmePP568O4A5Am9ttzvVdP67zw/edit#gid=1931367683"" ,""ENERGY!$A$2:$F$2692""), {2,3,4,5,6},0))"),"The Americas")</f>
        <v>The Americas</v>
      </c>
      <c r="AC84" s="14" t="str">
        <f>IFERROR(__xludf.DUMMYFUNCTION("""COMPUTED_VALUE"""),"Antigua and Barbuda-The Americas")</f>
        <v>Antigua and Barbuda-The Americas</v>
      </c>
      <c r="AD84" s="14" t="str">
        <f>IFERROR(__xludf.DUMMYFUNCTION("""COMPUTED_VALUE"""),"2004")</f>
        <v>2004</v>
      </c>
      <c r="AE84" s="14"/>
      <c r="AF84" s="14">
        <f>IFERROR(__xludf.DUMMYFUNCTION("""COMPUTED_VALUE"""),458.0)</f>
        <v>458</v>
      </c>
    </row>
    <row r="85">
      <c r="A85" s="12">
        <v>84.0</v>
      </c>
      <c r="B85" s="12" t="s">
        <v>83</v>
      </c>
      <c r="C85" s="5" t="s">
        <v>84</v>
      </c>
      <c r="D85" s="11">
        <v>0.515</v>
      </c>
      <c r="E85" s="11">
        <v>31.0</v>
      </c>
      <c r="F85" s="8"/>
      <c r="G85" s="11">
        <v>184.0</v>
      </c>
      <c r="H85" s="11">
        <v>0.27</v>
      </c>
      <c r="I85" s="11">
        <v>1.042</v>
      </c>
      <c r="J85" s="9" t="s">
        <v>66</v>
      </c>
      <c r="K85" s="14" t="str">
        <f>IFERROR(__xludf.DUMMYFUNCTION("ARRAYFORMULA(VLOOKUP(A85,IMPORTRANGE(""https://docs.google.com/spreadsheets/d/1BuTWp7qHGjWhqrnf-OmePP568O4A5Am9ttzvVdP67zw/edit#gid=1603210130"", ""TOURISM!$A$2:$F$2692""), {2,3,4,5,6},0))"),"The Americas")</f>
        <v>The Americas</v>
      </c>
      <c r="L85" s="14">
        <f>IFERROR(__xludf.DUMMYFUNCTION("""COMPUTED_VALUE"""),3.09E8)</f>
        <v>309000000</v>
      </c>
      <c r="M85" s="14" t="str">
        <f>IFERROR(__xludf.DUMMYFUNCTION("""COMPUTED_VALUE"""),"Antigua and Barbuda-The Americas")</f>
        <v>Antigua and Barbuda-The Americas</v>
      </c>
      <c r="N85" s="14" t="str">
        <f>IFERROR(__xludf.DUMMYFUNCTION("""COMPUTED_VALUE"""),"2005")</f>
        <v>2005</v>
      </c>
      <c r="O85" s="14">
        <f>IFERROR(__xludf.DUMMYFUNCTION("""COMPUTED_VALUE"""),4.0E7)</f>
        <v>40000000</v>
      </c>
      <c r="P85" s="15">
        <f>IFERROR(__xludf.DUMMYFUNCTION("ARRAYFORMULA(VLOOKUP(A85,IMPORTRANGE(""https://docs.google.com/spreadsheets/d/1BuTWp7qHGjWhqrnf-OmePP568O4A5Am9ttzvVdP67zw/edit#gid=771602874"" ,""HUMAN RESOURCES!$A$2:$M$2692""), {2,3,4,5,6,7,8,9,10,11,12,13},0))"),0.019)</f>
        <v>0.019</v>
      </c>
      <c r="Q85" s="14">
        <f>IFERROR(__xludf.DUMMYFUNCTION("""COMPUTED_VALUE"""),0.011)</f>
        <v>0.011</v>
      </c>
      <c r="R85" s="14">
        <f>IFERROR(__xludf.DUMMYFUNCTION("""COMPUTED_VALUE"""),77.0)</f>
        <v>77</v>
      </c>
      <c r="S85" s="14">
        <f>IFERROR(__xludf.DUMMYFUNCTION("""COMPUTED_VALUE"""),72.0)</f>
        <v>72</v>
      </c>
      <c r="T85" s="14">
        <f>IFERROR(__xludf.DUMMYFUNCTION("""COMPUTED_VALUE"""),0.283)</f>
        <v>0.283</v>
      </c>
      <c r="U85" s="14">
        <f>IFERROR(__xludf.DUMMYFUNCTION("""COMPUTED_VALUE"""),0.644)</f>
        <v>0.644</v>
      </c>
      <c r="V85" s="14">
        <f>IFERROR(__xludf.DUMMYFUNCTION("""COMPUTED_VALUE"""),0.073)</f>
        <v>0.073</v>
      </c>
      <c r="W85" s="14">
        <f>IFERROR(__xludf.DUMMYFUNCTION("""COMPUTED_VALUE"""),82565.0)</f>
        <v>82565</v>
      </c>
      <c r="X85" s="14">
        <f>IFERROR(__xludf.DUMMYFUNCTION("""COMPUTED_VALUE"""),0.292)</f>
        <v>0.292</v>
      </c>
      <c r="Y85" s="14" t="str">
        <f>IFERROR(__xludf.DUMMYFUNCTION("""COMPUTED_VALUE"""),"Antigua and Barbuda-The Americas")</f>
        <v>Antigua and Barbuda-The Americas</v>
      </c>
      <c r="Z85" s="14" t="str">
        <f>IFERROR(__xludf.DUMMYFUNCTION("""COMPUTED_VALUE"""),"The Americas")</f>
        <v>The Americas</v>
      </c>
      <c r="AA85" s="14" t="str">
        <f>IFERROR(__xludf.DUMMYFUNCTION("""COMPUTED_VALUE"""),"2005")</f>
        <v>2005</v>
      </c>
      <c r="AB85" s="15" t="str">
        <f>IFERROR(__xludf.DUMMYFUNCTION("ARRAYFORMULA(VLOOKUP(A85,IMPORTRANGE(""https://docs.google.com/spreadsheets/d/1BuTWp7qHGjWhqrnf-OmePP568O4A5Am9ttzvVdP67zw/edit#gid=1931367683"" ,""ENERGY!$A$2:$F$2692""), {2,3,4,5,6},0))"),"The Americas")</f>
        <v>The Americas</v>
      </c>
      <c r="AC85" s="14" t="str">
        <f>IFERROR(__xludf.DUMMYFUNCTION("""COMPUTED_VALUE"""),"Antigua and Barbuda-The Americas")</f>
        <v>Antigua and Barbuda-The Americas</v>
      </c>
      <c r="AD85" s="14" t="str">
        <f>IFERROR(__xludf.DUMMYFUNCTION("""COMPUTED_VALUE"""),"2005")</f>
        <v>2005</v>
      </c>
      <c r="AE85" s="14">
        <f>IFERROR(__xludf.DUMMYFUNCTION("""COMPUTED_VALUE"""),146.0)</f>
        <v>146</v>
      </c>
      <c r="AF85" s="14">
        <f>IFERROR(__xludf.DUMMYFUNCTION("""COMPUTED_VALUE"""),444.0)</f>
        <v>444</v>
      </c>
    </row>
    <row r="86">
      <c r="A86" s="12">
        <v>85.0</v>
      </c>
      <c r="B86" s="12" t="s">
        <v>83</v>
      </c>
      <c r="C86" s="5" t="s">
        <v>84</v>
      </c>
      <c r="D86" s="11">
        <v>0.476</v>
      </c>
      <c r="E86" s="11">
        <v>21.0</v>
      </c>
      <c r="F86" s="8"/>
      <c r="G86" s="11">
        <v>184.0</v>
      </c>
      <c r="H86" s="11">
        <v>0.3</v>
      </c>
      <c r="I86" s="11">
        <v>1.32</v>
      </c>
      <c r="J86" s="9" t="s">
        <v>67</v>
      </c>
      <c r="K86" s="14" t="str">
        <f>IFERROR(__xludf.DUMMYFUNCTION("ARRAYFORMULA(VLOOKUP(A86,IMPORTRANGE(""https://docs.google.com/spreadsheets/d/1BuTWp7qHGjWhqrnf-OmePP568O4A5Am9ttzvVdP67zw/edit#gid=1603210130"", ""TOURISM!$A$2:$F$2692""), {2,3,4,5,6},0))"),"The Americas")</f>
        <v>The Americas</v>
      </c>
      <c r="L86" s="14">
        <f>IFERROR(__xludf.DUMMYFUNCTION("""COMPUTED_VALUE"""),3.27E8)</f>
        <v>327000000</v>
      </c>
      <c r="M86" s="14" t="str">
        <f>IFERROR(__xludf.DUMMYFUNCTION("""COMPUTED_VALUE"""),"Antigua and Barbuda-The Americas")</f>
        <v>Antigua and Barbuda-The Americas</v>
      </c>
      <c r="N86" s="14" t="str">
        <f>IFERROR(__xludf.DUMMYFUNCTION("""COMPUTED_VALUE"""),"2006")</f>
        <v>2006</v>
      </c>
      <c r="O86" s="14">
        <f>IFERROR(__xludf.DUMMYFUNCTION("""COMPUTED_VALUE"""),4.5E7)</f>
        <v>45000000</v>
      </c>
      <c r="P86" s="15">
        <f>IFERROR(__xludf.DUMMYFUNCTION("ARRAYFORMULA(VLOOKUP(A86,IMPORTRANGE(""https://docs.google.com/spreadsheets/d/1BuTWp7qHGjWhqrnf-OmePP568O4A5Am9ttzvVdP67zw/edit#gid=771602874"" ,""HUMAN RESOURCES!$A$2:$M$2692""), {2,3,4,5,6,7,8,9,10,11,12,13},0))"),0.018)</f>
        <v>0.018</v>
      </c>
      <c r="Q86" s="14">
        <f>IFERROR(__xludf.DUMMYFUNCTION("""COMPUTED_VALUE"""),0.01)</f>
        <v>0.01</v>
      </c>
      <c r="R86" s="14">
        <f>IFERROR(__xludf.DUMMYFUNCTION("""COMPUTED_VALUE"""),77.0)</f>
        <v>77</v>
      </c>
      <c r="S86" s="14">
        <f>IFERROR(__xludf.DUMMYFUNCTION("""COMPUTED_VALUE"""),72.0)</f>
        <v>72</v>
      </c>
      <c r="T86" s="14">
        <f>IFERROR(__xludf.DUMMYFUNCTION("""COMPUTED_VALUE"""),0.28)</f>
        <v>0.28</v>
      </c>
      <c r="U86" s="14">
        <f>IFERROR(__xludf.DUMMYFUNCTION("""COMPUTED_VALUE"""),0.647)</f>
        <v>0.647</v>
      </c>
      <c r="V86" s="14">
        <f>IFERROR(__xludf.DUMMYFUNCTION("""COMPUTED_VALUE"""),0.073)</f>
        <v>0.073</v>
      </c>
      <c r="W86" s="14">
        <f>IFERROR(__xludf.DUMMYFUNCTION("""COMPUTED_VALUE"""),83467.0)</f>
        <v>83467</v>
      </c>
      <c r="X86" s="14">
        <f>IFERROR(__xludf.DUMMYFUNCTION("""COMPUTED_VALUE"""),0.286)</f>
        <v>0.286</v>
      </c>
      <c r="Y86" s="14" t="str">
        <f>IFERROR(__xludf.DUMMYFUNCTION("""COMPUTED_VALUE"""),"Antigua and Barbuda-The Americas")</f>
        <v>Antigua and Barbuda-The Americas</v>
      </c>
      <c r="Z86" s="14" t="str">
        <f>IFERROR(__xludf.DUMMYFUNCTION("""COMPUTED_VALUE"""),"The Americas")</f>
        <v>The Americas</v>
      </c>
      <c r="AA86" s="14" t="str">
        <f>IFERROR(__xludf.DUMMYFUNCTION("""COMPUTED_VALUE"""),"2006")</f>
        <v>2006</v>
      </c>
      <c r="AB86" s="15" t="str">
        <f>IFERROR(__xludf.DUMMYFUNCTION("ARRAYFORMULA(VLOOKUP(A86,IMPORTRANGE(""https://docs.google.com/spreadsheets/d/1BuTWp7qHGjWhqrnf-OmePP568O4A5Am9ttzvVdP67zw/edit#gid=1931367683"" ,""ENERGY!$A$2:$F$2692""), {2,3,4,5,6},0))"),"The Americas")</f>
        <v>The Americas</v>
      </c>
      <c r="AC86" s="14" t="str">
        <f>IFERROR(__xludf.DUMMYFUNCTION("""COMPUTED_VALUE"""),"Antigua and Barbuda-The Americas")</f>
        <v>Antigua and Barbuda-The Americas</v>
      </c>
      <c r="AD86" s="14" t="str">
        <f>IFERROR(__xludf.DUMMYFUNCTION("""COMPUTED_VALUE"""),"2009")</f>
        <v>2009</v>
      </c>
      <c r="AE86" s="14">
        <f>IFERROR(__xludf.DUMMYFUNCTION("""COMPUTED_VALUE"""),143.0)</f>
        <v>143</v>
      </c>
      <c r="AF86" s="14">
        <f>IFERROR(__xludf.DUMMYFUNCTION("""COMPUTED_VALUE"""),425.0)</f>
        <v>425</v>
      </c>
    </row>
    <row r="87">
      <c r="A87" s="12">
        <v>86.0</v>
      </c>
      <c r="B87" s="12" t="s">
        <v>83</v>
      </c>
      <c r="C87" s="5" t="s">
        <v>84</v>
      </c>
      <c r="D87" s="11">
        <v>0.462</v>
      </c>
      <c r="E87" s="11">
        <v>21.0</v>
      </c>
      <c r="F87" s="8"/>
      <c r="G87" s="11">
        <v>184.0</v>
      </c>
      <c r="H87" s="11">
        <v>0.34</v>
      </c>
      <c r="I87" s="11">
        <v>1.332</v>
      </c>
      <c r="J87" s="9" t="s">
        <v>68</v>
      </c>
      <c r="K87" s="14" t="str">
        <f>IFERROR(__xludf.DUMMYFUNCTION("ARRAYFORMULA(VLOOKUP(A87,IMPORTRANGE(""https://docs.google.com/spreadsheets/d/1BuTWp7qHGjWhqrnf-OmePP568O4A5Am9ttzvVdP67zw/edit#gid=1603210130"", ""TOURISM!$A$2:$F$2692""), {2,3,4,5,6},0))"),"The Americas")</f>
        <v>The Americas</v>
      </c>
      <c r="L87" s="14">
        <f>IFERROR(__xludf.DUMMYFUNCTION("""COMPUTED_VALUE"""),3.38E8)</f>
        <v>338000000</v>
      </c>
      <c r="M87" s="14" t="str">
        <f>IFERROR(__xludf.DUMMYFUNCTION("""COMPUTED_VALUE"""),"Antigua and Barbuda-The Americas")</f>
        <v>Antigua and Barbuda-The Americas</v>
      </c>
      <c r="N87" s="14" t="str">
        <f>IFERROR(__xludf.DUMMYFUNCTION("""COMPUTED_VALUE"""),"2007")</f>
        <v>2007</v>
      </c>
      <c r="O87" s="14">
        <f>IFERROR(__xludf.DUMMYFUNCTION("""COMPUTED_VALUE"""),5.2E7)</f>
        <v>52000000</v>
      </c>
      <c r="P87" s="15">
        <f>IFERROR(__xludf.DUMMYFUNCTION("ARRAYFORMULA(VLOOKUP(A87,IMPORTRANGE(""https://docs.google.com/spreadsheets/d/1BuTWp7qHGjWhqrnf-OmePP568O4A5Am9ttzvVdP67zw/edit#gid=771602874"" ,""HUMAN RESOURCES!$A$2:$M$2692""), {2,3,4,5,6,7,8,9,10,11,12,13},0))"),0.018)</f>
        <v>0.018</v>
      </c>
      <c r="Q87" s="14">
        <f>IFERROR(__xludf.DUMMYFUNCTION("""COMPUTED_VALUE"""),0.01)</f>
        <v>0.01</v>
      </c>
      <c r="R87" s="14">
        <f>IFERROR(__xludf.DUMMYFUNCTION("""COMPUTED_VALUE"""),77.0)</f>
        <v>77</v>
      </c>
      <c r="S87" s="14">
        <f>IFERROR(__xludf.DUMMYFUNCTION("""COMPUTED_VALUE"""),72.0)</f>
        <v>72</v>
      </c>
      <c r="T87" s="14">
        <f>IFERROR(__xludf.DUMMYFUNCTION("""COMPUTED_VALUE"""),0.276)</f>
        <v>0.276</v>
      </c>
      <c r="U87" s="14">
        <f>IFERROR(__xludf.DUMMYFUNCTION("""COMPUTED_VALUE"""),0.651)</f>
        <v>0.651</v>
      </c>
      <c r="V87" s="14">
        <f>IFERROR(__xludf.DUMMYFUNCTION("""COMPUTED_VALUE"""),0.073)</f>
        <v>0.073</v>
      </c>
      <c r="W87" s="14">
        <f>IFERROR(__xludf.DUMMYFUNCTION("""COMPUTED_VALUE"""),84397.0)</f>
        <v>84397</v>
      </c>
      <c r="X87" s="14">
        <f>IFERROR(__xludf.DUMMYFUNCTION("""COMPUTED_VALUE"""),0.28)</f>
        <v>0.28</v>
      </c>
      <c r="Y87" s="14" t="str">
        <f>IFERROR(__xludf.DUMMYFUNCTION("""COMPUTED_VALUE"""),"Antigua and Barbuda-The Americas")</f>
        <v>Antigua and Barbuda-The Americas</v>
      </c>
      <c r="Z87" s="14" t="str">
        <f>IFERROR(__xludf.DUMMYFUNCTION("""COMPUTED_VALUE"""),"The Americas")</f>
        <v>The Americas</v>
      </c>
      <c r="AA87" s="14" t="str">
        <f>IFERROR(__xludf.DUMMYFUNCTION("""COMPUTED_VALUE"""),"2007")</f>
        <v>2007</v>
      </c>
      <c r="AB87" s="15" t="str">
        <f>IFERROR(__xludf.DUMMYFUNCTION("ARRAYFORMULA(VLOOKUP(A87,IMPORTRANGE(""https://docs.google.com/spreadsheets/d/1BuTWp7qHGjWhqrnf-OmePP568O4A5Am9ttzvVdP67zw/edit#gid=1931367683"" ,""ENERGY!$A$2:$F$2692""), {2,3,4,5,6},0))"),"The Americas")</f>
        <v>The Americas</v>
      </c>
      <c r="AC87" s="14" t="str">
        <f>IFERROR(__xludf.DUMMYFUNCTION("""COMPUTED_VALUE"""),"Antigua and Barbuda-The Americas")</f>
        <v>Antigua and Barbuda-The Americas</v>
      </c>
      <c r="AD87" s="14" t="str">
        <f>IFERROR(__xludf.DUMMYFUNCTION("""COMPUTED_VALUE"""),"2005")</f>
        <v>2005</v>
      </c>
      <c r="AE87" s="14">
        <f>IFERROR(__xludf.DUMMYFUNCTION("""COMPUTED_VALUE"""),137.0)</f>
        <v>137</v>
      </c>
      <c r="AF87" s="14">
        <f>IFERROR(__xludf.DUMMYFUNCTION("""COMPUTED_VALUE"""),411.0)</f>
        <v>411</v>
      </c>
    </row>
    <row r="88">
      <c r="A88" s="12">
        <v>87.0</v>
      </c>
      <c r="B88" s="12" t="s">
        <v>83</v>
      </c>
      <c r="C88" s="5" t="s">
        <v>84</v>
      </c>
      <c r="D88" s="11">
        <v>0.462</v>
      </c>
      <c r="E88" s="11">
        <v>21.0</v>
      </c>
      <c r="F88" s="8"/>
      <c r="G88" s="11">
        <v>207.0</v>
      </c>
      <c r="H88" s="11">
        <v>0.38</v>
      </c>
      <c r="I88" s="11">
        <v>1.6</v>
      </c>
      <c r="J88" s="9" t="s">
        <v>69</v>
      </c>
      <c r="K88" s="14" t="str">
        <f>IFERROR(__xludf.DUMMYFUNCTION("ARRAYFORMULA(VLOOKUP(A88,IMPORTRANGE(""https://docs.google.com/spreadsheets/d/1BuTWp7qHGjWhqrnf-OmePP568O4A5Am9ttzvVdP67zw/edit#gid=1603210130"", ""TOURISM!$A$2:$F$2692""), {2,3,4,5,6},0))"),"The Americas")</f>
        <v>The Americas</v>
      </c>
      <c r="L88" s="14">
        <f>IFERROR(__xludf.DUMMYFUNCTION("""COMPUTED_VALUE"""),3.34E8)</f>
        <v>334000000</v>
      </c>
      <c r="M88" s="14" t="str">
        <f>IFERROR(__xludf.DUMMYFUNCTION("""COMPUTED_VALUE"""),"Antigua and Barbuda-The Americas")</f>
        <v>Antigua and Barbuda-The Americas</v>
      </c>
      <c r="N88" s="14" t="str">
        <f>IFERROR(__xludf.DUMMYFUNCTION("""COMPUTED_VALUE"""),"2008")</f>
        <v>2008</v>
      </c>
      <c r="O88" s="14">
        <f>IFERROR(__xludf.DUMMYFUNCTION("""COMPUTED_VALUE"""),5.8E7)</f>
        <v>58000000</v>
      </c>
      <c r="P88" s="15">
        <f>IFERROR(__xludf.DUMMYFUNCTION("ARRAYFORMULA(VLOOKUP(A88,IMPORTRANGE(""https://docs.google.com/spreadsheets/d/1BuTWp7qHGjWhqrnf-OmePP568O4A5Am9ttzvVdP67zw/edit#gid=771602874"" ,""HUMAN RESOURCES!$A$2:$M$2692""), {2,3,4,5,6,7,8,9,10,11,12,13},0))"),0.018)</f>
        <v>0.018</v>
      </c>
      <c r="Q88" s="14">
        <f>IFERROR(__xludf.DUMMYFUNCTION("""COMPUTED_VALUE"""),0.009)</f>
        <v>0.009</v>
      </c>
      <c r="R88" s="14">
        <f>IFERROR(__xludf.DUMMYFUNCTION("""COMPUTED_VALUE"""),77.0)</f>
        <v>77</v>
      </c>
      <c r="S88" s="14">
        <f>IFERROR(__xludf.DUMMYFUNCTION("""COMPUTED_VALUE"""),73.0)</f>
        <v>73</v>
      </c>
      <c r="T88" s="14">
        <f>IFERROR(__xludf.DUMMYFUNCTION("""COMPUTED_VALUE"""),0.271)</f>
        <v>0.271</v>
      </c>
      <c r="U88" s="14">
        <f>IFERROR(__xludf.DUMMYFUNCTION("""COMPUTED_VALUE"""),0.656)</f>
        <v>0.656</v>
      </c>
      <c r="V88" s="14">
        <f>IFERROR(__xludf.DUMMYFUNCTION("""COMPUTED_VALUE"""),0.073)</f>
        <v>0.073</v>
      </c>
      <c r="W88" s="14">
        <f>IFERROR(__xludf.DUMMYFUNCTION("""COMPUTED_VALUE"""),85349.0)</f>
        <v>85349</v>
      </c>
      <c r="X88" s="14">
        <f>IFERROR(__xludf.DUMMYFUNCTION("""COMPUTED_VALUE"""),0.274)</f>
        <v>0.274</v>
      </c>
      <c r="Y88" s="14" t="str">
        <f>IFERROR(__xludf.DUMMYFUNCTION("""COMPUTED_VALUE"""),"Antigua and Barbuda-The Americas")</f>
        <v>Antigua and Barbuda-The Americas</v>
      </c>
      <c r="Z88" s="14" t="str">
        <f>IFERROR(__xludf.DUMMYFUNCTION("""COMPUTED_VALUE"""),"The Americas")</f>
        <v>The Americas</v>
      </c>
      <c r="AA88" s="14" t="str">
        <f>IFERROR(__xludf.DUMMYFUNCTION("""COMPUTED_VALUE"""),"2008")</f>
        <v>2008</v>
      </c>
      <c r="AB88" s="15" t="str">
        <f>IFERROR(__xludf.DUMMYFUNCTION("ARRAYFORMULA(VLOOKUP(A88,IMPORTRANGE(""https://docs.google.com/spreadsheets/d/1BuTWp7qHGjWhqrnf-OmePP568O4A5Am9ttzvVdP67zw/edit#gid=1931367683"" ,""ENERGY!$A$2:$F$2692""), {2,3,4,5,6},0))"),"The Americas")</f>
        <v>The Americas</v>
      </c>
      <c r="AC88" s="14" t="str">
        <f>IFERROR(__xludf.DUMMYFUNCTION("""COMPUTED_VALUE"""),"Antigua and Barbuda-The Americas")</f>
        <v>Antigua and Barbuda-The Americas</v>
      </c>
      <c r="AD88" s="14" t="str">
        <f>IFERROR(__xludf.DUMMYFUNCTION("""COMPUTED_VALUE"""),"2012")</f>
        <v>2012</v>
      </c>
      <c r="AE88" s="14">
        <f>IFERROR(__xludf.DUMMYFUNCTION("""COMPUTED_VALUE"""),135.0)</f>
        <v>135</v>
      </c>
      <c r="AF88" s="14">
        <f>IFERROR(__xludf.DUMMYFUNCTION("""COMPUTED_VALUE"""),407.0)</f>
        <v>407</v>
      </c>
    </row>
    <row r="89">
      <c r="A89" s="12">
        <v>88.0</v>
      </c>
      <c r="B89" s="12" t="s">
        <v>83</v>
      </c>
      <c r="C89" s="5" t="s">
        <v>84</v>
      </c>
      <c r="D89" s="11">
        <v>0.41</v>
      </c>
      <c r="E89" s="11">
        <v>21.0</v>
      </c>
      <c r="F89" s="8"/>
      <c r="G89" s="11">
        <v>207.0</v>
      </c>
      <c r="H89" s="11">
        <v>0.42</v>
      </c>
      <c r="I89" s="11">
        <v>1.563</v>
      </c>
      <c r="J89" s="9" t="s">
        <v>70</v>
      </c>
      <c r="K89" s="14" t="str">
        <f>IFERROR(__xludf.DUMMYFUNCTION("ARRAYFORMULA(VLOOKUP(A89,IMPORTRANGE(""https://docs.google.com/spreadsheets/d/1BuTWp7qHGjWhqrnf-OmePP568O4A5Am9ttzvVdP67zw/edit#gid=1603210130"", ""TOURISM!$A$2:$F$2692""), {2,3,4,5,6},0))"),"The Americas")</f>
        <v>The Americas</v>
      </c>
      <c r="L89" s="14">
        <f>IFERROR(__xludf.DUMMYFUNCTION("""COMPUTED_VALUE"""),3.05E8)</f>
        <v>305000000</v>
      </c>
      <c r="M89" s="14" t="str">
        <f>IFERROR(__xludf.DUMMYFUNCTION("""COMPUTED_VALUE"""),"Antigua and Barbuda-The Americas")</f>
        <v>Antigua and Barbuda-The Americas</v>
      </c>
      <c r="N89" s="14" t="str">
        <f>IFERROR(__xludf.DUMMYFUNCTION("""COMPUTED_VALUE"""),"2009")</f>
        <v>2009</v>
      </c>
      <c r="O89" s="14">
        <f>IFERROR(__xludf.DUMMYFUNCTION("""COMPUTED_VALUE"""),5.4E7)</f>
        <v>54000000</v>
      </c>
      <c r="P89" s="15">
        <f>IFERROR(__xludf.DUMMYFUNCTION("ARRAYFORMULA(VLOOKUP(A89,IMPORTRANGE(""https://docs.google.com/spreadsheets/d/1BuTWp7qHGjWhqrnf-OmePP568O4A5Am9ttzvVdP67zw/edit#gid=771602874"" ,""HUMAN RESOURCES!$A$2:$M$2692""), {2,3,4,5,6,7,8,9,10,11,12,13},0))"),0.017)</f>
        <v>0.017</v>
      </c>
      <c r="Q89" s="14">
        <f>IFERROR(__xludf.DUMMYFUNCTION("""COMPUTED_VALUE"""),0.009)</f>
        <v>0.009</v>
      </c>
      <c r="R89" s="14">
        <f>IFERROR(__xludf.DUMMYFUNCTION("""COMPUTED_VALUE"""),78.0)</f>
        <v>78</v>
      </c>
      <c r="S89" s="14">
        <f>IFERROR(__xludf.DUMMYFUNCTION("""COMPUTED_VALUE"""),73.0)</f>
        <v>73</v>
      </c>
      <c r="T89" s="14">
        <f>IFERROR(__xludf.DUMMYFUNCTION("""COMPUTED_VALUE"""),0.267)</f>
        <v>0.267</v>
      </c>
      <c r="U89" s="14">
        <f>IFERROR(__xludf.DUMMYFUNCTION("""COMPUTED_VALUE"""),0.661)</f>
        <v>0.661</v>
      </c>
      <c r="V89" s="14">
        <f>IFERROR(__xludf.DUMMYFUNCTION("""COMPUTED_VALUE"""),0.073)</f>
        <v>0.073</v>
      </c>
      <c r="W89" s="14">
        <f>IFERROR(__xludf.DUMMYFUNCTION("""COMPUTED_VALUE"""),86300.0)</f>
        <v>86300</v>
      </c>
      <c r="X89" s="14">
        <f>IFERROR(__xludf.DUMMYFUNCTION("""COMPUTED_VALUE"""),0.268)</f>
        <v>0.268</v>
      </c>
      <c r="Y89" s="14" t="str">
        <f>IFERROR(__xludf.DUMMYFUNCTION("""COMPUTED_VALUE"""),"Antigua and Barbuda-The Americas")</f>
        <v>Antigua and Barbuda-The Americas</v>
      </c>
      <c r="Z89" s="14" t="str">
        <f>IFERROR(__xludf.DUMMYFUNCTION("""COMPUTED_VALUE"""),"The Americas")</f>
        <v>The Americas</v>
      </c>
      <c r="AA89" s="14" t="str">
        <f>IFERROR(__xludf.DUMMYFUNCTION("""COMPUTED_VALUE"""),"2009")</f>
        <v>2009</v>
      </c>
      <c r="AB89" s="15" t="str">
        <f>IFERROR(__xludf.DUMMYFUNCTION("ARRAYFORMULA(VLOOKUP(A89,IMPORTRANGE(""https://docs.google.com/spreadsheets/d/1BuTWp7qHGjWhqrnf-OmePP568O4A5Am9ttzvVdP67zw/edit#gid=1931367683"" ,""ENERGY!$A$2:$F$2692""), {2,3,4,5,6},0))"),"The Americas")</f>
        <v>The Americas</v>
      </c>
      <c r="AC89" s="14" t="str">
        <f>IFERROR(__xludf.DUMMYFUNCTION("""COMPUTED_VALUE"""),"Antigua and Barbuda-The Americas")</f>
        <v>Antigua and Barbuda-The Americas</v>
      </c>
      <c r="AD89" s="14" t="str">
        <f>IFERROR(__xludf.DUMMYFUNCTION("""COMPUTED_VALUE"""),"2008")</f>
        <v>2008</v>
      </c>
      <c r="AE89" s="14"/>
      <c r="AF89" s="14">
        <f>IFERROR(__xludf.DUMMYFUNCTION("""COMPUTED_VALUE"""),389.0)</f>
        <v>389</v>
      </c>
    </row>
    <row r="90">
      <c r="A90" s="12">
        <v>89.0</v>
      </c>
      <c r="B90" s="12" t="s">
        <v>83</v>
      </c>
      <c r="C90" s="5" t="s">
        <v>84</v>
      </c>
      <c r="D90" s="11">
        <v>0.41</v>
      </c>
      <c r="E90" s="11">
        <v>21.0</v>
      </c>
      <c r="F90" s="8"/>
      <c r="G90" s="11">
        <v>207.0</v>
      </c>
      <c r="H90" s="11">
        <v>0.47</v>
      </c>
      <c r="I90" s="11">
        <v>1.926</v>
      </c>
      <c r="J90" s="9" t="s">
        <v>71</v>
      </c>
      <c r="K90" s="14" t="str">
        <f>IFERROR(__xludf.DUMMYFUNCTION("ARRAYFORMULA(VLOOKUP(A90,IMPORTRANGE(""https://docs.google.com/spreadsheets/d/1BuTWp7qHGjWhqrnf-OmePP568O4A5Am9ttzvVdP67zw/edit#gid=1603210130"", ""TOURISM!$A$2:$F$2692""), {2,3,4,5,6},0))"),"The Americas")</f>
        <v>The Americas</v>
      </c>
      <c r="L90" s="14">
        <f>IFERROR(__xludf.DUMMYFUNCTION("""COMPUTED_VALUE"""),2.98E8)</f>
        <v>298000000</v>
      </c>
      <c r="M90" s="14" t="str">
        <f>IFERROR(__xludf.DUMMYFUNCTION("""COMPUTED_VALUE"""),"Antigua and Barbuda-The Americas")</f>
        <v>Antigua and Barbuda-The Americas</v>
      </c>
      <c r="N90" s="14" t="str">
        <f>IFERROR(__xludf.DUMMYFUNCTION("""COMPUTED_VALUE"""),"2010")</f>
        <v>2010</v>
      </c>
      <c r="O90" s="14">
        <f>IFERROR(__xludf.DUMMYFUNCTION("""COMPUTED_VALUE"""),5.2E7)</f>
        <v>52000000</v>
      </c>
      <c r="P90" s="15">
        <f>IFERROR(__xludf.DUMMYFUNCTION("ARRAYFORMULA(VLOOKUP(A90,IMPORTRANGE(""https://docs.google.com/spreadsheets/d/1BuTWp7qHGjWhqrnf-OmePP568O4A5Am9ttzvVdP67zw/edit#gid=771602874"" ,""HUMAN RESOURCES!$A$2:$M$2692""), {2,3,4,5,6,7,8,9,10,11,12,13},0))"),0.017)</f>
        <v>0.017</v>
      </c>
      <c r="Q90" s="14">
        <f>IFERROR(__xludf.DUMMYFUNCTION("""COMPUTED_VALUE"""),0.009)</f>
        <v>0.009</v>
      </c>
      <c r="R90" s="14">
        <f>IFERROR(__xludf.DUMMYFUNCTION("""COMPUTED_VALUE"""),78.0)</f>
        <v>78</v>
      </c>
      <c r="S90" s="14">
        <f>IFERROR(__xludf.DUMMYFUNCTION("""COMPUTED_VALUE"""),73.0)</f>
        <v>73</v>
      </c>
      <c r="T90" s="14">
        <f>IFERROR(__xludf.DUMMYFUNCTION("""COMPUTED_VALUE"""),0.262)</f>
        <v>0.262</v>
      </c>
      <c r="U90" s="14">
        <f>IFERROR(__xludf.DUMMYFUNCTION("""COMPUTED_VALUE"""),0.665)</f>
        <v>0.665</v>
      </c>
      <c r="V90" s="14">
        <f>IFERROR(__xludf.DUMMYFUNCTION("""COMPUTED_VALUE"""),0.072)</f>
        <v>0.072</v>
      </c>
      <c r="W90" s="14">
        <f>IFERROR(__xludf.DUMMYFUNCTION("""COMPUTED_VALUE"""),87233.0)</f>
        <v>87233</v>
      </c>
      <c r="X90" s="14">
        <f>IFERROR(__xludf.DUMMYFUNCTION("""COMPUTED_VALUE"""),0.262)</f>
        <v>0.262</v>
      </c>
      <c r="Y90" s="14" t="str">
        <f>IFERROR(__xludf.DUMMYFUNCTION("""COMPUTED_VALUE"""),"Antigua and Barbuda-The Americas")</f>
        <v>Antigua and Barbuda-The Americas</v>
      </c>
      <c r="Z90" s="14" t="str">
        <f>IFERROR(__xludf.DUMMYFUNCTION("""COMPUTED_VALUE"""),"The Americas")</f>
        <v>The Americas</v>
      </c>
      <c r="AA90" s="14" t="str">
        <f>IFERROR(__xludf.DUMMYFUNCTION("""COMPUTED_VALUE"""),"2010")</f>
        <v>2010</v>
      </c>
      <c r="AB90" s="15" t="str">
        <f>IFERROR(__xludf.DUMMYFUNCTION("ARRAYFORMULA(VLOOKUP(A90,IMPORTRANGE(""https://docs.google.com/spreadsheets/d/1BuTWp7qHGjWhqrnf-OmePP568O4A5Am9ttzvVdP67zw/edit#gid=1931367683"" ,""ENERGY!$A$2:$F$2692""), {2,3,4,5,6},0))"),"The Americas")</f>
        <v>The Americas</v>
      </c>
      <c r="AC90" s="14" t="str">
        <f>IFERROR(__xludf.DUMMYFUNCTION("""COMPUTED_VALUE"""),"Antigua and Barbuda-The Americas")</f>
        <v>Antigua and Barbuda-The Americas</v>
      </c>
      <c r="AD90" s="14" t="str">
        <f>IFERROR(__xludf.DUMMYFUNCTION("""COMPUTED_VALUE"""),"2012")</f>
        <v>2012</v>
      </c>
      <c r="AE90" s="14"/>
      <c r="AF90" s="14">
        <f>IFERROR(__xludf.DUMMYFUNCTION("""COMPUTED_VALUE"""),363.0)</f>
        <v>363</v>
      </c>
    </row>
    <row r="91">
      <c r="A91" s="12">
        <v>90.0</v>
      </c>
      <c r="B91" s="12" t="s">
        <v>83</v>
      </c>
      <c r="C91" s="5" t="s">
        <v>84</v>
      </c>
      <c r="D91" s="11">
        <v>0.41</v>
      </c>
      <c r="E91" s="11">
        <v>21.0</v>
      </c>
      <c r="F91" s="8"/>
      <c r="G91" s="11">
        <v>207.0</v>
      </c>
      <c r="H91" s="11">
        <v>0.53</v>
      </c>
      <c r="I91" s="11">
        <v>1.997</v>
      </c>
      <c r="J91" s="9" t="s">
        <v>72</v>
      </c>
      <c r="K91" s="14" t="str">
        <f>IFERROR(__xludf.DUMMYFUNCTION("ARRAYFORMULA(VLOOKUP(A91,IMPORTRANGE(""https://docs.google.com/spreadsheets/d/1BuTWp7qHGjWhqrnf-OmePP568O4A5Am9ttzvVdP67zw/edit#gid=1603210130"", ""TOURISM!$A$2:$F$2692""), {2,3,4,5,6},0))"),"The Americas")</f>
        <v>The Americas</v>
      </c>
      <c r="L91" s="14">
        <f>IFERROR(__xludf.DUMMYFUNCTION("""COMPUTED_VALUE"""),3.12E8)</f>
        <v>312000000</v>
      </c>
      <c r="M91" s="14" t="str">
        <f>IFERROR(__xludf.DUMMYFUNCTION("""COMPUTED_VALUE"""),"Antigua and Barbuda-The Americas")</f>
        <v>Antigua and Barbuda-The Americas</v>
      </c>
      <c r="N91" s="14" t="str">
        <f>IFERROR(__xludf.DUMMYFUNCTION("""COMPUTED_VALUE"""),"2011")</f>
        <v>2011</v>
      </c>
      <c r="O91" s="14">
        <f>IFERROR(__xludf.DUMMYFUNCTION("""COMPUTED_VALUE"""),5.0E7)</f>
        <v>50000000</v>
      </c>
      <c r="P91" s="15">
        <f>IFERROR(__xludf.DUMMYFUNCTION("ARRAYFORMULA(VLOOKUP(A91,IMPORTRANGE(""https://docs.google.com/spreadsheets/d/1BuTWp7qHGjWhqrnf-OmePP568O4A5Am9ttzvVdP67zw/edit#gid=771602874"" ,""HUMAN RESOURCES!$A$2:$M$2692""), {2,3,4,5,6,7,8,9,10,11,12,13},0))"),0.017)</f>
        <v>0.017</v>
      </c>
      <c r="Q91" s="14">
        <f>IFERROR(__xludf.DUMMYFUNCTION("""COMPUTED_VALUE"""),0.008)</f>
        <v>0.008</v>
      </c>
      <c r="R91" s="14">
        <f>IFERROR(__xludf.DUMMYFUNCTION("""COMPUTED_VALUE"""),78.0)</f>
        <v>78</v>
      </c>
      <c r="S91" s="14">
        <f>IFERROR(__xludf.DUMMYFUNCTION("""COMPUTED_VALUE"""),73.0)</f>
        <v>73</v>
      </c>
      <c r="T91" s="14">
        <f>IFERROR(__xludf.DUMMYFUNCTION("""COMPUTED_VALUE"""),0.258)</f>
        <v>0.258</v>
      </c>
      <c r="U91" s="14">
        <f>IFERROR(__xludf.DUMMYFUNCTION("""COMPUTED_VALUE"""),0.67)</f>
        <v>0.67</v>
      </c>
      <c r="V91" s="14">
        <f>IFERROR(__xludf.DUMMYFUNCTION("""COMPUTED_VALUE"""),0.072)</f>
        <v>0.072</v>
      </c>
      <c r="W91" s="14">
        <f>IFERROR(__xludf.DUMMYFUNCTION("""COMPUTED_VALUE"""),88152.0)</f>
        <v>88152</v>
      </c>
      <c r="X91" s="14">
        <f>IFERROR(__xludf.DUMMYFUNCTION("""COMPUTED_VALUE"""),0.257)</f>
        <v>0.257</v>
      </c>
      <c r="Y91" s="14" t="str">
        <f>IFERROR(__xludf.DUMMYFUNCTION("""COMPUTED_VALUE"""),"Antigua and Barbuda-The Americas")</f>
        <v>Antigua and Barbuda-The Americas</v>
      </c>
      <c r="Z91" s="14" t="str">
        <f>IFERROR(__xludf.DUMMYFUNCTION("""COMPUTED_VALUE"""),"The Americas")</f>
        <v>The Americas</v>
      </c>
      <c r="AA91" s="14" t="str">
        <f>IFERROR(__xludf.DUMMYFUNCTION("""COMPUTED_VALUE"""),"2011")</f>
        <v>2011</v>
      </c>
      <c r="AB91" s="15" t="str">
        <f>IFERROR(__xludf.DUMMYFUNCTION("ARRAYFORMULA(VLOOKUP(A91,IMPORTRANGE(""https://docs.google.com/spreadsheets/d/1BuTWp7qHGjWhqrnf-OmePP568O4A5Am9ttzvVdP67zw/edit#gid=1931367683"" ,""ENERGY!$A$2:$F$2692""), {2,3,4,5,6},0))"),"The Americas")</f>
        <v>The Americas</v>
      </c>
      <c r="AC91" s="14" t="str">
        <f>IFERROR(__xludf.DUMMYFUNCTION("""COMPUTED_VALUE"""),"Antigua and Barbuda-The Americas")</f>
        <v>Antigua and Barbuda-The Americas</v>
      </c>
      <c r="AD91" s="14" t="str">
        <f>IFERROR(__xludf.DUMMYFUNCTION("""COMPUTED_VALUE"""),"2011")</f>
        <v>2011</v>
      </c>
      <c r="AE91" s="14"/>
      <c r="AF91" s="14">
        <f>IFERROR(__xludf.DUMMYFUNCTION("""COMPUTED_VALUE"""),345.0)</f>
        <v>345</v>
      </c>
    </row>
    <row r="92">
      <c r="A92" s="12">
        <v>91.0</v>
      </c>
      <c r="B92" s="12" t="s">
        <v>83</v>
      </c>
      <c r="C92" s="5" t="s">
        <v>84</v>
      </c>
      <c r="D92" s="11">
        <v>0.41</v>
      </c>
      <c r="E92" s="11">
        <v>21.0</v>
      </c>
      <c r="F92" s="11">
        <v>66.0</v>
      </c>
      <c r="G92" s="11">
        <v>207.0</v>
      </c>
      <c r="H92" s="11">
        <v>0.59</v>
      </c>
      <c r="I92" s="11">
        <v>1.43</v>
      </c>
      <c r="J92" s="9" t="s">
        <v>73</v>
      </c>
      <c r="K92" s="14" t="str">
        <f>IFERROR(__xludf.DUMMYFUNCTION("ARRAYFORMULA(VLOOKUP(A92,IMPORTRANGE(""https://docs.google.com/spreadsheets/d/1BuTWp7qHGjWhqrnf-OmePP568O4A5Am9ttzvVdP67zw/edit#gid=1603210130"", ""TOURISM!$A$2:$F$2692""), {2,3,4,5,6},0))"),"The Americas")</f>
        <v>The Americas</v>
      </c>
      <c r="L92" s="14"/>
      <c r="M92" s="14" t="str">
        <f>IFERROR(__xludf.DUMMYFUNCTION("""COMPUTED_VALUE"""),"Antigua and Barbuda-The Americas")</f>
        <v>Antigua and Barbuda-The Americas</v>
      </c>
      <c r="N92" s="14" t="str">
        <f>IFERROR(__xludf.DUMMYFUNCTION("""COMPUTED_VALUE"""),"2012")</f>
        <v>2012</v>
      </c>
      <c r="O92" s="14"/>
      <c r="P92" s="15">
        <f>IFERROR(__xludf.DUMMYFUNCTION("ARRAYFORMULA(VLOOKUP(A92,IMPORTRANGE(""https://docs.google.com/spreadsheets/d/1BuTWp7qHGjWhqrnf-OmePP568O4A5Am9ttzvVdP67zw/edit#gid=771602874"" ,""HUMAN RESOURCES!$A$2:$M$2692""), {2,3,4,5,6,7,8,9,10,11,12,13},0))"),0.017)</f>
        <v>0.017</v>
      </c>
      <c r="Q92" s="14">
        <f>IFERROR(__xludf.DUMMYFUNCTION("""COMPUTED_VALUE"""),0.008)</f>
        <v>0.008</v>
      </c>
      <c r="R92" s="14">
        <f>IFERROR(__xludf.DUMMYFUNCTION("""COMPUTED_VALUE"""),78.0)</f>
        <v>78</v>
      </c>
      <c r="S92" s="14">
        <f>IFERROR(__xludf.DUMMYFUNCTION("""COMPUTED_VALUE"""),73.0)</f>
        <v>73</v>
      </c>
      <c r="T92" s="14">
        <f>IFERROR(__xludf.DUMMYFUNCTION("""COMPUTED_VALUE"""),0.254)</f>
        <v>0.254</v>
      </c>
      <c r="U92" s="14">
        <f>IFERROR(__xludf.DUMMYFUNCTION("""COMPUTED_VALUE"""),0.675)</f>
        <v>0.675</v>
      </c>
      <c r="V92" s="14">
        <f>IFERROR(__xludf.DUMMYFUNCTION("""COMPUTED_VALUE"""),0.071)</f>
        <v>0.071</v>
      </c>
      <c r="W92" s="14">
        <f>IFERROR(__xludf.DUMMYFUNCTION("""COMPUTED_VALUE"""),89069.0)</f>
        <v>89069</v>
      </c>
      <c r="X92" s="14">
        <f>IFERROR(__xludf.DUMMYFUNCTION("""COMPUTED_VALUE"""),0.251)</f>
        <v>0.251</v>
      </c>
      <c r="Y92" s="14" t="str">
        <f>IFERROR(__xludf.DUMMYFUNCTION("""COMPUTED_VALUE"""),"Antigua and Barbuda-The Americas")</f>
        <v>Antigua and Barbuda-The Americas</v>
      </c>
      <c r="Z92" s="14" t="str">
        <f>IFERROR(__xludf.DUMMYFUNCTION("""COMPUTED_VALUE"""),"The Americas")</f>
        <v>The Americas</v>
      </c>
      <c r="AA92" s="14" t="str">
        <f>IFERROR(__xludf.DUMMYFUNCTION("""COMPUTED_VALUE"""),"2012")</f>
        <v>2012</v>
      </c>
      <c r="AB92" s="15" t="str">
        <f>IFERROR(__xludf.DUMMYFUNCTION("ARRAYFORMULA(VLOOKUP(A92,IMPORTRANGE(""https://docs.google.com/spreadsheets/d/1BuTWp7qHGjWhqrnf-OmePP568O4A5Am9ttzvVdP67zw/edit#gid=1931367683"" ,""ENERGY!$A$2:$F$2692""), {2,3,4,5,6},0))"),"The Americas")</f>
        <v>The Americas</v>
      </c>
      <c r="AC92" s="14" t="str">
        <f>IFERROR(__xludf.DUMMYFUNCTION("""COMPUTED_VALUE"""),"Antigua and Barbuda-The Americas")</f>
        <v>Antigua and Barbuda-The Americas</v>
      </c>
      <c r="AD92" s="14" t="str">
        <f>IFERROR(__xludf.DUMMYFUNCTION("""COMPUTED_VALUE"""),"2008")</f>
        <v>2008</v>
      </c>
      <c r="AE92" s="14"/>
      <c r="AF92" s="14">
        <f>IFERROR(__xludf.DUMMYFUNCTION("""COMPUTED_VALUE"""),345.0)</f>
        <v>345</v>
      </c>
    </row>
    <row r="93">
      <c r="A93" s="12">
        <v>92.0</v>
      </c>
      <c r="B93" s="12" t="s">
        <v>85</v>
      </c>
      <c r="C93" s="5" t="s">
        <v>84</v>
      </c>
      <c r="D93" s="8"/>
      <c r="E93" s="8"/>
      <c r="F93" s="8"/>
      <c r="G93" s="8"/>
      <c r="H93" s="11">
        <v>0.07</v>
      </c>
      <c r="I93" s="11">
        <v>0.176</v>
      </c>
      <c r="J93" s="9" t="s">
        <v>60</v>
      </c>
      <c r="K93" s="14" t="str">
        <f>IFERROR(__xludf.DUMMYFUNCTION("ARRAYFORMULA(VLOOKUP(A93,IMPORTRANGE(""https://docs.google.com/spreadsheets/d/1BuTWp7qHGjWhqrnf-OmePP568O4A5Am9ttzvVdP67zw/edit#gid=1603210130"", ""TOURISM!$A$2:$F$2692""), {2,3,4,5,6},0))"),"The Americas")</f>
        <v>The Americas</v>
      </c>
      <c r="L93" s="14">
        <f>IFERROR(__xludf.DUMMYFUNCTION("""COMPUTED_VALUE"""),3.195E9)</f>
        <v>3195000000</v>
      </c>
      <c r="M93" s="14" t="str">
        <f>IFERROR(__xludf.DUMMYFUNCTION("""COMPUTED_VALUE"""),"Argentina-The Americas")</f>
        <v>Argentina-The Americas</v>
      </c>
      <c r="N93" s="14" t="str">
        <f>IFERROR(__xludf.DUMMYFUNCTION("""COMPUTED_VALUE"""),"2000")</f>
        <v>2000</v>
      </c>
      <c r="O93" s="14">
        <f>IFERROR(__xludf.DUMMYFUNCTION("""COMPUTED_VALUE"""),5.46E9)</f>
        <v>5460000000</v>
      </c>
      <c r="P93" s="15">
        <f>IFERROR(__xludf.DUMMYFUNCTION("ARRAYFORMULA(VLOOKUP(A93,IMPORTRANGE(""https://docs.google.com/spreadsheets/d/1BuTWp7qHGjWhqrnf-OmePP568O4A5Am9ttzvVdP67zw/edit#gid=771602874"" ,""HUMAN RESOURCES!$A$2:$M$2692""), {2,3,4,5,6,7,8,9,10,11,12,13},0))"),0.019)</f>
        <v>0.019</v>
      </c>
      <c r="Q93" s="14">
        <f>IFERROR(__xludf.DUMMYFUNCTION("""COMPUTED_VALUE"""),0.018)</f>
        <v>0.018</v>
      </c>
      <c r="R93" s="14">
        <f>IFERROR(__xludf.DUMMYFUNCTION("""COMPUTED_VALUE"""),78.0)</f>
        <v>78</v>
      </c>
      <c r="S93" s="14">
        <f>IFERROR(__xludf.DUMMYFUNCTION("""COMPUTED_VALUE"""),70.0)</f>
        <v>70</v>
      </c>
      <c r="T93" s="14">
        <f>IFERROR(__xludf.DUMMYFUNCTION("""COMPUTED_VALUE"""),0.279)</f>
        <v>0.279</v>
      </c>
      <c r="U93" s="14">
        <f>IFERROR(__xludf.DUMMYFUNCTION("""COMPUTED_VALUE"""),0.621)</f>
        <v>0.621</v>
      </c>
      <c r="V93" s="14">
        <f>IFERROR(__xludf.DUMMYFUNCTION("""COMPUTED_VALUE"""),0.099)</f>
        <v>0.099</v>
      </c>
      <c r="W93" s="14">
        <f>IFERROR(__xludf.DUMMYFUNCTION("""COMPUTED_VALUE"""),3.6903067E7)</f>
        <v>36903067</v>
      </c>
      <c r="X93" s="14">
        <f>IFERROR(__xludf.DUMMYFUNCTION("""COMPUTED_VALUE"""),0.891)</f>
        <v>0.891</v>
      </c>
      <c r="Y93" s="14" t="str">
        <f>IFERROR(__xludf.DUMMYFUNCTION("""COMPUTED_VALUE"""),"Argentina-The Americas")</f>
        <v>Argentina-The Americas</v>
      </c>
      <c r="Z93" s="14" t="str">
        <f>IFERROR(__xludf.DUMMYFUNCTION("""COMPUTED_VALUE"""),"The Americas")</f>
        <v>The Americas</v>
      </c>
      <c r="AA93" s="14" t="str">
        <f>IFERROR(__xludf.DUMMYFUNCTION("""COMPUTED_VALUE"""),"2000")</f>
        <v>2000</v>
      </c>
      <c r="AB93" s="15" t="str">
        <f>IFERROR(__xludf.DUMMYFUNCTION("ARRAYFORMULA(VLOOKUP(A93,IMPORTRANGE(""https://docs.google.com/spreadsheets/d/1BuTWp7qHGjWhqrnf-OmePP568O4A5Am9ttzvVdP67zw/edit#gid=1931367683"" ,""ENERGY!$A$2:$F$2692""), {2,3,4,5,6},0))"),"The Americas")</f>
        <v>The Americas</v>
      </c>
      <c r="AC93" s="14" t="str">
        <f>IFERROR(__xludf.DUMMYFUNCTION("""COMPUTED_VALUE"""),"Argentina-The Americas")</f>
        <v>Argentina-The Americas</v>
      </c>
      <c r="AD93" s="14" t="str">
        <f>IFERROR(__xludf.DUMMYFUNCTION("""COMPUTED_VALUE"""),"2000")</f>
        <v>2000</v>
      </c>
      <c r="AE93" s="14"/>
      <c r="AF93" s="14"/>
    </row>
    <row r="94">
      <c r="A94" s="12">
        <v>93.0</v>
      </c>
      <c r="B94" s="12" t="s">
        <v>85</v>
      </c>
      <c r="C94" s="5" t="s">
        <v>84</v>
      </c>
      <c r="D94" s="8"/>
      <c r="E94" s="8"/>
      <c r="F94" s="8"/>
      <c r="G94" s="8"/>
      <c r="H94" s="11">
        <v>0.098</v>
      </c>
      <c r="I94" s="11">
        <v>0.181</v>
      </c>
      <c r="J94" s="9" t="s">
        <v>62</v>
      </c>
      <c r="K94" s="14" t="str">
        <f>IFERROR(__xludf.DUMMYFUNCTION("ARRAYFORMULA(VLOOKUP(A94,IMPORTRANGE(""https://docs.google.com/spreadsheets/d/1BuTWp7qHGjWhqrnf-OmePP568O4A5Am9ttzvVdP67zw/edit#gid=1603210130"", ""TOURISM!$A$2:$F$2692""), {2,3,4,5,6},0))"),"The Americas")</f>
        <v>The Americas</v>
      </c>
      <c r="L94" s="14">
        <f>IFERROR(__xludf.DUMMYFUNCTION("""COMPUTED_VALUE"""),2.756E9)</f>
        <v>2756000000</v>
      </c>
      <c r="M94" s="14" t="str">
        <f>IFERROR(__xludf.DUMMYFUNCTION("""COMPUTED_VALUE"""),"Argentina-The Americas")</f>
        <v>Argentina-The Americas</v>
      </c>
      <c r="N94" s="14" t="str">
        <f>IFERROR(__xludf.DUMMYFUNCTION("""COMPUTED_VALUE"""),"2001")</f>
        <v>2001</v>
      </c>
      <c r="O94" s="14">
        <f>IFERROR(__xludf.DUMMYFUNCTION("""COMPUTED_VALUE"""),4.888E9)</f>
        <v>4888000000</v>
      </c>
      <c r="P94" s="15">
        <f>IFERROR(__xludf.DUMMYFUNCTION("ARRAYFORMULA(VLOOKUP(A94,IMPORTRANGE(""https://docs.google.com/spreadsheets/d/1BuTWp7qHGjWhqrnf-OmePP568O4A5Am9ttzvVdP67zw/edit#gid=771602874"" ,""HUMAN RESOURCES!$A$2:$M$2692""), {2,3,4,5,6,7,8,9,10,11,12,13},0))"),0.018)</f>
        <v>0.018</v>
      </c>
      <c r="Q94" s="14">
        <f>IFERROR(__xludf.DUMMYFUNCTION("""COMPUTED_VALUE"""),0.018)</f>
        <v>0.018</v>
      </c>
      <c r="R94" s="14">
        <f>IFERROR(__xludf.DUMMYFUNCTION("""COMPUTED_VALUE"""),78.0)</f>
        <v>78</v>
      </c>
      <c r="S94" s="14">
        <f>IFERROR(__xludf.DUMMYFUNCTION("""COMPUTED_VALUE"""),70.0)</f>
        <v>70</v>
      </c>
      <c r="T94" s="14">
        <f>IFERROR(__xludf.DUMMYFUNCTION("""COMPUTED_VALUE"""),0.276)</f>
        <v>0.276</v>
      </c>
      <c r="U94" s="14">
        <f>IFERROR(__xludf.DUMMYFUNCTION("""COMPUTED_VALUE"""),0.624)</f>
        <v>0.624</v>
      </c>
      <c r="V94" s="14">
        <f>IFERROR(__xludf.DUMMYFUNCTION("""COMPUTED_VALUE"""),0.1)</f>
        <v>0.1</v>
      </c>
      <c r="W94" s="14">
        <f>IFERROR(__xludf.DUMMYFUNCTION("""COMPUTED_VALUE"""),3.7273361E7)</f>
        <v>37273361</v>
      </c>
      <c r="X94" s="14">
        <f>IFERROR(__xludf.DUMMYFUNCTION("""COMPUTED_VALUE"""),0.893)</f>
        <v>0.893</v>
      </c>
      <c r="Y94" s="14" t="str">
        <f>IFERROR(__xludf.DUMMYFUNCTION("""COMPUTED_VALUE"""),"Argentina-The Americas")</f>
        <v>Argentina-The Americas</v>
      </c>
      <c r="Z94" s="14" t="str">
        <f>IFERROR(__xludf.DUMMYFUNCTION("""COMPUTED_VALUE"""),"The Americas")</f>
        <v>The Americas</v>
      </c>
      <c r="AA94" s="14" t="str">
        <f>IFERROR(__xludf.DUMMYFUNCTION("""COMPUTED_VALUE"""),"2001")</f>
        <v>2001</v>
      </c>
      <c r="AB94" s="15" t="str">
        <f>IFERROR(__xludf.DUMMYFUNCTION("ARRAYFORMULA(VLOOKUP(A94,IMPORTRANGE(""https://docs.google.com/spreadsheets/d/1BuTWp7qHGjWhqrnf-OmePP568O4A5Am9ttzvVdP67zw/edit#gid=1931367683"" ,""ENERGY!$A$2:$F$2692""), {2,3,4,5,6},0))"),"The Americas")</f>
        <v>The Americas</v>
      </c>
      <c r="AC94" s="14" t="str">
        <f>IFERROR(__xludf.DUMMYFUNCTION("""COMPUTED_VALUE"""),"Argentina-The Americas")</f>
        <v>Argentina-The Americas</v>
      </c>
      <c r="AD94" s="14" t="str">
        <f>IFERROR(__xludf.DUMMYFUNCTION("""COMPUTED_VALUE"""),"2001")</f>
        <v>2001</v>
      </c>
      <c r="AE94" s="14">
        <f>IFERROR(__xludf.DUMMYFUNCTION("""COMPUTED_VALUE"""),80112.0)</f>
        <v>80112</v>
      </c>
      <c r="AF94" s="14"/>
    </row>
    <row r="95">
      <c r="A95" s="12">
        <v>94.0</v>
      </c>
      <c r="B95" s="12" t="s">
        <v>85</v>
      </c>
      <c r="C95" s="5" t="s">
        <v>84</v>
      </c>
      <c r="D95" s="8"/>
      <c r="E95" s="8"/>
      <c r="F95" s="8"/>
      <c r="G95" s="8"/>
      <c r="H95" s="11">
        <v>0.109</v>
      </c>
      <c r="I95" s="11">
        <v>0.175</v>
      </c>
      <c r="J95" s="9" t="s">
        <v>63</v>
      </c>
      <c r="K95" s="14" t="str">
        <f>IFERROR(__xludf.DUMMYFUNCTION("ARRAYFORMULA(VLOOKUP(A95,IMPORTRANGE(""https://docs.google.com/spreadsheets/d/1BuTWp7qHGjWhqrnf-OmePP568O4A5Am9ttzvVdP67zw/edit#gid=1603210130"", ""TOURISM!$A$2:$F$2692""), {2,3,4,5,6},0))"),"The Americas")</f>
        <v>The Americas</v>
      </c>
      <c r="L95" s="14">
        <f>IFERROR(__xludf.DUMMYFUNCTION("""COMPUTED_VALUE"""),1.716E9)</f>
        <v>1716000000</v>
      </c>
      <c r="M95" s="14" t="str">
        <f>IFERROR(__xludf.DUMMYFUNCTION("""COMPUTED_VALUE"""),"Argentina-The Americas")</f>
        <v>Argentina-The Americas</v>
      </c>
      <c r="N95" s="14" t="str">
        <f>IFERROR(__xludf.DUMMYFUNCTION("""COMPUTED_VALUE"""),"2002")</f>
        <v>2002</v>
      </c>
      <c r="O95" s="14">
        <f>IFERROR(__xludf.DUMMYFUNCTION("""COMPUTED_VALUE"""),2.744E9)</f>
        <v>2744000000</v>
      </c>
      <c r="P95" s="15">
        <f>IFERROR(__xludf.DUMMYFUNCTION("ARRAYFORMULA(VLOOKUP(A95,IMPORTRANGE(""https://docs.google.com/spreadsheets/d/1BuTWp7qHGjWhqrnf-OmePP568O4A5Am9ttzvVdP67zw/edit#gid=771602874"" ,""HUMAN RESOURCES!$A$2:$M$2692""), {2,3,4,5,6,7,8,9,10,11,12,13},0))"),0.018)</f>
        <v>0.018</v>
      </c>
      <c r="Q95" s="14">
        <f>IFERROR(__xludf.DUMMYFUNCTION("""COMPUTED_VALUE"""),0.017)</f>
        <v>0.017</v>
      </c>
      <c r="R95" s="14">
        <f>IFERROR(__xludf.DUMMYFUNCTION("""COMPUTED_VALUE"""),78.0)</f>
        <v>78</v>
      </c>
      <c r="S95" s="14">
        <f>IFERROR(__xludf.DUMMYFUNCTION("""COMPUTED_VALUE"""),71.0)</f>
        <v>71</v>
      </c>
      <c r="T95" s="14">
        <f>IFERROR(__xludf.DUMMYFUNCTION("""COMPUTED_VALUE"""),0.273)</f>
        <v>0.273</v>
      </c>
      <c r="U95" s="14">
        <f>IFERROR(__xludf.DUMMYFUNCTION("""COMPUTED_VALUE"""),0.626)</f>
        <v>0.626</v>
      </c>
      <c r="V95" s="14">
        <f>IFERROR(__xludf.DUMMYFUNCTION("""COMPUTED_VALUE"""),0.101)</f>
        <v>0.101</v>
      </c>
      <c r="W95" s="14">
        <f>IFERROR(__xludf.DUMMYFUNCTION("""COMPUTED_VALUE"""),3.7627545E7)</f>
        <v>37627545</v>
      </c>
      <c r="X95" s="14">
        <f>IFERROR(__xludf.DUMMYFUNCTION("""COMPUTED_VALUE"""),0.895)</f>
        <v>0.895</v>
      </c>
      <c r="Y95" s="14" t="str">
        <f>IFERROR(__xludf.DUMMYFUNCTION("""COMPUTED_VALUE"""),"Argentina-The Americas")</f>
        <v>Argentina-The Americas</v>
      </c>
      <c r="Z95" s="14" t="str">
        <f>IFERROR(__xludf.DUMMYFUNCTION("""COMPUTED_VALUE"""),"The Americas")</f>
        <v>The Americas</v>
      </c>
      <c r="AA95" s="14" t="str">
        <f>IFERROR(__xludf.DUMMYFUNCTION("""COMPUTED_VALUE"""),"2002")</f>
        <v>2002</v>
      </c>
      <c r="AB95" s="15" t="str">
        <f>IFERROR(__xludf.DUMMYFUNCTION("ARRAYFORMULA(VLOOKUP(A95,IMPORTRANGE(""https://docs.google.com/spreadsheets/d/1BuTWp7qHGjWhqrnf-OmePP568O4A5Am9ttzvVdP67zw/edit#gid=1931367683"" ,""ENERGY!$A$2:$F$2692""), {2,3,4,5,6},0))"),"The Americas")</f>
        <v>The Americas</v>
      </c>
      <c r="AC95" s="14" t="str">
        <f>IFERROR(__xludf.DUMMYFUNCTION("""COMPUTED_VALUE"""),"Argentina-The Americas")</f>
        <v>Argentina-The Americas</v>
      </c>
      <c r="AD95" s="14" t="str">
        <f>IFERROR(__xludf.DUMMYFUNCTION("""COMPUTED_VALUE"""),"2002")</f>
        <v>2002</v>
      </c>
      <c r="AE95" s="14">
        <f>IFERROR(__xludf.DUMMYFUNCTION("""COMPUTED_VALUE"""),78162.0)</f>
        <v>78162</v>
      </c>
      <c r="AF95" s="14">
        <f>IFERROR(__xludf.DUMMYFUNCTION("""COMPUTED_VALUE"""),180512.0)</f>
        <v>180512</v>
      </c>
    </row>
    <row r="96">
      <c r="A96" s="12">
        <v>95.0</v>
      </c>
      <c r="B96" s="12" t="s">
        <v>85</v>
      </c>
      <c r="C96" s="5" t="s">
        <v>84</v>
      </c>
      <c r="D96" s="8"/>
      <c r="E96" s="11">
        <v>66.0</v>
      </c>
      <c r="F96" s="8"/>
      <c r="G96" s="8"/>
      <c r="H96" s="11">
        <v>0.119</v>
      </c>
      <c r="I96" s="11">
        <v>0.207</v>
      </c>
      <c r="J96" s="9" t="s">
        <v>64</v>
      </c>
      <c r="K96" s="14" t="str">
        <f>IFERROR(__xludf.DUMMYFUNCTION("ARRAYFORMULA(VLOOKUP(A96,IMPORTRANGE(""https://docs.google.com/spreadsheets/d/1BuTWp7qHGjWhqrnf-OmePP568O4A5Am9ttzvVdP67zw/edit#gid=1603210130"", ""TOURISM!$A$2:$F$2692""), {2,3,4,5,6},0))"),"The Americas")</f>
        <v>The Americas</v>
      </c>
      <c r="L96" s="14">
        <f>IFERROR(__xludf.DUMMYFUNCTION("""COMPUTED_VALUE"""),2.306E9)</f>
        <v>2306000000</v>
      </c>
      <c r="M96" s="14" t="str">
        <f>IFERROR(__xludf.DUMMYFUNCTION("""COMPUTED_VALUE"""),"Argentina-The Americas")</f>
        <v>Argentina-The Americas</v>
      </c>
      <c r="N96" s="14" t="str">
        <f>IFERROR(__xludf.DUMMYFUNCTION("""COMPUTED_VALUE"""),"2003")</f>
        <v>2003</v>
      </c>
      <c r="O96" s="14">
        <f>IFERROR(__xludf.DUMMYFUNCTION("""COMPUTED_VALUE"""),2.997E9)</f>
        <v>2997000000</v>
      </c>
      <c r="P96" s="15">
        <f>IFERROR(__xludf.DUMMYFUNCTION("ARRAYFORMULA(VLOOKUP(A96,IMPORTRANGE(""https://docs.google.com/spreadsheets/d/1BuTWp7qHGjWhqrnf-OmePP568O4A5Am9ttzvVdP67zw/edit#gid=771602874"" ,""HUMAN RESOURCES!$A$2:$M$2692""), {2,3,4,5,6,7,8,9,10,11,12,13},0))"),0.018)</f>
        <v>0.018</v>
      </c>
      <c r="Q96" s="14">
        <f>IFERROR(__xludf.DUMMYFUNCTION("""COMPUTED_VALUE"""),0.017)</f>
        <v>0.017</v>
      </c>
      <c r="R96" s="14">
        <f>IFERROR(__xludf.DUMMYFUNCTION("""COMPUTED_VALUE"""),78.0)</f>
        <v>78</v>
      </c>
      <c r="S96" s="14">
        <f>IFERROR(__xludf.DUMMYFUNCTION("""COMPUTED_VALUE"""),71.0)</f>
        <v>71</v>
      </c>
      <c r="T96" s="14">
        <f>IFERROR(__xludf.DUMMYFUNCTION("""COMPUTED_VALUE"""),0.27)</f>
        <v>0.27</v>
      </c>
      <c r="U96" s="14">
        <f>IFERROR(__xludf.DUMMYFUNCTION("""COMPUTED_VALUE"""),0.629)</f>
        <v>0.629</v>
      </c>
      <c r="V96" s="14">
        <f>IFERROR(__xludf.DUMMYFUNCTION("""COMPUTED_VALUE"""),0.101)</f>
        <v>0.101</v>
      </c>
      <c r="W96" s="14">
        <f>IFERROR(__xludf.DUMMYFUNCTION("""COMPUTED_VALUE"""),3.7970411E7)</f>
        <v>37970411</v>
      </c>
      <c r="X96" s="14">
        <f>IFERROR(__xludf.DUMMYFUNCTION("""COMPUTED_VALUE"""),0.897)</f>
        <v>0.897</v>
      </c>
      <c r="Y96" s="14" t="str">
        <f>IFERROR(__xludf.DUMMYFUNCTION("""COMPUTED_VALUE"""),"Argentina-The Americas")</f>
        <v>Argentina-The Americas</v>
      </c>
      <c r="Z96" s="14" t="str">
        <f>IFERROR(__xludf.DUMMYFUNCTION("""COMPUTED_VALUE"""),"The Americas")</f>
        <v>The Americas</v>
      </c>
      <c r="AA96" s="14" t="str">
        <f>IFERROR(__xludf.DUMMYFUNCTION("""COMPUTED_VALUE"""),"2003")</f>
        <v>2003</v>
      </c>
      <c r="AB96" s="15" t="str">
        <f>IFERROR(__xludf.DUMMYFUNCTION("ARRAYFORMULA(VLOOKUP(A96,IMPORTRANGE(""https://docs.google.com/spreadsheets/d/1BuTWp7qHGjWhqrnf-OmePP568O4A5Am9ttzvVdP67zw/edit#gid=1931367683"" ,""ENERGY!$A$2:$F$2692""), {2,3,4,5,6},0))"),"The Americas")</f>
        <v>The Americas</v>
      </c>
      <c r="AC96" s="14" t="str">
        <f>IFERROR(__xludf.DUMMYFUNCTION("""COMPUTED_VALUE"""),"Argentina-The Americas")</f>
        <v>Argentina-The Americas</v>
      </c>
      <c r="AD96" s="14" t="str">
        <f>IFERROR(__xludf.DUMMYFUNCTION("""COMPUTED_VALUE"""),"2003")</f>
        <v>2003</v>
      </c>
      <c r="AE96" s="14">
        <f>IFERROR(__xludf.DUMMYFUNCTION("""COMPUTED_VALUE"""),76075.0)</f>
        <v>76075</v>
      </c>
      <c r="AF96" s="14">
        <f>IFERROR(__xludf.DUMMYFUNCTION("""COMPUTED_VALUE"""),179639.0)</f>
        <v>179639</v>
      </c>
    </row>
    <row r="97">
      <c r="A97" s="12">
        <v>96.0</v>
      </c>
      <c r="B97" s="12" t="s">
        <v>85</v>
      </c>
      <c r="C97" s="5" t="s">
        <v>84</v>
      </c>
      <c r="D97" s="8"/>
      <c r="E97" s="11">
        <v>30.0</v>
      </c>
      <c r="F97" s="8"/>
      <c r="G97" s="8"/>
      <c r="H97" s="11">
        <v>0.16</v>
      </c>
      <c r="I97" s="11">
        <v>0.353</v>
      </c>
      <c r="J97" s="9" t="s">
        <v>65</v>
      </c>
      <c r="K97" s="14" t="str">
        <f>IFERROR(__xludf.DUMMYFUNCTION("ARRAYFORMULA(VLOOKUP(A97,IMPORTRANGE(""https://docs.google.com/spreadsheets/d/1BuTWp7qHGjWhqrnf-OmePP568O4A5Am9ttzvVdP67zw/edit#gid=1603210130"", ""TOURISM!$A$2:$F$2692""), {2,3,4,5,6},0))"),"The Americas")</f>
        <v>The Americas</v>
      </c>
      <c r="L97" s="14">
        <f>IFERROR(__xludf.DUMMYFUNCTION("""COMPUTED_VALUE"""),2.66E9)</f>
        <v>2660000000</v>
      </c>
      <c r="M97" s="14" t="str">
        <f>IFERROR(__xludf.DUMMYFUNCTION("""COMPUTED_VALUE"""),"Argentina-The Americas")</f>
        <v>Argentina-The Americas</v>
      </c>
      <c r="N97" s="14" t="str">
        <f>IFERROR(__xludf.DUMMYFUNCTION("""COMPUTED_VALUE"""),"2004")</f>
        <v>2004</v>
      </c>
      <c r="O97" s="14">
        <f>IFERROR(__xludf.DUMMYFUNCTION("""COMPUTED_VALUE"""),3.208E9)</f>
        <v>3208000000</v>
      </c>
      <c r="P97" s="15">
        <f>IFERROR(__xludf.DUMMYFUNCTION("ARRAYFORMULA(VLOOKUP(A97,IMPORTRANGE(""https://docs.google.com/spreadsheets/d/1BuTWp7qHGjWhqrnf-OmePP568O4A5Am9ttzvVdP67zw/edit#gid=771602874"" ,""HUMAN RESOURCES!$A$2:$M$2692""), {2,3,4,5,6,7,8,9,10,11,12,13},0))"),0.018)</f>
        <v>0.018</v>
      </c>
      <c r="Q97" s="14">
        <f>IFERROR(__xludf.DUMMYFUNCTION("""COMPUTED_VALUE"""),0.016)</f>
        <v>0.016</v>
      </c>
      <c r="R97" s="14">
        <f>IFERROR(__xludf.DUMMYFUNCTION("""COMPUTED_VALUE"""),78.0)</f>
        <v>78</v>
      </c>
      <c r="S97" s="14">
        <f>IFERROR(__xludf.DUMMYFUNCTION("""COMPUTED_VALUE"""),71.0)</f>
        <v>71</v>
      </c>
      <c r="T97" s="14">
        <f>IFERROR(__xludf.DUMMYFUNCTION("""COMPUTED_VALUE"""),0.266)</f>
        <v>0.266</v>
      </c>
      <c r="U97" s="14">
        <f>IFERROR(__xludf.DUMMYFUNCTION("""COMPUTED_VALUE"""),0.632)</f>
        <v>0.632</v>
      </c>
      <c r="V97" s="14">
        <f>IFERROR(__xludf.DUMMYFUNCTION("""COMPUTED_VALUE"""),0.102)</f>
        <v>0.102</v>
      </c>
      <c r="W97" s="14">
        <f>IFERROR(__xludf.DUMMYFUNCTION("""COMPUTED_VALUE"""),3.8308779E7)</f>
        <v>38308779</v>
      </c>
      <c r="X97" s="14">
        <f>IFERROR(__xludf.DUMMYFUNCTION("""COMPUTED_VALUE"""),0.899)</f>
        <v>0.899</v>
      </c>
      <c r="Y97" s="14" t="str">
        <f>IFERROR(__xludf.DUMMYFUNCTION("""COMPUTED_VALUE"""),"Argentina-The Americas")</f>
        <v>Argentina-The Americas</v>
      </c>
      <c r="Z97" s="14" t="str">
        <f>IFERROR(__xludf.DUMMYFUNCTION("""COMPUTED_VALUE"""),"The Americas")</f>
        <v>The Americas</v>
      </c>
      <c r="AA97" s="14" t="str">
        <f>IFERROR(__xludf.DUMMYFUNCTION("""COMPUTED_VALUE"""),"2004")</f>
        <v>2004</v>
      </c>
      <c r="AB97" s="15" t="str">
        <f>IFERROR(__xludf.DUMMYFUNCTION("ARRAYFORMULA(VLOOKUP(A97,IMPORTRANGE(""https://docs.google.com/spreadsheets/d/1BuTWp7qHGjWhqrnf-OmePP568O4A5Am9ttzvVdP67zw/edit#gid=1931367683"" ,""ENERGY!$A$2:$F$2692""), {2,3,4,5,6},0))"),"The Americas")</f>
        <v>The Americas</v>
      </c>
      <c r="AC97" s="14" t="str">
        <f>IFERROR(__xludf.DUMMYFUNCTION("""COMPUTED_VALUE"""),"Argentina-The Americas")</f>
        <v>Argentina-The Americas</v>
      </c>
      <c r="AD97" s="14" t="str">
        <f>IFERROR(__xludf.DUMMYFUNCTION("""COMPUTED_VALUE"""),"2004")</f>
        <v>2004</v>
      </c>
      <c r="AE97" s="14">
        <f>IFERROR(__xludf.DUMMYFUNCTION("""COMPUTED_VALUE"""),77794.0)</f>
        <v>77794</v>
      </c>
      <c r="AF97" s="14">
        <f>IFERROR(__xludf.DUMMYFUNCTION("""COMPUTED_VALUE"""),190057.0)</f>
        <v>190057</v>
      </c>
    </row>
    <row r="98">
      <c r="A98" s="12">
        <v>97.0</v>
      </c>
      <c r="B98" s="12" t="s">
        <v>85</v>
      </c>
      <c r="C98" s="5" t="s">
        <v>84</v>
      </c>
      <c r="D98" s="11">
        <v>1.075</v>
      </c>
      <c r="E98" s="11">
        <v>30.0</v>
      </c>
      <c r="F98" s="8"/>
      <c r="G98" s="11">
        <v>453.0</v>
      </c>
      <c r="H98" s="11">
        <v>0.177</v>
      </c>
      <c r="I98" s="11">
        <v>0.573</v>
      </c>
      <c r="J98" s="9" t="s">
        <v>66</v>
      </c>
      <c r="K98" s="14" t="str">
        <f>IFERROR(__xludf.DUMMYFUNCTION("ARRAYFORMULA(VLOOKUP(A98,IMPORTRANGE(""https://docs.google.com/spreadsheets/d/1BuTWp7qHGjWhqrnf-OmePP568O4A5Am9ttzvVdP67zw/edit#gid=1603210130"", ""TOURISM!$A$2:$F$2692""), {2,3,4,5,6},0))"),"The Americas")</f>
        <v>The Americas</v>
      </c>
      <c r="L98" s="14">
        <f>IFERROR(__xludf.DUMMYFUNCTION("""COMPUTED_VALUE"""),3.209E9)</f>
        <v>3209000000</v>
      </c>
      <c r="M98" s="14" t="str">
        <f>IFERROR(__xludf.DUMMYFUNCTION("""COMPUTED_VALUE"""),"Argentina-The Americas")</f>
        <v>Argentina-The Americas</v>
      </c>
      <c r="N98" s="14" t="str">
        <f>IFERROR(__xludf.DUMMYFUNCTION("""COMPUTED_VALUE"""),"2005")</f>
        <v>2005</v>
      </c>
      <c r="O98" s="14">
        <f>IFERROR(__xludf.DUMMYFUNCTION("""COMPUTED_VALUE"""),3.554E9)</f>
        <v>3554000000</v>
      </c>
      <c r="P98" s="15">
        <f>IFERROR(__xludf.DUMMYFUNCTION("ARRAYFORMULA(VLOOKUP(A98,IMPORTRANGE(""https://docs.google.com/spreadsheets/d/1BuTWp7qHGjWhqrnf-OmePP568O4A5Am9ttzvVdP67zw/edit#gid=771602874"" ,""HUMAN RESOURCES!$A$2:$M$2692""), {2,3,4,5,6,7,8,9,10,11,12,13},0))"),0.018)</f>
        <v>0.018</v>
      </c>
      <c r="Q98" s="14">
        <f>IFERROR(__xludf.DUMMYFUNCTION("""COMPUTED_VALUE"""),0.015)</f>
        <v>0.015</v>
      </c>
      <c r="R98" s="14">
        <f>IFERROR(__xludf.DUMMYFUNCTION("""COMPUTED_VALUE"""),79.0)</f>
        <v>79</v>
      </c>
      <c r="S98" s="14">
        <f>IFERROR(__xludf.DUMMYFUNCTION("""COMPUTED_VALUE"""),71.0)</f>
        <v>71</v>
      </c>
      <c r="T98" s="14">
        <f>IFERROR(__xludf.DUMMYFUNCTION("""COMPUTED_VALUE"""),0.263)</f>
        <v>0.263</v>
      </c>
      <c r="U98" s="14">
        <f>IFERROR(__xludf.DUMMYFUNCTION("""COMPUTED_VALUE"""),0.634)</f>
        <v>0.634</v>
      </c>
      <c r="V98" s="14">
        <f>IFERROR(__xludf.DUMMYFUNCTION("""COMPUTED_VALUE"""),0.102)</f>
        <v>0.102</v>
      </c>
      <c r="W98" s="14">
        <f>IFERROR(__xludf.DUMMYFUNCTION("""COMPUTED_VALUE"""),3.8647854E7)</f>
        <v>38647854</v>
      </c>
      <c r="X98" s="14">
        <f>IFERROR(__xludf.DUMMYFUNCTION("""COMPUTED_VALUE"""),0.901)</f>
        <v>0.901</v>
      </c>
      <c r="Y98" s="14" t="str">
        <f>IFERROR(__xludf.DUMMYFUNCTION("""COMPUTED_VALUE"""),"Argentina-The Americas")</f>
        <v>Argentina-The Americas</v>
      </c>
      <c r="Z98" s="14" t="str">
        <f>IFERROR(__xludf.DUMMYFUNCTION("""COMPUTED_VALUE"""),"The Americas")</f>
        <v>The Americas</v>
      </c>
      <c r="AA98" s="14" t="str">
        <f>IFERROR(__xludf.DUMMYFUNCTION("""COMPUTED_VALUE"""),"2005")</f>
        <v>2005</v>
      </c>
      <c r="AB98" s="15" t="str">
        <f>IFERROR(__xludf.DUMMYFUNCTION("ARRAYFORMULA(VLOOKUP(A98,IMPORTRANGE(""https://docs.google.com/spreadsheets/d/1BuTWp7qHGjWhqrnf-OmePP568O4A5Am9ttzvVdP67zw/edit#gid=1931367683"" ,""ENERGY!$A$2:$F$2692""), {2,3,4,5,6},0))"),"The Americas")</f>
        <v>The Americas</v>
      </c>
      <c r="AC98" s="14" t="str">
        <f>IFERROR(__xludf.DUMMYFUNCTION("""COMPUTED_VALUE"""),"Argentina-The Americas")</f>
        <v>Argentina-The Americas</v>
      </c>
      <c r="AD98" s="14" t="str">
        <f>IFERROR(__xludf.DUMMYFUNCTION("""COMPUTED_VALUE"""),"2005")</f>
        <v>2005</v>
      </c>
      <c r="AE98" s="14">
        <f>IFERROR(__xludf.DUMMYFUNCTION("""COMPUTED_VALUE"""),73673.0)</f>
        <v>73673</v>
      </c>
      <c r="AF98" s="14">
        <f>IFERROR(__xludf.DUMMYFUNCTION("""COMPUTED_VALUE"""),180416.0)</f>
        <v>180416</v>
      </c>
    </row>
    <row r="99">
      <c r="A99" s="12">
        <v>98.0</v>
      </c>
      <c r="B99" s="12" t="s">
        <v>85</v>
      </c>
      <c r="C99" s="5" t="s">
        <v>84</v>
      </c>
      <c r="D99" s="11">
        <v>1.076</v>
      </c>
      <c r="E99" s="11">
        <v>30.0</v>
      </c>
      <c r="F99" s="8"/>
      <c r="G99" s="11">
        <v>453.0</v>
      </c>
      <c r="H99" s="11">
        <v>0.209</v>
      </c>
      <c r="I99" s="11">
        <v>0.808</v>
      </c>
      <c r="J99" s="9" t="s">
        <v>67</v>
      </c>
      <c r="K99" s="14" t="str">
        <f>IFERROR(__xludf.DUMMYFUNCTION("ARRAYFORMULA(VLOOKUP(A99,IMPORTRANGE(""https://docs.google.com/spreadsheets/d/1BuTWp7qHGjWhqrnf-OmePP568O4A5Am9ttzvVdP67zw/edit#gid=1603210130"", ""TOURISM!$A$2:$F$2692""), {2,3,4,5,6},0))"),"The Americas")</f>
        <v>The Americas</v>
      </c>
      <c r="L99" s="14">
        <f>IFERROR(__xludf.DUMMYFUNCTION("""COMPUTED_VALUE"""),3.899E9)</f>
        <v>3899000000</v>
      </c>
      <c r="M99" s="14" t="str">
        <f>IFERROR(__xludf.DUMMYFUNCTION("""COMPUTED_VALUE"""),"Argentina-The Americas")</f>
        <v>Argentina-The Americas</v>
      </c>
      <c r="N99" s="14" t="str">
        <f>IFERROR(__xludf.DUMMYFUNCTION("""COMPUTED_VALUE"""),"2006")</f>
        <v>2006</v>
      </c>
      <c r="O99" s="14">
        <f>IFERROR(__xludf.DUMMYFUNCTION("""COMPUTED_VALUE"""),4.038E9)</f>
        <v>4038000000</v>
      </c>
      <c r="P99" s="15">
        <f>IFERROR(__xludf.DUMMYFUNCTION("ARRAYFORMULA(VLOOKUP(A99,IMPORTRANGE(""https://docs.google.com/spreadsheets/d/1BuTWp7qHGjWhqrnf-OmePP568O4A5Am9ttzvVdP67zw/edit#gid=771602874"" ,""HUMAN RESOURCES!$A$2:$M$2692""), {2,3,4,5,6,7,8,9,10,11,12,13},0))"),0.018)</f>
        <v>0.018</v>
      </c>
      <c r="Q99" s="14">
        <f>IFERROR(__xludf.DUMMYFUNCTION("""COMPUTED_VALUE"""),0.015)</f>
        <v>0.015</v>
      </c>
      <c r="R99" s="14">
        <f>IFERROR(__xludf.DUMMYFUNCTION("""COMPUTED_VALUE"""),79.0)</f>
        <v>79</v>
      </c>
      <c r="S99" s="14">
        <f>IFERROR(__xludf.DUMMYFUNCTION("""COMPUTED_VALUE"""),71.0)</f>
        <v>71</v>
      </c>
      <c r="T99" s="14">
        <f>IFERROR(__xludf.DUMMYFUNCTION("""COMPUTED_VALUE"""),0.26)</f>
        <v>0.26</v>
      </c>
      <c r="U99" s="14">
        <f>IFERROR(__xludf.DUMMYFUNCTION("""COMPUTED_VALUE"""),0.637)</f>
        <v>0.637</v>
      </c>
      <c r="V99" s="14">
        <f>IFERROR(__xludf.DUMMYFUNCTION("""COMPUTED_VALUE"""),0.103)</f>
        <v>0.103</v>
      </c>
      <c r="W99" s="14">
        <f>IFERROR(__xludf.DUMMYFUNCTION("""COMPUTED_VALUE"""),3.8988923E7)</f>
        <v>38988923</v>
      </c>
      <c r="X99" s="14">
        <f>IFERROR(__xludf.DUMMYFUNCTION("""COMPUTED_VALUE"""),0.903)</f>
        <v>0.903</v>
      </c>
      <c r="Y99" s="14" t="str">
        <f>IFERROR(__xludf.DUMMYFUNCTION("""COMPUTED_VALUE"""),"Argentina-The Americas")</f>
        <v>Argentina-The Americas</v>
      </c>
      <c r="Z99" s="14" t="str">
        <f>IFERROR(__xludf.DUMMYFUNCTION("""COMPUTED_VALUE"""),"The Americas")</f>
        <v>The Americas</v>
      </c>
      <c r="AA99" s="14" t="str">
        <f>IFERROR(__xludf.DUMMYFUNCTION("""COMPUTED_VALUE"""),"2006")</f>
        <v>2006</v>
      </c>
      <c r="AB99" s="15" t="str">
        <f>IFERROR(__xludf.DUMMYFUNCTION("ARRAYFORMULA(VLOOKUP(A99,IMPORTRANGE(""https://docs.google.com/spreadsheets/d/1BuTWp7qHGjWhqrnf-OmePP568O4A5Am9ttzvVdP67zw/edit#gid=1931367683"" ,""ENERGY!$A$2:$F$2692""), {2,3,4,5,6},0))"),"The Americas")</f>
        <v>The Americas</v>
      </c>
      <c r="AC99" s="14" t="str">
        <f>IFERROR(__xludf.DUMMYFUNCTION("""COMPUTED_VALUE"""),"Argentina-The Americas")</f>
        <v>Argentina-The Americas</v>
      </c>
      <c r="AD99" s="14" t="str">
        <f>IFERROR(__xludf.DUMMYFUNCTION("""COMPUTED_VALUE"""),"2009")</f>
        <v>2009</v>
      </c>
      <c r="AE99" s="14">
        <f>IFERROR(__xludf.DUMMYFUNCTION("""COMPUTED_VALUE"""),73128.0)</f>
        <v>73128</v>
      </c>
      <c r="AF99" s="14">
        <f>IFERROR(__xludf.DUMMYFUNCTION("""COMPUTED_VALUE"""),174238.0)</f>
        <v>174238</v>
      </c>
    </row>
    <row r="100">
      <c r="A100" s="12">
        <v>99.0</v>
      </c>
      <c r="B100" s="12" t="s">
        <v>85</v>
      </c>
      <c r="C100" s="5" t="s">
        <v>84</v>
      </c>
      <c r="D100" s="11">
        <v>1.076</v>
      </c>
      <c r="E100" s="11">
        <v>30.0</v>
      </c>
      <c r="F100" s="8"/>
      <c r="G100" s="11">
        <v>453.0</v>
      </c>
      <c r="H100" s="11">
        <v>0.259</v>
      </c>
      <c r="I100" s="11">
        <v>1.027</v>
      </c>
      <c r="J100" s="9" t="s">
        <v>68</v>
      </c>
      <c r="K100" s="14" t="str">
        <f>IFERROR(__xludf.DUMMYFUNCTION("ARRAYFORMULA(VLOOKUP(A100,IMPORTRANGE(""https://docs.google.com/spreadsheets/d/1BuTWp7qHGjWhqrnf-OmePP568O4A5Am9ttzvVdP67zw/edit#gid=1603210130"", ""TOURISM!$A$2:$F$2692""), {2,3,4,5,6},0))"),"The Americas")</f>
        <v>The Americas</v>
      </c>
      <c r="L100" s="14">
        <f>IFERROR(__xludf.DUMMYFUNCTION("""COMPUTED_VALUE"""),4.984E9)</f>
        <v>4984000000</v>
      </c>
      <c r="M100" s="14" t="str">
        <f>IFERROR(__xludf.DUMMYFUNCTION("""COMPUTED_VALUE"""),"Argentina-The Americas")</f>
        <v>Argentina-The Americas</v>
      </c>
      <c r="N100" s="14" t="str">
        <f>IFERROR(__xludf.DUMMYFUNCTION("""COMPUTED_VALUE"""),"2007")</f>
        <v>2007</v>
      </c>
      <c r="O100" s="14">
        <f>IFERROR(__xludf.DUMMYFUNCTION("""COMPUTED_VALUE"""),5.063E9)</f>
        <v>5063000000</v>
      </c>
      <c r="P100" s="15">
        <f>IFERROR(__xludf.DUMMYFUNCTION("ARRAYFORMULA(VLOOKUP(A100,IMPORTRANGE(""https://docs.google.com/spreadsheets/d/1BuTWp7qHGjWhqrnf-OmePP568O4A5Am9ttzvVdP67zw/edit#gid=771602874"" ,""HUMAN RESOURCES!$A$2:$M$2692""), {2,3,4,5,6,7,8,9,10,11,12,13},0))"),0.017)</f>
        <v>0.017</v>
      </c>
      <c r="Q100" s="14">
        <f>IFERROR(__xludf.DUMMYFUNCTION("""COMPUTED_VALUE"""),0.014)</f>
        <v>0.014</v>
      </c>
      <c r="R100" s="14">
        <f>IFERROR(__xludf.DUMMYFUNCTION("""COMPUTED_VALUE"""),79.0)</f>
        <v>79</v>
      </c>
      <c r="S100" s="14">
        <f>IFERROR(__xludf.DUMMYFUNCTION("""COMPUTED_VALUE"""),71.0)</f>
        <v>71</v>
      </c>
      <c r="T100" s="14">
        <f>IFERROR(__xludf.DUMMYFUNCTION("""COMPUTED_VALUE"""),0.257)</f>
        <v>0.257</v>
      </c>
      <c r="U100" s="14">
        <f>IFERROR(__xludf.DUMMYFUNCTION("""COMPUTED_VALUE"""),0.639)</f>
        <v>0.639</v>
      </c>
      <c r="V100" s="14">
        <f>IFERROR(__xludf.DUMMYFUNCTION("""COMPUTED_VALUE"""),0.104)</f>
        <v>0.104</v>
      </c>
      <c r="W100" s="14">
        <f>IFERROR(__xludf.DUMMYFUNCTION("""COMPUTED_VALUE"""),3.9331357E7)</f>
        <v>39331357</v>
      </c>
      <c r="X100" s="14">
        <f>IFERROR(__xludf.DUMMYFUNCTION("""COMPUTED_VALUE"""),0.904)</f>
        <v>0.904</v>
      </c>
      <c r="Y100" s="14" t="str">
        <f>IFERROR(__xludf.DUMMYFUNCTION("""COMPUTED_VALUE"""),"Argentina-The Americas")</f>
        <v>Argentina-The Americas</v>
      </c>
      <c r="Z100" s="14" t="str">
        <f>IFERROR(__xludf.DUMMYFUNCTION("""COMPUTED_VALUE"""),"The Americas")</f>
        <v>The Americas</v>
      </c>
      <c r="AA100" s="14" t="str">
        <f>IFERROR(__xludf.DUMMYFUNCTION("""COMPUTED_VALUE"""),"2007")</f>
        <v>2007</v>
      </c>
      <c r="AB100" s="15" t="str">
        <f>IFERROR(__xludf.DUMMYFUNCTION("ARRAYFORMULA(VLOOKUP(A100,IMPORTRANGE(""https://docs.google.com/spreadsheets/d/1BuTWp7qHGjWhqrnf-OmePP568O4A5Am9ttzvVdP67zw/edit#gid=1931367683"" ,""ENERGY!$A$2:$F$2692""), {2,3,4,5,6},0))"),"The Americas")</f>
        <v>The Americas</v>
      </c>
      <c r="AC100" s="14" t="str">
        <f>IFERROR(__xludf.DUMMYFUNCTION("""COMPUTED_VALUE"""),"Argentina-The Americas")</f>
        <v>Argentina-The Americas</v>
      </c>
      <c r="AD100" s="14" t="str">
        <f>IFERROR(__xludf.DUMMYFUNCTION("""COMPUTED_VALUE"""),"2005")</f>
        <v>2005</v>
      </c>
      <c r="AE100" s="14">
        <f>IFERROR(__xludf.DUMMYFUNCTION("""COMPUTED_VALUE"""),66973.0)</f>
        <v>66973</v>
      </c>
      <c r="AF100" s="14">
        <f>IFERROR(__xludf.DUMMYFUNCTION("""COMPUTED_VALUE"""),160952.0)</f>
        <v>160952</v>
      </c>
    </row>
    <row r="101">
      <c r="A101" s="12">
        <v>100.0</v>
      </c>
      <c r="B101" s="12" t="s">
        <v>85</v>
      </c>
      <c r="C101" s="5" t="s">
        <v>84</v>
      </c>
      <c r="D101" s="11">
        <v>1.076</v>
      </c>
      <c r="E101" s="11">
        <v>31.0</v>
      </c>
      <c r="F101" s="8"/>
      <c r="G101" s="11">
        <v>453.0</v>
      </c>
      <c r="H101" s="11">
        <v>0.281</v>
      </c>
      <c r="I101" s="11">
        <v>1.172</v>
      </c>
      <c r="J101" s="9" t="s">
        <v>69</v>
      </c>
      <c r="K101" s="14" t="str">
        <f>IFERROR(__xludf.DUMMYFUNCTION("ARRAYFORMULA(VLOOKUP(A101,IMPORTRANGE(""https://docs.google.com/spreadsheets/d/1BuTWp7qHGjWhqrnf-OmePP568O4A5Am9ttzvVdP67zw/edit#gid=1603210130"", ""TOURISM!$A$2:$F$2692""), {2,3,4,5,6},0))"),"The Americas")</f>
        <v>The Americas</v>
      </c>
      <c r="L101" s="14">
        <f>IFERROR(__xludf.DUMMYFUNCTION("""COMPUTED_VALUE"""),5.295E9)</f>
        <v>5295000000</v>
      </c>
      <c r="M101" s="14" t="str">
        <f>IFERROR(__xludf.DUMMYFUNCTION("""COMPUTED_VALUE"""),"Argentina-The Americas")</f>
        <v>Argentina-The Americas</v>
      </c>
      <c r="N101" s="14" t="str">
        <f>IFERROR(__xludf.DUMMYFUNCTION("""COMPUTED_VALUE"""),"2008")</f>
        <v>2008</v>
      </c>
      <c r="O101" s="14">
        <f>IFERROR(__xludf.DUMMYFUNCTION("""COMPUTED_VALUE"""),5.962E9)</f>
        <v>5962000000</v>
      </c>
      <c r="P101" s="15">
        <f>IFERROR(__xludf.DUMMYFUNCTION("ARRAYFORMULA(VLOOKUP(A101,IMPORTRANGE(""https://docs.google.com/spreadsheets/d/1BuTWp7qHGjWhqrnf-OmePP568O4A5Am9ttzvVdP67zw/edit#gid=771602874"" ,""HUMAN RESOURCES!$A$2:$M$2692""), {2,3,4,5,6,7,8,9,10,11,12,13},0))"),0.017)</f>
        <v>0.017</v>
      </c>
      <c r="Q101" s="14">
        <f>IFERROR(__xludf.DUMMYFUNCTION("""COMPUTED_VALUE"""),0.014)</f>
        <v>0.014</v>
      </c>
      <c r="R101" s="14">
        <f>IFERROR(__xludf.DUMMYFUNCTION("""COMPUTED_VALUE"""),79.0)</f>
        <v>79</v>
      </c>
      <c r="S101" s="14">
        <f>IFERROR(__xludf.DUMMYFUNCTION("""COMPUTED_VALUE"""),72.0)</f>
        <v>72</v>
      </c>
      <c r="T101" s="14">
        <f>IFERROR(__xludf.DUMMYFUNCTION("""COMPUTED_VALUE"""),0.254)</f>
        <v>0.254</v>
      </c>
      <c r="U101" s="14">
        <f>IFERROR(__xludf.DUMMYFUNCTION("""COMPUTED_VALUE"""),0.641)</f>
        <v>0.641</v>
      </c>
      <c r="V101" s="14">
        <f>IFERROR(__xludf.DUMMYFUNCTION("""COMPUTED_VALUE"""),0.104)</f>
        <v>0.104</v>
      </c>
      <c r="W101" s="14">
        <f>IFERROR(__xludf.DUMMYFUNCTION("""COMPUTED_VALUE"""),3.9676083E7)</f>
        <v>39676083</v>
      </c>
      <c r="X101" s="14">
        <f>IFERROR(__xludf.DUMMYFUNCTION("""COMPUTED_VALUE"""),0.906)</f>
        <v>0.906</v>
      </c>
      <c r="Y101" s="14" t="str">
        <f>IFERROR(__xludf.DUMMYFUNCTION("""COMPUTED_VALUE"""),"Argentina-The Americas")</f>
        <v>Argentina-The Americas</v>
      </c>
      <c r="Z101" s="14" t="str">
        <f>IFERROR(__xludf.DUMMYFUNCTION("""COMPUTED_VALUE"""),"The Americas")</f>
        <v>The Americas</v>
      </c>
      <c r="AA101" s="14" t="str">
        <f>IFERROR(__xludf.DUMMYFUNCTION("""COMPUTED_VALUE"""),"2008")</f>
        <v>2008</v>
      </c>
      <c r="AB101" s="15" t="str">
        <f>IFERROR(__xludf.DUMMYFUNCTION("ARRAYFORMULA(VLOOKUP(A101,IMPORTRANGE(""https://docs.google.com/spreadsheets/d/1BuTWp7qHGjWhqrnf-OmePP568O4A5Am9ttzvVdP67zw/edit#gid=1931367683"" ,""ENERGY!$A$2:$F$2692""), {2,3,4,5,6},0))"),"The Americas")</f>
        <v>The Americas</v>
      </c>
      <c r="AC101" s="14" t="str">
        <f>IFERROR(__xludf.DUMMYFUNCTION("""COMPUTED_VALUE"""),"Argentina-The Americas")</f>
        <v>Argentina-The Americas</v>
      </c>
      <c r="AD101" s="14" t="str">
        <f>IFERROR(__xludf.DUMMYFUNCTION("""COMPUTED_VALUE"""),"2012")</f>
        <v>2012</v>
      </c>
      <c r="AE101" s="14">
        <f>IFERROR(__xludf.DUMMYFUNCTION("""COMPUTED_VALUE"""),67303.0)</f>
        <v>67303</v>
      </c>
      <c r="AF101" s="14">
        <f>IFERROR(__xludf.DUMMYFUNCTION("""COMPUTED_VALUE"""),156170.0)</f>
        <v>156170</v>
      </c>
    </row>
    <row r="102">
      <c r="A102" s="12">
        <v>101.0</v>
      </c>
      <c r="B102" s="12" t="s">
        <v>85</v>
      </c>
      <c r="C102" s="5" t="s">
        <v>84</v>
      </c>
      <c r="D102" s="11">
        <v>1.076</v>
      </c>
      <c r="E102" s="11">
        <v>26.0</v>
      </c>
      <c r="F102" s="8"/>
      <c r="G102" s="11">
        <v>453.0</v>
      </c>
      <c r="H102" s="11">
        <v>0.34</v>
      </c>
      <c r="I102" s="11">
        <v>1.311</v>
      </c>
      <c r="J102" s="9" t="s">
        <v>70</v>
      </c>
      <c r="K102" s="14" t="str">
        <f>IFERROR(__xludf.DUMMYFUNCTION("ARRAYFORMULA(VLOOKUP(A102,IMPORTRANGE(""https://docs.google.com/spreadsheets/d/1BuTWp7qHGjWhqrnf-OmePP568O4A5Am9ttzvVdP67zw/edit#gid=1603210130"", ""TOURISM!$A$2:$F$2692""), {2,3,4,5,6},0))"),"The Americas")</f>
        <v>The Americas</v>
      </c>
      <c r="L102" s="14">
        <f>IFERROR(__xludf.DUMMYFUNCTION("""COMPUTED_VALUE"""),4.476E9)</f>
        <v>4476000000</v>
      </c>
      <c r="M102" s="14" t="str">
        <f>IFERROR(__xludf.DUMMYFUNCTION("""COMPUTED_VALUE"""),"Argentina-The Americas")</f>
        <v>Argentina-The Americas</v>
      </c>
      <c r="N102" s="14" t="str">
        <f>IFERROR(__xludf.DUMMYFUNCTION("""COMPUTED_VALUE"""),"2009")</f>
        <v>2009</v>
      </c>
      <c r="O102" s="14">
        <f>IFERROR(__xludf.DUMMYFUNCTION("""COMPUTED_VALUE"""),5.766E9)</f>
        <v>5766000000</v>
      </c>
      <c r="P102" s="15">
        <f>IFERROR(__xludf.DUMMYFUNCTION("ARRAYFORMULA(VLOOKUP(A102,IMPORTRANGE(""https://docs.google.com/spreadsheets/d/1BuTWp7qHGjWhqrnf-OmePP568O4A5Am9ttzvVdP67zw/edit#gid=771602874"" ,""HUMAN RESOURCES!$A$2:$M$2692""), {2,3,4,5,6,7,8,9,10,11,12,13},0))"),0.017)</f>
        <v>0.017</v>
      </c>
      <c r="Q102" s="14">
        <f>IFERROR(__xludf.DUMMYFUNCTION("""COMPUTED_VALUE"""),0.013)</f>
        <v>0.013</v>
      </c>
      <c r="R102" s="14">
        <f>IFERROR(__xludf.DUMMYFUNCTION("""COMPUTED_VALUE"""),79.0)</f>
        <v>79</v>
      </c>
      <c r="S102" s="14">
        <f>IFERROR(__xludf.DUMMYFUNCTION("""COMPUTED_VALUE"""),72.0)</f>
        <v>72</v>
      </c>
      <c r="T102" s="14">
        <f>IFERROR(__xludf.DUMMYFUNCTION("""COMPUTED_VALUE"""),0.251)</f>
        <v>0.251</v>
      </c>
      <c r="U102" s="14">
        <f>IFERROR(__xludf.DUMMYFUNCTION("""COMPUTED_VALUE"""),0.643)</f>
        <v>0.643</v>
      </c>
      <c r="V102" s="14">
        <f>IFERROR(__xludf.DUMMYFUNCTION("""COMPUTED_VALUE"""),0.105)</f>
        <v>0.105</v>
      </c>
      <c r="W102" s="14">
        <f>IFERROR(__xludf.DUMMYFUNCTION("""COMPUTED_VALUE"""),4.0023641E7)</f>
        <v>40023641</v>
      </c>
      <c r="X102" s="14">
        <f>IFERROR(__xludf.DUMMYFUNCTION("""COMPUTED_VALUE"""),0.908)</f>
        <v>0.908</v>
      </c>
      <c r="Y102" s="14" t="str">
        <f>IFERROR(__xludf.DUMMYFUNCTION("""COMPUTED_VALUE"""),"Argentina-The Americas")</f>
        <v>Argentina-The Americas</v>
      </c>
      <c r="Z102" s="14" t="str">
        <f>IFERROR(__xludf.DUMMYFUNCTION("""COMPUTED_VALUE"""),"The Americas")</f>
        <v>The Americas</v>
      </c>
      <c r="AA102" s="14" t="str">
        <f>IFERROR(__xludf.DUMMYFUNCTION("""COMPUTED_VALUE"""),"2009")</f>
        <v>2009</v>
      </c>
      <c r="AB102" s="15" t="str">
        <f>IFERROR(__xludf.DUMMYFUNCTION("ARRAYFORMULA(VLOOKUP(A102,IMPORTRANGE(""https://docs.google.com/spreadsheets/d/1BuTWp7qHGjWhqrnf-OmePP568O4A5Am9ttzvVdP67zw/edit#gid=1931367683"" ,""ENERGY!$A$2:$F$2692""), {2,3,4,5,6},0))"),"The Americas")</f>
        <v>The Americas</v>
      </c>
      <c r="AC102" s="14" t="str">
        <f>IFERROR(__xludf.DUMMYFUNCTION("""COMPUTED_VALUE"""),"Argentina-The Americas")</f>
        <v>Argentina-The Americas</v>
      </c>
      <c r="AD102" s="14" t="str">
        <f>IFERROR(__xludf.DUMMYFUNCTION("""COMPUTED_VALUE"""),"2008")</f>
        <v>2008</v>
      </c>
      <c r="AE102" s="14">
        <f>IFERROR(__xludf.DUMMYFUNCTION("""COMPUTED_VALUE"""),59047.0)</f>
        <v>59047</v>
      </c>
      <c r="AF102" s="14">
        <f>IFERROR(__xludf.DUMMYFUNCTION("""COMPUTED_VALUE"""),133127.0)</f>
        <v>133127</v>
      </c>
    </row>
    <row r="103">
      <c r="A103" s="12">
        <v>102.0</v>
      </c>
      <c r="B103" s="12" t="s">
        <v>85</v>
      </c>
      <c r="C103" s="5" t="s">
        <v>84</v>
      </c>
      <c r="D103" s="11">
        <v>1.076</v>
      </c>
      <c r="E103" s="11">
        <v>25.0</v>
      </c>
      <c r="F103" s="8"/>
      <c r="G103" s="11">
        <v>453.0</v>
      </c>
      <c r="H103" s="11">
        <v>0.45</v>
      </c>
      <c r="I103" s="11">
        <v>1.414</v>
      </c>
      <c r="J103" s="9" t="s">
        <v>71</v>
      </c>
      <c r="K103" s="14" t="str">
        <f>IFERROR(__xludf.DUMMYFUNCTION("ARRAYFORMULA(VLOOKUP(A103,IMPORTRANGE(""https://docs.google.com/spreadsheets/d/1BuTWp7qHGjWhqrnf-OmePP568O4A5Am9ttzvVdP67zw/edit#gid=1603210130"", ""TOURISM!$A$2:$F$2692""), {2,3,4,5,6},0))"),"The Americas")</f>
        <v>The Americas</v>
      </c>
      <c r="L103" s="14">
        <f>IFERROR(__xludf.DUMMYFUNCTION("""COMPUTED_VALUE"""),5.629E9)</f>
        <v>5629000000</v>
      </c>
      <c r="M103" s="14" t="str">
        <f>IFERROR(__xludf.DUMMYFUNCTION("""COMPUTED_VALUE"""),"Argentina-The Americas")</f>
        <v>Argentina-The Americas</v>
      </c>
      <c r="N103" s="14" t="str">
        <f>IFERROR(__xludf.DUMMYFUNCTION("""COMPUTED_VALUE"""),"2010")</f>
        <v>2010</v>
      </c>
      <c r="O103" s="14">
        <f>IFERROR(__xludf.DUMMYFUNCTION("""COMPUTED_VALUE"""),6.375E9)</f>
        <v>6375000000</v>
      </c>
      <c r="P103" s="15">
        <f>IFERROR(__xludf.DUMMYFUNCTION("ARRAYFORMULA(VLOOKUP(A103,IMPORTRANGE(""https://docs.google.com/spreadsheets/d/1BuTWp7qHGjWhqrnf-OmePP568O4A5Am9ttzvVdP67zw/edit#gid=771602874"" ,""HUMAN RESOURCES!$A$2:$M$2692""), {2,3,4,5,6,7,8,9,10,11,12,13},0))"),0.017)</f>
        <v>0.017</v>
      </c>
      <c r="Q103" s="14">
        <f>IFERROR(__xludf.DUMMYFUNCTION("""COMPUTED_VALUE"""),0.013)</f>
        <v>0.013</v>
      </c>
      <c r="R103" s="14">
        <f>IFERROR(__xludf.DUMMYFUNCTION("""COMPUTED_VALUE"""),79.0)</f>
        <v>79</v>
      </c>
      <c r="S103" s="14">
        <f>IFERROR(__xludf.DUMMYFUNCTION("""COMPUTED_VALUE"""),72.0)</f>
        <v>72</v>
      </c>
      <c r="T103" s="14">
        <f>IFERROR(__xludf.DUMMYFUNCTION("""COMPUTED_VALUE"""),0.249)</f>
        <v>0.249</v>
      </c>
      <c r="U103" s="14">
        <f>IFERROR(__xludf.DUMMYFUNCTION("""COMPUTED_VALUE"""),0.645)</f>
        <v>0.645</v>
      </c>
      <c r="V103" s="14">
        <f>IFERROR(__xludf.DUMMYFUNCTION("""COMPUTED_VALUE"""),0.106)</f>
        <v>0.106</v>
      </c>
      <c r="W103" s="14">
        <f>IFERROR(__xludf.DUMMYFUNCTION("""COMPUTED_VALUE"""),4.0374224E7)</f>
        <v>40374224</v>
      </c>
      <c r="X103" s="14">
        <f>IFERROR(__xludf.DUMMYFUNCTION("""COMPUTED_VALUE"""),0.91)</f>
        <v>0.91</v>
      </c>
      <c r="Y103" s="14" t="str">
        <f>IFERROR(__xludf.DUMMYFUNCTION("""COMPUTED_VALUE"""),"Argentina-The Americas")</f>
        <v>Argentina-The Americas</v>
      </c>
      <c r="Z103" s="14" t="str">
        <f>IFERROR(__xludf.DUMMYFUNCTION("""COMPUTED_VALUE"""),"The Americas")</f>
        <v>The Americas</v>
      </c>
      <c r="AA103" s="14" t="str">
        <f>IFERROR(__xludf.DUMMYFUNCTION("""COMPUTED_VALUE"""),"2010")</f>
        <v>2010</v>
      </c>
      <c r="AB103" s="15" t="str">
        <f>IFERROR(__xludf.DUMMYFUNCTION("ARRAYFORMULA(VLOOKUP(A103,IMPORTRANGE(""https://docs.google.com/spreadsheets/d/1BuTWp7qHGjWhqrnf-OmePP568O4A5Am9ttzvVdP67zw/edit#gid=1931367683"" ,""ENERGY!$A$2:$F$2692""), {2,3,4,5,6},0))"),"The Americas")</f>
        <v>The Americas</v>
      </c>
      <c r="AC103" s="14" t="str">
        <f>IFERROR(__xludf.DUMMYFUNCTION("""COMPUTED_VALUE"""),"Argentina-The Americas")</f>
        <v>Argentina-The Americas</v>
      </c>
      <c r="AD103" s="14" t="str">
        <f>IFERROR(__xludf.DUMMYFUNCTION("""COMPUTED_VALUE"""),"2012")</f>
        <v>2012</v>
      </c>
      <c r="AE103" s="14">
        <f>IFERROR(__xludf.DUMMYFUNCTION("""COMPUTED_VALUE"""),55386.0)</f>
        <v>55386</v>
      </c>
      <c r="AF103" s="14">
        <f>IFERROR(__xludf.DUMMYFUNCTION("""COMPUTED_VALUE"""),123266.0)</f>
        <v>123266</v>
      </c>
    </row>
    <row r="104">
      <c r="A104" s="12">
        <v>103.0</v>
      </c>
      <c r="B104" s="12" t="s">
        <v>85</v>
      </c>
      <c r="C104" s="5" t="s">
        <v>84</v>
      </c>
      <c r="D104" s="11">
        <v>1.077</v>
      </c>
      <c r="E104" s="11">
        <v>25.0</v>
      </c>
      <c r="F104" s="8"/>
      <c r="G104" s="11">
        <v>415.0</v>
      </c>
      <c r="H104" s="11">
        <v>0.51</v>
      </c>
      <c r="I104" s="11">
        <v>1.491</v>
      </c>
      <c r="J104" s="9" t="s">
        <v>72</v>
      </c>
      <c r="K104" s="14" t="str">
        <f>IFERROR(__xludf.DUMMYFUNCTION("ARRAYFORMULA(VLOOKUP(A104,IMPORTRANGE(""https://docs.google.com/spreadsheets/d/1BuTWp7qHGjWhqrnf-OmePP568O4A5Am9ttzvVdP67zw/edit#gid=1603210130"", ""TOURISM!$A$2:$F$2692""), {2,3,4,5,6},0))"),"The Americas")</f>
        <v>The Americas</v>
      </c>
      <c r="L104" s="14">
        <f>IFERROR(__xludf.DUMMYFUNCTION("""COMPUTED_VALUE"""),6.06E9)</f>
        <v>6060000000</v>
      </c>
      <c r="M104" s="14" t="str">
        <f>IFERROR(__xludf.DUMMYFUNCTION("""COMPUTED_VALUE"""),"Argentina-The Americas")</f>
        <v>Argentina-The Americas</v>
      </c>
      <c r="N104" s="14" t="str">
        <f>IFERROR(__xludf.DUMMYFUNCTION("""COMPUTED_VALUE"""),"2011")</f>
        <v>2011</v>
      </c>
      <c r="O104" s="14">
        <f>IFERROR(__xludf.DUMMYFUNCTION("""COMPUTED_VALUE"""),7.477E9)</f>
        <v>7477000000</v>
      </c>
      <c r="P104" s="15">
        <f>IFERROR(__xludf.DUMMYFUNCTION("ARRAYFORMULA(VLOOKUP(A104,IMPORTRANGE(""https://docs.google.com/spreadsheets/d/1BuTWp7qHGjWhqrnf-OmePP568O4A5Am9ttzvVdP67zw/edit#gid=771602874"" ,""HUMAN RESOURCES!$A$2:$M$2692""), {2,3,4,5,6,7,8,9,10,11,12,13},0))"),0.017)</f>
        <v>0.017</v>
      </c>
      <c r="Q104" s="14">
        <f>IFERROR(__xludf.DUMMYFUNCTION("""COMPUTED_VALUE"""),0.013)</f>
        <v>0.013</v>
      </c>
      <c r="R104" s="14">
        <f>IFERROR(__xludf.DUMMYFUNCTION("""COMPUTED_VALUE"""),80.0)</f>
        <v>80</v>
      </c>
      <c r="S104" s="14">
        <f>IFERROR(__xludf.DUMMYFUNCTION("""COMPUTED_VALUE"""),72.0)</f>
        <v>72</v>
      </c>
      <c r="T104" s="14">
        <f>IFERROR(__xludf.DUMMYFUNCTION("""COMPUTED_VALUE"""),0.246)</f>
        <v>0.246</v>
      </c>
      <c r="U104" s="14">
        <f>IFERROR(__xludf.DUMMYFUNCTION("""COMPUTED_VALUE"""),0.646)</f>
        <v>0.646</v>
      </c>
      <c r="V104" s="14">
        <f>IFERROR(__xludf.DUMMYFUNCTION("""COMPUTED_VALUE"""),0.107)</f>
        <v>0.107</v>
      </c>
      <c r="W104" s="14">
        <f>IFERROR(__xludf.DUMMYFUNCTION("""COMPUTED_VALUE"""),4.0728738E7)</f>
        <v>40728738</v>
      </c>
      <c r="X104" s="14">
        <f>IFERROR(__xludf.DUMMYFUNCTION("""COMPUTED_VALUE"""),0.911)</f>
        <v>0.911</v>
      </c>
      <c r="Y104" s="14" t="str">
        <f>IFERROR(__xludf.DUMMYFUNCTION("""COMPUTED_VALUE"""),"Argentina-The Americas")</f>
        <v>Argentina-The Americas</v>
      </c>
      <c r="Z104" s="14" t="str">
        <f>IFERROR(__xludf.DUMMYFUNCTION("""COMPUTED_VALUE"""),"The Americas")</f>
        <v>The Americas</v>
      </c>
      <c r="AA104" s="14" t="str">
        <f>IFERROR(__xludf.DUMMYFUNCTION("""COMPUTED_VALUE"""),"2011")</f>
        <v>2011</v>
      </c>
      <c r="AB104" s="15" t="str">
        <f>IFERROR(__xludf.DUMMYFUNCTION("ARRAYFORMULA(VLOOKUP(A104,IMPORTRANGE(""https://docs.google.com/spreadsheets/d/1BuTWp7qHGjWhqrnf-OmePP568O4A5Am9ttzvVdP67zw/edit#gid=1931367683"" ,""ENERGY!$A$2:$F$2692""), {2,3,4,5,6},0))"),"The Americas")</f>
        <v>The Americas</v>
      </c>
      <c r="AC104" s="14" t="str">
        <f>IFERROR(__xludf.DUMMYFUNCTION("""COMPUTED_VALUE"""),"Argentina-The Americas")</f>
        <v>Argentina-The Americas</v>
      </c>
      <c r="AD104" s="14" t="str">
        <f>IFERROR(__xludf.DUMMYFUNCTION("""COMPUTED_VALUE"""),"2011")</f>
        <v>2011</v>
      </c>
      <c r="AE104" s="14">
        <f>IFERROR(__xludf.DUMMYFUNCTION("""COMPUTED_VALUE"""),57835.0)</f>
        <v>57835</v>
      </c>
      <c r="AF104" s="14">
        <f>IFERROR(__xludf.DUMMYFUNCTION("""COMPUTED_VALUE"""),132632.0)</f>
        <v>132632</v>
      </c>
    </row>
    <row r="105">
      <c r="A105" s="12">
        <v>104.0</v>
      </c>
      <c r="B105" s="12" t="s">
        <v>85</v>
      </c>
      <c r="C105" s="5" t="s">
        <v>84</v>
      </c>
      <c r="D105" s="11">
        <v>1.078</v>
      </c>
      <c r="E105" s="11">
        <v>25.0</v>
      </c>
      <c r="F105" s="11">
        <v>121.0</v>
      </c>
      <c r="G105" s="11">
        <v>405.0</v>
      </c>
      <c r="H105" s="11">
        <v>0.558</v>
      </c>
      <c r="I105" s="11">
        <v>1.566</v>
      </c>
      <c r="J105" s="9" t="s">
        <v>73</v>
      </c>
      <c r="K105" s="14" t="str">
        <f>IFERROR(__xludf.DUMMYFUNCTION("ARRAYFORMULA(VLOOKUP(A105,IMPORTRANGE(""https://docs.google.com/spreadsheets/d/1BuTWp7qHGjWhqrnf-OmePP568O4A5Am9ttzvVdP67zw/edit#gid=1603210130"", ""TOURISM!$A$2:$F$2692""), {2,3,4,5,6},0))"),"The Americas")</f>
        <v>The Americas</v>
      </c>
      <c r="L105" s="14">
        <f>IFERROR(__xludf.DUMMYFUNCTION("""COMPUTED_VALUE"""),5.655E9)</f>
        <v>5655000000</v>
      </c>
      <c r="M105" s="14" t="str">
        <f>IFERROR(__xludf.DUMMYFUNCTION("""COMPUTED_VALUE"""),"Argentina-The Americas")</f>
        <v>Argentina-The Americas</v>
      </c>
      <c r="N105" s="14" t="str">
        <f>IFERROR(__xludf.DUMMYFUNCTION("""COMPUTED_VALUE"""),"2012")</f>
        <v>2012</v>
      </c>
      <c r="O105" s="14">
        <f>IFERROR(__xludf.DUMMYFUNCTION("""COMPUTED_VALUE"""),8.213E9)</f>
        <v>8213000000</v>
      </c>
      <c r="P105" s="15">
        <f>IFERROR(__xludf.DUMMYFUNCTION("ARRAYFORMULA(VLOOKUP(A105,IMPORTRANGE(""https://docs.google.com/spreadsheets/d/1BuTWp7qHGjWhqrnf-OmePP568O4A5Am9ttzvVdP67zw/edit#gid=771602874"" ,""HUMAN RESOURCES!$A$2:$M$2692""), {2,3,4,5,6,7,8,9,10,11,12,13},0))"),0.017)</f>
        <v>0.017</v>
      </c>
      <c r="Q105" s="14">
        <f>IFERROR(__xludf.DUMMYFUNCTION("""COMPUTED_VALUE"""),0.012)</f>
        <v>0.012</v>
      </c>
      <c r="R105" s="14">
        <f>IFERROR(__xludf.DUMMYFUNCTION("""COMPUTED_VALUE"""),80.0)</f>
        <v>80</v>
      </c>
      <c r="S105" s="14">
        <f>IFERROR(__xludf.DUMMYFUNCTION("""COMPUTED_VALUE"""),72.0)</f>
        <v>72</v>
      </c>
      <c r="T105" s="14">
        <f>IFERROR(__xludf.DUMMYFUNCTION("""COMPUTED_VALUE"""),0.244)</f>
        <v>0.244</v>
      </c>
      <c r="U105" s="14">
        <f>IFERROR(__xludf.DUMMYFUNCTION("""COMPUTED_VALUE"""),0.648)</f>
        <v>0.648</v>
      </c>
      <c r="V105" s="14">
        <f>IFERROR(__xludf.DUMMYFUNCTION("""COMPUTED_VALUE"""),0.108)</f>
        <v>0.108</v>
      </c>
      <c r="W105" s="14">
        <f>IFERROR(__xludf.DUMMYFUNCTION("""COMPUTED_VALUE"""),4.1086927E7)</f>
        <v>41086927</v>
      </c>
      <c r="X105" s="14">
        <f>IFERROR(__xludf.DUMMYFUNCTION("""COMPUTED_VALUE"""),0.913)</f>
        <v>0.913</v>
      </c>
      <c r="Y105" s="14" t="str">
        <f>IFERROR(__xludf.DUMMYFUNCTION("""COMPUTED_VALUE"""),"Argentina-The Americas")</f>
        <v>Argentina-The Americas</v>
      </c>
      <c r="Z105" s="14" t="str">
        <f>IFERROR(__xludf.DUMMYFUNCTION("""COMPUTED_VALUE"""),"The Americas")</f>
        <v>The Americas</v>
      </c>
      <c r="AA105" s="14" t="str">
        <f>IFERROR(__xludf.DUMMYFUNCTION("""COMPUTED_VALUE"""),"2012")</f>
        <v>2012</v>
      </c>
      <c r="AB105" s="15" t="str">
        <f>IFERROR(__xludf.DUMMYFUNCTION("ARRAYFORMULA(VLOOKUP(A105,IMPORTRANGE(""https://docs.google.com/spreadsheets/d/1BuTWp7qHGjWhqrnf-OmePP568O4A5Am9ttzvVdP67zw/edit#gid=1931367683"" ,""ENERGY!$A$2:$F$2692""), {2,3,4,5,6},0))"),"The Americas")</f>
        <v>The Americas</v>
      </c>
      <c r="AC105" s="14" t="str">
        <f>IFERROR(__xludf.DUMMYFUNCTION("""COMPUTED_VALUE"""),"Argentina-The Americas")</f>
        <v>Argentina-The Americas</v>
      </c>
      <c r="AD105" s="14" t="str">
        <f>IFERROR(__xludf.DUMMYFUNCTION("""COMPUTED_VALUE"""),"2008")</f>
        <v>2008</v>
      </c>
      <c r="AE105" s="14">
        <f>IFERROR(__xludf.DUMMYFUNCTION("""COMPUTED_VALUE"""),60954.0)</f>
        <v>60954</v>
      </c>
      <c r="AF105" s="14">
        <f>IFERROR(__xludf.DUMMYFUNCTION("""COMPUTED_VALUE"""),141077.0)</f>
        <v>141077</v>
      </c>
    </row>
    <row r="106">
      <c r="A106" s="12">
        <v>105.0</v>
      </c>
      <c r="B106" s="12" t="s">
        <v>86</v>
      </c>
      <c r="C106" s="5" t="s">
        <v>61</v>
      </c>
      <c r="D106" s="8"/>
      <c r="E106" s="8"/>
      <c r="F106" s="8"/>
      <c r="G106" s="8"/>
      <c r="H106" s="11">
        <v>0.013</v>
      </c>
      <c r="I106" s="11">
        <v>0.006</v>
      </c>
      <c r="J106" s="9" t="s">
        <v>60</v>
      </c>
      <c r="K106" s="14" t="str">
        <f>IFERROR(__xludf.DUMMYFUNCTION("ARRAYFORMULA(VLOOKUP(A106,IMPORTRANGE(""https://docs.google.com/spreadsheets/d/1BuTWp7qHGjWhqrnf-OmePP568O4A5Am9ttzvVdP67zw/edit#gid=1603210130"", ""TOURISM!$A$2:$F$2692""), {2,3,4,5,6},0))"),"Asia")</f>
        <v>Asia</v>
      </c>
      <c r="L106" s="14">
        <f>IFERROR(__xludf.DUMMYFUNCTION("""COMPUTED_VALUE"""),5.2E7)</f>
        <v>52000000</v>
      </c>
      <c r="M106" s="14" t="str">
        <f>IFERROR(__xludf.DUMMYFUNCTION("""COMPUTED_VALUE"""),"Armenia-Asia")</f>
        <v>Armenia-Asia</v>
      </c>
      <c r="N106" s="14" t="str">
        <f>IFERROR(__xludf.DUMMYFUNCTION("""COMPUTED_VALUE"""),"2000")</f>
        <v>2000</v>
      </c>
      <c r="O106" s="14">
        <f>IFERROR(__xludf.DUMMYFUNCTION("""COMPUTED_VALUE"""),5.6E7)</f>
        <v>56000000</v>
      </c>
      <c r="P106" s="15">
        <f>IFERROR(__xludf.DUMMYFUNCTION("ARRAYFORMULA(VLOOKUP(A106,IMPORTRANGE(""https://docs.google.com/spreadsheets/d/1BuTWp7qHGjWhqrnf-OmePP568O4A5Am9ttzvVdP67zw/edit#gid=771602874"" ,""HUMAN RESOURCES!$A$2:$M$2692""), {2,3,4,5,6,7,8,9,10,11,12,13},0))"),0.013)</f>
        <v>0.013</v>
      </c>
      <c r="Q106" s="14">
        <f>IFERROR(__xludf.DUMMYFUNCTION("""COMPUTED_VALUE"""),0.027)</f>
        <v>0.027</v>
      </c>
      <c r="R106" s="14">
        <f>IFERROR(__xludf.DUMMYFUNCTION("""COMPUTED_VALUE"""),75.0)</f>
        <v>75</v>
      </c>
      <c r="S106" s="14">
        <f>IFERROR(__xludf.DUMMYFUNCTION("""COMPUTED_VALUE"""),68.0)</f>
        <v>68</v>
      </c>
      <c r="T106" s="14">
        <f>IFERROR(__xludf.DUMMYFUNCTION("""COMPUTED_VALUE"""),0.259)</f>
        <v>0.259</v>
      </c>
      <c r="U106" s="14">
        <f>IFERROR(__xludf.DUMMYFUNCTION("""COMPUTED_VALUE"""),0.641)</f>
        <v>0.641</v>
      </c>
      <c r="V106" s="14">
        <f>IFERROR(__xludf.DUMMYFUNCTION("""COMPUTED_VALUE"""),0.1)</f>
        <v>0.1</v>
      </c>
      <c r="W106" s="14">
        <f>IFERROR(__xludf.DUMMYFUNCTION("""COMPUTED_VALUE"""),3076098.0)</f>
        <v>3076098</v>
      </c>
      <c r="X106" s="14">
        <f>IFERROR(__xludf.DUMMYFUNCTION("""COMPUTED_VALUE"""),0.647)</f>
        <v>0.647</v>
      </c>
      <c r="Y106" s="14" t="str">
        <f>IFERROR(__xludf.DUMMYFUNCTION("""COMPUTED_VALUE"""),"Armenia-Asia")</f>
        <v>Armenia-Asia</v>
      </c>
      <c r="Z106" s="14" t="str">
        <f>IFERROR(__xludf.DUMMYFUNCTION("""COMPUTED_VALUE"""),"Asia")</f>
        <v>Asia</v>
      </c>
      <c r="AA106" s="14" t="str">
        <f>IFERROR(__xludf.DUMMYFUNCTION("""COMPUTED_VALUE"""),"2000")</f>
        <v>2000</v>
      </c>
      <c r="AB106" s="15" t="str">
        <f>IFERROR(__xludf.DUMMYFUNCTION("ARRAYFORMULA(VLOOKUP(A106,IMPORTRANGE(""https://docs.google.com/spreadsheets/d/1BuTWp7qHGjWhqrnf-OmePP568O4A5Am9ttzvVdP67zw/edit#gid=1931367683"" ,""ENERGY!$A$2:$F$2692""), {2,3,4,5,6},0))"),"Asia")</f>
        <v>Asia</v>
      </c>
      <c r="AC106" s="14" t="str">
        <f>IFERROR(__xludf.DUMMYFUNCTION("""COMPUTED_VALUE"""),"Armenia-Asia")</f>
        <v>Armenia-Asia</v>
      </c>
      <c r="AD106" s="14" t="str">
        <f>IFERROR(__xludf.DUMMYFUNCTION("""COMPUTED_VALUE"""),"2000")</f>
        <v>2000</v>
      </c>
      <c r="AE106" s="14"/>
      <c r="AF106" s="14"/>
    </row>
    <row r="107">
      <c r="A107" s="12">
        <v>106.0</v>
      </c>
      <c r="B107" s="12" t="s">
        <v>86</v>
      </c>
      <c r="C107" s="5" t="s">
        <v>61</v>
      </c>
      <c r="D107" s="8"/>
      <c r="E107" s="8"/>
      <c r="F107" s="8"/>
      <c r="G107" s="8"/>
      <c r="H107" s="11">
        <v>0.016</v>
      </c>
      <c r="I107" s="11">
        <v>0.008</v>
      </c>
      <c r="J107" s="9" t="s">
        <v>62</v>
      </c>
      <c r="K107" s="14" t="str">
        <f>IFERROR(__xludf.DUMMYFUNCTION("ARRAYFORMULA(VLOOKUP(A107,IMPORTRANGE(""https://docs.google.com/spreadsheets/d/1BuTWp7qHGjWhqrnf-OmePP568O4A5Am9ttzvVdP67zw/edit#gid=1603210130"", ""TOURISM!$A$2:$F$2692""), {2,3,4,5,6},0))"),"Asia")</f>
        <v>Asia</v>
      </c>
      <c r="L107" s="14">
        <f>IFERROR(__xludf.DUMMYFUNCTION("""COMPUTED_VALUE"""),8.1E7)</f>
        <v>81000000</v>
      </c>
      <c r="M107" s="14" t="str">
        <f>IFERROR(__xludf.DUMMYFUNCTION("""COMPUTED_VALUE"""),"Armenia-Asia")</f>
        <v>Armenia-Asia</v>
      </c>
      <c r="N107" s="14" t="str">
        <f>IFERROR(__xludf.DUMMYFUNCTION("""COMPUTED_VALUE"""),"2001")</f>
        <v>2001</v>
      </c>
      <c r="O107" s="14">
        <f>IFERROR(__xludf.DUMMYFUNCTION("""COMPUTED_VALUE"""),5.9E7)</f>
        <v>59000000</v>
      </c>
      <c r="P107" s="15">
        <f>IFERROR(__xludf.DUMMYFUNCTION("ARRAYFORMULA(VLOOKUP(A107,IMPORTRANGE(""https://docs.google.com/spreadsheets/d/1BuTWp7qHGjWhqrnf-OmePP568O4A5Am9ttzvVdP67zw/edit#gid=771602874"" ,""HUMAN RESOURCES!$A$2:$M$2692""), {2,3,4,5,6,7,8,9,10,11,12,13},0))"),0.013)</f>
        <v>0.013</v>
      </c>
      <c r="Q107" s="14">
        <f>IFERROR(__xludf.DUMMYFUNCTION("""COMPUTED_VALUE"""),0.025)</f>
        <v>0.025</v>
      </c>
      <c r="R107" s="14">
        <f>IFERROR(__xludf.DUMMYFUNCTION("""COMPUTED_VALUE"""),75.0)</f>
        <v>75</v>
      </c>
      <c r="S107" s="14">
        <f>IFERROR(__xludf.DUMMYFUNCTION("""COMPUTED_VALUE"""),68.0)</f>
        <v>68</v>
      </c>
      <c r="T107" s="14">
        <f>IFERROR(__xludf.DUMMYFUNCTION("""COMPUTED_VALUE"""),0.25)</f>
        <v>0.25</v>
      </c>
      <c r="U107" s="14">
        <f>IFERROR(__xludf.DUMMYFUNCTION("""COMPUTED_VALUE"""),0.646)</f>
        <v>0.646</v>
      </c>
      <c r="V107" s="14">
        <f>IFERROR(__xludf.DUMMYFUNCTION("""COMPUTED_VALUE"""),0.104)</f>
        <v>0.104</v>
      </c>
      <c r="W107" s="14">
        <f>IFERROR(__xludf.DUMMYFUNCTION("""COMPUTED_VALUE"""),3059960.0)</f>
        <v>3059960</v>
      </c>
      <c r="X107" s="14">
        <f>IFERROR(__xludf.DUMMYFUNCTION("""COMPUTED_VALUE"""),0.644)</f>
        <v>0.644</v>
      </c>
      <c r="Y107" s="14" t="str">
        <f>IFERROR(__xludf.DUMMYFUNCTION("""COMPUTED_VALUE"""),"Armenia-Asia")</f>
        <v>Armenia-Asia</v>
      </c>
      <c r="Z107" s="14" t="str">
        <f>IFERROR(__xludf.DUMMYFUNCTION("""COMPUTED_VALUE"""),"Asia")</f>
        <v>Asia</v>
      </c>
      <c r="AA107" s="14" t="str">
        <f>IFERROR(__xludf.DUMMYFUNCTION("""COMPUTED_VALUE"""),"2001")</f>
        <v>2001</v>
      </c>
      <c r="AB107" s="15" t="str">
        <f>IFERROR(__xludf.DUMMYFUNCTION("ARRAYFORMULA(VLOOKUP(A107,IMPORTRANGE(""https://docs.google.com/spreadsheets/d/1BuTWp7qHGjWhqrnf-OmePP568O4A5Am9ttzvVdP67zw/edit#gid=1931367683"" ,""ENERGY!$A$2:$F$2692""), {2,3,4,5,6},0))"),"Asia")</f>
        <v>Asia</v>
      </c>
      <c r="AC107" s="14" t="str">
        <f>IFERROR(__xludf.DUMMYFUNCTION("""COMPUTED_VALUE"""),"Armenia-Asia")</f>
        <v>Armenia-Asia</v>
      </c>
      <c r="AD107" s="14" t="str">
        <f>IFERROR(__xludf.DUMMYFUNCTION("""COMPUTED_VALUE"""),"2001")</f>
        <v>2001</v>
      </c>
      <c r="AE107" s="14">
        <f>IFERROR(__xludf.DUMMYFUNCTION("""COMPUTED_VALUE"""),2716.0)</f>
        <v>2716</v>
      </c>
      <c r="AF107" s="14"/>
    </row>
    <row r="108">
      <c r="A108" s="12">
        <v>107.0</v>
      </c>
      <c r="B108" s="12" t="s">
        <v>86</v>
      </c>
      <c r="C108" s="5" t="s">
        <v>61</v>
      </c>
      <c r="D108" s="8"/>
      <c r="E108" s="8"/>
      <c r="F108" s="8"/>
      <c r="G108" s="8"/>
      <c r="H108" s="11">
        <v>0.02</v>
      </c>
      <c r="I108" s="11">
        <v>0.023</v>
      </c>
      <c r="J108" s="9" t="s">
        <v>63</v>
      </c>
      <c r="K108" s="14" t="str">
        <f>IFERROR(__xludf.DUMMYFUNCTION("ARRAYFORMULA(VLOOKUP(A108,IMPORTRANGE(""https://docs.google.com/spreadsheets/d/1BuTWp7qHGjWhqrnf-OmePP568O4A5Am9ttzvVdP67zw/edit#gid=1603210130"", ""TOURISM!$A$2:$F$2692""), {2,3,4,5,6},0))"),"Asia")</f>
        <v>Asia</v>
      </c>
      <c r="L108" s="14">
        <f>IFERROR(__xludf.DUMMYFUNCTION("""COMPUTED_VALUE"""),8.1E7)</f>
        <v>81000000</v>
      </c>
      <c r="M108" s="14" t="str">
        <f>IFERROR(__xludf.DUMMYFUNCTION("""COMPUTED_VALUE"""),"Armenia-Asia")</f>
        <v>Armenia-Asia</v>
      </c>
      <c r="N108" s="14" t="str">
        <f>IFERROR(__xludf.DUMMYFUNCTION("""COMPUTED_VALUE"""),"2002")</f>
        <v>2002</v>
      </c>
      <c r="O108" s="14">
        <f>IFERROR(__xludf.DUMMYFUNCTION("""COMPUTED_VALUE"""),8.5E7)</f>
        <v>85000000</v>
      </c>
      <c r="P108" s="15">
        <f>IFERROR(__xludf.DUMMYFUNCTION("ARRAYFORMULA(VLOOKUP(A108,IMPORTRANGE(""https://docs.google.com/spreadsheets/d/1BuTWp7qHGjWhqrnf-OmePP568O4A5Am9ttzvVdP67zw/edit#gid=771602874"" ,""HUMAN RESOURCES!$A$2:$M$2692""), {2,3,4,5,6,7,8,9,10,11,12,13},0))"),0.013)</f>
        <v>0.013</v>
      </c>
      <c r="Q108" s="14">
        <f>IFERROR(__xludf.DUMMYFUNCTION("""COMPUTED_VALUE"""),0.024)</f>
        <v>0.024</v>
      </c>
      <c r="R108" s="14">
        <f>IFERROR(__xludf.DUMMYFUNCTION("""COMPUTED_VALUE"""),76.0)</f>
        <v>76</v>
      </c>
      <c r="S108" s="14">
        <f>IFERROR(__xludf.DUMMYFUNCTION("""COMPUTED_VALUE"""),69.0)</f>
        <v>69</v>
      </c>
      <c r="T108" s="14">
        <f>IFERROR(__xludf.DUMMYFUNCTION("""COMPUTED_VALUE"""),0.241)</f>
        <v>0.241</v>
      </c>
      <c r="U108" s="14">
        <f>IFERROR(__xludf.DUMMYFUNCTION("""COMPUTED_VALUE"""),0.651)</f>
        <v>0.651</v>
      </c>
      <c r="V108" s="14">
        <f>IFERROR(__xludf.DUMMYFUNCTION("""COMPUTED_VALUE"""),0.108)</f>
        <v>0.108</v>
      </c>
      <c r="W108" s="14">
        <f>IFERROR(__xludf.DUMMYFUNCTION("""COMPUTED_VALUE"""),3047002.0)</f>
        <v>3047002</v>
      </c>
      <c r="X108" s="14">
        <f>IFERROR(__xludf.DUMMYFUNCTION("""COMPUTED_VALUE"""),0.643)</f>
        <v>0.643</v>
      </c>
      <c r="Y108" s="14" t="str">
        <f>IFERROR(__xludf.DUMMYFUNCTION("""COMPUTED_VALUE"""),"Armenia-Asia")</f>
        <v>Armenia-Asia</v>
      </c>
      <c r="Z108" s="14" t="str">
        <f>IFERROR(__xludf.DUMMYFUNCTION("""COMPUTED_VALUE"""),"Asia")</f>
        <v>Asia</v>
      </c>
      <c r="AA108" s="14" t="str">
        <f>IFERROR(__xludf.DUMMYFUNCTION("""COMPUTED_VALUE"""),"2002")</f>
        <v>2002</v>
      </c>
      <c r="AB108" s="15" t="str">
        <f>IFERROR(__xludf.DUMMYFUNCTION("ARRAYFORMULA(VLOOKUP(A108,IMPORTRANGE(""https://docs.google.com/spreadsheets/d/1BuTWp7qHGjWhqrnf-OmePP568O4A5Am9ttzvVdP67zw/edit#gid=1931367683"" ,""ENERGY!$A$2:$F$2692""), {2,3,4,5,6},0))"),"Asia")</f>
        <v>Asia</v>
      </c>
      <c r="AC108" s="14" t="str">
        <f>IFERROR(__xludf.DUMMYFUNCTION("""COMPUTED_VALUE"""),"Armenia-Asia")</f>
        <v>Armenia-Asia</v>
      </c>
      <c r="AD108" s="14" t="str">
        <f>IFERROR(__xludf.DUMMYFUNCTION("""COMPUTED_VALUE"""),"2002")</f>
        <v>2002</v>
      </c>
      <c r="AE108" s="14">
        <f>IFERROR(__xludf.DUMMYFUNCTION("""COMPUTED_VALUE"""),2483.0)</f>
        <v>2483</v>
      </c>
      <c r="AF108" s="14">
        <f>IFERROR(__xludf.DUMMYFUNCTION("""COMPUTED_VALUE"""),4221.0)</f>
        <v>4221</v>
      </c>
    </row>
    <row r="109">
      <c r="A109" s="12">
        <v>108.0</v>
      </c>
      <c r="B109" s="12" t="s">
        <v>86</v>
      </c>
      <c r="C109" s="5" t="s">
        <v>61</v>
      </c>
      <c r="D109" s="8"/>
      <c r="E109" s="11">
        <v>18.0</v>
      </c>
      <c r="F109" s="8"/>
      <c r="G109" s="8"/>
      <c r="H109" s="11">
        <v>0.046</v>
      </c>
      <c r="I109" s="11">
        <v>0.038</v>
      </c>
      <c r="J109" s="9" t="s">
        <v>64</v>
      </c>
      <c r="K109" s="14" t="str">
        <f>IFERROR(__xludf.DUMMYFUNCTION("ARRAYFORMULA(VLOOKUP(A109,IMPORTRANGE(""https://docs.google.com/spreadsheets/d/1BuTWp7qHGjWhqrnf-OmePP568O4A5Am9ttzvVdP67zw/edit#gid=1603210130"", ""TOURISM!$A$2:$F$2692""), {2,3,4,5,6},0))"),"Asia")</f>
        <v>Asia</v>
      </c>
      <c r="L109" s="14">
        <f>IFERROR(__xludf.DUMMYFUNCTION("""COMPUTED_VALUE"""),9.0E7)</f>
        <v>90000000</v>
      </c>
      <c r="M109" s="14" t="str">
        <f>IFERROR(__xludf.DUMMYFUNCTION("""COMPUTED_VALUE"""),"Armenia-Asia")</f>
        <v>Armenia-Asia</v>
      </c>
      <c r="N109" s="14" t="str">
        <f>IFERROR(__xludf.DUMMYFUNCTION("""COMPUTED_VALUE"""),"2003")</f>
        <v>2003</v>
      </c>
      <c r="O109" s="14">
        <f>IFERROR(__xludf.DUMMYFUNCTION("""COMPUTED_VALUE"""),9.7E7)</f>
        <v>97000000</v>
      </c>
      <c r="P109" s="15">
        <f>IFERROR(__xludf.DUMMYFUNCTION("ARRAYFORMULA(VLOOKUP(A109,IMPORTRANGE(""https://docs.google.com/spreadsheets/d/1BuTWp7qHGjWhqrnf-OmePP568O4A5Am9ttzvVdP67zw/edit#gid=771602874"" ,""HUMAN RESOURCES!$A$2:$M$2692""), {2,3,4,5,6,7,8,9,10,11,12,13},0))"),0.014)</f>
        <v>0.014</v>
      </c>
      <c r="Q109" s="14">
        <f>IFERROR(__xludf.DUMMYFUNCTION("""COMPUTED_VALUE"""),0.023)</f>
        <v>0.023</v>
      </c>
      <c r="R109" s="14">
        <f>IFERROR(__xludf.DUMMYFUNCTION("""COMPUTED_VALUE"""),76.0)</f>
        <v>76</v>
      </c>
      <c r="S109" s="14">
        <f>IFERROR(__xludf.DUMMYFUNCTION("""COMPUTED_VALUE"""),69.0)</f>
        <v>69</v>
      </c>
      <c r="T109" s="14">
        <f>IFERROR(__xludf.DUMMYFUNCTION("""COMPUTED_VALUE"""),0.233)</f>
        <v>0.233</v>
      </c>
      <c r="U109" s="14">
        <f>IFERROR(__xludf.DUMMYFUNCTION("""COMPUTED_VALUE"""),0.655)</f>
        <v>0.655</v>
      </c>
      <c r="V109" s="14">
        <f>IFERROR(__xludf.DUMMYFUNCTION("""COMPUTED_VALUE"""),0.112)</f>
        <v>0.112</v>
      </c>
      <c r="W109" s="14">
        <f>IFERROR(__xludf.DUMMYFUNCTION("""COMPUTED_VALUE"""),3036032.0)</f>
        <v>3036032</v>
      </c>
      <c r="X109" s="14">
        <f>IFERROR(__xludf.DUMMYFUNCTION("""COMPUTED_VALUE"""),0.643)</f>
        <v>0.643</v>
      </c>
      <c r="Y109" s="14" t="str">
        <f>IFERROR(__xludf.DUMMYFUNCTION("""COMPUTED_VALUE"""),"Armenia-Asia")</f>
        <v>Armenia-Asia</v>
      </c>
      <c r="Z109" s="14" t="str">
        <f>IFERROR(__xludf.DUMMYFUNCTION("""COMPUTED_VALUE"""),"Asia")</f>
        <v>Asia</v>
      </c>
      <c r="AA109" s="14" t="str">
        <f>IFERROR(__xludf.DUMMYFUNCTION("""COMPUTED_VALUE"""),"2003")</f>
        <v>2003</v>
      </c>
      <c r="AB109" s="15" t="str">
        <f>IFERROR(__xludf.DUMMYFUNCTION("ARRAYFORMULA(VLOOKUP(A109,IMPORTRANGE(""https://docs.google.com/spreadsheets/d/1BuTWp7qHGjWhqrnf-OmePP568O4A5Am9ttzvVdP67zw/edit#gid=1931367683"" ,""ENERGY!$A$2:$F$2692""), {2,3,4,5,6},0))"),"Asia")</f>
        <v>Asia</v>
      </c>
      <c r="AC109" s="14" t="str">
        <f>IFERROR(__xludf.DUMMYFUNCTION("""COMPUTED_VALUE"""),"Armenia-Asia")</f>
        <v>Armenia-Asia</v>
      </c>
      <c r="AD109" s="14" t="str">
        <f>IFERROR(__xludf.DUMMYFUNCTION("""COMPUTED_VALUE"""),"2003")</f>
        <v>2003</v>
      </c>
      <c r="AE109" s="14">
        <f>IFERROR(__xludf.DUMMYFUNCTION("""COMPUTED_VALUE"""),2610.0)</f>
        <v>2610</v>
      </c>
      <c r="AF109" s="14">
        <f>IFERROR(__xludf.DUMMYFUNCTION("""COMPUTED_VALUE"""),4353.0)</f>
        <v>4353</v>
      </c>
    </row>
    <row r="110">
      <c r="A110" s="12">
        <v>109.0</v>
      </c>
      <c r="B110" s="12" t="s">
        <v>86</v>
      </c>
      <c r="C110" s="5" t="s">
        <v>61</v>
      </c>
      <c r="D110" s="8"/>
      <c r="E110" s="11">
        <v>18.0</v>
      </c>
      <c r="F110" s="8"/>
      <c r="G110" s="8"/>
      <c r="H110" s="11">
        <v>0.049</v>
      </c>
      <c r="I110" s="11">
        <v>0.067</v>
      </c>
      <c r="J110" s="9" t="s">
        <v>65</v>
      </c>
      <c r="K110" s="14" t="str">
        <f>IFERROR(__xludf.DUMMYFUNCTION("ARRAYFORMULA(VLOOKUP(A110,IMPORTRANGE(""https://docs.google.com/spreadsheets/d/1BuTWp7qHGjWhqrnf-OmePP568O4A5Am9ttzvVdP67zw/edit#gid=1603210130"", ""TOURISM!$A$2:$F$2692""), {2,3,4,5,6},0))"),"Asia")</f>
        <v>Asia</v>
      </c>
      <c r="L110" s="14">
        <f>IFERROR(__xludf.DUMMYFUNCTION("""COMPUTED_VALUE"""),1.88E8)</f>
        <v>188000000</v>
      </c>
      <c r="M110" s="14" t="str">
        <f>IFERROR(__xludf.DUMMYFUNCTION("""COMPUTED_VALUE"""),"Armenia-Asia")</f>
        <v>Armenia-Asia</v>
      </c>
      <c r="N110" s="14" t="str">
        <f>IFERROR(__xludf.DUMMYFUNCTION("""COMPUTED_VALUE"""),"2004")</f>
        <v>2004</v>
      </c>
      <c r="O110" s="14">
        <f>IFERROR(__xludf.DUMMYFUNCTION("""COMPUTED_VALUE"""),2.16E8)</f>
        <v>216000000</v>
      </c>
      <c r="P110" s="15">
        <f>IFERROR(__xludf.DUMMYFUNCTION("ARRAYFORMULA(VLOOKUP(A110,IMPORTRANGE(""https://docs.google.com/spreadsheets/d/1BuTWp7qHGjWhqrnf-OmePP568O4A5Am9ttzvVdP67zw/edit#gid=771602874"" ,""HUMAN RESOURCES!$A$2:$M$2692""), {2,3,4,5,6,7,8,9,10,11,12,13},0))"),0.014)</f>
        <v>0.014</v>
      </c>
      <c r="Q110" s="14">
        <f>IFERROR(__xludf.DUMMYFUNCTION("""COMPUTED_VALUE"""),0.022)</f>
        <v>0.022</v>
      </c>
      <c r="R110" s="14">
        <f>IFERROR(__xludf.DUMMYFUNCTION("""COMPUTED_VALUE"""),76.0)</f>
        <v>76</v>
      </c>
      <c r="S110" s="14">
        <f>IFERROR(__xludf.DUMMYFUNCTION("""COMPUTED_VALUE"""),70.0)</f>
        <v>70</v>
      </c>
      <c r="T110" s="14">
        <f>IFERROR(__xludf.DUMMYFUNCTION("""COMPUTED_VALUE"""),0.225)</f>
        <v>0.225</v>
      </c>
      <c r="U110" s="14">
        <f>IFERROR(__xludf.DUMMYFUNCTION("""COMPUTED_VALUE"""),0.66)</f>
        <v>0.66</v>
      </c>
      <c r="V110" s="14">
        <f>IFERROR(__xludf.DUMMYFUNCTION("""COMPUTED_VALUE"""),0.115)</f>
        <v>0.115</v>
      </c>
      <c r="W110" s="14">
        <f>IFERROR(__xludf.DUMMYFUNCTION("""COMPUTED_VALUE"""),3025652.0)</f>
        <v>3025652</v>
      </c>
      <c r="X110" s="14">
        <f>IFERROR(__xludf.DUMMYFUNCTION("""COMPUTED_VALUE"""),0.642)</f>
        <v>0.642</v>
      </c>
      <c r="Y110" s="14" t="str">
        <f>IFERROR(__xludf.DUMMYFUNCTION("""COMPUTED_VALUE"""),"Armenia-Asia")</f>
        <v>Armenia-Asia</v>
      </c>
      <c r="Z110" s="14" t="str">
        <f>IFERROR(__xludf.DUMMYFUNCTION("""COMPUTED_VALUE"""),"Asia")</f>
        <v>Asia</v>
      </c>
      <c r="AA110" s="14" t="str">
        <f>IFERROR(__xludf.DUMMYFUNCTION("""COMPUTED_VALUE"""),"2004")</f>
        <v>2004</v>
      </c>
      <c r="AB110" s="15" t="str">
        <f>IFERROR(__xludf.DUMMYFUNCTION("ARRAYFORMULA(VLOOKUP(A110,IMPORTRANGE(""https://docs.google.com/spreadsheets/d/1BuTWp7qHGjWhqrnf-OmePP568O4A5Am9ttzvVdP67zw/edit#gid=1931367683"" ,""ENERGY!$A$2:$F$2692""), {2,3,4,5,6},0))"),"Asia")</f>
        <v>Asia</v>
      </c>
      <c r="AC110" s="14" t="str">
        <f>IFERROR(__xludf.DUMMYFUNCTION("""COMPUTED_VALUE"""),"Armenia-Asia")</f>
        <v>Armenia-Asia</v>
      </c>
      <c r="AD110" s="14" t="str">
        <f>IFERROR(__xludf.DUMMYFUNCTION("""COMPUTED_VALUE"""),"2004")</f>
        <v>2004</v>
      </c>
      <c r="AE110" s="14">
        <f>IFERROR(__xludf.DUMMYFUNCTION("""COMPUTED_VALUE"""),3004.0)</f>
        <v>3004</v>
      </c>
      <c r="AF110" s="14">
        <f>IFERROR(__xludf.DUMMYFUNCTION("""COMPUTED_VALUE"""),5556.0)</f>
        <v>5556</v>
      </c>
    </row>
    <row r="111">
      <c r="A111" s="12">
        <v>110.0</v>
      </c>
      <c r="B111" s="12" t="s">
        <v>86</v>
      </c>
      <c r="C111" s="5" t="s">
        <v>61</v>
      </c>
      <c r="D111" s="11">
        <v>0.366</v>
      </c>
      <c r="E111" s="11">
        <v>18.0</v>
      </c>
      <c r="F111" s="8"/>
      <c r="G111" s="11">
        <v>580.0</v>
      </c>
      <c r="H111" s="11">
        <v>0.053</v>
      </c>
      <c r="I111" s="11">
        <v>0.105</v>
      </c>
      <c r="J111" s="9" t="s">
        <v>66</v>
      </c>
      <c r="K111" s="14" t="str">
        <f>IFERROR(__xludf.DUMMYFUNCTION("ARRAYFORMULA(VLOOKUP(A111,IMPORTRANGE(""https://docs.google.com/spreadsheets/d/1BuTWp7qHGjWhqrnf-OmePP568O4A5Am9ttzvVdP67zw/edit#gid=1603210130"", ""TOURISM!$A$2:$F$2692""), {2,3,4,5,6},0))"),"Asia")</f>
        <v>Asia</v>
      </c>
      <c r="L111" s="14">
        <f>IFERROR(__xludf.DUMMYFUNCTION("""COMPUTED_VALUE"""),2.4E8)</f>
        <v>240000000</v>
      </c>
      <c r="M111" s="14" t="str">
        <f>IFERROR(__xludf.DUMMYFUNCTION("""COMPUTED_VALUE"""),"Armenia-Asia")</f>
        <v>Armenia-Asia</v>
      </c>
      <c r="N111" s="14" t="str">
        <f>IFERROR(__xludf.DUMMYFUNCTION("""COMPUTED_VALUE"""),"2005")</f>
        <v>2005</v>
      </c>
      <c r="O111" s="14">
        <f>IFERROR(__xludf.DUMMYFUNCTION("""COMPUTED_VALUE"""),2.84E8)</f>
        <v>284000000</v>
      </c>
      <c r="P111" s="15">
        <f>IFERROR(__xludf.DUMMYFUNCTION("ARRAYFORMULA(VLOOKUP(A111,IMPORTRANGE(""https://docs.google.com/spreadsheets/d/1BuTWp7qHGjWhqrnf-OmePP568O4A5Am9ttzvVdP67zw/edit#gid=771602874"" ,""HUMAN RESOURCES!$A$2:$M$2692""), {2,3,4,5,6,7,8,9,10,11,12,13},0))"),0.014)</f>
        <v>0.014</v>
      </c>
      <c r="Q111" s="14">
        <f>IFERROR(__xludf.DUMMYFUNCTION("""COMPUTED_VALUE"""),0.021)</f>
        <v>0.021</v>
      </c>
      <c r="R111" s="14">
        <f>IFERROR(__xludf.DUMMYFUNCTION("""COMPUTED_VALUE"""),77.0)</f>
        <v>77</v>
      </c>
      <c r="S111" s="14">
        <f>IFERROR(__xludf.DUMMYFUNCTION("""COMPUTED_VALUE"""),70.0)</f>
        <v>70</v>
      </c>
      <c r="T111" s="14">
        <f>IFERROR(__xludf.DUMMYFUNCTION("""COMPUTED_VALUE"""),0.219)</f>
        <v>0.219</v>
      </c>
      <c r="U111" s="14">
        <f>IFERROR(__xludf.DUMMYFUNCTION("""COMPUTED_VALUE"""),0.665)</f>
        <v>0.665</v>
      </c>
      <c r="V111" s="14">
        <f>IFERROR(__xludf.DUMMYFUNCTION("""COMPUTED_VALUE"""),0.116)</f>
        <v>0.116</v>
      </c>
      <c r="W111" s="14">
        <f>IFERROR(__xludf.DUMMYFUNCTION("""COMPUTED_VALUE"""),3014917.0)</f>
        <v>3014917</v>
      </c>
      <c r="X111" s="14">
        <f>IFERROR(__xludf.DUMMYFUNCTION("""COMPUTED_VALUE"""),0.642)</f>
        <v>0.642</v>
      </c>
      <c r="Y111" s="14" t="str">
        <f>IFERROR(__xludf.DUMMYFUNCTION("""COMPUTED_VALUE"""),"Armenia-Asia")</f>
        <v>Armenia-Asia</v>
      </c>
      <c r="Z111" s="14" t="str">
        <f>IFERROR(__xludf.DUMMYFUNCTION("""COMPUTED_VALUE"""),"Asia")</f>
        <v>Asia</v>
      </c>
      <c r="AA111" s="14" t="str">
        <f>IFERROR(__xludf.DUMMYFUNCTION("""COMPUTED_VALUE"""),"2005")</f>
        <v>2005</v>
      </c>
      <c r="AB111" s="15" t="str">
        <f>IFERROR(__xludf.DUMMYFUNCTION("ARRAYFORMULA(VLOOKUP(A111,IMPORTRANGE(""https://docs.google.com/spreadsheets/d/1BuTWp7qHGjWhqrnf-OmePP568O4A5Am9ttzvVdP67zw/edit#gid=1931367683"" ,""ENERGY!$A$2:$F$2692""), {2,3,4,5,6},0))"),"Asia")</f>
        <v>Asia</v>
      </c>
      <c r="AC111" s="14" t="str">
        <f>IFERROR(__xludf.DUMMYFUNCTION("""COMPUTED_VALUE"""),"Armenia-Asia")</f>
        <v>Armenia-Asia</v>
      </c>
      <c r="AD111" s="14" t="str">
        <f>IFERROR(__xludf.DUMMYFUNCTION("""COMPUTED_VALUE"""),"2005")</f>
        <v>2005</v>
      </c>
      <c r="AE111" s="14">
        <f>IFERROR(__xludf.DUMMYFUNCTION("""COMPUTED_VALUE"""),2853.0)</f>
        <v>2853</v>
      </c>
      <c r="AF111" s="14">
        <f>IFERROR(__xludf.DUMMYFUNCTION("""COMPUTED_VALUE"""),5068.0)</f>
        <v>5068</v>
      </c>
    </row>
    <row r="112">
      <c r="A112" s="12">
        <v>111.0</v>
      </c>
      <c r="B112" s="12" t="s">
        <v>86</v>
      </c>
      <c r="C112" s="5" t="s">
        <v>61</v>
      </c>
      <c r="D112" s="11">
        <v>0.366</v>
      </c>
      <c r="E112" s="11">
        <v>17.0</v>
      </c>
      <c r="F112" s="8"/>
      <c r="G112" s="11">
        <v>580.0</v>
      </c>
      <c r="H112" s="11">
        <v>0.056</v>
      </c>
      <c r="I112" s="11">
        <v>0.42</v>
      </c>
      <c r="J112" s="9" t="s">
        <v>67</v>
      </c>
      <c r="K112" s="14" t="str">
        <f>IFERROR(__xludf.DUMMYFUNCTION("ARRAYFORMULA(VLOOKUP(A112,IMPORTRANGE(""https://docs.google.com/spreadsheets/d/1BuTWp7qHGjWhqrnf-OmePP568O4A5Am9ttzvVdP67zw/edit#gid=1603210130"", ""TOURISM!$A$2:$F$2692""), {2,3,4,5,6},0))"),"Asia")</f>
        <v>Asia</v>
      </c>
      <c r="L112" s="14">
        <f>IFERROR(__xludf.DUMMYFUNCTION("""COMPUTED_VALUE"""),3.07E8)</f>
        <v>307000000</v>
      </c>
      <c r="M112" s="14" t="str">
        <f>IFERROR(__xludf.DUMMYFUNCTION("""COMPUTED_VALUE"""),"Armenia-Asia")</f>
        <v>Armenia-Asia</v>
      </c>
      <c r="N112" s="14" t="str">
        <f>IFERROR(__xludf.DUMMYFUNCTION("""COMPUTED_VALUE"""),"2006")</f>
        <v>2006</v>
      </c>
      <c r="O112" s="14">
        <f>IFERROR(__xludf.DUMMYFUNCTION("""COMPUTED_VALUE"""),3.21E8)</f>
        <v>321000000</v>
      </c>
      <c r="P112" s="15">
        <f>IFERROR(__xludf.DUMMYFUNCTION("ARRAYFORMULA(VLOOKUP(A112,IMPORTRANGE(""https://docs.google.com/spreadsheets/d/1BuTWp7qHGjWhqrnf-OmePP568O4A5Am9ttzvVdP67zw/edit#gid=771602874"" ,""HUMAN RESOURCES!$A$2:$M$2692""), {2,3,4,5,6,7,8,9,10,11,12,13},0))"),0.014)</f>
        <v>0.014</v>
      </c>
      <c r="Q112" s="14">
        <f>IFERROR(__xludf.DUMMYFUNCTION("""COMPUTED_VALUE"""),0.02)</f>
        <v>0.02</v>
      </c>
      <c r="R112" s="14">
        <f>IFERROR(__xludf.DUMMYFUNCTION("""COMPUTED_VALUE"""),77.0)</f>
        <v>77</v>
      </c>
      <c r="S112" s="14">
        <f>IFERROR(__xludf.DUMMYFUNCTION("""COMPUTED_VALUE"""),70.0)</f>
        <v>70</v>
      </c>
      <c r="T112" s="14">
        <f>IFERROR(__xludf.DUMMYFUNCTION("""COMPUTED_VALUE"""),0.214)</f>
        <v>0.214</v>
      </c>
      <c r="U112" s="14">
        <f>IFERROR(__xludf.DUMMYFUNCTION("""COMPUTED_VALUE"""),0.67)</f>
        <v>0.67</v>
      </c>
      <c r="V112" s="14">
        <f>IFERROR(__xludf.DUMMYFUNCTION("""COMPUTED_VALUE"""),0.116)</f>
        <v>0.116</v>
      </c>
      <c r="W112" s="14">
        <f>IFERROR(__xludf.DUMMYFUNCTION("""COMPUTED_VALUE"""),3002911.0)</f>
        <v>3002911</v>
      </c>
      <c r="X112" s="14">
        <f>IFERROR(__xludf.DUMMYFUNCTION("""COMPUTED_VALUE"""),0.642)</f>
        <v>0.642</v>
      </c>
      <c r="Y112" s="14" t="str">
        <f>IFERROR(__xludf.DUMMYFUNCTION("""COMPUTED_VALUE"""),"Armenia-Asia")</f>
        <v>Armenia-Asia</v>
      </c>
      <c r="Z112" s="14" t="str">
        <f>IFERROR(__xludf.DUMMYFUNCTION("""COMPUTED_VALUE"""),"Asia")</f>
        <v>Asia</v>
      </c>
      <c r="AA112" s="14" t="str">
        <f>IFERROR(__xludf.DUMMYFUNCTION("""COMPUTED_VALUE"""),"2006")</f>
        <v>2006</v>
      </c>
      <c r="AB112" s="15" t="str">
        <f>IFERROR(__xludf.DUMMYFUNCTION("ARRAYFORMULA(VLOOKUP(A112,IMPORTRANGE(""https://docs.google.com/spreadsheets/d/1BuTWp7qHGjWhqrnf-OmePP568O4A5Am9ttzvVdP67zw/edit#gid=1931367683"" ,""ENERGY!$A$2:$F$2692""), {2,3,4,5,6},0))"),"Asia")</f>
        <v>Asia</v>
      </c>
      <c r="AC112" s="14" t="str">
        <f>IFERROR(__xludf.DUMMYFUNCTION("""COMPUTED_VALUE"""),"Armenia-Asia")</f>
        <v>Armenia-Asia</v>
      </c>
      <c r="AD112" s="14" t="str">
        <f>IFERROR(__xludf.DUMMYFUNCTION("""COMPUTED_VALUE"""),"2009")</f>
        <v>2009</v>
      </c>
      <c r="AE112" s="14">
        <f>IFERROR(__xludf.DUMMYFUNCTION("""COMPUTED_VALUE"""),2559.0)</f>
        <v>2559</v>
      </c>
      <c r="AF112" s="14">
        <f>IFERROR(__xludf.DUMMYFUNCTION("""COMPUTED_VALUE"""),4382.0)</f>
        <v>4382</v>
      </c>
    </row>
    <row r="113">
      <c r="A113" s="12">
        <v>112.0</v>
      </c>
      <c r="B113" s="12" t="s">
        <v>86</v>
      </c>
      <c r="C113" s="5" t="s">
        <v>61</v>
      </c>
      <c r="D113" s="11">
        <v>0.388</v>
      </c>
      <c r="E113" s="11">
        <v>17.0</v>
      </c>
      <c r="F113" s="8"/>
      <c r="G113" s="11">
        <v>581.0</v>
      </c>
      <c r="H113" s="11">
        <v>0.06</v>
      </c>
      <c r="I113" s="11">
        <v>0.628</v>
      </c>
      <c r="J113" s="9" t="s">
        <v>68</v>
      </c>
      <c r="K113" s="14" t="str">
        <f>IFERROR(__xludf.DUMMYFUNCTION("ARRAYFORMULA(VLOOKUP(A113,IMPORTRANGE(""https://docs.google.com/spreadsheets/d/1BuTWp7qHGjWhqrnf-OmePP568O4A5Am9ttzvVdP67zw/edit#gid=1603210130"", ""TOURISM!$A$2:$F$2692""), {2,3,4,5,6},0))"),"Asia")</f>
        <v>Asia</v>
      </c>
      <c r="L113" s="14">
        <f>IFERROR(__xludf.DUMMYFUNCTION("""COMPUTED_VALUE"""),3.43E8)</f>
        <v>343000000</v>
      </c>
      <c r="M113" s="14" t="str">
        <f>IFERROR(__xludf.DUMMYFUNCTION("""COMPUTED_VALUE"""),"Armenia-Asia")</f>
        <v>Armenia-Asia</v>
      </c>
      <c r="N113" s="14" t="str">
        <f>IFERROR(__xludf.DUMMYFUNCTION("""COMPUTED_VALUE"""),"2007")</f>
        <v>2007</v>
      </c>
      <c r="O113" s="14">
        <f>IFERROR(__xludf.DUMMYFUNCTION("""COMPUTED_VALUE"""),3.45E8)</f>
        <v>345000000</v>
      </c>
      <c r="P113" s="15">
        <f>IFERROR(__xludf.DUMMYFUNCTION("ARRAYFORMULA(VLOOKUP(A113,IMPORTRANGE(""https://docs.google.com/spreadsheets/d/1BuTWp7qHGjWhqrnf-OmePP568O4A5Am9ttzvVdP67zw/edit#gid=771602874"" ,""HUMAN RESOURCES!$A$2:$M$2692""), {2,3,4,5,6,7,8,9,10,11,12,13},0))"),0.014)</f>
        <v>0.014</v>
      </c>
      <c r="Q113" s="14">
        <f>IFERROR(__xludf.DUMMYFUNCTION("""COMPUTED_VALUE"""),0.019)</f>
        <v>0.019</v>
      </c>
      <c r="R113" s="14">
        <f>IFERROR(__xludf.DUMMYFUNCTION("""COMPUTED_VALUE"""),77.0)</f>
        <v>77</v>
      </c>
      <c r="S113" s="14">
        <f>IFERROR(__xludf.DUMMYFUNCTION("""COMPUTED_VALUE"""),70.0)</f>
        <v>70</v>
      </c>
      <c r="T113" s="14">
        <f>IFERROR(__xludf.DUMMYFUNCTION("""COMPUTED_VALUE"""),0.211)</f>
        <v>0.211</v>
      </c>
      <c r="U113" s="14">
        <f>IFERROR(__xludf.DUMMYFUNCTION("""COMPUTED_VALUE"""),0.676)</f>
        <v>0.676</v>
      </c>
      <c r="V113" s="14">
        <f>IFERROR(__xludf.DUMMYFUNCTION("""COMPUTED_VALUE"""),0.114)</f>
        <v>0.114</v>
      </c>
      <c r="W113" s="14">
        <f>IFERROR(__xludf.DUMMYFUNCTION("""COMPUTED_VALUE"""),2989882.0)</f>
        <v>2989882</v>
      </c>
      <c r="X113" s="14">
        <f>IFERROR(__xludf.DUMMYFUNCTION("""COMPUTED_VALUE"""),0.641)</f>
        <v>0.641</v>
      </c>
      <c r="Y113" s="14" t="str">
        <f>IFERROR(__xludf.DUMMYFUNCTION("""COMPUTED_VALUE"""),"Armenia-Asia")</f>
        <v>Armenia-Asia</v>
      </c>
      <c r="Z113" s="14" t="str">
        <f>IFERROR(__xludf.DUMMYFUNCTION("""COMPUTED_VALUE"""),"Asia")</f>
        <v>Asia</v>
      </c>
      <c r="AA113" s="14" t="str">
        <f>IFERROR(__xludf.DUMMYFUNCTION("""COMPUTED_VALUE"""),"2007")</f>
        <v>2007</v>
      </c>
      <c r="AB113" s="15" t="str">
        <f>IFERROR(__xludf.DUMMYFUNCTION("ARRAYFORMULA(VLOOKUP(A113,IMPORTRANGE(""https://docs.google.com/spreadsheets/d/1BuTWp7qHGjWhqrnf-OmePP568O4A5Am9ttzvVdP67zw/edit#gid=1931367683"" ,""ENERGY!$A$2:$F$2692""), {2,3,4,5,6},0))"),"Asia")</f>
        <v>Asia</v>
      </c>
      <c r="AC113" s="14" t="str">
        <f>IFERROR(__xludf.DUMMYFUNCTION("""COMPUTED_VALUE"""),"Armenia-Asia")</f>
        <v>Armenia-Asia</v>
      </c>
      <c r="AD113" s="14" t="str">
        <f>IFERROR(__xludf.DUMMYFUNCTION("""COMPUTED_VALUE"""),"2005")</f>
        <v>2005</v>
      </c>
      <c r="AE113" s="14">
        <f>IFERROR(__xludf.DUMMYFUNCTION("""COMPUTED_VALUE"""),2512.0)</f>
        <v>2512</v>
      </c>
      <c r="AF113" s="14">
        <f>IFERROR(__xludf.DUMMYFUNCTION("""COMPUTED_VALUE"""),4360.0)</f>
        <v>4360</v>
      </c>
    </row>
    <row r="114">
      <c r="A114" s="12">
        <v>113.0</v>
      </c>
      <c r="B114" s="12" t="s">
        <v>86</v>
      </c>
      <c r="C114" s="5" t="s">
        <v>61</v>
      </c>
      <c r="D114" s="11">
        <v>0.386</v>
      </c>
      <c r="E114" s="11">
        <v>17.0</v>
      </c>
      <c r="F114" s="8"/>
      <c r="G114" s="11">
        <v>581.0</v>
      </c>
      <c r="H114" s="11">
        <v>0.062</v>
      </c>
      <c r="I114" s="11">
        <v>0.484</v>
      </c>
      <c r="J114" s="9" t="s">
        <v>69</v>
      </c>
      <c r="K114" s="14" t="str">
        <f>IFERROR(__xludf.DUMMYFUNCTION("ARRAYFORMULA(VLOOKUP(A114,IMPORTRANGE(""https://docs.google.com/spreadsheets/d/1BuTWp7qHGjWhqrnf-OmePP568O4A5Am9ttzvVdP67zw/edit#gid=1603210130"", ""TOURISM!$A$2:$F$2692""), {2,3,4,5,6},0))"),"Asia")</f>
        <v>Asia</v>
      </c>
      <c r="L114" s="14">
        <f>IFERROR(__xludf.DUMMYFUNCTION("""COMPUTED_VALUE"""),3.77E8)</f>
        <v>377000000</v>
      </c>
      <c r="M114" s="14" t="str">
        <f>IFERROR(__xludf.DUMMYFUNCTION("""COMPUTED_VALUE"""),"Armenia-Asia")</f>
        <v>Armenia-Asia</v>
      </c>
      <c r="N114" s="14" t="str">
        <f>IFERROR(__xludf.DUMMYFUNCTION("""COMPUTED_VALUE"""),"2008")</f>
        <v>2008</v>
      </c>
      <c r="O114" s="14">
        <f>IFERROR(__xludf.DUMMYFUNCTION("""COMPUTED_VALUE"""),3.83E8)</f>
        <v>383000000</v>
      </c>
      <c r="P114" s="15">
        <f>IFERROR(__xludf.DUMMYFUNCTION("ARRAYFORMULA(VLOOKUP(A114,IMPORTRANGE(""https://docs.google.com/spreadsheets/d/1BuTWp7qHGjWhqrnf-OmePP568O4A5Am9ttzvVdP67zw/edit#gid=771602874"" ,""HUMAN RESOURCES!$A$2:$M$2692""), {2,3,4,5,6,7,8,9,10,11,12,13},0))"),0.014)</f>
        <v>0.014</v>
      </c>
      <c r="Q114" s="14">
        <f>IFERROR(__xludf.DUMMYFUNCTION("""COMPUTED_VALUE"""),0.018)</f>
        <v>0.018</v>
      </c>
      <c r="R114" s="14">
        <f>IFERROR(__xludf.DUMMYFUNCTION("""COMPUTED_VALUE"""),77.0)</f>
        <v>77</v>
      </c>
      <c r="S114" s="14">
        <f>IFERROR(__xludf.DUMMYFUNCTION("""COMPUTED_VALUE"""),71.0)</f>
        <v>71</v>
      </c>
      <c r="T114" s="14">
        <f>IFERROR(__xludf.DUMMYFUNCTION("""COMPUTED_VALUE"""),0.208)</f>
        <v>0.208</v>
      </c>
      <c r="U114" s="14">
        <f>IFERROR(__xludf.DUMMYFUNCTION("""COMPUTED_VALUE"""),0.681)</f>
        <v>0.681</v>
      </c>
      <c r="V114" s="14">
        <f>IFERROR(__xludf.DUMMYFUNCTION("""COMPUTED_VALUE"""),0.111)</f>
        <v>0.111</v>
      </c>
      <c r="W114" s="14">
        <f>IFERROR(__xludf.DUMMYFUNCTION("""COMPUTED_VALUE"""),2977488.0)</f>
        <v>2977488</v>
      </c>
      <c r="X114" s="14">
        <f>IFERROR(__xludf.DUMMYFUNCTION("""COMPUTED_VALUE"""),0.64)</f>
        <v>0.64</v>
      </c>
      <c r="Y114" s="14" t="str">
        <f>IFERROR(__xludf.DUMMYFUNCTION("""COMPUTED_VALUE"""),"Armenia-Asia")</f>
        <v>Armenia-Asia</v>
      </c>
      <c r="Z114" s="14" t="str">
        <f>IFERROR(__xludf.DUMMYFUNCTION("""COMPUTED_VALUE"""),"Asia")</f>
        <v>Asia</v>
      </c>
      <c r="AA114" s="14" t="str">
        <f>IFERROR(__xludf.DUMMYFUNCTION("""COMPUTED_VALUE"""),"2008")</f>
        <v>2008</v>
      </c>
      <c r="AB114" s="15" t="str">
        <f>IFERROR(__xludf.DUMMYFUNCTION("ARRAYFORMULA(VLOOKUP(A114,IMPORTRANGE(""https://docs.google.com/spreadsheets/d/1BuTWp7qHGjWhqrnf-OmePP568O4A5Am9ttzvVdP67zw/edit#gid=1931367683"" ,""ENERGY!$A$2:$F$2692""), {2,3,4,5,6},0))"),"Asia")</f>
        <v>Asia</v>
      </c>
      <c r="AC114" s="14" t="str">
        <f>IFERROR(__xludf.DUMMYFUNCTION("""COMPUTED_VALUE"""),"Armenia-Asia")</f>
        <v>Armenia-Asia</v>
      </c>
      <c r="AD114" s="14" t="str">
        <f>IFERROR(__xludf.DUMMYFUNCTION("""COMPUTED_VALUE"""),"2012")</f>
        <v>2012</v>
      </c>
      <c r="AE114" s="14">
        <f>IFERROR(__xludf.DUMMYFUNCTION("""COMPUTED_VALUE"""),2095.0)</f>
        <v>2095</v>
      </c>
      <c r="AF114" s="14">
        <f>IFERROR(__xludf.DUMMYFUNCTION("""COMPUTED_VALUE"""),3645.0)</f>
        <v>3645</v>
      </c>
    </row>
    <row r="115">
      <c r="A115" s="12">
        <v>114.0</v>
      </c>
      <c r="B115" s="12" t="s">
        <v>86</v>
      </c>
      <c r="C115" s="5" t="s">
        <v>61</v>
      </c>
      <c r="D115" s="11">
        <v>0.386</v>
      </c>
      <c r="E115" s="11">
        <v>14.0</v>
      </c>
      <c r="F115" s="8"/>
      <c r="G115" s="11">
        <v>581.0</v>
      </c>
      <c r="H115" s="11">
        <v>0.153</v>
      </c>
      <c r="I115" s="11">
        <v>0.738</v>
      </c>
      <c r="J115" s="9" t="s">
        <v>70</v>
      </c>
      <c r="K115" s="14" t="str">
        <f>IFERROR(__xludf.DUMMYFUNCTION("ARRAYFORMULA(VLOOKUP(A115,IMPORTRANGE(""https://docs.google.com/spreadsheets/d/1BuTWp7qHGjWhqrnf-OmePP568O4A5Am9ttzvVdP67zw/edit#gid=1603210130"", ""TOURISM!$A$2:$F$2692""), {2,3,4,5,6},0))"),"Asia")</f>
        <v>Asia</v>
      </c>
      <c r="L115" s="14">
        <f>IFERROR(__xludf.DUMMYFUNCTION("""COMPUTED_VALUE"""),3.74E8)</f>
        <v>374000000</v>
      </c>
      <c r="M115" s="14" t="str">
        <f>IFERROR(__xludf.DUMMYFUNCTION("""COMPUTED_VALUE"""),"Armenia-Asia")</f>
        <v>Armenia-Asia</v>
      </c>
      <c r="N115" s="14" t="str">
        <f>IFERROR(__xludf.DUMMYFUNCTION("""COMPUTED_VALUE"""),"2009")</f>
        <v>2009</v>
      </c>
      <c r="O115" s="14">
        <f>IFERROR(__xludf.DUMMYFUNCTION("""COMPUTED_VALUE"""),3.79E8)</f>
        <v>379000000</v>
      </c>
      <c r="P115" s="15">
        <f>IFERROR(__xludf.DUMMYFUNCTION("ARRAYFORMULA(VLOOKUP(A115,IMPORTRANGE(""https://docs.google.com/spreadsheets/d/1BuTWp7qHGjWhqrnf-OmePP568O4A5Am9ttzvVdP67zw/edit#gid=771602874"" ,""HUMAN RESOURCES!$A$2:$M$2692""), {2,3,4,5,6,7,8,9,10,11,12,13},0))"),0.014)</f>
        <v>0.014</v>
      </c>
      <c r="Q115" s="14">
        <f>IFERROR(__xludf.DUMMYFUNCTION("""COMPUTED_VALUE"""),0.017)</f>
        <v>0.017</v>
      </c>
      <c r="R115" s="14">
        <f>IFERROR(__xludf.DUMMYFUNCTION("""COMPUTED_VALUE"""),78.0)</f>
        <v>78</v>
      </c>
      <c r="S115" s="14">
        <f>IFERROR(__xludf.DUMMYFUNCTION("""COMPUTED_VALUE"""),71.0)</f>
        <v>71</v>
      </c>
      <c r="T115" s="14">
        <f>IFERROR(__xludf.DUMMYFUNCTION("""COMPUTED_VALUE"""),0.206)</f>
        <v>0.206</v>
      </c>
      <c r="U115" s="14">
        <f>IFERROR(__xludf.DUMMYFUNCTION("""COMPUTED_VALUE"""),0.686)</f>
        <v>0.686</v>
      </c>
      <c r="V115" s="14">
        <f>IFERROR(__xludf.DUMMYFUNCTION("""COMPUTED_VALUE"""),0.108)</f>
        <v>0.108</v>
      </c>
      <c r="W115" s="14">
        <f>IFERROR(__xludf.DUMMYFUNCTION("""COMPUTED_VALUE"""),2968154.0)</f>
        <v>2968154</v>
      </c>
      <c r="X115" s="14">
        <f>IFERROR(__xludf.DUMMYFUNCTION("""COMPUTED_VALUE"""),0.638)</f>
        <v>0.638</v>
      </c>
      <c r="Y115" s="14" t="str">
        <f>IFERROR(__xludf.DUMMYFUNCTION("""COMPUTED_VALUE"""),"Armenia-Asia")</f>
        <v>Armenia-Asia</v>
      </c>
      <c r="Z115" s="14" t="str">
        <f>IFERROR(__xludf.DUMMYFUNCTION("""COMPUTED_VALUE"""),"Asia")</f>
        <v>Asia</v>
      </c>
      <c r="AA115" s="14" t="str">
        <f>IFERROR(__xludf.DUMMYFUNCTION("""COMPUTED_VALUE"""),"2009")</f>
        <v>2009</v>
      </c>
      <c r="AB115" s="15" t="str">
        <f>IFERROR(__xludf.DUMMYFUNCTION("ARRAYFORMULA(VLOOKUP(A115,IMPORTRANGE(""https://docs.google.com/spreadsheets/d/1BuTWp7qHGjWhqrnf-OmePP568O4A5Am9ttzvVdP67zw/edit#gid=1931367683"" ,""ENERGY!$A$2:$F$2692""), {2,3,4,5,6},0))"),"Asia")</f>
        <v>Asia</v>
      </c>
      <c r="AC115" s="14" t="str">
        <f>IFERROR(__xludf.DUMMYFUNCTION("""COMPUTED_VALUE"""),"Armenia-Asia")</f>
        <v>Armenia-Asia</v>
      </c>
      <c r="AD115" s="14" t="str">
        <f>IFERROR(__xludf.DUMMYFUNCTION("""COMPUTED_VALUE"""),"2008")</f>
        <v>2008</v>
      </c>
      <c r="AE115" s="14">
        <f>IFERROR(__xludf.DUMMYFUNCTION("""COMPUTED_VALUE"""),1981.0)</f>
        <v>1981</v>
      </c>
      <c r="AF115" s="14">
        <f>IFERROR(__xludf.DUMMYFUNCTION("""COMPUTED_VALUE"""),3429.0)</f>
        <v>3429</v>
      </c>
    </row>
    <row r="116">
      <c r="A116" s="12">
        <v>115.0</v>
      </c>
      <c r="B116" s="12" t="s">
        <v>86</v>
      </c>
      <c r="C116" s="5" t="s">
        <v>61</v>
      </c>
      <c r="D116" s="11">
        <v>0.386</v>
      </c>
      <c r="E116" s="11">
        <v>14.0</v>
      </c>
      <c r="F116" s="8"/>
      <c r="G116" s="11">
        <v>581.0</v>
      </c>
      <c r="H116" s="11">
        <v>0.25</v>
      </c>
      <c r="I116" s="11">
        <v>1.304</v>
      </c>
      <c r="J116" s="9" t="s">
        <v>71</v>
      </c>
      <c r="K116" s="14" t="str">
        <f>IFERROR(__xludf.DUMMYFUNCTION("ARRAYFORMULA(VLOOKUP(A116,IMPORTRANGE(""https://docs.google.com/spreadsheets/d/1BuTWp7qHGjWhqrnf-OmePP568O4A5Am9ttzvVdP67zw/edit#gid=1603210130"", ""TOURISM!$A$2:$F$2692""), {2,3,4,5,6},0))"),"Asia")</f>
        <v>Asia</v>
      </c>
      <c r="L116" s="14">
        <f>IFERROR(__xludf.DUMMYFUNCTION("""COMPUTED_VALUE"""),4.56E8)</f>
        <v>456000000</v>
      </c>
      <c r="M116" s="14" t="str">
        <f>IFERROR(__xludf.DUMMYFUNCTION("""COMPUTED_VALUE"""),"Armenia-Asia")</f>
        <v>Armenia-Asia</v>
      </c>
      <c r="N116" s="14" t="str">
        <f>IFERROR(__xludf.DUMMYFUNCTION("""COMPUTED_VALUE"""),"2010")</f>
        <v>2010</v>
      </c>
      <c r="O116" s="14">
        <f>IFERROR(__xludf.DUMMYFUNCTION("""COMPUTED_VALUE"""),4.66E8)</f>
        <v>466000000</v>
      </c>
      <c r="P116" s="15">
        <f>IFERROR(__xludf.DUMMYFUNCTION("ARRAYFORMULA(VLOOKUP(A116,IMPORTRANGE(""https://docs.google.com/spreadsheets/d/1BuTWp7qHGjWhqrnf-OmePP568O4A5Am9ttzvVdP67zw/edit#gid=771602874"" ,""HUMAN RESOURCES!$A$2:$M$2692""), {2,3,4,5,6,7,8,9,10,11,12,13},0))"),0.014)</f>
        <v>0.014</v>
      </c>
      <c r="Q116" s="14">
        <f>IFERROR(__xludf.DUMMYFUNCTION("""COMPUTED_VALUE"""),0.016)</f>
        <v>0.016</v>
      </c>
      <c r="R116" s="14">
        <f>IFERROR(__xludf.DUMMYFUNCTION("""COMPUTED_VALUE"""),78.0)</f>
        <v>78</v>
      </c>
      <c r="S116" s="14">
        <f>IFERROR(__xludf.DUMMYFUNCTION("""COMPUTED_VALUE"""),71.0)</f>
        <v>71</v>
      </c>
      <c r="T116" s="14">
        <f>IFERROR(__xludf.DUMMYFUNCTION("""COMPUTED_VALUE"""),0.205)</f>
        <v>0.205</v>
      </c>
      <c r="U116" s="14">
        <f>IFERROR(__xludf.DUMMYFUNCTION("""COMPUTED_VALUE"""),0.689)</f>
        <v>0.689</v>
      </c>
      <c r="V116" s="14">
        <f>IFERROR(__xludf.DUMMYFUNCTION("""COMPUTED_VALUE"""),0.105)</f>
        <v>0.105</v>
      </c>
      <c r="W116" s="14">
        <f>IFERROR(__xludf.DUMMYFUNCTION("""COMPUTED_VALUE"""),2963496.0)</f>
        <v>2963496</v>
      </c>
      <c r="X116" s="14">
        <f>IFERROR(__xludf.DUMMYFUNCTION("""COMPUTED_VALUE"""),0.636)</f>
        <v>0.636</v>
      </c>
      <c r="Y116" s="14" t="str">
        <f>IFERROR(__xludf.DUMMYFUNCTION("""COMPUTED_VALUE"""),"Armenia-Asia")</f>
        <v>Armenia-Asia</v>
      </c>
      <c r="Z116" s="14" t="str">
        <f>IFERROR(__xludf.DUMMYFUNCTION("""COMPUTED_VALUE"""),"Asia")</f>
        <v>Asia</v>
      </c>
      <c r="AA116" s="14" t="str">
        <f>IFERROR(__xludf.DUMMYFUNCTION("""COMPUTED_VALUE"""),"2010")</f>
        <v>2010</v>
      </c>
      <c r="AB116" s="15" t="str">
        <f>IFERROR(__xludf.DUMMYFUNCTION("ARRAYFORMULA(VLOOKUP(A116,IMPORTRANGE(""https://docs.google.com/spreadsheets/d/1BuTWp7qHGjWhqrnf-OmePP568O4A5Am9ttzvVdP67zw/edit#gid=1931367683"" ,""ENERGY!$A$2:$F$2692""), {2,3,4,5,6},0))"),"Asia")</f>
        <v>Asia</v>
      </c>
      <c r="AC116" s="14" t="str">
        <f>IFERROR(__xludf.DUMMYFUNCTION("""COMPUTED_VALUE"""),"Armenia-Asia")</f>
        <v>Armenia-Asia</v>
      </c>
      <c r="AD116" s="14" t="str">
        <f>IFERROR(__xludf.DUMMYFUNCTION("""COMPUTED_VALUE"""),"2012")</f>
        <v>2012</v>
      </c>
      <c r="AE116" s="14">
        <f>IFERROR(__xludf.DUMMYFUNCTION("""COMPUTED_VALUE"""),1876.0)</f>
        <v>1876</v>
      </c>
      <c r="AF116" s="14">
        <f>IFERROR(__xludf.DUMMYFUNCTION("""COMPUTED_VALUE"""),3044.0)</f>
        <v>3044</v>
      </c>
    </row>
    <row r="117">
      <c r="A117" s="12">
        <v>116.0</v>
      </c>
      <c r="B117" s="12" t="s">
        <v>86</v>
      </c>
      <c r="C117" s="5" t="s">
        <v>61</v>
      </c>
      <c r="D117" s="11">
        <v>0.388</v>
      </c>
      <c r="E117" s="11">
        <v>8.0</v>
      </c>
      <c r="F117" s="8"/>
      <c r="G117" s="11">
        <v>500.0</v>
      </c>
      <c r="H117" s="11">
        <v>0.32</v>
      </c>
      <c r="I117" s="11">
        <v>1.083</v>
      </c>
      <c r="J117" s="9" t="s">
        <v>72</v>
      </c>
      <c r="K117" s="14" t="str">
        <f>IFERROR(__xludf.DUMMYFUNCTION("ARRAYFORMULA(VLOOKUP(A117,IMPORTRANGE(""https://docs.google.com/spreadsheets/d/1BuTWp7qHGjWhqrnf-OmePP568O4A5Am9ttzvVdP67zw/edit#gid=1603210130"", ""TOURISM!$A$2:$F$2692""), {2,3,4,5,6},0))"),"Asia")</f>
        <v>Asia</v>
      </c>
      <c r="L117" s="14">
        <f>IFERROR(__xludf.DUMMYFUNCTION("""COMPUTED_VALUE"""),4.86E8)</f>
        <v>486000000</v>
      </c>
      <c r="M117" s="14" t="str">
        <f>IFERROR(__xludf.DUMMYFUNCTION("""COMPUTED_VALUE"""),"Armenia-Asia")</f>
        <v>Armenia-Asia</v>
      </c>
      <c r="N117" s="14" t="str">
        <f>IFERROR(__xludf.DUMMYFUNCTION("""COMPUTED_VALUE"""),"2011")</f>
        <v>2011</v>
      </c>
      <c r="O117" s="14">
        <f>IFERROR(__xludf.DUMMYFUNCTION("""COMPUTED_VALUE"""),5.46E8)</f>
        <v>546000000</v>
      </c>
      <c r="P117" s="15">
        <f>IFERROR(__xludf.DUMMYFUNCTION("ARRAYFORMULA(VLOOKUP(A117,IMPORTRANGE(""https://docs.google.com/spreadsheets/d/1BuTWp7qHGjWhqrnf-OmePP568O4A5Am9ttzvVdP67zw/edit#gid=771602874"" ,""HUMAN RESOURCES!$A$2:$M$2692""), {2,3,4,5,6,7,8,9,10,11,12,13},0))"),0.014)</f>
        <v>0.014</v>
      </c>
      <c r="Q117" s="14">
        <f>IFERROR(__xludf.DUMMYFUNCTION("""COMPUTED_VALUE"""),0.015)</f>
        <v>0.015</v>
      </c>
      <c r="R117" s="14">
        <f>IFERROR(__xludf.DUMMYFUNCTION("""COMPUTED_VALUE"""),78.0)</f>
        <v>78</v>
      </c>
      <c r="S117" s="14">
        <f>IFERROR(__xludf.DUMMYFUNCTION("""COMPUTED_VALUE"""),71.0)</f>
        <v>71</v>
      </c>
      <c r="T117" s="14">
        <f>IFERROR(__xludf.DUMMYFUNCTION("""COMPUTED_VALUE"""),0.204)</f>
        <v>0.204</v>
      </c>
      <c r="U117" s="14">
        <f>IFERROR(__xludf.DUMMYFUNCTION("""COMPUTED_VALUE"""),0.692)</f>
        <v>0.692</v>
      </c>
      <c r="V117" s="14">
        <f>IFERROR(__xludf.DUMMYFUNCTION("""COMPUTED_VALUE"""),0.104)</f>
        <v>0.104</v>
      </c>
      <c r="W117" s="14">
        <f>IFERROR(__xludf.DUMMYFUNCTION("""COMPUTED_VALUE"""),2964120.0)</f>
        <v>2964120</v>
      </c>
      <c r="X117" s="14">
        <f>IFERROR(__xludf.DUMMYFUNCTION("""COMPUTED_VALUE"""),0.634)</f>
        <v>0.634</v>
      </c>
      <c r="Y117" s="14" t="str">
        <f>IFERROR(__xludf.DUMMYFUNCTION("""COMPUTED_VALUE"""),"Armenia-Asia")</f>
        <v>Armenia-Asia</v>
      </c>
      <c r="Z117" s="14" t="str">
        <f>IFERROR(__xludf.DUMMYFUNCTION("""COMPUTED_VALUE"""),"Asia")</f>
        <v>Asia</v>
      </c>
      <c r="AA117" s="14" t="str">
        <f>IFERROR(__xludf.DUMMYFUNCTION("""COMPUTED_VALUE"""),"2011")</f>
        <v>2011</v>
      </c>
      <c r="AB117" s="15" t="str">
        <f>IFERROR(__xludf.DUMMYFUNCTION("ARRAYFORMULA(VLOOKUP(A117,IMPORTRANGE(""https://docs.google.com/spreadsheets/d/1BuTWp7qHGjWhqrnf-OmePP568O4A5Am9ttzvVdP67zw/edit#gid=1931367683"" ,""ENERGY!$A$2:$F$2692""), {2,3,4,5,6},0))"),"Asia")</f>
        <v>Asia</v>
      </c>
      <c r="AC117" s="14" t="str">
        <f>IFERROR(__xludf.DUMMYFUNCTION("""COMPUTED_VALUE"""),"Armenia-Asia")</f>
        <v>Armenia-Asia</v>
      </c>
      <c r="AD117" s="14" t="str">
        <f>IFERROR(__xludf.DUMMYFUNCTION("""COMPUTED_VALUE"""),"2011")</f>
        <v>2011</v>
      </c>
      <c r="AE117" s="14">
        <f>IFERROR(__xludf.DUMMYFUNCTION("""COMPUTED_VALUE"""),2006.0)</f>
        <v>2006</v>
      </c>
      <c r="AF117" s="14">
        <f>IFERROR(__xludf.DUMMYFUNCTION("""COMPUTED_VALUE"""),3542.0)</f>
        <v>3542</v>
      </c>
    </row>
    <row r="118">
      <c r="A118" s="12">
        <v>117.0</v>
      </c>
      <c r="B118" s="12" t="s">
        <v>86</v>
      </c>
      <c r="C118" s="5" t="s">
        <v>61</v>
      </c>
      <c r="D118" s="11">
        <v>0.388</v>
      </c>
      <c r="E118" s="11">
        <v>8.0</v>
      </c>
      <c r="F118" s="11">
        <v>40.0</v>
      </c>
      <c r="G118" s="11">
        <v>380.0</v>
      </c>
      <c r="H118" s="11">
        <v>0.392</v>
      </c>
      <c r="I118" s="11">
        <v>1.119</v>
      </c>
      <c r="J118" s="9" t="s">
        <v>73</v>
      </c>
      <c r="K118" s="14" t="str">
        <f>IFERROR(__xludf.DUMMYFUNCTION("ARRAYFORMULA(VLOOKUP(A118,IMPORTRANGE(""https://docs.google.com/spreadsheets/d/1BuTWp7qHGjWhqrnf-OmePP568O4A5Am9ttzvVdP67zw/edit#gid=1603210130"", ""TOURISM!$A$2:$F$2692""), {2,3,4,5,6},0))"),"Asia")</f>
        <v>Asia</v>
      </c>
      <c r="L118" s="14">
        <f>IFERROR(__xludf.DUMMYFUNCTION("""COMPUTED_VALUE"""),4.87E8)</f>
        <v>487000000</v>
      </c>
      <c r="M118" s="14" t="str">
        <f>IFERROR(__xludf.DUMMYFUNCTION("""COMPUTED_VALUE"""),"Armenia-Asia")</f>
        <v>Armenia-Asia</v>
      </c>
      <c r="N118" s="14" t="str">
        <f>IFERROR(__xludf.DUMMYFUNCTION("""COMPUTED_VALUE"""),"2012")</f>
        <v>2012</v>
      </c>
      <c r="O118" s="14">
        <f>IFERROR(__xludf.DUMMYFUNCTION("""COMPUTED_VALUE"""),5.56E8)</f>
        <v>556000000</v>
      </c>
      <c r="P118" s="15">
        <f>IFERROR(__xludf.DUMMYFUNCTION("ARRAYFORMULA(VLOOKUP(A118,IMPORTRANGE(""https://docs.google.com/spreadsheets/d/1BuTWp7qHGjWhqrnf-OmePP568O4A5Am9ttzvVdP67zw/edit#gid=771602874"" ,""HUMAN RESOURCES!$A$2:$M$2692""), {2,3,4,5,6,7,8,9,10,11,12,13},0))"),0.014)</f>
        <v>0.014</v>
      </c>
      <c r="Q118" s="14">
        <f>IFERROR(__xludf.DUMMYFUNCTION("""COMPUTED_VALUE"""),0.015)</f>
        <v>0.015</v>
      </c>
      <c r="R118" s="14">
        <f>IFERROR(__xludf.DUMMYFUNCTION("""COMPUTED_VALUE"""),78.0)</f>
        <v>78</v>
      </c>
      <c r="S118" s="14">
        <f>IFERROR(__xludf.DUMMYFUNCTION("""COMPUTED_VALUE"""),71.0)</f>
        <v>71</v>
      </c>
      <c r="T118" s="14">
        <f>IFERROR(__xludf.DUMMYFUNCTION("""COMPUTED_VALUE"""),0.203)</f>
        <v>0.203</v>
      </c>
      <c r="U118" s="14">
        <f>IFERROR(__xludf.DUMMYFUNCTION("""COMPUTED_VALUE"""),0.693)</f>
        <v>0.693</v>
      </c>
      <c r="V118" s="14">
        <f>IFERROR(__xludf.DUMMYFUNCTION("""COMPUTED_VALUE"""),0.103)</f>
        <v>0.103</v>
      </c>
      <c r="W118" s="14">
        <f>IFERROR(__xludf.DUMMYFUNCTION("""COMPUTED_VALUE"""),2969081.0)</f>
        <v>2969081</v>
      </c>
      <c r="X118" s="14">
        <f>IFERROR(__xludf.DUMMYFUNCTION("""COMPUTED_VALUE"""),0.632)</f>
        <v>0.632</v>
      </c>
      <c r="Y118" s="14" t="str">
        <f>IFERROR(__xludf.DUMMYFUNCTION("""COMPUTED_VALUE"""),"Armenia-Asia")</f>
        <v>Armenia-Asia</v>
      </c>
      <c r="Z118" s="14" t="str">
        <f>IFERROR(__xludf.DUMMYFUNCTION("""COMPUTED_VALUE"""),"Asia")</f>
        <v>Asia</v>
      </c>
      <c r="AA118" s="14" t="str">
        <f>IFERROR(__xludf.DUMMYFUNCTION("""COMPUTED_VALUE"""),"2012")</f>
        <v>2012</v>
      </c>
      <c r="AB118" s="15" t="str">
        <f>IFERROR(__xludf.DUMMYFUNCTION("ARRAYFORMULA(VLOOKUP(A118,IMPORTRANGE(""https://docs.google.com/spreadsheets/d/1BuTWp7qHGjWhqrnf-OmePP568O4A5Am9ttzvVdP67zw/edit#gid=1931367683"" ,""ENERGY!$A$2:$F$2692""), {2,3,4,5,6},0))"),"Asia")</f>
        <v>Asia</v>
      </c>
      <c r="AC118" s="14" t="str">
        <f>IFERROR(__xludf.DUMMYFUNCTION("""COMPUTED_VALUE"""),"Armenia-Asia")</f>
        <v>Armenia-Asia</v>
      </c>
      <c r="AD118" s="14" t="str">
        <f>IFERROR(__xludf.DUMMYFUNCTION("""COMPUTED_VALUE"""),"2008")</f>
        <v>2008</v>
      </c>
      <c r="AE118" s="14">
        <f>IFERROR(__xludf.DUMMYFUNCTION("""COMPUTED_VALUE"""),2015.0)</f>
        <v>2015</v>
      </c>
      <c r="AF118" s="14">
        <f>IFERROR(__xludf.DUMMYFUNCTION("""COMPUTED_VALUE"""),3465.0)</f>
        <v>3465</v>
      </c>
    </row>
    <row r="119">
      <c r="A119" s="12">
        <v>118.0</v>
      </c>
      <c r="B119" s="12" t="s">
        <v>87</v>
      </c>
      <c r="C119" s="5" t="s">
        <v>84</v>
      </c>
      <c r="D119" s="8"/>
      <c r="E119" s="8"/>
      <c r="F119" s="8"/>
      <c r="G119" s="8"/>
      <c r="H119" s="11">
        <v>0.154</v>
      </c>
      <c r="I119" s="11">
        <v>0.165</v>
      </c>
      <c r="J119" s="9" t="s">
        <v>60</v>
      </c>
      <c r="K119" s="14" t="str">
        <f>IFERROR(__xludf.DUMMYFUNCTION("ARRAYFORMULA(VLOOKUP(A119,IMPORTRANGE(""https://docs.google.com/spreadsheets/d/1BuTWp7qHGjWhqrnf-OmePP568O4A5Am9ttzvVdP67zw/edit#gid=1603210130"", ""TOURISM!$A$2:$F$2692""), {2,3,4,5,6},0))"),"The Americas")</f>
        <v>The Americas</v>
      </c>
      <c r="L119" s="14">
        <f>IFERROR(__xludf.DUMMYFUNCTION("""COMPUTED_VALUE"""),8.5E8)</f>
        <v>850000000</v>
      </c>
      <c r="M119" s="14" t="str">
        <f>IFERROR(__xludf.DUMMYFUNCTION("""COMPUTED_VALUE"""),"Aruba-The Americas")</f>
        <v>Aruba-The Americas</v>
      </c>
      <c r="N119" s="14" t="str">
        <f>IFERROR(__xludf.DUMMYFUNCTION("""COMPUTED_VALUE"""),"2000")</f>
        <v>2000</v>
      </c>
      <c r="O119" s="14">
        <f>IFERROR(__xludf.DUMMYFUNCTION("""COMPUTED_VALUE"""),1.63E8)</f>
        <v>163000000</v>
      </c>
      <c r="P119" s="15">
        <f>IFERROR(__xludf.DUMMYFUNCTION("ARRAYFORMULA(VLOOKUP(A119,IMPORTRANGE(""https://docs.google.com/spreadsheets/d/1BuTWp7qHGjWhqrnf-OmePP568O4A5Am9ttzvVdP67zw/edit#gid=771602874"" ,""HUMAN RESOURCES!$A$2:$M$2692""), {2,3,4,5,6,7,8,9,10,11,12,13},0))"),0.014)</f>
        <v>0.014</v>
      </c>
      <c r="Q119" s="14"/>
      <c r="R119" s="14">
        <f>IFERROR(__xludf.DUMMYFUNCTION("""COMPUTED_VALUE"""),76.0)</f>
        <v>76</v>
      </c>
      <c r="S119" s="14">
        <f>IFERROR(__xludf.DUMMYFUNCTION("""COMPUTED_VALUE"""),71.0)</f>
        <v>71</v>
      </c>
      <c r="T119" s="14">
        <f>IFERROR(__xludf.DUMMYFUNCTION("""COMPUTED_VALUE"""),0.232)</f>
        <v>0.232</v>
      </c>
      <c r="U119" s="14">
        <f>IFERROR(__xludf.DUMMYFUNCTION("""COMPUTED_VALUE"""),0.692)</f>
        <v>0.692</v>
      </c>
      <c r="V119" s="14">
        <f>IFERROR(__xludf.DUMMYFUNCTION("""COMPUTED_VALUE"""),0.076)</f>
        <v>0.076</v>
      </c>
      <c r="W119" s="14">
        <f>IFERROR(__xludf.DUMMYFUNCTION("""COMPUTED_VALUE"""),90858.0)</f>
        <v>90858</v>
      </c>
      <c r="X119" s="14">
        <f>IFERROR(__xludf.DUMMYFUNCTION("""COMPUTED_VALUE"""),0.467)</f>
        <v>0.467</v>
      </c>
      <c r="Y119" s="14" t="str">
        <f>IFERROR(__xludf.DUMMYFUNCTION("""COMPUTED_VALUE"""),"Aruba-The Americas")</f>
        <v>Aruba-The Americas</v>
      </c>
      <c r="Z119" s="14" t="str">
        <f>IFERROR(__xludf.DUMMYFUNCTION("""COMPUTED_VALUE"""),"The Americas")</f>
        <v>The Americas</v>
      </c>
      <c r="AA119" s="14" t="str">
        <f>IFERROR(__xludf.DUMMYFUNCTION("""COMPUTED_VALUE"""),"2000")</f>
        <v>2000</v>
      </c>
      <c r="AB119" s="15" t="str">
        <f>IFERROR(__xludf.DUMMYFUNCTION("ARRAYFORMULA(VLOOKUP(A119,IMPORTRANGE(""https://docs.google.com/spreadsheets/d/1BuTWp7qHGjWhqrnf-OmePP568O4A5Am9ttzvVdP67zw/edit#gid=1931367683"" ,""ENERGY!$A$2:$F$2692""), {2,3,4,5,6},0))"),"The Americas")</f>
        <v>The Americas</v>
      </c>
      <c r="AC119" s="14" t="str">
        <f>IFERROR(__xludf.DUMMYFUNCTION("""COMPUTED_VALUE"""),"Aruba-The Americas")</f>
        <v>Aruba-The Americas</v>
      </c>
      <c r="AD119" s="14" t="str">
        <f>IFERROR(__xludf.DUMMYFUNCTION("""COMPUTED_VALUE"""),"2000")</f>
        <v>2000</v>
      </c>
      <c r="AE119" s="14"/>
      <c r="AF119" s="14"/>
    </row>
    <row r="120">
      <c r="A120" s="12">
        <v>119.0</v>
      </c>
      <c r="B120" s="12" t="s">
        <v>87</v>
      </c>
      <c r="C120" s="5" t="s">
        <v>84</v>
      </c>
      <c r="D120" s="8"/>
      <c r="E120" s="8"/>
      <c r="F120" s="8"/>
      <c r="G120" s="8"/>
      <c r="H120" s="11">
        <v>0.171</v>
      </c>
      <c r="I120" s="11">
        <v>0.571</v>
      </c>
      <c r="J120" s="9" t="s">
        <v>62</v>
      </c>
      <c r="K120" s="14" t="str">
        <f>IFERROR(__xludf.DUMMYFUNCTION("ARRAYFORMULA(VLOOKUP(A120,IMPORTRANGE(""https://docs.google.com/spreadsheets/d/1BuTWp7qHGjWhqrnf-OmePP568O4A5Am9ttzvVdP67zw/edit#gid=1603210130"", ""TOURISM!$A$2:$F$2692""), {2,3,4,5,6},0))"),"The Americas")</f>
        <v>The Americas</v>
      </c>
      <c r="L120" s="14">
        <f>IFERROR(__xludf.DUMMYFUNCTION("""COMPUTED_VALUE"""),8.25E8)</f>
        <v>825000000</v>
      </c>
      <c r="M120" s="14" t="str">
        <f>IFERROR(__xludf.DUMMYFUNCTION("""COMPUTED_VALUE"""),"Aruba-The Americas")</f>
        <v>Aruba-The Americas</v>
      </c>
      <c r="N120" s="14" t="str">
        <f>IFERROR(__xludf.DUMMYFUNCTION("""COMPUTED_VALUE"""),"2001")</f>
        <v>2001</v>
      </c>
      <c r="O120" s="14">
        <f>IFERROR(__xludf.DUMMYFUNCTION("""COMPUTED_VALUE"""),1.56E8)</f>
        <v>156000000</v>
      </c>
      <c r="P120" s="15">
        <f>IFERROR(__xludf.DUMMYFUNCTION("ARRAYFORMULA(VLOOKUP(A120,IMPORTRANGE(""https://docs.google.com/spreadsheets/d/1BuTWp7qHGjWhqrnf-OmePP568O4A5Am9ttzvVdP67zw/edit#gid=771602874"" ,""HUMAN RESOURCES!$A$2:$M$2692""), {2,3,4,5,6,7,8,9,10,11,12,13},0))"),0.014)</f>
        <v>0.014</v>
      </c>
      <c r="Q120" s="14"/>
      <c r="R120" s="14">
        <f>IFERROR(__xludf.DUMMYFUNCTION("""COMPUTED_VALUE"""),76.0)</f>
        <v>76</v>
      </c>
      <c r="S120" s="14">
        <f>IFERROR(__xludf.DUMMYFUNCTION("""COMPUTED_VALUE"""),71.0)</f>
        <v>71</v>
      </c>
      <c r="T120" s="14">
        <f>IFERROR(__xludf.DUMMYFUNCTION("""COMPUTED_VALUE"""),0.229)</f>
        <v>0.229</v>
      </c>
      <c r="U120" s="14">
        <f>IFERROR(__xludf.DUMMYFUNCTION("""COMPUTED_VALUE"""),0.694)</f>
        <v>0.694</v>
      </c>
      <c r="V120" s="14">
        <f>IFERROR(__xludf.DUMMYFUNCTION("""COMPUTED_VALUE"""),0.078)</f>
        <v>0.078</v>
      </c>
      <c r="W120" s="14">
        <f>IFERROR(__xludf.DUMMYFUNCTION("""COMPUTED_VALUE"""),92894.0)</f>
        <v>92894</v>
      </c>
      <c r="X120" s="14">
        <f>IFERROR(__xludf.DUMMYFUNCTION("""COMPUTED_VALUE"""),0.463)</f>
        <v>0.463</v>
      </c>
      <c r="Y120" s="14" t="str">
        <f>IFERROR(__xludf.DUMMYFUNCTION("""COMPUTED_VALUE"""),"Aruba-The Americas")</f>
        <v>Aruba-The Americas</v>
      </c>
      <c r="Z120" s="14" t="str">
        <f>IFERROR(__xludf.DUMMYFUNCTION("""COMPUTED_VALUE"""),"The Americas")</f>
        <v>The Americas</v>
      </c>
      <c r="AA120" s="14" t="str">
        <f>IFERROR(__xludf.DUMMYFUNCTION("""COMPUTED_VALUE"""),"2001")</f>
        <v>2001</v>
      </c>
      <c r="AB120" s="15" t="str">
        <f>IFERROR(__xludf.DUMMYFUNCTION("ARRAYFORMULA(VLOOKUP(A120,IMPORTRANGE(""https://docs.google.com/spreadsheets/d/1BuTWp7qHGjWhqrnf-OmePP568O4A5Am9ttzvVdP67zw/edit#gid=1931367683"" ,""ENERGY!$A$2:$F$2692""), {2,3,4,5,6},0))"),"The Americas")</f>
        <v>The Americas</v>
      </c>
      <c r="AC120" s="14" t="str">
        <f>IFERROR(__xludf.DUMMYFUNCTION("""COMPUTED_VALUE"""),"Aruba-The Americas")</f>
        <v>Aruba-The Americas</v>
      </c>
      <c r="AD120" s="14" t="str">
        <f>IFERROR(__xludf.DUMMYFUNCTION("""COMPUTED_VALUE"""),"2001")</f>
        <v>2001</v>
      </c>
      <c r="AE120" s="14"/>
      <c r="AF120" s="14"/>
    </row>
    <row r="121">
      <c r="A121" s="12">
        <v>120.0</v>
      </c>
      <c r="B121" s="12" t="s">
        <v>87</v>
      </c>
      <c r="C121" s="5" t="s">
        <v>84</v>
      </c>
      <c r="D121" s="8"/>
      <c r="E121" s="8"/>
      <c r="F121" s="8"/>
      <c r="G121" s="8"/>
      <c r="H121" s="11">
        <v>0.188</v>
      </c>
      <c r="I121" s="11">
        <v>0.651</v>
      </c>
      <c r="J121" s="9" t="s">
        <v>63</v>
      </c>
      <c r="K121" s="14" t="str">
        <f>IFERROR(__xludf.DUMMYFUNCTION("ARRAYFORMULA(VLOOKUP(A121,IMPORTRANGE(""https://docs.google.com/spreadsheets/d/1BuTWp7qHGjWhqrnf-OmePP568O4A5Am9ttzvVdP67zw/edit#gid=1603210130"", ""TOURISM!$A$2:$F$2692""), {2,3,4,5,6},0))"),"The Americas")</f>
        <v>The Americas</v>
      </c>
      <c r="L121" s="14">
        <f>IFERROR(__xludf.DUMMYFUNCTION("""COMPUTED_VALUE"""),8.35E8)</f>
        <v>835000000</v>
      </c>
      <c r="M121" s="14" t="str">
        <f>IFERROR(__xludf.DUMMYFUNCTION("""COMPUTED_VALUE"""),"Aruba-The Americas")</f>
        <v>Aruba-The Americas</v>
      </c>
      <c r="N121" s="14" t="str">
        <f>IFERROR(__xludf.DUMMYFUNCTION("""COMPUTED_VALUE"""),"2002")</f>
        <v>2002</v>
      </c>
      <c r="O121" s="14">
        <f>IFERROR(__xludf.DUMMYFUNCTION("""COMPUTED_VALUE"""),1.72E8)</f>
        <v>172000000</v>
      </c>
      <c r="P121" s="15">
        <f>IFERROR(__xludf.DUMMYFUNCTION("ARRAYFORMULA(VLOOKUP(A121,IMPORTRANGE(""https://docs.google.com/spreadsheets/d/1BuTWp7qHGjWhqrnf-OmePP568O4A5Am9ttzvVdP67zw/edit#gid=771602874"" ,""HUMAN RESOURCES!$A$2:$M$2692""), {2,3,4,5,6,7,8,9,10,11,12,13},0))"),0.013)</f>
        <v>0.013</v>
      </c>
      <c r="Q121" s="14"/>
      <c r="R121" s="14">
        <f>IFERROR(__xludf.DUMMYFUNCTION("""COMPUTED_VALUE"""),76.0)</f>
        <v>76</v>
      </c>
      <c r="S121" s="14">
        <f>IFERROR(__xludf.DUMMYFUNCTION("""COMPUTED_VALUE"""),71.0)</f>
        <v>71</v>
      </c>
      <c r="T121" s="14">
        <f>IFERROR(__xludf.DUMMYFUNCTION("""COMPUTED_VALUE"""),0.225)</f>
        <v>0.225</v>
      </c>
      <c r="U121" s="14">
        <f>IFERROR(__xludf.DUMMYFUNCTION("""COMPUTED_VALUE"""),0.695)</f>
        <v>0.695</v>
      </c>
      <c r="V121" s="14">
        <f>IFERROR(__xludf.DUMMYFUNCTION("""COMPUTED_VALUE"""),0.079)</f>
        <v>0.079</v>
      </c>
      <c r="W121" s="14">
        <f>IFERROR(__xludf.DUMMYFUNCTION("""COMPUTED_VALUE"""),94995.0)</f>
        <v>94995</v>
      </c>
      <c r="X121" s="14">
        <f>IFERROR(__xludf.DUMMYFUNCTION("""COMPUTED_VALUE"""),0.46)</f>
        <v>0.46</v>
      </c>
      <c r="Y121" s="14" t="str">
        <f>IFERROR(__xludf.DUMMYFUNCTION("""COMPUTED_VALUE"""),"Aruba-The Americas")</f>
        <v>Aruba-The Americas</v>
      </c>
      <c r="Z121" s="14" t="str">
        <f>IFERROR(__xludf.DUMMYFUNCTION("""COMPUTED_VALUE"""),"The Americas")</f>
        <v>The Americas</v>
      </c>
      <c r="AA121" s="14" t="str">
        <f>IFERROR(__xludf.DUMMYFUNCTION("""COMPUTED_VALUE"""),"2002")</f>
        <v>2002</v>
      </c>
      <c r="AB121" s="15" t="str">
        <f>IFERROR(__xludf.DUMMYFUNCTION("ARRAYFORMULA(VLOOKUP(A121,IMPORTRANGE(""https://docs.google.com/spreadsheets/d/1BuTWp7qHGjWhqrnf-OmePP568O4A5Am9ttzvVdP67zw/edit#gid=1931367683"" ,""ENERGY!$A$2:$F$2692""), {2,3,4,5,6},0))"),"The Americas")</f>
        <v>The Americas</v>
      </c>
      <c r="AC121" s="14" t="str">
        <f>IFERROR(__xludf.DUMMYFUNCTION("""COMPUTED_VALUE"""),"Aruba-The Americas")</f>
        <v>Aruba-The Americas</v>
      </c>
      <c r="AD121" s="14" t="str">
        <f>IFERROR(__xludf.DUMMYFUNCTION("""COMPUTED_VALUE"""),"2002")</f>
        <v>2002</v>
      </c>
      <c r="AE121" s="14"/>
      <c r="AF121" s="14">
        <f>IFERROR(__xludf.DUMMYFUNCTION("""COMPUTED_VALUE"""),2321.0)</f>
        <v>2321</v>
      </c>
    </row>
    <row r="122">
      <c r="A122" s="12">
        <v>121.0</v>
      </c>
      <c r="B122" s="12" t="s">
        <v>87</v>
      </c>
      <c r="C122" s="5" t="s">
        <v>84</v>
      </c>
      <c r="D122" s="8"/>
      <c r="E122" s="8"/>
      <c r="F122" s="8"/>
      <c r="G122" s="8"/>
      <c r="H122" s="11">
        <v>0.208</v>
      </c>
      <c r="I122" s="11">
        <v>0.721</v>
      </c>
      <c r="J122" s="9" t="s">
        <v>64</v>
      </c>
      <c r="K122" s="14" t="str">
        <f>IFERROR(__xludf.DUMMYFUNCTION("ARRAYFORMULA(VLOOKUP(A122,IMPORTRANGE(""https://docs.google.com/spreadsheets/d/1BuTWp7qHGjWhqrnf-OmePP568O4A5Am9ttzvVdP67zw/edit#gid=1603210130"", ""TOURISM!$A$2:$F$2692""), {2,3,4,5,6},0))"),"The Americas")</f>
        <v>The Americas</v>
      </c>
      <c r="L122" s="14">
        <f>IFERROR(__xludf.DUMMYFUNCTION("""COMPUTED_VALUE"""),8.58E8)</f>
        <v>858000000</v>
      </c>
      <c r="M122" s="14" t="str">
        <f>IFERROR(__xludf.DUMMYFUNCTION("""COMPUTED_VALUE"""),"Aruba-The Americas")</f>
        <v>Aruba-The Americas</v>
      </c>
      <c r="N122" s="14" t="str">
        <f>IFERROR(__xludf.DUMMYFUNCTION("""COMPUTED_VALUE"""),"2003")</f>
        <v>2003</v>
      </c>
      <c r="O122" s="14">
        <f>IFERROR(__xludf.DUMMYFUNCTION("""COMPUTED_VALUE"""),2.13E8)</f>
        <v>213000000</v>
      </c>
      <c r="P122" s="15">
        <f>IFERROR(__xludf.DUMMYFUNCTION("ARRAYFORMULA(VLOOKUP(A122,IMPORTRANGE(""https://docs.google.com/spreadsheets/d/1BuTWp7qHGjWhqrnf-OmePP568O4A5Am9ttzvVdP67zw/edit#gid=771602874"" ,""HUMAN RESOURCES!$A$2:$M$2692""), {2,3,4,5,6,7,8,9,10,11,12,13},0))"),0.013)</f>
        <v>0.013</v>
      </c>
      <c r="Q122" s="14"/>
      <c r="R122" s="14">
        <f>IFERROR(__xludf.DUMMYFUNCTION("""COMPUTED_VALUE"""),76.0)</f>
        <v>76</v>
      </c>
      <c r="S122" s="14">
        <f>IFERROR(__xludf.DUMMYFUNCTION("""COMPUTED_VALUE"""),72.0)</f>
        <v>72</v>
      </c>
      <c r="T122" s="14">
        <f>IFERROR(__xludf.DUMMYFUNCTION("""COMPUTED_VALUE"""),0.221)</f>
        <v>0.221</v>
      </c>
      <c r="U122" s="14">
        <f>IFERROR(__xludf.DUMMYFUNCTION("""COMPUTED_VALUE"""),0.698)</f>
        <v>0.698</v>
      </c>
      <c r="V122" s="14">
        <f>IFERROR(__xludf.DUMMYFUNCTION("""COMPUTED_VALUE"""),0.081)</f>
        <v>0.081</v>
      </c>
      <c r="W122" s="14">
        <f>IFERROR(__xludf.DUMMYFUNCTION("""COMPUTED_VALUE"""),97015.0)</f>
        <v>97015</v>
      </c>
      <c r="X122" s="14">
        <f>IFERROR(__xludf.DUMMYFUNCTION("""COMPUTED_VALUE"""),0.456)</f>
        <v>0.456</v>
      </c>
      <c r="Y122" s="14" t="str">
        <f>IFERROR(__xludf.DUMMYFUNCTION("""COMPUTED_VALUE"""),"Aruba-The Americas")</f>
        <v>Aruba-The Americas</v>
      </c>
      <c r="Z122" s="14" t="str">
        <f>IFERROR(__xludf.DUMMYFUNCTION("""COMPUTED_VALUE"""),"The Americas")</f>
        <v>The Americas</v>
      </c>
      <c r="AA122" s="14" t="str">
        <f>IFERROR(__xludf.DUMMYFUNCTION("""COMPUTED_VALUE"""),"2003")</f>
        <v>2003</v>
      </c>
      <c r="AB122" s="15" t="str">
        <f>IFERROR(__xludf.DUMMYFUNCTION("ARRAYFORMULA(VLOOKUP(A122,IMPORTRANGE(""https://docs.google.com/spreadsheets/d/1BuTWp7qHGjWhqrnf-OmePP568O4A5Am9ttzvVdP67zw/edit#gid=1931367683"" ,""ENERGY!$A$2:$F$2692""), {2,3,4,5,6},0))"),"The Americas")</f>
        <v>The Americas</v>
      </c>
      <c r="AC122" s="14" t="str">
        <f>IFERROR(__xludf.DUMMYFUNCTION("""COMPUTED_VALUE"""),"Aruba-The Americas")</f>
        <v>Aruba-The Americas</v>
      </c>
      <c r="AD122" s="14" t="str">
        <f>IFERROR(__xludf.DUMMYFUNCTION("""COMPUTED_VALUE"""),"2003")</f>
        <v>2003</v>
      </c>
      <c r="AE122" s="14"/>
      <c r="AF122" s="14">
        <f>IFERROR(__xludf.DUMMYFUNCTION("""COMPUTED_VALUE"""),2296.0)</f>
        <v>2296</v>
      </c>
    </row>
    <row r="123">
      <c r="A123" s="12">
        <v>122.0</v>
      </c>
      <c r="B123" s="12" t="s">
        <v>87</v>
      </c>
      <c r="C123" s="5" t="s">
        <v>84</v>
      </c>
      <c r="D123" s="8"/>
      <c r="E123" s="8"/>
      <c r="F123" s="8"/>
      <c r="G123" s="8"/>
      <c r="H123" s="11">
        <v>0.23</v>
      </c>
      <c r="I123" s="11">
        <v>0.996</v>
      </c>
      <c r="J123" s="9" t="s">
        <v>65</v>
      </c>
      <c r="K123" s="14" t="str">
        <f>IFERROR(__xludf.DUMMYFUNCTION("ARRAYFORMULA(VLOOKUP(A123,IMPORTRANGE(""https://docs.google.com/spreadsheets/d/1BuTWp7qHGjWhqrnf-OmePP568O4A5Am9ttzvVdP67zw/edit#gid=1603210130"", ""TOURISM!$A$2:$F$2692""), {2,3,4,5,6},0))"),"The Americas")</f>
        <v>The Americas</v>
      </c>
      <c r="L123" s="14">
        <f>IFERROR(__xludf.DUMMYFUNCTION("""COMPUTED_VALUE"""),1.056E9)</f>
        <v>1056000000</v>
      </c>
      <c r="M123" s="14" t="str">
        <f>IFERROR(__xludf.DUMMYFUNCTION("""COMPUTED_VALUE"""),"Aruba-The Americas")</f>
        <v>Aruba-The Americas</v>
      </c>
      <c r="N123" s="14" t="str">
        <f>IFERROR(__xludf.DUMMYFUNCTION("""COMPUTED_VALUE"""),"2004")</f>
        <v>2004</v>
      </c>
      <c r="O123" s="14">
        <f>IFERROR(__xludf.DUMMYFUNCTION("""COMPUTED_VALUE"""),2.48E8)</f>
        <v>248000000</v>
      </c>
      <c r="P123" s="15">
        <f>IFERROR(__xludf.DUMMYFUNCTION("ARRAYFORMULA(VLOOKUP(A123,IMPORTRANGE(""https://docs.google.com/spreadsheets/d/1BuTWp7qHGjWhqrnf-OmePP568O4A5Am9ttzvVdP67zw/edit#gid=771602874"" ,""HUMAN RESOURCES!$A$2:$M$2692""), {2,3,4,5,6,7,8,9,10,11,12,13},0))"),0.013)</f>
        <v>0.013</v>
      </c>
      <c r="Q123" s="14"/>
      <c r="R123" s="14">
        <f>IFERROR(__xludf.DUMMYFUNCTION("""COMPUTED_VALUE"""),77.0)</f>
        <v>77</v>
      </c>
      <c r="S123" s="14">
        <f>IFERROR(__xludf.DUMMYFUNCTION("""COMPUTED_VALUE"""),72.0)</f>
        <v>72</v>
      </c>
      <c r="T123" s="14">
        <f>IFERROR(__xludf.DUMMYFUNCTION("""COMPUTED_VALUE"""),0.217)</f>
        <v>0.217</v>
      </c>
      <c r="U123" s="14">
        <f>IFERROR(__xludf.DUMMYFUNCTION("""COMPUTED_VALUE"""),0.699)</f>
        <v>0.699</v>
      </c>
      <c r="V123" s="14">
        <f>IFERROR(__xludf.DUMMYFUNCTION("""COMPUTED_VALUE"""),0.083)</f>
        <v>0.083</v>
      </c>
      <c r="W123" s="14">
        <f>IFERROR(__xludf.DUMMYFUNCTION("""COMPUTED_VALUE"""),98742.0)</f>
        <v>98742</v>
      </c>
      <c r="X123" s="14">
        <f>IFERROR(__xludf.DUMMYFUNCTION("""COMPUTED_VALUE"""),0.452)</f>
        <v>0.452</v>
      </c>
      <c r="Y123" s="14" t="str">
        <f>IFERROR(__xludf.DUMMYFUNCTION("""COMPUTED_VALUE"""),"Aruba-The Americas")</f>
        <v>Aruba-The Americas</v>
      </c>
      <c r="Z123" s="14" t="str">
        <f>IFERROR(__xludf.DUMMYFUNCTION("""COMPUTED_VALUE"""),"The Americas")</f>
        <v>The Americas</v>
      </c>
      <c r="AA123" s="14" t="str">
        <f>IFERROR(__xludf.DUMMYFUNCTION("""COMPUTED_VALUE"""),"2004")</f>
        <v>2004</v>
      </c>
      <c r="AB123" s="15" t="str">
        <f>IFERROR(__xludf.DUMMYFUNCTION("ARRAYFORMULA(VLOOKUP(A123,IMPORTRANGE(""https://docs.google.com/spreadsheets/d/1BuTWp7qHGjWhqrnf-OmePP568O4A5Am9ttzvVdP67zw/edit#gid=1931367683"" ,""ENERGY!$A$2:$F$2692""), {2,3,4,5,6},0))"),"The Americas")</f>
        <v>The Americas</v>
      </c>
      <c r="AC123" s="14" t="str">
        <f>IFERROR(__xludf.DUMMYFUNCTION("""COMPUTED_VALUE"""),"Aruba-The Americas")</f>
        <v>Aruba-The Americas</v>
      </c>
      <c r="AD123" s="14" t="str">
        <f>IFERROR(__xludf.DUMMYFUNCTION("""COMPUTED_VALUE"""),"2004")</f>
        <v>2004</v>
      </c>
      <c r="AE123" s="14"/>
      <c r="AF123" s="14">
        <f>IFERROR(__xludf.DUMMYFUNCTION("""COMPUTED_VALUE"""),2288.0)</f>
        <v>2288</v>
      </c>
    </row>
    <row r="124">
      <c r="A124" s="12">
        <v>123.0</v>
      </c>
      <c r="B124" s="12" t="s">
        <v>87</v>
      </c>
      <c r="C124" s="5" t="s">
        <v>84</v>
      </c>
      <c r="D124" s="8"/>
      <c r="E124" s="8"/>
      <c r="F124" s="8"/>
      <c r="G124" s="8"/>
      <c r="H124" s="11">
        <v>0.254</v>
      </c>
      <c r="I124" s="11">
        <v>1.034</v>
      </c>
      <c r="J124" s="9" t="s">
        <v>66</v>
      </c>
      <c r="K124" s="14" t="str">
        <f>IFERROR(__xludf.DUMMYFUNCTION("ARRAYFORMULA(VLOOKUP(A124,IMPORTRANGE(""https://docs.google.com/spreadsheets/d/1BuTWp7qHGjWhqrnf-OmePP568O4A5Am9ttzvVdP67zw/edit#gid=1603210130"", ""TOURISM!$A$2:$F$2692""), {2,3,4,5,6},0))"),"The Americas")</f>
        <v>The Americas</v>
      </c>
      <c r="L124" s="14">
        <f>IFERROR(__xludf.DUMMYFUNCTION("""COMPUTED_VALUE"""),1.097E9)</f>
        <v>1097000000</v>
      </c>
      <c r="M124" s="14" t="str">
        <f>IFERROR(__xludf.DUMMYFUNCTION("""COMPUTED_VALUE"""),"Aruba-The Americas")</f>
        <v>Aruba-The Americas</v>
      </c>
      <c r="N124" s="14" t="str">
        <f>IFERROR(__xludf.DUMMYFUNCTION("""COMPUTED_VALUE"""),"2005")</f>
        <v>2005</v>
      </c>
      <c r="O124" s="14">
        <f>IFERROR(__xludf.DUMMYFUNCTION("""COMPUTED_VALUE"""),2.5E8)</f>
        <v>250000000</v>
      </c>
      <c r="P124" s="15">
        <f>IFERROR(__xludf.DUMMYFUNCTION("ARRAYFORMULA(VLOOKUP(A124,IMPORTRANGE(""https://docs.google.com/spreadsheets/d/1BuTWp7qHGjWhqrnf-OmePP568O4A5Am9ttzvVdP67zw/edit#gid=771602874"" ,""HUMAN RESOURCES!$A$2:$M$2692""), {2,3,4,5,6,7,8,9,10,11,12,13},0))"),0.012)</f>
        <v>0.012</v>
      </c>
      <c r="Q124" s="14"/>
      <c r="R124" s="14">
        <f>IFERROR(__xludf.DUMMYFUNCTION("""COMPUTED_VALUE"""),77.0)</f>
        <v>77</v>
      </c>
      <c r="S124" s="14">
        <f>IFERROR(__xludf.DUMMYFUNCTION("""COMPUTED_VALUE"""),72.0)</f>
        <v>72</v>
      </c>
      <c r="T124" s="14">
        <f>IFERROR(__xludf.DUMMYFUNCTION("""COMPUTED_VALUE"""),0.215)</f>
        <v>0.215</v>
      </c>
      <c r="U124" s="14">
        <f>IFERROR(__xludf.DUMMYFUNCTION("""COMPUTED_VALUE"""),0.699)</f>
        <v>0.699</v>
      </c>
      <c r="V124" s="14">
        <f>IFERROR(__xludf.DUMMYFUNCTION("""COMPUTED_VALUE"""),0.086)</f>
        <v>0.086</v>
      </c>
      <c r="W124" s="14">
        <f>IFERROR(__xludf.DUMMYFUNCTION("""COMPUTED_VALUE"""),100031.0)</f>
        <v>100031</v>
      </c>
      <c r="X124" s="14">
        <f>IFERROR(__xludf.DUMMYFUNCTION("""COMPUTED_VALUE"""),0.449)</f>
        <v>0.449</v>
      </c>
      <c r="Y124" s="14" t="str">
        <f>IFERROR(__xludf.DUMMYFUNCTION("""COMPUTED_VALUE"""),"Aruba-The Americas")</f>
        <v>Aruba-The Americas</v>
      </c>
      <c r="Z124" s="14" t="str">
        <f>IFERROR(__xludf.DUMMYFUNCTION("""COMPUTED_VALUE"""),"The Americas")</f>
        <v>The Americas</v>
      </c>
      <c r="AA124" s="14" t="str">
        <f>IFERROR(__xludf.DUMMYFUNCTION("""COMPUTED_VALUE"""),"2005")</f>
        <v>2005</v>
      </c>
      <c r="AB124" s="15" t="str">
        <f>IFERROR(__xludf.DUMMYFUNCTION("ARRAYFORMULA(VLOOKUP(A124,IMPORTRANGE(""https://docs.google.com/spreadsheets/d/1BuTWp7qHGjWhqrnf-OmePP568O4A5Am9ttzvVdP67zw/edit#gid=1931367683"" ,""ENERGY!$A$2:$F$2692""), {2,3,4,5,6},0))"),"The Americas")</f>
        <v>The Americas</v>
      </c>
      <c r="AC124" s="14" t="str">
        <f>IFERROR(__xludf.DUMMYFUNCTION("""COMPUTED_VALUE"""),"Aruba-The Americas")</f>
        <v>Aruba-The Americas</v>
      </c>
      <c r="AD124" s="14" t="str">
        <f>IFERROR(__xludf.DUMMYFUNCTION("""COMPUTED_VALUE"""),"2005")</f>
        <v>2005</v>
      </c>
      <c r="AE124" s="14"/>
      <c r="AF124" s="14">
        <f>IFERROR(__xludf.DUMMYFUNCTION("""COMPUTED_VALUE"""),2358.0)</f>
        <v>2358</v>
      </c>
    </row>
    <row r="125">
      <c r="A125" s="12">
        <v>124.0</v>
      </c>
      <c r="B125" s="12" t="s">
        <v>87</v>
      </c>
      <c r="C125" s="5" t="s">
        <v>84</v>
      </c>
      <c r="D125" s="8"/>
      <c r="E125" s="8"/>
      <c r="F125" s="8"/>
      <c r="G125" s="8"/>
      <c r="H125" s="11">
        <v>0.28</v>
      </c>
      <c r="I125" s="11">
        <v>1.081</v>
      </c>
      <c r="J125" s="9" t="s">
        <v>67</v>
      </c>
      <c r="K125" s="14" t="str">
        <f>IFERROR(__xludf.DUMMYFUNCTION("ARRAYFORMULA(VLOOKUP(A125,IMPORTRANGE(""https://docs.google.com/spreadsheets/d/1BuTWp7qHGjWhqrnf-OmePP568O4A5Am9ttzvVdP67zw/edit#gid=1603210130"", ""TOURISM!$A$2:$F$2692""), {2,3,4,5,6},0))"),"The Americas")</f>
        <v>The Americas</v>
      </c>
      <c r="L125" s="14">
        <f>IFERROR(__xludf.DUMMYFUNCTION("""COMPUTED_VALUE"""),1.064E9)</f>
        <v>1064000000</v>
      </c>
      <c r="M125" s="14" t="str">
        <f>IFERROR(__xludf.DUMMYFUNCTION("""COMPUTED_VALUE"""),"Aruba-The Americas")</f>
        <v>Aruba-The Americas</v>
      </c>
      <c r="N125" s="14" t="str">
        <f>IFERROR(__xludf.DUMMYFUNCTION("""COMPUTED_VALUE"""),"2006")</f>
        <v>2006</v>
      </c>
      <c r="O125" s="14">
        <f>IFERROR(__xludf.DUMMYFUNCTION("""COMPUTED_VALUE"""),2.41E8)</f>
        <v>241000000</v>
      </c>
      <c r="P125" s="15">
        <f>IFERROR(__xludf.DUMMYFUNCTION("ARRAYFORMULA(VLOOKUP(A125,IMPORTRANGE(""https://docs.google.com/spreadsheets/d/1BuTWp7qHGjWhqrnf-OmePP568O4A5Am9ttzvVdP67zw/edit#gid=771602874"" ,""HUMAN RESOURCES!$A$2:$M$2692""), {2,3,4,5,6,7,8,9,10,11,12,13},0))"),0.012)</f>
        <v>0.012</v>
      </c>
      <c r="Q125" s="14"/>
      <c r="R125" s="14">
        <f>IFERROR(__xludf.DUMMYFUNCTION("""COMPUTED_VALUE"""),77.0)</f>
        <v>77</v>
      </c>
      <c r="S125" s="14">
        <f>IFERROR(__xludf.DUMMYFUNCTION("""COMPUTED_VALUE"""),72.0)</f>
        <v>72</v>
      </c>
      <c r="T125" s="14">
        <f>IFERROR(__xludf.DUMMYFUNCTION("""COMPUTED_VALUE"""),0.213)</f>
        <v>0.213</v>
      </c>
      <c r="U125" s="14">
        <f>IFERROR(__xludf.DUMMYFUNCTION("""COMPUTED_VALUE"""),0.698)</f>
        <v>0.698</v>
      </c>
      <c r="V125" s="14">
        <f>IFERROR(__xludf.DUMMYFUNCTION("""COMPUTED_VALUE"""),0.089)</f>
        <v>0.089</v>
      </c>
      <c r="W125" s="14">
        <f>IFERROR(__xludf.DUMMYFUNCTION("""COMPUTED_VALUE"""),100830.0)</f>
        <v>100830</v>
      </c>
      <c r="X125" s="14">
        <f>IFERROR(__xludf.DUMMYFUNCTION("""COMPUTED_VALUE"""),0.445)</f>
        <v>0.445</v>
      </c>
      <c r="Y125" s="14" t="str">
        <f>IFERROR(__xludf.DUMMYFUNCTION("""COMPUTED_VALUE"""),"Aruba-The Americas")</f>
        <v>Aruba-The Americas</v>
      </c>
      <c r="Z125" s="14" t="str">
        <f>IFERROR(__xludf.DUMMYFUNCTION("""COMPUTED_VALUE"""),"The Americas")</f>
        <v>The Americas</v>
      </c>
      <c r="AA125" s="14" t="str">
        <f>IFERROR(__xludf.DUMMYFUNCTION("""COMPUTED_VALUE"""),"2006")</f>
        <v>2006</v>
      </c>
      <c r="AB125" s="15" t="str">
        <f>IFERROR(__xludf.DUMMYFUNCTION("ARRAYFORMULA(VLOOKUP(A125,IMPORTRANGE(""https://docs.google.com/spreadsheets/d/1BuTWp7qHGjWhqrnf-OmePP568O4A5Am9ttzvVdP67zw/edit#gid=1931367683"" ,""ENERGY!$A$2:$F$2692""), {2,3,4,5,6},0))"),"The Americas")</f>
        <v>The Americas</v>
      </c>
      <c r="AC125" s="14" t="str">
        <f>IFERROR(__xludf.DUMMYFUNCTION("""COMPUTED_VALUE"""),"Aruba-The Americas")</f>
        <v>Aruba-The Americas</v>
      </c>
      <c r="AD125" s="14" t="str">
        <f>IFERROR(__xludf.DUMMYFUNCTION("""COMPUTED_VALUE"""),"2009")</f>
        <v>2009</v>
      </c>
      <c r="AE125" s="14"/>
      <c r="AF125" s="14">
        <f>IFERROR(__xludf.DUMMYFUNCTION("""COMPUTED_VALUE"""),2274.0)</f>
        <v>2274</v>
      </c>
    </row>
    <row r="126">
      <c r="A126" s="12">
        <v>125.0</v>
      </c>
      <c r="B126" s="12" t="s">
        <v>87</v>
      </c>
      <c r="C126" s="5" t="s">
        <v>84</v>
      </c>
      <c r="D126" s="8"/>
      <c r="E126" s="8"/>
      <c r="F126" s="8"/>
      <c r="G126" s="8"/>
      <c r="H126" s="11">
        <v>0.309</v>
      </c>
      <c r="I126" s="11">
        <v>1.122</v>
      </c>
      <c r="J126" s="9" t="s">
        <v>68</v>
      </c>
      <c r="K126" s="14" t="str">
        <f>IFERROR(__xludf.DUMMYFUNCTION("ARRAYFORMULA(VLOOKUP(A126,IMPORTRANGE(""https://docs.google.com/spreadsheets/d/1BuTWp7qHGjWhqrnf-OmePP568O4A5Am9ttzvVdP67zw/edit#gid=1603210130"", ""TOURISM!$A$2:$F$2692""), {2,3,4,5,6},0))"),"The Americas")</f>
        <v>The Americas</v>
      </c>
      <c r="L126" s="14">
        <f>IFERROR(__xludf.DUMMYFUNCTION("""COMPUTED_VALUE"""),1.213E9)</f>
        <v>1213000000</v>
      </c>
      <c r="M126" s="14" t="str">
        <f>IFERROR(__xludf.DUMMYFUNCTION("""COMPUTED_VALUE"""),"Aruba-The Americas")</f>
        <v>Aruba-The Americas</v>
      </c>
      <c r="N126" s="14" t="str">
        <f>IFERROR(__xludf.DUMMYFUNCTION("""COMPUTED_VALUE"""),"2007")</f>
        <v>2007</v>
      </c>
      <c r="O126" s="14">
        <f>IFERROR(__xludf.DUMMYFUNCTION("""COMPUTED_VALUE"""),2.7E8)</f>
        <v>270000000</v>
      </c>
      <c r="P126" s="15">
        <f>IFERROR(__xludf.DUMMYFUNCTION("ARRAYFORMULA(VLOOKUP(A126,IMPORTRANGE(""https://docs.google.com/spreadsheets/d/1BuTWp7qHGjWhqrnf-OmePP568O4A5Am9ttzvVdP67zw/edit#gid=771602874"" ,""HUMAN RESOURCES!$A$2:$M$2692""), {2,3,4,5,6,7,8,9,10,11,12,13},0))"),0.012)</f>
        <v>0.012</v>
      </c>
      <c r="Q126" s="14"/>
      <c r="R126" s="14">
        <f>IFERROR(__xludf.DUMMYFUNCTION("""COMPUTED_VALUE"""),77.0)</f>
        <v>77</v>
      </c>
      <c r="S126" s="14">
        <f>IFERROR(__xludf.DUMMYFUNCTION("""COMPUTED_VALUE"""),72.0)</f>
        <v>72</v>
      </c>
      <c r="T126" s="14">
        <f>IFERROR(__xludf.DUMMYFUNCTION("""COMPUTED_VALUE"""),0.212)</f>
        <v>0.212</v>
      </c>
      <c r="U126" s="14">
        <f>IFERROR(__xludf.DUMMYFUNCTION("""COMPUTED_VALUE"""),0.696)</f>
        <v>0.696</v>
      </c>
      <c r="V126" s="14">
        <f>IFERROR(__xludf.DUMMYFUNCTION("""COMPUTED_VALUE"""),0.092)</f>
        <v>0.092</v>
      </c>
      <c r="W126" s="14">
        <f>IFERROR(__xludf.DUMMYFUNCTION("""COMPUTED_VALUE"""),101219.0)</f>
        <v>101219</v>
      </c>
      <c r="X126" s="14">
        <f>IFERROR(__xludf.DUMMYFUNCTION("""COMPUTED_VALUE"""),0.441)</f>
        <v>0.441</v>
      </c>
      <c r="Y126" s="14" t="str">
        <f>IFERROR(__xludf.DUMMYFUNCTION("""COMPUTED_VALUE"""),"Aruba-The Americas")</f>
        <v>Aruba-The Americas</v>
      </c>
      <c r="Z126" s="14" t="str">
        <f>IFERROR(__xludf.DUMMYFUNCTION("""COMPUTED_VALUE"""),"The Americas")</f>
        <v>The Americas</v>
      </c>
      <c r="AA126" s="14" t="str">
        <f>IFERROR(__xludf.DUMMYFUNCTION("""COMPUTED_VALUE"""),"2007")</f>
        <v>2007</v>
      </c>
      <c r="AB126" s="15" t="str">
        <f>IFERROR(__xludf.DUMMYFUNCTION("ARRAYFORMULA(VLOOKUP(A126,IMPORTRANGE(""https://docs.google.com/spreadsheets/d/1BuTWp7qHGjWhqrnf-OmePP568O4A5Am9ttzvVdP67zw/edit#gid=1931367683"" ,""ENERGY!$A$2:$F$2692""), {2,3,4,5,6},0))"),"The Americas")</f>
        <v>The Americas</v>
      </c>
      <c r="AC126" s="14" t="str">
        <f>IFERROR(__xludf.DUMMYFUNCTION("""COMPUTED_VALUE"""),"Aruba-The Americas")</f>
        <v>Aruba-The Americas</v>
      </c>
      <c r="AD126" s="14" t="str">
        <f>IFERROR(__xludf.DUMMYFUNCTION("""COMPUTED_VALUE"""),"2006")</f>
        <v>2006</v>
      </c>
      <c r="AE126" s="14"/>
      <c r="AF126" s="14">
        <f>IFERROR(__xludf.DUMMYFUNCTION("""COMPUTED_VALUE"""),2274.0)</f>
        <v>2274</v>
      </c>
    </row>
    <row r="127">
      <c r="A127" s="12">
        <v>126.0</v>
      </c>
      <c r="B127" s="12" t="s">
        <v>87</v>
      </c>
      <c r="C127" s="5" t="s">
        <v>84</v>
      </c>
      <c r="D127" s="8"/>
      <c r="E127" s="8"/>
      <c r="F127" s="8"/>
      <c r="G127" s="8"/>
      <c r="H127" s="11">
        <v>0.52</v>
      </c>
      <c r="I127" s="11">
        <v>1.192</v>
      </c>
      <c r="J127" s="9" t="s">
        <v>69</v>
      </c>
      <c r="K127" s="14" t="str">
        <f>IFERROR(__xludf.DUMMYFUNCTION("ARRAYFORMULA(VLOOKUP(A127,IMPORTRANGE(""https://docs.google.com/spreadsheets/d/1BuTWp7qHGjWhqrnf-OmePP568O4A5Am9ttzvVdP67zw/edit#gid=1603210130"", ""TOURISM!$A$2:$F$2692""), {2,3,4,5,6},0))"),"The Americas")</f>
        <v>The Americas</v>
      </c>
      <c r="L127" s="14">
        <f>IFERROR(__xludf.DUMMYFUNCTION("""COMPUTED_VALUE"""),1.353E9)</f>
        <v>1353000000</v>
      </c>
      <c r="M127" s="14" t="str">
        <f>IFERROR(__xludf.DUMMYFUNCTION("""COMPUTED_VALUE"""),"Aruba-The Americas")</f>
        <v>Aruba-The Americas</v>
      </c>
      <c r="N127" s="14" t="str">
        <f>IFERROR(__xludf.DUMMYFUNCTION("""COMPUTED_VALUE"""),"2008")</f>
        <v>2008</v>
      </c>
      <c r="O127" s="14">
        <f>IFERROR(__xludf.DUMMYFUNCTION("""COMPUTED_VALUE"""),2.73E8)</f>
        <v>273000000</v>
      </c>
      <c r="P127" s="15">
        <f>IFERROR(__xludf.DUMMYFUNCTION("ARRAYFORMULA(VLOOKUP(A127,IMPORTRANGE(""https://docs.google.com/spreadsheets/d/1BuTWp7qHGjWhqrnf-OmePP568O4A5Am9ttzvVdP67zw/edit#gid=771602874"" ,""HUMAN RESOURCES!$A$2:$M$2692""), {2,3,4,5,6,7,8,9,10,11,12,13},0))"),0.011)</f>
        <v>0.011</v>
      </c>
      <c r="Q127" s="14"/>
      <c r="R127" s="14">
        <f>IFERROR(__xludf.DUMMYFUNCTION("""COMPUTED_VALUE"""),77.0)</f>
        <v>77</v>
      </c>
      <c r="S127" s="14">
        <f>IFERROR(__xludf.DUMMYFUNCTION("""COMPUTED_VALUE"""),72.0)</f>
        <v>72</v>
      </c>
      <c r="T127" s="14">
        <f>IFERROR(__xludf.DUMMYFUNCTION("""COMPUTED_VALUE"""),0.212)</f>
        <v>0.212</v>
      </c>
      <c r="U127" s="14">
        <f>IFERROR(__xludf.DUMMYFUNCTION("""COMPUTED_VALUE"""),0.693)</f>
        <v>0.693</v>
      </c>
      <c r="V127" s="14">
        <f>IFERROR(__xludf.DUMMYFUNCTION("""COMPUTED_VALUE"""),0.096)</f>
        <v>0.096</v>
      </c>
      <c r="W127" s="14">
        <f>IFERROR(__xludf.DUMMYFUNCTION("""COMPUTED_VALUE"""),101344.0)</f>
        <v>101344</v>
      </c>
      <c r="X127" s="14">
        <f>IFERROR(__xludf.DUMMYFUNCTION("""COMPUTED_VALUE"""),0.438)</f>
        <v>0.438</v>
      </c>
      <c r="Y127" s="14" t="str">
        <f>IFERROR(__xludf.DUMMYFUNCTION("""COMPUTED_VALUE"""),"Aruba-The Americas")</f>
        <v>Aruba-The Americas</v>
      </c>
      <c r="Z127" s="14" t="str">
        <f>IFERROR(__xludf.DUMMYFUNCTION("""COMPUTED_VALUE"""),"The Americas")</f>
        <v>The Americas</v>
      </c>
      <c r="AA127" s="14" t="str">
        <f>IFERROR(__xludf.DUMMYFUNCTION("""COMPUTED_VALUE"""),"2008")</f>
        <v>2008</v>
      </c>
      <c r="AB127" s="15" t="str">
        <f>IFERROR(__xludf.DUMMYFUNCTION("ARRAYFORMULA(VLOOKUP(A127,IMPORTRANGE(""https://docs.google.com/spreadsheets/d/1BuTWp7qHGjWhqrnf-OmePP568O4A5Am9ttzvVdP67zw/edit#gid=1931367683"" ,""ENERGY!$A$2:$F$2692""), {2,3,4,5,6},0))"),"The Americas")</f>
        <v>The Americas</v>
      </c>
      <c r="AC127" s="14" t="str">
        <f>IFERROR(__xludf.DUMMYFUNCTION("""COMPUTED_VALUE"""),"Aruba-The Americas")</f>
        <v>Aruba-The Americas</v>
      </c>
      <c r="AD127" s="14" t="str">
        <f>IFERROR(__xludf.DUMMYFUNCTION("""COMPUTED_VALUE"""),"2012")</f>
        <v>2012</v>
      </c>
      <c r="AE127" s="14"/>
      <c r="AF127" s="14">
        <f>IFERROR(__xludf.DUMMYFUNCTION("""COMPUTED_VALUE"""),2259.0)</f>
        <v>2259</v>
      </c>
    </row>
    <row r="128">
      <c r="A128" s="12">
        <v>127.0</v>
      </c>
      <c r="B128" s="12" t="s">
        <v>87</v>
      </c>
      <c r="C128" s="5" t="s">
        <v>84</v>
      </c>
      <c r="D128" s="8"/>
      <c r="E128" s="8"/>
      <c r="F128" s="8"/>
      <c r="G128" s="8"/>
      <c r="H128" s="11">
        <v>0.58</v>
      </c>
      <c r="I128" s="11">
        <v>1.262</v>
      </c>
      <c r="J128" s="9" t="s">
        <v>70</v>
      </c>
      <c r="K128" s="14" t="str">
        <f>IFERROR(__xludf.DUMMYFUNCTION("ARRAYFORMULA(VLOOKUP(A128,IMPORTRANGE(""https://docs.google.com/spreadsheets/d/1BuTWp7qHGjWhqrnf-OmePP568O4A5Am9ttzvVdP67zw/edit#gid=1603210130"", ""TOURISM!$A$2:$F$2692""), {2,3,4,5,6},0))"),"The Americas")</f>
        <v>The Americas</v>
      </c>
      <c r="L128" s="14">
        <f>IFERROR(__xludf.DUMMYFUNCTION("""COMPUTED_VALUE"""),1.224E9)</f>
        <v>1224000000</v>
      </c>
      <c r="M128" s="14" t="str">
        <f>IFERROR(__xludf.DUMMYFUNCTION("""COMPUTED_VALUE"""),"Aruba-The Americas")</f>
        <v>Aruba-The Americas</v>
      </c>
      <c r="N128" s="14" t="str">
        <f>IFERROR(__xludf.DUMMYFUNCTION("""COMPUTED_VALUE"""),"2009")</f>
        <v>2009</v>
      </c>
      <c r="O128" s="14">
        <f>IFERROR(__xludf.DUMMYFUNCTION("""COMPUTED_VALUE"""),2.65E8)</f>
        <v>265000000</v>
      </c>
      <c r="P128" s="15">
        <f>IFERROR(__xludf.DUMMYFUNCTION("ARRAYFORMULA(VLOOKUP(A128,IMPORTRANGE(""https://docs.google.com/spreadsheets/d/1BuTWp7qHGjWhqrnf-OmePP568O4A5Am9ttzvVdP67zw/edit#gid=771602874"" ,""HUMAN RESOURCES!$A$2:$M$2692""), {2,3,4,5,6,7,8,9,10,11,12,13},0))"),0.011)</f>
        <v>0.011</v>
      </c>
      <c r="Q128" s="14"/>
      <c r="R128" s="14">
        <f>IFERROR(__xludf.DUMMYFUNCTION("""COMPUTED_VALUE"""),77.0)</f>
        <v>77</v>
      </c>
      <c r="S128" s="14">
        <f>IFERROR(__xludf.DUMMYFUNCTION("""COMPUTED_VALUE"""),72.0)</f>
        <v>72</v>
      </c>
      <c r="T128" s="14">
        <f>IFERROR(__xludf.DUMMYFUNCTION("""COMPUTED_VALUE"""),0.21)</f>
        <v>0.21</v>
      </c>
      <c r="U128" s="14">
        <f>IFERROR(__xludf.DUMMYFUNCTION("""COMPUTED_VALUE"""),0.69)</f>
        <v>0.69</v>
      </c>
      <c r="V128" s="14">
        <f>IFERROR(__xludf.DUMMYFUNCTION("""COMPUTED_VALUE"""),0.099)</f>
        <v>0.099</v>
      </c>
      <c r="W128" s="14">
        <f>IFERROR(__xludf.DUMMYFUNCTION("""COMPUTED_VALUE"""),101418.0)</f>
        <v>101418</v>
      </c>
      <c r="X128" s="14">
        <f>IFERROR(__xludf.DUMMYFUNCTION("""COMPUTED_VALUE"""),0.434)</f>
        <v>0.434</v>
      </c>
      <c r="Y128" s="14" t="str">
        <f>IFERROR(__xludf.DUMMYFUNCTION("""COMPUTED_VALUE"""),"Aruba-The Americas")</f>
        <v>Aruba-The Americas</v>
      </c>
      <c r="Z128" s="14" t="str">
        <f>IFERROR(__xludf.DUMMYFUNCTION("""COMPUTED_VALUE"""),"The Americas")</f>
        <v>The Americas</v>
      </c>
      <c r="AA128" s="14" t="str">
        <f>IFERROR(__xludf.DUMMYFUNCTION("""COMPUTED_VALUE"""),"2009")</f>
        <v>2009</v>
      </c>
      <c r="AB128" s="15" t="str">
        <f>IFERROR(__xludf.DUMMYFUNCTION("ARRAYFORMULA(VLOOKUP(A128,IMPORTRANGE(""https://docs.google.com/spreadsheets/d/1BuTWp7qHGjWhqrnf-OmePP568O4A5Am9ttzvVdP67zw/edit#gid=1931367683"" ,""ENERGY!$A$2:$F$2692""), {2,3,4,5,6},0))"),"The Americas")</f>
        <v>The Americas</v>
      </c>
      <c r="AC128" s="14" t="str">
        <f>IFERROR(__xludf.DUMMYFUNCTION("""COMPUTED_VALUE"""),"Aruba-The Americas")</f>
        <v>Aruba-The Americas</v>
      </c>
      <c r="AD128" s="14" t="str">
        <f>IFERROR(__xludf.DUMMYFUNCTION("""COMPUTED_VALUE"""),"2008")</f>
        <v>2008</v>
      </c>
      <c r="AE128" s="14"/>
      <c r="AF128" s="14">
        <f>IFERROR(__xludf.DUMMYFUNCTION("""COMPUTED_VALUE"""),2255.0)</f>
        <v>2255</v>
      </c>
    </row>
    <row r="129">
      <c r="A129" s="12">
        <v>128.0</v>
      </c>
      <c r="B129" s="12" t="s">
        <v>87</v>
      </c>
      <c r="C129" s="5" t="s">
        <v>84</v>
      </c>
      <c r="D129" s="8"/>
      <c r="E129" s="8"/>
      <c r="F129" s="8"/>
      <c r="G129" s="8"/>
      <c r="H129" s="11">
        <v>0.62</v>
      </c>
      <c r="I129" s="11">
        <v>1.297</v>
      </c>
      <c r="J129" s="9" t="s">
        <v>71</v>
      </c>
      <c r="K129" s="14" t="str">
        <f>IFERROR(__xludf.DUMMYFUNCTION("ARRAYFORMULA(VLOOKUP(A129,IMPORTRANGE(""https://docs.google.com/spreadsheets/d/1BuTWp7qHGjWhqrnf-OmePP568O4A5Am9ttzvVdP67zw/edit#gid=1603210130"", ""TOURISM!$A$2:$F$2692""), {2,3,4,5,6},0))"),"The Americas")</f>
        <v>The Americas</v>
      </c>
      <c r="L129" s="14">
        <f>IFERROR(__xludf.DUMMYFUNCTION("""COMPUTED_VALUE"""),1.256E9)</f>
        <v>1256000000</v>
      </c>
      <c r="M129" s="14" t="str">
        <f>IFERROR(__xludf.DUMMYFUNCTION("""COMPUTED_VALUE"""),"Aruba-The Americas")</f>
        <v>Aruba-The Americas</v>
      </c>
      <c r="N129" s="14" t="str">
        <f>IFERROR(__xludf.DUMMYFUNCTION("""COMPUTED_VALUE"""),"2010")</f>
        <v>2010</v>
      </c>
      <c r="O129" s="14">
        <f>IFERROR(__xludf.DUMMYFUNCTION("""COMPUTED_VALUE"""),2.64E8)</f>
        <v>264000000</v>
      </c>
      <c r="P129" s="15">
        <f>IFERROR(__xludf.DUMMYFUNCTION("ARRAYFORMULA(VLOOKUP(A129,IMPORTRANGE(""https://docs.google.com/spreadsheets/d/1BuTWp7qHGjWhqrnf-OmePP568O4A5Am9ttzvVdP67zw/edit#gid=771602874"" ,""HUMAN RESOURCES!$A$2:$M$2692""), {2,3,4,5,6,7,8,9,10,11,12,13},0))"),0.011)</f>
        <v>0.011</v>
      </c>
      <c r="Q129" s="14"/>
      <c r="R129" s="14">
        <f>IFERROR(__xludf.DUMMYFUNCTION("""COMPUTED_VALUE"""),77.0)</f>
        <v>77</v>
      </c>
      <c r="S129" s="14">
        <f>IFERROR(__xludf.DUMMYFUNCTION("""COMPUTED_VALUE"""),73.0)</f>
        <v>73</v>
      </c>
      <c r="T129" s="14">
        <f>IFERROR(__xludf.DUMMYFUNCTION("""COMPUTED_VALUE"""),0.208)</f>
        <v>0.208</v>
      </c>
      <c r="U129" s="14">
        <f>IFERROR(__xludf.DUMMYFUNCTION("""COMPUTED_VALUE"""),0.689)</f>
        <v>0.689</v>
      </c>
      <c r="V129" s="14">
        <f>IFERROR(__xludf.DUMMYFUNCTION("""COMPUTED_VALUE"""),0.103)</f>
        <v>0.103</v>
      </c>
      <c r="W129" s="14">
        <f>IFERROR(__xludf.DUMMYFUNCTION("""COMPUTED_VALUE"""),101597.0)</f>
        <v>101597</v>
      </c>
      <c r="X129" s="14">
        <f>IFERROR(__xludf.DUMMYFUNCTION("""COMPUTED_VALUE"""),0.431)</f>
        <v>0.431</v>
      </c>
      <c r="Y129" s="14" t="str">
        <f>IFERROR(__xludf.DUMMYFUNCTION("""COMPUTED_VALUE"""),"Aruba-The Americas")</f>
        <v>Aruba-The Americas</v>
      </c>
      <c r="Z129" s="14" t="str">
        <f>IFERROR(__xludf.DUMMYFUNCTION("""COMPUTED_VALUE"""),"The Americas")</f>
        <v>The Americas</v>
      </c>
      <c r="AA129" s="14" t="str">
        <f>IFERROR(__xludf.DUMMYFUNCTION("""COMPUTED_VALUE"""),"2010")</f>
        <v>2010</v>
      </c>
      <c r="AB129" s="15" t="str">
        <f>IFERROR(__xludf.DUMMYFUNCTION("ARRAYFORMULA(VLOOKUP(A129,IMPORTRANGE(""https://docs.google.com/spreadsheets/d/1BuTWp7qHGjWhqrnf-OmePP568O4A5Am9ttzvVdP67zw/edit#gid=1931367683"" ,""ENERGY!$A$2:$F$2692""), {2,3,4,5,6},0))"),"The Americas")</f>
        <v>The Americas</v>
      </c>
      <c r="AC129" s="14" t="str">
        <f>IFERROR(__xludf.DUMMYFUNCTION("""COMPUTED_VALUE"""),"Aruba-The Americas")</f>
        <v>Aruba-The Americas</v>
      </c>
      <c r="AD129" s="14" t="str">
        <f>IFERROR(__xludf.DUMMYFUNCTION("""COMPUTED_VALUE"""),"2012")</f>
        <v>2012</v>
      </c>
      <c r="AE129" s="14"/>
      <c r="AF129" s="14">
        <f>IFERROR(__xludf.DUMMYFUNCTION("""COMPUTED_VALUE"""),2255.0)</f>
        <v>2255</v>
      </c>
    </row>
    <row r="130">
      <c r="A130" s="12">
        <v>129.0</v>
      </c>
      <c r="B130" s="12" t="s">
        <v>87</v>
      </c>
      <c r="C130" s="5" t="s">
        <v>84</v>
      </c>
      <c r="D130" s="8"/>
      <c r="E130" s="8"/>
      <c r="F130" s="8"/>
      <c r="G130" s="8"/>
      <c r="H130" s="11">
        <v>0.69</v>
      </c>
      <c r="I130" s="8"/>
      <c r="J130" s="9" t="s">
        <v>72</v>
      </c>
      <c r="K130" s="14" t="str">
        <f>IFERROR(__xludf.DUMMYFUNCTION("ARRAYFORMULA(VLOOKUP(A130,IMPORTRANGE(""https://docs.google.com/spreadsheets/d/1BuTWp7qHGjWhqrnf-OmePP568O4A5Am9ttzvVdP67zw/edit#gid=1603210130"", ""TOURISM!$A$2:$F$2692""), {2,3,4,5,6},0))"),"The Americas")</f>
        <v>The Americas</v>
      </c>
      <c r="L130" s="14">
        <f>IFERROR(__xludf.DUMMYFUNCTION("""COMPUTED_VALUE"""),1.36E9)</f>
        <v>1360000000</v>
      </c>
      <c r="M130" s="14" t="str">
        <f>IFERROR(__xludf.DUMMYFUNCTION("""COMPUTED_VALUE"""),"Aruba-The Americas")</f>
        <v>Aruba-The Americas</v>
      </c>
      <c r="N130" s="14" t="str">
        <f>IFERROR(__xludf.DUMMYFUNCTION("""COMPUTED_VALUE"""),"2011")</f>
        <v>2011</v>
      </c>
      <c r="O130" s="14">
        <f>IFERROR(__xludf.DUMMYFUNCTION("""COMPUTED_VALUE"""),2.89E8)</f>
        <v>289000000</v>
      </c>
      <c r="P130" s="15">
        <f>IFERROR(__xludf.DUMMYFUNCTION("ARRAYFORMULA(VLOOKUP(A130,IMPORTRANGE(""https://docs.google.com/spreadsheets/d/1BuTWp7qHGjWhqrnf-OmePP568O4A5Am9ttzvVdP67zw/edit#gid=771602874"" ,""HUMAN RESOURCES!$A$2:$M$2692""), {2,3,4,5,6,7,8,9,10,11,12,13},0))"),0.011)</f>
        <v>0.011</v>
      </c>
      <c r="Q130" s="14"/>
      <c r="R130" s="14">
        <f>IFERROR(__xludf.DUMMYFUNCTION("""COMPUTED_VALUE"""),78.0)</f>
        <v>78</v>
      </c>
      <c r="S130" s="14">
        <f>IFERROR(__xludf.DUMMYFUNCTION("""COMPUTED_VALUE"""),73.0)</f>
        <v>73</v>
      </c>
      <c r="T130" s="14">
        <f>IFERROR(__xludf.DUMMYFUNCTION("""COMPUTED_VALUE"""),0.204)</f>
        <v>0.204</v>
      </c>
      <c r="U130" s="14">
        <f>IFERROR(__xludf.DUMMYFUNCTION("""COMPUTED_VALUE"""),0.689)</f>
        <v>0.689</v>
      </c>
      <c r="V130" s="14">
        <f>IFERROR(__xludf.DUMMYFUNCTION("""COMPUTED_VALUE"""),0.107)</f>
        <v>0.107</v>
      </c>
      <c r="W130" s="14">
        <f>IFERROR(__xludf.DUMMYFUNCTION("""COMPUTED_VALUE"""),101932.0)</f>
        <v>101932</v>
      </c>
      <c r="X130" s="14">
        <f>IFERROR(__xludf.DUMMYFUNCTION("""COMPUTED_VALUE"""),0.427)</f>
        <v>0.427</v>
      </c>
      <c r="Y130" s="14" t="str">
        <f>IFERROR(__xludf.DUMMYFUNCTION("""COMPUTED_VALUE"""),"Aruba-The Americas")</f>
        <v>Aruba-The Americas</v>
      </c>
      <c r="Z130" s="14" t="str">
        <f>IFERROR(__xludf.DUMMYFUNCTION("""COMPUTED_VALUE"""),"The Americas")</f>
        <v>The Americas</v>
      </c>
      <c r="AA130" s="14" t="str">
        <f>IFERROR(__xludf.DUMMYFUNCTION("""COMPUTED_VALUE"""),"2011")</f>
        <v>2011</v>
      </c>
      <c r="AB130" s="15" t="str">
        <f>IFERROR(__xludf.DUMMYFUNCTION("ARRAYFORMULA(VLOOKUP(A130,IMPORTRANGE(""https://docs.google.com/spreadsheets/d/1BuTWp7qHGjWhqrnf-OmePP568O4A5Am9ttzvVdP67zw/edit#gid=1931367683"" ,""ENERGY!$A$2:$F$2692""), {2,3,4,5,6},0))"),"The Americas")</f>
        <v>The Americas</v>
      </c>
      <c r="AC130" s="14" t="str">
        <f>IFERROR(__xludf.DUMMYFUNCTION("""COMPUTED_VALUE"""),"Aruba-The Americas")</f>
        <v>Aruba-The Americas</v>
      </c>
      <c r="AD130" s="14" t="str">
        <f>IFERROR(__xludf.DUMMYFUNCTION("""COMPUTED_VALUE"""),"2011")</f>
        <v>2011</v>
      </c>
      <c r="AE130" s="14"/>
      <c r="AF130" s="14">
        <f>IFERROR(__xludf.DUMMYFUNCTION("""COMPUTED_VALUE"""),2237.0)</f>
        <v>2237</v>
      </c>
    </row>
    <row r="131">
      <c r="A131" s="12">
        <v>130.0</v>
      </c>
      <c r="B131" s="12" t="s">
        <v>87</v>
      </c>
      <c r="C131" s="5" t="s">
        <v>84</v>
      </c>
      <c r="D131" s="8"/>
      <c r="E131" s="8"/>
      <c r="F131" s="8"/>
      <c r="G131" s="8"/>
      <c r="H131" s="11">
        <v>0.74</v>
      </c>
      <c r="I131" s="11">
        <v>1.319</v>
      </c>
      <c r="J131" s="9" t="s">
        <v>73</v>
      </c>
      <c r="K131" s="14" t="str">
        <f>IFERROR(__xludf.DUMMYFUNCTION("ARRAYFORMULA(VLOOKUP(A131,IMPORTRANGE(""https://docs.google.com/spreadsheets/d/1BuTWp7qHGjWhqrnf-OmePP568O4A5Am9ttzvVdP67zw/edit#gid=1603210130"", ""TOURISM!$A$2:$F$2692""), {2,3,4,5,6},0))"),"The Americas")</f>
        <v>The Americas</v>
      </c>
      <c r="L131" s="14">
        <f>IFERROR(__xludf.DUMMYFUNCTION("""COMPUTED_VALUE"""),1.414E9)</f>
        <v>1414000000</v>
      </c>
      <c r="M131" s="14" t="str">
        <f>IFERROR(__xludf.DUMMYFUNCTION("""COMPUTED_VALUE"""),"Aruba-The Americas")</f>
        <v>Aruba-The Americas</v>
      </c>
      <c r="N131" s="14" t="str">
        <f>IFERROR(__xludf.DUMMYFUNCTION("""COMPUTED_VALUE"""),"2012")</f>
        <v>2012</v>
      </c>
      <c r="O131" s="14">
        <f>IFERROR(__xludf.DUMMYFUNCTION("""COMPUTED_VALUE"""),2.96E8)</f>
        <v>296000000</v>
      </c>
      <c r="P131" s="15">
        <f>IFERROR(__xludf.DUMMYFUNCTION("ARRAYFORMULA(VLOOKUP(A131,IMPORTRANGE(""https://docs.google.com/spreadsheets/d/1BuTWp7qHGjWhqrnf-OmePP568O4A5Am9ttzvVdP67zw/edit#gid=771602874"" ,""HUMAN RESOURCES!$A$2:$M$2692""), {2,3,4,5,6,7,8,9,10,11,12,13},0))"),0.01)</f>
        <v>0.01</v>
      </c>
      <c r="Q131" s="14"/>
      <c r="R131" s="14">
        <f>IFERROR(__xludf.DUMMYFUNCTION("""COMPUTED_VALUE"""),78.0)</f>
        <v>78</v>
      </c>
      <c r="S131" s="14">
        <f>IFERROR(__xludf.DUMMYFUNCTION("""COMPUTED_VALUE"""),73.0)</f>
        <v>73</v>
      </c>
      <c r="T131" s="14">
        <f>IFERROR(__xludf.DUMMYFUNCTION("""COMPUTED_VALUE"""),0.199)</f>
        <v>0.199</v>
      </c>
      <c r="U131" s="14">
        <f>IFERROR(__xludf.DUMMYFUNCTION("""COMPUTED_VALUE"""),0.69)</f>
        <v>0.69</v>
      </c>
      <c r="V131" s="14">
        <f>IFERROR(__xludf.DUMMYFUNCTION("""COMPUTED_VALUE"""),0.11)</f>
        <v>0.11</v>
      </c>
      <c r="W131" s="14">
        <f>IFERROR(__xludf.DUMMYFUNCTION("""COMPUTED_VALUE"""),102384.0)</f>
        <v>102384</v>
      </c>
      <c r="X131" s="14">
        <f>IFERROR(__xludf.DUMMYFUNCTION("""COMPUTED_VALUE"""),0.424)</f>
        <v>0.424</v>
      </c>
      <c r="Y131" s="14" t="str">
        <f>IFERROR(__xludf.DUMMYFUNCTION("""COMPUTED_VALUE"""),"Aruba-The Americas")</f>
        <v>Aruba-The Americas</v>
      </c>
      <c r="Z131" s="14" t="str">
        <f>IFERROR(__xludf.DUMMYFUNCTION("""COMPUTED_VALUE"""),"The Americas")</f>
        <v>The Americas</v>
      </c>
      <c r="AA131" s="14" t="str">
        <f>IFERROR(__xludf.DUMMYFUNCTION("""COMPUTED_VALUE"""),"2012")</f>
        <v>2012</v>
      </c>
      <c r="AB131" s="15" t="str">
        <f>IFERROR(__xludf.DUMMYFUNCTION("ARRAYFORMULA(VLOOKUP(A131,IMPORTRANGE(""https://docs.google.com/spreadsheets/d/1BuTWp7qHGjWhqrnf-OmePP568O4A5Am9ttzvVdP67zw/edit#gid=1931367683"" ,""ENERGY!$A$2:$F$2692""), {2,3,4,5,6},0))"),"The Americas")</f>
        <v>The Americas</v>
      </c>
      <c r="AC131" s="14" t="str">
        <f>IFERROR(__xludf.DUMMYFUNCTION("""COMPUTED_VALUE"""),"Aruba-The Americas")</f>
        <v>Aruba-The Americas</v>
      </c>
      <c r="AD131" s="14" t="str">
        <f>IFERROR(__xludf.DUMMYFUNCTION("""COMPUTED_VALUE"""),"2008")</f>
        <v>2008</v>
      </c>
      <c r="AE131" s="14"/>
      <c r="AF131" s="14">
        <f>IFERROR(__xludf.DUMMYFUNCTION("""COMPUTED_VALUE"""),2233.0)</f>
        <v>2233</v>
      </c>
    </row>
    <row r="132">
      <c r="A132" s="12">
        <v>131.0</v>
      </c>
      <c r="B132" s="12" t="s">
        <v>88</v>
      </c>
      <c r="C132" s="5" t="s">
        <v>80</v>
      </c>
      <c r="D132" s="8"/>
      <c r="E132" s="8"/>
      <c r="F132" s="8"/>
      <c r="G132" s="8"/>
      <c r="H132" s="11">
        <v>0.468</v>
      </c>
      <c r="I132" s="11">
        <v>0.445</v>
      </c>
      <c r="J132" s="9" t="s">
        <v>60</v>
      </c>
      <c r="K132" s="14" t="str">
        <f>IFERROR(__xludf.DUMMYFUNCTION("ARRAYFORMULA(VLOOKUP(A132,IMPORTRANGE(""https://docs.google.com/spreadsheets/d/1BuTWp7qHGjWhqrnf-OmePP568O4A5Am9ttzvVdP67zw/edit#gid=1603210130"", ""TOURISM!$A$2:$F$2692""), {2,3,4,5,6},0))"),"Oceania")</f>
        <v>Oceania</v>
      </c>
      <c r="L132" s="14">
        <f>IFERROR(__xludf.DUMMYFUNCTION("""COMPUTED_VALUE"""),1.3016E10)</f>
        <v>13016000000</v>
      </c>
      <c r="M132" s="14" t="str">
        <f>IFERROR(__xludf.DUMMYFUNCTION("""COMPUTED_VALUE"""),"Australia-Oceania")</f>
        <v>Australia-Oceania</v>
      </c>
      <c r="N132" s="14" t="str">
        <f>IFERROR(__xludf.DUMMYFUNCTION("""COMPUTED_VALUE"""),"2000")</f>
        <v>2000</v>
      </c>
      <c r="O132" s="14">
        <f>IFERROR(__xludf.DUMMYFUNCTION("""COMPUTED_VALUE"""),8.78E9)</f>
        <v>8780000000</v>
      </c>
      <c r="P132" s="15">
        <f>IFERROR(__xludf.DUMMYFUNCTION("ARRAYFORMULA(VLOOKUP(A132,IMPORTRANGE(""https://docs.google.com/spreadsheets/d/1BuTWp7qHGjWhqrnf-OmePP568O4A5Am9ttzvVdP67zw/edit#gid=771602874"" ,""HUMAN RESOURCES!$A$2:$M$2692""), {2,3,4,5,6,7,8,9,10,11,12,13},0))"),0.013)</f>
        <v>0.013</v>
      </c>
      <c r="Q132" s="14">
        <f>IFERROR(__xludf.DUMMYFUNCTION("""COMPUTED_VALUE"""),0.005)</f>
        <v>0.005</v>
      </c>
      <c r="R132" s="14">
        <f>IFERROR(__xludf.DUMMYFUNCTION("""COMPUTED_VALUE"""),82.0)</f>
        <v>82</v>
      </c>
      <c r="S132" s="14">
        <f>IFERROR(__xludf.DUMMYFUNCTION("""COMPUTED_VALUE"""),77.0)</f>
        <v>77</v>
      </c>
      <c r="T132" s="14">
        <f>IFERROR(__xludf.DUMMYFUNCTION("""COMPUTED_VALUE"""),0.207)</f>
        <v>0.207</v>
      </c>
      <c r="U132" s="14">
        <f>IFERROR(__xludf.DUMMYFUNCTION("""COMPUTED_VALUE"""),0.669)</f>
        <v>0.669</v>
      </c>
      <c r="V132" s="14">
        <f>IFERROR(__xludf.DUMMYFUNCTION("""COMPUTED_VALUE"""),0.124)</f>
        <v>0.124</v>
      </c>
      <c r="W132" s="14">
        <f>IFERROR(__xludf.DUMMYFUNCTION("""COMPUTED_VALUE"""),1.9153E7)</f>
        <v>19153000</v>
      </c>
      <c r="X132" s="14">
        <f>IFERROR(__xludf.DUMMYFUNCTION("""COMPUTED_VALUE"""),0.872)</f>
        <v>0.872</v>
      </c>
      <c r="Y132" s="14" t="str">
        <f>IFERROR(__xludf.DUMMYFUNCTION("""COMPUTED_VALUE"""),"Australia-Oceania")</f>
        <v>Australia-Oceania</v>
      </c>
      <c r="Z132" s="14" t="str">
        <f>IFERROR(__xludf.DUMMYFUNCTION("""COMPUTED_VALUE"""),"Oceania")</f>
        <v>Oceania</v>
      </c>
      <c r="AA132" s="14" t="str">
        <f>IFERROR(__xludf.DUMMYFUNCTION("""COMPUTED_VALUE"""),"2000")</f>
        <v>2000</v>
      </c>
      <c r="AB132" s="15" t="str">
        <f>IFERROR(__xludf.DUMMYFUNCTION("ARRAYFORMULA(VLOOKUP(A132,IMPORTRANGE(""https://docs.google.com/spreadsheets/d/1BuTWp7qHGjWhqrnf-OmePP568O4A5Am9ttzvVdP67zw/edit#gid=1931367683"" ,""ENERGY!$A$2:$F$2692""), {2,3,4,5,6},0))"),"Oceania")</f>
        <v>Oceania</v>
      </c>
      <c r="AC132" s="14" t="str">
        <f>IFERROR(__xludf.DUMMYFUNCTION("""COMPUTED_VALUE"""),"Australia-Oceania")</f>
        <v>Australia-Oceania</v>
      </c>
      <c r="AD132" s="14" t="str">
        <f>IFERROR(__xludf.DUMMYFUNCTION("""COMPUTED_VALUE"""),"2000")</f>
        <v>2000</v>
      </c>
      <c r="AE132" s="14">
        <f>IFERROR(__xludf.DUMMYFUNCTION("""COMPUTED_VALUE"""),133681.0)</f>
        <v>133681</v>
      </c>
      <c r="AF132" s="14"/>
    </row>
    <row r="133">
      <c r="A133" s="12">
        <v>132.0</v>
      </c>
      <c r="B133" s="12" t="s">
        <v>88</v>
      </c>
      <c r="C133" s="5" t="s">
        <v>80</v>
      </c>
      <c r="D133" s="8"/>
      <c r="E133" s="8"/>
      <c r="F133" s="8"/>
      <c r="G133" s="8"/>
      <c r="H133" s="11">
        <v>0.527</v>
      </c>
      <c r="I133" s="11">
        <v>0.571</v>
      </c>
      <c r="J133" s="9" t="s">
        <v>62</v>
      </c>
      <c r="K133" s="14" t="str">
        <f>IFERROR(__xludf.DUMMYFUNCTION("ARRAYFORMULA(VLOOKUP(A133,IMPORTRANGE(""https://docs.google.com/spreadsheets/d/1BuTWp7qHGjWhqrnf-OmePP568O4A5Am9ttzvVdP67zw/edit#gid=1603210130"", ""TOURISM!$A$2:$F$2692""), {2,3,4,5,6},0))"),"Oceania")</f>
        <v>Oceania</v>
      </c>
      <c r="L133" s="14">
        <f>IFERROR(__xludf.DUMMYFUNCTION("""COMPUTED_VALUE"""),1.2804E10)</f>
        <v>12804000000</v>
      </c>
      <c r="M133" s="14" t="str">
        <f>IFERROR(__xludf.DUMMYFUNCTION("""COMPUTED_VALUE"""),"Australia-Oceania")</f>
        <v>Australia-Oceania</v>
      </c>
      <c r="N133" s="14" t="str">
        <f>IFERROR(__xludf.DUMMYFUNCTION("""COMPUTED_VALUE"""),"2001")</f>
        <v>2001</v>
      </c>
      <c r="O133" s="14">
        <f>IFERROR(__xludf.DUMMYFUNCTION("""COMPUTED_VALUE"""),8.053E9)</f>
        <v>8053000000</v>
      </c>
      <c r="P133" s="15">
        <f>IFERROR(__xludf.DUMMYFUNCTION("ARRAYFORMULA(VLOOKUP(A133,IMPORTRANGE(""https://docs.google.com/spreadsheets/d/1BuTWp7qHGjWhqrnf-OmePP568O4A5Am9ttzvVdP67zw/edit#gid=771602874"" ,""HUMAN RESOURCES!$A$2:$M$2692""), {2,3,4,5,6,7,8,9,10,11,12,13},0))"),0.013)</f>
        <v>0.013</v>
      </c>
      <c r="Q133" s="14">
        <f>IFERROR(__xludf.DUMMYFUNCTION("""COMPUTED_VALUE"""),0.005)</f>
        <v>0.005</v>
      </c>
      <c r="R133" s="14">
        <f>IFERROR(__xludf.DUMMYFUNCTION("""COMPUTED_VALUE"""),82.0)</f>
        <v>82</v>
      </c>
      <c r="S133" s="14">
        <f>IFERROR(__xludf.DUMMYFUNCTION("""COMPUTED_VALUE"""),77.0)</f>
        <v>77</v>
      </c>
      <c r="T133" s="14">
        <f>IFERROR(__xludf.DUMMYFUNCTION("""COMPUTED_VALUE"""),0.206)</f>
        <v>0.206</v>
      </c>
      <c r="U133" s="14">
        <f>IFERROR(__xludf.DUMMYFUNCTION("""COMPUTED_VALUE"""),0.669)</f>
        <v>0.669</v>
      </c>
      <c r="V133" s="14">
        <f>IFERROR(__xludf.DUMMYFUNCTION("""COMPUTED_VALUE"""),0.125)</f>
        <v>0.125</v>
      </c>
      <c r="W133" s="14">
        <f>IFERROR(__xludf.DUMMYFUNCTION("""COMPUTED_VALUE"""),1.9413E7)</f>
        <v>19413000</v>
      </c>
      <c r="X133" s="14">
        <f>IFERROR(__xludf.DUMMYFUNCTION("""COMPUTED_VALUE"""),0.874)</f>
        <v>0.874</v>
      </c>
      <c r="Y133" s="14" t="str">
        <f>IFERROR(__xludf.DUMMYFUNCTION("""COMPUTED_VALUE"""),"Australia-Oceania")</f>
        <v>Australia-Oceania</v>
      </c>
      <c r="Z133" s="14" t="str">
        <f>IFERROR(__xludf.DUMMYFUNCTION("""COMPUTED_VALUE"""),"Oceania")</f>
        <v>Oceania</v>
      </c>
      <c r="AA133" s="14" t="str">
        <f>IFERROR(__xludf.DUMMYFUNCTION("""COMPUTED_VALUE"""),"2001")</f>
        <v>2001</v>
      </c>
      <c r="AB133" s="15" t="str">
        <f>IFERROR(__xludf.DUMMYFUNCTION("ARRAYFORMULA(VLOOKUP(A133,IMPORTRANGE(""https://docs.google.com/spreadsheets/d/1BuTWp7qHGjWhqrnf-OmePP568O4A5Am9ttzvVdP67zw/edit#gid=1931367683"" ,""ENERGY!$A$2:$F$2692""), {2,3,4,5,6},0))"),"Oceania")</f>
        <v>Oceania</v>
      </c>
      <c r="AC133" s="14" t="str">
        <f>IFERROR(__xludf.DUMMYFUNCTION("""COMPUTED_VALUE"""),"Australia-Oceania")</f>
        <v>Australia-Oceania</v>
      </c>
      <c r="AD133" s="14" t="str">
        <f>IFERROR(__xludf.DUMMYFUNCTION("""COMPUTED_VALUE"""),"2001")</f>
        <v>2001</v>
      </c>
      <c r="AE133" s="14">
        <f>IFERROR(__xludf.DUMMYFUNCTION("""COMPUTED_VALUE"""),122888.0)</f>
        <v>122888</v>
      </c>
      <c r="AF133" s="14"/>
    </row>
    <row r="134">
      <c r="A134" s="12">
        <v>133.0</v>
      </c>
      <c r="B134" s="12" t="s">
        <v>88</v>
      </c>
      <c r="C134" s="5" t="s">
        <v>80</v>
      </c>
      <c r="D134" s="8"/>
      <c r="E134" s="8"/>
      <c r="F134" s="8"/>
      <c r="G134" s="8"/>
      <c r="H134" s="8"/>
      <c r="I134" s="11">
        <v>0.643</v>
      </c>
      <c r="J134" s="9" t="s">
        <v>63</v>
      </c>
      <c r="K134" s="14" t="str">
        <f>IFERROR(__xludf.DUMMYFUNCTION("ARRAYFORMULA(VLOOKUP(A134,IMPORTRANGE(""https://docs.google.com/spreadsheets/d/1BuTWp7qHGjWhqrnf-OmePP568O4A5Am9ttzvVdP67zw/edit#gid=1603210130"", ""TOURISM!$A$2:$F$2692""), {2,3,4,5,6},0))"),"Oceania")</f>
        <v>Oceania</v>
      </c>
      <c r="L134" s="14">
        <f>IFERROR(__xludf.DUMMYFUNCTION("""COMPUTED_VALUE"""),1.3624E10)</f>
        <v>13624000000</v>
      </c>
      <c r="M134" s="14" t="str">
        <f>IFERROR(__xludf.DUMMYFUNCTION("""COMPUTED_VALUE"""),"Australia-Oceania")</f>
        <v>Australia-Oceania</v>
      </c>
      <c r="N134" s="14" t="str">
        <f>IFERROR(__xludf.DUMMYFUNCTION("""COMPUTED_VALUE"""),"2002")</f>
        <v>2002</v>
      </c>
      <c r="O134" s="14">
        <f>IFERROR(__xludf.DUMMYFUNCTION("""COMPUTED_VALUE"""),8.494E9)</f>
        <v>8494000000</v>
      </c>
      <c r="P134" s="15">
        <f>IFERROR(__xludf.DUMMYFUNCTION("ARRAYFORMULA(VLOOKUP(A134,IMPORTRANGE(""https://docs.google.com/spreadsheets/d/1BuTWp7qHGjWhqrnf-OmePP568O4A5Am9ttzvVdP67zw/edit#gid=771602874"" ,""HUMAN RESOURCES!$A$2:$M$2692""), {2,3,4,5,6,7,8,9,10,11,12,13},0))"),0.013)</f>
        <v>0.013</v>
      </c>
      <c r="Q134" s="14">
        <f>IFERROR(__xludf.DUMMYFUNCTION("""COMPUTED_VALUE"""),0.005)</f>
        <v>0.005</v>
      </c>
      <c r="R134" s="14">
        <f>IFERROR(__xludf.DUMMYFUNCTION("""COMPUTED_VALUE"""),83.0)</f>
        <v>83</v>
      </c>
      <c r="S134" s="14">
        <f>IFERROR(__xludf.DUMMYFUNCTION("""COMPUTED_VALUE"""),77.0)</f>
        <v>77</v>
      </c>
      <c r="T134" s="14">
        <f>IFERROR(__xludf.DUMMYFUNCTION("""COMPUTED_VALUE"""),0.204)</f>
        <v>0.204</v>
      </c>
      <c r="U134" s="14">
        <f>IFERROR(__xludf.DUMMYFUNCTION("""COMPUTED_VALUE"""),0.67)</f>
        <v>0.67</v>
      </c>
      <c r="V134" s="14">
        <f>IFERROR(__xludf.DUMMYFUNCTION("""COMPUTED_VALUE"""),0.126)</f>
        <v>0.126</v>
      </c>
      <c r="W134" s="14">
        <f>IFERROR(__xludf.DUMMYFUNCTION("""COMPUTED_VALUE"""),1.96514E7)</f>
        <v>19651400</v>
      </c>
      <c r="X134" s="14">
        <f>IFERROR(__xludf.DUMMYFUNCTION("""COMPUTED_VALUE"""),0.875)</f>
        <v>0.875</v>
      </c>
      <c r="Y134" s="14" t="str">
        <f>IFERROR(__xludf.DUMMYFUNCTION("""COMPUTED_VALUE"""),"Australia-Oceania")</f>
        <v>Australia-Oceania</v>
      </c>
      <c r="Z134" s="14" t="str">
        <f>IFERROR(__xludf.DUMMYFUNCTION("""COMPUTED_VALUE"""),"Oceania")</f>
        <v>Oceania</v>
      </c>
      <c r="AA134" s="14" t="str">
        <f>IFERROR(__xludf.DUMMYFUNCTION("""COMPUTED_VALUE"""),"2002")</f>
        <v>2002</v>
      </c>
      <c r="AB134" s="15" t="str">
        <f>IFERROR(__xludf.DUMMYFUNCTION("ARRAYFORMULA(VLOOKUP(A134,IMPORTRANGE(""https://docs.google.com/spreadsheets/d/1BuTWp7qHGjWhqrnf-OmePP568O4A5Am9ttzvVdP67zw/edit#gid=1931367683"" ,""ENERGY!$A$2:$F$2692""), {2,3,4,5,6},0))"),"Oceania")</f>
        <v>Oceania</v>
      </c>
      <c r="AC134" s="14" t="str">
        <f>IFERROR(__xludf.DUMMYFUNCTION("""COMPUTED_VALUE"""),"Australia-Oceania")</f>
        <v>Australia-Oceania</v>
      </c>
      <c r="AD134" s="14" t="str">
        <f>IFERROR(__xludf.DUMMYFUNCTION("""COMPUTED_VALUE"""),"2002")</f>
        <v>2002</v>
      </c>
      <c r="AE134" s="14">
        <f>IFERROR(__xludf.DUMMYFUNCTION("""COMPUTED_VALUE"""),122512.0)</f>
        <v>122512</v>
      </c>
      <c r="AF134" s="14">
        <f>IFERROR(__xludf.DUMMYFUNCTION("""COMPUTED_VALUE"""),373081.0)</f>
        <v>373081</v>
      </c>
    </row>
    <row r="135">
      <c r="A135" s="12">
        <v>134.0</v>
      </c>
      <c r="B135" s="12" t="s">
        <v>88</v>
      </c>
      <c r="C135" s="5" t="s">
        <v>80</v>
      </c>
      <c r="D135" s="8"/>
      <c r="E135" s="11">
        <v>3.0</v>
      </c>
      <c r="F135" s="8"/>
      <c r="G135" s="8"/>
      <c r="H135" s="8"/>
      <c r="I135" s="11">
        <v>0.719</v>
      </c>
      <c r="J135" s="9" t="s">
        <v>64</v>
      </c>
      <c r="K135" s="14" t="str">
        <f>IFERROR(__xludf.DUMMYFUNCTION("ARRAYFORMULA(VLOOKUP(A135,IMPORTRANGE(""https://docs.google.com/spreadsheets/d/1BuTWp7qHGjWhqrnf-OmePP568O4A5Am9ttzvVdP67zw/edit#gid=1603210130"", ""TOURISM!$A$2:$F$2692""), {2,3,4,5,6},0))"),"Oceania")</f>
        <v>Oceania</v>
      </c>
      <c r="L135" s="14">
        <f>IFERROR(__xludf.DUMMYFUNCTION("""COMPUTED_VALUE"""),1.6647E10)</f>
        <v>16647000000</v>
      </c>
      <c r="M135" s="14" t="str">
        <f>IFERROR(__xludf.DUMMYFUNCTION("""COMPUTED_VALUE"""),"Australia-Oceania")</f>
        <v>Australia-Oceania</v>
      </c>
      <c r="N135" s="14" t="str">
        <f>IFERROR(__xludf.DUMMYFUNCTION("""COMPUTED_VALUE"""),"2003")</f>
        <v>2003</v>
      </c>
      <c r="O135" s="14">
        <f>IFERROR(__xludf.DUMMYFUNCTION("""COMPUTED_VALUE"""),1.0135E10)</f>
        <v>10135000000</v>
      </c>
      <c r="P135" s="15">
        <f>IFERROR(__xludf.DUMMYFUNCTION("ARRAYFORMULA(VLOOKUP(A135,IMPORTRANGE(""https://docs.google.com/spreadsheets/d/1BuTWp7qHGjWhqrnf-OmePP568O4A5Am9ttzvVdP67zw/edit#gid=771602874"" ,""HUMAN RESOURCES!$A$2:$M$2692""), {2,3,4,5,6,7,8,9,10,11,12,13},0))"),0.013)</f>
        <v>0.013</v>
      </c>
      <c r="Q135" s="14">
        <f>IFERROR(__xludf.DUMMYFUNCTION("""COMPUTED_VALUE"""),0.005)</f>
        <v>0.005</v>
      </c>
      <c r="R135" s="14">
        <f>IFERROR(__xludf.DUMMYFUNCTION("""COMPUTED_VALUE"""),83.0)</f>
        <v>83</v>
      </c>
      <c r="S135" s="14">
        <f>IFERROR(__xludf.DUMMYFUNCTION("""COMPUTED_VALUE"""),78.0)</f>
        <v>78</v>
      </c>
      <c r="T135" s="14">
        <f>IFERROR(__xludf.DUMMYFUNCTION("""COMPUTED_VALUE"""),0.202)</f>
        <v>0.202</v>
      </c>
      <c r="U135" s="14">
        <f>IFERROR(__xludf.DUMMYFUNCTION("""COMPUTED_VALUE"""),0.671)</f>
        <v>0.671</v>
      </c>
      <c r="V135" s="14">
        <f>IFERROR(__xludf.DUMMYFUNCTION("""COMPUTED_VALUE"""),0.127)</f>
        <v>0.127</v>
      </c>
      <c r="W135" s="14">
        <f>IFERROR(__xludf.DUMMYFUNCTION("""COMPUTED_VALUE"""),1.98954E7)</f>
        <v>19895400</v>
      </c>
      <c r="X135" s="14">
        <f>IFERROR(__xludf.DUMMYFUNCTION("""COMPUTED_VALUE"""),0.877)</f>
        <v>0.877</v>
      </c>
      <c r="Y135" s="14" t="str">
        <f>IFERROR(__xludf.DUMMYFUNCTION("""COMPUTED_VALUE"""),"Australia-Oceania")</f>
        <v>Australia-Oceania</v>
      </c>
      <c r="Z135" s="14" t="str">
        <f>IFERROR(__xludf.DUMMYFUNCTION("""COMPUTED_VALUE"""),"Oceania")</f>
        <v>Oceania</v>
      </c>
      <c r="AA135" s="14" t="str">
        <f>IFERROR(__xludf.DUMMYFUNCTION("""COMPUTED_VALUE"""),"2003")</f>
        <v>2003</v>
      </c>
      <c r="AB135" s="15" t="str">
        <f>IFERROR(__xludf.DUMMYFUNCTION("ARRAYFORMULA(VLOOKUP(A135,IMPORTRANGE(""https://docs.google.com/spreadsheets/d/1BuTWp7qHGjWhqrnf-OmePP568O4A5Am9ttzvVdP67zw/edit#gid=1931367683"" ,""ENERGY!$A$2:$F$2692""), {2,3,4,5,6},0))"),"Oceania")</f>
        <v>Oceania</v>
      </c>
      <c r="AC135" s="14" t="str">
        <f>IFERROR(__xludf.DUMMYFUNCTION("""COMPUTED_VALUE"""),"Australia-Oceania")</f>
        <v>Australia-Oceania</v>
      </c>
      <c r="AD135" s="14" t="str">
        <f>IFERROR(__xludf.DUMMYFUNCTION("""COMPUTED_VALUE"""),"2003")</f>
        <v>2003</v>
      </c>
      <c r="AE135" s="14">
        <f>IFERROR(__xludf.DUMMYFUNCTION("""COMPUTED_VALUE"""),122108.0)</f>
        <v>122108</v>
      </c>
      <c r="AF135" s="14">
        <f>IFERROR(__xludf.DUMMYFUNCTION("""COMPUTED_VALUE"""),395094.0)</f>
        <v>395094</v>
      </c>
    </row>
    <row r="136">
      <c r="A136" s="12">
        <v>135.0</v>
      </c>
      <c r="B136" s="12" t="s">
        <v>88</v>
      </c>
      <c r="C136" s="5" t="s">
        <v>80</v>
      </c>
      <c r="D136" s="8"/>
      <c r="E136" s="11">
        <v>3.0</v>
      </c>
      <c r="F136" s="8"/>
      <c r="G136" s="8"/>
      <c r="H136" s="8"/>
      <c r="I136" s="11">
        <v>0.815</v>
      </c>
      <c r="J136" s="9" t="s">
        <v>65</v>
      </c>
      <c r="K136" s="14" t="str">
        <f>IFERROR(__xludf.DUMMYFUNCTION("ARRAYFORMULA(VLOOKUP(A136,IMPORTRANGE(""https://docs.google.com/spreadsheets/d/1BuTWp7qHGjWhqrnf-OmePP568O4A5Am9ttzvVdP67zw/edit#gid=1603210130"", ""TOURISM!$A$2:$F$2692""), {2,3,4,5,6},0))"),"Oceania")</f>
        <v>Oceania</v>
      </c>
      <c r="L136" s="14">
        <f>IFERROR(__xludf.DUMMYFUNCTION("""COMPUTED_VALUE"""),2.0453E10)</f>
        <v>20453000000</v>
      </c>
      <c r="M136" s="14" t="str">
        <f>IFERROR(__xludf.DUMMYFUNCTION("""COMPUTED_VALUE"""),"Australia-Oceania")</f>
        <v>Australia-Oceania</v>
      </c>
      <c r="N136" s="14" t="str">
        <f>IFERROR(__xludf.DUMMYFUNCTION("""COMPUTED_VALUE"""),"2004")</f>
        <v>2004</v>
      </c>
      <c r="O136" s="14">
        <f>IFERROR(__xludf.DUMMYFUNCTION("""COMPUTED_VALUE"""),1.4224E10)</f>
        <v>14224000000</v>
      </c>
      <c r="P136" s="15">
        <f>IFERROR(__xludf.DUMMYFUNCTION("ARRAYFORMULA(VLOOKUP(A136,IMPORTRANGE(""https://docs.google.com/spreadsheets/d/1BuTWp7qHGjWhqrnf-OmePP568O4A5Am9ttzvVdP67zw/edit#gid=771602874"" ,""HUMAN RESOURCES!$A$2:$M$2692""), {2,3,4,5,6,7,8,9,10,11,12,13},0))"),0.012)</f>
        <v>0.012</v>
      </c>
      <c r="Q136" s="14">
        <f>IFERROR(__xludf.DUMMYFUNCTION("""COMPUTED_VALUE"""),0.005)</f>
        <v>0.005</v>
      </c>
      <c r="R136" s="14">
        <f>IFERROR(__xludf.DUMMYFUNCTION("""COMPUTED_VALUE"""),83.0)</f>
        <v>83</v>
      </c>
      <c r="S136" s="14">
        <f>IFERROR(__xludf.DUMMYFUNCTION("""COMPUTED_VALUE"""),78.0)</f>
        <v>78</v>
      </c>
      <c r="T136" s="14">
        <f>IFERROR(__xludf.DUMMYFUNCTION("""COMPUTED_VALUE"""),0.2)</f>
        <v>0.2</v>
      </c>
      <c r="U136" s="14">
        <f>IFERROR(__xludf.DUMMYFUNCTION("""COMPUTED_VALUE"""),0.672)</f>
        <v>0.672</v>
      </c>
      <c r="V136" s="14">
        <f>IFERROR(__xludf.DUMMYFUNCTION("""COMPUTED_VALUE"""),0.128)</f>
        <v>0.128</v>
      </c>
      <c r="W136" s="14">
        <f>IFERROR(__xludf.DUMMYFUNCTION("""COMPUTED_VALUE"""),2.01274E7)</f>
        <v>20127400</v>
      </c>
      <c r="X136" s="14">
        <f>IFERROR(__xludf.DUMMYFUNCTION("""COMPUTED_VALUE"""),0.878)</f>
        <v>0.878</v>
      </c>
      <c r="Y136" s="14" t="str">
        <f>IFERROR(__xludf.DUMMYFUNCTION("""COMPUTED_VALUE"""),"Australia-Oceania")</f>
        <v>Australia-Oceania</v>
      </c>
      <c r="Z136" s="14" t="str">
        <f>IFERROR(__xludf.DUMMYFUNCTION("""COMPUTED_VALUE"""),"Oceania")</f>
        <v>Oceania</v>
      </c>
      <c r="AA136" s="14" t="str">
        <f>IFERROR(__xludf.DUMMYFUNCTION("""COMPUTED_VALUE"""),"2004")</f>
        <v>2004</v>
      </c>
      <c r="AB136" s="15" t="str">
        <f>IFERROR(__xludf.DUMMYFUNCTION("ARRAYFORMULA(VLOOKUP(A136,IMPORTRANGE(""https://docs.google.com/spreadsheets/d/1BuTWp7qHGjWhqrnf-OmePP568O4A5Am9ttzvVdP67zw/edit#gid=1931367683"" ,""ENERGY!$A$2:$F$2692""), {2,3,4,5,6},0))"),"Oceania")</f>
        <v>Oceania</v>
      </c>
      <c r="AC136" s="14" t="str">
        <f>IFERROR(__xludf.DUMMYFUNCTION("""COMPUTED_VALUE"""),"Australia-Oceania")</f>
        <v>Australia-Oceania</v>
      </c>
      <c r="AD136" s="14" t="str">
        <f>IFERROR(__xludf.DUMMYFUNCTION("""COMPUTED_VALUE"""),"2004")</f>
        <v>2004</v>
      </c>
      <c r="AE136" s="14">
        <f>IFERROR(__xludf.DUMMYFUNCTION("""COMPUTED_VALUE"""),122519.0)</f>
        <v>122519</v>
      </c>
      <c r="AF136" s="14">
        <f>IFERROR(__xludf.DUMMYFUNCTION("""COMPUTED_VALUE"""),387635.0)</f>
        <v>387635</v>
      </c>
    </row>
    <row r="137">
      <c r="A137" s="12">
        <v>136.0</v>
      </c>
      <c r="B137" s="12" t="s">
        <v>88</v>
      </c>
      <c r="C137" s="5" t="s">
        <v>80</v>
      </c>
      <c r="D137" s="11">
        <v>0.521</v>
      </c>
      <c r="E137" s="11">
        <v>3.0</v>
      </c>
      <c r="F137" s="8"/>
      <c r="G137" s="11">
        <v>107.0</v>
      </c>
      <c r="H137" s="11">
        <v>0.63</v>
      </c>
      <c r="I137" s="11">
        <v>0.898</v>
      </c>
      <c r="J137" s="9" t="s">
        <v>66</v>
      </c>
      <c r="K137" s="14" t="str">
        <f>IFERROR(__xludf.DUMMYFUNCTION("ARRAYFORMULA(VLOOKUP(A137,IMPORTRANGE(""https://docs.google.com/spreadsheets/d/1BuTWp7qHGjWhqrnf-OmePP568O4A5Am9ttzvVdP67zw/edit#gid=1603210130"", ""TOURISM!$A$2:$F$2692""), {2,3,4,5,6},0))"),"Oceania")</f>
        <v>Oceania</v>
      </c>
      <c r="L137" s="14">
        <f>IFERROR(__xludf.DUMMYFUNCTION("""COMPUTED_VALUE"""),1.982E10)</f>
        <v>19820000000</v>
      </c>
      <c r="M137" s="14" t="str">
        <f>IFERROR(__xludf.DUMMYFUNCTION("""COMPUTED_VALUE"""),"Australia-Oceania")</f>
        <v>Australia-Oceania</v>
      </c>
      <c r="N137" s="14" t="str">
        <f>IFERROR(__xludf.DUMMYFUNCTION("""COMPUTED_VALUE"""),"2005")</f>
        <v>2005</v>
      </c>
      <c r="O137" s="14">
        <f>IFERROR(__xludf.DUMMYFUNCTION("""COMPUTED_VALUE"""),1.5656E10)</f>
        <v>15656000000</v>
      </c>
      <c r="P137" s="15">
        <f>IFERROR(__xludf.DUMMYFUNCTION("ARRAYFORMULA(VLOOKUP(A137,IMPORTRANGE(""https://docs.google.com/spreadsheets/d/1BuTWp7qHGjWhqrnf-OmePP568O4A5Am9ttzvVdP67zw/edit#gid=771602874"" ,""HUMAN RESOURCES!$A$2:$M$2692""), {2,3,4,5,6,7,8,9,10,11,12,13},0))"),0.013)</f>
        <v>0.013</v>
      </c>
      <c r="Q137" s="14">
        <f>IFERROR(__xludf.DUMMYFUNCTION("""COMPUTED_VALUE"""),0.005)</f>
        <v>0.005</v>
      </c>
      <c r="R137" s="14">
        <f>IFERROR(__xludf.DUMMYFUNCTION("""COMPUTED_VALUE"""),83.0)</f>
        <v>83</v>
      </c>
      <c r="S137" s="14">
        <f>IFERROR(__xludf.DUMMYFUNCTION("""COMPUTED_VALUE"""),79.0)</f>
        <v>79</v>
      </c>
      <c r="T137" s="14">
        <f>IFERROR(__xludf.DUMMYFUNCTION("""COMPUTED_VALUE"""),0.198)</f>
        <v>0.198</v>
      </c>
      <c r="U137" s="14">
        <f>IFERROR(__xludf.DUMMYFUNCTION("""COMPUTED_VALUE"""),0.673)</f>
        <v>0.673</v>
      </c>
      <c r="V137" s="14">
        <f>IFERROR(__xludf.DUMMYFUNCTION("""COMPUTED_VALUE"""),0.129)</f>
        <v>0.129</v>
      </c>
      <c r="W137" s="14">
        <f>IFERROR(__xludf.DUMMYFUNCTION("""COMPUTED_VALUE"""),2.03948E7)</f>
        <v>20394800</v>
      </c>
      <c r="X137" s="14">
        <f>IFERROR(__xludf.DUMMYFUNCTION("""COMPUTED_VALUE"""),0.88)</f>
        <v>0.88</v>
      </c>
      <c r="Y137" s="14" t="str">
        <f>IFERROR(__xludf.DUMMYFUNCTION("""COMPUTED_VALUE"""),"Australia-Oceania")</f>
        <v>Australia-Oceania</v>
      </c>
      <c r="Z137" s="14" t="str">
        <f>IFERROR(__xludf.DUMMYFUNCTION("""COMPUTED_VALUE"""),"Oceania")</f>
        <v>Oceania</v>
      </c>
      <c r="AA137" s="14" t="str">
        <f>IFERROR(__xludf.DUMMYFUNCTION("""COMPUTED_VALUE"""),"2005")</f>
        <v>2005</v>
      </c>
      <c r="AB137" s="15" t="str">
        <f>IFERROR(__xludf.DUMMYFUNCTION("ARRAYFORMULA(VLOOKUP(A137,IMPORTRANGE(""https://docs.google.com/spreadsheets/d/1BuTWp7qHGjWhqrnf-OmePP568O4A5Am9ttzvVdP67zw/edit#gid=1931367683"" ,""ENERGY!$A$2:$F$2692""), {2,3,4,5,6},0))"),"Oceania")</f>
        <v>Oceania</v>
      </c>
      <c r="AC137" s="14" t="str">
        <f>IFERROR(__xludf.DUMMYFUNCTION("""COMPUTED_VALUE"""),"Australia-Oceania")</f>
        <v>Australia-Oceania</v>
      </c>
      <c r="AD137" s="14" t="str">
        <f>IFERROR(__xludf.DUMMYFUNCTION("""COMPUTED_VALUE"""),"2005")</f>
        <v>2005</v>
      </c>
      <c r="AE137" s="14">
        <f>IFERROR(__xludf.DUMMYFUNCTION("""COMPUTED_VALUE"""),118655.0)</f>
        <v>118655</v>
      </c>
      <c r="AF137" s="14">
        <f>IFERROR(__xludf.DUMMYFUNCTION("""COMPUTED_VALUE"""),377235.0)</f>
        <v>377235</v>
      </c>
    </row>
    <row r="138">
      <c r="A138" s="12">
        <v>137.0</v>
      </c>
      <c r="B138" s="12" t="s">
        <v>88</v>
      </c>
      <c r="C138" s="5" t="s">
        <v>80</v>
      </c>
      <c r="D138" s="11">
        <v>0.511</v>
      </c>
      <c r="E138" s="11">
        <v>3.0</v>
      </c>
      <c r="F138" s="8"/>
      <c r="G138" s="11">
        <v>107.0</v>
      </c>
      <c r="H138" s="11">
        <v>0.66</v>
      </c>
      <c r="I138" s="11">
        <v>0.947</v>
      </c>
      <c r="J138" s="9" t="s">
        <v>67</v>
      </c>
      <c r="K138" s="14" t="str">
        <f>IFERROR(__xludf.DUMMYFUNCTION("ARRAYFORMULA(VLOOKUP(A138,IMPORTRANGE(""https://docs.google.com/spreadsheets/d/1BuTWp7qHGjWhqrnf-OmePP568O4A5Am9ttzvVdP67zw/edit#gid=1603210130"", ""TOURISM!$A$2:$F$2692""), {2,3,4,5,6},0))"),"Oceania")</f>
        <v>Oceania</v>
      </c>
      <c r="L138" s="14">
        <f>IFERROR(__xludf.DUMMYFUNCTION("""COMPUTED_VALUE"""),2.0726E10)</f>
        <v>20726000000</v>
      </c>
      <c r="M138" s="14" t="str">
        <f>IFERROR(__xludf.DUMMYFUNCTION("""COMPUTED_VALUE"""),"Australia-Oceania")</f>
        <v>Australia-Oceania</v>
      </c>
      <c r="N138" s="14" t="str">
        <f>IFERROR(__xludf.DUMMYFUNCTION("""COMPUTED_VALUE"""),"2006")</f>
        <v>2006</v>
      </c>
      <c r="O138" s="14">
        <f>IFERROR(__xludf.DUMMYFUNCTION("""COMPUTED_VALUE"""),1.6446E10)</f>
        <v>16446000000</v>
      </c>
      <c r="P138" s="15">
        <f>IFERROR(__xludf.DUMMYFUNCTION("ARRAYFORMULA(VLOOKUP(A138,IMPORTRANGE(""https://docs.google.com/spreadsheets/d/1BuTWp7qHGjWhqrnf-OmePP568O4A5Am9ttzvVdP67zw/edit#gid=771602874"" ,""HUMAN RESOURCES!$A$2:$M$2692""), {2,3,4,5,6,7,8,9,10,11,12,13},0))"),0.013)</f>
        <v>0.013</v>
      </c>
      <c r="Q138" s="14">
        <f>IFERROR(__xludf.DUMMYFUNCTION("""COMPUTED_VALUE"""),0.005)</f>
        <v>0.005</v>
      </c>
      <c r="R138" s="14">
        <f>IFERROR(__xludf.DUMMYFUNCTION("""COMPUTED_VALUE"""),84.0)</f>
        <v>84</v>
      </c>
      <c r="S138" s="14">
        <f>IFERROR(__xludf.DUMMYFUNCTION("""COMPUTED_VALUE"""),79.0)</f>
        <v>79</v>
      </c>
      <c r="T138" s="14">
        <f>IFERROR(__xludf.DUMMYFUNCTION("""COMPUTED_VALUE"""),0.195)</f>
        <v>0.195</v>
      </c>
      <c r="U138" s="14">
        <f>IFERROR(__xludf.DUMMYFUNCTION("""COMPUTED_VALUE"""),0.674)</f>
        <v>0.674</v>
      </c>
      <c r="V138" s="14">
        <f>IFERROR(__xludf.DUMMYFUNCTION("""COMPUTED_VALUE"""),0.13)</f>
        <v>0.13</v>
      </c>
      <c r="W138" s="14">
        <f>IFERROR(__xludf.DUMMYFUNCTION("""COMPUTED_VALUE"""),2.06979E7)</f>
        <v>20697900</v>
      </c>
      <c r="X138" s="14">
        <f>IFERROR(__xludf.DUMMYFUNCTION("""COMPUTED_VALUE"""),0.882)</f>
        <v>0.882</v>
      </c>
      <c r="Y138" s="14" t="str">
        <f>IFERROR(__xludf.DUMMYFUNCTION("""COMPUTED_VALUE"""),"Australia-Oceania")</f>
        <v>Australia-Oceania</v>
      </c>
      <c r="Z138" s="14" t="str">
        <f>IFERROR(__xludf.DUMMYFUNCTION("""COMPUTED_VALUE"""),"Oceania")</f>
        <v>Oceania</v>
      </c>
      <c r="AA138" s="14" t="str">
        <f>IFERROR(__xludf.DUMMYFUNCTION("""COMPUTED_VALUE"""),"2006")</f>
        <v>2006</v>
      </c>
      <c r="AB138" s="15" t="str">
        <f>IFERROR(__xludf.DUMMYFUNCTION("ARRAYFORMULA(VLOOKUP(A138,IMPORTRANGE(""https://docs.google.com/spreadsheets/d/1BuTWp7qHGjWhqrnf-OmePP568O4A5Am9ttzvVdP67zw/edit#gid=1931367683"" ,""ENERGY!$A$2:$F$2692""), {2,3,4,5,6},0))"),"Oceania")</f>
        <v>Oceania</v>
      </c>
      <c r="AC138" s="14" t="str">
        <f>IFERROR(__xludf.DUMMYFUNCTION("""COMPUTED_VALUE"""),"Australia-Oceania")</f>
        <v>Australia-Oceania</v>
      </c>
      <c r="AD138" s="14" t="str">
        <f>IFERROR(__xludf.DUMMYFUNCTION("""COMPUTED_VALUE"""),"2009")</f>
        <v>2009</v>
      </c>
      <c r="AE138" s="14">
        <f>IFERROR(__xludf.DUMMYFUNCTION("""COMPUTED_VALUE"""),115020.0)</f>
        <v>115020</v>
      </c>
      <c r="AF138" s="14">
        <f>IFERROR(__xludf.DUMMYFUNCTION("""COMPUTED_VALUE"""),371214.0)</f>
        <v>371214</v>
      </c>
    </row>
    <row r="139">
      <c r="A139" s="12">
        <v>138.0</v>
      </c>
      <c r="B139" s="12" t="s">
        <v>88</v>
      </c>
      <c r="C139" s="5" t="s">
        <v>80</v>
      </c>
      <c r="D139" s="11">
        <v>0.501</v>
      </c>
      <c r="E139" s="11">
        <v>3.0</v>
      </c>
      <c r="F139" s="8"/>
      <c r="G139" s="11">
        <v>107.0</v>
      </c>
      <c r="H139" s="11">
        <v>0.695</v>
      </c>
      <c r="I139" s="11">
        <v>1.001</v>
      </c>
      <c r="J139" s="9" t="s">
        <v>68</v>
      </c>
      <c r="K139" s="14" t="str">
        <f>IFERROR(__xludf.DUMMYFUNCTION("ARRAYFORMULA(VLOOKUP(A139,IMPORTRANGE(""https://docs.google.com/spreadsheets/d/1BuTWp7qHGjWhqrnf-OmePP568O4A5Am9ttzvVdP67zw/edit#gid=1603210130"", ""TOURISM!$A$2:$F$2692""), {2,3,4,5,6},0))"),"Oceania")</f>
        <v>Oceania</v>
      </c>
      <c r="L139" s="14">
        <f>IFERROR(__xludf.DUMMYFUNCTION("""COMPUTED_VALUE"""),2.5624E10)</f>
        <v>25624000000</v>
      </c>
      <c r="M139" s="14" t="str">
        <f>IFERROR(__xludf.DUMMYFUNCTION("""COMPUTED_VALUE"""),"Australia-Oceania")</f>
        <v>Australia-Oceania</v>
      </c>
      <c r="N139" s="14" t="str">
        <f>IFERROR(__xludf.DUMMYFUNCTION("""COMPUTED_VALUE"""),"2007")</f>
        <v>2007</v>
      </c>
      <c r="O139" s="14">
        <f>IFERROR(__xludf.DUMMYFUNCTION("""COMPUTED_VALUE"""),2.0429E10)</f>
        <v>20429000000</v>
      </c>
      <c r="P139" s="15">
        <f>IFERROR(__xludf.DUMMYFUNCTION("ARRAYFORMULA(VLOOKUP(A139,IMPORTRANGE(""https://docs.google.com/spreadsheets/d/1BuTWp7qHGjWhqrnf-OmePP568O4A5Am9ttzvVdP67zw/edit#gid=771602874"" ,""HUMAN RESOURCES!$A$2:$M$2692""), {2,3,4,5,6,7,8,9,10,11,12,13},0))"),0.014)</f>
        <v>0.014</v>
      </c>
      <c r="Q139" s="14">
        <f>IFERROR(__xludf.DUMMYFUNCTION("""COMPUTED_VALUE"""),0.005)</f>
        <v>0.005</v>
      </c>
      <c r="R139" s="14">
        <f>IFERROR(__xludf.DUMMYFUNCTION("""COMPUTED_VALUE"""),84.0)</f>
        <v>84</v>
      </c>
      <c r="S139" s="14">
        <f>IFERROR(__xludf.DUMMYFUNCTION("""COMPUTED_VALUE"""),79.0)</f>
        <v>79</v>
      </c>
      <c r="T139" s="14">
        <f>IFERROR(__xludf.DUMMYFUNCTION("""COMPUTED_VALUE"""),0.193)</f>
        <v>0.193</v>
      </c>
      <c r="U139" s="14">
        <f>IFERROR(__xludf.DUMMYFUNCTION("""COMPUTED_VALUE"""),0.676)</f>
        <v>0.676</v>
      </c>
      <c r="V139" s="14">
        <f>IFERROR(__xludf.DUMMYFUNCTION("""COMPUTED_VALUE"""),0.131)</f>
        <v>0.131</v>
      </c>
      <c r="W139" s="14">
        <f>IFERROR(__xludf.DUMMYFUNCTION("""COMPUTED_VALUE"""),2.08276E7)</f>
        <v>20827600</v>
      </c>
      <c r="X139" s="14">
        <f>IFERROR(__xludf.DUMMYFUNCTION("""COMPUTED_VALUE"""),0.883)</f>
        <v>0.883</v>
      </c>
      <c r="Y139" s="14" t="str">
        <f>IFERROR(__xludf.DUMMYFUNCTION("""COMPUTED_VALUE"""),"Australia-Oceania")</f>
        <v>Australia-Oceania</v>
      </c>
      <c r="Z139" s="14" t="str">
        <f>IFERROR(__xludf.DUMMYFUNCTION("""COMPUTED_VALUE"""),"Oceania")</f>
        <v>Oceania</v>
      </c>
      <c r="AA139" s="14" t="str">
        <f>IFERROR(__xludf.DUMMYFUNCTION("""COMPUTED_VALUE"""),"2007")</f>
        <v>2007</v>
      </c>
      <c r="AB139" s="15" t="str">
        <f>IFERROR(__xludf.DUMMYFUNCTION("ARRAYFORMULA(VLOOKUP(A139,IMPORTRANGE(""https://docs.google.com/spreadsheets/d/1BuTWp7qHGjWhqrnf-OmePP568O4A5Am9ttzvVdP67zw/edit#gid=1931367683"" ,""ENERGY!$A$2:$F$2692""), {2,3,4,5,6},0))"),"Oceania")</f>
        <v>Oceania</v>
      </c>
      <c r="AC139" s="14" t="str">
        <f>IFERROR(__xludf.DUMMYFUNCTION("""COMPUTED_VALUE"""),"Australia-Oceania")</f>
        <v>Australia-Oceania</v>
      </c>
      <c r="AD139" s="14" t="str">
        <f>IFERROR(__xludf.DUMMYFUNCTION("""COMPUTED_VALUE"""),"2006")</f>
        <v>2006</v>
      </c>
      <c r="AE139" s="14">
        <f>IFERROR(__xludf.DUMMYFUNCTION("""COMPUTED_VALUE"""),113503.0)</f>
        <v>113503</v>
      </c>
      <c r="AF139" s="14">
        <f>IFERROR(__xludf.DUMMYFUNCTION("""COMPUTED_VALUE"""),362685.0)</f>
        <v>362685</v>
      </c>
    </row>
    <row r="140">
      <c r="A140" s="12">
        <v>139.0</v>
      </c>
      <c r="B140" s="12" t="s">
        <v>88</v>
      </c>
      <c r="C140" s="5" t="s">
        <v>80</v>
      </c>
      <c r="D140" s="11">
        <v>0.499</v>
      </c>
      <c r="E140" s="11">
        <v>3.0</v>
      </c>
      <c r="F140" s="8"/>
      <c r="G140" s="11">
        <v>107.0</v>
      </c>
      <c r="H140" s="11">
        <v>0.717</v>
      </c>
      <c r="I140" s="11">
        <v>1.022</v>
      </c>
      <c r="J140" s="9" t="s">
        <v>69</v>
      </c>
      <c r="K140" s="14" t="str">
        <f>IFERROR(__xludf.DUMMYFUNCTION("ARRAYFORMULA(VLOOKUP(A140,IMPORTRANGE(""https://docs.google.com/spreadsheets/d/1BuTWp7qHGjWhqrnf-OmePP568O4A5Am9ttzvVdP67zw/edit#gid=1603210130"", ""TOURISM!$A$2:$F$2692""), {2,3,4,5,6},0))"),"Oceania")</f>
        <v>Oceania</v>
      </c>
      <c r="L140" s="14">
        <f>IFERROR(__xludf.DUMMYFUNCTION("""COMPUTED_VALUE"""),2.8306E10)</f>
        <v>28306000000</v>
      </c>
      <c r="M140" s="14" t="str">
        <f>IFERROR(__xludf.DUMMYFUNCTION("""COMPUTED_VALUE"""),"Australia-Oceania")</f>
        <v>Australia-Oceania</v>
      </c>
      <c r="N140" s="14" t="str">
        <f>IFERROR(__xludf.DUMMYFUNCTION("""COMPUTED_VALUE"""),"2008")</f>
        <v>2008</v>
      </c>
      <c r="O140" s="14">
        <f>IFERROR(__xludf.DUMMYFUNCTION("""COMPUTED_VALUE"""),2.4689E10)</f>
        <v>24689000000</v>
      </c>
      <c r="P140" s="15">
        <f>IFERROR(__xludf.DUMMYFUNCTION("ARRAYFORMULA(VLOOKUP(A140,IMPORTRANGE(""https://docs.google.com/spreadsheets/d/1BuTWp7qHGjWhqrnf-OmePP568O4A5Am9ttzvVdP67zw/edit#gid=771602874"" ,""HUMAN RESOURCES!$A$2:$M$2692""), {2,3,4,5,6,7,8,9,10,11,12,13},0))"),0.014)</f>
        <v>0.014</v>
      </c>
      <c r="Q140" s="14">
        <f>IFERROR(__xludf.DUMMYFUNCTION("""COMPUTED_VALUE"""),0.004)</f>
        <v>0.004</v>
      </c>
      <c r="R140" s="14">
        <f>IFERROR(__xludf.DUMMYFUNCTION("""COMPUTED_VALUE"""),84.0)</f>
        <v>84</v>
      </c>
      <c r="S140" s="14">
        <f>IFERROR(__xludf.DUMMYFUNCTION("""COMPUTED_VALUE"""),79.0)</f>
        <v>79</v>
      </c>
      <c r="T140" s="14">
        <f>IFERROR(__xludf.DUMMYFUNCTION("""COMPUTED_VALUE"""),0.192)</f>
        <v>0.192</v>
      </c>
      <c r="U140" s="14">
        <f>IFERROR(__xludf.DUMMYFUNCTION("""COMPUTED_VALUE"""),0.677)</f>
        <v>0.677</v>
      </c>
      <c r="V140" s="14">
        <f>IFERROR(__xludf.DUMMYFUNCTION("""COMPUTED_VALUE"""),0.132)</f>
        <v>0.132</v>
      </c>
      <c r="W140" s="14">
        <f>IFERROR(__xludf.DUMMYFUNCTION("""COMPUTED_VALUE"""),2.12492E7)</f>
        <v>21249200</v>
      </c>
      <c r="X140" s="14">
        <f>IFERROR(__xludf.DUMMYFUNCTION("""COMPUTED_VALUE"""),0.884)</f>
        <v>0.884</v>
      </c>
      <c r="Y140" s="14" t="str">
        <f>IFERROR(__xludf.DUMMYFUNCTION("""COMPUTED_VALUE"""),"Australia-Oceania")</f>
        <v>Australia-Oceania</v>
      </c>
      <c r="Z140" s="14" t="str">
        <f>IFERROR(__xludf.DUMMYFUNCTION("""COMPUTED_VALUE"""),"Oceania")</f>
        <v>Oceania</v>
      </c>
      <c r="AA140" s="14" t="str">
        <f>IFERROR(__xludf.DUMMYFUNCTION("""COMPUTED_VALUE"""),"2008")</f>
        <v>2008</v>
      </c>
      <c r="AB140" s="15" t="str">
        <f>IFERROR(__xludf.DUMMYFUNCTION("ARRAYFORMULA(VLOOKUP(A140,IMPORTRANGE(""https://docs.google.com/spreadsheets/d/1BuTWp7qHGjWhqrnf-OmePP568O4A5Am9ttzvVdP67zw/edit#gid=1931367683"" ,""ENERGY!$A$2:$F$2692""), {2,3,4,5,6},0))"),"Oceania")</f>
        <v>Oceania</v>
      </c>
      <c r="AC140" s="14" t="str">
        <f>IFERROR(__xludf.DUMMYFUNCTION("""COMPUTED_VALUE"""),"Australia-Oceania")</f>
        <v>Australia-Oceania</v>
      </c>
      <c r="AD140" s="14" t="str">
        <f>IFERROR(__xludf.DUMMYFUNCTION("""COMPUTED_VALUE"""),"2012")</f>
        <v>2012</v>
      </c>
      <c r="AE140" s="14">
        <f>IFERROR(__xludf.DUMMYFUNCTION("""COMPUTED_VALUE"""),112696.0)</f>
        <v>112696</v>
      </c>
      <c r="AF140" s="14">
        <f>IFERROR(__xludf.DUMMYFUNCTION("""COMPUTED_VALUE"""),348757.0)</f>
        <v>348757</v>
      </c>
    </row>
    <row r="141">
      <c r="A141" s="12">
        <v>140.0</v>
      </c>
      <c r="B141" s="12" t="s">
        <v>88</v>
      </c>
      <c r="C141" s="5" t="s">
        <v>80</v>
      </c>
      <c r="D141" s="11">
        <v>0.476</v>
      </c>
      <c r="E141" s="11">
        <v>3.0</v>
      </c>
      <c r="F141" s="8"/>
      <c r="G141" s="11">
        <v>107.0</v>
      </c>
      <c r="H141" s="11">
        <v>0.743</v>
      </c>
      <c r="I141" s="11">
        <v>1.007</v>
      </c>
      <c r="J141" s="9" t="s">
        <v>70</v>
      </c>
      <c r="K141" s="14" t="str">
        <f>IFERROR(__xludf.DUMMYFUNCTION("ARRAYFORMULA(VLOOKUP(A141,IMPORTRANGE(""https://docs.google.com/spreadsheets/d/1BuTWp7qHGjWhqrnf-OmePP568O4A5Am9ttzvVdP67zw/edit#gid=1603210130"", ""TOURISM!$A$2:$F$2692""), {2,3,4,5,6},0))"),"Oceania")</f>
        <v>Oceania</v>
      </c>
      <c r="L141" s="14">
        <f>IFERROR(__xludf.DUMMYFUNCTION("""COMPUTED_VALUE"""),2.8022E10)</f>
        <v>28022000000</v>
      </c>
      <c r="M141" s="14" t="str">
        <f>IFERROR(__xludf.DUMMYFUNCTION("""COMPUTED_VALUE"""),"Australia-Oceania")</f>
        <v>Australia-Oceania</v>
      </c>
      <c r="N141" s="14" t="str">
        <f>IFERROR(__xludf.DUMMYFUNCTION("""COMPUTED_VALUE"""),"2009")</f>
        <v>2009</v>
      </c>
      <c r="O141" s="14">
        <f>IFERROR(__xludf.DUMMYFUNCTION("""COMPUTED_VALUE"""),2.1891E10)</f>
        <v>21891000000</v>
      </c>
      <c r="P141" s="15">
        <f>IFERROR(__xludf.DUMMYFUNCTION("ARRAYFORMULA(VLOOKUP(A141,IMPORTRANGE(""https://docs.google.com/spreadsheets/d/1BuTWp7qHGjWhqrnf-OmePP568O4A5Am9ttzvVdP67zw/edit#gid=771602874"" ,""HUMAN RESOURCES!$A$2:$M$2692""), {2,3,4,5,6,7,8,9,10,11,12,13},0))"),0.014)</f>
        <v>0.014</v>
      </c>
      <c r="Q141" s="14">
        <f>IFERROR(__xludf.DUMMYFUNCTION("""COMPUTED_VALUE"""),0.004)</f>
        <v>0.004</v>
      </c>
      <c r="R141" s="14">
        <f>IFERROR(__xludf.DUMMYFUNCTION("""COMPUTED_VALUE"""),84.0)</f>
        <v>84</v>
      </c>
      <c r="S141" s="14">
        <f>IFERROR(__xludf.DUMMYFUNCTION("""COMPUTED_VALUE"""),79.0)</f>
        <v>79</v>
      </c>
      <c r="T141" s="14">
        <f>IFERROR(__xludf.DUMMYFUNCTION("""COMPUTED_VALUE"""),0.19)</f>
        <v>0.19</v>
      </c>
      <c r="U141" s="14">
        <f>IFERROR(__xludf.DUMMYFUNCTION("""COMPUTED_VALUE"""),0.677)</f>
        <v>0.677</v>
      </c>
      <c r="V141" s="14">
        <f>IFERROR(__xludf.DUMMYFUNCTION("""COMPUTED_VALUE"""),0.133)</f>
        <v>0.133</v>
      </c>
      <c r="W141" s="14">
        <f>IFERROR(__xludf.DUMMYFUNCTION("""COMPUTED_VALUE"""),2.16917E7)</f>
        <v>21691700</v>
      </c>
      <c r="X141" s="14">
        <f>IFERROR(__xludf.DUMMYFUNCTION("""COMPUTED_VALUE"""),0.886)</f>
        <v>0.886</v>
      </c>
      <c r="Y141" s="14" t="str">
        <f>IFERROR(__xludf.DUMMYFUNCTION("""COMPUTED_VALUE"""),"Australia-Oceania")</f>
        <v>Australia-Oceania</v>
      </c>
      <c r="Z141" s="14" t="str">
        <f>IFERROR(__xludf.DUMMYFUNCTION("""COMPUTED_VALUE"""),"Oceania")</f>
        <v>Oceania</v>
      </c>
      <c r="AA141" s="14" t="str">
        <f>IFERROR(__xludf.DUMMYFUNCTION("""COMPUTED_VALUE"""),"2009")</f>
        <v>2009</v>
      </c>
      <c r="AB141" s="15" t="str">
        <f>IFERROR(__xludf.DUMMYFUNCTION("ARRAYFORMULA(VLOOKUP(A141,IMPORTRANGE(""https://docs.google.com/spreadsheets/d/1BuTWp7qHGjWhqrnf-OmePP568O4A5Am9ttzvVdP67zw/edit#gid=1931367683"" ,""ENERGY!$A$2:$F$2692""), {2,3,4,5,6},0))"),"Oceania")</f>
        <v>Oceania</v>
      </c>
      <c r="AC141" s="14" t="str">
        <f>IFERROR(__xludf.DUMMYFUNCTION("""COMPUTED_VALUE"""),"Australia-Oceania")</f>
        <v>Australia-Oceania</v>
      </c>
      <c r="AD141" s="14" t="str">
        <f>IFERROR(__xludf.DUMMYFUNCTION("""COMPUTED_VALUE"""),"2008")</f>
        <v>2008</v>
      </c>
      <c r="AE141" s="14">
        <f>IFERROR(__xludf.DUMMYFUNCTION("""COMPUTED_VALUE"""),110814.0)</f>
        <v>110814</v>
      </c>
      <c r="AF141" s="14">
        <f>IFERROR(__xludf.DUMMYFUNCTION("""COMPUTED_VALUE"""),346476.0)</f>
        <v>346476</v>
      </c>
    </row>
    <row r="142">
      <c r="A142" s="12">
        <v>141.0</v>
      </c>
      <c r="B142" s="12" t="s">
        <v>88</v>
      </c>
      <c r="C142" s="5" t="s">
        <v>80</v>
      </c>
      <c r="D142" s="11">
        <v>0.475</v>
      </c>
      <c r="E142" s="11">
        <v>3.0</v>
      </c>
      <c r="F142" s="8"/>
      <c r="G142" s="11">
        <v>109.0</v>
      </c>
      <c r="H142" s="11">
        <v>0.76</v>
      </c>
      <c r="I142" s="11">
        <v>1.004</v>
      </c>
      <c r="J142" s="9" t="s">
        <v>71</v>
      </c>
      <c r="K142" s="14" t="str">
        <f>IFERROR(__xludf.DUMMYFUNCTION("ARRAYFORMULA(VLOOKUP(A142,IMPORTRANGE(""https://docs.google.com/spreadsheets/d/1BuTWp7qHGjWhqrnf-OmePP568O4A5Am9ttzvVdP67zw/edit#gid=1603210130"", ""TOURISM!$A$2:$F$2692""), {2,3,4,5,6},0))"),"Oceania")</f>
        <v>Oceania</v>
      </c>
      <c r="L142" s="14">
        <f>IFERROR(__xludf.DUMMYFUNCTION("""COMPUTED_VALUE"""),3.2336E10)</f>
        <v>32336000000</v>
      </c>
      <c r="M142" s="14" t="str">
        <f>IFERROR(__xludf.DUMMYFUNCTION("""COMPUTED_VALUE"""),"Australia-Oceania")</f>
        <v>Australia-Oceania</v>
      </c>
      <c r="N142" s="14" t="str">
        <f>IFERROR(__xludf.DUMMYFUNCTION("""COMPUTED_VALUE"""),"2010")</f>
        <v>2010</v>
      </c>
      <c r="O142" s="14">
        <f>IFERROR(__xludf.DUMMYFUNCTION("""COMPUTED_VALUE"""),2.7534E10)</f>
        <v>27534000000</v>
      </c>
      <c r="P142" s="15">
        <f>IFERROR(__xludf.DUMMYFUNCTION("ARRAYFORMULA(VLOOKUP(A142,IMPORTRANGE(""https://docs.google.com/spreadsheets/d/1BuTWp7qHGjWhqrnf-OmePP568O4A5Am9ttzvVdP67zw/edit#gid=771602874"" ,""HUMAN RESOURCES!$A$2:$M$2692""), {2,3,4,5,6,7,8,9,10,11,12,13},0))"),0.014)</f>
        <v>0.014</v>
      </c>
      <c r="Q142" s="14">
        <f>IFERROR(__xludf.DUMMYFUNCTION("""COMPUTED_VALUE"""),0.004)</f>
        <v>0.004</v>
      </c>
      <c r="R142" s="14">
        <f>IFERROR(__xludf.DUMMYFUNCTION("""COMPUTED_VALUE"""),84.0)</f>
        <v>84</v>
      </c>
      <c r="S142" s="14">
        <f>IFERROR(__xludf.DUMMYFUNCTION("""COMPUTED_VALUE"""),80.0)</f>
        <v>80</v>
      </c>
      <c r="T142" s="14">
        <f>IFERROR(__xludf.DUMMYFUNCTION("""COMPUTED_VALUE"""),0.189)</f>
        <v>0.189</v>
      </c>
      <c r="U142" s="14">
        <f>IFERROR(__xludf.DUMMYFUNCTION("""COMPUTED_VALUE"""),0.676)</f>
        <v>0.676</v>
      </c>
      <c r="V142" s="14">
        <f>IFERROR(__xludf.DUMMYFUNCTION("""COMPUTED_VALUE"""),0.134)</f>
        <v>0.134</v>
      </c>
      <c r="W142" s="14">
        <f>IFERROR(__xludf.DUMMYFUNCTION("""COMPUTED_VALUE"""),2.20318E7)</f>
        <v>22031800</v>
      </c>
      <c r="X142" s="14">
        <f>IFERROR(__xludf.DUMMYFUNCTION("""COMPUTED_VALUE"""),0.887)</f>
        <v>0.887</v>
      </c>
      <c r="Y142" s="14" t="str">
        <f>IFERROR(__xludf.DUMMYFUNCTION("""COMPUTED_VALUE"""),"Australia-Oceania")</f>
        <v>Australia-Oceania</v>
      </c>
      <c r="Z142" s="14" t="str">
        <f>IFERROR(__xludf.DUMMYFUNCTION("""COMPUTED_VALUE"""),"Oceania")</f>
        <v>Oceania</v>
      </c>
      <c r="AA142" s="14" t="str">
        <f>IFERROR(__xludf.DUMMYFUNCTION("""COMPUTED_VALUE"""),"2010")</f>
        <v>2010</v>
      </c>
      <c r="AB142" s="15" t="str">
        <f>IFERROR(__xludf.DUMMYFUNCTION("ARRAYFORMULA(VLOOKUP(A142,IMPORTRANGE(""https://docs.google.com/spreadsheets/d/1BuTWp7qHGjWhqrnf-OmePP568O4A5Am9ttzvVdP67zw/edit#gid=1931367683"" ,""ENERGY!$A$2:$F$2692""), {2,3,4,5,6},0))"),"Oceania")</f>
        <v>Oceania</v>
      </c>
      <c r="AC142" s="14" t="str">
        <f>IFERROR(__xludf.DUMMYFUNCTION("""COMPUTED_VALUE"""),"Australia-Oceania")</f>
        <v>Australia-Oceania</v>
      </c>
      <c r="AD142" s="14" t="str">
        <f>IFERROR(__xludf.DUMMYFUNCTION("""COMPUTED_VALUE"""),"2005")</f>
        <v>2005</v>
      </c>
      <c r="AE142" s="14">
        <f>IFERROR(__xludf.DUMMYFUNCTION("""COMPUTED_VALUE"""),109461.0)</f>
        <v>109461</v>
      </c>
      <c r="AF142" s="14">
        <f>IFERROR(__xludf.DUMMYFUNCTION("""COMPUTED_VALUE"""),341002.0)</f>
        <v>341002</v>
      </c>
    </row>
    <row r="143">
      <c r="A143" s="12">
        <v>142.0</v>
      </c>
      <c r="B143" s="12" t="s">
        <v>88</v>
      </c>
      <c r="C143" s="5" t="s">
        <v>80</v>
      </c>
      <c r="D143" s="11">
        <v>0.473</v>
      </c>
      <c r="E143" s="11">
        <v>3.0</v>
      </c>
      <c r="F143" s="8"/>
      <c r="G143" s="11">
        <v>109.0</v>
      </c>
      <c r="H143" s="11">
        <v>0.795</v>
      </c>
      <c r="I143" s="11">
        <v>1.046</v>
      </c>
      <c r="J143" s="9" t="s">
        <v>72</v>
      </c>
      <c r="K143" s="14" t="str">
        <f>IFERROR(__xludf.DUMMYFUNCTION("ARRAYFORMULA(VLOOKUP(A143,IMPORTRANGE(""https://docs.google.com/spreadsheets/d/1BuTWp7qHGjWhqrnf-OmePP568O4A5Am9ttzvVdP67zw/edit#gid=1603210130"", ""TOURISM!$A$2:$F$2692""), {2,3,4,5,6},0))"),"Oceania")</f>
        <v>Oceania</v>
      </c>
      <c r="L143" s="14">
        <f>IFERROR(__xludf.DUMMYFUNCTION("""COMPUTED_VALUE"""),3.4207E10)</f>
        <v>34207000000</v>
      </c>
      <c r="M143" s="14" t="str">
        <f>IFERROR(__xludf.DUMMYFUNCTION("""COMPUTED_VALUE"""),"Australia-Oceania")</f>
        <v>Australia-Oceania</v>
      </c>
      <c r="N143" s="14" t="str">
        <f>IFERROR(__xludf.DUMMYFUNCTION("""COMPUTED_VALUE"""),"2011")</f>
        <v>2011</v>
      </c>
      <c r="O143" s="14">
        <f>IFERROR(__xludf.DUMMYFUNCTION("""COMPUTED_VALUE"""),3.3328E10)</f>
        <v>33328000000</v>
      </c>
      <c r="P143" s="15">
        <f>IFERROR(__xludf.DUMMYFUNCTION("ARRAYFORMULA(VLOOKUP(A143,IMPORTRANGE(""https://docs.google.com/spreadsheets/d/1BuTWp7qHGjWhqrnf-OmePP568O4A5Am9ttzvVdP67zw/edit#gid=771602874"" ,""HUMAN RESOURCES!$A$2:$M$2692""), {2,3,4,5,6,7,8,9,10,11,12,13},0))"),0.014)</f>
        <v>0.014</v>
      </c>
      <c r="Q143" s="14">
        <f>IFERROR(__xludf.DUMMYFUNCTION("""COMPUTED_VALUE"""),0.004)</f>
        <v>0.004</v>
      </c>
      <c r="R143" s="14">
        <f>IFERROR(__xludf.DUMMYFUNCTION("""COMPUTED_VALUE"""),84.0)</f>
        <v>84</v>
      </c>
      <c r="S143" s="14">
        <f>IFERROR(__xludf.DUMMYFUNCTION("""COMPUTED_VALUE"""),80.0)</f>
        <v>80</v>
      </c>
      <c r="T143" s="14">
        <f>IFERROR(__xludf.DUMMYFUNCTION("""COMPUTED_VALUE"""),0.189)</f>
        <v>0.189</v>
      </c>
      <c r="U143" s="14">
        <f>IFERROR(__xludf.DUMMYFUNCTION("""COMPUTED_VALUE"""),0.674)</f>
        <v>0.674</v>
      </c>
      <c r="V143" s="14">
        <f>IFERROR(__xludf.DUMMYFUNCTION("""COMPUTED_VALUE"""),0.137)</f>
        <v>0.137</v>
      </c>
      <c r="W143" s="14">
        <f>IFERROR(__xludf.DUMMYFUNCTION("""COMPUTED_VALUE"""),2.234E7)</f>
        <v>22340000</v>
      </c>
      <c r="X143" s="14">
        <f>IFERROR(__xludf.DUMMYFUNCTION("""COMPUTED_VALUE"""),0.889)</f>
        <v>0.889</v>
      </c>
      <c r="Y143" s="14" t="str">
        <f>IFERROR(__xludf.DUMMYFUNCTION("""COMPUTED_VALUE"""),"Australia-Oceania")</f>
        <v>Australia-Oceania</v>
      </c>
      <c r="Z143" s="14" t="str">
        <f>IFERROR(__xludf.DUMMYFUNCTION("""COMPUTED_VALUE"""),"Oceania")</f>
        <v>Oceania</v>
      </c>
      <c r="AA143" s="14" t="str">
        <f>IFERROR(__xludf.DUMMYFUNCTION("""COMPUTED_VALUE"""),"2011")</f>
        <v>2011</v>
      </c>
      <c r="AB143" s="15" t="str">
        <f>IFERROR(__xludf.DUMMYFUNCTION("ARRAYFORMULA(VLOOKUP(A143,IMPORTRANGE(""https://docs.google.com/spreadsheets/d/1BuTWp7qHGjWhqrnf-OmePP568O4A5Am9ttzvVdP67zw/edit#gid=1931367683"" ,""ENERGY!$A$2:$F$2692""), {2,3,4,5,6},0))"),"Oceania")</f>
        <v>Oceania</v>
      </c>
      <c r="AC143" s="14" t="str">
        <f>IFERROR(__xludf.DUMMYFUNCTION("""COMPUTED_VALUE"""),"Australia-Oceania")</f>
        <v>Australia-Oceania</v>
      </c>
      <c r="AD143" s="14" t="str">
        <f>IFERROR(__xludf.DUMMYFUNCTION("""COMPUTED_VALUE"""),"2011")</f>
        <v>2011</v>
      </c>
      <c r="AE143" s="14">
        <f>IFERROR(__xludf.DUMMYFUNCTION("""COMPUTED_VALUE"""),105751.0)</f>
        <v>105751</v>
      </c>
      <c r="AF143" s="14">
        <f>IFERROR(__xludf.DUMMYFUNCTION("""COMPUTED_VALUE"""),324860.0)</f>
        <v>324860</v>
      </c>
    </row>
    <row r="144">
      <c r="A144" s="12">
        <v>143.0</v>
      </c>
      <c r="B144" s="12" t="s">
        <v>88</v>
      </c>
      <c r="C144" s="5" t="s">
        <v>80</v>
      </c>
      <c r="D144" s="11">
        <v>0.472</v>
      </c>
      <c r="E144" s="11">
        <v>3.0</v>
      </c>
      <c r="F144" s="11">
        <v>10.0</v>
      </c>
      <c r="G144" s="11">
        <v>109.0</v>
      </c>
      <c r="H144" s="11">
        <v>0.79</v>
      </c>
      <c r="I144" s="11">
        <v>1.056</v>
      </c>
      <c r="J144" s="9" t="s">
        <v>73</v>
      </c>
      <c r="K144" s="14" t="str">
        <f>IFERROR(__xludf.DUMMYFUNCTION("ARRAYFORMULA(VLOOKUP(A144,IMPORTRANGE(""https://docs.google.com/spreadsheets/d/1BuTWp7qHGjWhqrnf-OmePP568O4A5Am9ttzvVdP67zw/edit#gid=1603210130"", ""TOURISM!$A$2:$F$2692""), {2,3,4,5,6},0))"),"Oceania")</f>
        <v>Oceania</v>
      </c>
      <c r="L144" s="14">
        <f>IFERROR(__xludf.DUMMYFUNCTION("""COMPUTED_VALUE"""),3.413E10)</f>
        <v>34130000000</v>
      </c>
      <c r="M144" s="14" t="str">
        <f>IFERROR(__xludf.DUMMYFUNCTION("""COMPUTED_VALUE"""),"Australia-Oceania")</f>
        <v>Australia-Oceania</v>
      </c>
      <c r="N144" s="14" t="str">
        <f>IFERROR(__xludf.DUMMYFUNCTION("""COMPUTED_VALUE"""),"2012")</f>
        <v>2012</v>
      </c>
      <c r="O144" s="14">
        <f>IFERROR(__xludf.DUMMYFUNCTION("""COMPUTED_VALUE"""),3.4704E10)</f>
        <v>34704000000</v>
      </c>
      <c r="P144" s="15">
        <f>IFERROR(__xludf.DUMMYFUNCTION("ARRAYFORMULA(VLOOKUP(A144,IMPORTRANGE(""https://docs.google.com/spreadsheets/d/1BuTWp7qHGjWhqrnf-OmePP568O4A5Am9ttzvVdP67zw/edit#gid=771602874"" ,""HUMAN RESOURCES!$A$2:$M$2692""), {2,3,4,5,6,7,8,9,10,11,12,13},0))"),0.014)</f>
        <v>0.014</v>
      </c>
      <c r="Q144" s="14">
        <f>IFERROR(__xludf.DUMMYFUNCTION("""COMPUTED_VALUE"""),0.004)</f>
        <v>0.004</v>
      </c>
      <c r="R144" s="14">
        <f>IFERROR(__xludf.DUMMYFUNCTION("""COMPUTED_VALUE"""),84.0)</f>
        <v>84</v>
      </c>
      <c r="S144" s="14">
        <f>IFERROR(__xludf.DUMMYFUNCTION("""COMPUTED_VALUE"""),80.0)</f>
        <v>80</v>
      </c>
      <c r="T144" s="14">
        <f>IFERROR(__xludf.DUMMYFUNCTION("""COMPUTED_VALUE"""),0.189)</f>
        <v>0.189</v>
      </c>
      <c r="U144" s="14">
        <f>IFERROR(__xludf.DUMMYFUNCTION("""COMPUTED_VALUE"""),0.671)</f>
        <v>0.671</v>
      </c>
      <c r="V144" s="14">
        <f>IFERROR(__xludf.DUMMYFUNCTION("""COMPUTED_VALUE"""),0.14)</f>
        <v>0.14</v>
      </c>
      <c r="W144" s="14">
        <f>IFERROR(__xludf.DUMMYFUNCTION("""COMPUTED_VALUE"""),2.27239E7)</f>
        <v>22723900</v>
      </c>
      <c r="X144" s="14">
        <f>IFERROR(__xludf.DUMMYFUNCTION("""COMPUTED_VALUE"""),0.89)</f>
        <v>0.89</v>
      </c>
      <c r="Y144" s="14" t="str">
        <f>IFERROR(__xludf.DUMMYFUNCTION("""COMPUTED_VALUE"""),"Australia-Oceania")</f>
        <v>Australia-Oceania</v>
      </c>
      <c r="Z144" s="14" t="str">
        <f>IFERROR(__xludf.DUMMYFUNCTION("""COMPUTED_VALUE"""),"Oceania")</f>
        <v>Oceania</v>
      </c>
      <c r="AA144" s="14" t="str">
        <f>IFERROR(__xludf.DUMMYFUNCTION("""COMPUTED_VALUE"""),"2012")</f>
        <v>2012</v>
      </c>
      <c r="AB144" s="15" t="str">
        <f>IFERROR(__xludf.DUMMYFUNCTION("ARRAYFORMULA(VLOOKUP(A144,IMPORTRANGE(""https://docs.google.com/spreadsheets/d/1BuTWp7qHGjWhqrnf-OmePP568O4A5Am9ttzvVdP67zw/edit#gid=1931367683"" ,""ENERGY!$A$2:$F$2692""), {2,3,4,5,6},0))"),"Oceania")</f>
        <v>Oceania</v>
      </c>
      <c r="AC144" s="14" t="str">
        <f>IFERROR(__xludf.DUMMYFUNCTION("""COMPUTED_VALUE"""),"Australia-Oceania")</f>
        <v>Australia-Oceania</v>
      </c>
      <c r="AD144" s="14" t="str">
        <f>IFERROR(__xludf.DUMMYFUNCTION("""COMPUTED_VALUE"""),"2008")</f>
        <v>2008</v>
      </c>
      <c r="AE144" s="14">
        <f>IFERROR(__xludf.DUMMYFUNCTION("""COMPUTED_VALUE"""),108110.0)</f>
        <v>108110</v>
      </c>
      <c r="AF144" s="14">
        <f>IFERROR(__xludf.DUMMYFUNCTION("""COMPUTED_VALUE"""),329605.0)</f>
        <v>329605</v>
      </c>
    </row>
    <row r="145">
      <c r="A145" s="12">
        <v>144.0</v>
      </c>
      <c r="B145" s="12" t="s">
        <v>89</v>
      </c>
      <c r="C145" s="5" t="s">
        <v>75</v>
      </c>
      <c r="D145" s="8"/>
      <c r="E145" s="8"/>
      <c r="F145" s="8"/>
      <c r="G145" s="8"/>
      <c r="H145" s="11">
        <v>0.337</v>
      </c>
      <c r="I145" s="11">
        <v>0.763</v>
      </c>
      <c r="J145" s="9" t="s">
        <v>60</v>
      </c>
      <c r="K145" s="14" t="str">
        <f>IFERROR(__xludf.DUMMYFUNCTION("ARRAYFORMULA(VLOOKUP(A145,IMPORTRANGE(""https://docs.google.com/spreadsheets/d/1BuTWp7qHGjWhqrnf-OmePP568O4A5Am9ttzvVdP67zw/edit#gid=1603210130"", ""TOURISM!$A$2:$F$2692""), {2,3,4,5,6},0))"),"Europe")</f>
        <v>Europe</v>
      </c>
      <c r="L145" s="14">
        <f>IFERROR(__xludf.DUMMYFUNCTION("""COMPUTED_VALUE"""),1.1382E10)</f>
        <v>11382000000</v>
      </c>
      <c r="M145" s="14" t="str">
        <f>IFERROR(__xludf.DUMMYFUNCTION("""COMPUTED_VALUE"""),"Austria-Europe")</f>
        <v>Austria-Europe</v>
      </c>
      <c r="N145" s="14" t="str">
        <f>IFERROR(__xludf.DUMMYFUNCTION("""COMPUTED_VALUE"""),"2000")</f>
        <v>2000</v>
      </c>
      <c r="O145" s="14">
        <f>IFERROR(__xludf.DUMMYFUNCTION("""COMPUTED_VALUE"""),7.001E9)</f>
        <v>7001000000</v>
      </c>
      <c r="P145" s="15">
        <f>IFERROR(__xludf.DUMMYFUNCTION("ARRAYFORMULA(VLOOKUP(A145,IMPORTRANGE(""https://docs.google.com/spreadsheets/d/1BuTWp7qHGjWhqrnf-OmePP568O4A5Am9ttzvVdP67zw/edit#gid=771602874"" ,""HUMAN RESOURCES!$A$2:$M$2692""), {2,3,4,5,6,7,8,9,10,11,12,13},0))"),0.01)</f>
        <v>0.01</v>
      </c>
      <c r="Q145" s="14">
        <f>IFERROR(__xludf.DUMMYFUNCTION("""COMPUTED_VALUE"""),0.005)</f>
        <v>0.005</v>
      </c>
      <c r="R145" s="14">
        <f>IFERROR(__xludf.DUMMYFUNCTION("""COMPUTED_VALUE"""),81.0)</f>
        <v>81</v>
      </c>
      <c r="S145" s="14">
        <f>IFERROR(__xludf.DUMMYFUNCTION("""COMPUTED_VALUE"""),75.0)</f>
        <v>75</v>
      </c>
      <c r="T145" s="14">
        <f>IFERROR(__xludf.DUMMYFUNCTION("""COMPUTED_VALUE"""),0.17)</f>
        <v>0.17</v>
      </c>
      <c r="U145" s="14">
        <f>IFERROR(__xludf.DUMMYFUNCTION("""COMPUTED_VALUE"""),0.675)</f>
        <v>0.675</v>
      </c>
      <c r="V145" s="14">
        <f>IFERROR(__xludf.DUMMYFUNCTION("""COMPUTED_VALUE"""),0.155)</f>
        <v>0.155</v>
      </c>
      <c r="W145" s="14">
        <f>IFERROR(__xludf.DUMMYFUNCTION("""COMPUTED_VALUE"""),8011566.0)</f>
        <v>8011566</v>
      </c>
      <c r="X145" s="14">
        <f>IFERROR(__xludf.DUMMYFUNCTION("""COMPUTED_VALUE"""),0.658)</f>
        <v>0.658</v>
      </c>
      <c r="Y145" s="14" t="str">
        <f>IFERROR(__xludf.DUMMYFUNCTION("""COMPUTED_VALUE"""),"Austria-Europe")</f>
        <v>Austria-Europe</v>
      </c>
      <c r="Z145" s="14" t="str">
        <f>IFERROR(__xludf.DUMMYFUNCTION("""COMPUTED_VALUE"""),"Europe")</f>
        <v>Europe</v>
      </c>
      <c r="AA145" s="14" t="str">
        <f>IFERROR(__xludf.DUMMYFUNCTION("""COMPUTED_VALUE"""),"2000")</f>
        <v>2000</v>
      </c>
      <c r="AB145" s="15" t="str">
        <f>IFERROR(__xludf.DUMMYFUNCTION("ARRAYFORMULA(VLOOKUP(A145,IMPORTRANGE(""https://docs.google.com/spreadsheets/d/1BuTWp7qHGjWhqrnf-OmePP568O4A5Am9ttzvVdP67zw/edit#gid=1931367683"" ,""ENERGY!$A$2:$F$2692""), {2,3,4,5,6},0))"),"Europe")</f>
        <v>Europe</v>
      </c>
      <c r="AC145" s="14" t="str">
        <f>IFERROR(__xludf.DUMMYFUNCTION("""COMPUTED_VALUE"""),"Austria-Europe")</f>
        <v>Austria-Europe</v>
      </c>
      <c r="AD145" s="14" t="str">
        <f>IFERROR(__xludf.DUMMYFUNCTION("""COMPUTED_VALUE"""),"2000")</f>
        <v>2000</v>
      </c>
      <c r="AE145" s="14">
        <f>IFERROR(__xludf.DUMMYFUNCTION("""COMPUTED_VALUE"""),32896.0)</f>
        <v>32896</v>
      </c>
      <c r="AF145" s="14"/>
    </row>
    <row r="146">
      <c r="A146" s="12">
        <v>145.0</v>
      </c>
      <c r="B146" s="12" t="s">
        <v>89</v>
      </c>
      <c r="C146" s="5" t="s">
        <v>75</v>
      </c>
      <c r="D146" s="8"/>
      <c r="E146" s="8"/>
      <c r="F146" s="8"/>
      <c r="G146" s="8"/>
      <c r="H146" s="11">
        <v>0.392</v>
      </c>
      <c r="I146" s="11">
        <v>0.813</v>
      </c>
      <c r="J146" s="9" t="s">
        <v>62</v>
      </c>
      <c r="K146" s="14" t="str">
        <f>IFERROR(__xludf.DUMMYFUNCTION("ARRAYFORMULA(VLOOKUP(A146,IMPORTRANGE(""https://docs.google.com/spreadsheets/d/1BuTWp7qHGjWhqrnf-OmePP568O4A5Am9ttzvVdP67zw/edit#gid=1603210130"", ""TOURISM!$A$2:$F$2692""), {2,3,4,5,6},0))"),"Europe")</f>
        <v>Europe</v>
      </c>
      <c r="L146" s="14">
        <f>IFERROR(__xludf.DUMMYFUNCTION("""COMPUTED_VALUE"""),1.1511E10)</f>
        <v>11511000000</v>
      </c>
      <c r="M146" s="14" t="str">
        <f>IFERROR(__xludf.DUMMYFUNCTION("""COMPUTED_VALUE"""),"Austria-Europe")</f>
        <v>Austria-Europe</v>
      </c>
      <c r="N146" s="14" t="str">
        <f>IFERROR(__xludf.DUMMYFUNCTION("""COMPUTED_VALUE"""),"2001")</f>
        <v>2001</v>
      </c>
      <c r="O146" s="14">
        <f>IFERROR(__xludf.DUMMYFUNCTION("""COMPUTED_VALUE"""),7.408E9)</f>
        <v>7408000000</v>
      </c>
      <c r="P146" s="15">
        <f>IFERROR(__xludf.DUMMYFUNCTION("ARRAYFORMULA(VLOOKUP(A146,IMPORTRANGE(""https://docs.google.com/spreadsheets/d/1BuTWp7qHGjWhqrnf-OmePP568O4A5Am9ttzvVdP67zw/edit#gid=771602874"" ,""HUMAN RESOURCES!$A$2:$M$2692""), {2,3,4,5,6,7,8,9,10,11,12,13},0))"),0.009)</f>
        <v>0.009</v>
      </c>
      <c r="Q146" s="14">
        <f>IFERROR(__xludf.DUMMYFUNCTION("""COMPUTED_VALUE"""),0.005)</f>
        <v>0.005</v>
      </c>
      <c r="R146" s="14">
        <f>IFERROR(__xludf.DUMMYFUNCTION("""COMPUTED_VALUE"""),82.0)</f>
        <v>82</v>
      </c>
      <c r="S146" s="14">
        <f>IFERROR(__xludf.DUMMYFUNCTION("""COMPUTED_VALUE"""),76.0)</f>
        <v>76</v>
      </c>
      <c r="T146" s="14">
        <f>IFERROR(__xludf.DUMMYFUNCTION("""COMPUTED_VALUE"""),0.168)</f>
        <v>0.168</v>
      </c>
      <c r="U146" s="14">
        <f>IFERROR(__xludf.DUMMYFUNCTION("""COMPUTED_VALUE"""),0.676)</f>
        <v>0.676</v>
      </c>
      <c r="V146" s="14">
        <f>IFERROR(__xludf.DUMMYFUNCTION("""COMPUTED_VALUE"""),0.156)</f>
        <v>0.156</v>
      </c>
      <c r="W146" s="14">
        <f>IFERROR(__xludf.DUMMYFUNCTION("""COMPUTED_VALUE"""),8042293.0)</f>
        <v>8042293</v>
      </c>
      <c r="X146" s="14">
        <f>IFERROR(__xludf.DUMMYFUNCTION("""COMPUTED_VALUE"""),0.658)</f>
        <v>0.658</v>
      </c>
      <c r="Y146" s="14" t="str">
        <f>IFERROR(__xludf.DUMMYFUNCTION("""COMPUTED_VALUE"""),"Austria-Europe")</f>
        <v>Austria-Europe</v>
      </c>
      <c r="Z146" s="14" t="str">
        <f>IFERROR(__xludf.DUMMYFUNCTION("""COMPUTED_VALUE"""),"Europe")</f>
        <v>Europe</v>
      </c>
      <c r="AA146" s="14" t="str">
        <f>IFERROR(__xludf.DUMMYFUNCTION("""COMPUTED_VALUE"""),"2001")</f>
        <v>2001</v>
      </c>
      <c r="AB146" s="15" t="str">
        <f>IFERROR(__xludf.DUMMYFUNCTION("ARRAYFORMULA(VLOOKUP(A146,IMPORTRANGE(""https://docs.google.com/spreadsheets/d/1BuTWp7qHGjWhqrnf-OmePP568O4A5Am9ttzvVdP67zw/edit#gid=1931367683"" ,""ENERGY!$A$2:$F$2692""), {2,3,4,5,6},0))"),"Europe")</f>
        <v>Europe</v>
      </c>
      <c r="AC146" s="14" t="str">
        <f>IFERROR(__xludf.DUMMYFUNCTION("""COMPUTED_VALUE"""),"Austria-Europe")</f>
        <v>Austria-Europe</v>
      </c>
      <c r="AD146" s="14" t="str">
        <f>IFERROR(__xludf.DUMMYFUNCTION("""COMPUTED_VALUE"""),"2001")</f>
        <v>2001</v>
      </c>
      <c r="AE146" s="14">
        <f>IFERROR(__xludf.DUMMYFUNCTION("""COMPUTED_VALUE"""),33019.0)</f>
        <v>33019</v>
      </c>
      <c r="AF146" s="14"/>
    </row>
    <row r="147">
      <c r="A147" s="12">
        <v>146.0</v>
      </c>
      <c r="B147" s="12" t="s">
        <v>89</v>
      </c>
      <c r="C147" s="5" t="s">
        <v>75</v>
      </c>
      <c r="D147" s="8"/>
      <c r="E147" s="8"/>
      <c r="F147" s="8"/>
      <c r="G147" s="8"/>
      <c r="H147" s="11">
        <v>0.366</v>
      </c>
      <c r="I147" s="11">
        <v>0.832</v>
      </c>
      <c r="J147" s="9" t="s">
        <v>63</v>
      </c>
      <c r="K147" s="14" t="str">
        <f>IFERROR(__xludf.DUMMYFUNCTION("ARRAYFORMULA(VLOOKUP(A147,IMPORTRANGE(""https://docs.google.com/spreadsheets/d/1BuTWp7qHGjWhqrnf-OmePP568O4A5Am9ttzvVdP67zw/edit#gid=1603210130"", ""TOURISM!$A$2:$F$2692""), {2,3,4,5,6},0))"),"Europe")</f>
        <v>Europe</v>
      </c>
      <c r="L147" s="14">
        <f>IFERROR(__xludf.DUMMYFUNCTION("""COMPUTED_VALUE"""),1.2334E10)</f>
        <v>12334000000</v>
      </c>
      <c r="M147" s="14" t="str">
        <f>IFERROR(__xludf.DUMMYFUNCTION("""COMPUTED_VALUE"""),"Austria-Europe")</f>
        <v>Austria-Europe</v>
      </c>
      <c r="N147" s="14" t="str">
        <f>IFERROR(__xludf.DUMMYFUNCTION("""COMPUTED_VALUE"""),"2002")</f>
        <v>2002</v>
      </c>
      <c r="O147" s="14">
        <f>IFERROR(__xludf.DUMMYFUNCTION("""COMPUTED_VALUE"""),7.743E9)</f>
        <v>7743000000</v>
      </c>
      <c r="P147" s="15">
        <f>IFERROR(__xludf.DUMMYFUNCTION("ARRAYFORMULA(VLOOKUP(A147,IMPORTRANGE(""https://docs.google.com/spreadsheets/d/1BuTWp7qHGjWhqrnf-OmePP568O4A5Am9ttzvVdP67zw/edit#gid=771602874"" ,""HUMAN RESOURCES!$A$2:$M$2692""), {2,3,4,5,6,7,8,9,10,11,12,13},0))"),0.01)</f>
        <v>0.01</v>
      </c>
      <c r="Q147" s="14">
        <f>IFERROR(__xludf.DUMMYFUNCTION("""COMPUTED_VALUE"""),0.004)</f>
        <v>0.004</v>
      </c>
      <c r="R147" s="14">
        <f>IFERROR(__xludf.DUMMYFUNCTION("""COMPUTED_VALUE"""),82.0)</f>
        <v>82</v>
      </c>
      <c r="S147" s="14">
        <f>IFERROR(__xludf.DUMMYFUNCTION("""COMPUTED_VALUE"""),76.0)</f>
        <v>76</v>
      </c>
      <c r="T147" s="14">
        <f>IFERROR(__xludf.DUMMYFUNCTION("""COMPUTED_VALUE"""),0.167)</f>
        <v>0.167</v>
      </c>
      <c r="U147" s="14">
        <f>IFERROR(__xludf.DUMMYFUNCTION("""COMPUTED_VALUE"""),0.677)</f>
        <v>0.677</v>
      </c>
      <c r="V147" s="14">
        <f>IFERROR(__xludf.DUMMYFUNCTION("""COMPUTED_VALUE"""),0.156)</f>
        <v>0.156</v>
      </c>
      <c r="W147" s="14">
        <f>IFERROR(__xludf.DUMMYFUNCTION("""COMPUTED_VALUE"""),8081957.0)</f>
        <v>8081957</v>
      </c>
      <c r="X147" s="14">
        <f>IFERROR(__xludf.DUMMYFUNCTION("""COMPUTED_VALUE"""),0.658)</f>
        <v>0.658</v>
      </c>
      <c r="Y147" s="14" t="str">
        <f>IFERROR(__xludf.DUMMYFUNCTION("""COMPUTED_VALUE"""),"Austria-Europe")</f>
        <v>Austria-Europe</v>
      </c>
      <c r="Z147" s="14" t="str">
        <f>IFERROR(__xludf.DUMMYFUNCTION("""COMPUTED_VALUE"""),"Europe")</f>
        <v>Europe</v>
      </c>
      <c r="AA147" s="14" t="str">
        <f>IFERROR(__xludf.DUMMYFUNCTION("""COMPUTED_VALUE"""),"2002")</f>
        <v>2002</v>
      </c>
      <c r="AB147" s="15" t="str">
        <f>IFERROR(__xludf.DUMMYFUNCTION("ARRAYFORMULA(VLOOKUP(A147,IMPORTRANGE(""https://docs.google.com/spreadsheets/d/1BuTWp7qHGjWhqrnf-OmePP568O4A5Am9ttzvVdP67zw/edit#gid=1931367683"" ,""ENERGY!$A$2:$F$2692""), {2,3,4,5,6},0))"),"Europe")</f>
        <v>Europe</v>
      </c>
      <c r="AC147" s="14" t="str">
        <f>IFERROR(__xludf.DUMMYFUNCTION("""COMPUTED_VALUE"""),"Austria-Europe")</f>
        <v>Austria-Europe</v>
      </c>
      <c r="AD147" s="14" t="str">
        <f>IFERROR(__xludf.DUMMYFUNCTION("""COMPUTED_VALUE"""),"2002")</f>
        <v>2002</v>
      </c>
      <c r="AE147" s="14">
        <f>IFERROR(__xludf.DUMMYFUNCTION("""COMPUTED_VALUE"""),34228.0)</f>
        <v>34228</v>
      </c>
      <c r="AF147" s="14">
        <f>IFERROR(__xludf.DUMMYFUNCTION("""COMPUTED_VALUE"""),66897.0)</f>
        <v>66897</v>
      </c>
    </row>
    <row r="148">
      <c r="A148" s="12">
        <v>147.0</v>
      </c>
      <c r="B148" s="12" t="s">
        <v>89</v>
      </c>
      <c r="C148" s="5" t="s">
        <v>75</v>
      </c>
      <c r="D148" s="8"/>
      <c r="E148" s="11">
        <v>25.0</v>
      </c>
      <c r="F148" s="8"/>
      <c r="G148" s="8"/>
      <c r="H148" s="11">
        <v>0.427</v>
      </c>
      <c r="I148" s="11">
        <v>0.893</v>
      </c>
      <c r="J148" s="9" t="s">
        <v>64</v>
      </c>
      <c r="K148" s="14" t="str">
        <f>IFERROR(__xludf.DUMMYFUNCTION("ARRAYFORMULA(VLOOKUP(A148,IMPORTRANGE(""https://docs.google.com/spreadsheets/d/1BuTWp7qHGjWhqrnf-OmePP568O4A5Am9ttzvVdP67zw/edit#gid=1603210130"", ""TOURISM!$A$2:$F$2692""), {2,3,4,5,6},0))"),"Europe")</f>
        <v>Europe</v>
      </c>
      <c r="L148" s="14">
        <f>IFERROR(__xludf.DUMMYFUNCTION("""COMPUTED_VALUE"""),1.5128E10)</f>
        <v>15128000000</v>
      </c>
      <c r="M148" s="14" t="str">
        <f>IFERROR(__xludf.DUMMYFUNCTION("""COMPUTED_VALUE"""),"Austria-Europe")</f>
        <v>Austria-Europe</v>
      </c>
      <c r="N148" s="14" t="str">
        <f>IFERROR(__xludf.DUMMYFUNCTION("""COMPUTED_VALUE"""),"2003")</f>
        <v>2003</v>
      </c>
      <c r="O148" s="14">
        <f>IFERROR(__xludf.DUMMYFUNCTION("""COMPUTED_VALUE"""),9.761E9)</f>
        <v>9761000000</v>
      </c>
      <c r="P148" s="15">
        <f>IFERROR(__xludf.DUMMYFUNCTION("ARRAYFORMULA(VLOOKUP(A148,IMPORTRANGE(""https://docs.google.com/spreadsheets/d/1BuTWp7qHGjWhqrnf-OmePP568O4A5Am9ttzvVdP67zw/edit#gid=771602874"" ,""HUMAN RESOURCES!$A$2:$M$2692""), {2,3,4,5,6,7,8,9,10,11,12,13},0))"),0.01)</f>
        <v>0.01</v>
      </c>
      <c r="Q148" s="14">
        <f>IFERROR(__xludf.DUMMYFUNCTION("""COMPUTED_VALUE"""),0.004)</f>
        <v>0.004</v>
      </c>
      <c r="R148" s="14">
        <f>IFERROR(__xludf.DUMMYFUNCTION("""COMPUTED_VALUE"""),82.0)</f>
        <v>82</v>
      </c>
      <c r="S148" s="14">
        <f>IFERROR(__xludf.DUMMYFUNCTION("""COMPUTED_VALUE"""),76.0)</f>
        <v>76</v>
      </c>
      <c r="T148" s="14">
        <f>IFERROR(__xludf.DUMMYFUNCTION("""COMPUTED_VALUE"""),0.165)</f>
        <v>0.165</v>
      </c>
      <c r="U148" s="14">
        <f>IFERROR(__xludf.DUMMYFUNCTION("""COMPUTED_VALUE"""),0.678)</f>
        <v>0.678</v>
      </c>
      <c r="V148" s="14">
        <f>IFERROR(__xludf.DUMMYFUNCTION("""COMPUTED_VALUE"""),0.157)</f>
        <v>0.157</v>
      </c>
      <c r="W148" s="14">
        <f>IFERROR(__xludf.DUMMYFUNCTION("""COMPUTED_VALUE"""),8121423.0)</f>
        <v>8121423</v>
      </c>
      <c r="X148" s="14">
        <f>IFERROR(__xludf.DUMMYFUNCTION("""COMPUTED_VALUE"""),0.658)</f>
        <v>0.658</v>
      </c>
      <c r="Y148" s="14" t="str">
        <f>IFERROR(__xludf.DUMMYFUNCTION("""COMPUTED_VALUE"""),"Austria-Europe")</f>
        <v>Austria-Europe</v>
      </c>
      <c r="Z148" s="14" t="str">
        <f>IFERROR(__xludf.DUMMYFUNCTION("""COMPUTED_VALUE"""),"Europe")</f>
        <v>Europe</v>
      </c>
      <c r="AA148" s="14" t="str">
        <f>IFERROR(__xludf.DUMMYFUNCTION("""COMPUTED_VALUE"""),"2003")</f>
        <v>2003</v>
      </c>
      <c r="AB148" s="15" t="str">
        <f>IFERROR(__xludf.DUMMYFUNCTION("ARRAYFORMULA(VLOOKUP(A148,IMPORTRANGE(""https://docs.google.com/spreadsheets/d/1BuTWp7qHGjWhqrnf-OmePP568O4A5Am9ttzvVdP67zw/edit#gid=1931367683"" ,""ENERGY!$A$2:$F$2692""), {2,3,4,5,6},0))"),"Europe")</f>
        <v>Europe</v>
      </c>
      <c r="AC148" s="14" t="str">
        <f>IFERROR(__xludf.DUMMYFUNCTION("""COMPUTED_VALUE"""),"Austria-Europe")</f>
        <v>Austria-Europe</v>
      </c>
      <c r="AD148" s="14" t="str">
        <f>IFERROR(__xludf.DUMMYFUNCTION("""COMPUTED_VALUE"""),"2003")</f>
        <v>2003</v>
      </c>
      <c r="AE148" s="14">
        <f>IFERROR(__xludf.DUMMYFUNCTION("""COMPUTED_VALUE"""),31963.0)</f>
        <v>31963</v>
      </c>
      <c r="AF148" s="14">
        <f>IFERROR(__xludf.DUMMYFUNCTION("""COMPUTED_VALUE"""),62262.0)</f>
        <v>62262</v>
      </c>
    </row>
    <row r="149">
      <c r="A149" s="12">
        <v>148.0</v>
      </c>
      <c r="B149" s="12" t="s">
        <v>89</v>
      </c>
      <c r="C149" s="5" t="s">
        <v>75</v>
      </c>
      <c r="D149" s="8"/>
      <c r="E149" s="11">
        <v>25.0</v>
      </c>
      <c r="F149" s="8"/>
      <c r="G149" s="8"/>
      <c r="H149" s="11">
        <v>0.543</v>
      </c>
      <c r="I149" s="11">
        <v>0.975</v>
      </c>
      <c r="J149" s="9" t="s">
        <v>65</v>
      </c>
      <c r="K149" s="14" t="str">
        <f>IFERROR(__xludf.DUMMYFUNCTION("ARRAYFORMULA(VLOOKUP(A149,IMPORTRANGE(""https://docs.google.com/spreadsheets/d/1BuTWp7qHGjWhqrnf-OmePP568O4A5Am9ttzvVdP67zw/edit#gid=1603210130"", ""TOURISM!$A$2:$F$2692""), {2,3,4,5,6},0))"),"Europe")</f>
        <v>Europe</v>
      </c>
      <c r="L149" s="14">
        <f>IFERROR(__xludf.DUMMYFUNCTION("""COMPUTED_VALUE"""),1.7251E10)</f>
        <v>17251000000</v>
      </c>
      <c r="M149" s="14" t="str">
        <f>IFERROR(__xludf.DUMMYFUNCTION("""COMPUTED_VALUE"""),"Austria-Europe")</f>
        <v>Austria-Europe</v>
      </c>
      <c r="N149" s="14" t="str">
        <f>IFERROR(__xludf.DUMMYFUNCTION("""COMPUTED_VALUE"""),"2004")</f>
        <v>2004</v>
      </c>
      <c r="O149" s="14">
        <f>IFERROR(__xludf.DUMMYFUNCTION("""COMPUTED_VALUE"""),1.0812E10)</f>
        <v>10812000000</v>
      </c>
      <c r="P149" s="15">
        <f>IFERROR(__xludf.DUMMYFUNCTION("ARRAYFORMULA(VLOOKUP(A149,IMPORTRANGE(""https://docs.google.com/spreadsheets/d/1BuTWp7qHGjWhqrnf-OmePP568O4A5Am9ttzvVdP67zw/edit#gid=771602874"" ,""HUMAN RESOURCES!$A$2:$M$2692""), {2,3,4,5,6,7,8,9,10,11,12,13},0))"),0.01)</f>
        <v>0.01</v>
      </c>
      <c r="Q149" s="14">
        <f>IFERROR(__xludf.DUMMYFUNCTION("""COMPUTED_VALUE"""),0.004)</f>
        <v>0.004</v>
      </c>
      <c r="R149" s="14">
        <f>IFERROR(__xludf.DUMMYFUNCTION("""COMPUTED_VALUE"""),82.0)</f>
        <v>82</v>
      </c>
      <c r="S149" s="14">
        <f>IFERROR(__xludf.DUMMYFUNCTION("""COMPUTED_VALUE"""),76.0)</f>
        <v>76</v>
      </c>
      <c r="T149" s="14">
        <f>IFERROR(__xludf.DUMMYFUNCTION("""COMPUTED_VALUE"""),0.163)</f>
        <v>0.163</v>
      </c>
      <c r="U149" s="14">
        <f>IFERROR(__xludf.DUMMYFUNCTION("""COMPUTED_VALUE"""),0.679)</f>
        <v>0.679</v>
      </c>
      <c r="V149" s="14">
        <f>IFERROR(__xludf.DUMMYFUNCTION("""COMPUTED_VALUE"""),0.158)</f>
        <v>0.158</v>
      </c>
      <c r="W149" s="14">
        <f>IFERROR(__xludf.DUMMYFUNCTION("""COMPUTED_VALUE"""),8171966.0)</f>
        <v>8171966</v>
      </c>
      <c r="X149" s="14">
        <f>IFERROR(__xludf.DUMMYFUNCTION("""COMPUTED_VALUE"""),0.658)</f>
        <v>0.658</v>
      </c>
      <c r="Y149" s="14" t="str">
        <f>IFERROR(__xludf.DUMMYFUNCTION("""COMPUTED_VALUE"""),"Austria-Europe")</f>
        <v>Austria-Europe</v>
      </c>
      <c r="Z149" s="14" t="str">
        <f>IFERROR(__xludf.DUMMYFUNCTION("""COMPUTED_VALUE"""),"Europe")</f>
        <v>Europe</v>
      </c>
      <c r="AA149" s="14" t="str">
        <f>IFERROR(__xludf.DUMMYFUNCTION("""COMPUTED_VALUE"""),"2004")</f>
        <v>2004</v>
      </c>
      <c r="AB149" s="15" t="str">
        <f>IFERROR(__xludf.DUMMYFUNCTION("ARRAYFORMULA(VLOOKUP(A149,IMPORTRANGE(""https://docs.google.com/spreadsheets/d/1BuTWp7qHGjWhqrnf-OmePP568O4A5Am9ttzvVdP67zw/edit#gid=1931367683"" ,""ENERGY!$A$2:$F$2692""), {2,3,4,5,6},0))"),"Europe")</f>
        <v>Europe</v>
      </c>
      <c r="AC149" s="14" t="str">
        <f>IFERROR(__xludf.DUMMYFUNCTION("""COMPUTED_VALUE"""),"Austria-Europe")</f>
        <v>Austria-Europe</v>
      </c>
      <c r="AD149" s="14" t="str">
        <f>IFERROR(__xludf.DUMMYFUNCTION("""COMPUTED_VALUE"""),"2004")</f>
        <v>2004</v>
      </c>
      <c r="AE149" s="14">
        <f>IFERROR(__xludf.DUMMYFUNCTION("""COMPUTED_VALUE"""),33545.0)</f>
        <v>33545</v>
      </c>
      <c r="AF149" s="14">
        <f>IFERROR(__xludf.DUMMYFUNCTION("""COMPUTED_VALUE"""),68269.0)</f>
        <v>68269</v>
      </c>
    </row>
    <row r="150">
      <c r="A150" s="12">
        <v>149.0</v>
      </c>
      <c r="B150" s="12" t="s">
        <v>89</v>
      </c>
      <c r="C150" s="5" t="s">
        <v>75</v>
      </c>
      <c r="D150" s="11">
        <v>0.582</v>
      </c>
      <c r="E150" s="11">
        <v>25.0</v>
      </c>
      <c r="F150" s="8"/>
      <c r="G150" s="11">
        <v>170.0</v>
      </c>
      <c r="H150" s="11">
        <v>0.58</v>
      </c>
      <c r="I150" s="11">
        <v>1.052</v>
      </c>
      <c r="J150" s="9" t="s">
        <v>66</v>
      </c>
      <c r="K150" s="14" t="str">
        <f>IFERROR(__xludf.DUMMYFUNCTION("ARRAYFORMULA(VLOOKUP(A150,IMPORTRANGE(""https://docs.google.com/spreadsheets/d/1BuTWp7qHGjWhqrnf-OmePP568O4A5Am9ttzvVdP67zw/edit#gid=1603210130"", ""TOURISM!$A$2:$F$2692""), {2,3,4,5,6},0))"),"Europe")</f>
        <v>Europe</v>
      </c>
      <c r="L150" s="14">
        <f>IFERROR(__xludf.DUMMYFUNCTION("""COMPUTED_VALUE"""),1.8471E10)</f>
        <v>18471000000</v>
      </c>
      <c r="M150" s="14" t="str">
        <f>IFERROR(__xludf.DUMMYFUNCTION("""COMPUTED_VALUE"""),"Austria-Europe")</f>
        <v>Austria-Europe</v>
      </c>
      <c r="N150" s="14" t="str">
        <f>IFERROR(__xludf.DUMMYFUNCTION("""COMPUTED_VALUE"""),"2005")</f>
        <v>2005</v>
      </c>
      <c r="O150" s="14">
        <f>IFERROR(__xludf.DUMMYFUNCTION("""COMPUTED_VALUE"""),1.1077E10)</f>
        <v>11077000000</v>
      </c>
      <c r="P150" s="15">
        <f>IFERROR(__xludf.DUMMYFUNCTION("ARRAYFORMULA(VLOOKUP(A150,IMPORTRANGE(""https://docs.google.com/spreadsheets/d/1BuTWp7qHGjWhqrnf-OmePP568O4A5Am9ttzvVdP67zw/edit#gid=771602874"" ,""HUMAN RESOURCES!$A$2:$M$2692""), {2,3,4,5,6,7,8,9,10,11,12,13},0))"),0.01)</f>
        <v>0.01</v>
      </c>
      <c r="Q150" s="14">
        <f>IFERROR(__xludf.DUMMYFUNCTION("""COMPUTED_VALUE"""),0.004)</f>
        <v>0.004</v>
      </c>
      <c r="R150" s="14">
        <f>IFERROR(__xludf.DUMMYFUNCTION("""COMPUTED_VALUE"""),82.0)</f>
        <v>82</v>
      </c>
      <c r="S150" s="14">
        <f>IFERROR(__xludf.DUMMYFUNCTION("""COMPUTED_VALUE"""),77.0)</f>
        <v>77</v>
      </c>
      <c r="T150" s="14">
        <f>IFERROR(__xludf.DUMMYFUNCTION("""COMPUTED_VALUE"""),0.16)</f>
        <v>0.16</v>
      </c>
      <c r="U150" s="14">
        <f>IFERROR(__xludf.DUMMYFUNCTION("""COMPUTED_VALUE"""),0.679)</f>
        <v>0.679</v>
      </c>
      <c r="V150" s="14">
        <f>IFERROR(__xludf.DUMMYFUNCTION("""COMPUTED_VALUE"""),0.161)</f>
        <v>0.161</v>
      </c>
      <c r="W150" s="14">
        <f>IFERROR(__xludf.DUMMYFUNCTION("""COMPUTED_VALUE"""),8227829.0)</f>
        <v>8227829</v>
      </c>
      <c r="X150" s="14">
        <f>IFERROR(__xludf.DUMMYFUNCTION("""COMPUTED_VALUE"""),0.658)</f>
        <v>0.658</v>
      </c>
      <c r="Y150" s="14" t="str">
        <f>IFERROR(__xludf.DUMMYFUNCTION("""COMPUTED_VALUE"""),"Austria-Europe")</f>
        <v>Austria-Europe</v>
      </c>
      <c r="Z150" s="14" t="str">
        <f>IFERROR(__xludf.DUMMYFUNCTION("""COMPUTED_VALUE"""),"Europe")</f>
        <v>Europe</v>
      </c>
      <c r="AA150" s="14" t="str">
        <f>IFERROR(__xludf.DUMMYFUNCTION("""COMPUTED_VALUE"""),"2005")</f>
        <v>2005</v>
      </c>
      <c r="AB150" s="15" t="str">
        <f>IFERROR(__xludf.DUMMYFUNCTION("ARRAYFORMULA(VLOOKUP(A150,IMPORTRANGE(""https://docs.google.com/spreadsheets/d/1BuTWp7qHGjWhqrnf-OmePP568O4A5Am9ttzvVdP67zw/edit#gid=1931367683"" ,""ENERGY!$A$2:$F$2692""), {2,3,4,5,6},0))"),"Europe")</f>
        <v>Europe</v>
      </c>
      <c r="AC150" s="14" t="str">
        <f>IFERROR(__xludf.DUMMYFUNCTION("""COMPUTED_VALUE"""),"Austria-Europe")</f>
        <v>Austria-Europe</v>
      </c>
      <c r="AD150" s="14" t="str">
        <f>IFERROR(__xludf.DUMMYFUNCTION("""COMPUTED_VALUE"""),"2005")</f>
        <v>2005</v>
      </c>
      <c r="AE150" s="14">
        <f>IFERROR(__xludf.DUMMYFUNCTION("""COMPUTED_VALUE"""),33393.0)</f>
        <v>33393</v>
      </c>
      <c r="AF150" s="14">
        <f>IFERROR(__xludf.DUMMYFUNCTION("""COMPUTED_VALUE"""),69141.0)</f>
        <v>69141</v>
      </c>
    </row>
    <row r="151">
      <c r="A151" s="12">
        <v>150.0</v>
      </c>
      <c r="B151" s="12" t="s">
        <v>89</v>
      </c>
      <c r="C151" s="5" t="s">
        <v>75</v>
      </c>
      <c r="D151" s="11">
        <v>0.524</v>
      </c>
      <c r="E151" s="11">
        <v>25.0</v>
      </c>
      <c r="F151" s="8"/>
      <c r="G151" s="11">
        <v>170.0</v>
      </c>
      <c r="H151" s="11">
        <v>0.636</v>
      </c>
      <c r="I151" s="11">
        <v>1.121</v>
      </c>
      <c r="J151" s="9" t="s">
        <v>67</v>
      </c>
      <c r="K151" s="14" t="str">
        <f>IFERROR(__xludf.DUMMYFUNCTION("ARRAYFORMULA(VLOOKUP(A151,IMPORTRANGE(""https://docs.google.com/spreadsheets/d/1BuTWp7qHGjWhqrnf-OmePP568O4A5Am9ttzvVdP67zw/edit#gid=1603210130"", ""TOURISM!$A$2:$F$2692""), {2,3,4,5,6},0))"),"Europe")</f>
        <v>Europe</v>
      </c>
      <c r="L151" s="14">
        <f>IFERROR(__xludf.DUMMYFUNCTION("""COMPUTED_VALUE"""),1.8886E10)</f>
        <v>18886000000</v>
      </c>
      <c r="M151" s="14" t="str">
        <f>IFERROR(__xludf.DUMMYFUNCTION("""COMPUTED_VALUE"""),"Austria-Europe")</f>
        <v>Austria-Europe</v>
      </c>
      <c r="N151" s="14" t="str">
        <f>IFERROR(__xludf.DUMMYFUNCTION("""COMPUTED_VALUE"""),"2006")</f>
        <v>2006</v>
      </c>
      <c r="O151" s="14">
        <f>IFERROR(__xludf.DUMMYFUNCTION("""COMPUTED_VALUE"""),1.1721E10)</f>
        <v>11721000000</v>
      </c>
      <c r="P151" s="15">
        <f>IFERROR(__xludf.DUMMYFUNCTION("ARRAYFORMULA(VLOOKUP(A151,IMPORTRANGE(""https://docs.google.com/spreadsheets/d/1BuTWp7qHGjWhqrnf-OmePP568O4A5Am9ttzvVdP67zw/edit#gid=771602874"" ,""HUMAN RESOURCES!$A$2:$M$2692""), {2,3,4,5,6,7,8,9,10,11,12,13},0))"),0.009)</f>
        <v>0.009</v>
      </c>
      <c r="Q151" s="14">
        <f>IFERROR(__xludf.DUMMYFUNCTION("""COMPUTED_VALUE"""),0.004)</f>
        <v>0.004</v>
      </c>
      <c r="R151" s="14">
        <f>IFERROR(__xludf.DUMMYFUNCTION("""COMPUTED_VALUE"""),83.0)</f>
        <v>83</v>
      </c>
      <c r="S151" s="14">
        <f>IFERROR(__xludf.DUMMYFUNCTION("""COMPUTED_VALUE"""),77.0)</f>
        <v>77</v>
      </c>
      <c r="T151" s="14">
        <f>IFERROR(__xludf.DUMMYFUNCTION("""COMPUTED_VALUE"""),0.158)</f>
        <v>0.158</v>
      </c>
      <c r="U151" s="14">
        <f>IFERROR(__xludf.DUMMYFUNCTION("""COMPUTED_VALUE"""),0.679)</f>
        <v>0.679</v>
      </c>
      <c r="V151" s="14">
        <f>IFERROR(__xludf.DUMMYFUNCTION("""COMPUTED_VALUE"""),0.164)</f>
        <v>0.164</v>
      </c>
      <c r="W151" s="14">
        <f>IFERROR(__xludf.DUMMYFUNCTION("""COMPUTED_VALUE"""),8268641.0)</f>
        <v>8268641</v>
      </c>
      <c r="X151" s="14">
        <f>IFERROR(__xludf.DUMMYFUNCTION("""COMPUTED_VALUE"""),0.658)</f>
        <v>0.658</v>
      </c>
      <c r="Y151" s="14" t="str">
        <f>IFERROR(__xludf.DUMMYFUNCTION("""COMPUTED_VALUE"""),"Austria-Europe")</f>
        <v>Austria-Europe</v>
      </c>
      <c r="Z151" s="14" t="str">
        <f>IFERROR(__xludf.DUMMYFUNCTION("""COMPUTED_VALUE"""),"Europe")</f>
        <v>Europe</v>
      </c>
      <c r="AA151" s="14" t="str">
        <f>IFERROR(__xludf.DUMMYFUNCTION("""COMPUTED_VALUE"""),"2006")</f>
        <v>2006</v>
      </c>
      <c r="AB151" s="15" t="str">
        <f>IFERROR(__xludf.DUMMYFUNCTION("ARRAYFORMULA(VLOOKUP(A151,IMPORTRANGE(""https://docs.google.com/spreadsheets/d/1BuTWp7qHGjWhqrnf-OmePP568O4A5Am9ttzvVdP67zw/edit#gid=1931367683"" ,""ENERGY!$A$2:$F$2692""), {2,3,4,5,6},0))"),"Europe")</f>
        <v>Europe</v>
      </c>
      <c r="AC151" s="14" t="str">
        <f>IFERROR(__xludf.DUMMYFUNCTION("""COMPUTED_VALUE"""),"Austria-Europe")</f>
        <v>Austria-Europe</v>
      </c>
      <c r="AD151" s="14" t="str">
        <f>IFERROR(__xludf.DUMMYFUNCTION("""COMPUTED_VALUE"""),"2009")</f>
        <v>2009</v>
      </c>
      <c r="AE151" s="14">
        <f>IFERROR(__xludf.DUMMYFUNCTION("""COMPUTED_VALUE"""),33799.0)</f>
        <v>33799</v>
      </c>
      <c r="AF151" s="14">
        <f>IFERROR(__xludf.DUMMYFUNCTION("""COMPUTED_VALUE"""),71565.0)</f>
        <v>71565</v>
      </c>
    </row>
    <row r="152">
      <c r="A152" s="12">
        <v>151.0</v>
      </c>
      <c r="B152" s="12" t="s">
        <v>89</v>
      </c>
      <c r="C152" s="5" t="s">
        <v>75</v>
      </c>
      <c r="D152" s="11">
        <v>0.524</v>
      </c>
      <c r="E152" s="11">
        <v>25.0</v>
      </c>
      <c r="F152" s="8"/>
      <c r="G152" s="11">
        <v>170.0</v>
      </c>
      <c r="H152" s="11">
        <v>0.694</v>
      </c>
      <c r="I152" s="11">
        <v>1.193</v>
      </c>
      <c r="J152" s="9" t="s">
        <v>68</v>
      </c>
      <c r="K152" s="14" t="str">
        <f>IFERROR(__xludf.DUMMYFUNCTION("ARRAYFORMULA(VLOOKUP(A152,IMPORTRANGE(""https://docs.google.com/spreadsheets/d/1BuTWp7qHGjWhqrnf-OmePP568O4A5Am9ttzvVdP67zw/edit#gid=1603210130"", ""TOURISM!$A$2:$F$2692""), {2,3,4,5,6},0))"),"Europe")</f>
        <v>Europe</v>
      </c>
      <c r="L152" s="14">
        <f>IFERROR(__xludf.DUMMYFUNCTION("""COMPUTED_VALUE"""),2.1088E10)</f>
        <v>21088000000</v>
      </c>
      <c r="M152" s="14" t="str">
        <f>IFERROR(__xludf.DUMMYFUNCTION("""COMPUTED_VALUE"""),"Austria-Europe")</f>
        <v>Austria-Europe</v>
      </c>
      <c r="N152" s="14" t="str">
        <f>IFERROR(__xludf.DUMMYFUNCTION("""COMPUTED_VALUE"""),"2007")</f>
        <v>2007</v>
      </c>
      <c r="O152" s="14">
        <f>IFERROR(__xludf.DUMMYFUNCTION("""COMPUTED_VALUE"""),1.2825E10)</f>
        <v>12825000000</v>
      </c>
      <c r="P152" s="15">
        <f>IFERROR(__xludf.DUMMYFUNCTION("ARRAYFORMULA(VLOOKUP(A152,IMPORTRANGE(""https://docs.google.com/spreadsheets/d/1BuTWp7qHGjWhqrnf-OmePP568O4A5Am9ttzvVdP67zw/edit#gid=771602874"" ,""HUMAN RESOURCES!$A$2:$M$2692""), {2,3,4,5,6,7,8,9,10,11,12,13},0))"),0.009)</f>
        <v>0.009</v>
      </c>
      <c r="Q152" s="14">
        <f>IFERROR(__xludf.DUMMYFUNCTION("""COMPUTED_VALUE"""),0.004)</f>
        <v>0.004</v>
      </c>
      <c r="R152" s="14">
        <f>IFERROR(__xludf.DUMMYFUNCTION("""COMPUTED_VALUE"""),83.0)</f>
        <v>83</v>
      </c>
      <c r="S152" s="14">
        <f>IFERROR(__xludf.DUMMYFUNCTION("""COMPUTED_VALUE"""),77.0)</f>
        <v>77</v>
      </c>
      <c r="T152" s="14">
        <f>IFERROR(__xludf.DUMMYFUNCTION("""COMPUTED_VALUE"""),0.155)</f>
        <v>0.155</v>
      </c>
      <c r="U152" s="14">
        <f>IFERROR(__xludf.DUMMYFUNCTION("""COMPUTED_VALUE"""),0.678)</f>
        <v>0.678</v>
      </c>
      <c r="V152" s="14">
        <f>IFERROR(__xludf.DUMMYFUNCTION("""COMPUTED_VALUE"""),0.167)</f>
        <v>0.167</v>
      </c>
      <c r="W152" s="14">
        <f>IFERROR(__xludf.DUMMYFUNCTION("""COMPUTED_VALUE"""),8300788.0)</f>
        <v>8300788</v>
      </c>
      <c r="X152" s="14">
        <f>IFERROR(__xludf.DUMMYFUNCTION("""COMPUTED_VALUE"""),0.658)</f>
        <v>0.658</v>
      </c>
      <c r="Y152" s="14" t="str">
        <f>IFERROR(__xludf.DUMMYFUNCTION("""COMPUTED_VALUE"""),"Austria-Europe")</f>
        <v>Austria-Europe</v>
      </c>
      <c r="Z152" s="14" t="str">
        <f>IFERROR(__xludf.DUMMYFUNCTION("""COMPUTED_VALUE"""),"Europe")</f>
        <v>Europe</v>
      </c>
      <c r="AA152" s="14" t="str">
        <f>IFERROR(__xludf.DUMMYFUNCTION("""COMPUTED_VALUE"""),"2007")</f>
        <v>2007</v>
      </c>
      <c r="AB152" s="15" t="str">
        <f>IFERROR(__xludf.DUMMYFUNCTION("ARRAYFORMULA(VLOOKUP(A152,IMPORTRANGE(""https://docs.google.com/spreadsheets/d/1BuTWp7qHGjWhqrnf-OmePP568O4A5Am9ttzvVdP67zw/edit#gid=1931367683"" ,""ENERGY!$A$2:$F$2692""), {2,3,4,5,6},0))"),"Europe")</f>
        <v>Europe</v>
      </c>
      <c r="AC152" s="14" t="str">
        <f>IFERROR(__xludf.DUMMYFUNCTION("""COMPUTED_VALUE"""),"Austria-Europe")</f>
        <v>Austria-Europe</v>
      </c>
      <c r="AD152" s="14" t="str">
        <f>IFERROR(__xludf.DUMMYFUNCTION("""COMPUTED_VALUE"""),"2006")</f>
        <v>2006</v>
      </c>
      <c r="AE152" s="14">
        <f>IFERROR(__xludf.DUMMYFUNCTION("""COMPUTED_VALUE"""),33792.0)</f>
        <v>33792</v>
      </c>
      <c r="AF152" s="14">
        <f>IFERROR(__xludf.DUMMYFUNCTION("""COMPUTED_VALUE"""),74238.0)</f>
        <v>74238</v>
      </c>
    </row>
    <row r="153">
      <c r="A153" s="12">
        <v>152.0</v>
      </c>
      <c r="B153" s="12" t="s">
        <v>89</v>
      </c>
      <c r="C153" s="5" t="s">
        <v>75</v>
      </c>
      <c r="D153" s="11">
        <v>0.524</v>
      </c>
      <c r="E153" s="11">
        <v>25.0</v>
      </c>
      <c r="F153" s="8"/>
      <c r="G153" s="11">
        <v>170.0</v>
      </c>
      <c r="H153" s="11">
        <v>0.729</v>
      </c>
      <c r="I153" s="11">
        <v>1.297</v>
      </c>
      <c r="J153" s="9" t="s">
        <v>69</v>
      </c>
      <c r="K153" s="14" t="str">
        <f>IFERROR(__xludf.DUMMYFUNCTION("ARRAYFORMULA(VLOOKUP(A153,IMPORTRANGE(""https://docs.google.com/spreadsheets/d/1BuTWp7qHGjWhqrnf-OmePP568O4A5Am9ttzvVdP67zw/edit#gid=1603210130"", ""TOURISM!$A$2:$F$2692""), {2,3,4,5,6},0))"),"Europe")</f>
        <v>Europe</v>
      </c>
      <c r="L153" s="14">
        <f>IFERROR(__xludf.DUMMYFUNCTION("""COMPUTED_VALUE"""),2.4346E10)</f>
        <v>24346000000</v>
      </c>
      <c r="M153" s="14" t="str">
        <f>IFERROR(__xludf.DUMMYFUNCTION("""COMPUTED_VALUE"""),"Austria-Europe")</f>
        <v>Austria-Europe</v>
      </c>
      <c r="N153" s="14" t="str">
        <f>IFERROR(__xludf.DUMMYFUNCTION("""COMPUTED_VALUE"""),"2008")</f>
        <v>2008</v>
      </c>
      <c r="O153" s="14">
        <f>IFERROR(__xludf.DUMMYFUNCTION("""COMPUTED_VALUE"""),1.3993E10)</f>
        <v>13993000000</v>
      </c>
      <c r="P153" s="15">
        <f>IFERROR(__xludf.DUMMYFUNCTION("ARRAYFORMULA(VLOOKUP(A153,IMPORTRANGE(""https://docs.google.com/spreadsheets/d/1BuTWp7qHGjWhqrnf-OmePP568O4A5Am9ttzvVdP67zw/edit#gid=771602874"" ,""HUMAN RESOURCES!$A$2:$M$2692""), {2,3,4,5,6,7,8,9,10,11,12,13},0))"),0.009)</f>
        <v>0.009</v>
      </c>
      <c r="Q153" s="14">
        <f>IFERROR(__xludf.DUMMYFUNCTION("""COMPUTED_VALUE"""),0.004)</f>
        <v>0.004</v>
      </c>
      <c r="R153" s="14">
        <f>IFERROR(__xludf.DUMMYFUNCTION("""COMPUTED_VALUE"""),83.0)</f>
        <v>83</v>
      </c>
      <c r="S153" s="14">
        <f>IFERROR(__xludf.DUMMYFUNCTION("""COMPUTED_VALUE"""),78.0)</f>
        <v>78</v>
      </c>
      <c r="T153" s="14">
        <f>IFERROR(__xludf.DUMMYFUNCTION("""COMPUTED_VALUE"""),0.152)</f>
        <v>0.152</v>
      </c>
      <c r="U153" s="14">
        <f>IFERROR(__xludf.DUMMYFUNCTION("""COMPUTED_VALUE"""),0.677)</f>
        <v>0.677</v>
      </c>
      <c r="V153" s="14">
        <f>IFERROR(__xludf.DUMMYFUNCTION("""COMPUTED_VALUE"""),0.171)</f>
        <v>0.171</v>
      </c>
      <c r="W153" s="14">
        <f>IFERROR(__xludf.DUMMYFUNCTION("""COMPUTED_VALUE"""),8336926.0)</f>
        <v>8336926</v>
      </c>
      <c r="X153" s="14">
        <f>IFERROR(__xludf.DUMMYFUNCTION("""COMPUTED_VALUE"""),0.658)</f>
        <v>0.658</v>
      </c>
      <c r="Y153" s="14" t="str">
        <f>IFERROR(__xludf.DUMMYFUNCTION("""COMPUTED_VALUE"""),"Austria-Europe")</f>
        <v>Austria-Europe</v>
      </c>
      <c r="Z153" s="14" t="str">
        <f>IFERROR(__xludf.DUMMYFUNCTION("""COMPUTED_VALUE"""),"Europe")</f>
        <v>Europe</v>
      </c>
      <c r="AA153" s="14" t="str">
        <f>IFERROR(__xludf.DUMMYFUNCTION("""COMPUTED_VALUE"""),"2008")</f>
        <v>2008</v>
      </c>
      <c r="AB153" s="15" t="str">
        <f>IFERROR(__xludf.DUMMYFUNCTION("ARRAYFORMULA(VLOOKUP(A153,IMPORTRANGE(""https://docs.google.com/spreadsheets/d/1BuTWp7qHGjWhqrnf-OmePP568O4A5Am9ttzvVdP67zw/edit#gid=1931367683"" ,""ENERGY!$A$2:$F$2692""), {2,3,4,5,6},0))"),"Europe")</f>
        <v>Europe</v>
      </c>
      <c r="AC153" s="14" t="str">
        <f>IFERROR(__xludf.DUMMYFUNCTION("""COMPUTED_VALUE"""),"Austria-Europe")</f>
        <v>Austria-Europe</v>
      </c>
      <c r="AD153" s="14" t="str">
        <f>IFERROR(__xludf.DUMMYFUNCTION("""COMPUTED_VALUE"""),"2012")</f>
        <v>2012</v>
      </c>
      <c r="AE153" s="14">
        <f>IFERROR(__xludf.DUMMYFUNCTION("""COMPUTED_VALUE"""),32690.0)</f>
        <v>32690</v>
      </c>
      <c r="AF153" s="14">
        <f>IFERROR(__xludf.DUMMYFUNCTION("""COMPUTED_VALUE"""),71866.0)</f>
        <v>71866</v>
      </c>
    </row>
    <row r="154">
      <c r="A154" s="12">
        <v>153.0</v>
      </c>
      <c r="B154" s="12" t="s">
        <v>89</v>
      </c>
      <c r="C154" s="5" t="s">
        <v>75</v>
      </c>
      <c r="D154" s="11">
        <v>0.534</v>
      </c>
      <c r="E154" s="11">
        <v>25.0</v>
      </c>
      <c r="F154" s="8"/>
      <c r="G154" s="11">
        <v>170.0</v>
      </c>
      <c r="H154" s="11">
        <v>0.735</v>
      </c>
      <c r="I154" s="11">
        <v>1.366</v>
      </c>
      <c r="J154" s="9" t="s">
        <v>70</v>
      </c>
      <c r="K154" s="14" t="str">
        <f>IFERROR(__xludf.DUMMYFUNCTION("ARRAYFORMULA(VLOOKUP(A154,IMPORTRANGE(""https://docs.google.com/spreadsheets/d/1BuTWp7qHGjWhqrnf-OmePP568O4A5Am9ttzvVdP67zw/edit#gid=1603210130"", ""TOURISM!$A$2:$F$2692""), {2,3,4,5,6},0))"),"Europe")</f>
        <v>Europe</v>
      </c>
      <c r="L154" s="14">
        <f>IFERROR(__xludf.DUMMYFUNCTION("""COMPUTED_VALUE"""),2.122E10)</f>
        <v>21220000000</v>
      </c>
      <c r="M154" s="14" t="str">
        <f>IFERROR(__xludf.DUMMYFUNCTION("""COMPUTED_VALUE"""),"Austria-Europe")</f>
        <v>Austria-Europe</v>
      </c>
      <c r="N154" s="14" t="str">
        <f>IFERROR(__xludf.DUMMYFUNCTION("""COMPUTED_VALUE"""),"2009")</f>
        <v>2009</v>
      </c>
      <c r="O154" s="14">
        <f>IFERROR(__xludf.DUMMYFUNCTION("""COMPUTED_VALUE"""),1.2767E10)</f>
        <v>12767000000</v>
      </c>
      <c r="P154" s="15">
        <f>IFERROR(__xludf.DUMMYFUNCTION("ARRAYFORMULA(VLOOKUP(A154,IMPORTRANGE(""https://docs.google.com/spreadsheets/d/1BuTWp7qHGjWhqrnf-OmePP568O4A5Am9ttzvVdP67zw/edit#gid=771602874"" ,""HUMAN RESOURCES!$A$2:$M$2692""), {2,3,4,5,6,7,8,9,10,11,12,13},0))"),0.009)</f>
        <v>0.009</v>
      </c>
      <c r="Q154" s="14">
        <f>IFERROR(__xludf.DUMMYFUNCTION("""COMPUTED_VALUE"""),0.004)</f>
        <v>0.004</v>
      </c>
      <c r="R154" s="14">
        <f>IFERROR(__xludf.DUMMYFUNCTION("""COMPUTED_VALUE"""),83.0)</f>
        <v>83</v>
      </c>
      <c r="S154" s="14">
        <f>IFERROR(__xludf.DUMMYFUNCTION("""COMPUTED_VALUE"""),77.0)</f>
        <v>77</v>
      </c>
      <c r="T154" s="14">
        <f>IFERROR(__xludf.DUMMYFUNCTION("""COMPUTED_VALUE"""),0.15)</f>
        <v>0.15</v>
      </c>
      <c r="U154" s="14">
        <f>IFERROR(__xludf.DUMMYFUNCTION("""COMPUTED_VALUE"""),0.675)</f>
        <v>0.675</v>
      </c>
      <c r="V154" s="14">
        <f>IFERROR(__xludf.DUMMYFUNCTION("""COMPUTED_VALUE"""),0.175)</f>
        <v>0.175</v>
      </c>
      <c r="W154" s="14">
        <f>IFERROR(__xludf.DUMMYFUNCTION("""COMPUTED_VALUE"""),8365275.0)</f>
        <v>8365275</v>
      </c>
      <c r="X154" s="14">
        <f>IFERROR(__xludf.DUMMYFUNCTION("""COMPUTED_VALUE"""),0.658)</f>
        <v>0.658</v>
      </c>
      <c r="Y154" s="14" t="str">
        <f>IFERROR(__xludf.DUMMYFUNCTION("""COMPUTED_VALUE"""),"Austria-Europe")</f>
        <v>Austria-Europe</v>
      </c>
      <c r="Z154" s="14" t="str">
        <f>IFERROR(__xludf.DUMMYFUNCTION("""COMPUTED_VALUE"""),"Europe")</f>
        <v>Europe</v>
      </c>
      <c r="AA154" s="14" t="str">
        <f>IFERROR(__xludf.DUMMYFUNCTION("""COMPUTED_VALUE"""),"2009")</f>
        <v>2009</v>
      </c>
      <c r="AB154" s="15" t="str">
        <f>IFERROR(__xludf.DUMMYFUNCTION("ARRAYFORMULA(VLOOKUP(A154,IMPORTRANGE(""https://docs.google.com/spreadsheets/d/1BuTWp7qHGjWhqrnf-OmePP568O4A5Am9ttzvVdP67zw/edit#gid=1931367683"" ,""ENERGY!$A$2:$F$2692""), {2,3,4,5,6},0))"),"Europe")</f>
        <v>Europe</v>
      </c>
      <c r="AC154" s="14" t="str">
        <f>IFERROR(__xludf.DUMMYFUNCTION("""COMPUTED_VALUE"""),"Austria-Europe")</f>
        <v>Austria-Europe</v>
      </c>
      <c r="AD154" s="14" t="str">
        <f>IFERROR(__xludf.DUMMYFUNCTION("""COMPUTED_VALUE"""),"2008")</f>
        <v>2008</v>
      </c>
      <c r="AE154" s="14">
        <f>IFERROR(__xludf.DUMMYFUNCTION("""COMPUTED_VALUE"""),32214.0)</f>
        <v>32214</v>
      </c>
      <c r="AF154" s="14">
        <f>IFERROR(__xludf.DUMMYFUNCTION("""COMPUTED_VALUE"""),72317.0)</f>
        <v>72317</v>
      </c>
    </row>
    <row r="155">
      <c r="A155" s="12">
        <v>154.0</v>
      </c>
      <c r="B155" s="12" t="s">
        <v>89</v>
      </c>
      <c r="C155" s="5" t="s">
        <v>75</v>
      </c>
      <c r="D155" s="11">
        <v>0.532</v>
      </c>
      <c r="E155" s="11">
        <v>25.0</v>
      </c>
      <c r="F155" s="8"/>
      <c r="G155" s="11">
        <v>170.0</v>
      </c>
      <c r="H155" s="11">
        <v>0.752</v>
      </c>
      <c r="I155" s="11">
        <v>1.457</v>
      </c>
      <c r="J155" s="9" t="s">
        <v>71</v>
      </c>
      <c r="K155" s="14" t="str">
        <f>IFERROR(__xludf.DUMMYFUNCTION("ARRAYFORMULA(VLOOKUP(A155,IMPORTRANGE(""https://docs.google.com/spreadsheets/d/1BuTWp7qHGjWhqrnf-OmePP568O4A5Am9ttzvVdP67zw/edit#gid=1603210130"", ""TOURISM!$A$2:$F$2692""), {2,3,4,5,6},0))"),"Europe")</f>
        <v>Europe</v>
      </c>
      <c r="L155" s="14">
        <f>IFERROR(__xludf.DUMMYFUNCTION("""COMPUTED_VALUE"""),2.098E10)</f>
        <v>20980000000</v>
      </c>
      <c r="M155" s="14" t="str">
        <f>IFERROR(__xludf.DUMMYFUNCTION("""COMPUTED_VALUE"""),"Austria-Europe")</f>
        <v>Austria-Europe</v>
      </c>
      <c r="N155" s="14" t="str">
        <f>IFERROR(__xludf.DUMMYFUNCTION("""COMPUTED_VALUE"""),"2010")</f>
        <v>2010</v>
      </c>
      <c r="O155" s="14">
        <f>IFERROR(__xludf.DUMMYFUNCTION("""COMPUTED_VALUE"""),1.2213E10)</f>
        <v>12213000000</v>
      </c>
      <c r="P155" s="15">
        <f>IFERROR(__xludf.DUMMYFUNCTION("ARRAYFORMULA(VLOOKUP(A155,IMPORTRANGE(""https://docs.google.com/spreadsheets/d/1BuTWp7qHGjWhqrnf-OmePP568O4A5Am9ttzvVdP67zw/edit#gid=771602874"" ,""HUMAN RESOURCES!$A$2:$M$2692""), {2,3,4,5,6,7,8,9,10,11,12,13},0))"),0.009)</f>
        <v>0.009</v>
      </c>
      <c r="Q155" s="14">
        <f>IFERROR(__xludf.DUMMYFUNCTION("""COMPUTED_VALUE"""),0.004)</f>
        <v>0.004</v>
      </c>
      <c r="R155" s="14">
        <f>IFERROR(__xludf.DUMMYFUNCTION("""COMPUTED_VALUE"""),83.0)</f>
        <v>83</v>
      </c>
      <c r="S155" s="14">
        <f>IFERROR(__xludf.DUMMYFUNCTION("""COMPUTED_VALUE"""),78.0)</f>
        <v>78</v>
      </c>
      <c r="T155" s="14">
        <f>IFERROR(__xludf.DUMMYFUNCTION("""COMPUTED_VALUE"""),0.148)</f>
        <v>0.148</v>
      </c>
      <c r="U155" s="14">
        <f>IFERROR(__xludf.DUMMYFUNCTION("""COMPUTED_VALUE"""),0.674)</f>
        <v>0.674</v>
      </c>
      <c r="V155" s="14">
        <f>IFERROR(__xludf.DUMMYFUNCTION("""COMPUTED_VALUE"""),0.178)</f>
        <v>0.178</v>
      </c>
      <c r="W155" s="14">
        <f>IFERROR(__xludf.DUMMYFUNCTION("""COMPUTED_VALUE"""),8389771.0)</f>
        <v>8389771</v>
      </c>
      <c r="X155" s="14">
        <f>IFERROR(__xludf.DUMMYFUNCTION("""COMPUTED_VALUE"""),0.659)</f>
        <v>0.659</v>
      </c>
      <c r="Y155" s="14" t="str">
        <f>IFERROR(__xludf.DUMMYFUNCTION("""COMPUTED_VALUE"""),"Austria-Europe")</f>
        <v>Austria-Europe</v>
      </c>
      <c r="Z155" s="14" t="str">
        <f>IFERROR(__xludf.DUMMYFUNCTION("""COMPUTED_VALUE"""),"Europe")</f>
        <v>Europe</v>
      </c>
      <c r="AA155" s="14" t="str">
        <f>IFERROR(__xludf.DUMMYFUNCTION("""COMPUTED_VALUE"""),"2010")</f>
        <v>2010</v>
      </c>
      <c r="AB155" s="15" t="str">
        <f>IFERROR(__xludf.DUMMYFUNCTION("ARRAYFORMULA(VLOOKUP(A155,IMPORTRANGE(""https://docs.google.com/spreadsheets/d/1BuTWp7qHGjWhqrnf-OmePP568O4A5Am9ttzvVdP67zw/edit#gid=1931367683"" ,""ENERGY!$A$2:$F$2692""), {2,3,4,5,6},0))"),"Europe")</f>
        <v>Europe</v>
      </c>
      <c r="AC155" s="14" t="str">
        <f>IFERROR(__xludf.DUMMYFUNCTION("""COMPUTED_VALUE"""),"Austria-Europe")</f>
        <v>Austria-Europe</v>
      </c>
      <c r="AD155" s="14" t="str">
        <f>IFERROR(__xludf.DUMMYFUNCTION("""COMPUTED_VALUE"""),"2005")</f>
        <v>2005</v>
      </c>
      <c r="AE155" s="14">
        <f>IFERROR(__xludf.DUMMYFUNCTION("""COMPUTED_VALUE"""),30447.0)</f>
        <v>30447</v>
      </c>
      <c r="AF155" s="14">
        <f>IFERROR(__xludf.DUMMYFUNCTION("""COMPUTED_VALUE"""),67179.0)</f>
        <v>67179</v>
      </c>
    </row>
    <row r="156">
      <c r="A156" s="12">
        <v>155.0</v>
      </c>
      <c r="B156" s="12" t="s">
        <v>89</v>
      </c>
      <c r="C156" s="5" t="s">
        <v>75</v>
      </c>
      <c r="D156" s="11">
        <v>0.523</v>
      </c>
      <c r="E156" s="11">
        <v>25.0</v>
      </c>
      <c r="F156" s="8"/>
      <c r="G156" s="11">
        <v>170.0</v>
      </c>
      <c r="H156" s="11">
        <v>0.787</v>
      </c>
      <c r="I156" s="11">
        <v>1.544</v>
      </c>
      <c r="J156" s="9" t="s">
        <v>72</v>
      </c>
      <c r="K156" s="14" t="str">
        <f>IFERROR(__xludf.DUMMYFUNCTION("ARRAYFORMULA(VLOOKUP(A156,IMPORTRANGE(""https://docs.google.com/spreadsheets/d/1BuTWp7qHGjWhqrnf-OmePP568O4A5Am9ttzvVdP67zw/edit#gid=1603210130"", ""TOURISM!$A$2:$F$2692""), {2,3,4,5,6},0))"),"Europe")</f>
        <v>Europe</v>
      </c>
      <c r="L156" s="14">
        <f>IFERROR(__xludf.DUMMYFUNCTION("""COMPUTED_VALUE"""),2.2453E10)</f>
        <v>22453000000</v>
      </c>
      <c r="M156" s="14" t="str">
        <f>IFERROR(__xludf.DUMMYFUNCTION("""COMPUTED_VALUE"""),"Austria-Europe")</f>
        <v>Austria-Europe</v>
      </c>
      <c r="N156" s="14" t="str">
        <f>IFERROR(__xludf.DUMMYFUNCTION("""COMPUTED_VALUE"""),"2011")</f>
        <v>2011</v>
      </c>
      <c r="O156" s="14">
        <f>IFERROR(__xludf.DUMMYFUNCTION("""COMPUTED_VALUE"""),1.292E10)</f>
        <v>12920000000</v>
      </c>
      <c r="P156" s="15">
        <f>IFERROR(__xludf.DUMMYFUNCTION("ARRAYFORMULA(VLOOKUP(A156,IMPORTRANGE(""https://docs.google.com/spreadsheets/d/1BuTWp7qHGjWhqrnf-OmePP568O4A5Am9ttzvVdP67zw/edit#gid=771602874"" ,""HUMAN RESOURCES!$A$2:$M$2692""), {2,3,4,5,6,7,8,9,10,11,12,13},0))"),0.009)</f>
        <v>0.009</v>
      </c>
      <c r="Q156" s="14">
        <f>IFERROR(__xludf.DUMMYFUNCTION("""COMPUTED_VALUE"""),0.003)</f>
        <v>0.003</v>
      </c>
      <c r="R156" s="14">
        <f>IFERROR(__xludf.DUMMYFUNCTION("""COMPUTED_VALUE"""),84.0)</f>
        <v>84</v>
      </c>
      <c r="S156" s="14">
        <f>IFERROR(__xludf.DUMMYFUNCTION("""COMPUTED_VALUE"""),78.0)</f>
        <v>78</v>
      </c>
      <c r="T156" s="14">
        <f>IFERROR(__xludf.DUMMYFUNCTION("""COMPUTED_VALUE"""),0.146)</f>
        <v>0.146</v>
      </c>
      <c r="U156" s="14">
        <f>IFERROR(__xludf.DUMMYFUNCTION("""COMPUTED_VALUE"""),0.673)</f>
        <v>0.673</v>
      </c>
      <c r="V156" s="14">
        <f>IFERROR(__xludf.DUMMYFUNCTION("""COMPUTED_VALUE"""),0.181)</f>
        <v>0.181</v>
      </c>
      <c r="W156" s="14">
        <f>IFERROR(__xludf.DUMMYFUNCTION("""COMPUTED_VALUE"""),8406187.0)</f>
        <v>8406187</v>
      </c>
      <c r="X156" s="14">
        <f>IFERROR(__xludf.DUMMYFUNCTION("""COMPUTED_VALUE"""),0.659)</f>
        <v>0.659</v>
      </c>
      <c r="Y156" s="14" t="str">
        <f>IFERROR(__xludf.DUMMYFUNCTION("""COMPUTED_VALUE"""),"Austria-Europe")</f>
        <v>Austria-Europe</v>
      </c>
      <c r="Z156" s="14" t="str">
        <f>IFERROR(__xludf.DUMMYFUNCTION("""COMPUTED_VALUE"""),"Europe")</f>
        <v>Europe</v>
      </c>
      <c r="AA156" s="14" t="str">
        <f>IFERROR(__xludf.DUMMYFUNCTION("""COMPUTED_VALUE"""),"2011")</f>
        <v>2011</v>
      </c>
      <c r="AB156" s="15" t="str">
        <f>IFERROR(__xludf.DUMMYFUNCTION("ARRAYFORMULA(VLOOKUP(A156,IMPORTRANGE(""https://docs.google.com/spreadsheets/d/1BuTWp7qHGjWhqrnf-OmePP568O4A5Am9ttzvVdP67zw/edit#gid=1931367683"" ,""ENERGY!$A$2:$F$2692""), {2,3,4,5,6},0))"),"Europe")</f>
        <v>Europe</v>
      </c>
      <c r="AC156" s="14" t="str">
        <f>IFERROR(__xludf.DUMMYFUNCTION("""COMPUTED_VALUE"""),"Austria-Europe")</f>
        <v>Austria-Europe</v>
      </c>
      <c r="AD156" s="14" t="str">
        <f>IFERROR(__xludf.DUMMYFUNCTION("""COMPUTED_VALUE"""),"2011")</f>
        <v>2011</v>
      </c>
      <c r="AE156" s="14">
        <f>IFERROR(__xludf.DUMMYFUNCTION("""COMPUTED_VALUE"""),30177.0)</f>
        <v>30177</v>
      </c>
      <c r="AF156" s="14">
        <f>IFERROR(__xludf.DUMMYFUNCTION("""COMPUTED_VALUE"""),65716.0)</f>
        <v>65716</v>
      </c>
    </row>
    <row r="157">
      <c r="A157" s="12">
        <v>156.0</v>
      </c>
      <c r="B157" s="12" t="s">
        <v>89</v>
      </c>
      <c r="C157" s="5" t="s">
        <v>75</v>
      </c>
      <c r="D157" s="11">
        <v>0.524</v>
      </c>
      <c r="E157" s="11">
        <v>25.0</v>
      </c>
      <c r="F157" s="11">
        <v>28.0</v>
      </c>
      <c r="G157" s="11">
        <v>170.0</v>
      </c>
      <c r="H157" s="11">
        <v>0.8</v>
      </c>
      <c r="I157" s="11">
        <v>1.605</v>
      </c>
      <c r="J157" s="9" t="s">
        <v>73</v>
      </c>
      <c r="K157" s="14" t="str">
        <f>IFERROR(__xludf.DUMMYFUNCTION("ARRAYFORMULA(VLOOKUP(A157,IMPORTRANGE(""https://docs.google.com/spreadsheets/d/1BuTWp7qHGjWhqrnf-OmePP568O4A5Am9ttzvVdP67zw/edit#gid=1603210130"", ""TOURISM!$A$2:$F$2692""), {2,3,4,5,6},0))"),"Europe")</f>
        <v>Europe</v>
      </c>
      <c r="L157" s="14">
        <f>IFERROR(__xludf.DUMMYFUNCTION("""COMPUTED_VALUE"""),2.1446E10)</f>
        <v>21446000000</v>
      </c>
      <c r="M157" s="14" t="str">
        <f>IFERROR(__xludf.DUMMYFUNCTION("""COMPUTED_VALUE"""),"Austria-Europe")</f>
        <v>Austria-Europe</v>
      </c>
      <c r="N157" s="14" t="str">
        <f>IFERROR(__xludf.DUMMYFUNCTION("""COMPUTED_VALUE"""),"2012")</f>
        <v>2012</v>
      </c>
      <c r="O157" s="14">
        <f>IFERROR(__xludf.DUMMYFUNCTION("""COMPUTED_VALUE"""),1.2352E10)</f>
        <v>12352000000</v>
      </c>
      <c r="P157" s="15">
        <f>IFERROR(__xludf.DUMMYFUNCTION("ARRAYFORMULA(VLOOKUP(A157,IMPORTRANGE(""https://docs.google.com/spreadsheets/d/1BuTWp7qHGjWhqrnf-OmePP568O4A5Am9ttzvVdP67zw/edit#gid=771602874"" ,""HUMAN RESOURCES!$A$2:$M$2692""), {2,3,4,5,6,7,8,9,10,11,12,13},0))"),0.009)</f>
        <v>0.009</v>
      </c>
      <c r="Q157" s="14">
        <f>IFERROR(__xludf.DUMMYFUNCTION("""COMPUTED_VALUE"""),0.003)</f>
        <v>0.003</v>
      </c>
      <c r="R157" s="14">
        <f>IFERROR(__xludf.DUMMYFUNCTION("""COMPUTED_VALUE"""),84.0)</f>
        <v>84</v>
      </c>
      <c r="S157" s="14">
        <f>IFERROR(__xludf.DUMMYFUNCTION("""COMPUTED_VALUE"""),78.0)</f>
        <v>78</v>
      </c>
      <c r="T157" s="14">
        <f>IFERROR(__xludf.DUMMYFUNCTION("""COMPUTED_VALUE"""),0.145)</f>
        <v>0.145</v>
      </c>
      <c r="U157" s="14">
        <f>IFERROR(__xludf.DUMMYFUNCTION("""COMPUTED_VALUE"""),0.672)</f>
        <v>0.672</v>
      </c>
      <c r="V157" s="14">
        <f>IFERROR(__xludf.DUMMYFUNCTION("""COMPUTED_VALUE"""),0.182)</f>
        <v>0.182</v>
      </c>
      <c r="W157" s="14">
        <f>IFERROR(__xludf.DUMMYFUNCTION("""COMPUTED_VALUE"""),8429991.0)</f>
        <v>8429991</v>
      </c>
      <c r="X157" s="14">
        <f>IFERROR(__xludf.DUMMYFUNCTION("""COMPUTED_VALUE"""),0.659)</f>
        <v>0.659</v>
      </c>
      <c r="Y157" s="14" t="str">
        <f>IFERROR(__xludf.DUMMYFUNCTION("""COMPUTED_VALUE"""),"Austria-Europe")</f>
        <v>Austria-Europe</v>
      </c>
      <c r="Z157" s="14" t="str">
        <f>IFERROR(__xludf.DUMMYFUNCTION("""COMPUTED_VALUE"""),"Europe")</f>
        <v>Europe</v>
      </c>
      <c r="AA157" s="14" t="str">
        <f>IFERROR(__xludf.DUMMYFUNCTION("""COMPUTED_VALUE"""),"2012")</f>
        <v>2012</v>
      </c>
      <c r="AB157" s="15" t="str">
        <f>IFERROR(__xludf.DUMMYFUNCTION("ARRAYFORMULA(VLOOKUP(A157,IMPORTRANGE(""https://docs.google.com/spreadsheets/d/1BuTWp7qHGjWhqrnf-OmePP568O4A5Am9ttzvVdP67zw/edit#gid=1931367683"" ,""ENERGY!$A$2:$F$2692""), {2,3,4,5,6},0))"),"Europe")</f>
        <v>Europe</v>
      </c>
      <c r="AC157" s="14" t="str">
        <f>IFERROR(__xludf.DUMMYFUNCTION("""COMPUTED_VALUE"""),"Austria-Europe")</f>
        <v>Austria-Europe</v>
      </c>
      <c r="AD157" s="14" t="str">
        <f>IFERROR(__xludf.DUMMYFUNCTION("""COMPUTED_VALUE"""),"2008")</f>
        <v>2008</v>
      </c>
      <c r="AE157" s="14">
        <f>IFERROR(__xludf.DUMMYFUNCTION("""COMPUTED_VALUE"""),28558.0)</f>
        <v>28558</v>
      </c>
      <c r="AF157" s="14">
        <f>IFERROR(__xludf.DUMMYFUNCTION("""COMPUTED_VALUE"""),63696.0)</f>
        <v>63696</v>
      </c>
    </row>
    <row r="158">
      <c r="A158" s="12">
        <v>157.0</v>
      </c>
      <c r="B158" s="12" t="s">
        <v>90</v>
      </c>
      <c r="C158" s="5" t="s">
        <v>61</v>
      </c>
      <c r="D158" s="8"/>
      <c r="E158" s="8"/>
      <c r="F158" s="8"/>
      <c r="G158" s="8"/>
      <c r="H158" s="11">
        <v>0.001</v>
      </c>
      <c r="I158" s="11">
        <v>0.052</v>
      </c>
      <c r="J158" s="9" t="s">
        <v>60</v>
      </c>
      <c r="K158" s="14" t="str">
        <f>IFERROR(__xludf.DUMMYFUNCTION("ARRAYFORMULA(VLOOKUP(A158,IMPORTRANGE(""https://docs.google.com/spreadsheets/d/1BuTWp7qHGjWhqrnf-OmePP568O4A5Am9ttzvVdP67zw/edit#gid=1603210130"", ""TOURISM!$A$2:$F$2692""), {2,3,4,5,6},0))"),"Asia")</f>
        <v>Asia</v>
      </c>
      <c r="L158" s="14">
        <f>IFERROR(__xludf.DUMMYFUNCTION("""COMPUTED_VALUE"""),6.8E7)</f>
        <v>68000000</v>
      </c>
      <c r="M158" s="14" t="str">
        <f>IFERROR(__xludf.DUMMYFUNCTION("""COMPUTED_VALUE"""),"Azerbaijan-Asia")</f>
        <v>Azerbaijan-Asia</v>
      </c>
      <c r="N158" s="14" t="str">
        <f>IFERROR(__xludf.DUMMYFUNCTION("""COMPUTED_VALUE"""),"2000")</f>
        <v>2000</v>
      </c>
      <c r="O158" s="14">
        <f>IFERROR(__xludf.DUMMYFUNCTION("""COMPUTED_VALUE"""),1.38E8)</f>
        <v>138000000</v>
      </c>
      <c r="P158" s="15">
        <f>IFERROR(__xludf.DUMMYFUNCTION("ARRAYFORMULA(VLOOKUP(A158,IMPORTRANGE(""https://docs.google.com/spreadsheets/d/1BuTWp7qHGjWhqrnf-OmePP568O4A5Am9ttzvVdP67zw/edit#gid=771602874"" ,""HUMAN RESOURCES!$A$2:$M$2692""), {2,3,4,5,6,7,8,9,10,11,12,13},0))"),0.015)</f>
        <v>0.015</v>
      </c>
      <c r="Q158" s="14">
        <f>IFERROR(__xludf.DUMMYFUNCTION("""COMPUTED_VALUE"""),0.061)</f>
        <v>0.061</v>
      </c>
      <c r="R158" s="14">
        <f>IFERROR(__xludf.DUMMYFUNCTION("""COMPUTED_VALUE"""),70.0)</f>
        <v>70</v>
      </c>
      <c r="S158" s="14">
        <f>IFERROR(__xludf.DUMMYFUNCTION("""COMPUTED_VALUE"""),64.0)</f>
        <v>64</v>
      </c>
      <c r="T158" s="14">
        <f>IFERROR(__xludf.DUMMYFUNCTION("""COMPUTED_VALUE"""),0.311)</f>
        <v>0.311</v>
      </c>
      <c r="U158" s="14">
        <f>IFERROR(__xludf.DUMMYFUNCTION("""COMPUTED_VALUE"""),0.633)</f>
        <v>0.633</v>
      </c>
      <c r="V158" s="14">
        <f>IFERROR(__xludf.DUMMYFUNCTION("""COMPUTED_VALUE"""),0.056)</f>
        <v>0.056</v>
      </c>
      <c r="W158" s="14">
        <f>IFERROR(__xludf.DUMMYFUNCTION("""COMPUTED_VALUE"""),8048600.0)</f>
        <v>8048600</v>
      </c>
      <c r="X158" s="14">
        <f>IFERROR(__xludf.DUMMYFUNCTION("""COMPUTED_VALUE"""),0.514)</f>
        <v>0.514</v>
      </c>
      <c r="Y158" s="14" t="str">
        <f>IFERROR(__xludf.DUMMYFUNCTION("""COMPUTED_VALUE"""),"Azerbaijan-Asia")</f>
        <v>Azerbaijan-Asia</v>
      </c>
      <c r="Z158" s="14" t="str">
        <f>IFERROR(__xludf.DUMMYFUNCTION("""COMPUTED_VALUE"""),"Asia")</f>
        <v>Asia</v>
      </c>
      <c r="AA158" s="14" t="str">
        <f>IFERROR(__xludf.DUMMYFUNCTION("""COMPUTED_VALUE"""),"2000")</f>
        <v>2000</v>
      </c>
      <c r="AB158" s="15" t="str">
        <f>IFERROR(__xludf.DUMMYFUNCTION("ARRAYFORMULA(VLOOKUP(A158,IMPORTRANGE(""https://docs.google.com/spreadsheets/d/1BuTWp7qHGjWhqrnf-OmePP568O4A5Am9ttzvVdP67zw/edit#gid=1931367683"" ,""ENERGY!$A$2:$F$2692""), {2,3,4,5,6},0))"),"Asia")</f>
        <v>Asia</v>
      </c>
      <c r="AC158" s="14" t="str">
        <f>IFERROR(__xludf.DUMMYFUNCTION("""COMPUTED_VALUE"""),"Azerbaijan-Asia")</f>
        <v>Azerbaijan-Asia</v>
      </c>
      <c r="AD158" s="14" t="str">
        <f>IFERROR(__xludf.DUMMYFUNCTION("""COMPUTED_VALUE"""),"2000")</f>
        <v>2000</v>
      </c>
      <c r="AE158" s="14"/>
      <c r="AF158" s="14"/>
    </row>
    <row r="159">
      <c r="A159" s="12">
        <v>158.0</v>
      </c>
      <c r="B159" s="12" t="s">
        <v>90</v>
      </c>
      <c r="C159" s="5" t="s">
        <v>61</v>
      </c>
      <c r="D159" s="8"/>
      <c r="E159" s="8"/>
      <c r="F159" s="8"/>
      <c r="G159" s="8"/>
      <c r="H159" s="11">
        <v>0.003</v>
      </c>
      <c r="I159" s="11">
        <v>0.089</v>
      </c>
      <c r="J159" s="9" t="s">
        <v>62</v>
      </c>
      <c r="K159" s="14" t="str">
        <f>IFERROR(__xludf.DUMMYFUNCTION("ARRAYFORMULA(VLOOKUP(A159,IMPORTRANGE(""https://docs.google.com/spreadsheets/d/1BuTWp7qHGjWhqrnf-OmePP568O4A5Am9ttzvVdP67zw/edit#gid=1603210130"", ""TOURISM!$A$2:$F$2692""), {2,3,4,5,6},0))"),"Asia")</f>
        <v>Asia</v>
      </c>
      <c r="L159" s="14">
        <f>IFERROR(__xludf.DUMMYFUNCTION("""COMPUTED_VALUE"""),5.7E7)</f>
        <v>57000000</v>
      </c>
      <c r="M159" s="14" t="str">
        <f>IFERROR(__xludf.DUMMYFUNCTION("""COMPUTED_VALUE"""),"Azerbaijan-Asia")</f>
        <v>Azerbaijan-Asia</v>
      </c>
      <c r="N159" s="14" t="str">
        <f>IFERROR(__xludf.DUMMYFUNCTION("""COMPUTED_VALUE"""),"2001")</f>
        <v>2001</v>
      </c>
      <c r="O159" s="14">
        <f>IFERROR(__xludf.DUMMYFUNCTION("""COMPUTED_VALUE"""),1.19E8)</f>
        <v>119000000</v>
      </c>
      <c r="P159" s="15">
        <f>IFERROR(__xludf.DUMMYFUNCTION("ARRAYFORMULA(VLOOKUP(A159,IMPORTRANGE(""https://docs.google.com/spreadsheets/d/1BuTWp7qHGjWhqrnf-OmePP568O4A5Am9ttzvVdP67zw/edit#gid=771602874"" ,""HUMAN RESOURCES!$A$2:$M$2692""), {2,3,4,5,6,7,8,9,10,11,12,13},0))"),0.014)</f>
        <v>0.014</v>
      </c>
      <c r="Q159" s="14">
        <f>IFERROR(__xludf.DUMMYFUNCTION("""COMPUTED_VALUE"""),0.057)</f>
        <v>0.057</v>
      </c>
      <c r="R159" s="14">
        <f>IFERROR(__xludf.DUMMYFUNCTION("""COMPUTED_VALUE"""),70.0)</f>
        <v>70</v>
      </c>
      <c r="S159" s="14">
        <f>IFERROR(__xludf.DUMMYFUNCTION("""COMPUTED_VALUE"""),64.0)</f>
        <v>64</v>
      </c>
      <c r="T159" s="14">
        <f>IFERROR(__xludf.DUMMYFUNCTION("""COMPUTED_VALUE"""),0.301)</f>
        <v>0.301</v>
      </c>
      <c r="U159" s="14">
        <f>IFERROR(__xludf.DUMMYFUNCTION("""COMPUTED_VALUE"""),0.641)</f>
        <v>0.641</v>
      </c>
      <c r="V159" s="14">
        <f>IFERROR(__xludf.DUMMYFUNCTION("""COMPUTED_VALUE"""),0.058)</f>
        <v>0.058</v>
      </c>
      <c r="W159" s="14">
        <f>IFERROR(__xludf.DUMMYFUNCTION("""COMPUTED_VALUE"""),8111200.0)</f>
        <v>8111200</v>
      </c>
      <c r="X159" s="14">
        <f>IFERROR(__xludf.DUMMYFUNCTION("""COMPUTED_VALUE"""),0.516)</f>
        <v>0.516</v>
      </c>
      <c r="Y159" s="14" t="str">
        <f>IFERROR(__xludf.DUMMYFUNCTION("""COMPUTED_VALUE"""),"Azerbaijan-Asia")</f>
        <v>Azerbaijan-Asia</v>
      </c>
      <c r="Z159" s="14" t="str">
        <f>IFERROR(__xludf.DUMMYFUNCTION("""COMPUTED_VALUE"""),"Asia")</f>
        <v>Asia</v>
      </c>
      <c r="AA159" s="14" t="str">
        <f>IFERROR(__xludf.DUMMYFUNCTION("""COMPUTED_VALUE"""),"2001")</f>
        <v>2001</v>
      </c>
      <c r="AB159" s="15" t="str">
        <f>IFERROR(__xludf.DUMMYFUNCTION("ARRAYFORMULA(VLOOKUP(A159,IMPORTRANGE(""https://docs.google.com/spreadsheets/d/1BuTWp7qHGjWhqrnf-OmePP568O4A5Am9ttzvVdP67zw/edit#gid=1931367683"" ,""ENERGY!$A$2:$F$2692""), {2,3,4,5,6},0))"),"Asia")</f>
        <v>Asia</v>
      </c>
      <c r="AC159" s="14" t="str">
        <f>IFERROR(__xludf.DUMMYFUNCTION("""COMPUTED_VALUE"""),"Azerbaijan-Asia")</f>
        <v>Azerbaijan-Asia</v>
      </c>
      <c r="AD159" s="14" t="str">
        <f>IFERROR(__xludf.DUMMYFUNCTION("""COMPUTED_VALUE"""),"2001")</f>
        <v>2001</v>
      </c>
      <c r="AE159" s="14">
        <f>IFERROR(__xludf.DUMMYFUNCTION("""COMPUTED_VALUE"""),12561.0)</f>
        <v>12561</v>
      </c>
      <c r="AF159" s="14"/>
    </row>
    <row r="160">
      <c r="A160" s="12">
        <v>159.0</v>
      </c>
      <c r="B160" s="12" t="s">
        <v>90</v>
      </c>
      <c r="C160" s="5" t="s">
        <v>61</v>
      </c>
      <c r="D160" s="8"/>
      <c r="E160" s="8"/>
      <c r="F160" s="8"/>
      <c r="G160" s="8"/>
      <c r="H160" s="11">
        <v>0.05</v>
      </c>
      <c r="I160" s="11">
        <v>0.096</v>
      </c>
      <c r="J160" s="9" t="s">
        <v>63</v>
      </c>
      <c r="K160" s="14" t="str">
        <f>IFERROR(__xludf.DUMMYFUNCTION("ARRAYFORMULA(VLOOKUP(A160,IMPORTRANGE(""https://docs.google.com/spreadsheets/d/1BuTWp7qHGjWhqrnf-OmePP568O4A5Am9ttzvVdP67zw/edit#gid=1603210130"", ""TOURISM!$A$2:$F$2692""), {2,3,4,5,6},0))"),"Asia")</f>
        <v>Asia</v>
      </c>
      <c r="L160" s="14">
        <f>IFERROR(__xludf.DUMMYFUNCTION("""COMPUTED_VALUE"""),6.3E7)</f>
        <v>63000000</v>
      </c>
      <c r="M160" s="14" t="str">
        <f>IFERROR(__xludf.DUMMYFUNCTION("""COMPUTED_VALUE"""),"Azerbaijan-Asia")</f>
        <v>Azerbaijan-Asia</v>
      </c>
      <c r="N160" s="14" t="str">
        <f>IFERROR(__xludf.DUMMYFUNCTION("""COMPUTED_VALUE"""),"2002")</f>
        <v>2002</v>
      </c>
      <c r="O160" s="14">
        <f>IFERROR(__xludf.DUMMYFUNCTION("""COMPUTED_VALUE"""),1.1E8)</f>
        <v>110000000</v>
      </c>
      <c r="P160" s="15">
        <f>IFERROR(__xludf.DUMMYFUNCTION("ARRAYFORMULA(VLOOKUP(A160,IMPORTRANGE(""https://docs.google.com/spreadsheets/d/1BuTWp7qHGjWhqrnf-OmePP568O4A5Am9ttzvVdP67zw/edit#gid=771602874"" ,""HUMAN RESOURCES!$A$2:$M$2692""), {2,3,4,5,6,7,8,9,10,11,12,13},0))"),0.014)</f>
        <v>0.014</v>
      </c>
      <c r="Q160" s="14">
        <f>IFERROR(__xludf.DUMMYFUNCTION("""COMPUTED_VALUE"""),0.053)</f>
        <v>0.053</v>
      </c>
      <c r="R160" s="14">
        <f>IFERROR(__xludf.DUMMYFUNCTION("""COMPUTED_VALUE"""),70.0)</f>
        <v>70</v>
      </c>
      <c r="S160" s="14">
        <f>IFERROR(__xludf.DUMMYFUNCTION("""COMPUTED_VALUE"""),65.0)</f>
        <v>65</v>
      </c>
      <c r="T160" s="14">
        <f>IFERROR(__xludf.DUMMYFUNCTION("""COMPUTED_VALUE"""),0.291)</f>
        <v>0.291</v>
      </c>
      <c r="U160" s="14">
        <f>IFERROR(__xludf.DUMMYFUNCTION("""COMPUTED_VALUE"""),0.649)</f>
        <v>0.649</v>
      </c>
      <c r="V160" s="14">
        <f>IFERROR(__xludf.DUMMYFUNCTION("""COMPUTED_VALUE"""),0.06)</f>
        <v>0.06</v>
      </c>
      <c r="W160" s="14">
        <f>IFERROR(__xludf.DUMMYFUNCTION("""COMPUTED_VALUE"""),8171950.0)</f>
        <v>8171950</v>
      </c>
      <c r="X160" s="14">
        <f>IFERROR(__xludf.DUMMYFUNCTION("""COMPUTED_VALUE"""),0.518)</f>
        <v>0.518</v>
      </c>
      <c r="Y160" s="14" t="str">
        <f>IFERROR(__xludf.DUMMYFUNCTION("""COMPUTED_VALUE"""),"Azerbaijan-Asia")</f>
        <v>Azerbaijan-Asia</v>
      </c>
      <c r="Z160" s="14" t="str">
        <f>IFERROR(__xludf.DUMMYFUNCTION("""COMPUTED_VALUE"""),"Asia")</f>
        <v>Asia</v>
      </c>
      <c r="AA160" s="14" t="str">
        <f>IFERROR(__xludf.DUMMYFUNCTION("""COMPUTED_VALUE"""),"2002")</f>
        <v>2002</v>
      </c>
      <c r="AB160" s="15" t="str">
        <f>IFERROR(__xludf.DUMMYFUNCTION("ARRAYFORMULA(VLOOKUP(A160,IMPORTRANGE(""https://docs.google.com/spreadsheets/d/1BuTWp7qHGjWhqrnf-OmePP568O4A5Am9ttzvVdP67zw/edit#gid=1931367683"" ,""ENERGY!$A$2:$F$2692""), {2,3,4,5,6},0))"),"Asia")</f>
        <v>Asia</v>
      </c>
      <c r="AC160" s="14" t="str">
        <f>IFERROR(__xludf.DUMMYFUNCTION("""COMPUTED_VALUE"""),"Azerbaijan-Asia")</f>
        <v>Azerbaijan-Asia</v>
      </c>
      <c r="AD160" s="14" t="str">
        <f>IFERROR(__xludf.DUMMYFUNCTION("""COMPUTED_VALUE"""),"2002")</f>
        <v>2002</v>
      </c>
      <c r="AE160" s="14">
        <f>IFERROR(__xludf.DUMMYFUNCTION("""COMPUTED_VALUE"""),11586.0)</f>
        <v>11586</v>
      </c>
      <c r="AF160" s="14">
        <f>IFERROR(__xludf.DUMMYFUNCTION("""COMPUTED_VALUE"""),45731.0)</f>
        <v>45731</v>
      </c>
    </row>
    <row r="161">
      <c r="A161" s="12">
        <v>160.0</v>
      </c>
      <c r="B161" s="12" t="s">
        <v>90</v>
      </c>
      <c r="C161" s="5" t="s">
        <v>61</v>
      </c>
      <c r="D161" s="8"/>
      <c r="E161" s="11">
        <v>105.0</v>
      </c>
      <c r="F161" s="8"/>
      <c r="G161" s="8"/>
      <c r="H161" s="8"/>
      <c r="I161" s="11">
        <v>0.126</v>
      </c>
      <c r="J161" s="9" t="s">
        <v>64</v>
      </c>
      <c r="K161" s="14" t="str">
        <f>IFERROR(__xludf.DUMMYFUNCTION("ARRAYFORMULA(VLOOKUP(A161,IMPORTRANGE(""https://docs.google.com/spreadsheets/d/1BuTWp7qHGjWhqrnf-OmePP568O4A5Am9ttzvVdP67zw/edit#gid=1603210130"", ""TOURISM!$A$2:$F$2692""), {2,3,4,5,6},0))"),"Asia")</f>
        <v>Asia</v>
      </c>
      <c r="L161" s="14">
        <f>IFERROR(__xludf.DUMMYFUNCTION("""COMPUTED_VALUE"""),7.0E7)</f>
        <v>70000000</v>
      </c>
      <c r="M161" s="14" t="str">
        <f>IFERROR(__xludf.DUMMYFUNCTION("""COMPUTED_VALUE"""),"Azerbaijan-Asia")</f>
        <v>Azerbaijan-Asia</v>
      </c>
      <c r="N161" s="14" t="str">
        <f>IFERROR(__xludf.DUMMYFUNCTION("""COMPUTED_VALUE"""),"2003")</f>
        <v>2003</v>
      </c>
      <c r="O161" s="14">
        <f>IFERROR(__xludf.DUMMYFUNCTION("""COMPUTED_VALUE"""),1.2E8)</f>
        <v>120000000</v>
      </c>
      <c r="P161" s="15">
        <f>IFERROR(__xludf.DUMMYFUNCTION("ARRAYFORMULA(VLOOKUP(A161,IMPORTRANGE(""https://docs.google.com/spreadsheets/d/1BuTWp7qHGjWhqrnf-OmePP568O4A5Am9ttzvVdP67zw/edit#gid=771602874"" ,""HUMAN RESOURCES!$A$2:$M$2692""), {2,3,4,5,6,7,8,9,10,11,12,13},0))"),0.014)</f>
        <v>0.014</v>
      </c>
      <c r="Q161" s="14">
        <f>IFERROR(__xludf.DUMMYFUNCTION("""COMPUTED_VALUE"""),0.05)</f>
        <v>0.05</v>
      </c>
      <c r="R161" s="14">
        <f>IFERROR(__xludf.DUMMYFUNCTION("""COMPUTED_VALUE"""),71.0)</f>
        <v>71</v>
      </c>
      <c r="S161" s="14">
        <f>IFERROR(__xludf.DUMMYFUNCTION("""COMPUTED_VALUE"""),65.0)</f>
        <v>65</v>
      </c>
      <c r="T161" s="14">
        <f>IFERROR(__xludf.DUMMYFUNCTION("""COMPUTED_VALUE"""),0.28)</f>
        <v>0.28</v>
      </c>
      <c r="U161" s="14">
        <f>IFERROR(__xludf.DUMMYFUNCTION("""COMPUTED_VALUE"""),0.658)</f>
        <v>0.658</v>
      </c>
      <c r="V161" s="14">
        <f>IFERROR(__xludf.DUMMYFUNCTION("""COMPUTED_VALUE"""),0.062)</f>
        <v>0.062</v>
      </c>
      <c r="W161" s="14">
        <f>IFERROR(__xludf.DUMMYFUNCTION("""COMPUTED_VALUE"""),8234100.0)</f>
        <v>8234100</v>
      </c>
      <c r="X161" s="14">
        <f>IFERROR(__xludf.DUMMYFUNCTION("""COMPUTED_VALUE"""),0.52)</f>
        <v>0.52</v>
      </c>
      <c r="Y161" s="14" t="str">
        <f>IFERROR(__xludf.DUMMYFUNCTION("""COMPUTED_VALUE"""),"Azerbaijan-Asia")</f>
        <v>Azerbaijan-Asia</v>
      </c>
      <c r="Z161" s="14" t="str">
        <f>IFERROR(__xludf.DUMMYFUNCTION("""COMPUTED_VALUE"""),"Asia")</f>
        <v>Asia</v>
      </c>
      <c r="AA161" s="14" t="str">
        <f>IFERROR(__xludf.DUMMYFUNCTION("""COMPUTED_VALUE"""),"2003")</f>
        <v>2003</v>
      </c>
      <c r="AB161" s="15" t="str">
        <f>IFERROR(__xludf.DUMMYFUNCTION("ARRAYFORMULA(VLOOKUP(A161,IMPORTRANGE(""https://docs.google.com/spreadsheets/d/1BuTWp7qHGjWhqrnf-OmePP568O4A5Am9ttzvVdP67zw/edit#gid=1931367683"" ,""ENERGY!$A$2:$F$2692""), {2,3,4,5,6},0))"),"Asia")</f>
        <v>Asia</v>
      </c>
      <c r="AC161" s="14" t="str">
        <f>IFERROR(__xludf.DUMMYFUNCTION("""COMPUTED_VALUE"""),"Azerbaijan-Asia")</f>
        <v>Azerbaijan-Asia</v>
      </c>
      <c r="AD161" s="14" t="str">
        <f>IFERROR(__xludf.DUMMYFUNCTION("""COMPUTED_VALUE"""),"2003")</f>
        <v>2003</v>
      </c>
      <c r="AE161" s="14">
        <f>IFERROR(__xludf.DUMMYFUNCTION("""COMPUTED_VALUE"""),11937.0)</f>
        <v>11937</v>
      </c>
      <c r="AF161" s="14">
        <f>IFERROR(__xludf.DUMMYFUNCTION("""COMPUTED_VALUE"""),42629.0)</f>
        <v>42629</v>
      </c>
    </row>
    <row r="162">
      <c r="A162" s="12">
        <v>161.0</v>
      </c>
      <c r="B162" s="12" t="s">
        <v>90</v>
      </c>
      <c r="C162" s="5" t="s">
        <v>61</v>
      </c>
      <c r="D162" s="8"/>
      <c r="E162" s="11">
        <v>121.0</v>
      </c>
      <c r="F162" s="8"/>
      <c r="G162" s="8"/>
      <c r="H162" s="8"/>
      <c r="I162" s="11">
        <v>0.172</v>
      </c>
      <c r="J162" s="9" t="s">
        <v>65</v>
      </c>
      <c r="K162" s="14" t="str">
        <f>IFERROR(__xludf.DUMMYFUNCTION("ARRAYFORMULA(VLOOKUP(A162,IMPORTRANGE(""https://docs.google.com/spreadsheets/d/1BuTWp7qHGjWhqrnf-OmePP568O4A5Am9ttzvVdP67zw/edit#gid=1603210130"", ""TOURISM!$A$2:$F$2692""), {2,3,4,5,6},0))"),"Asia")</f>
        <v>Asia</v>
      </c>
      <c r="L162" s="14">
        <f>IFERROR(__xludf.DUMMYFUNCTION("""COMPUTED_VALUE"""),7.9E7)</f>
        <v>79000000</v>
      </c>
      <c r="M162" s="14" t="str">
        <f>IFERROR(__xludf.DUMMYFUNCTION("""COMPUTED_VALUE"""),"Azerbaijan-Asia")</f>
        <v>Azerbaijan-Asia</v>
      </c>
      <c r="N162" s="14" t="str">
        <f>IFERROR(__xludf.DUMMYFUNCTION("""COMPUTED_VALUE"""),"2004")</f>
        <v>2004</v>
      </c>
      <c r="O162" s="14">
        <f>IFERROR(__xludf.DUMMYFUNCTION("""COMPUTED_VALUE"""),1.4E8)</f>
        <v>140000000</v>
      </c>
      <c r="P162" s="15">
        <f>IFERROR(__xludf.DUMMYFUNCTION("ARRAYFORMULA(VLOOKUP(A162,IMPORTRANGE(""https://docs.google.com/spreadsheets/d/1BuTWp7qHGjWhqrnf-OmePP568O4A5Am9ttzvVdP67zw/edit#gid=771602874"" ,""HUMAN RESOURCES!$A$2:$M$2692""), {2,3,4,5,6,7,8,9,10,11,12,13},0))"),0.016)</f>
        <v>0.016</v>
      </c>
      <c r="Q162" s="14">
        <f>IFERROR(__xludf.DUMMYFUNCTION("""COMPUTED_VALUE"""),0.047)</f>
        <v>0.047</v>
      </c>
      <c r="R162" s="14">
        <f>IFERROR(__xludf.DUMMYFUNCTION("""COMPUTED_VALUE"""),71.0)</f>
        <v>71</v>
      </c>
      <c r="S162" s="14">
        <f>IFERROR(__xludf.DUMMYFUNCTION("""COMPUTED_VALUE"""),66.0)</f>
        <v>66</v>
      </c>
      <c r="T162" s="14">
        <f>IFERROR(__xludf.DUMMYFUNCTION("""COMPUTED_VALUE"""),0.27)</f>
        <v>0.27</v>
      </c>
      <c r="U162" s="14">
        <f>IFERROR(__xludf.DUMMYFUNCTION("""COMPUTED_VALUE"""),0.667)</f>
        <v>0.667</v>
      </c>
      <c r="V162" s="14">
        <f>IFERROR(__xludf.DUMMYFUNCTION("""COMPUTED_VALUE"""),0.064)</f>
        <v>0.064</v>
      </c>
      <c r="W162" s="14">
        <f>IFERROR(__xludf.DUMMYFUNCTION("""COMPUTED_VALUE"""),8306500.0)</f>
        <v>8306500</v>
      </c>
      <c r="X162" s="14">
        <f>IFERROR(__xludf.DUMMYFUNCTION("""COMPUTED_VALUE"""),0.522)</f>
        <v>0.522</v>
      </c>
      <c r="Y162" s="14" t="str">
        <f>IFERROR(__xludf.DUMMYFUNCTION("""COMPUTED_VALUE"""),"Azerbaijan-Asia")</f>
        <v>Azerbaijan-Asia</v>
      </c>
      <c r="Z162" s="14" t="str">
        <f>IFERROR(__xludf.DUMMYFUNCTION("""COMPUTED_VALUE"""),"Asia")</f>
        <v>Asia</v>
      </c>
      <c r="AA162" s="14" t="str">
        <f>IFERROR(__xludf.DUMMYFUNCTION("""COMPUTED_VALUE"""),"2004")</f>
        <v>2004</v>
      </c>
      <c r="AB162" s="15" t="str">
        <f>IFERROR(__xludf.DUMMYFUNCTION("ARRAYFORMULA(VLOOKUP(A162,IMPORTRANGE(""https://docs.google.com/spreadsheets/d/1BuTWp7qHGjWhqrnf-OmePP568O4A5Am9ttzvVdP67zw/edit#gid=1931367683"" ,""ENERGY!$A$2:$F$2692""), {2,3,4,5,6},0))"),"Asia")</f>
        <v>Asia</v>
      </c>
      <c r="AC162" s="14" t="str">
        <f>IFERROR(__xludf.DUMMYFUNCTION("""COMPUTED_VALUE"""),"Azerbaijan-Asia")</f>
        <v>Azerbaijan-Asia</v>
      </c>
      <c r="AD162" s="14" t="str">
        <f>IFERROR(__xludf.DUMMYFUNCTION("""COMPUTED_VALUE"""),"2004")</f>
        <v>2004</v>
      </c>
      <c r="AE162" s="14">
        <f>IFERROR(__xludf.DUMMYFUNCTION("""COMPUTED_VALUE"""),13322.0)</f>
        <v>13322</v>
      </c>
      <c r="AF162" s="14">
        <f>IFERROR(__xludf.DUMMYFUNCTION("""COMPUTED_VALUE"""),45702.0)</f>
        <v>45702</v>
      </c>
    </row>
    <row r="163">
      <c r="A163" s="12">
        <v>162.0</v>
      </c>
      <c r="B163" s="12" t="s">
        <v>90</v>
      </c>
      <c r="C163" s="5" t="s">
        <v>61</v>
      </c>
      <c r="D163" s="11">
        <v>0.464</v>
      </c>
      <c r="E163" s="11">
        <v>113.0</v>
      </c>
      <c r="F163" s="8"/>
      <c r="G163" s="11">
        <v>756.0</v>
      </c>
      <c r="H163" s="11">
        <v>0.08</v>
      </c>
      <c r="I163" s="11">
        <v>0.262</v>
      </c>
      <c r="J163" s="9" t="s">
        <v>66</v>
      </c>
      <c r="K163" s="14" t="str">
        <f>IFERROR(__xludf.DUMMYFUNCTION("ARRAYFORMULA(VLOOKUP(A163,IMPORTRANGE(""https://docs.google.com/spreadsheets/d/1BuTWp7qHGjWhqrnf-OmePP568O4A5Am9ttzvVdP67zw/edit#gid=1603210130"", ""TOURISM!$A$2:$F$2692""), {2,3,4,5,6},0))"),"Asia")</f>
        <v>Asia</v>
      </c>
      <c r="L163" s="14">
        <f>IFERROR(__xludf.DUMMYFUNCTION("""COMPUTED_VALUE"""),1.0E8)</f>
        <v>100000000</v>
      </c>
      <c r="M163" s="14" t="str">
        <f>IFERROR(__xludf.DUMMYFUNCTION("""COMPUTED_VALUE"""),"Azerbaijan-Asia")</f>
        <v>Azerbaijan-Asia</v>
      </c>
      <c r="N163" s="14" t="str">
        <f>IFERROR(__xludf.DUMMYFUNCTION("""COMPUTED_VALUE"""),"2005")</f>
        <v>2005</v>
      </c>
      <c r="O163" s="14">
        <f>IFERROR(__xludf.DUMMYFUNCTION("""COMPUTED_VALUE"""),1.88E8)</f>
        <v>188000000</v>
      </c>
      <c r="P163" s="15">
        <f>IFERROR(__xludf.DUMMYFUNCTION("ARRAYFORMULA(VLOOKUP(A163,IMPORTRANGE(""https://docs.google.com/spreadsheets/d/1BuTWp7qHGjWhqrnf-OmePP568O4A5Am9ttzvVdP67zw/edit#gid=771602874"" ,""HUMAN RESOURCES!$A$2:$M$2692""), {2,3,4,5,6,7,8,9,10,11,12,13},0))"),0.017)</f>
        <v>0.017</v>
      </c>
      <c r="Q163" s="14">
        <f>IFERROR(__xludf.DUMMYFUNCTION("""COMPUTED_VALUE"""),0.044)</f>
        <v>0.044</v>
      </c>
      <c r="R163" s="14">
        <f>IFERROR(__xludf.DUMMYFUNCTION("""COMPUTED_VALUE"""),72.0)</f>
        <v>72</v>
      </c>
      <c r="S163" s="14">
        <f>IFERROR(__xludf.DUMMYFUNCTION("""COMPUTED_VALUE"""),66.0)</f>
        <v>66</v>
      </c>
      <c r="T163" s="14">
        <f>IFERROR(__xludf.DUMMYFUNCTION("""COMPUTED_VALUE"""),0.26)</f>
        <v>0.26</v>
      </c>
      <c r="U163" s="14">
        <f>IFERROR(__xludf.DUMMYFUNCTION("""COMPUTED_VALUE"""),0.676)</f>
        <v>0.676</v>
      </c>
      <c r="V163" s="14">
        <f>IFERROR(__xludf.DUMMYFUNCTION("""COMPUTED_VALUE"""),0.064)</f>
        <v>0.064</v>
      </c>
      <c r="W163" s="14">
        <f>IFERROR(__xludf.DUMMYFUNCTION("""COMPUTED_VALUE"""),8391850.0)</f>
        <v>8391850</v>
      </c>
      <c r="X163" s="14">
        <f>IFERROR(__xludf.DUMMYFUNCTION("""COMPUTED_VALUE"""),0.524)</f>
        <v>0.524</v>
      </c>
      <c r="Y163" s="14" t="str">
        <f>IFERROR(__xludf.DUMMYFUNCTION("""COMPUTED_VALUE"""),"Azerbaijan-Asia")</f>
        <v>Azerbaijan-Asia</v>
      </c>
      <c r="Z163" s="14" t="str">
        <f>IFERROR(__xludf.DUMMYFUNCTION("""COMPUTED_VALUE"""),"Asia")</f>
        <v>Asia</v>
      </c>
      <c r="AA163" s="14" t="str">
        <f>IFERROR(__xludf.DUMMYFUNCTION("""COMPUTED_VALUE"""),"2005")</f>
        <v>2005</v>
      </c>
      <c r="AB163" s="15" t="str">
        <f>IFERROR(__xludf.DUMMYFUNCTION("ARRAYFORMULA(VLOOKUP(A163,IMPORTRANGE(""https://docs.google.com/spreadsheets/d/1BuTWp7qHGjWhqrnf-OmePP568O4A5Am9ttzvVdP67zw/edit#gid=1931367683"" ,""ENERGY!$A$2:$F$2692""), {2,3,4,5,6},0))"),"Asia")</f>
        <v>Asia</v>
      </c>
      <c r="AC163" s="14" t="str">
        <f>IFERROR(__xludf.DUMMYFUNCTION("""COMPUTED_VALUE"""),"Azerbaijan-Asia")</f>
        <v>Azerbaijan-Asia</v>
      </c>
      <c r="AD163" s="14" t="str">
        <f>IFERROR(__xludf.DUMMYFUNCTION("""COMPUTED_VALUE"""),"2005")</f>
        <v>2005</v>
      </c>
      <c r="AE163" s="14">
        <f>IFERROR(__xludf.DUMMYFUNCTION("""COMPUTED_VALUE"""),12113.0)</f>
        <v>12113</v>
      </c>
      <c r="AF163" s="14">
        <f>IFERROR(__xludf.DUMMYFUNCTION("""COMPUTED_VALUE"""),41426.0)</f>
        <v>41426</v>
      </c>
    </row>
    <row r="164">
      <c r="A164" s="12">
        <v>163.0</v>
      </c>
      <c r="B164" s="12" t="s">
        <v>90</v>
      </c>
      <c r="C164" s="5" t="s">
        <v>61</v>
      </c>
      <c r="D164" s="11">
        <v>0.422</v>
      </c>
      <c r="E164" s="11">
        <v>51.0</v>
      </c>
      <c r="F164" s="8"/>
      <c r="G164" s="11">
        <v>1000.0</v>
      </c>
      <c r="H164" s="11">
        <v>0.12</v>
      </c>
      <c r="I164" s="11">
        <v>0.384</v>
      </c>
      <c r="J164" s="9" t="s">
        <v>67</v>
      </c>
      <c r="K164" s="14" t="str">
        <f>IFERROR(__xludf.DUMMYFUNCTION("ARRAYFORMULA(VLOOKUP(A164,IMPORTRANGE(""https://docs.google.com/spreadsheets/d/1BuTWp7qHGjWhqrnf-OmePP568O4A5Am9ttzvVdP67zw/edit#gid=1603210130"", ""TOURISM!$A$2:$F$2692""), {2,3,4,5,6},0))"),"Asia")</f>
        <v>Asia</v>
      </c>
      <c r="L164" s="14">
        <f>IFERROR(__xludf.DUMMYFUNCTION("""COMPUTED_VALUE"""),2.01E8)</f>
        <v>201000000</v>
      </c>
      <c r="M164" s="14" t="str">
        <f>IFERROR(__xludf.DUMMYFUNCTION("""COMPUTED_VALUE"""),"Azerbaijan-Asia")</f>
        <v>Azerbaijan-Asia</v>
      </c>
      <c r="N164" s="14" t="str">
        <f>IFERROR(__xludf.DUMMYFUNCTION("""COMPUTED_VALUE"""),"2006")</f>
        <v>2006</v>
      </c>
      <c r="O164" s="14">
        <f>IFERROR(__xludf.DUMMYFUNCTION("""COMPUTED_VALUE"""),2.56E8)</f>
        <v>256000000</v>
      </c>
      <c r="P164" s="15">
        <f>IFERROR(__xludf.DUMMYFUNCTION("ARRAYFORMULA(VLOOKUP(A164,IMPORTRANGE(""https://docs.google.com/spreadsheets/d/1BuTWp7qHGjWhqrnf-OmePP568O4A5Am9ttzvVdP67zw/edit#gid=771602874"" ,""HUMAN RESOURCES!$A$2:$M$2692""), {2,3,4,5,6,7,8,9,10,11,12,13},0))"),0.018)</f>
        <v>0.018</v>
      </c>
      <c r="Q164" s="14">
        <f>IFERROR(__xludf.DUMMYFUNCTION("""COMPUTED_VALUE"""),0.042)</f>
        <v>0.042</v>
      </c>
      <c r="R164" s="14">
        <f>IFERROR(__xludf.DUMMYFUNCTION("""COMPUTED_VALUE"""),72.0)</f>
        <v>72</v>
      </c>
      <c r="S164" s="14">
        <f>IFERROR(__xludf.DUMMYFUNCTION("""COMPUTED_VALUE"""),67.0)</f>
        <v>67</v>
      </c>
      <c r="T164" s="14">
        <f>IFERROR(__xludf.DUMMYFUNCTION("""COMPUTED_VALUE"""),0.251)</f>
        <v>0.251</v>
      </c>
      <c r="U164" s="14">
        <f>IFERROR(__xludf.DUMMYFUNCTION("""COMPUTED_VALUE"""),0.685)</f>
        <v>0.685</v>
      </c>
      <c r="V164" s="14">
        <f>IFERROR(__xludf.DUMMYFUNCTION("""COMPUTED_VALUE"""),0.064)</f>
        <v>0.064</v>
      </c>
      <c r="W164" s="14">
        <f>IFERROR(__xludf.DUMMYFUNCTION("""COMPUTED_VALUE"""),8484550.0)</f>
        <v>8484550</v>
      </c>
      <c r="X164" s="14">
        <f>IFERROR(__xludf.DUMMYFUNCTION("""COMPUTED_VALUE"""),0.526)</f>
        <v>0.526</v>
      </c>
      <c r="Y164" s="14" t="str">
        <f>IFERROR(__xludf.DUMMYFUNCTION("""COMPUTED_VALUE"""),"Azerbaijan-Asia")</f>
        <v>Azerbaijan-Asia</v>
      </c>
      <c r="Z164" s="14" t="str">
        <f>IFERROR(__xludf.DUMMYFUNCTION("""COMPUTED_VALUE"""),"Asia")</f>
        <v>Asia</v>
      </c>
      <c r="AA164" s="14" t="str">
        <f>IFERROR(__xludf.DUMMYFUNCTION("""COMPUTED_VALUE"""),"2006")</f>
        <v>2006</v>
      </c>
      <c r="AB164" s="15" t="str">
        <f>IFERROR(__xludf.DUMMYFUNCTION("ARRAYFORMULA(VLOOKUP(A164,IMPORTRANGE(""https://docs.google.com/spreadsheets/d/1BuTWp7qHGjWhqrnf-OmePP568O4A5Am9ttzvVdP67zw/edit#gid=1931367683"" ,""ENERGY!$A$2:$F$2692""), {2,3,4,5,6},0))"),"Asia")</f>
        <v>Asia</v>
      </c>
      <c r="AC164" s="14" t="str">
        <f>IFERROR(__xludf.DUMMYFUNCTION("""COMPUTED_VALUE"""),"Azerbaijan-Asia")</f>
        <v>Azerbaijan-Asia</v>
      </c>
      <c r="AD164" s="14" t="str">
        <f>IFERROR(__xludf.DUMMYFUNCTION("""COMPUTED_VALUE"""),"2009")</f>
        <v>2009</v>
      </c>
      <c r="AE164" s="14">
        <f>IFERROR(__xludf.DUMMYFUNCTION("""COMPUTED_VALUE"""),13232.0)</f>
        <v>13232</v>
      </c>
      <c r="AF164" s="14">
        <f>IFERROR(__xludf.DUMMYFUNCTION("""COMPUTED_VALUE"""),39167.0)</f>
        <v>39167</v>
      </c>
    </row>
    <row r="165">
      <c r="A165" s="12">
        <v>164.0</v>
      </c>
      <c r="B165" s="12" t="s">
        <v>90</v>
      </c>
      <c r="C165" s="5" t="s">
        <v>61</v>
      </c>
      <c r="D165" s="11">
        <v>0.409</v>
      </c>
      <c r="E165" s="11">
        <v>36.0</v>
      </c>
      <c r="F165" s="8"/>
      <c r="G165" s="11">
        <v>952.0</v>
      </c>
      <c r="H165" s="11">
        <v>0.145</v>
      </c>
      <c r="I165" s="11">
        <v>0.515</v>
      </c>
      <c r="J165" s="9" t="s">
        <v>68</v>
      </c>
      <c r="K165" s="14" t="str">
        <f>IFERROR(__xludf.DUMMYFUNCTION("ARRAYFORMULA(VLOOKUP(A165,IMPORTRANGE(""https://docs.google.com/spreadsheets/d/1BuTWp7qHGjWhqrnf-OmePP568O4A5Am9ttzvVdP67zw/edit#gid=1603210130"", ""TOURISM!$A$2:$F$2692""), {2,3,4,5,6},0))"),"Asia")</f>
        <v>Asia</v>
      </c>
      <c r="L165" s="14">
        <f>IFERROR(__xludf.DUMMYFUNCTION("""COMPUTED_VALUE"""),3.17E8)</f>
        <v>317000000</v>
      </c>
      <c r="M165" s="14" t="str">
        <f>IFERROR(__xludf.DUMMYFUNCTION("""COMPUTED_VALUE"""),"Azerbaijan-Asia")</f>
        <v>Azerbaijan-Asia</v>
      </c>
      <c r="N165" s="14" t="str">
        <f>IFERROR(__xludf.DUMMYFUNCTION("""COMPUTED_VALUE"""),"2007")</f>
        <v>2007</v>
      </c>
      <c r="O165" s="14">
        <f>IFERROR(__xludf.DUMMYFUNCTION("""COMPUTED_VALUE"""),3.81E8)</f>
        <v>381000000</v>
      </c>
      <c r="P165" s="15">
        <f>IFERROR(__xludf.DUMMYFUNCTION("ARRAYFORMULA(VLOOKUP(A165,IMPORTRANGE(""https://docs.google.com/spreadsheets/d/1BuTWp7qHGjWhqrnf-OmePP568O4A5Am9ttzvVdP67zw/edit#gid=771602874"" ,""HUMAN RESOURCES!$A$2:$M$2692""), {2,3,4,5,6,7,8,9,10,11,12,13},0))"),0.018)</f>
        <v>0.018</v>
      </c>
      <c r="Q165" s="14">
        <f>IFERROR(__xludf.DUMMYFUNCTION("""COMPUTED_VALUE"""),0.039)</f>
        <v>0.039</v>
      </c>
      <c r="R165" s="14">
        <f>IFERROR(__xludf.DUMMYFUNCTION("""COMPUTED_VALUE"""),73.0)</f>
        <v>73</v>
      </c>
      <c r="S165" s="14">
        <f>IFERROR(__xludf.DUMMYFUNCTION("""COMPUTED_VALUE"""),67.0)</f>
        <v>67</v>
      </c>
      <c r="T165" s="14">
        <f>IFERROR(__xludf.DUMMYFUNCTION("""COMPUTED_VALUE"""),0.243)</f>
        <v>0.243</v>
      </c>
      <c r="U165" s="14">
        <f>IFERROR(__xludf.DUMMYFUNCTION("""COMPUTED_VALUE"""),0.693)</f>
        <v>0.693</v>
      </c>
      <c r="V165" s="14">
        <f>IFERROR(__xludf.DUMMYFUNCTION("""COMPUTED_VALUE"""),0.063)</f>
        <v>0.063</v>
      </c>
      <c r="W165" s="14">
        <f>IFERROR(__xludf.DUMMYFUNCTION("""COMPUTED_VALUE"""),8581300.0)</f>
        <v>8581300</v>
      </c>
      <c r="X165" s="14">
        <f>IFERROR(__xludf.DUMMYFUNCTION("""COMPUTED_VALUE"""),0.528)</f>
        <v>0.528</v>
      </c>
      <c r="Y165" s="14" t="str">
        <f>IFERROR(__xludf.DUMMYFUNCTION("""COMPUTED_VALUE"""),"Azerbaijan-Asia")</f>
        <v>Azerbaijan-Asia</v>
      </c>
      <c r="Z165" s="14" t="str">
        <f>IFERROR(__xludf.DUMMYFUNCTION("""COMPUTED_VALUE"""),"Asia")</f>
        <v>Asia</v>
      </c>
      <c r="AA165" s="14" t="str">
        <f>IFERROR(__xludf.DUMMYFUNCTION("""COMPUTED_VALUE"""),"2007")</f>
        <v>2007</v>
      </c>
      <c r="AB165" s="15" t="str">
        <f>IFERROR(__xludf.DUMMYFUNCTION("ARRAYFORMULA(VLOOKUP(A165,IMPORTRANGE(""https://docs.google.com/spreadsheets/d/1BuTWp7qHGjWhqrnf-OmePP568O4A5Am9ttzvVdP67zw/edit#gid=1931367683"" ,""ENERGY!$A$2:$F$2692""), {2,3,4,5,6},0))"),"Asia")</f>
        <v>Asia</v>
      </c>
      <c r="AC165" s="14" t="str">
        <f>IFERROR(__xludf.DUMMYFUNCTION("""COMPUTED_VALUE"""),"Azerbaijan-Asia")</f>
        <v>Azerbaijan-Asia</v>
      </c>
      <c r="AD165" s="14" t="str">
        <f>IFERROR(__xludf.DUMMYFUNCTION("""COMPUTED_VALUE"""),"2006")</f>
        <v>2006</v>
      </c>
      <c r="AE165" s="14">
        <f>IFERROR(__xludf.DUMMYFUNCTION("""COMPUTED_VALUE"""),13427.0)</f>
        <v>13427</v>
      </c>
      <c r="AF165" s="14">
        <f>IFERROR(__xludf.DUMMYFUNCTION("""COMPUTED_VALUE"""),34338.0)</f>
        <v>34338</v>
      </c>
    </row>
    <row r="166">
      <c r="A166" s="12">
        <v>165.0</v>
      </c>
      <c r="B166" s="12" t="s">
        <v>90</v>
      </c>
      <c r="C166" s="5" t="s">
        <v>61</v>
      </c>
      <c r="D166" s="11">
        <v>0.409</v>
      </c>
      <c r="E166" s="11">
        <v>10.0</v>
      </c>
      <c r="F166" s="8"/>
      <c r="G166" s="11">
        <v>376.0</v>
      </c>
      <c r="H166" s="11">
        <v>0.171</v>
      </c>
      <c r="I166" s="11">
        <v>0.738</v>
      </c>
      <c r="J166" s="9" t="s">
        <v>69</v>
      </c>
      <c r="K166" s="14" t="str">
        <f>IFERROR(__xludf.DUMMYFUNCTION("ARRAYFORMULA(VLOOKUP(A166,IMPORTRANGE(""https://docs.google.com/spreadsheets/d/1BuTWp7qHGjWhqrnf-OmePP568O4A5Am9ttzvVdP67zw/edit#gid=1603210130"", ""TOURISM!$A$2:$F$2692""), {2,3,4,5,6},0))"),"Asia")</f>
        <v>Asia</v>
      </c>
      <c r="L166" s="14">
        <f>IFERROR(__xludf.DUMMYFUNCTION("""COMPUTED_VALUE"""),3.82E8)</f>
        <v>382000000</v>
      </c>
      <c r="M166" s="14" t="str">
        <f>IFERROR(__xludf.DUMMYFUNCTION("""COMPUTED_VALUE"""),"Azerbaijan-Asia")</f>
        <v>Azerbaijan-Asia</v>
      </c>
      <c r="N166" s="14" t="str">
        <f>IFERROR(__xludf.DUMMYFUNCTION("""COMPUTED_VALUE"""),"2008")</f>
        <v>2008</v>
      </c>
      <c r="O166" s="14">
        <f>IFERROR(__xludf.DUMMYFUNCTION("""COMPUTED_VALUE"""),4.56E8)</f>
        <v>456000000</v>
      </c>
      <c r="P166" s="15">
        <f>IFERROR(__xludf.DUMMYFUNCTION("ARRAYFORMULA(VLOOKUP(A166,IMPORTRANGE(""https://docs.google.com/spreadsheets/d/1BuTWp7qHGjWhqrnf-OmePP568O4A5Am9ttzvVdP67zw/edit#gid=771602874"" ,""HUMAN RESOURCES!$A$2:$M$2692""), {2,3,4,5,6,7,8,9,10,11,12,13},0))"),0.017)</f>
        <v>0.017</v>
      </c>
      <c r="Q166" s="14">
        <f>IFERROR(__xludf.DUMMYFUNCTION("""COMPUTED_VALUE"""),0.037)</f>
        <v>0.037</v>
      </c>
      <c r="R166" s="14">
        <f>IFERROR(__xludf.DUMMYFUNCTION("""COMPUTED_VALUE"""),73.0)</f>
        <v>73</v>
      </c>
      <c r="S166" s="14">
        <f>IFERROR(__xludf.DUMMYFUNCTION("""COMPUTED_VALUE"""),67.0)</f>
        <v>67</v>
      </c>
      <c r="T166" s="14">
        <f>IFERROR(__xludf.DUMMYFUNCTION("""COMPUTED_VALUE"""),0.237)</f>
        <v>0.237</v>
      </c>
      <c r="U166" s="14">
        <f>IFERROR(__xludf.DUMMYFUNCTION("""COMPUTED_VALUE"""),0.701)</f>
        <v>0.701</v>
      </c>
      <c r="V166" s="14">
        <f>IFERROR(__xludf.DUMMYFUNCTION("""COMPUTED_VALUE"""),0.062)</f>
        <v>0.062</v>
      </c>
      <c r="W166" s="14">
        <f>IFERROR(__xludf.DUMMYFUNCTION("""COMPUTED_VALUE"""),8763400.0)</f>
        <v>8763400</v>
      </c>
      <c r="X166" s="14">
        <f>IFERROR(__xludf.DUMMYFUNCTION("""COMPUTED_VALUE"""),0.53)</f>
        <v>0.53</v>
      </c>
      <c r="Y166" s="14" t="str">
        <f>IFERROR(__xludf.DUMMYFUNCTION("""COMPUTED_VALUE"""),"Azerbaijan-Asia")</f>
        <v>Azerbaijan-Asia</v>
      </c>
      <c r="Z166" s="14" t="str">
        <f>IFERROR(__xludf.DUMMYFUNCTION("""COMPUTED_VALUE"""),"Asia")</f>
        <v>Asia</v>
      </c>
      <c r="AA166" s="14" t="str">
        <f>IFERROR(__xludf.DUMMYFUNCTION("""COMPUTED_VALUE"""),"2008")</f>
        <v>2008</v>
      </c>
      <c r="AB166" s="15" t="str">
        <f>IFERROR(__xludf.DUMMYFUNCTION("ARRAYFORMULA(VLOOKUP(A166,IMPORTRANGE(""https://docs.google.com/spreadsheets/d/1BuTWp7qHGjWhqrnf-OmePP568O4A5Am9ttzvVdP67zw/edit#gid=1931367683"" ,""ENERGY!$A$2:$F$2692""), {2,3,4,5,6},0))"),"Asia")</f>
        <v>Asia</v>
      </c>
      <c r="AC166" s="14" t="str">
        <f>IFERROR(__xludf.DUMMYFUNCTION("""COMPUTED_VALUE"""),"Azerbaijan-Asia")</f>
        <v>Azerbaijan-Asia</v>
      </c>
      <c r="AD166" s="14" t="str">
        <f>IFERROR(__xludf.DUMMYFUNCTION("""COMPUTED_VALUE"""),"2012")</f>
        <v>2012</v>
      </c>
      <c r="AE166" s="14">
        <f>IFERROR(__xludf.DUMMYFUNCTION("""COMPUTED_VALUE"""),12786.0)</f>
        <v>12786</v>
      </c>
      <c r="AF166" s="14">
        <f>IFERROR(__xludf.DUMMYFUNCTION("""COMPUTED_VALUE"""),32090.0)</f>
        <v>32090</v>
      </c>
    </row>
    <row r="167">
      <c r="A167" s="12">
        <v>166.0</v>
      </c>
      <c r="B167" s="12" t="s">
        <v>90</v>
      </c>
      <c r="C167" s="5" t="s">
        <v>61</v>
      </c>
      <c r="D167" s="11">
        <v>0.409</v>
      </c>
      <c r="E167" s="11">
        <v>10.0</v>
      </c>
      <c r="F167" s="8"/>
      <c r="G167" s="11">
        <v>376.0</v>
      </c>
      <c r="H167" s="11">
        <v>0.274</v>
      </c>
      <c r="I167" s="11">
        <v>0.863</v>
      </c>
      <c r="J167" s="9" t="s">
        <v>70</v>
      </c>
      <c r="K167" s="14" t="str">
        <f>IFERROR(__xludf.DUMMYFUNCTION("ARRAYFORMULA(VLOOKUP(A167,IMPORTRANGE(""https://docs.google.com/spreadsheets/d/1BuTWp7qHGjWhqrnf-OmePP568O4A5Am9ttzvVdP67zw/edit#gid=1603210130"", ""TOURISM!$A$2:$F$2692""), {2,3,4,5,6},0))"),"Asia")</f>
        <v>Asia</v>
      </c>
      <c r="L167" s="14">
        <f>IFERROR(__xludf.DUMMYFUNCTION("""COMPUTED_VALUE"""),5.45E8)</f>
        <v>545000000</v>
      </c>
      <c r="M167" s="14" t="str">
        <f>IFERROR(__xludf.DUMMYFUNCTION("""COMPUTED_VALUE"""),"Azerbaijan-Asia")</f>
        <v>Azerbaijan-Asia</v>
      </c>
      <c r="N167" s="14" t="str">
        <f>IFERROR(__xludf.DUMMYFUNCTION("""COMPUTED_VALUE"""),"2009")</f>
        <v>2009</v>
      </c>
      <c r="O167" s="14">
        <f>IFERROR(__xludf.DUMMYFUNCTION("""COMPUTED_VALUE"""),4.88E8)</f>
        <v>488000000</v>
      </c>
      <c r="P167" s="15">
        <f>IFERROR(__xludf.DUMMYFUNCTION("ARRAYFORMULA(VLOOKUP(A167,IMPORTRANGE(""https://docs.google.com/spreadsheets/d/1BuTWp7qHGjWhqrnf-OmePP568O4A5Am9ttzvVdP67zw/edit#gid=771602874"" ,""HUMAN RESOURCES!$A$2:$M$2692""), {2,3,4,5,6,7,8,9,10,11,12,13},0))"),0.017)</f>
        <v>0.017</v>
      </c>
      <c r="Q167" s="14">
        <f>IFERROR(__xludf.DUMMYFUNCTION("""COMPUTED_VALUE"""),0.035)</f>
        <v>0.035</v>
      </c>
      <c r="R167" s="14">
        <f>IFERROR(__xludf.DUMMYFUNCTION("""COMPUTED_VALUE"""),73.0)</f>
        <v>73</v>
      </c>
      <c r="S167" s="14">
        <f>IFERROR(__xludf.DUMMYFUNCTION("""COMPUTED_VALUE"""),67.0)</f>
        <v>67</v>
      </c>
      <c r="T167" s="14">
        <f>IFERROR(__xludf.DUMMYFUNCTION("""COMPUTED_VALUE"""),0.231)</f>
        <v>0.231</v>
      </c>
      <c r="U167" s="14">
        <f>IFERROR(__xludf.DUMMYFUNCTION("""COMPUTED_VALUE"""),0.708)</f>
        <v>0.708</v>
      </c>
      <c r="V167" s="14">
        <f>IFERROR(__xludf.DUMMYFUNCTION("""COMPUTED_VALUE"""),0.061)</f>
        <v>0.061</v>
      </c>
      <c r="W167" s="14">
        <f>IFERROR(__xludf.DUMMYFUNCTION("""COMPUTED_VALUE"""),8947243.0)</f>
        <v>8947243</v>
      </c>
      <c r="X167" s="14">
        <f>IFERROR(__xludf.DUMMYFUNCTION("""COMPUTED_VALUE"""),0.532)</f>
        <v>0.532</v>
      </c>
      <c r="Y167" s="14" t="str">
        <f>IFERROR(__xludf.DUMMYFUNCTION("""COMPUTED_VALUE"""),"Azerbaijan-Asia")</f>
        <v>Azerbaijan-Asia</v>
      </c>
      <c r="Z167" s="14" t="str">
        <f>IFERROR(__xludf.DUMMYFUNCTION("""COMPUTED_VALUE"""),"Asia")</f>
        <v>Asia</v>
      </c>
      <c r="AA167" s="14" t="str">
        <f>IFERROR(__xludf.DUMMYFUNCTION("""COMPUTED_VALUE"""),"2009")</f>
        <v>2009</v>
      </c>
      <c r="AB167" s="15" t="str">
        <f>IFERROR(__xludf.DUMMYFUNCTION("ARRAYFORMULA(VLOOKUP(A167,IMPORTRANGE(""https://docs.google.com/spreadsheets/d/1BuTWp7qHGjWhqrnf-OmePP568O4A5Am9ttzvVdP67zw/edit#gid=1931367683"" ,""ENERGY!$A$2:$F$2692""), {2,3,4,5,6},0))"),"Asia")</f>
        <v>Asia</v>
      </c>
      <c r="AC167" s="14" t="str">
        <f>IFERROR(__xludf.DUMMYFUNCTION("""COMPUTED_VALUE"""),"Azerbaijan-Asia")</f>
        <v>Azerbaijan-Asia</v>
      </c>
      <c r="AD167" s="14" t="str">
        <f>IFERROR(__xludf.DUMMYFUNCTION("""COMPUTED_VALUE"""),"2008")</f>
        <v>2008</v>
      </c>
      <c r="AE167" s="14">
        <f>IFERROR(__xludf.DUMMYFUNCTION("""COMPUTED_VALUE"""),12158.0)</f>
        <v>12158</v>
      </c>
      <c r="AF167" s="14">
        <f>IFERROR(__xludf.DUMMYFUNCTION("""COMPUTED_VALUE"""),30616.0)</f>
        <v>30616</v>
      </c>
    </row>
    <row r="168">
      <c r="A168" s="12">
        <v>167.0</v>
      </c>
      <c r="B168" s="12" t="s">
        <v>90</v>
      </c>
      <c r="C168" s="5" t="s">
        <v>61</v>
      </c>
      <c r="D168" s="11">
        <v>0.409</v>
      </c>
      <c r="E168" s="11">
        <v>8.0</v>
      </c>
      <c r="F168" s="8"/>
      <c r="G168" s="11">
        <v>306.0</v>
      </c>
      <c r="H168" s="11">
        <v>0.46</v>
      </c>
      <c r="I168" s="11">
        <v>1.001</v>
      </c>
      <c r="J168" s="9" t="s">
        <v>71</v>
      </c>
      <c r="K168" s="14" t="str">
        <f>IFERROR(__xludf.DUMMYFUNCTION("ARRAYFORMULA(VLOOKUP(A168,IMPORTRANGE(""https://docs.google.com/spreadsheets/d/1BuTWp7qHGjWhqrnf-OmePP568O4A5Am9ttzvVdP67zw/edit#gid=1603210130"", ""TOURISM!$A$2:$F$2692""), {2,3,4,5,6},0))"),"Asia")</f>
        <v>Asia</v>
      </c>
      <c r="L168" s="14">
        <f>IFERROR(__xludf.DUMMYFUNCTION("""COMPUTED_VALUE"""),7.92E8)</f>
        <v>792000000</v>
      </c>
      <c r="M168" s="14" t="str">
        <f>IFERROR(__xludf.DUMMYFUNCTION("""COMPUTED_VALUE"""),"Azerbaijan-Asia")</f>
        <v>Azerbaijan-Asia</v>
      </c>
      <c r="N168" s="14" t="str">
        <f>IFERROR(__xludf.DUMMYFUNCTION("""COMPUTED_VALUE"""),"2010")</f>
        <v>2010</v>
      </c>
      <c r="O168" s="14">
        <f>IFERROR(__xludf.DUMMYFUNCTION("""COMPUTED_VALUE"""),8.56E8)</f>
        <v>856000000</v>
      </c>
      <c r="P168" s="15">
        <f>IFERROR(__xludf.DUMMYFUNCTION("ARRAYFORMULA(VLOOKUP(A168,IMPORTRANGE(""https://docs.google.com/spreadsheets/d/1BuTWp7qHGjWhqrnf-OmePP568O4A5Am9ttzvVdP67zw/edit#gid=771602874"" ,""HUMAN RESOURCES!$A$2:$M$2692""), {2,3,4,5,6,7,8,9,10,11,12,13},0))"),0.018)</f>
        <v>0.018</v>
      </c>
      <c r="Q168" s="14">
        <f>IFERROR(__xludf.DUMMYFUNCTION("""COMPUTED_VALUE"""),0.034)</f>
        <v>0.034</v>
      </c>
      <c r="R168" s="14">
        <f>IFERROR(__xludf.DUMMYFUNCTION("""COMPUTED_VALUE"""),74.0)</f>
        <v>74</v>
      </c>
      <c r="S168" s="14">
        <f>IFERROR(__xludf.DUMMYFUNCTION("""COMPUTED_VALUE"""),67.0)</f>
        <v>67</v>
      </c>
      <c r="T168" s="14">
        <f>IFERROR(__xludf.DUMMYFUNCTION("""COMPUTED_VALUE"""),0.227)</f>
        <v>0.227</v>
      </c>
      <c r="U168" s="14">
        <f>IFERROR(__xludf.DUMMYFUNCTION("""COMPUTED_VALUE"""),0.714)</f>
        <v>0.714</v>
      </c>
      <c r="V168" s="14">
        <f>IFERROR(__xludf.DUMMYFUNCTION("""COMPUTED_VALUE"""),0.059)</f>
        <v>0.059</v>
      </c>
      <c r="W168" s="14">
        <f>IFERROR(__xludf.DUMMYFUNCTION("""COMPUTED_VALUE"""),9054332.0)</f>
        <v>9054332</v>
      </c>
      <c r="X168" s="14">
        <f>IFERROR(__xludf.DUMMYFUNCTION("""COMPUTED_VALUE"""),0.534)</f>
        <v>0.534</v>
      </c>
      <c r="Y168" s="14" t="str">
        <f>IFERROR(__xludf.DUMMYFUNCTION("""COMPUTED_VALUE"""),"Azerbaijan-Asia")</f>
        <v>Azerbaijan-Asia</v>
      </c>
      <c r="Z168" s="14" t="str">
        <f>IFERROR(__xludf.DUMMYFUNCTION("""COMPUTED_VALUE"""),"Asia")</f>
        <v>Asia</v>
      </c>
      <c r="AA168" s="14" t="str">
        <f>IFERROR(__xludf.DUMMYFUNCTION("""COMPUTED_VALUE"""),"2010")</f>
        <v>2010</v>
      </c>
      <c r="AB168" s="15" t="str">
        <f>IFERROR(__xludf.DUMMYFUNCTION("ARRAYFORMULA(VLOOKUP(A168,IMPORTRANGE(""https://docs.google.com/spreadsheets/d/1BuTWp7qHGjWhqrnf-OmePP568O4A5Am9ttzvVdP67zw/edit#gid=1931367683"" ,""ENERGY!$A$2:$F$2692""), {2,3,4,5,6},0))"),"Asia")</f>
        <v>Asia</v>
      </c>
      <c r="AC168" s="14" t="str">
        <f>IFERROR(__xludf.DUMMYFUNCTION("""COMPUTED_VALUE"""),"Azerbaijan-Asia")</f>
        <v>Azerbaijan-Asia</v>
      </c>
      <c r="AD168" s="14" t="str">
        <f>IFERROR(__xludf.DUMMYFUNCTION("""COMPUTED_VALUE"""),"2005")</f>
        <v>2005</v>
      </c>
      <c r="AE168" s="14">
        <f>IFERROR(__xludf.DUMMYFUNCTION("""COMPUTED_VALUE"""),11559.0)</f>
        <v>11559</v>
      </c>
      <c r="AF168" s="14">
        <f>IFERROR(__xludf.DUMMYFUNCTION("""COMPUTED_VALUE"""),29615.0)</f>
        <v>29615</v>
      </c>
    </row>
    <row r="169">
      <c r="A169" s="12">
        <v>168.0</v>
      </c>
      <c r="B169" s="12" t="s">
        <v>90</v>
      </c>
      <c r="C169" s="5" t="s">
        <v>61</v>
      </c>
      <c r="D169" s="11">
        <v>0.4</v>
      </c>
      <c r="E169" s="11">
        <v>8.0</v>
      </c>
      <c r="F169" s="8"/>
      <c r="G169" s="11">
        <v>225.0</v>
      </c>
      <c r="H169" s="11">
        <v>0.5</v>
      </c>
      <c r="I169" s="11">
        <v>1.1</v>
      </c>
      <c r="J169" s="9" t="s">
        <v>72</v>
      </c>
      <c r="K169" s="14" t="str">
        <f>IFERROR(__xludf.DUMMYFUNCTION("ARRAYFORMULA(VLOOKUP(A169,IMPORTRANGE(""https://docs.google.com/spreadsheets/d/1BuTWp7qHGjWhqrnf-OmePP568O4A5Am9ttzvVdP67zw/edit#gid=1603210130"", ""TOURISM!$A$2:$F$2692""), {2,3,4,5,6},0))"),"Asia")</f>
        <v>Asia</v>
      </c>
      <c r="L169" s="14">
        <f>IFERROR(__xludf.DUMMYFUNCTION("""COMPUTED_VALUE"""),1.5E9)</f>
        <v>1500000000</v>
      </c>
      <c r="M169" s="14" t="str">
        <f>IFERROR(__xludf.DUMMYFUNCTION("""COMPUTED_VALUE"""),"Azerbaijan-Asia")</f>
        <v>Azerbaijan-Asia</v>
      </c>
      <c r="N169" s="14" t="str">
        <f>IFERROR(__xludf.DUMMYFUNCTION("""COMPUTED_VALUE"""),"2011")</f>
        <v>2011</v>
      </c>
      <c r="O169" s="14">
        <f>IFERROR(__xludf.DUMMYFUNCTION("""COMPUTED_VALUE"""),1.778E9)</f>
        <v>1778000000</v>
      </c>
      <c r="P169" s="15">
        <f>IFERROR(__xludf.DUMMYFUNCTION("ARRAYFORMULA(VLOOKUP(A169,IMPORTRANGE(""https://docs.google.com/spreadsheets/d/1BuTWp7qHGjWhqrnf-OmePP568O4A5Am9ttzvVdP67zw/edit#gid=771602874"" ,""HUMAN RESOURCES!$A$2:$M$2692""), {2,3,4,5,6,7,8,9,10,11,12,13},0))"),0.019)</f>
        <v>0.019</v>
      </c>
      <c r="Q169" s="14">
        <f>IFERROR(__xludf.DUMMYFUNCTION("""COMPUTED_VALUE"""),0.032)</f>
        <v>0.032</v>
      </c>
      <c r="R169" s="14">
        <f>IFERROR(__xludf.DUMMYFUNCTION("""COMPUTED_VALUE"""),74.0)</f>
        <v>74</v>
      </c>
      <c r="S169" s="14">
        <f>IFERROR(__xludf.DUMMYFUNCTION("""COMPUTED_VALUE"""),68.0)</f>
        <v>68</v>
      </c>
      <c r="T169" s="14">
        <f>IFERROR(__xludf.DUMMYFUNCTION("""COMPUTED_VALUE"""),0.224)</f>
        <v>0.224</v>
      </c>
      <c r="U169" s="14">
        <f>IFERROR(__xludf.DUMMYFUNCTION("""COMPUTED_VALUE"""),0.718)</f>
        <v>0.718</v>
      </c>
      <c r="V169" s="14">
        <f>IFERROR(__xludf.DUMMYFUNCTION("""COMPUTED_VALUE"""),0.058)</f>
        <v>0.058</v>
      </c>
      <c r="W169" s="14">
        <f>IFERROR(__xludf.DUMMYFUNCTION("""COMPUTED_VALUE"""),9173082.0)</f>
        <v>9173082</v>
      </c>
      <c r="X169" s="14">
        <f>IFERROR(__xludf.DUMMYFUNCTION("""COMPUTED_VALUE"""),0.536)</f>
        <v>0.536</v>
      </c>
      <c r="Y169" s="14" t="str">
        <f>IFERROR(__xludf.DUMMYFUNCTION("""COMPUTED_VALUE"""),"Azerbaijan-Asia")</f>
        <v>Azerbaijan-Asia</v>
      </c>
      <c r="Z169" s="14" t="str">
        <f>IFERROR(__xludf.DUMMYFUNCTION("""COMPUTED_VALUE"""),"Asia")</f>
        <v>Asia</v>
      </c>
      <c r="AA169" s="14" t="str">
        <f>IFERROR(__xludf.DUMMYFUNCTION("""COMPUTED_VALUE"""),"2011")</f>
        <v>2011</v>
      </c>
      <c r="AB169" s="15" t="str">
        <f>IFERROR(__xludf.DUMMYFUNCTION("ARRAYFORMULA(VLOOKUP(A169,IMPORTRANGE(""https://docs.google.com/spreadsheets/d/1BuTWp7qHGjWhqrnf-OmePP568O4A5Am9ttzvVdP67zw/edit#gid=1931367683"" ,""ENERGY!$A$2:$F$2692""), {2,3,4,5,6},0))"),"Asia")</f>
        <v>Asia</v>
      </c>
      <c r="AC169" s="14" t="str">
        <f>IFERROR(__xludf.DUMMYFUNCTION("""COMPUTED_VALUE"""),"Azerbaijan-Asia")</f>
        <v>Azerbaijan-Asia</v>
      </c>
      <c r="AD169" s="14" t="str">
        <f>IFERROR(__xludf.DUMMYFUNCTION("""COMPUTED_VALUE"""),"2012")</f>
        <v>2012</v>
      </c>
      <c r="AE169" s="14">
        <f>IFERROR(__xludf.DUMMYFUNCTION("""COMPUTED_VALUE"""),11445.0)</f>
        <v>11445</v>
      </c>
      <c r="AF169" s="14">
        <f>IFERROR(__xludf.DUMMYFUNCTION("""COMPUTED_VALUE"""),28771.0)</f>
        <v>28771</v>
      </c>
    </row>
    <row r="170">
      <c r="A170" s="12">
        <v>169.0</v>
      </c>
      <c r="B170" s="12" t="s">
        <v>90</v>
      </c>
      <c r="C170" s="5" t="s">
        <v>61</v>
      </c>
      <c r="D170" s="11">
        <v>0.4</v>
      </c>
      <c r="E170" s="11">
        <v>8.0</v>
      </c>
      <c r="F170" s="11">
        <v>71.0</v>
      </c>
      <c r="G170" s="11">
        <v>214.0</v>
      </c>
      <c r="H170" s="11">
        <v>0.542</v>
      </c>
      <c r="I170" s="11">
        <v>1.088</v>
      </c>
      <c r="J170" s="9" t="s">
        <v>73</v>
      </c>
      <c r="K170" s="14" t="str">
        <f>IFERROR(__xludf.DUMMYFUNCTION("ARRAYFORMULA(VLOOKUP(A170,IMPORTRANGE(""https://docs.google.com/spreadsheets/d/1BuTWp7qHGjWhqrnf-OmePP568O4A5Am9ttzvVdP67zw/edit#gid=1603210130"", ""TOURISM!$A$2:$F$2692""), {2,3,4,5,6},0))"),"Asia")</f>
        <v>Asia</v>
      </c>
      <c r="L170" s="14">
        <f>IFERROR(__xludf.DUMMYFUNCTION("""COMPUTED_VALUE"""),2.634E9)</f>
        <v>2634000000</v>
      </c>
      <c r="M170" s="14" t="str">
        <f>IFERROR(__xludf.DUMMYFUNCTION("""COMPUTED_VALUE"""),"Azerbaijan-Asia")</f>
        <v>Azerbaijan-Asia</v>
      </c>
      <c r="N170" s="14" t="str">
        <f>IFERROR(__xludf.DUMMYFUNCTION("""COMPUTED_VALUE"""),"2012")</f>
        <v>2012</v>
      </c>
      <c r="O170" s="14">
        <f>IFERROR(__xludf.DUMMYFUNCTION("""COMPUTED_VALUE"""),2.616E9)</f>
        <v>2616000000</v>
      </c>
      <c r="P170" s="15">
        <f>IFERROR(__xludf.DUMMYFUNCTION("ARRAYFORMULA(VLOOKUP(A170,IMPORTRANGE(""https://docs.google.com/spreadsheets/d/1BuTWp7qHGjWhqrnf-OmePP568O4A5Am9ttzvVdP67zw/edit#gid=771602874"" ,""HUMAN RESOURCES!$A$2:$M$2692""), {2,3,4,5,6,7,8,9,10,11,12,13},0))"),0.019)</f>
        <v>0.019</v>
      </c>
      <c r="Q170" s="14">
        <f>IFERROR(__xludf.DUMMYFUNCTION("""COMPUTED_VALUE"""),0.031)</f>
        <v>0.031</v>
      </c>
      <c r="R170" s="14">
        <f>IFERROR(__xludf.DUMMYFUNCTION("""COMPUTED_VALUE"""),74.0)</f>
        <v>74</v>
      </c>
      <c r="S170" s="14">
        <f>IFERROR(__xludf.DUMMYFUNCTION("""COMPUTED_VALUE"""),68.0)</f>
        <v>68</v>
      </c>
      <c r="T170" s="14">
        <f>IFERROR(__xludf.DUMMYFUNCTION("""COMPUTED_VALUE"""),0.222)</f>
        <v>0.222</v>
      </c>
      <c r="U170" s="14">
        <f>IFERROR(__xludf.DUMMYFUNCTION("""COMPUTED_VALUE"""),0.721)</f>
        <v>0.721</v>
      </c>
      <c r="V170" s="14">
        <f>IFERROR(__xludf.DUMMYFUNCTION("""COMPUTED_VALUE"""),0.057)</f>
        <v>0.057</v>
      </c>
      <c r="W170" s="14">
        <f>IFERROR(__xludf.DUMMYFUNCTION("""COMPUTED_VALUE"""),9295784.0)</f>
        <v>9295784</v>
      </c>
      <c r="X170" s="14">
        <f>IFERROR(__xludf.DUMMYFUNCTION("""COMPUTED_VALUE"""),0.539)</f>
        <v>0.539</v>
      </c>
      <c r="Y170" s="14" t="str">
        <f>IFERROR(__xludf.DUMMYFUNCTION("""COMPUTED_VALUE"""),"Azerbaijan-Asia")</f>
        <v>Azerbaijan-Asia</v>
      </c>
      <c r="Z170" s="14" t="str">
        <f>IFERROR(__xludf.DUMMYFUNCTION("""COMPUTED_VALUE"""),"Asia")</f>
        <v>Asia</v>
      </c>
      <c r="AA170" s="14" t="str">
        <f>IFERROR(__xludf.DUMMYFUNCTION("""COMPUTED_VALUE"""),"2012")</f>
        <v>2012</v>
      </c>
      <c r="AB170" s="15" t="str">
        <f>IFERROR(__xludf.DUMMYFUNCTION("ARRAYFORMULA(VLOOKUP(A170,IMPORTRANGE(""https://docs.google.com/spreadsheets/d/1BuTWp7qHGjWhqrnf-OmePP568O4A5Am9ttzvVdP67zw/edit#gid=1931367683"" ,""ENERGY!$A$2:$F$2692""), {2,3,4,5,6},0))"),"Asia")</f>
        <v>Asia</v>
      </c>
      <c r="AC170" s="14" t="str">
        <f>IFERROR(__xludf.DUMMYFUNCTION("""COMPUTED_VALUE"""),"Azerbaijan-Asia")</f>
        <v>Azerbaijan-Asia</v>
      </c>
      <c r="AD170" s="14" t="str">
        <f>IFERROR(__xludf.DUMMYFUNCTION("""COMPUTED_VALUE"""),"2008")</f>
        <v>2008</v>
      </c>
      <c r="AE170" s="14">
        <f>IFERROR(__xludf.DUMMYFUNCTION("""COMPUTED_VALUE"""),11296.0)</f>
        <v>11296</v>
      </c>
      <c r="AF170" s="14">
        <f>IFERROR(__xludf.DUMMYFUNCTION("""COMPUTED_VALUE"""),29508.0)</f>
        <v>29508</v>
      </c>
    </row>
    <row r="171">
      <c r="A171" s="12">
        <v>170.0</v>
      </c>
      <c r="B171" s="12" t="s">
        <v>91</v>
      </c>
      <c r="C171" s="5" t="s">
        <v>84</v>
      </c>
      <c r="D171" s="8"/>
      <c r="E171" s="8"/>
      <c r="F171" s="8"/>
      <c r="G171" s="8"/>
      <c r="H171" s="11">
        <v>0.08</v>
      </c>
      <c r="I171" s="11">
        <v>0.106</v>
      </c>
      <c r="J171" s="9" t="s">
        <v>60</v>
      </c>
      <c r="K171" s="14" t="str">
        <f>IFERROR(__xludf.DUMMYFUNCTION("ARRAYFORMULA(VLOOKUP(A171,IMPORTRANGE(""https://docs.google.com/spreadsheets/d/1BuTWp7qHGjWhqrnf-OmePP568O4A5Am9ttzvVdP67zw/edit#gid=1603210130"", ""TOURISM!$A$2:$F$2692""), {2,3,4,5,6},0))"),"The Americas")</f>
        <v>The Americas</v>
      </c>
      <c r="L171" s="14">
        <f>IFERROR(__xludf.DUMMYFUNCTION("""COMPUTED_VALUE"""),1.753E9)</f>
        <v>1753000000</v>
      </c>
      <c r="M171" s="14" t="str">
        <f>IFERROR(__xludf.DUMMYFUNCTION("""COMPUTED_VALUE"""),"Bahamas, The-The Americas")</f>
        <v>Bahamas, The-The Americas</v>
      </c>
      <c r="N171" s="14" t="str">
        <f>IFERROR(__xludf.DUMMYFUNCTION("""COMPUTED_VALUE"""),"2000")</f>
        <v>2000</v>
      </c>
      <c r="O171" s="14">
        <f>IFERROR(__xludf.DUMMYFUNCTION("""COMPUTED_VALUE"""),3.48E8)</f>
        <v>348000000</v>
      </c>
      <c r="P171" s="15">
        <f>IFERROR(__xludf.DUMMYFUNCTION("ARRAYFORMULA(VLOOKUP(A171,IMPORTRANGE(""https://docs.google.com/spreadsheets/d/1BuTWp7qHGjWhqrnf-OmePP568O4A5Am9ttzvVdP67zw/edit#gid=771602874"" ,""HUMAN RESOURCES!$A$2:$M$2692""), {2,3,4,5,6,7,8,9,10,11,12,13},0))"),0.018)</f>
        <v>0.018</v>
      </c>
      <c r="Q171" s="14">
        <f>IFERROR(__xludf.DUMMYFUNCTION("""COMPUTED_VALUE"""),0.013)</f>
        <v>0.013</v>
      </c>
      <c r="R171" s="14">
        <f>IFERROR(__xludf.DUMMYFUNCTION("""COMPUTED_VALUE"""),75.0)</f>
        <v>75</v>
      </c>
      <c r="S171" s="14">
        <f>IFERROR(__xludf.DUMMYFUNCTION("""COMPUTED_VALUE"""),69.0)</f>
        <v>69</v>
      </c>
      <c r="T171" s="14">
        <f>IFERROR(__xludf.DUMMYFUNCTION("""COMPUTED_VALUE"""),0.293)</f>
        <v>0.293</v>
      </c>
      <c r="U171" s="14">
        <f>IFERROR(__xludf.DUMMYFUNCTION("""COMPUTED_VALUE"""),0.654)</f>
        <v>0.654</v>
      </c>
      <c r="V171" s="14">
        <f>IFERROR(__xludf.DUMMYFUNCTION("""COMPUTED_VALUE"""),0.054)</f>
        <v>0.054</v>
      </c>
      <c r="W171" s="14">
        <f>IFERROR(__xludf.DUMMYFUNCTION("""COMPUTED_VALUE"""),297759.0)</f>
        <v>297759</v>
      </c>
      <c r="X171" s="14">
        <f>IFERROR(__xludf.DUMMYFUNCTION("""COMPUTED_VALUE"""),0.82)</f>
        <v>0.82</v>
      </c>
      <c r="Y171" s="14" t="str">
        <f>IFERROR(__xludf.DUMMYFUNCTION("""COMPUTED_VALUE"""),"Bahamas, The-The Americas")</f>
        <v>Bahamas, The-The Americas</v>
      </c>
      <c r="Z171" s="14" t="str">
        <f>IFERROR(__xludf.DUMMYFUNCTION("""COMPUTED_VALUE"""),"The Americas")</f>
        <v>The Americas</v>
      </c>
      <c r="AA171" s="14" t="str">
        <f>IFERROR(__xludf.DUMMYFUNCTION("""COMPUTED_VALUE"""),"2000")</f>
        <v>2000</v>
      </c>
      <c r="AB171" s="15" t="str">
        <f>IFERROR(__xludf.DUMMYFUNCTION("ARRAYFORMULA(VLOOKUP(A171,IMPORTRANGE(""https://docs.google.com/spreadsheets/d/1BuTWp7qHGjWhqrnf-OmePP568O4A5Am9ttzvVdP67zw/edit#gid=1931367683"" ,""ENERGY!$A$2:$F$2692""), {2,3,4,5,6},0))"),"The Americas")</f>
        <v>The Americas</v>
      </c>
      <c r="AC171" s="14" t="str">
        <f>IFERROR(__xludf.DUMMYFUNCTION("""COMPUTED_VALUE"""),"Bahamas, The-The Americas")</f>
        <v>Bahamas, The-The Americas</v>
      </c>
      <c r="AD171" s="14" t="str">
        <f>IFERROR(__xludf.DUMMYFUNCTION("""COMPUTED_VALUE"""),"2000")</f>
        <v>2000</v>
      </c>
      <c r="AE171" s="14"/>
      <c r="AF171" s="14"/>
    </row>
    <row r="172">
      <c r="A172" s="12">
        <v>171.0</v>
      </c>
      <c r="B172" s="12" t="s">
        <v>91</v>
      </c>
      <c r="C172" s="5" t="s">
        <v>84</v>
      </c>
      <c r="D172" s="8"/>
      <c r="E172" s="8"/>
      <c r="F172" s="8"/>
      <c r="G172" s="8"/>
      <c r="H172" s="11">
        <v>0.118</v>
      </c>
      <c r="I172" s="11">
        <v>0.2</v>
      </c>
      <c r="J172" s="9" t="s">
        <v>62</v>
      </c>
      <c r="K172" s="14" t="str">
        <f>IFERROR(__xludf.DUMMYFUNCTION("ARRAYFORMULA(VLOOKUP(A172,IMPORTRANGE(""https://docs.google.com/spreadsheets/d/1BuTWp7qHGjWhqrnf-OmePP568O4A5Am9ttzvVdP67zw/edit#gid=1603210130"", ""TOURISM!$A$2:$F$2692""), {2,3,4,5,6},0))"),"The Americas")</f>
        <v>The Americas</v>
      </c>
      <c r="L172" s="14">
        <f>IFERROR(__xludf.DUMMYFUNCTION("""COMPUTED_VALUE"""),1.665E9)</f>
        <v>1665000000</v>
      </c>
      <c r="M172" s="14" t="str">
        <f>IFERROR(__xludf.DUMMYFUNCTION("""COMPUTED_VALUE"""),"Bahamas, The-The Americas")</f>
        <v>Bahamas, The-The Americas</v>
      </c>
      <c r="N172" s="14" t="str">
        <f>IFERROR(__xludf.DUMMYFUNCTION("""COMPUTED_VALUE"""),"2001")</f>
        <v>2001</v>
      </c>
      <c r="O172" s="14">
        <f>IFERROR(__xludf.DUMMYFUNCTION("""COMPUTED_VALUE"""),3.42E8)</f>
        <v>342000000</v>
      </c>
      <c r="P172" s="15">
        <f>IFERROR(__xludf.DUMMYFUNCTION("ARRAYFORMULA(VLOOKUP(A172,IMPORTRANGE(""https://docs.google.com/spreadsheets/d/1BuTWp7qHGjWhqrnf-OmePP568O4A5Am9ttzvVdP67zw/edit#gid=771602874"" ,""HUMAN RESOURCES!$A$2:$M$2692""), {2,3,4,5,6,7,8,9,10,11,12,13},0))"),0.017)</f>
        <v>0.017</v>
      </c>
      <c r="Q172" s="14">
        <f>IFERROR(__xludf.DUMMYFUNCTION("""COMPUTED_VALUE"""),0.013)</f>
        <v>0.013</v>
      </c>
      <c r="R172" s="14">
        <f>IFERROR(__xludf.DUMMYFUNCTION("""COMPUTED_VALUE"""),76.0)</f>
        <v>76</v>
      </c>
      <c r="S172" s="14">
        <f>IFERROR(__xludf.DUMMYFUNCTION("""COMPUTED_VALUE"""),70.0)</f>
        <v>70</v>
      </c>
      <c r="T172" s="14">
        <f>IFERROR(__xludf.DUMMYFUNCTION("""COMPUTED_VALUE"""),0.286)</f>
        <v>0.286</v>
      </c>
      <c r="U172" s="14">
        <f>IFERROR(__xludf.DUMMYFUNCTION("""COMPUTED_VALUE"""),0.659)</f>
        <v>0.659</v>
      </c>
      <c r="V172" s="14">
        <f>IFERROR(__xludf.DUMMYFUNCTION("""COMPUTED_VALUE"""),0.055)</f>
        <v>0.055</v>
      </c>
      <c r="W172" s="14">
        <f>IFERROR(__xludf.DUMMYFUNCTION("""COMPUTED_VALUE"""),303005.0)</f>
        <v>303005</v>
      </c>
      <c r="X172" s="14">
        <f>IFERROR(__xludf.DUMMYFUNCTION("""COMPUTED_VALUE"""),0.821)</f>
        <v>0.821</v>
      </c>
      <c r="Y172" s="14" t="str">
        <f>IFERROR(__xludf.DUMMYFUNCTION("""COMPUTED_VALUE"""),"Bahamas, The-The Americas")</f>
        <v>Bahamas, The-The Americas</v>
      </c>
      <c r="Z172" s="14" t="str">
        <f>IFERROR(__xludf.DUMMYFUNCTION("""COMPUTED_VALUE"""),"The Americas")</f>
        <v>The Americas</v>
      </c>
      <c r="AA172" s="14" t="str">
        <f>IFERROR(__xludf.DUMMYFUNCTION("""COMPUTED_VALUE"""),"2001")</f>
        <v>2001</v>
      </c>
      <c r="AB172" s="15" t="str">
        <f>IFERROR(__xludf.DUMMYFUNCTION("ARRAYFORMULA(VLOOKUP(A172,IMPORTRANGE(""https://docs.google.com/spreadsheets/d/1BuTWp7qHGjWhqrnf-OmePP568O4A5Am9ttzvVdP67zw/edit#gid=1931367683"" ,""ENERGY!$A$2:$F$2692""), {2,3,4,5,6},0))"),"The Americas")</f>
        <v>The Americas</v>
      </c>
      <c r="AC172" s="14" t="str">
        <f>IFERROR(__xludf.DUMMYFUNCTION("""COMPUTED_VALUE"""),"Bahamas, The-The Americas")</f>
        <v>Bahamas, The-The Americas</v>
      </c>
      <c r="AD172" s="14" t="str">
        <f>IFERROR(__xludf.DUMMYFUNCTION("""COMPUTED_VALUE"""),"2001")</f>
        <v>2001</v>
      </c>
      <c r="AE172" s="14"/>
      <c r="AF172" s="14"/>
    </row>
    <row r="173">
      <c r="A173" s="12">
        <v>172.0</v>
      </c>
      <c r="B173" s="12" t="s">
        <v>91</v>
      </c>
      <c r="C173" s="5" t="s">
        <v>84</v>
      </c>
      <c r="D173" s="8"/>
      <c r="E173" s="8"/>
      <c r="F173" s="8"/>
      <c r="G173" s="8"/>
      <c r="H173" s="11">
        <v>0.18</v>
      </c>
      <c r="I173" s="11">
        <v>0.394</v>
      </c>
      <c r="J173" s="9" t="s">
        <v>63</v>
      </c>
      <c r="K173" s="14" t="str">
        <f>IFERROR(__xludf.DUMMYFUNCTION("ARRAYFORMULA(VLOOKUP(A173,IMPORTRANGE(""https://docs.google.com/spreadsheets/d/1BuTWp7qHGjWhqrnf-OmePP568O4A5Am9ttzvVdP67zw/edit#gid=1603210130"", ""TOURISM!$A$2:$F$2692""), {2,3,4,5,6},0))"),"The Americas")</f>
        <v>The Americas</v>
      </c>
      <c r="L173" s="14">
        <f>IFERROR(__xludf.DUMMYFUNCTION("""COMPUTED_VALUE"""),1.773E9)</f>
        <v>1773000000</v>
      </c>
      <c r="M173" s="14" t="str">
        <f>IFERROR(__xludf.DUMMYFUNCTION("""COMPUTED_VALUE"""),"Bahamas, The-The Americas")</f>
        <v>Bahamas, The-The Americas</v>
      </c>
      <c r="N173" s="14" t="str">
        <f>IFERROR(__xludf.DUMMYFUNCTION("""COMPUTED_VALUE"""),"2002")</f>
        <v>2002</v>
      </c>
      <c r="O173" s="14">
        <f>IFERROR(__xludf.DUMMYFUNCTION("""COMPUTED_VALUE"""),3.38E8)</f>
        <v>338000000</v>
      </c>
      <c r="P173" s="15">
        <f>IFERROR(__xludf.DUMMYFUNCTION("ARRAYFORMULA(VLOOKUP(A173,IMPORTRANGE(""https://docs.google.com/spreadsheets/d/1BuTWp7qHGjWhqrnf-OmePP568O4A5Am9ttzvVdP67zw/edit#gid=771602874"" ,""HUMAN RESOURCES!$A$2:$M$2692""), {2,3,4,5,6,7,8,9,10,11,12,13},0))"),0.016)</f>
        <v>0.016</v>
      </c>
      <c r="Q173" s="14">
        <f>IFERROR(__xludf.DUMMYFUNCTION("""COMPUTED_VALUE"""),0.013)</f>
        <v>0.013</v>
      </c>
      <c r="R173" s="14">
        <f>IFERROR(__xludf.DUMMYFUNCTION("""COMPUTED_VALUE"""),76.0)</f>
        <v>76</v>
      </c>
      <c r="S173" s="14">
        <f>IFERROR(__xludf.DUMMYFUNCTION("""COMPUTED_VALUE"""),70.0)</f>
        <v>70</v>
      </c>
      <c r="T173" s="14">
        <f>IFERROR(__xludf.DUMMYFUNCTION("""COMPUTED_VALUE"""),0.279)</f>
        <v>0.279</v>
      </c>
      <c r="U173" s="14">
        <f>IFERROR(__xludf.DUMMYFUNCTION("""COMPUTED_VALUE"""),0.664)</f>
        <v>0.664</v>
      </c>
      <c r="V173" s="14">
        <f>IFERROR(__xludf.DUMMYFUNCTION("""COMPUTED_VALUE"""),0.057)</f>
        <v>0.057</v>
      </c>
      <c r="W173" s="14">
        <f>IFERROR(__xludf.DUMMYFUNCTION("""COMPUTED_VALUE"""),309039.0)</f>
        <v>309039</v>
      </c>
      <c r="X173" s="14">
        <f>IFERROR(__xludf.DUMMYFUNCTION("""COMPUTED_VALUE"""),0.821)</f>
        <v>0.821</v>
      </c>
      <c r="Y173" s="14" t="str">
        <f>IFERROR(__xludf.DUMMYFUNCTION("""COMPUTED_VALUE"""),"Bahamas, The-The Americas")</f>
        <v>Bahamas, The-The Americas</v>
      </c>
      <c r="Z173" s="14" t="str">
        <f>IFERROR(__xludf.DUMMYFUNCTION("""COMPUTED_VALUE"""),"The Americas")</f>
        <v>The Americas</v>
      </c>
      <c r="AA173" s="14" t="str">
        <f>IFERROR(__xludf.DUMMYFUNCTION("""COMPUTED_VALUE"""),"2002")</f>
        <v>2002</v>
      </c>
      <c r="AB173" s="15" t="str">
        <f>IFERROR(__xludf.DUMMYFUNCTION("ARRAYFORMULA(VLOOKUP(A173,IMPORTRANGE(""https://docs.google.com/spreadsheets/d/1BuTWp7qHGjWhqrnf-OmePP568O4A5Am9ttzvVdP67zw/edit#gid=1931367683"" ,""ENERGY!$A$2:$F$2692""), {2,3,4,5,6},0))"),"The Americas")</f>
        <v>The Americas</v>
      </c>
      <c r="AC173" s="14" t="str">
        <f>IFERROR(__xludf.DUMMYFUNCTION("""COMPUTED_VALUE"""),"Bahamas, The-The Americas")</f>
        <v>Bahamas, The-The Americas</v>
      </c>
      <c r="AD173" s="14" t="str">
        <f>IFERROR(__xludf.DUMMYFUNCTION("""COMPUTED_VALUE"""),"2002")</f>
        <v>2002</v>
      </c>
      <c r="AE173" s="14"/>
      <c r="AF173" s="14">
        <f>IFERROR(__xludf.DUMMYFUNCTION("""COMPUTED_VALUE"""),2464.0)</f>
        <v>2464</v>
      </c>
    </row>
    <row r="174">
      <c r="A174" s="12">
        <v>173.0</v>
      </c>
      <c r="B174" s="12" t="s">
        <v>91</v>
      </c>
      <c r="C174" s="5" t="s">
        <v>84</v>
      </c>
      <c r="D174" s="8"/>
      <c r="E174" s="8"/>
      <c r="F174" s="8"/>
      <c r="G174" s="8"/>
      <c r="H174" s="11">
        <v>0.2</v>
      </c>
      <c r="I174" s="11">
        <v>0.387</v>
      </c>
      <c r="J174" s="9" t="s">
        <v>64</v>
      </c>
      <c r="K174" s="14" t="str">
        <f>IFERROR(__xludf.DUMMYFUNCTION("ARRAYFORMULA(VLOOKUP(A174,IMPORTRANGE(""https://docs.google.com/spreadsheets/d/1BuTWp7qHGjWhqrnf-OmePP568O4A5Am9ttzvVdP67zw/edit#gid=1603210130"", ""TOURISM!$A$2:$F$2692""), {2,3,4,5,6},0))"),"The Americas")</f>
        <v>The Americas</v>
      </c>
      <c r="L174" s="14">
        <f>IFERROR(__xludf.DUMMYFUNCTION("""COMPUTED_VALUE"""),1.77E9)</f>
        <v>1770000000</v>
      </c>
      <c r="M174" s="14" t="str">
        <f>IFERROR(__xludf.DUMMYFUNCTION("""COMPUTED_VALUE"""),"Bahamas, The-The Americas")</f>
        <v>Bahamas, The-The Americas</v>
      </c>
      <c r="N174" s="14" t="str">
        <f>IFERROR(__xludf.DUMMYFUNCTION("""COMPUTED_VALUE"""),"2003")</f>
        <v>2003</v>
      </c>
      <c r="O174" s="14">
        <f>IFERROR(__xludf.DUMMYFUNCTION("""COMPUTED_VALUE"""),4.04E8)</f>
        <v>404000000</v>
      </c>
      <c r="P174" s="15">
        <f>IFERROR(__xludf.DUMMYFUNCTION("ARRAYFORMULA(VLOOKUP(A174,IMPORTRANGE(""https://docs.google.com/spreadsheets/d/1BuTWp7qHGjWhqrnf-OmePP568O4A5Am9ttzvVdP67zw/edit#gid=771602874"" ,""HUMAN RESOURCES!$A$2:$M$2692""), {2,3,4,5,6,7,8,9,10,11,12,13},0))"),0.016)</f>
        <v>0.016</v>
      </c>
      <c r="Q174" s="14">
        <f>IFERROR(__xludf.DUMMYFUNCTION("""COMPUTED_VALUE"""),0.013)</f>
        <v>0.013</v>
      </c>
      <c r="R174" s="14">
        <f>IFERROR(__xludf.DUMMYFUNCTION("""COMPUTED_VALUE"""),76.0)</f>
        <v>76</v>
      </c>
      <c r="S174" s="14">
        <f>IFERROR(__xludf.DUMMYFUNCTION("""COMPUTED_VALUE"""),70.0)</f>
        <v>70</v>
      </c>
      <c r="T174" s="14">
        <f>IFERROR(__xludf.DUMMYFUNCTION("""COMPUTED_VALUE"""),0.271)</f>
        <v>0.271</v>
      </c>
      <c r="U174" s="14">
        <f>IFERROR(__xludf.DUMMYFUNCTION("""COMPUTED_VALUE"""),0.67)</f>
        <v>0.67</v>
      </c>
      <c r="V174" s="14">
        <f>IFERROR(__xludf.DUMMYFUNCTION("""COMPUTED_VALUE"""),0.059)</f>
        <v>0.059</v>
      </c>
      <c r="W174" s="14">
        <f>IFERROR(__xludf.DUMMYFUNCTION("""COMPUTED_VALUE"""),315624.0)</f>
        <v>315624</v>
      </c>
      <c r="X174" s="14">
        <f>IFERROR(__xludf.DUMMYFUNCTION("""COMPUTED_VALUE"""),0.822)</f>
        <v>0.822</v>
      </c>
      <c r="Y174" s="14" t="str">
        <f>IFERROR(__xludf.DUMMYFUNCTION("""COMPUTED_VALUE"""),"Bahamas, The-The Americas")</f>
        <v>Bahamas, The-The Americas</v>
      </c>
      <c r="Z174" s="14" t="str">
        <f>IFERROR(__xludf.DUMMYFUNCTION("""COMPUTED_VALUE"""),"The Americas")</f>
        <v>The Americas</v>
      </c>
      <c r="AA174" s="14" t="str">
        <f>IFERROR(__xludf.DUMMYFUNCTION("""COMPUTED_VALUE"""),"2003")</f>
        <v>2003</v>
      </c>
      <c r="AB174" s="15" t="str">
        <f>IFERROR(__xludf.DUMMYFUNCTION("ARRAYFORMULA(VLOOKUP(A174,IMPORTRANGE(""https://docs.google.com/spreadsheets/d/1BuTWp7qHGjWhqrnf-OmePP568O4A5Am9ttzvVdP67zw/edit#gid=1931367683"" ,""ENERGY!$A$2:$F$2692""), {2,3,4,5,6},0))"),"The Americas")</f>
        <v>The Americas</v>
      </c>
      <c r="AC174" s="14" t="str">
        <f>IFERROR(__xludf.DUMMYFUNCTION("""COMPUTED_VALUE"""),"Bahamas, The-The Americas")</f>
        <v>Bahamas, The-The Americas</v>
      </c>
      <c r="AD174" s="14" t="str">
        <f>IFERROR(__xludf.DUMMYFUNCTION("""COMPUTED_VALUE"""),"2003")</f>
        <v>2003</v>
      </c>
      <c r="AE174" s="14"/>
      <c r="AF174" s="14">
        <f>IFERROR(__xludf.DUMMYFUNCTION("""COMPUTED_VALUE"""),1643.0)</f>
        <v>1643</v>
      </c>
    </row>
    <row r="175">
      <c r="A175" s="12">
        <v>174.0</v>
      </c>
      <c r="B175" s="12" t="s">
        <v>91</v>
      </c>
      <c r="C175" s="5" t="s">
        <v>84</v>
      </c>
      <c r="D175" s="8"/>
      <c r="E175" s="8"/>
      <c r="F175" s="8"/>
      <c r="G175" s="8"/>
      <c r="H175" s="11">
        <v>0.22</v>
      </c>
      <c r="I175" s="11">
        <v>0.577</v>
      </c>
      <c r="J175" s="9" t="s">
        <v>65</v>
      </c>
      <c r="K175" s="14" t="str">
        <f>IFERROR(__xludf.DUMMYFUNCTION("ARRAYFORMULA(VLOOKUP(A175,IMPORTRANGE(""https://docs.google.com/spreadsheets/d/1BuTWp7qHGjWhqrnf-OmePP568O4A5Am9ttzvVdP67zw/edit#gid=1603210130"", ""TOURISM!$A$2:$F$2692""), {2,3,4,5,6},0))"),"The Americas")</f>
        <v>The Americas</v>
      </c>
      <c r="L175" s="14">
        <f>IFERROR(__xludf.DUMMYFUNCTION("""COMPUTED_VALUE"""),1.897E9)</f>
        <v>1897000000</v>
      </c>
      <c r="M175" s="14" t="str">
        <f>IFERROR(__xludf.DUMMYFUNCTION("""COMPUTED_VALUE"""),"Bahamas, The-The Americas")</f>
        <v>Bahamas, The-The Americas</v>
      </c>
      <c r="N175" s="14" t="str">
        <f>IFERROR(__xludf.DUMMYFUNCTION("""COMPUTED_VALUE"""),"2004")</f>
        <v>2004</v>
      </c>
      <c r="O175" s="14">
        <f>IFERROR(__xludf.DUMMYFUNCTION("""COMPUTED_VALUE"""),4.69E8)</f>
        <v>469000000</v>
      </c>
      <c r="P175" s="15">
        <f>IFERROR(__xludf.DUMMYFUNCTION("ARRAYFORMULA(VLOOKUP(A175,IMPORTRANGE(""https://docs.google.com/spreadsheets/d/1BuTWp7qHGjWhqrnf-OmePP568O4A5Am9ttzvVdP67zw/edit#gid=771602874"" ,""HUMAN RESOURCES!$A$2:$M$2692""), {2,3,4,5,6,7,8,9,10,11,12,13},0))"),0.015)</f>
        <v>0.015</v>
      </c>
      <c r="Q175" s="14">
        <f>IFERROR(__xludf.DUMMYFUNCTION("""COMPUTED_VALUE"""),0.013)</f>
        <v>0.013</v>
      </c>
      <c r="R175" s="14">
        <f>IFERROR(__xludf.DUMMYFUNCTION("""COMPUTED_VALUE"""),77.0)</f>
        <v>77</v>
      </c>
      <c r="S175" s="14">
        <f>IFERROR(__xludf.DUMMYFUNCTION("""COMPUTED_VALUE"""),70.0)</f>
        <v>70</v>
      </c>
      <c r="T175" s="14">
        <f>IFERROR(__xludf.DUMMYFUNCTION("""COMPUTED_VALUE"""),0.263)</f>
        <v>0.263</v>
      </c>
      <c r="U175" s="14">
        <f>IFERROR(__xludf.DUMMYFUNCTION("""COMPUTED_VALUE"""),0.676)</f>
        <v>0.676</v>
      </c>
      <c r="V175" s="14">
        <f>IFERROR(__xludf.DUMMYFUNCTION("""COMPUTED_VALUE"""),0.061)</f>
        <v>0.061</v>
      </c>
      <c r="W175" s="14">
        <f>IFERROR(__xludf.DUMMYFUNCTION("""COMPUTED_VALUE"""),322400.0)</f>
        <v>322400</v>
      </c>
      <c r="X175" s="14">
        <f>IFERROR(__xludf.DUMMYFUNCTION("""COMPUTED_VALUE"""),0.822)</f>
        <v>0.822</v>
      </c>
      <c r="Y175" s="14" t="str">
        <f>IFERROR(__xludf.DUMMYFUNCTION("""COMPUTED_VALUE"""),"Bahamas, The-The Americas")</f>
        <v>Bahamas, The-The Americas</v>
      </c>
      <c r="Z175" s="14" t="str">
        <f>IFERROR(__xludf.DUMMYFUNCTION("""COMPUTED_VALUE"""),"The Americas")</f>
        <v>The Americas</v>
      </c>
      <c r="AA175" s="14" t="str">
        <f>IFERROR(__xludf.DUMMYFUNCTION("""COMPUTED_VALUE"""),"2004")</f>
        <v>2004</v>
      </c>
      <c r="AB175" s="15" t="str">
        <f>IFERROR(__xludf.DUMMYFUNCTION("ARRAYFORMULA(VLOOKUP(A175,IMPORTRANGE(""https://docs.google.com/spreadsheets/d/1BuTWp7qHGjWhqrnf-OmePP568O4A5Am9ttzvVdP67zw/edit#gid=1931367683"" ,""ENERGY!$A$2:$F$2692""), {2,3,4,5,6},0))"),"The Americas")</f>
        <v>The Americas</v>
      </c>
      <c r="AC175" s="14" t="str">
        <f>IFERROR(__xludf.DUMMYFUNCTION("""COMPUTED_VALUE"""),"Bahamas, The-The Americas")</f>
        <v>Bahamas, The-The Americas</v>
      </c>
      <c r="AD175" s="14" t="str">
        <f>IFERROR(__xludf.DUMMYFUNCTION("""COMPUTED_VALUE"""),"2004")</f>
        <v>2004</v>
      </c>
      <c r="AE175" s="14"/>
      <c r="AF175" s="14">
        <f>IFERROR(__xludf.DUMMYFUNCTION("""COMPUTED_VALUE"""),1045.0)</f>
        <v>1045</v>
      </c>
    </row>
    <row r="176">
      <c r="A176" s="12">
        <v>175.0</v>
      </c>
      <c r="B176" s="12" t="s">
        <v>91</v>
      </c>
      <c r="C176" s="5" t="s">
        <v>84</v>
      </c>
      <c r="D176" s="8"/>
      <c r="E176" s="8"/>
      <c r="F176" s="8"/>
      <c r="G176" s="8"/>
      <c r="H176" s="11">
        <v>0.25</v>
      </c>
      <c r="I176" s="11">
        <v>0.692</v>
      </c>
      <c r="J176" s="9" t="s">
        <v>66</v>
      </c>
      <c r="K176" s="14" t="str">
        <f>IFERROR(__xludf.DUMMYFUNCTION("ARRAYFORMULA(VLOOKUP(A176,IMPORTRANGE(""https://docs.google.com/spreadsheets/d/1BuTWp7qHGjWhqrnf-OmePP568O4A5Am9ttzvVdP67zw/edit#gid=1603210130"", ""TOURISM!$A$2:$F$2692""), {2,3,4,5,6},0))"),"The Americas")</f>
        <v>The Americas</v>
      </c>
      <c r="L176" s="14">
        <f>IFERROR(__xludf.DUMMYFUNCTION("""COMPUTED_VALUE"""),2.081E9)</f>
        <v>2081000000</v>
      </c>
      <c r="M176" s="14" t="str">
        <f>IFERROR(__xludf.DUMMYFUNCTION("""COMPUTED_VALUE"""),"Bahamas, The-The Americas")</f>
        <v>Bahamas, The-The Americas</v>
      </c>
      <c r="N176" s="14" t="str">
        <f>IFERROR(__xludf.DUMMYFUNCTION("""COMPUTED_VALUE"""),"2005")</f>
        <v>2005</v>
      </c>
      <c r="O176" s="14">
        <f>IFERROR(__xludf.DUMMYFUNCTION("""COMPUTED_VALUE"""),5.28E8)</f>
        <v>528000000</v>
      </c>
      <c r="P176" s="15">
        <f>IFERROR(__xludf.DUMMYFUNCTION("ARRAYFORMULA(VLOOKUP(A176,IMPORTRANGE(""https://docs.google.com/spreadsheets/d/1BuTWp7qHGjWhqrnf-OmePP568O4A5Am9ttzvVdP67zw/edit#gid=771602874"" ,""HUMAN RESOURCES!$A$2:$M$2692""), {2,3,4,5,6,7,8,9,10,11,12,13},0))"),0.015)</f>
        <v>0.015</v>
      </c>
      <c r="Q176" s="14">
        <f>IFERROR(__xludf.DUMMYFUNCTION("""COMPUTED_VALUE"""),0.013)</f>
        <v>0.013</v>
      </c>
      <c r="R176" s="14">
        <f>IFERROR(__xludf.DUMMYFUNCTION("""COMPUTED_VALUE"""),77.0)</f>
        <v>77</v>
      </c>
      <c r="S176" s="14">
        <f>IFERROR(__xludf.DUMMYFUNCTION("""COMPUTED_VALUE"""),71.0)</f>
        <v>71</v>
      </c>
      <c r="T176" s="14">
        <f>IFERROR(__xludf.DUMMYFUNCTION("""COMPUTED_VALUE"""),0.256)</f>
        <v>0.256</v>
      </c>
      <c r="U176" s="14">
        <f>IFERROR(__xludf.DUMMYFUNCTION("""COMPUTED_VALUE"""),0.682)</f>
        <v>0.682</v>
      </c>
      <c r="V176" s="14">
        <f>IFERROR(__xludf.DUMMYFUNCTION("""COMPUTED_VALUE"""),0.062)</f>
        <v>0.062</v>
      </c>
      <c r="W176" s="14">
        <f>IFERROR(__xludf.DUMMYFUNCTION("""COMPUTED_VALUE"""),329088.0)</f>
        <v>329088</v>
      </c>
      <c r="X176" s="14">
        <f>IFERROR(__xludf.DUMMYFUNCTION("""COMPUTED_VALUE"""),0.823)</f>
        <v>0.823</v>
      </c>
      <c r="Y176" s="14" t="str">
        <f>IFERROR(__xludf.DUMMYFUNCTION("""COMPUTED_VALUE"""),"Bahamas, The-The Americas")</f>
        <v>Bahamas, The-The Americas</v>
      </c>
      <c r="Z176" s="14" t="str">
        <f>IFERROR(__xludf.DUMMYFUNCTION("""COMPUTED_VALUE"""),"The Americas")</f>
        <v>The Americas</v>
      </c>
      <c r="AA176" s="14" t="str">
        <f>IFERROR(__xludf.DUMMYFUNCTION("""COMPUTED_VALUE"""),"2005")</f>
        <v>2005</v>
      </c>
      <c r="AB176" s="15" t="str">
        <f>IFERROR(__xludf.DUMMYFUNCTION("ARRAYFORMULA(VLOOKUP(A176,IMPORTRANGE(""https://docs.google.com/spreadsheets/d/1BuTWp7qHGjWhqrnf-OmePP568O4A5Am9ttzvVdP67zw/edit#gid=1931367683"" ,""ENERGY!$A$2:$F$2692""), {2,3,4,5,6},0))"),"The Americas")</f>
        <v>The Americas</v>
      </c>
      <c r="AC176" s="14" t="str">
        <f>IFERROR(__xludf.DUMMYFUNCTION("""COMPUTED_VALUE"""),"Bahamas, The-The Americas")</f>
        <v>Bahamas, The-The Americas</v>
      </c>
      <c r="AD176" s="14" t="str">
        <f>IFERROR(__xludf.DUMMYFUNCTION("""COMPUTED_VALUE"""),"2005")</f>
        <v>2005</v>
      </c>
      <c r="AE176" s="14">
        <f>IFERROR(__xludf.DUMMYFUNCTION("""COMPUTED_VALUE"""),709.0)</f>
        <v>709</v>
      </c>
      <c r="AF176" s="14">
        <f>IFERROR(__xludf.DUMMYFUNCTION("""COMPUTED_VALUE"""),1547.0)</f>
        <v>1547</v>
      </c>
    </row>
    <row r="177">
      <c r="A177" s="12">
        <v>176.0</v>
      </c>
      <c r="B177" s="12" t="s">
        <v>91</v>
      </c>
      <c r="C177" s="5" t="s">
        <v>84</v>
      </c>
      <c r="D177" s="8"/>
      <c r="E177" s="8"/>
      <c r="F177" s="8"/>
      <c r="G177" s="8"/>
      <c r="H177" s="11">
        <v>0.26</v>
      </c>
      <c r="I177" s="11">
        <v>0.754</v>
      </c>
      <c r="J177" s="9" t="s">
        <v>67</v>
      </c>
      <c r="K177" s="14" t="str">
        <f>IFERROR(__xludf.DUMMYFUNCTION("ARRAYFORMULA(VLOOKUP(A177,IMPORTRANGE(""https://docs.google.com/spreadsheets/d/1BuTWp7qHGjWhqrnf-OmePP568O4A5Am9ttzvVdP67zw/edit#gid=1603210130"", ""TOURISM!$A$2:$F$2692""), {2,3,4,5,6},0))"),"The Americas")</f>
        <v>The Americas</v>
      </c>
      <c r="L177" s="14">
        <f>IFERROR(__xludf.DUMMYFUNCTION("""COMPUTED_VALUE"""),2.066E9)</f>
        <v>2066000000</v>
      </c>
      <c r="M177" s="14" t="str">
        <f>IFERROR(__xludf.DUMMYFUNCTION("""COMPUTED_VALUE"""),"Bahamas, The-The Americas")</f>
        <v>Bahamas, The-The Americas</v>
      </c>
      <c r="N177" s="14" t="str">
        <f>IFERROR(__xludf.DUMMYFUNCTION("""COMPUTED_VALUE"""),"2006")</f>
        <v>2006</v>
      </c>
      <c r="O177" s="14">
        <f>IFERROR(__xludf.DUMMYFUNCTION("""COMPUTED_VALUE"""),5.41E8)</f>
        <v>541000000</v>
      </c>
      <c r="P177" s="15">
        <f>IFERROR(__xludf.DUMMYFUNCTION("ARRAYFORMULA(VLOOKUP(A177,IMPORTRANGE(""https://docs.google.com/spreadsheets/d/1BuTWp7qHGjWhqrnf-OmePP568O4A5Am9ttzvVdP67zw/edit#gid=771602874"" ,""HUMAN RESOURCES!$A$2:$M$2692""), {2,3,4,5,6,7,8,9,10,11,12,13},0))"),0.015)</f>
        <v>0.015</v>
      </c>
      <c r="Q177" s="14">
        <f>IFERROR(__xludf.DUMMYFUNCTION("""COMPUTED_VALUE"""),0.012)</f>
        <v>0.012</v>
      </c>
      <c r="R177" s="14">
        <f>IFERROR(__xludf.DUMMYFUNCTION("""COMPUTED_VALUE"""),77.0)</f>
        <v>77</v>
      </c>
      <c r="S177" s="14">
        <f>IFERROR(__xludf.DUMMYFUNCTION("""COMPUTED_VALUE"""),71.0)</f>
        <v>71</v>
      </c>
      <c r="T177" s="14">
        <f>IFERROR(__xludf.DUMMYFUNCTION("""COMPUTED_VALUE"""),0.249)</f>
        <v>0.249</v>
      </c>
      <c r="U177" s="14">
        <f>IFERROR(__xludf.DUMMYFUNCTION("""COMPUTED_VALUE"""),0.688)</f>
        <v>0.688</v>
      </c>
      <c r="V177" s="14">
        <f>IFERROR(__xludf.DUMMYFUNCTION("""COMPUTED_VALUE"""),0.064)</f>
        <v>0.064</v>
      </c>
      <c r="W177" s="14">
        <f>IFERROR(__xludf.DUMMYFUNCTION("""COMPUTED_VALUE"""),335622.0)</f>
        <v>335622</v>
      </c>
      <c r="X177" s="14">
        <f>IFERROR(__xludf.DUMMYFUNCTION("""COMPUTED_VALUE"""),0.823)</f>
        <v>0.823</v>
      </c>
      <c r="Y177" s="14" t="str">
        <f>IFERROR(__xludf.DUMMYFUNCTION("""COMPUTED_VALUE"""),"Bahamas, The-The Americas")</f>
        <v>Bahamas, The-The Americas</v>
      </c>
      <c r="Z177" s="14" t="str">
        <f>IFERROR(__xludf.DUMMYFUNCTION("""COMPUTED_VALUE"""),"The Americas")</f>
        <v>The Americas</v>
      </c>
      <c r="AA177" s="14" t="str">
        <f>IFERROR(__xludf.DUMMYFUNCTION("""COMPUTED_VALUE"""),"2006")</f>
        <v>2006</v>
      </c>
      <c r="AB177" s="15" t="str">
        <f>IFERROR(__xludf.DUMMYFUNCTION("ARRAYFORMULA(VLOOKUP(A177,IMPORTRANGE(""https://docs.google.com/spreadsheets/d/1BuTWp7qHGjWhqrnf-OmePP568O4A5Am9ttzvVdP67zw/edit#gid=1931367683"" ,""ENERGY!$A$2:$F$2692""), {2,3,4,5,6},0))"),"The Americas")</f>
        <v>The Americas</v>
      </c>
      <c r="AC177" s="14" t="str">
        <f>IFERROR(__xludf.DUMMYFUNCTION("""COMPUTED_VALUE"""),"Bahamas, The-The Americas")</f>
        <v>Bahamas, The-The Americas</v>
      </c>
      <c r="AD177" s="14" t="str">
        <f>IFERROR(__xludf.DUMMYFUNCTION("""COMPUTED_VALUE"""),"2009")</f>
        <v>2009</v>
      </c>
      <c r="AE177" s="14">
        <f>IFERROR(__xludf.DUMMYFUNCTION("""COMPUTED_VALUE"""),706.0)</f>
        <v>706</v>
      </c>
      <c r="AF177" s="14">
        <f>IFERROR(__xludf.DUMMYFUNCTION("""COMPUTED_VALUE"""),1522.0)</f>
        <v>1522</v>
      </c>
    </row>
    <row r="178">
      <c r="A178" s="12">
        <v>177.0</v>
      </c>
      <c r="B178" s="12" t="s">
        <v>91</v>
      </c>
      <c r="C178" s="5" t="s">
        <v>84</v>
      </c>
      <c r="D178" s="11">
        <v>0.449</v>
      </c>
      <c r="E178" s="11">
        <v>31.0</v>
      </c>
      <c r="F178" s="8"/>
      <c r="G178" s="11">
        <v>58.0</v>
      </c>
      <c r="H178" s="11">
        <v>0.27</v>
      </c>
      <c r="I178" s="11">
        <v>1.093</v>
      </c>
      <c r="J178" s="9" t="s">
        <v>68</v>
      </c>
      <c r="K178" s="14" t="str">
        <f>IFERROR(__xludf.DUMMYFUNCTION("ARRAYFORMULA(VLOOKUP(A178,IMPORTRANGE(""https://docs.google.com/spreadsheets/d/1BuTWp7qHGjWhqrnf-OmePP568O4A5Am9ttzvVdP67zw/edit#gid=1603210130"", ""TOURISM!$A$2:$F$2692""), {2,3,4,5,6},0))"),"The Americas")</f>
        <v>The Americas</v>
      </c>
      <c r="L178" s="14">
        <f>IFERROR(__xludf.DUMMYFUNCTION("""COMPUTED_VALUE"""),2.198E9)</f>
        <v>2198000000</v>
      </c>
      <c r="M178" s="14" t="str">
        <f>IFERROR(__xludf.DUMMYFUNCTION("""COMPUTED_VALUE"""),"Bahamas, The-The Americas")</f>
        <v>Bahamas, The-The Americas</v>
      </c>
      <c r="N178" s="14" t="str">
        <f>IFERROR(__xludf.DUMMYFUNCTION("""COMPUTED_VALUE"""),"2007")</f>
        <v>2007</v>
      </c>
      <c r="O178" s="14">
        <f>IFERROR(__xludf.DUMMYFUNCTION("""COMPUTED_VALUE"""),5.38E8)</f>
        <v>538000000</v>
      </c>
      <c r="P178" s="15">
        <f>IFERROR(__xludf.DUMMYFUNCTION("ARRAYFORMULA(VLOOKUP(A178,IMPORTRANGE(""https://docs.google.com/spreadsheets/d/1BuTWp7qHGjWhqrnf-OmePP568O4A5Am9ttzvVdP67zw/edit#gid=771602874"" ,""HUMAN RESOURCES!$A$2:$M$2692""), {2,3,4,5,6,7,8,9,10,11,12,13},0))"),0.015)</f>
        <v>0.015</v>
      </c>
      <c r="Q178" s="14">
        <f>IFERROR(__xludf.DUMMYFUNCTION("""COMPUTED_VALUE"""),0.012)</f>
        <v>0.012</v>
      </c>
      <c r="R178" s="14">
        <f>IFERROR(__xludf.DUMMYFUNCTION("""COMPUTED_VALUE"""),77.0)</f>
        <v>77</v>
      </c>
      <c r="S178" s="14">
        <f>IFERROR(__xludf.DUMMYFUNCTION("""COMPUTED_VALUE"""),71.0)</f>
        <v>71</v>
      </c>
      <c r="T178" s="14">
        <f>IFERROR(__xludf.DUMMYFUNCTION("""COMPUTED_VALUE"""),0.242)</f>
        <v>0.242</v>
      </c>
      <c r="U178" s="14">
        <f>IFERROR(__xludf.DUMMYFUNCTION("""COMPUTED_VALUE"""),0.693)</f>
        <v>0.693</v>
      </c>
      <c r="V178" s="14">
        <f>IFERROR(__xludf.DUMMYFUNCTION("""COMPUTED_VALUE"""),0.065)</f>
        <v>0.065</v>
      </c>
      <c r="W178" s="14">
        <f>IFERROR(__xludf.DUMMYFUNCTION("""COMPUTED_VALUE"""),342049.0)</f>
        <v>342049</v>
      </c>
      <c r="X178" s="14">
        <f>IFERROR(__xludf.DUMMYFUNCTION("""COMPUTED_VALUE"""),0.824)</f>
        <v>0.824</v>
      </c>
      <c r="Y178" s="14" t="str">
        <f>IFERROR(__xludf.DUMMYFUNCTION("""COMPUTED_VALUE"""),"Bahamas, The-The Americas")</f>
        <v>Bahamas, The-The Americas</v>
      </c>
      <c r="Z178" s="14" t="str">
        <f>IFERROR(__xludf.DUMMYFUNCTION("""COMPUTED_VALUE"""),"The Americas")</f>
        <v>The Americas</v>
      </c>
      <c r="AA178" s="14" t="str">
        <f>IFERROR(__xludf.DUMMYFUNCTION("""COMPUTED_VALUE"""),"2007")</f>
        <v>2007</v>
      </c>
      <c r="AB178" s="15" t="str">
        <f>IFERROR(__xludf.DUMMYFUNCTION("ARRAYFORMULA(VLOOKUP(A178,IMPORTRANGE(""https://docs.google.com/spreadsheets/d/1BuTWp7qHGjWhqrnf-OmePP568O4A5Am9ttzvVdP67zw/edit#gid=1931367683"" ,""ENERGY!$A$2:$F$2692""), {2,3,4,5,6},0))"),"The Americas")</f>
        <v>The Americas</v>
      </c>
      <c r="AC178" s="14" t="str">
        <f>IFERROR(__xludf.DUMMYFUNCTION("""COMPUTED_VALUE"""),"Bahamas, The-The Americas")</f>
        <v>Bahamas, The-The Americas</v>
      </c>
      <c r="AD178" s="14" t="str">
        <f>IFERROR(__xludf.DUMMYFUNCTION("""COMPUTED_VALUE"""),"2006")</f>
        <v>2006</v>
      </c>
      <c r="AE178" s="14">
        <f>IFERROR(__xludf.DUMMYFUNCTION("""COMPUTED_VALUE"""),696.0)</f>
        <v>696</v>
      </c>
      <c r="AF178" s="14">
        <f>IFERROR(__xludf.DUMMYFUNCTION("""COMPUTED_VALUE"""),1599.0)</f>
        <v>1599</v>
      </c>
    </row>
    <row r="179">
      <c r="A179" s="12">
        <v>178.0</v>
      </c>
      <c r="B179" s="12" t="s">
        <v>91</v>
      </c>
      <c r="C179" s="5" t="s">
        <v>84</v>
      </c>
      <c r="D179" s="11">
        <v>0.449</v>
      </c>
      <c r="E179" s="11">
        <v>31.0</v>
      </c>
      <c r="F179" s="8"/>
      <c r="G179" s="11">
        <v>58.0</v>
      </c>
      <c r="H179" s="11">
        <v>0.315</v>
      </c>
      <c r="I179" s="11">
        <v>1.028</v>
      </c>
      <c r="J179" s="9" t="s">
        <v>69</v>
      </c>
      <c r="K179" s="14" t="str">
        <f>IFERROR(__xludf.DUMMYFUNCTION("ARRAYFORMULA(VLOOKUP(A179,IMPORTRANGE(""https://docs.google.com/spreadsheets/d/1BuTWp7qHGjWhqrnf-OmePP568O4A5Am9ttzvVdP67zw/edit#gid=1603210130"", ""TOURISM!$A$2:$F$2692""), {2,3,4,5,6},0))"),"The Americas")</f>
        <v>The Americas</v>
      </c>
      <c r="L179" s="14">
        <f>IFERROR(__xludf.DUMMYFUNCTION("""COMPUTED_VALUE"""),2.155E9)</f>
        <v>2155000000</v>
      </c>
      <c r="M179" s="14" t="str">
        <f>IFERROR(__xludf.DUMMYFUNCTION("""COMPUTED_VALUE"""),"Bahamas, The-The Americas")</f>
        <v>Bahamas, The-The Americas</v>
      </c>
      <c r="N179" s="14" t="str">
        <f>IFERROR(__xludf.DUMMYFUNCTION("""COMPUTED_VALUE"""),"2008")</f>
        <v>2008</v>
      </c>
      <c r="O179" s="14">
        <f>IFERROR(__xludf.DUMMYFUNCTION("""COMPUTED_VALUE"""),4.6E8)</f>
        <v>460000000</v>
      </c>
      <c r="P179" s="15">
        <f>IFERROR(__xludf.DUMMYFUNCTION("ARRAYFORMULA(VLOOKUP(A179,IMPORTRANGE(""https://docs.google.com/spreadsheets/d/1BuTWp7qHGjWhqrnf-OmePP568O4A5Am9ttzvVdP67zw/edit#gid=771602874"" ,""HUMAN RESOURCES!$A$2:$M$2692""), {2,3,4,5,6,7,8,9,10,11,12,13},0))"),0.016)</f>
        <v>0.016</v>
      </c>
      <c r="Q179" s="14">
        <f>IFERROR(__xludf.DUMMYFUNCTION("""COMPUTED_VALUE"""),0.012)</f>
        <v>0.012</v>
      </c>
      <c r="R179" s="14">
        <f>IFERROR(__xludf.DUMMYFUNCTION("""COMPUTED_VALUE"""),77.0)</f>
        <v>77</v>
      </c>
      <c r="S179" s="14">
        <f>IFERROR(__xludf.DUMMYFUNCTION("""COMPUTED_VALUE"""),71.0)</f>
        <v>71</v>
      </c>
      <c r="T179" s="14">
        <f>IFERROR(__xludf.DUMMYFUNCTION("""COMPUTED_VALUE"""),0.236)</f>
        <v>0.236</v>
      </c>
      <c r="U179" s="14">
        <f>IFERROR(__xludf.DUMMYFUNCTION("""COMPUTED_VALUE"""),0.698)</f>
        <v>0.698</v>
      </c>
      <c r="V179" s="14">
        <f>IFERROR(__xludf.DUMMYFUNCTION("""COMPUTED_VALUE"""),0.066)</f>
        <v>0.066</v>
      </c>
      <c r="W179" s="14">
        <f>IFERROR(__xludf.DUMMYFUNCTION("""COMPUTED_VALUE"""),348340.0)</f>
        <v>348340</v>
      </c>
      <c r="X179" s="14">
        <f>IFERROR(__xludf.DUMMYFUNCTION("""COMPUTED_VALUE"""),0.824)</f>
        <v>0.824</v>
      </c>
      <c r="Y179" s="14" t="str">
        <f>IFERROR(__xludf.DUMMYFUNCTION("""COMPUTED_VALUE"""),"Bahamas, The-The Americas")</f>
        <v>Bahamas, The-The Americas</v>
      </c>
      <c r="Z179" s="14" t="str">
        <f>IFERROR(__xludf.DUMMYFUNCTION("""COMPUTED_VALUE"""),"The Americas")</f>
        <v>The Americas</v>
      </c>
      <c r="AA179" s="14" t="str">
        <f>IFERROR(__xludf.DUMMYFUNCTION("""COMPUTED_VALUE"""),"2008")</f>
        <v>2008</v>
      </c>
      <c r="AB179" s="15" t="str">
        <f>IFERROR(__xludf.DUMMYFUNCTION("ARRAYFORMULA(VLOOKUP(A179,IMPORTRANGE(""https://docs.google.com/spreadsheets/d/1BuTWp7qHGjWhqrnf-OmePP568O4A5Am9ttzvVdP67zw/edit#gid=1931367683"" ,""ENERGY!$A$2:$F$2692""), {2,3,4,5,6},0))"),"The Americas")</f>
        <v>The Americas</v>
      </c>
      <c r="AC179" s="14" t="str">
        <f>IFERROR(__xludf.DUMMYFUNCTION("""COMPUTED_VALUE"""),"Bahamas, The-The Americas")</f>
        <v>Bahamas, The-The Americas</v>
      </c>
      <c r="AD179" s="14" t="str">
        <f>IFERROR(__xludf.DUMMYFUNCTION("""COMPUTED_VALUE"""),"2012")</f>
        <v>2012</v>
      </c>
      <c r="AE179" s="14">
        <f>IFERROR(__xludf.DUMMYFUNCTION("""COMPUTED_VALUE"""),664.0)</f>
        <v>664</v>
      </c>
      <c r="AF179" s="14">
        <f>IFERROR(__xludf.DUMMYFUNCTION("""COMPUTED_VALUE"""),1723.0)</f>
        <v>1723</v>
      </c>
    </row>
    <row r="180">
      <c r="A180" s="12">
        <v>179.0</v>
      </c>
      <c r="B180" s="12" t="s">
        <v>91</v>
      </c>
      <c r="C180" s="5" t="s">
        <v>84</v>
      </c>
      <c r="D180" s="11">
        <v>0.449</v>
      </c>
      <c r="E180" s="11">
        <v>31.0</v>
      </c>
      <c r="F180" s="8"/>
      <c r="G180" s="11">
        <v>58.0</v>
      </c>
      <c r="H180" s="11">
        <v>0.339</v>
      </c>
      <c r="I180" s="11">
        <v>1.012</v>
      </c>
      <c r="J180" s="9" t="s">
        <v>70</v>
      </c>
      <c r="K180" s="14" t="str">
        <f>IFERROR(__xludf.DUMMYFUNCTION("ARRAYFORMULA(VLOOKUP(A180,IMPORTRANGE(""https://docs.google.com/spreadsheets/d/1BuTWp7qHGjWhqrnf-OmePP568O4A5Am9ttzvVdP67zw/edit#gid=1603210130"", ""TOURISM!$A$2:$F$2692""), {2,3,4,5,6},0))"),"The Americas")</f>
        <v>The Americas</v>
      </c>
      <c r="L180" s="14">
        <f>IFERROR(__xludf.DUMMYFUNCTION("""COMPUTED_VALUE"""),2.025E9)</f>
        <v>2025000000</v>
      </c>
      <c r="M180" s="14" t="str">
        <f>IFERROR(__xludf.DUMMYFUNCTION("""COMPUTED_VALUE"""),"Bahamas, The-The Americas")</f>
        <v>Bahamas, The-The Americas</v>
      </c>
      <c r="N180" s="14" t="str">
        <f>IFERROR(__xludf.DUMMYFUNCTION("""COMPUTED_VALUE"""),"2009")</f>
        <v>2009</v>
      </c>
      <c r="O180" s="14">
        <f>IFERROR(__xludf.DUMMYFUNCTION("""COMPUTED_VALUE"""),3.86E8)</f>
        <v>386000000</v>
      </c>
      <c r="P180" s="15">
        <f>IFERROR(__xludf.DUMMYFUNCTION("ARRAYFORMULA(VLOOKUP(A180,IMPORTRANGE(""https://docs.google.com/spreadsheets/d/1BuTWp7qHGjWhqrnf-OmePP568O4A5Am9ttzvVdP67zw/edit#gid=771602874"" ,""HUMAN RESOURCES!$A$2:$M$2692""), {2,3,4,5,6,7,8,9,10,11,12,13},0))"),0.016)</f>
        <v>0.016</v>
      </c>
      <c r="Q180" s="14">
        <f>IFERROR(__xludf.DUMMYFUNCTION("""COMPUTED_VALUE"""),0.012)</f>
        <v>0.012</v>
      </c>
      <c r="R180" s="14">
        <f>IFERROR(__xludf.DUMMYFUNCTION("""COMPUTED_VALUE"""),78.0)</f>
        <v>78</v>
      </c>
      <c r="S180" s="14">
        <f>IFERROR(__xludf.DUMMYFUNCTION("""COMPUTED_VALUE"""),71.0)</f>
        <v>71</v>
      </c>
      <c r="T180" s="14">
        <f>IFERROR(__xludf.DUMMYFUNCTION("""COMPUTED_VALUE"""),0.23)</f>
        <v>0.23</v>
      </c>
      <c r="U180" s="14">
        <f>IFERROR(__xludf.DUMMYFUNCTION("""COMPUTED_VALUE"""),0.702)</f>
        <v>0.702</v>
      </c>
      <c r="V180" s="14">
        <f>IFERROR(__xludf.DUMMYFUNCTION("""COMPUTED_VALUE"""),0.068)</f>
        <v>0.068</v>
      </c>
      <c r="W180" s="14">
        <f>IFERROR(__xludf.DUMMYFUNCTION("""COMPUTED_VALUE"""),354492.0)</f>
        <v>354492</v>
      </c>
      <c r="X180" s="14">
        <f>IFERROR(__xludf.DUMMYFUNCTION("""COMPUTED_VALUE"""),0.825)</f>
        <v>0.825</v>
      </c>
      <c r="Y180" s="14" t="str">
        <f>IFERROR(__xludf.DUMMYFUNCTION("""COMPUTED_VALUE"""),"Bahamas, The-The Americas")</f>
        <v>Bahamas, The-The Americas</v>
      </c>
      <c r="Z180" s="14" t="str">
        <f>IFERROR(__xludf.DUMMYFUNCTION("""COMPUTED_VALUE"""),"The Americas")</f>
        <v>The Americas</v>
      </c>
      <c r="AA180" s="14" t="str">
        <f>IFERROR(__xludf.DUMMYFUNCTION("""COMPUTED_VALUE"""),"2009")</f>
        <v>2009</v>
      </c>
      <c r="AB180" s="15" t="str">
        <f>IFERROR(__xludf.DUMMYFUNCTION("ARRAYFORMULA(VLOOKUP(A180,IMPORTRANGE(""https://docs.google.com/spreadsheets/d/1BuTWp7qHGjWhqrnf-OmePP568O4A5Am9ttzvVdP67zw/edit#gid=1931367683"" ,""ENERGY!$A$2:$F$2692""), {2,3,4,5,6},0))"),"The Americas")</f>
        <v>The Americas</v>
      </c>
      <c r="AC180" s="14" t="str">
        <f>IFERROR(__xludf.DUMMYFUNCTION("""COMPUTED_VALUE"""),"Bahamas, The-The Americas")</f>
        <v>Bahamas, The-The Americas</v>
      </c>
      <c r="AD180" s="14" t="str">
        <f>IFERROR(__xludf.DUMMYFUNCTION("""COMPUTED_VALUE"""),"2008")</f>
        <v>2008</v>
      </c>
      <c r="AE180" s="14"/>
      <c r="AF180" s="14">
        <f>IFERROR(__xludf.DUMMYFUNCTION("""COMPUTED_VALUE"""),1518.0)</f>
        <v>1518</v>
      </c>
    </row>
    <row r="181">
      <c r="A181" s="12">
        <v>180.0</v>
      </c>
      <c r="B181" s="12" t="s">
        <v>91</v>
      </c>
      <c r="C181" s="5" t="s">
        <v>84</v>
      </c>
      <c r="D181" s="11">
        <v>0.449</v>
      </c>
      <c r="E181" s="11">
        <v>24.0</v>
      </c>
      <c r="F181" s="8"/>
      <c r="G181" s="11">
        <v>58.0</v>
      </c>
      <c r="H181" s="11">
        <v>0.43</v>
      </c>
      <c r="I181" s="11">
        <v>1.188</v>
      </c>
      <c r="J181" s="9" t="s">
        <v>71</v>
      </c>
      <c r="K181" s="14" t="str">
        <f>IFERROR(__xludf.DUMMYFUNCTION("ARRAYFORMULA(VLOOKUP(A181,IMPORTRANGE(""https://docs.google.com/spreadsheets/d/1BuTWp7qHGjWhqrnf-OmePP568O4A5Am9ttzvVdP67zw/edit#gid=1603210130"", ""TOURISM!$A$2:$F$2692""), {2,3,4,5,6},0))"),"The Americas")</f>
        <v>The Americas</v>
      </c>
      <c r="L181" s="14">
        <f>IFERROR(__xludf.DUMMYFUNCTION("""COMPUTED_VALUE"""),2.159E9)</f>
        <v>2159000000</v>
      </c>
      <c r="M181" s="14" t="str">
        <f>IFERROR(__xludf.DUMMYFUNCTION("""COMPUTED_VALUE"""),"Bahamas, The-The Americas")</f>
        <v>Bahamas, The-The Americas</v>
      </c>
      <c r="N181" s="14" t="str">
        <f>IFERROR(__xludf.DUMMYFUNCTION("""COMPUTED_VALUE"""),"2010")</f>
        <v>2010</v>
      </c>
      <c r="O181" s="14">
        <f>IFERROR(__xludf.DUMMYFUNCTION("""COMPUTED_VALUE"""),3.69E8)</f>
        <v>369000000</v>
      </c>
      <c r="P181" s="15">
        <f>IFERROR(__xludf.DUMMYFUNCTION("ARRAYFORMULA(VLOOKUP(A181,IMPORTRANGE(""https://docs.google.com/spreadsheets/d/1BuTWp7qHGjWhqrnf-OmePP568O4A5Am9ttzvVdP67zw/edit#gid=771602874"" ,""HUMAN RESOURCES!$A$2:$M$2692""), {2,3,4,5,6,7,8,9,10,11,12,13},0))"),0.016)</f>
        <v>0.016</v>
      </c>
      <c r="Q181" s="14">
        <f>IFERROR(__xludf.DUMMYFUNCTION("""COMPUTED_VALUE"""),0.011)</f>
        <v>0.011</v>
      </c>
      <c r="R181" s="14">
        <f>IFERROR(__xludf.DUMMYFUNCTION("""COMPUTED_VALUE"""),78.0)</f>
        <v>78</v>
      </c>
      <c r="S181" s="14">
        <f>IFERROR(__xludf.DUMMYFUNCTION("""COMPUTED_VALUE"""),72.0)</f>
        <v>72</v>
      </c>
      <c r="T181" s="14">
        <f>IFERROR(__xludf.DUMMYFUNCTION("""COMPUTED_VALUE"""),0.225)</f>
        <v>0.225</v>
      </c>
      <c r="U181" s="14">
        <f>IFERROR(__xludf.DUMMYFUNCTION("""COMPUTED_VALUE"""),0.706)</f>
        <v>0.706</v>
      </c>
      <c r="V181" s="14">
        <f>IFERROR(__xludf.DUMMYFUNCTION("""COMPUTED_VALUE"""),0.07)</f>
        <v>0.07</v>
      </c>
      <c r="W181" s="14">
        <f>IFERROR(__xludf.DUMMYFUNCTION("""COMPUTED_VALUE"""),360498.0)</f>
        <v>360498</v>
      </c>
      <c r="X181" s="14">
        <f>IFERROR(__xludf.DUMMYFUNCTION("""COMPUTED_VALUE"""),0.825)</f>
        <v>0.825</v>
      </c>
      <c r="Y181" s="14" t="str">
        <f>IFERROR(__xludf.DUMMYFUNCTION("""COMPUTED_VALUE"""),"Bahamas, The-The Americas")</f>
        <v>Bahamas, The-The Americas</v>
      </c>
      <c r="Z181" s="14" t="str">
        <f>IFERROR(__xludf.DUMMYFUNCTION("""COMPUTED_VALUE"""),"The Americas")</f>
        <v>The Americas</v>
      </c>
      <c r="AA181" s="14" t="str">
        <f>IFERROR(__xludf.DUMMYFUNCTION("""COMPUTED_VALUE"""),"2010")</f>
        <v>2010</v>
      </c>
      <c r="AB181" s="15" t="str">
        <f>IFERROR(__xludf.DUMMYFUNCTION("ARRAYFORMULA(VLOOKUP(A181,IMPORTRANGE(""https://docs.google.com/spreadsheets/d/1BuTWp7qHGjWhqrnf-OmePP568O4A5Am9ttzvVdP67zw/edit#gid=1931367683"" ,""ENERGY!$A$2:$F$2692""), {2,3,4,5,6},0))"),"The Americas")</f>
        <v>The Americas</v>
      </c>
      <c r="AC181" s="14" t="str">
        <f>IFERROR(__xludf.DUMMYFUNCTION("""COMPUTED_VALUE"""),"Bahamas, The-The Americas")</f>
        <v>Bahamas, The-The Americas</v>
      </c>
      <c r="AD181" s="14" t="str">
        <f>IFERROR(__xludf.DUMMYFUNCTION("""COMPUTED_VALUE"""),"2005")</f>
        <v>2005</v>
      </c>
      <c r="AE181" s="14"/>
      <c r="AF181" s="14">
        <f>IFERROR(__xludf.DUMMYFUNCTION("""COMPUTED_VALUE"""),1577.0)</f>
        <v>1577</v>
      </c>
    </row>
    <row r="182">
      <c r="A182" s="12">
        <v>181.0</v>
      </c>
      <c r="B182" s="12" t="s">
        <v>91</v>
      </c>
      <c r="C182" s="5" t="s">
        <v>84</v>
      </c>
      <c r="D182" s="11">
        <v>0.466</v>
      </c>
      <c r="E182" s="11">
        <v>24.0</v>
      </c>
      <c r="F182" s="8"/>
      <c r="G182" s="11">
        <v>58.0</v>
      </c>
      <c r="H182" s="11">
        <v>0.65</v>
      </c>
      <c r="I182" s="11">
        <v>0.816</v>
      </c>
      <c r="J182" s="9" t="s">
        <v>72</v>
      </c>
      <c r="K182" s="14" t="str">
        <f>IFERROR(__xludf.DUMMYFUNCTION("ARRAYFORMULA(VLOOKUP(A182,IMPORTRANGE(""https://docs.google.com/spreadsheets/d/1BuTWp7qHGjWhqrnf-OmePP568O4A5Am9ttzvVdP67zw/edit#gid=1603210130"", ""TOURISM!$A$2:$F$2692""), {2,3,4,5,6},0))"),"The Americas")</f>
        <v>The Americas</v>
      </c>
      <c r="L182" s="14">
        <f>IFERROR(__xludf.DUMMYFUNCTION("""COMPUTED_VALUE"""),2.223E9)</f>
        <v>2223000000</v>
      </c>
      <c r="M182" s="14" t="str">
        <f>IFERROR(__xludf.DUMMYFUNCTION("""COMPUTED_VALUE"""),"Bahamas, The-The Americas")</f>
        <v>Bahamas, The-The Americas</v>
      </c>
      <c r="N182" s="14" t="str">
        <f>IFERROR(__xludf.DUMMYFUNCTION("""COMPUTED_VALUE"""),"2011")</f>
        <v>2011</v>
      </c>
      <c r="O182" s="14">
        <f>IFERROR(__xludf.DUMMYFUNCTION("""COMPUTED_VALUE"""),3.47E8)</f>
        <v>347000000</v>
      </c>
      <c r="P182" s="15">
        <f>IFERROR(__xludf.DUMMYFUNCTION("ARRAYFORMULA(VLOOKUP(A182,IMPORTRANGE(""https://docs.google.com/spreadsheets/d/1BuTWp7qHGjWhqrnf-OmePP568O4A5Am9ttzvVdP67zw/edit#gid=771602874"" ,""HUMAN RESOURCES!$A$2:$M$2692""), {2,3,4,5,6,7,8,9,10,11,12,13},0))"),0.015)</f>
        <v>0.015</v>
      </c>
      <c r="Q182" s="14">
        <f>IFERROR(__xludf.DUMMYFUNCTION("""COMPUTED_VALUE"""),0.011)</f>
        <v>0.011</v>
      </c>
      <c r="R182" s="14">
        <f>IFERROR(__xludf.DUMMYFUNCTION("""COMPUTED_VALUE"""),78.0)</f>
        <v>78</v>
      </c>
      <c r="S182" s="14">
        <f>IFERROR(__xludf.DUMMYFUNCTION("""COMPUTED_VALUE"""),72.0)</f>
        <v>72</v>
      </c>
      <c r="T182" s="14">
        <f>IFERROR(__xludf.DUMMYFUNCTION("""COMPUTED_VALUE"""),0.22)</f>
        <v>0.22</v>
      </c>
      <c r="U182" s="14">
        <f>IFERROR(__xludf.DUMMYFUNCTION("""COMPUTED_VALUE"""),0.708)</f>
        <v>0.708</v>
      </c>
      <c r="V182" s="14">
        <f>IFERROR(__xludf.DUMMYFUNCTION("""COMPUTED_VALUE"""),0.072)</f>
        <v>0.072</v>
      </c>
      <c r="W182" s="14">
        <f>IFERROR(__xludf.DUMMYFUNCTION("""COMPUTED_VALUE"""),366331.0)</f>
        <v>366331</v>
      </c>
      <c r="X182" s="14">
        <f>IFERROR(__xludf.DUMMYFUNCTION("""COMPUTED_VALUE"""),0.826)</f>
        <v>0.826</v>
      </c>
      <c r="Y182" s="14" t="str">
        <f>IFERROR(__xludf.DUMMYFUNCTION("""COMPUTED_VALUE"""),"Bahamas, The-The Americas")</f>
        <v>Bahamas, The-The Americas</v>
      </c>
      <c r="Z182" s="14" t="str">
        <f>IFERROR(__xludf.DUMMYFUNCTION("""COMPUTED_VALUE"""),"The Americas")</f>
        <v>The Americas</v>
      </c>
      <c r="AA182" s="14" t="str">
        <f>IFERROR(__xludf.DUMMYFUNCTION("""COMPUTED_VALUE"""),"2011")</f>
        <v>2011</v>
      </c>
      <c r="AB182" s="15" t="str">
        <f>IFERROR(__xludf.DUMMYFUNCTION("ARRAYFORMULA(VLOOKUP(A182,IMPORTRANGE(""https://docs.google.com/spreadsheets/d/1BuTWp7qHGjWhqrnf-OmePP568O4A5Am9ttzvVdP67zw/edit#gid=1931367683"" ,""ENERGY!$A$2:$F$2692""), {2,3,4,5,6},0))"),"The Americas")</f>
        <v>The Americas</v>
      </c>
      <c r="AC182" s="14" t="str">
        <f>IFERROR(__xludf.DUMMYFUNCTION("""COMPUTED_VALUE"""),"Bahamas, The-The Americas")</f>
        <v>Bahamas, The-The Americas</v>
      </c>
      <c r="AD182" s="14" t="str">
        <f>IFERROR(__xludf.DUMMYFUNCTION("""COMPUTED_VALUE"""),"2012")</f>
        <v>2012</v>
      </c>
      <c r="AE182" s="14"/>
      <c r="AF182" s="14">
        <f>IFERROR(__xludf.DUMMYFUNCTION("""COMPUTED_VALUE"""),1569.0)</f>
        <v>1569</v>
      </c>
    </row>
    <row r="183">
      <c r="A183" s="12">
        <v>182.0</v>
      </c>
      <c r="B183" s="12" t="s">
        <v>91</v>
      </c>
      <c r="C183" s="5" t="s">
        <v>84</v>
      </c>
      <c r="D183" s="11">
        <v>0.466</v>
      </c>
      <c r="E183" s="11">
        <v>24.0</v>
      </c>
      <c r="F183" s="11">
        <v>76.0</v>
      </c>
      <c r="G183" s="11">
        <v>58.0</v>
      </c>
      <c r="H183" s="11">
        <v>0.717</v>
      </c>
      <c r="I183" s="11">
        <v>0.807</v>
      </c>
      <c r="J183" s="9" t="s">
        <v>73</v>
      </c>
      <c r="K183" s="14" t="str">
        <f>IFERROR(__xludf.DUMMYFUNCTION("ARRAYFORMULA(VLOOKUP(A183,IMPORTRANGE(""https://docs.google.com/spreadsheets/d/1BuTWp7qHGjWhqrnf-OmePP568O4A5Am9ttzvVdP67zw/edit#gid=1603210130"", ""TOURISM!$A$2:$F$2692""), {2,3,4,5,6},0))"),"The Americas")</f>
        <v>The Americas</v>
      </c>
      <c r="L183" s="14">
        <f>IFERROR(__xludf.DUMMYFUNCTION("""COMPUTED_VALUE"""),2.415E9)</f>
        <v>2415000000</v>
      </c>
      <c r="M183" s="14" t="str">
        <f>IFERROR(__xludf.DUMMYFUNCTION("""COMPUTED_VALUE"""),"Bahamas, The-The Americas")</f>
        <v>Bahamas, The-The Americas</v>
      </c>
      <c r="N183" s="14" t="str">
        <f>IFERROR(__xludf.DUMMYFUNCTION("""COMPUTED_VALUE"""),"2012")</f>
        <v>2012</v>
      </c>
      <c r="O183" s="14">
        <f>IFERROR(__xludf.DUMMYFUNCTION("""COMPUTED_VALUE"""),3.84E8)</f>
        <v>384000000</v>
      </c>
      <c r="P183" s="15">
        <f>IFERROR(__xludf.DUMMYFUNCTION("ARRAYFORMULA(VLOOKUP(A183,IMPORTRANGE(""https://docs.google.com/spreadsheets/d/1BuTWp7qHGjWhqrnf-OmePP568O4A5Am9ttzvVdP67zw/edit#gid=771602874"" ,""HUMAN RESOURCES!$A$2:$M$2692""), {2,3,4,5,6,7,8,9,10,11,12,13},0))"),0.015)</f>
        <v>0.015</v>
      </c>
      <c r="Q183" s="14">
        <f>IFERROR(__xludf.DUMMYFUNCTION("""COMPUTED_VALUE"""),0.011)</f>
        <v>0.011</v>
      </c>
      <c r="R183" s="14">
        <f>IFERROR(__xludf.DUMMYFUNCTION("""COMPUTED_VALUE"""),78.0)</f>
        <v>78</v>
      </c>
      <c r="S183" s="14">
        <f>IFERROR(__xludf.DUMMYFUNCTION("""COMPUTED_VALUE"""),72.0)</f>
        <v>72</v>
      </c>
      <c r="T183" s="14">
        <f>IFERROR(__xludf.DUMMYFUNCTION("""COMPUTED_VALUE"""),0.216)</f>
        <v>0.216</v>
      </c>
      <c r="U183" s="14">
        <f>IFERROR(__xludf.DUMMYFUNCTION("""COMPUTED_VALUE"""),0.71)</f>
        <v>0.71</v>
      </c>
      <c r="V183" s="14">
        <f>IFERROR(__xludf.DUMMYFUNCTION("""COMPUTED_VALUE"""),0.074)</f>
        <v>0.074</v>
      </c>
      <c r="W183" s="14">
        <f>IFERROR(__xludf.DUMMYFUNCTION("""COMPUTED_VALUE"""),371960.0)</f>
        <v>371960</v>
      </c>
      <c r="X183" s="14">
        <f>IFERROR(__xludf.DUMMYFUNCTION("""COMPUTED_VALUE"""),0.827)</f>
        <v>0.827</v>
      </c>
      <c r="Y183" s="14" t="str">
        <f>IFERROR(__xludf.DUMMYFUNCTION("""COMPUTED_VALUE"""),"Bahamas, The-The Americas")</f>
        <v>Bahamas, The-The Americas</v>
      </c>
      <c r="Z183" s="14" t="str">
        <f>IFERROR(__xludf.DUMMYFUNCTION("""COMPUTED_VALUE"""),"The Americas")</f>
        <v>The Americas</v>
      </c>
      <c r="AA183" s="14" t="str">
        <f>IFERROR(__xludf.DUMMYFUNCTION("""COMPUTED_VALUE"""),"2012")</f>
        <v>2012</v>
      </c>
      <c r="AB183" s="15" t="str">
        <f>IFERROR(__xludf.DUMMYFUNCTION("ARRAYFORMULA(VLOOKUP(A183,IMPORTRANGE(""https://docs.google.com/spreadsheets/d/1BuTWp7qHGjWhqrnf-OmePP568O4A5Am9ttzvVdP67zw/edit#gid=1931367683"" ,""ENERGY!$A$2:$F$2692""), {2,3,4,5,6},0))"),"The Americas")</f>
        <v>The Americas</v>
      </c>
      <c r="AC183" s="14" t="str">
        <f>IFERROR(__xludf.DUMMYFUNCTION("""COMPUTED_VALUE"""),"Bahamas, The-The Americas")</f>
        <v>Bahamas, The-The Americas</v>
      </c>
      <c r="AD183" s="14" t="str">
        <f>IFERROR(__xludf.DUMMYFUNCTION("""COMPUTED_VALUE"""),"2008")</f>
        <v>2008</v>
      </c>
      <c r="AE183" s="14"/>
      <c r="AF183" s="14">
        <f>IFERROR(__xludf.DUMMYFUNCTION("""COMPUTED_VALUE"""),1668.0)</f>
        <v>1668</v>
      </c>
    </row>
    <row r="184">
      <c r="A184" s="12">
        <v>183.0</v>
      </c>
      <c r="B184" s="12" t="s">
        <v>92</v>
      </c>
      <c r="C184" s="5" t="s">
        <v>93</v>
      </c>
      <c r="D184" s="8"/>
      <c r="E184" s="8"/>
      <c r="F184" s="8"/>
      <c r="G184" s="8"/>
      <c r="H184" s="11">
        <v>0.062</v>
      </c>
      <c r="I184" s="11">
        <v>0.308</v>
      </c>
      <c r="J184" s="9" t="s">
        <v>60</v>
      </c>
      <c r="K184" s="14" t="str">
        <f>IFERROR(__xludf.DUMMYFUNCTION("ARRAYFORMULA(VLOOKUP(A184,IMPORTRANGE(""https://docs.google.com/spreadsheets/d/1BuTWp7qHGjWhqrnf-OmePP568O4A5Am9ttzvVdP67zw/edit#gid=1603210130"", ""TOURISM!$A$2:$F$2692""), {2,3,4,5,6},0))"),"Middle East")</f>
        <v>Middle East</v>
      </c>
      <c r="L184" s="14">
        <f>IFERROR(__xludf.DUMMYFUNCTION("""COMPUTED_VALUE"""),8.54E8)</f>
        <v>854000000</v>
      </c>
      <c r="M184" s="14" t="str">
        <f>IFERROR(__xludf.DUMMYFUNCTION("""COMPUTED_VALUE"""),"Bahrain-Middle East")</f>
        <v>Bahrain-Middle East</v>
      </c>
      <c r="N184" s="14" t="str">
        <f>IFERROR(__xludf.DUMMYFUNCTION("""COMPUTED_VALUE"""),"2000")</f>
        <v>2000</v>
      </c>
      <c r="O184" s="14">
        <f>IFERROR(__xludf.DUMMYFUNCTION("""COMPUTED_VALUE"""),4.25E8)</f>
        <v>425000000</v>
      </c>
      <c r="P184" s="15">
        <f>IFERROR(__xludf.DUMMYFUNCTION("ARRAYFORMULA(VLOOKUP(A184,IMPORTRANGE(""https://docs.google.com/spreadsheets/d/1BuTWp7qHGjWhqrnf-OmePP568O4A5Am9ttzvVdP67zw/edit#gid=771602874"" ,""HUMAN RESOURCES!$A$2:$M$2692""), {2,3,4,5,6,7,8,9,10,11,12,13},0))"),0.021)</f>
        <v>0.021</v>
      </c>
      <c r="Q184" s="14">
        <f>IFERROR(__xludf.DUMMYFUNCTION("""COMPUTED_VALUE"""),0.011)</f>
        <v>0.011</v>
      </c>
      <c r="R184" s="14">
        <f>IFERROR(__xludf.DUMMYFUNCTION("""COMPUTED_VALUE"""),76.0)</f>
        <v>76</v>
      </c>
      <c r="S184" s="14">
        <f>IFERROR(__xludf.DUMMYFUNCTION("""COMPUTED_VALUE"""),74.0)</f>
        <v>74</v>
      </c>
      <c r="T184" s="14">
        <f>IFERROR(__xludf.DUMMYFUNCTION("""COMPUTED_VALUE"""),0.308)</f>
        <v>0.308</v>
      </c>
      <c r="U184" s="14">
        <f>IFERROR(__xludf.DUMMYFUNCTION("""COMPUTED_VALUE"""),0.667)</f>
        <v>0.667</v>
      </c>
      <c r="V184" s="14">
        <f>IFERROR(__xludf.DUMMYFUNCTION("""COMPUTED_VALUE"""),0.024)</f>
        <v>0.024</v>
      </c>
      <c r="W184" s="14">
        <f>IFERROR(__xludf.DUMMYFUNCTION("""COMPUTED_VALUE"""),668239.0)</f>
        <v>668239</v>
      </c>
      <c r="X184" s="14">
        <f>IFERROR(__xludf.DUMMYFUNCTION("""COMPUTED_VALUE"""),0.884)</f>
        <v>0.884</v>
      </c>
      <c r="Y184" s="14" t="str">
        <f>IFERROR(__xludf.DUMMYFUNCTION("""COMPUTED_VALUE"""),"Bahrain-Middle East")</f>
        <v>Bahrain-Middle East</v>
      </c>
      <c r="Z184" s="14" t="str">
        <f>IFERROR(__xludf.DUMMYFUNCTION("""COMPUTED_VALUE"""),"Middle East")</f>
        <v>Middle East</v>
      </c>
      <c r="AA184" s="14" t="str">
        <f>IFERROR(__xludf.DUMMYFUNCTION("""COMPUTED_VALUE"""),"2000")</f>
        <v>2000</v>
      </c>
      <c r="AB184" s="15" t="str">
        <f>IFERROR(__xludf.DUMMYFUNCTION("ARRAYFORMULA(VLOOKUP(A184,IMPORTRANGE(""https://docs.google.com/spreadsheets/d/1BuTWp7qHGjWhqrnf-OmePP568O4A5Am9ttzvVdP67zw/edit#gid=1931367683"" ,""ENERGY!$A$2:$F$2692""), {2,3,4,5,6},0))"),"Middle East")</f>
        <v>Middle East</v>
      </c>
      <c r="AC184" s="14" t="str">
        <f>IFERROR(__xludf.DUMMYFUNCTION("""COMPUTED_VALUE"""),"Bahrain-Middle East")</f>
        <v>Bahrain-Middle East</v>
      </c>
      <c r="AD184" s="14" t="str">
        <f>IFERROR(__xludf.DUMMYFUNCTION("""COMPUTED_VALUE"""),"2000")</f>
        <v>2000</v>
      </c>
      <c r="AE184" s="14"/>
      <c r="AF184" s="14"/>
    </row>
    <row r="185">
      <c r="A185" s="12">
        <v>184.0</v>
      </c>
      <c r="B185" s="12" t="s">
        <v>92</v>
      </c>
      <c r="C185" s="5" t="s">
        <v>93</v>
      </c>
      <c r="D185" s="8"/>
      <c r="E185" s="8"/>
      <c r="F185" s="8"/>
      <c r="G185" s="8"/>
      <c r="H185" s="11">
        <v>0.15</v>
      </c>
      <c r="I185" s="11">
        <v>0.429</v>
      </c>
      <c r="J185" s="9" t="s">
        <v>62</v>
      </c>
      <c r="K185" s="14" t="str">
        <f>IFERROR(__xludf.DUMMYFUNCTION("ARRAYFORMULA(VLOOKUP(A185,IMPORTRANGE(""https://docs.google.com/spreadsheets/d/1BuTWp7qHGjWhqrnf-OmePP568O4A5Am9ttzvVdP67zw/edit#gid=1603210130"", ""TOURISM!$A$2:$F$2692""), {2,3,4,5,6},0))"),"Middle East")</f>
        <v>Middle East</v>
      </c>
      <c r="L185" s="14">
        <f>IFERROR(__xludf.DUMMYFUNCTION("""COMPUTED_VALUE"""),8.86E8)</f>
        <v>886000000</v>
      </c>
      <c r="M185" s="14" t="str">
        <f>IFERROR(__xludf.DUMMYFUNCTION("""COMPUTED_VALUE"""),"Bahrain-Middle East")</f>
        <v>Bahrain-Middle East</v>
      </c>
      <c r="N185" s="14" t="str">
        <f>IFERROR(__xludf.DUMMYFUNCTION("""COMPUTED_VALUE"""),"2001")</f>
        <v>2001</v>
      </c>
      <c r="O185" s="14">
        <f>IFERROR(__xludf.DUMMYFUNCTION("""COMPUTED_VALUE"""),4.23E8)</f>
        <v>423000000</v>
      </c>
      <c r="P185" s="15">
        <f>IFERROR(__xludf.DUMMYFUNCTION("ARRAYFORMULA(VLOOKUP(A185,IMPORTRANGE(""https://docs.google.com/spreadsheets/d/1BuTWp7qHGjWhqrnf-OmePP568O4A5Am9ttzvVdP67zw/edit#gid=771602874"" ,""HUMAN RESOURCES!$A$2:$M$2692""), {2,3,4,5,6,7,8,9,10,11,12,13},0))"),0.021)</f>
        <v>0.021</v>
      </c>
      <c r="Q185" s="14">
        <f>IFERROR(__xludf.DUMMYFUNCTION("""COMPUTED_VALUE"""),0.011)</f>
        <v>0.011</v>
      </c>
      <c r="R185" s="14">
        <f>IFERROR(__xludf.DUMMYFUNCTION("""COMPUTED_VALUE"""),76.0)</f>
        <v>76</v>
      </c>
      <c r="S185" s="14">
        <f>IFERROR(__xludf.DUMMYFUNCTION("""COMPUTED_VALUE"""),74.0)</f>
        <v>74</v>
      </c>
      <c r="T185" s="14">
        <f>IFERROR(__xludf.DUMMYFUNCTION("""COMPUTED_VALUE"""),0.305)</f>
        <v>0.305</v>
      </c>
      <c r="U185" s="14">
        <f>IFERROR(__xludf.DUMMYFUNCTION("""COMPUTED_VALUE"""),0.67)</f>
        <v>0.67</v>
      </c>
      <c r="V185" s="14">
        <f>IFERROR(__xludf.DUMMYFUNCTION("""COMPUTED_VALUE"""),0.024)</f>
        <v>0.024</v>
      </c>
      <c r="W185" s="14">
        <f>IFERROR(__xludf.DUMMYFUNCTION("""COMPUTED_VALUE"""),698749.0)</f>
        <v>698749</v>
      </c>
      <c r="X185" s="14">
        <f>IFERROR(__xludf.DUMMYFUNCTION("""COMPUTED_VALUE"""),0.884)</f>
        <v>0.884</v>
      </c>
      <c r="Y185" s="14" t="str">
        <f>IFERROR(__xludf.DUMMYFUNCTION("""COMPUTED_VALUE"""),"Bahrain-Middle East")</f>
        <v>Bahrain-Middle East</v>
      </c>
      <c r="Z185" s="14" t="str">
        <f>IFERROR(__xludf.DUMMYFUNCTION("""COMPUTED_VALUE"""),"Middle East")</f>
        <v>Middle East</v>
      </c>
      <c r="AA185" s="14" t="str">
        <f>IFERROR(__xludf.DUMMYFUNCTION("""COMPUTED_VALUE"""),"2001")</f>
        <v>2001</v>
      </c>
      <c r="AB185" s="15" t="str">
        <f>IFERROR(__xludf.DUMMYFUNCTION("ARRAYFORMULA(VLOOKUP(A185,IMPORTRANGE(""https://docs.google.com/spreadsheets/d/1BuTWp7qHGjWhqrnf-OmePP568O4A5Am9ttzvVdP67zw/edit#gid=1931367683"" ,""ENERGY!$A$2:$F$2692""), {2,3,4,5,6},0))"),"Middle East")</f>
        <v>Middle East</v>
      </c>
      <c r="AC185" s="14" t="str">
        <f>IFERROR(__xludf.DUMMYFUNCTION("""COMPUTED_VALUE"""),"Bahrain-Middle East")</f>
        <v>Bahrain-Middle East</v>
      </c>
      <c r="AD185" s="14" t="str">
        <f>IFERROR(__xludf.DUMMYFUNCTION("""COMPUTED_VALUE"""),"2001")</f>
        <v>2001</v>
      </c>
      <c r="AE185" s="14">
        <f>IFERROR(__xludf.DUMMYFUNCTION("""COMPUTED_VALUE"""),9506.0)</f>
        <v>9506</v>
      </c>
      <c r="AF185" s="14"/>
    </row>
    <row r="186">
      <c r="A186" s="12">
        <v>185.0</v>
      </c>
      <c r="B186" s="12" t="s">
        <v>92</v>
      </c>
      <c r="C186" s="5" t="s">
        <v>93</v>
      </c>
      <c r="D186" s="8"/>
      <c r="E186" s="8"/>
      <c r="F186" s="8"/>
      <c r="G186" s="8"/>
      <c r="H186" s="11">
        <v>0.181</v>
      </c>
      <c r="I186" s="11">
        <v>0.531</v>
      </c>
      <c r="J186" s="9" t="s">
        <v>63</v>
      </c>
      <c r="K186" s="14" t="str">
        <f>IFERROR(__xludf.DUMMYFUNCTION("ARRAYFORMULA(VLOOKUP(A186,IMPORTRANGE(""https://docs.google.com/spreadsheets/d/1BuTWp7qHGjWhqrnf-OmePP568O4A5Am9ttzvVdP67zw/edit#gid=1603210130"", ""TOURISM!$A$2:$F$2692""), {2,3,4,5,6},0))"),"Middle East")</f>
        <v>Middle East</v>
      </c>
      <c r="L186" s="14">
        <f>IFERROR(__xludf.DUMMYFUNCTION("""COMPUTED_VALUE"""),9.85E8)</f>
        <v>985000000</v>
      </c>
      <c r="M186" s="14" t="str">
        <f>IFERROR(__xludf.DUMMYFUNCTION("""COMPUTED_VALUE"""),"Bahrain-Middle East")</f>
        <v>Bahrain-Middle East</v>
      </c>
      <c r="N186" s="14" t="str">
        <f>IFERROR(__xludf.DUMMYFUNCTION("""COMPUTED_VALUE"""),"2002")</f>
        <v>2002</v>
      </c>
      <c r="O186" s="14">
        <f>IFERROR(__xludf.DUMMYFUNCTION("""COMPUTED_VALUE"""),5.5E8)</f>
        <v>550000000</v>
      </c>
      <c r="P186" s="15">
        <f>IFERROR(__xludf.DUMMYFUNCTION("ARRAYFORMULA(VLOOKUP(A186,IMPORTRANGE(""https://docs.google.com/spreadsheets/d/1BuTWp7qHGjWhqrnf-OmePP568O4A5Am9ttzvVdP67zw/edit#gid=771602874"" ,""HUMAN RESOURCES!$A$2:$M$2692""), {2,3,4,5,6,7,8,9,10,11,12,13},0))"),0.02)</f>
        <v>0.02</v>
      </c>
      <c r="Q186" s="14">
        <f>IFERROR(__xludf.DUMMYFUNCTION("""COMPUTED_VALUE"""),0.01)</f>
        <v>0.01</v>
      </c>
      <c r="R186" s="14">
        <f>IFERROR(__xludf.DUMMYFUNCTION("""COMPUTED_VALUE"""),76.0)</f>
        <v>76</v>
      </c>
      <c r="S186" s="14">
        <f>IFERROR(__xludf.DUMMYFUNCTION("""COMPUTED_VALUE"""),74.0)</f>
        <v>74</v>
      </c>
      <c r="T186" s="14">
        <f>IFERROR(__xludf.DUMMYFUNCTION("""COMPUTED_VALUE"""),0.301)</f>
        <v>0.301</v>
      </c>
      <c r="U186" s="14">
        <f>IFERROR(__xludf.DUMMYFUNCTION("""COMPUTED_VALUE"""),0.675)</f>
        <v>0.675</v>
      </c>
      <c r="V186" s="14">
        <f>IFERROR(__xludf.DUMMYFUNCTION("""COMPUTED_VALUE"""),0.024)</f>
        <v>0.024</v>
      </c>
      <c r="W186" s="14">
        <f>IFERROR(__xludf.DUMMYFUNCTION("""COMPUTED_VALUE"""),732541.0)</f>
        <v>732541</v>
      </c>
      <c r="X186" s="14">
        <f>IFERROR(__xludf.DUMMYFUNCTION("""COMPUTED_VALUE"""),0.884)</f>
        <v>0.884</v>
      </c>
      <c r="Y186" s="14" t="str">
        <f>IFERROR(__xludf.DUMMYFUNCTION("""COMPUTED_VALUE"""),"Bahrain-Middle East")</f>
        <v>Bahrain-Middle East</v>
      </c>
      <c r="Z186" s="14" t="str">
        <f>IFERROR(__xludf.DUMMYFUNCTION("""COMPUTED_VALUE"""),"Middle East")</f>
        <v>Middle East</v>
      </c>
      <c r="AA186" s="14" t="str">
        <f>IFERROR(__xludf.DUMMYFUNCTION("""COMPUTED_VALUE"""),"2002")</f>
        <v>2002</v>
      </c>
      <c r="AB186" s="15" t="str">
        <f>IFERROR(__xludf.DUMMYFUNCTION("ARRAYFORMULA(VLOOKUP(A186,IMPORTRANGE(""https://docs.google.com/spreadsheets/d/1BuTWp7qHGjWhqrnf-OmePP568O4A5Am9ttzvVdP67zw/edit#gid=1931367683"" ,""ENERGY!$A$2:$F$2692""), {2,3,4,5,6},0))"),"Middle East")</f>
        <v>Middle East</v>
      </c>
      <c r="AC186" s="14" t="str">
        <f>IFERROR(__xludf.DUMMYFUNCTION("""COMPUTED_VALUE"""),"Bahrain-Middle East")</f>
        <v>Bahrain-Middle East</v>
      </c>
      <c r="AD186" s="14" t="str">
        <f>IFERROR(__xludf.DUMMYFUNCTION("""COMPUTED_VALUE"""),"2002")</f>
        <v>2002</v>
      </c>
      <c r="AE186" s="14">
        <f>IFERROR(__xludf.DUMMYFUNCTION("""COMPUTED_VALUE"""),9472.0)</f>
        <v>9472</v>
      </c>
      <c r="AF186" s="14">
        <f>IFERROR(__xludf.DUMMYFUNCTION("""COMPUTED_VALUE"""),24202.0)</f>
        <v>24202</v>
      </c>
    </row>
    <row r="187">
      <c r="A187" s="12">
        <v>186.0</v>
      </c>
      <c r="B187" s="12" t="s">
        <v>92</v>
      </c>
      <c r="C187" s="5" t="s">
        <v>93</v>
      </c>
      <c r="D187" s="8"/>
      <c r="E187" s="8"/>
      <c r="F187" s="8"/>
      <c r="G187" s="8"/>
      <c r="H187" s="11">
        <v>0.216</v>
      </c>
      <c r="I187" s="11">
        <v>0.574</v>
      </c>
      <c r="J187" s="9" t="s">
        <v>64</v>
      </c>
      <c r="K187" s="14" t="str">
        <f>IFERROR(__xludf.DUMMYFUNCTION("ARRAYFORMULA(VLOOKUP(A187,IMPORTRANGE(""https://docs.google.com/spreadsheets/d/1BuTWp7qHGjWhqrnf-OmePP568O4A5Am9ttzvVdP67zw/edit#gid=1603210130"", ""TOURISM!$A$2:$F$2692""), {2,3,4,5,6},0))"),"Middle East")</f>
        <v>Middle East</v>
      </c>
      <c r="L187" s="14">
        <f>IFERROR(__xludf.DUMMYFUNCTION("""COMPUTED_VALUE"""),1.206E9)</f>
        <v>1206000000</v>
      </c>
      <c r="M187" s="14" t="str">
        <f>IFERROR(__xludf.DUMMYFUNCTION("""COMPUTED_VALUE"""),"Bahrain-Middle East")</f>
        <v>Bahrain-Middle East</v>
      </c>
      <c r="N187" s="14" t="str">
        <f>IFERROR(__xludf.DUMMYFUNCTION("""COMPUTED_VALUE"""),"2003")</f>
        <v>2003</v>
      </c>
      <c r="O187" s="14">
        <f>IFERROR(__xludf.DUMMYFUNCTION("""COMPUTED_VALUE"""),4.92E8)</f>
        <v>492000000</v>
      </c>
      <c r="P187" s="15">
        <f>IFERROR(__xludf.DUMMYFUNCTION("ARRAYFORMULA(VLOOKUP(A187,IMPORTRANGE(""https://docs.google.com/spreadsheets/d/1BuTWp7qHGjWhqrnf-OmePP568O4A5Am9ttzvVdP67zw/edit#gid=771602874"" ,""HUMAN RESOURCES!$A$2:$M$2692""), {2,3,4,5,6,7,8,9,10,11,12,13},0))"),0.02)</f>
        <v>0.02</v>
      </c>
      <c r="Q187" s="14">
        <f>IFERROR(__xludf.DUMMYFUNCTION("""COMPUTED_VALUE"""),0.01)</f>
        <v>0.01</v>
      </c>
      <c r="R187" s="14">
        <f>IFERROR(__xludf.DUMMYFUNCTION("""COMPUTED_VALUE"""),76.0)</f>
        <v>76</v>
      </c>
      <c r="S187" s="14">
        <f>IFERROR(__xludf.DUMMYFUNCTION("""COMPUTED_VALUE"""),74.0)</f>
        <v>74</v>
      </c>
      <c r="T187" s="14">
        <f>IFERROR(__xludf.DUMMYFUNCTION("""COMPUTED_VALUE"""),0.294)</f>
        <v>0.294</v>
      </c>
      <c r="U187" s="14">
        <f>IFERROR(__xludf.DUMMYFUNCTION("""COMPUTED_VALUE"""),0.683)</f>
        <v>0.683</v>
      </c>
      <c r="V187" s="14">
        <f>IFERROR(__xludf.DUMMYFUNCTION("""COMPUTED_VALUE"""),0.023)</f>
        <v>0.023</v>
      </c>
      <c r="W187" s="14">
        <f>IFERROR(__xludf.DUMMYFUNCTION("""COMPUTED_VALUE"""),772058.0)</f>
        <v>772058</v>
      </c>
      <c r="X187" s="14">
        <f>IFERROR(__xludf.DUMMYFUNCTION("""COMPUTED_VALUE"""),0.884)</f>
        <v>0.884</v>
      </c>
      <c r="Y187" s="14" t="str">
        <f>IFERROR(__xludf.DUMMYFUNCTION("""COMPUTED_VALUE"""),"Bahrain-Middle East")</f>
        <v>Bahrain-Middle East</v>
      </c>
      <c r="Z187" s="14" t="str">
        <f>IFERROR(__xludf.DUMMYFUNCTION("""COMPUTED_VALUE"""),"Middle East")</f>
        <v>Middle East</v>
      </c>
      <c r="AA187" s="14" t="str">
        <f>IFERROR(__xludf.DUMMYFUNCTION("""COMPUTED_VALUE"""),"2003")</f>
        <v>2003</v>
      </c>
      <c r="AB187" s="15" t="str">
        <f>IFERROR(__xludf.DUMMYFUNCTION("ARRAYFORMULA(VLOOKUP(A187,IMPORTRANGE(""https://docs.google.com/spreadsheets/d/1BuTWp7qHGjWhqrnf-OmePP568O4A5Am9ttzvVdP67zw/edit#gid=1931367683"" ,""ENERGY!$A$2:$F$2692""), {2,3,4,5,6},0))"),"Middle East")</f>
        <v>Middle East</v>
      </c>
      <c r="AC187" s="14" t="str">
        <f>IFERROR(__xludf.DUMMYFUNCTION("""COMPUTED_VALUE"""),"Bahrain-Middle East")</f>
        <v>Bahrain-Middle East</v>
      </c>
      <c r="AD187" s="14" t="str">
        <f>IFERROR(__xludf.DUMMYFUNCTION("""COMPUTED_VALUE"""),"2003")</f>
        <v>2003</v>
      </c>
      <c r="AE187" s="14">
        <f>IFERROR(__xludf.DUMMYFUNCTION("""COMPUTED_VALUE"""),9340.0)</f>
        <v>9340</v>
      </c>
      <c r="AF187" s="14">
        <f>IFERROR(__xludf.DUMMYFUNCTION("""COMPUTED_VALUE"""),24169.0)</f>
        <v>24169</v>
      </c>
    </row>
    <row r="188">
      <c r="A188" s="12">
        <v>187.0</v>
      </c>
      <c r="B188" s="12" t="s">
        <v>92</v>
      </c>
      <c r="C188" s="5" t="s">
        <v>93</v>
      </c>
      <c r="D188" s="8"/>
      <c r="E188" s="8"/>
      <c r="F188" s="8"/>
      <c r="G188" s="8"/>
      <c r="H188" s="11">
        <v>0.215</v>
      </c>
      <c r="I188" s="11">
        <v>0.792</v>
      </c>
      <c r="J188" s="9" t="s">
        <v>65</v>
      </c>
      <c r="K188" s="14" t="str">
        <f>IFERROR(__xludf.DUMMYFUNCTION("ARRAYFORMULA(VLOOKUP(A188,IMPORTRANGE(""https://docs.google.com/spreadsheets/d/1BuTWp7qHGjWhqrnf-OmePP568O4A5Am9ttzvVdP67zw/edit#gid=1603210130"", ""TOURISM!$A$2:$F$2692""), {2,3,4,5,6},0))"),"Middle East")</f>
        <v>Middle East</v>
      </c>
      <c r="L188" s="14">
        <f>IFERROR(__xludf.DUMMYFUNCTION("""COMPUTED_VALUE"""),1.504E9)</f>
        <v>1504000000</v>
      </c>
      <c r="M188" s="14" t="str">
        <f>IFERROR(__xludf.DUMMYFUNCTION("""COMPUTED_VALUE"""),"Bahrain-Middle East")</f>
        <v>Bahrain-Middle East</v>
      </c>
      <c r="N188" s="14" t="str">
        <f>IFERROR(__xludf.DUMMYFUNCTION("""COMPUTED_VALUE"""),"2004")</f>
        <v>2004</v>
      </c>
      <c r="O188" s="14">
        <f>IFERROR(__xludf.DUMMYFUNCTION("""COMPUTED_VALUE"""),5.28E8)</f>
        <v>528000000</v>
      </c>
      <c r="P188" s="15">
        <f>IFERROR(__xludf.DUMMYFUNCTION("ARRAYFORMULA(VLOOKUP(A188,IMPORTRANGE(""https://docs.google.com/spreadsheets/d/1BuTWp7qHGjWhqrnf-OmePP568O4A5Am9ttzvVdP67zw/edit#gid=771602874"" ,""HUMAN RESOURCES!$A$2:$M$2692""), {2,3,4,5,6,7,8,9,10,11,12,13},0))"),0.019)</f>
        <v>0.019</v>
      </c>
      <c r="Q188" s="14">
        <f>IFERROR(__xludf.DUMMYFUNCTION("""COMPUTED_VALUE"""),0.01)</f>
        <v>0.01</v>
      </c>
      <c r="R188" s="14">
        <f>IFERROR(__xludf.DUMMYFUNCTION("""COMPUTED_VALUE"""),76.0)</f>
        <v>76</v>
      </c>
      <c r="S188" s="14">
        <f>IFERROR(__xludf.DUMMYFUNCTION("""COMPUTED_VALUE"""),75.0)</f>
        <v>75</v>
      </c>
      <c r="T188" s="14">
        <f>IFERROR(__xludf.DUMMYFUNCTION("""COMPUTED_VALUE"""),0.283)</f>
        <v>0.283</v>
      </c>
      <c r="U188" s="14">
        <f>IFERROR(__xludf.DUMMYFUNCTION("""COMPUTED_VALUE"""),0.694)</f>
        <v>0.694</v>
      </c>
      <c r="V188" s="14">
        <f>IFERROR(__xludf.DUMMYFUNCTION("""COMPUTED_VALUE"""),0.023)</f>
        <v>0.023</v>
      </c>
      <c r="W188" s="14">
        <f>IFERROR(__xludf.DUMMYFUNCTION("""COMPUTED_VALUE"""),820505.0)</f>
        <v>820505</v>
      </c>
      <c r="X188" s="14">
        <f>IFERROR(__xludf.DUMMYFUNCTION("""COMPUTED_VALUE"""),0.884)</f>
        <v>0.884</v>
      </c>
      <c r="Y188" s="14" t="str">
        <f>IFERROR(__xludf.DUMMYFUNCTION("""COMPUTED_VALUE"""),"Bahrain-Middle East")</f>
        <v>Bahrain-Middle East</v>
      </c>
      <c r="Z188" s="14" t="str">
        <f>IFERROR(__xludf.DUMMYFUNCTION("""COMPUTED_VALUE"""),"Middle East")</f>
        <v>Middle East</v>
      </c>
      <c r="AA188" s="14" t="str">
        <f>IFERROR(__xludf.DUMMYFUNCTION("""COMPUTED_VALUE"""),"2004")</f>
        <v>2004</v>
      </c>
      <c r="AB188" s="15" t="str">
        <f>IFERROR(__xludf.DUMMYFUNCTION("ARRAYFORMULA(VLOOKUP(A188,IMPORTRANGE(""https://docs.google.com/spreadsheets/d/1BuTWp7qHGjWhqrnf-OmePP568O4A5Am9ttzvVdP67zw/edit#gid=1931367683"" ,""ENERGY!$A$2:$F$2692""), {2,3,4,5,6},0))"),"Middle East")</f>
        <v>Middle East</v>
      </c>
      <c r="AC188" s="14" t="str">
        <f>IFERROR(__xludf.DUMMYFUNCTION("""COMPUTED_VALUE"""),"Bahrain-Middle East")</f>
        <v>Bahrain-Middle East</v>
      </c>
      <c r="AD188" s="14" t="str">
        <f>IFERROR(__xludf.DUMMYFUNCTION("""COMPUTED_VALUE"""),"2004")</f>
        <v>2004</v>
      </c>
      <c r="AE188" s="14">
        <f>IFERROR(__xludf.DUMMYFUNCTION("""COMPUTED_VALUE"""),9771.0)</f>
        <v>9771</v>
      </c>
      <c r="AF188" s="14">
        <f>IFERROR(__xludf.DUMMYFUNCTION("""COMPUTED_VALUE"""),24301.0)</f>
        <v>24301</v>
      </c>
    </row>
    <row r="189">
      <c r="A189" s="12">
        <v>188.0</v>
      </c>
      <c r="B189" s="12" t="s">
        <v>92</v>
      </c>
      <c r="C189" s="5" t="s">
        <v>93</v>
      </c>
      <c r="D189" s="8"/>
      <c r="E189" s="8"/>
      <c r="F189" s="8"/>
      <c r="G189" s="8"/>
      <c r="H189" s="11">
        <v>0.213</v>
      </c>
      <c r="I189" s="11">
        <v>0.872</v>
      </c>
      <c r="J189" s="9" t="s">
        <v>66</v>
      </c>
      <c r="K189" s="14" t="str">
        <f>IFERROR(__xludf.DUMMYFUNCTION("ARRAYFORMULA(VLOOKUP(A189,IMPORTRANGE(""https://docs.google.com/spreadsheets/d/1BuTWp7qHGjWhqrnf-OmePP568O4A5Am9ttzvVdP67zw/edit#gid=1603210130"", ""TOURISM!$A$2:$F$2692""), {2,3,4,5,6},0))"),"Middle East")</f>
        <v>Middle East</v>
      </c>
      <c r="L189" s="14">
        <f>IFERROR(__xludf.DUMMYFUNCTION("""COMPUTED_VALUE"""),1.603E9)</f>
        <v>1603000000</v>
      </c>
      <c r="M189" s="14" t="str">
        <f>IFERROR(__xludf.DUMMYFUNCTION("""COMPUTED_VALUE"""),"Bahrain-Middle East")</f>
        <v>Bahrain-Middle East</v>
      </c>
      <c r="N189" s="14" t="str">
        <f>IFERROR(__xludf.DUMMYFUNCTION("""COMPUTED_VALUE"""),"2005")</f>
        <v>2005</v>
      </c>
      <c r="O189" s="14">
        <f>IFERROR(__xludf.DUMMYFUNCTION("""COMPUTED_VALUE"""),5.74E8)</f>
        <v>574000000</v>
      </c>
      <c r="P189" s="15">
        <f>IFERROR(__xludf.DUMMYFUNCTION("ARRAYFORMULA(VLOOKUP(A189,IMPORTRANGE(""https://docs.google.com/spreadsheets/d/1BuTWp7qHGjWhqrnf-OmePP568O4A5Am9ttzvVdP67zw/edit#gid=771602874"" ,""HUMAN RESOURCES!$A$2:$M$2692""), {2,3,4,5,6,7,8,9,10,11,12,13},0))"),0.019)</f>
        <v>0.019</v>
      </c>
      <c r="Q189" s="14">
        <f>IFERROR(__xludf.DUMMYFUNCTION("""COMPUTED_VALUE"""),0.009)</f>
        <v>0.009</v>
      </c>
      <c r="R189" s="14">
        <f>IFERROR(__xludf.DUMMYFUNCTION("""COMPUTED_VALUE"""),76.0)</f>
        <v>76</v>
      </c>
      <c r="S189" s="14">
        <f>IFERROR(__xludf.DUMMYFUNCTION("""COMPUTED_VALUE"""),75.0)</f>
        <v>75</v>
      </c>
      <c r="T189" s="14">
        <f>IFERROR(__xludf.DUMMYFUNCTION("""COMPUTED_VALUE"""),0.269)</f>
        <v>0.269</v>
      </c>
      <c r="U189" s="14">
        <f>IFERROR(__xludf.DUMMYFUNCTION("""COMPUTED_VALUE"""),0.709)</f>
        <v>0.709</v>
      </c>
      <c r="V189" s="14">
        <f>IFERROR(__xludf.DUMMYFUNCTION("""COMPUTED_VALUE"""),0.022)</f>
        <v>0.022</v>
      </c>
      <c r="W189" s="14">
        <f>IFERROR(__xludf.DUMMYFUNCTION("""COMPUTED_VALUE"""),879534.0)</f>
        <v>879534</v>
      </c>
      <c r="X189" s="14">
        <f>IFERROR(__xludf.DUMMYFUNCTION("""COMPUTED_VALUE"""),0.884)</f>
        <v>0.884</v>
      </c>
      <c r="Y189" s="14" t="str">
        <f>IFERROR(__xludf.DUMMYFUNCTION("""COMPUTED_VALUE"""),"Bahrain-Middle East")</f>
        <v>Bahrain-Middle East</v>
      </c>
      <c r="Z189" s="14" t="str">
        <f>IFERROR(__xludf.DUMMYFUNCTION("""COMPUTED_VALUE"""),"Middle East")</f>
        <v>Middle East</v>
      </c>
      <c r="AA189" s="14" t="str">
        <f>IFERROR(__xludf.DUMMYFUNCTION("""COMPUTED_VALUE"""),"2005")</f>
        <v>2005</v>
      </c>
      <c r="AB189" s="15" t="str">
        <f>IFERROR(__xludf.DUMMYFUNCTION("ARRAYFORMULA(VLOOKUP(A189,IMPORTRANGE(""https://docs.google.com/spreadsheets/d/1BuTWp7qHGjWhqrnf-OmePP568O4A5Am9ttzvVdP67zw/edit#gid=1931367683"" ,""ENERGY!$A$2:$F$2692""), {2,3,4,5,6},0))"),"Middle East")</f>
        <v>Middle East</v>
      </c>
      <c r="AC189" s="14" t="str">
        <f>IFERROR(__xludf.DUMMYFUNCTION("""COMPUTED_VALUE"""),"Bahrain-Middle East")</f>
        <v>Bahrain-Middle East</v>
      </c>
      <c r="AD189" s="14" t="str">
        <f>IFERROR(__xludf.DUMMYFUNCTION("""COMPUTED_VALUE"""),"2005")</f>
        <v>2005</v>
      </c>
      <c r="AE189" s="14">
        <f>IFERROR(__xludf.DUMMYFUNCTION("""COMPUTED_VALUE"""),8962.0)</f>
        <v>8962</v>
      </c>
      <c r="AF189" s="14">
        <f>IFERROR(__xludf.DUMMYFUNCTION("""COMPUTED_VALUE"""),22398.0)</f>
        <v>22398</v>
      </c>
    </row>
    <row r="190">
      <c r="A190" s="12">
        <v>189.0</v>
      </c>
      <c r="B190" s="12" t="s">
        <v>92</v>
      </c>
      <c r="C190" s="5" t="s">
        <v>93</v>
      </c>
      <c r="D190" s="8"/>
      <c r="E190" s="8"/>
      <c r="F190" s="8"/>
      <c r="G190" s="8"/>
      <c r="H190" s="11">
        <v>0.282</v>
      </c>
      <c r="I190" s="11">
        <v>0.954</v>
      </c>
      <c r="J190" s="9" t="s">
        <v>67</v>
      </c>
      <c r="K190" s="14" t="str">
        <f>IFERROR(__xludf.DUMMYFUNCTION("ARRAYFORMULA(VLOOKUP(A190,IMPORTRANGE(""https://docs.google.com/spreadsheets/d/1BuTWp7qHGjWhqrnf-OmePP568O4A5Am9ttzvVdP67zw/edit#gid=1603210130"", ""TOURISM!$A$2:$F$2692""), {2,3,4,5,6},0))"),"Middle East")</f>
        <v>Middle East</v>
      </c>
      <c r="L190" s="14">
        <f>IFERROR(__xludf.DUMMYFUNCTION("""COMPUTED_VALUE"""),1.786E9)</f>
        <v>1786000000</v>
      </c>
      <c r="M190" s="14" t="str">
        <f>IFERROR(__xludf.DUMMYFUNCTION("""COMPUTED_VALUE"""),"Bahrain-Middle East")</f>
        <v>Bahrain-Middle East</v>
      </c>
      <c r="N190" s="14" t="str">
        <f>IFERROR(__xludf.DUMMYFUNCTION("""COMPUTED_VALUE"""),"2006")</f>
        <v>2006</v>
      </c>
      <c r="O190" s="14">
        <f>IFERROR(__xludf.DUMMYFUNCTION("""COMPUTED_VALUE"""),6.39E8)</f>
        <v>639000000</v>
      </c>
      <c r="P190" s="15">
        <f>IFERROR(__xludf.DUMMYFUNCTION("ARRAYFORMULA(VLOOKUP(A190,IMPORTRANGE(""https://docs.google.com/spreadsheets/d/1BuTWp7qHGjWhqrnf-OmePP568O4A5Am9ttzvVdP67zw/edit#gid=771602874"" ,""HUMAN RESOURCES!$A$2:$M$2692""), {2,3,4,5,6,7,8,9,10,11,12,13},0))"),0.018)</f>
        <v>0.018</v>
      </c>
      <c r="Q190" s="14">
        <f>IFERROR(__xludf.DUMMYFUNCTION("""COMPUTED_VALUE"""),0.009)</f>
        <v>0.009</v>
      </c>
      <c r="R190" s="14">
        <f>IFERROR(__xludf.DUMMYFUNCTION("""COMPUTED_VALUE"""),76.0)</f>
        <v>76</v>
      </c>
      <c r="S190" s="14">
        <f>IFERROR(__xludf.DUMMYFUNCTION("""COMPUTED_VALUE"""),75.0)</f>
        <v>75</v>
      </c>
      <c r="T190" s="14">
        <f>IFERROR(__xludf.DUMMYFUNCTION("""COMPUTED_VALUE"""),0.252)</f>
        <v>0.252</v>
      </c>
      <c r="U190" s="14">
        <f>IFERROR(__xludf.DUMMYFUNCTION("""COMPUTED_VALUE"""),0.727)</f>
        <v>0.727</v>
      </c>
      <c r="V190" s="14">
        <f>IFERROR(__xludf.DUMMYFUNCTION("""COMPUTED_VALUE"""),0.022)</f>
        <v>0.022</v>
      </c>
      <c r="W190" s="14">
        <f>IFERROR(__xludf.DUMMYFUNCTION("""COMPUTED_VALUE"""),950951.0)</f>
        <v>950951</v>
      </c>
      <c r="X190" s="14">
        <f>IFERROR(__xludf.DUMMYFUNCTION("""COMPUTED_VALUE"""),0.884)</f>
        <v>0.884</v>
      </c>
      <c r="Y190" s="14" t="str">
        <f>IFERROR(__xludf.DUMMYFUNCTION("""COMPUTED_VALUE"""),"Bahrain-Middle East")</f>
        <v>Bahrain-Middle East</v>
      </c>
      <c r="Z190" s="14" t="str">
        <f>IFERROR(__xludf.DUMMYFUNCTION("""COMPUTED_VALUE"""),"Middle East")</f>
        <v>Middle East</v>
      </c>
      <c r="AA190" s="14" t="str">
        <f>IFERROR(__xludf.DUMMYFUNCTION("""COMPUTED_VALUE"""),"2006")</f>
        <v>2006</v>
      </c>
      <c r="AB190" s="15" t="str">
        <f>IFERROR(__xludf.DUMMYFUNCTION("ARRAYFORMULA(VLOOKUP(A190,IMPORTRANGE(""https://docs.google.com/spreadsheets/d/1BuTWp7qHGjWhqrnf-OmePP568O4A5Am9ttzvVdP67zw/edit#gid=1931367683"" ,""ENERGY!$A$2:$F$2692""), {2,3,4,5,6},0))"),"Middle East")</f>
        <v>Middle East</v>
      </c>
      <c r="AC190" s="14" t="str">
        <f>IFERROR(__xludf.DUMMYFUNCTION("""COMPUTED_VALUE"""),"Bahrain-Middle East")</f>
        <v>Bahrain-Middle East</v>
      </c>
      <c r="AD190" s="14" t="str">
        <f>IFERROR(__xludf.DUMMYFUNCTION("""COMPUTED_VALUE"""),"2009")</f>
        <v>2009</v>
      </c>
      <c r="AE190" s="14">
        <f>IFERROR(__xludf.DUMMYFUNCTION("""COMPUTED_VALUE"""),8093.0)</f>
        <v>8093</v>
      </c>
      <c r="AF190" s="14">
        <f>IFERROR(__xludf.DUMMYFUNCTION("""COMPUTED_VALUE"""),19497.0)</f>
        <v>19497</v>
      </c>
    </row>
    <row r="191">
      <c r="A191" s="12">
        <v>190.0</v>
      </c>
      <c r="B191" s="12" t="s">
        <v>92</v>
      </c>
      <c r="C191" s="5" t="s">
        <v>93</v>
      </c>
      <c r="D191" s="11">
        <v>0.147</v>
      </c>
      <c r="E191" s="11">
        <v>9.0</v>
      </c>
      <c r="F191" s="8"/>
      <c r="G191" s="11">
        <v>36.0</v>
      </c>
      <c r="H191" s="11">
        <v>0.329</v>
      </c>
      <c r="I191" s="11">
        <v>1.081</v>
      </c>
      <c r="J191" s="9" t="s">
        <v>68</v>
      </c>
      <c r="K191" s="14" t="str">
        <f>IFERROR(__xludf.DUMMYFUNCTION("ARRAYFORMULA(VLOOKUP(A191,IMPORTRANGE(""https://docs.google.com/spreadsheets/d/1BuTWp7qHGjWhqrnf-OmePP568O4A5Am9ttzvVdP67zw/edit#gid=1603210130"", ""TOURISM!$A$2:$F$2692""), {2,3,4,5,6},0))"),"Middle East")</f>
        <v>Middle East</v>
      </c>
      <c r="L191" s="14">
        <f>IFERROR(__xludf.DUMMYFUNCTION("""COMPUTED_VALUE"""),1.854E9)</f>
        <v>1854000000</v>
      </c>
      <c r="M191" s="14" t="str">
        <f>IFERROR(__xludf.DUMMYFUNCTION("""COMPUTED_VALUE"""),"Bahrain-Middle East")</f>
        <v>Bahrain-Middle East</v>
      </c>
      <c r="N191" s="14" t="str">
        <f>IFERROR(__xludf.DUMMYFUNCTION("""COMPUTED_VALUE"""),"2007")</f>
        <v>2007</v>
      </c>
      <c r="O191" s="14">
        <f>IFERROR(__xludf.DUMMYFUNCTION("""COMPUTED_VALUE"""),6.71E8)</f>
        <v>671000000</v>
      </c>
      <c r="P191" s="15">
        <f>IFERROR(__xludf.DUMMYFUNCTION("ARRAYFORMULA(VLOOKUP(A191,IMPORTRANGE(""https://docs.google.com/spreadsheets/d/1BuTWp7qHGjWhqrnf-OmePP568O4A5Am9ttzvVdP67zw/edit#gid=771602874"" ,""HUMAN RESOURCES!$A$2:$M$2692""), {2,3,4,5,6,7,8,9,10,11,12,13},0))"),0.018)</f>
        <v>0.018</v>
      </c>
      <c r="Q191" s="14">
        <f>IFERROR(__xludf.DUMMYFUNCTION("""COMPUTED_VALUE"""),0.009)</f>
        <v>0.009</v>
      </c>
      <c r="R191" s="14">
        <f>IFERROR(__xludf.DUMMYFUNCTION("""COMPUTED_VALUE"""),77.0)</f>
        <v>77</v>
      </c>
      <c r="S191" s="14">
        <f>IFERROR(__xludf.DUMMYFUNCTION("""COMPUTED_VALUE"""),75.0)</f>
        <v>75</v>
      </c>
      <c r="T191" s="14">
        <f>IFERROR(__xludf.DUMMYFUNCTION("""COMPUTED_VALUE"""),0.233)</f>
        <v>0.233</v>
      </c>
      <c r="U191" s="14">
        <f>IFERROR(__xludf.DUMMYFUNCTION("""COMPUTED_VALUE"""),0.746)</f>
        <v>0.746</v>
      </c>
      <c r="V191" s="14">
        <f>IFERROR(__xludf.DUMMYFUNCTION("""COMPUTED_VALUE"""),0.021)</f>
        <v>0.021</v>
      </c>
      <c r="W191" s="14">
        <f>IFERROR(__xludf.DUMMYFUNCTION("""COMPUTED_VALUE"""),1032353.0)</f>
        <v>1032353</v>
      </c>
      <c r="X191" s="14">
        <f>IFERROR(__xludf.DUMMYFUNCTION("""COMPUTED_VALUE"""),0.884)</f>
        <v>0.884</v>
      </c>
      <c r="Y191" s="14" t="str">
        <f>IFERROR(__xludf.DUMMYFUNCTION("""COMPUTED_VALUE"""),"Bahrain-Middle East")</f>
        <v>Bahrain-Middle East</v>
      </c>
      <c r="Z191" s="14" t="str">
        <f>IFERROR(__xludf.DUMMYFUNCTION("""COMPUTED_VALUE"""),"Middle East")</f>
        <v>Middle East</v>
      </c>
      <c r="AA191" s="14" t="str">
        <f>IFERROR(__xludf.DUMMYFUNCTION("""COMPUTED_VALUE"""),"2007")</f>
        <v>2007</v>
      </c>
      <c r="AB191" s="15" t="str">
        <f>IFERROR(__xludf.DUMMYFUNCTION("ARRAYFORMULA(VLOOKUP(A191,IMPORTRANGE(""https://docs.google.com/spreadsheets/d/1BuTWp7qHGjWhqrnf-OmePP568O4A5Am9ttzvVdP67zw/edit#gid=1931367683"" ,""ENERGY!$A$2:$F$2692""), {2,3,4,5,6},0))"),"Middle East")</f>
        <v>Middle East</v>
      </c>
      <c r="AC191" s="14" t="str">
        <f>IFERROR(__xludf.DUMMYFUNCTION("""COMPUTED_VALUE"""),"Bahrain-Middle East")</f>
        <v>Bahrain-Middle East</v>
      </c>
      <c r="AD191" s="14" t="str">
        <f>IFERROR(__xludf.DUMMYFUNCTION("""COMPUTED_VALUE"""),"2006")</f>
        <v>2006</v>
      </c>
      <c r="AE191" s="14">
        <f>IFERROR(__xludf.DUMMYFUNCTION("""COMPUTED_VALUE"""),7332.0)</f>
        <v>7332</v>
      </c>
      <c r="AF191" s="14">
        <f>IFERROR(__xludf.DUMMYFUNCTION("""COMPUTED_VALUE"""),19208.0)</f>
        <v>19208</v>
      </c>
    </row>
    <row r="192">
      <c r="A192" s="12">
        <v>191.0</v>
      </c>
      <c r="B192" s="12" t="s">
        <v>92</v>
      </c>
      <c r="C192" s="5" t="s">
        <v>93</v>
      </c>
      <c r="D192" s="11">
        <v>0.135</v>
      </c>
      <c r="E192" s="11">
        <v>9.0</v>
      </c>
      <c r="F192" s="8"/>
      <c r="G192" s="11">
        <v>36.0</v>
      </c>
      <c r="H192" s="11">
        <v>0.52</v>
      </c>
      <c r="I192" s="11">
        <v>1.291</v>
      </c>
      <c r="J192" s="9" t="s">
        <v>69</v>
      </c>
      <c r="K192" s="14" t="str">
        <f>IFERROR(__xludf.DUMMYFUNCTION("ARRAYFORMULA(VLOOKUP(A192,IMPORTRANGE(""https://docs.google.com/spreadsheets/d/1BuTWp7qHGjWhqrnf-OmePP568O4A5Am9ttzvVdP67zw/edit#gid=1603210130"", ""TOURISM!$A$2:$F$2692""), {2,3,4,5,6},0))"),"Middle East")</f>
        <v>Middle East</v>
      </c>
      <c r="L192" s="14">
        <f>IFERROR(__xludf.DUMMYFUNCTION("""COMPUTED_VALUE"""),1.927E9)</f>
        <v>1927000000</v>
      </c>
      <c r="M192" s="14" t="str">
        <f>IFERROR(__xludf.DUMMYFUNCTION("""COMPUTED_VALUE"""),"Bahrain-Middle East")</f>
        <v>Bahrain-Middle East</v>
      </c>
      <c r="N192" s="14" t="str">
        <f>IFERROR(__xludf.DUMMYFUNCTION("""COMPUTED_VALUE"""),"2008")</f>
        <v>2008</v>
      </c>
      <c r="O192" s="14">
        <f>IFERROR(__xludf.DUMMYFUNCTION("""COMPUTED_VALUE"""),7.04E8)</f>
        <v>704000000</v>
      </c>
      <c r="P192" s="15">
        <f>IFERROR(__xludf.DUMMYFUNCTION("ARRAYFORMULA(VLOOKUP(A192,IMPORTRANGE(""https://docs.google.com/spreadsheets/d/1BuTWp7qHGjWhqrnf-OmePP568O4A5Am9ttzvVdP67zw/edit#gid=771602874"" ,""HUMAN RESOURCES!$A$2:$M$2692""), {2,3,4,5,6,7,8,9,10,11,12,13},0))"),0.017)</f>
        <v>0.017</v>
      </c>
      <c r="Q192" s="14">
        <f>IFERROR(__xludf.DUMMYFUNCTION("""COMPUTED_VALUE"""),0.008)</f>
        <v>0.008</v>
      </c>
      <c r="R192" s="14">
        <f>IFERROR(__xludf.DUMMYFUNCTION("""COMPUTED_VALUE"""),77.0)</f>
        <v>77</v>
      </c>
      <c r="S192" s="14">
        <f>IFERROR(__xludf.DUMMYFUNCTION("""COMPUTED_VALUE"""),75.0)</f>
        <v>75</v>
      </c>
      <c r="T192" s="14">
        <f>IFERROR(__xludf.DUMMYFUNCTION("""COMPUTED_VALUE"""),0.217)</f>
        <v>0.217</v>
      </c>
      <c r="U192" s="14">
        <f>IFERROR(__xludf.DUMMYFUNCTION("""COMPUTED_VALUE"""),0.763)</f>
        <v>0.763</v>
      </c>
      <c r="V192" s="14">
        <f>IFERROR(__xludf.DUMMYFUNCTION("""COMPUTED_VALUE"""),0.021)</f>
        <v>0.021</v>
      </c>
      <c r="W192" s="14">
        <f>IFERROR(__xludf.DUMMYFUNCTION("""COMPUTED_VALUE"""),1116038.0)</f>
        <v>1116038</v>
      </c>
      <c r="X192" s="14">
        <f>IFERROR(__xludf.DUMMYFUNCTION("""COMPUTED_VALUE"""),0.885)</f>
        <v>0.885</v>
      </c>
      <c r="Y192" s="14" t="str">
        <f>IFERROR(__xludf.DUMMYFUNCTION("""COMPUTED_VALUE"""),"Bahrain-Middle East")</f>
        <v>Bahrain-Middle East</v>
      </c>
      <c r="Z192" s="14" t="str">
        <f>IFERROR(__xludf.DUMMYFUNCTION("""COMPUTED_VALUE"""),"Middle East")</f>
        <v>Middle East</v>
      </c>
      <c r="AA192" s="14" t="str">
        <f>IFERROR(__xludf.DUMMYFUNCTION("""COMPUTED_VALUE"""),"2008")</f>
        <v>2008</v>
      </c>
      <c r="AB192" s="15" t="str">
        <f>IFERROR(__xludf.DUMMYFUNCTION("ARRAYFORMULA(VLOOKUP(A192,IMPORTRANGE(""https://docs.google.com/spreadsheets/d/1BuTWp7qHGjWhqrnf-OmePP568O4A5Am9ttzvVdP67zw/edit#gid=1931367683"" ,""ENERGY!$A$2:$F$2692""), {2,3,4,5,6},0))"),"Middle East")</f>
        <v>Middle East</v>
      </c>
      <c r="AC192" s="14" t="str">
        <f>IFERROR(__xludf.DUMMYFUNCTION("""COMPUTED_VALUE"""),"Bahrain-Middle East")</f>
        <v>Bahrain-Middle East</v>
      </c>
      <c r="AD192" s="14" t="str">
        <f>IFERROR(__xludf.DUMMYFUNCTION("""COMPUTED_VALUE"""),"2012")</f>
        <v>2012</v>
      </c>
      <c r="AE192" s="14">
        <f>IFERROR(__xludf.DUMMYFUNCTION("""COMPUTED_VALUE"""),6970.0)</f>
        <v>6970</v>
      </c>
      <c r="AF192" s="14">
        <f>IFERROR(__xludf.DUMMYFUNCTION("""COMPUTED_VALUE"""),17510.0)</f>
        <v>17510</v>
      </c>
    </row>
    <row r="193">
      <c r="A193" s="12">
        <v>192.0</v>
      </c>
      <c r="B193" s="12" t="s">
        <v>92</v>
      </c>
      <c r="C193" s="5" t="s">
        <v>93</v>
      </c>
      <c r="D193" s="11">
        <v>0.135</v>
      </c>
      <c r="E193" s="11">
        <v>9.0</v>
      </c>
      <c r="F193" s="8"/>
      <c r="G193" s="11">
        <v>36.0</v>
      </c>
      <c r="H193" s="11">
        <v>0.53</v>
      </c>
      <c r="I193" s="11">
        <v>1.177</v>
      </c>
      <c r="J193" s="9" t="s">
        <v>70</v>
      </c>
      <c r="K193" s="14" t="str">
        <f>IFERROR(__xludf.DUMMYFUNCTION("ARRAYFORMULA(VLOOKUP(A193,IMPORTRANGE(""https://docs.google.com/spreadsheets/d/1BuTWp7qHGjWhqrnf-OmePP568O4A5Am9ttzvVdP67zw/edit#gid=1603210130"", ""TOURISM!$A$2:$F$2692""), {2,3,4,5,6},0))"),"Middle East")</f>
        <v>Middle East</v>
      </c>
      <c r="L193" s="14">
        <f>IFERROR(__xludf.DUMMYFUNCTION("""COMPUTED_VALUE"""),1.873E9)</f>
        <v>1873000000</v>
      </c>
      <c r="M193" s="14" t="str">
        <f>IFERROR(__xludf.DUMMYFUNCTION("""COMPUTED_VALUE"""),"Bahrain-Middle East")</f>
        <v>Bahrain-Middle East</v>
      </c>
      <c r="N193" s="14" t="str">
        <f>IFERROR(__xludf.DUMMYFUNCTION("""COMPUTED_VALUE"""),"2009")</f>
        <v>2009</v>
      </c>
      <c r="O193" s="14">
        <f>IFERROR(__xludf.DUMMYFUNCTION("""COMPUTED_VALUE"""),5.97E8)</f>
        <v>597000000</v>
      </c>
      <c r="P193" s="15">
        <f>IFERROR(__xludf.DUMMYFUNCTION("ARRAYFORMULA(VLOOKUP(A193,IMPORTRANGE(""https://docs.google.com/spreadsheets/d/1BuTWp7qHGjWhqrnf-OmePP568O4A5Am9ttzvVdP67zw/edit#gid=771602874"" ,""HUMAN RESOURCES!$A$2:$M$2692""), {2,3,4,5,6,7,8,9,10,11,12,13},0))"),0.017)</f>
        <v>0.017</v>
      </c>
      <c r="Q193" s="14">
        <f>IFERROR(__xludf.DUMMYFUNCTION("""COMPUTED_VALUE"""),0.007)</f>
        <v>0.007</v>
      </c>
      <c r="R193" s="14">
        <f>IFERROR(__xludf.DUMMYFUNCTION("""COMPUTED_VALUE"""),77.0)</f>
        <v>77</v>
      </c>
      <c r="S193" s="14">
        <f>IFERROR(__xludf.DUMMYFUNCTION("""COMPUTED_VALUE"""),75.0)</f>
        <v>75</v>
      </c>
      <c r="T193" s="14">
        <f>IFERROR(__xludf.DUMMYFUNCTION("""COMPUTED_VALUE"""),0.205)</f>
        <v>0.205</v>
      </c>
      <c r="U193" s="14">
        <f>IFERROR(__xludf.DUMMYFUNCTION("""COMPUTED_VALUE"""),0.775)</f>
        <v>0.775</v>
      </c>
      <c r="V193" s="14">
        <f>IFERROR(__xludf.DUMMYFUNCTION("""COMPUTED_VALUE"""),0.02)</f>
        <v>0.02</v>
      </c>
      <c r="W193" s="14">
        <f>IFERROR(__xludf.DUMMYFUNCTION("""COMPUTED_VALUE"""),1191539.0)</f>
        <v>1191539</v>
      </c>
      <c r="X193" s="14">
        <f>IFERROR(__xludf.DUMMYFUNCTION("""COMPUTED_VALUE"""),0.885)</f>
        <v>0.885</v>
      </c>
      <c r="Y193" s="14" t="str">
        <f>IFERROR(__xludf.DUMMYFUNCTION("""COMPUTED_VALUE"""),"Bahrain-Middle East")</f>
        <v>Bahrain-Middle East</v>
      </c>
      <c r="Z193" s="14" t="str">
        <f>IFERROR(__xludf.DUMMYFUNCTION("""COMPUTED_VALUE"""),"Middle East")</f>
        <v>Middle East</v>
      </c>
      <c r="AA193" s="14" t="str">
        <f>IFERROR(__xludf.DUMMYFUNCTION("""COMPUTED_VALUE"""),"2009")</f>
        <v>2009</v>
      </c>
      <c r="AB193" s="15" t="str">
        <f>IFERROR(__xludf.DUMMYFUNCTION("ARRAYFORMULA(VLOOKUP(A193,IMPORTRANGE(""https://docs.google.com/spreadsheets/d/1BuTWp7qHGjWhqrnf-OmePP568O4A5Am9ttzvVdP67zw/edit#gid=1931367683"" ,""ENERGY!$A$2:$F$2692""), {2,3,4,5,6},0))"),"Middle East")</f>
        <v>Middle East</v>
      </c>
      <c r="AC193" s="14" t="str">
        <f>IFERROR(__xludf.DUMMYFUNCTION("""COMPUTED_VALUE"""),"Bahrain-Middle East")</f>
        <v>Bahrain-Middle East</v>
      </c>
      <c r="AD193" s="14" t="str">
        <f>IFERROR(__xludf.DUMMYFUNCTION("""COMPUTED_VALUE"""),"2008")</f>
        <v>2008</v>
      </c>
      <c r="AE193" s="14">
        <f>IFERROR(__xludf.DUMMYFUNCTION("""COMPUTED_VALUE"""),6752.0)</f>
        <v>6752</v>
      </c>
      <c r="AF193" s="14">
        <f>IFERROR(__xludf.DUMMYFUNCTION("""COMPUTED_VALUE"""),16468.0)</f>
        <v>16468</v>
      </c>
    </row>
    <row r="194">
      <c r="A194" s="12">
        <v>193.0</v>
      </c>
      <c r="B194" s="12" t="s">
        <v>92</v>
      </c>
      <c r="C194" s="5" t="s">
        <v>93</v>
      </c>
      <c r="D194" s="11">
        <v>0.135</v>
      </c>
      <c r="E194" s="11">
        <v>9.0</v>
      </c>
      <c r="F194" s="8"/>
      <c r="G194" s="11">
        <v>36.0</v>
      </c>
      <c r="H194" s="11">
        <v>0.55</v>
      </c>
      <c r="I194" s="11">
        <v>1.252</v>
      </c>
      <c r="J194" s="9" t="s">
        <v>71</v>
      </c>
      <c r="K194" s="14" t="str">
        <f>IFERROR(__xludf.DUMMYFUNCTION("ARRAYFORMULA(VLOOKUP(A194,IMPORTRANGE(""https://docs.google.com/spreadsheets/d/1BuTWp7qHGjWhqrnf-OmePP568O4A5Am9ttzvVdP67zw/edit#gid=1603210130"", ""TOURISM!$A$2:$F$2692""), {2,3,4,5,6},0))"),"Middle East")</f>
        <v>Middle East</v>
      </c>
      <c r="L194" s="14">
        <f>IFERROR(__xludf.DUMMYFUNCTION("""COMPUTED_VALUE"""),2.163E9)</f>
        <v>2163000000</v>
      </c>
      <c r="M194" s="14" t="str">
        <f>IFERROR(__xludf.DUMMYFUNCTION("""COMPUTED_VALUE"""),"Bahrain-Middle East")</f>
        <v>Bahrain-Middle East</v>
      </c>
      <c r="N194" s="14" t="str">
        <f>IFERROR(__xludf.DUMMYFUNCTION("""COMPUTED_VALUE"""),"2010")</f>
        <v>2010</v>
      </c>
      <c r="O194" s="14">
        <f>IFERROR(__xludf.DUMMYFUNCTION("""COMPUTED_VALUE"""),6.84E8)</f>
        <v>684000000</v>
      </c>
      <c r="P194" s="15">
        <f>IFERROR(__xludf.DUMMYFUNCTION("ARRAYFORMULA(VLOOKUP(A194,IMPORTRANGE(""https://docs.google.com/spreadsheets/d/1BuTWp7qHGjWhqrnf-OmePP568O4A5Am9ttzvVdP67zw/edit#gid=771602874"" ,""HUMAN RESOURCES!$A$2:$M$2692""), {2,3,4,5,6,7,8,9,10,11,12,13},0))"),0.016)</f>
        <v>0.016</v>
      </c>
      <c r="Q194" s="14">
        <f>IFERROR(__xludf.DUMMYFUNCTION("""COMPUTED_VALUE"""),0.007)</f>
        <v>0.007</v>
      </c>
      <c r="R194" s="14">
        <f>IFERROR(__xludf.DUMMYFUNCTION("""COMPUTED_VALUE"""),77.0)</f>
        <v>77</v>
      </c>
      <c r="S194" s="14">
        <f>IFERROR(__xludf.DUMMYFUNCTION("""COMPUTED_VALUE"""),76.0)</f>
        <v>76</v>
      </c>
      <c r="T194" s="14">
        <f>IFERROR(__xludf.DUMMYFUNCTION("""COMPUTED_VALUE"""),0.199)</f>
        <v>0.199</v>
      </c>
      <c r="U194" s="14">
        <f>IFERROR(__xludf.DUMMYFUNCTION("""COMPUTED_VALUE"""),0.781)</f>
        <v>0.781</v>
      </c>
      <c r="V194" s="14">
        <f>IFERROR(__xludf.DUMMYFUNCTION("""COMPUTED_VALUE"""),0.02)</f>
        <v>0.02</v>
      </c>
      <c r="W194" s="14">
        <f>IFERROR(__xludf.DUMMYFUNCTION("""COMPUTED_VALUE"""),1251513.0)</f>
        <v>1251513</v>
      </c>
      <c r="X194" s="14">
        <f>IFERROR(__xludf.DUMMYFUNCTION("""COMPUTED_VALUE"""),0.885)</f>
        <v>0.885</v>
      </c>
      <c r="Y194" s="14" t="str">
        <f>IFERROR(__xludf.DUMMYFUNCTION("""COMPUTED_VALUE"""),"Bahrain-Middle East")</f>
        <v>Bahrain-Middle East</v>
      </c>
      <c r="Z194" s="14" t="str">
        <f>IFERROR(__xludf.DUMMYFUNCTION("""COMPUTED_VALUE"""),"Middle East")</f>
        <v>Middle East</v>
      </c>
      <c r="AA194" s="14" t="str">
        <f>IFERROR(__xludf.DUMMYFUNCTION("""COMPUTED_VALUE"""),"2010")</f>
        <v>2010</v>
      </c>
      <c r="AB194" s="15" t="str">
        <f>IFERROR(__xludf.DUMMYFUNCTION("ARRAYFORMULA(VLOOKUP(A194,IMPORTRANGE(""https://docs.google.com/spreadsheets/d/1BuTWp7qHGjWhqrnf-OmePP568O4A5Am9ttzvVdP67zw/edit#gid=1931367683"" ,""ENERGY!$A$2:$F$2692""), {2,3,4,5,6},0))"),"Middle East")</f>
        <v>Middle East</v>
      </c>
      <c r="AC194" s="14" t="str">
        <f>IFERROR(__xludf.DUMMYFUNCTION("""COMPUTED_VALUE"""),"Bahrain-Middle East")</f>
        <v>Bahrain-Middle East</v>
      </c>
      <c r="AD194" s="14" t="str">
        <f>IFERROR(__xludf.DUMMYFUNCTION("""COMPUTED_VALUE"""),"2005")</f>
        <v>2005</v>
      </c>
      <c r="AE194" s="14">
        <f>IFERROR(__xludf.DUMMYFUNCTION("""COMPUTED_VALUE"""),6433.0)</f>
        <v>6433</v>
      </c>
      <c r="AF194" s="14">
        <f>IFERROR(__xludf.DUMMYFUNCTION("""COMPUTED_VALUE"""),15698.0)</f>
        <v>15698</v>
      </c>
    </row>
    <row r="195">
      <c r="A195" s="12">
        <v>194.0</v>
      </c>
      <c r="B195" s="12" t="s">
        <v>92</v>
      </c>
      <c r="C195" s="5" t="s">
        <v>93</v>
      </c>
      <c r="D195" s="11">
        <v>0.135</v>
      </c>
      <c r="E195" s="11">
        <v>9.0</v>
      </c>
      <c r="F195" s="8"/>
      <c r="G195" s="11">
        <v>36.0</v>
      </c>
      <c r="H195" s="11">
        <v>0.77</v>
      </c>
      <c r="I195" s="11">
        <v>1.31</v>
      </c>
      <c r="J195" s="9" t="s">
        <v>72</v>
      </c>
      <c r="K195" s="14" t="str">
        <f>IFERROR(__xludf.DUMMYFUNCTION("ARRAYFORMULA(VLOOKUP(A195,IMPORTRANGE(""https://docs.google.com/spreadsheets/d/1BuTWp7qHGjWhqrnf-OmePP568O4A5Am9ttzvVdP67zw/edit#gid=1603210130"", ""TOURISM!$A$2:$F$2692""), {2,3,4,5,6},0))"),"Middle East")</f>
        <v>Middle East</v>
      </c>
      <c r="L195" s="14">
        <f>IFERROR(__xludf.DUMMYFUNCTION("""COMPUTED_VALUE"""),1.766E9)</f>
        <v>1766000000</v>
      </c>
      <c r="M195" s="14" t="str">
        <f>IFERROR(__xludf.DUMMYFUNCTION("""COMPUTED_VALUE"""),"Bahrain-Middle East")</f>
        <v>Bahrain-Middle East</v>
      </c>
      <c r="N195" s="14" t="str">
        <f>IFERROR(__xludf.DUMMYFUNCTION("""COMPUTED_VALUE"""),"2011")</f>
        <v>2011</v>
      </c>
      <c r="O195" s="14">
        <f>IFERROR(__xludf.DUMMYFUNCTION("""COMPUTED_VALUE"""),8.99E8)</f>
        <v>899000000</v>
      </c>
      <c r="P195" s="15">
        <f>IFERROR(__xludf.DUMMYFUNCTION("ARRAYFORMULA(VLOOKUP(A195,IMPORTRANGE(""https://docs.google.com/spreadsheets/d/1BuTWp7qHGjWhqrnf-OmePP568O4A5Am9ttzvVdP67zw/edit#gid=771602874"" ,""HUMAN RESOURCES!$A$2:$M$2692""), {2,3,4,5,6,7,8,9,10,11,12,13},0))"),0.016)</f>
        <v>0.016</v>
      </c>
      <c r="Q195" s="14">
        <f>IFERROR(__xludf.DUMMYFUNCTION("""COMPUTED_VALUE"""),0.006)</f>
        <v>0.006</v>
      </c>
      <c r="R195" s="14">
        <f>IFERROR(__xludf.DUMMYFUNCTION("""COMPUTED_VALUE"""),77.0)</f>
        <v>77</v>
      </c>
      <c r="S195" s="14">
        <f>IFERROR(__xludf.DUMMYFUNCTION("""COMPUTED_VALUE"""),76.0)</f>
        <v>76</v>
      </c>
      <c r="T195" s="14">
        <f>IFERROR(__xludf.DUMMYFUNCTION("""COMPUTED_VALUE"""),0.198)</f>
        <v>0.198</v>
      </c>
      <c r="U195" s="14">
        <f>IFERROR(__xludf.DUMMYFUNCTION("""COMPUTED_VALUE"""),0.781)</f>
        <v>0.781</v>
      </c>
      <c r="V195" s="14">
        <f>IFERROR(__xludf.DUMMYFUNCTION("""COMPUTED_VALUE"""),0.021)</f>
        <v>0.021</v>
      </c>
      <c r="W195" s="14">
        <f>IFERROR(__xludf.DUMMYFUNCTION("""COMPUTED_VALUE"""),1292764.0)</f>
        <v>1292764</v>
      </c>
      <c r="X195" s="14">
        <f>IFERROR(__xludf.DUMMYFUNCTION("""COMPUTED_VALUE"""),0.886)</f>
        <v>0.886</v>
      </c>
      <c r="Y195" s="14" t="str">
        <f>IFERROR(__xludf.DUMMYFUNCTION("""COMPUTED_VALUE"""),"Bahrain-Middle East")</f>
        <v>Bahrain-Middle East</v>
      </c>
      <c r="Z195" s="14" t="str">
        <f>IFERROR(__xludf.DUMMYFUNCTION("""COMPUTED_VALUE"""),"Middle East")</f>
        <v>Middle East</v>
      </c>
      <c r="AA195" s="14" t="str">
        <f>IFERROR(__xludf.DUMMYFUNCTION("""COMPUTED_VALUE"""),"2011")</f>
        <v>2011</v>
      </c>
      <c r="AB195" s="15" t="str">
        <f>IFERROR(__xludf.DUMMYFUNCTION("ARRAYFORMULA(VLOOKUP(A195,IMPORTRANGE(""https://docs.google.com/spreadsheets/d/1BuTWp7qHGjWhqrnf-OmePP568O4A5Am9ttzvVdP67zw/edit#gid=1931367683"" ,""ENERGY!$A$2:$F$2692""), {2,3,4,5,6},0))"),"Middle East")</f>
        <v>Middle East</v>
      </c>
      <c r="AC195" s="14" t="str">
        <f>IFERROR(__xludf.DUMMYFUNCTION("""COMPUTED_VALUE"""),"Bahrain-Middle East")</f>
        <v>Bahrain-Middle East</v>
      </c>
      <c r="AD195" s="14" t="str">
        <f>IFERROR(__xludf.DUMMYFUNCTION("""COMPUTED_VALUE"""),"2012")</f>
        <v>2012</v>
      </c>
      <c r="AE195" s="14">
        <f>IFERROR(__xludf.DUMMYFUNCTION("""COMPUTED_VALUE"""),6069.0)</f>
        <v>6069</v>
      </c>
      <c r="AF195" s="14">
        <f>IFERROR(__xludf.DUMMYFUNCTION("""COMPUTED_VALUE"""),13927.0)</f>
        <v>13927</v>
      </c>
    </row>
    <row r="196">
      <c r="A196" s="12">
        <v>195.0</v>
      </c>
      <c r="B196" s="12" t="s">
        <v>92</v>
      </c>
      <c r="C196" s="5" t="s">
        <v>93</v>
      </c>
      <c r="D196" s="11">
        <v>0.135</v>
      </c>
      <c r="E196" s="11">
        <v>9.0</v>
      </c>
      <c r="F196" s="11">
        <v>47.0</v>
      </c>
      <c r="G196" s="11">
        <v>36.0</v>
      </c>
      <c r="H196" s="11">
        <v>0.88</v>
      </c>
      <c r="I196" s="11">
        <v>1.612</v>
      </c>
      <c r="J196" s="9" t="s">
        <v>73</v>
      </c>
      <c r="K196" s="14" t="str">
        <f>IFERROR(__xludf.DUMMYFUNCTION("ARRAYFORMULA(VLOOKUP(A196,IMPORTRANGE(""https://docs.google.com/spreadsheets/d/1BuTWp7qHGjWhqrnf-OmePP568O4A5Am9ttzvVdP67zw/edit#gid=1603210130"", ""TOURISM!$A$2:$F$2692""), {2,3,4,5,6},0))"),"Middle East")</f>
        <v>Middle East</v>
      </c>
      <c r="L196" s="14">
        <f>IFERROR(__xludf.DUMMYFUNCTION("""COMPUTED_VALUE"""),1.742E9)</f>
        <v>1742000000</v>
      </c>
      <c r="M196" s="14" t="str">
        <f>IFERROR(__xludf.DUMMYFUNCTION("""COMPUTED_VALUE"""),"Bahrain-Middle East")</f>
        <v>Bahrain-Middle East</v>
      </c>
      <c r="N196" s="14" t="str">
        <f>IFERROR(__xludf.DUMMYFUNCTION("""COMPUTED_VALUE"""),"2012")</f>
        <v>2012</v>
      </c>
      <c r="O196" s="14">
        <f>IFERROR(__xludf.DUMMYFUNCTION("""COMPUTED_VALUE"""),8.89E8)</f>
        <v>889000000</v>
      </c>
      <c r="P196" s="15">
        <f>IFERROR(__xludf.DUMMYFUNCTION("ARRAYFORMULA(VLOOKUP(A196,IMPORTRANGE(""https://docs.google.com/spreadsheets/d/1BuTWp7qHGjWhqrnf-OmePP568O4A5Am9ttzvVdP67zw/edit#gid=771602874"" ,""HUMAN RESOURCES!$A$2:$M$2692""), {2,3,4,5,6,7,8,9,10,11,12,13},0))"),0.016)</f>
        <v>0.016</v>
      </c>
      <c r="Q196" s="14">
        <f>IFERROR(__xludf.DUMMYFUNCTION("""COMPUTED_VALUE"""),0.006)</f>
        <v>0.006</v>
      </c>
      <c r="R196" s="14">
        <f>IFERROR(__xludf.DUMMYFUNCTION("""COMPUTED_VALUE"""),77.0)</f>
        <v>77</v>
      </c>
      <c r="S196" s="14">
        <f>IFERROR(__xludf.DUMMYFUNCTION("""COMPUTED_VALUE"""),76.0)</f>
        <v>76</v>
      </c>
      <c r="T196" s="14">
        <f>IFERROR(__xludf.DUMMYFUNCTION("""COMPUTED_VALUE"""),0.202)</f>
        <v>0.202</v>
      </c>
      <c r="U196" s="14">
        <f>IFERROR(__xludf.DUMMYFUNCTION("""COMPUTED_VALUE"""),0.777)</f>
        <v>0.777</v>
      </c>
      <c r="V196" s="14">
        <f>IFERROR(__xludf.DUMMYFUNCTION("""COMPUTED_VALUE"""),0.021)</f>
        <v>0.021</v>
      </c>
      <c r="W196" s="14">
        <f>IFERROR(__xludf.DUMMYFUNCTION("""COMPUTED_VALUE"""),1317827.0)</f>
        <v>1317827</v>
      </c>
      <c r="X196" s="14">
        <f>IFERROR(__xludf.DUMMYFUNCTION("""COMPUTED_VALUE"""),0.886)</f>
        <v>0.886</v>
      </c>
      <c r="Y196" s="14" t="str">
        <f>IFERROR(__xludf.DUMMYFUNCTION("""COMPUTED_VALUE"""),"Bahrain-Middle East")</f>
        <v>Bahrain-Middle East</v>
      </c>
      <c r="Z196" s="14" t="str">
        <f>IFERROR(__xludf.DUMMYFUNCTION("""COMPUTED_VALUE"""),"Middle East")</f>
        <v>Middle East</v>
      </c>
      <c r="AA196" s="14" t="str">
        <f>IFERROR(__xludf.DUMMYFUNCTION("""COMPUTED_VALUE"""),"2012")</f>
        <v>2012</v>
      </c>
      <c r="AB196" s="15" t="str">
        <f>IFERROR(__xludf.DUMMYFUNCTION("ARRAYFORMULA(VLOOKUP(A196,IMPORTRANGE(""https://docs.google.com/spreadsheets/d/1BuTWp7qHGjWhqrnf-OmePP568O4A5Am9ttzvVdP67zw/edit#gid=1931367683"" ,""ENERGY!$A$2:$F$2692""), {2,3,4,5,6},0))"),"Middle East")</f>
        <v>Middle East</v>
      </c>
      <c r="AC196" s="14" t="str">
        <f>IFERROR(__xludf.DUMMYFUNCTION("""COMPUTED_VALUE"""),"Bahrain-Middle East")</f>
        <v>Bahrain-Middle East</v>
      </c>
      <c r="AD196" s="14" t="str">
        <f>IFERROR(__xludf.DUMMYFUNCTION("""COMPUTED_VALUE"""),"2008")</f>
        <v>2008</v>
      </c>
      <c r="AE196" s="14">
        <f>IFERROR(__xludf.DUMMYFUNCTION("""COMPUTED_VALUE"""),5865.0)</f>
        <v>5865</v>
      </c>
      <c r="AF196" s="14">
        <f>IFERROR(__xludf.DUMMYFUNCTION("""COMPUTED_VALUE"""),18643.0)</f>
        <v>18643</v>
      </c>
    </row>
    <row r="197">
      <c r="A197" s="12">
        <v>196.0</v>
      </c>
      <c r="B197" s="12" t="s">
        <v>94</v>
      </c>
      <c r="C197" s="5" t="s">
        <v>61</v>
      </c>
      <c r="D197" s="8"/>
      <c r="E197" s="8"/>
      <c r="F197" s="8"/>
      <c r="G197" s="8"/>
      <c r="H197" s="11">
        <v>0.001</v>
      </c>
      <c r="I197" s="11">
        <v>0.002</v>
      </c>
      <c r="J197" s="9" t="s">
        <v>60</v>
      </c>
      <c r="K197" s="14" t="str">
        <f>IFERROR(__xludf.DUMMYFUNCTION("ARRAYFORMULA(VLOOKUP(A197,IMPORTRANGE(""https://docs.google.com/spreadsheets/d/1BuTWp7qHGjWhqrnf-OmePP568O4A5Am9ttzvVdP67zw/edit#gid=1603210130"", ""TOURISM!$A$2:$F$2692""), {2,3,4,5,6},0))"),"Asia")</f>
        <v>Asia</v>
      </c>
      <c r="L197" s="14">
        <f>IFERROR(__xludf.DUMMYFUNCTION("""COMPUTED_VALUE"""),5.0E7)</f>
        <v>50000000</v>
      </c>
      <c r="M197" s="14" t="str">
        <f>IFERROR(__xludf.DUMMYFUNCTION("""COMPUTED_VALUE"""),"Bangladesh-Asia")</f>
        <v>Bangladesh-Asia</v>
      </c>
      <c r="N197" s="14" t="str">
        <f>IFERROR(__xludf.DUMMYFUNCTION("""COMPUTED_VALUE"""),"2000")</f>
        <v>2000</v>
      </c>
      <c r="O197" s="14">
        <f>IFERROR(__xludf.DUMMYFUNCTION("""COMPUTED_VALUE"""),4.71E8)</f>
        <v>471000000</v>
      </c>
      <c r="P197" s="15">
        <f>IFERROR(__xludf.DUMMYFUNCTION("ARRAYFORMULA(VLOOKUP(A197,IMPORTRANGE(""https://docs.google.com/spreadsheets/d/1BuTWp7qHGjWhqrnf-OmePP568O4A5Am9ttzvVdP67zw/edit#gid=771602874"" ,""HUMAN RESOURCES!$A$2:$M$2692""), {2,3,4,5,6,7,8,9,10,11,12,13},0))"),0.027)</f>
        <v>0.027</v>
      </c>
      <c r="Q197" s="14">
        <f>IFERROR(__xludf.DUMMYFUNCTION("""COMPUTED_VALUE"""),0.064)</f>
        <v>0.064</v>
      </c>
      <c r="R197" s="14">
        <f>IFERROR(__xludf.DUMMYFUNCTION("""COMPUTED_VALUE"""),66.0)</f>
        <v>66</v>
      </c>
      <c r="S197" s="14">
        <f>IFERROR(__xludf.DUMMYFUNCTION("""COMPUTED_VALUE"""),65.0)</f>
        <v>65</v>
      </c>
      <c r="T197" s="14">
        <f>IFERROR(__xludf.DUMMYFUNCTION("""COMPUTED_VALUE"""),0.37)</f>
        <v>0.37</v>
      </c>
      <c r="U197" s="14">
        <f>IFERROR(__xludf.DUMMYFUNCTION("""COMPUTED_VALUE"""),0.59)</f>
        <v>0.59</v>
      </c>
      <c r="V197" s="14">
        <f>IFERROR(__xludf.DUMMYFUNCTION("""COMPUTED_VALUE"""),0.041)</f>
        <v>0.041</v>
      </c>
      <c r="W197" s="14">
        <f>IFERROR(__xludf.DUMMYFUNCTION("""COMPUTED_VALUE"""),1.32383265E8)</f>
        <v>132383265</v>
      </c>
      <c r="X197" s="14">
        <f>IFERROR(__xludf.DUMMYFUNCTION("""COMPUTED_VALUE"""),0.236)</f>
        <v>0.236</v>
      </c>
      <c r="Y197" s="14" t="str">
        <f>IFERROR(__xludf.DUMMYFUNCTION("""COMPUTED_VALUE"""),"Bangladesh-Asia")</f>
        <v>Bangladesh-Asia</v>
      </c>
      <c r="Z197" s="14" t="str">
        <f>IFERROR(__xludf.DUMMYFUNCTION("""COMPUTED_VALUE"""),"Asia")</f>
        <v>Asia</v>
      </c>
      <c r="AA197" s="14" t="str">
        <f>IFERROR(__xludf.DUMMYFUNCTION("""COMPUTED_VALUE"""),"2000")</f>
        <v>2000</v>
      </c>
      <c r="AB197" s="15" t="str">
        <f>IFERROR(__xludf.DUMMYFUNCTION("ARRAYFORMULA(VLOOKUP(A197,IMPORTRANGE(""https://docs.google.com/spreadsheets/d/1BuTWp7qHGjWhqrnf-OmePP568O4A5Am9ttzvVdP67zw/edit#gid=1931367683"" ,""ENERGY!$A$2:$F$2692""), {2,3,4,5,6},0))"),"Asia")</f>
        <v>Asia</v>
      </c>
      <c r="AC197" s="14" t="str">
        <f>IFERROR(__xludf.DUMMYFUNCTION("""COMPUTED_VALUE"""),"Bangladesh-Asia")</f>
        <v>Bangladesh-Asia</v>
      </c>
      <c r="AD197" s="14" t="str">
        <f>IFERROR(__xludf.DUMMYFUNCTION("""COMPUTED_VALUE"""),"2000")</f>
        <v>2000</v>
      </c>
      <c r="AE197" s="14"/>
      <c r="AF197" s="14"/>
    </row>
    <row r="198">
      <c r="A198" s="12">
        <v>197.0</v>
      </c>
      <c r="B198" s="12" t="s">
        <v>94</v>
      </c>
      <c r="C198" s="5" t="s">
        <v>61</v>
      </c>
      <c r="D198" s="8"/>
      <c r="E198" s="8"/>
      <c r="F198" s="8"/>
      <c r="G198" s="8"/>
      <c r="H198" s="11">
        <v>0.001</v>
      </c>
      <c r="I198" s="11">
        <v>0.004</v>
      </c>
      <c r="J198" s="9" t="s">
        <v>62</v>
      </c>
      <c r="K198" s="14" t="str">
        <f>IFERROR(__xludf.DUMMYFUNCTION("ARRAYFORMULA(VLOOKUP(A198,IMPORTRANGE(""https://docs.google.com/spreadsheets/d/1BuTWp7qHGjWhqrnf-OmePP568O4A5Am9ttzvVdP67zw/edit#gid=1603210130"", ""TOURISM!$A$2:$F$2692""), {2,3,4,5,6},0))"),"Asia")</f>
        <v>Asia</v>
      </c>
      <c r="L198" s="14">
        <f>IFERROR(__xludf.DUMMYFUNCTION("""COMPUTED_VALUE"""),4.8E7)</f>
        <v>48000000</v>
      </c>
      <c r="M198" s="14" t="str">
        <f>IFERROR(__xludf.DUMMYFUNCTION("""COMPUTED_VALUE"""),"Bangladesh-Asia")</f>
        <v>Bangladesh-Asia</v>
      </c>
      <c r="N198" s="14" t="str">
        <f>IFERROR(__xludf.DUMMYFUNCTION("""COMPUTED_VALUE"""),"2001")</f>
        <v>2001</v>
      </c>
      <c r="O198" s="14">
        <f>IFERROR(__xludf.DUMMYFUNCTION("""COMPUTED_VALUE"""),3.41E8)</f>
        <v>341000000</v>
      </c>
      <c r="P198" s="15">
        <f>IFERROR(__xludf.DUMMYFUNCTION("ARRAYFORMULA(VLOOKUP(A198,IMPORTRANGE(""https://docs.google.com/spreadsheets/d/1BuTWp7qHGjWhqrnf-OmePP568O4A5Am9ttzvVdP67zw/edit#gid=771602874"" ,""HUMAN RESOURCES!$A$2:$M$2692""), {2,3,4,5,6,7,8,9,10,11,12,13},0))"),0.026)</f>
        <v>0.026</v>
      </c>
      <c r="Q198" s="14">
        <f>IFERROR(__xludf.DUMMYFUNCTION("""COMPUTED_VALUE"""),0.062)</f>
        <v>0.062</v>
      </c>
      <c r="R198" s="14">
        <f>IFERROR(__xludf.DUMMYFUNCTION("""COMPUTED_VALUE"""),66.0)</f>
        <v>66</v>
      </c>
      <c r="S198" s="14">
        <f>IFERROR(__xludf.DUMMYFUNCTION("""COMPUTED_VALUE"""),66.0)</f>
        <v>66</v>
      </c>
      <c r="T198" s="14">
        <f>IFERROR(__xludf.DUMMYFUNCTION("""COMPUTED_VALUE"""),0.364)</f>
        <v>0.364</v>
      </c>
      <c r="U198" s="14">
        <f>IFERROR(__xludf.DUMMYFUNCTION("""COMPUTED_VALUE"""),0.595)</f>
        <v>0.595</v>
      </c>
      <c r="V198" s="14">
        <f>IFERROR(__xludf.DUMMYFUNCTION("""COMPUTED_VALUE"""),0.041)</f>
        <v>0.041</v>
      </c>
      <c r="W198" s="14">
        <f>IFERROR(__xludf.DUMMYFUNCTION("""COMPUTED_VALUE"""),1.34729503E8)</f>
        <v>134729503</v>
      </c>
      <c r="X198" s="14">
        <f>IFERROR(__xludf.DUMMYFUNCTION("""COMPUTED_VALUE"""),0.241)</f>
        <v>0.241</v>
      </c>
      <c r="Y198" s="14" t="str">
        <f>IFERROR(__xludf.DUMMYFUNCTION("""COMPUTED_VALUE"""),"Bangladesh-Asia")</f>
        <v>Bangladesh-Asia</v>
      </c>
      <c r="Z198" s="14" t="str">
        <f>IFERROR(__xludf.DUMMYFUNCTION("""COMPUTED_VALUE"""),"Asia")</f>
        <v>Asia</v>
      </c>
      <c r="AA198" s="14" t="str">
        <f>IFERROR(__xludf.DUMMYFUNCTION("""COMPUTED_VALUE"""),"2001")</f>
        <v>2001</v>
      </c>
      <c r="AB198" s="15" t="str">
        <f>IFERROR(__xludf.DUMMYFUNCTION("ARRAYFORMULA(VLOOKUP(A198,IMPORTRANGE(""https://docs.google.com/spreadsheets/d/1BuTWp7qHGjWhqrnf-OmePP568O4A5Am9ttzvVdP67zw/edit#gid=1931367683"" ,""ENERGY!$A$2:$F$2692""), {2,3,4,5,6},0))"),"Asia")</f>
        <v>Asia</v>
      </c>
      <c r="AC198" s="14" t="str">
        <f>IFERROR(__xludf.DUMMYFUNCTION("""COMPUTED_VALUE"""),"Bangladesh-Asia")</f>
        <v>Bangladesh-Asia</v>
      </c>
      <c r="AD198" s="14" t="str">
        <f>IFERROR(__xludf.DUMMYFUNCTION("""COMPUTED_VALUE"""),"2001")</f>
        <v>2001</v>
      </c>
      <c r="AE198" s="14">
        <f>IFERROR(__xludf.DUMMYFUNCTION("""COMPUTED_VALUE"""),31294.0)</f>
        <v>31294</v>
      </c>
      <c r="AF198" s="14"/>
    </row>
    <row r="199">
      <c r="A199" s="12">
        <v>198.0</v>
      </c>
      <c r="B199" s="12" t="s">
        <v>94</v>
      </c>
      <c r="C199" s="5" t="s">
        <v>61</v>
      </c>
      <c r="D199" s="8"/>
      <c r="E199" s="8"/>
      <c r="F199" s="8"/>
      <c r="G199" s="8"/>
      <c r="H199" s="11">
        <v>0.001</v>
      </c>
      <c r="I199" s="11">
        <v>0.008</v>
      </c>
      <c r="J199" s="9" t="s">
        <v>63</v>
      </c>
      <c r="K199" s="14" t="str">
        <f>IFERROR(__xludf.DUMMYFUNCTION("ARRAYFORMULA(VLOOKUP(A199,IMPORTRANGE(""https://docs.google.com/spreadsheets/d/1BuTWp7qHGjWhqrnf-OmePP568O4A5Am9ttzvVdP67zw/edit#gid=1603210130"", ""TOURISM!$A$2:$F$2692""), {2,3,4,5,6},0))"),"Asia")</f>
        <v>Asia</v>
      </c>
      <c r="L199" s="14">
        <f>IFERROR(__xludf.DUMMYFUNCTION("""COMPUTED_VALUE"""),5.9E7)</f>
        <v>59000000</v>
      </c>
      <c r="M199" s="14" t="str">
        <f>IFERROR(__xludf.DUMMYFUNCTION("""COMPUTED_VALUE"""),"Bangladesh-Asia")</f>
        <v>Bangladesh-Asia</v>
      </c>
      <c r="N199" s="14" t="str">
        <f>IFERROR(__xludf.DUMMYFUNCTION("""COMPUTED_VALUE"""),"2002")</f>
        <v>2002</v>
      </c>
      <c r="O199" s="14">
        <f>IFERROR(__xludf.DUMMYFUNCTION("""COMPUTED_VALUE"""),3.09E8)</f>
        <v>309000000</v>
      </c>
      <c r="P199" s="15">
        <f>IFERROR(__xludf.DUMMYFUNCTION("ARRAYFORMULA(VLOOKUP(A199,IMPORTRANGE(""https://docs.google.com/spreadsheets/d/1BuTWp7qHGjWhqrnf-OmePP568O4A5Am9ttzvVdP67zw/edit#gid=771602874"" ,""HUMAN RESOURCES!$A$2:$M$2692""), {2,3,4,5,6,7,8,9,10,11,12,13},0))"),0.026)</f>
        <v>0.026</v>
      </c>
      <c r="Q199" s="14">
        <f>IFERROR(__xludf.DUMMYFUNCTION("""COMPUTED_VALUE"""),0.059)</f>
        <v>0.059</v>
      </c>
      <c r="R199" s="14">
        <f>IFERROR(__xludf.DUMMYFUNCTION("""COMPUTED_VALUE"""),67.0)</f>
        <v>67</v>
      </c>
      <c r="S199" s="14">
        <f>IFERROR(__xludf.DUMMYFUNCTION("""COMPUTED_VALUE"""),66.0)</f>
        <v>66</v>
      </c>
      <c r="T199" s="14">
        <f>IFERROR(__xludf.DUMMYFUNCTION("""COMPUTED_VALUE"""),0.359)</f>
        <v>0.359</v>
      </c>
      <c r="U199" s="14">
        <f>IFERROR(__xludf.DUMMYFUNCTION("""COMPUTED_VALUE"""),0.6)</f>
        <v>0.6</v>
      </c>
      <c r="V199" s="14">
        <f>IFERROR(__xludf.DUMMYFUNCTION("""COMPUTED_VALUE"""),0.041)</f>
        <v>0.041</v>
      </c>
      <c r="W199" s="14">
        <f>IFERROR(__xludf.DUMMYFUNCTION("""COMPUTED_VALUE"""),1.37006279E8)</f>
        <v>137006279</v>
      </c>
      <c r="X199" s="14">
        <f>IFERROR(__xludf.DUMMYFUNCTION("""COMPUTED_VALUE"""),0.248)</f>
        <v>0.248</v>
      </c>
      <c r="Y199" s="14" t="str">
        <f>IFERROR(__xludf.DUMMYFUNCTION("""COMPUTED_VALUE"""),"Bangladesh-Asia")</f>
        <v>Bangladesh-Asia</v>
      </c>
      <c r="Z199" s="14" t="str">
        <f>IFERROR(__xludf.DUMMYFUNCTION("""COMPUTED_VALUE"""),"Asia")</f>
        <v>Asia</v>
      </c>
      <c r="AA199" s="14" t="str">
        <f>IFERROR(__xludf.DUMMYFUNCTION("""COMPUTED_VALUE"""),"2002")</f>
        <v>2002</v>
      </c>
      <c r="AB199" s="15" t="str">
        <f>IFERROR(__xludf.DUMMYFUNCTION("ARRAYFORMULA(VLOOKUP(A199,IMPORTRANGE(""https://docs.google.com/spreadsheets/d/1BuTWp7qHGjWhqrnf-OmePP568O4A5Am9ttzvVdP67zw/edit#gid=1931367683"" ,""ENERGY!$A$2:$F$2692""), {2,3,4,5,6},0))"),"Asia")</f>
        <v>Asia</v>
      </c>
      <c r="AC199" s="14" t="str">
        <f>IFERROR(__xludf.DUMMYFUNCTION("""COMPUTED_VALUE"""),"Bangladesh-Asia")</f>
        <v>Bangladesh-Asia</v>
      </c>
      <c r="AD199" s="14" t="str">
        <f>IFERROR(__xludf.DUMMYFUNCTION("""COMPUTED_VALUE"""),"2002")</f>
        <v>2002</v>
      </c>
      <c r="AE199" s="14">
        <f>IFERROR(__xludf.DUMMYFUNCTION("""COMPUTED_VALUE"""),30756.0)</f>
        <v>30756</v>
      </c>
      <c r="AF199" s="14">
        <f>IFERROR(__xludf.DUMMYFUNCTION("""COMPUTED_VALUE"""),56153.0)</f>
        <v>56153</v>
      </c>
    </row>
    <row r="200">
      <c r="A200" s="12">
        <v>199.0</v>
      </c>
      <c r="B200" s="12" t="s">
        <v>94</v>
      </c>
      <c r="C200" s="5" t="s">
        <v>61</v>
      </c>
      <c r="D200" s="8"/>
      <c r="E200" s="11">
        <v>50.0</v>
      </c>
      <c r="F200" s="8"/>
      <c r="G200" s="8"/>
      <c r="H200" s="11">
        <v>0.002</v>
      </c>
      <c r="I200" s="11">
        <v>0.01</v>
      </c>
      <c r="J200" s="9" t="s">
        <v>64</v>
      </c>
      <c r="K200" s="14" t="str">
        <f>IFERROR(__xludf.DUMMYFUNCTION("ARRAYFORMULA(VLOOKUP(A200,IMPORTRANGE(""https://docs.google.com/spreadsheets/d/1BuTWp7qHGjWhqrnf-OmePP568O4A5Am9ttzvVdP67zw/edit#gid=1603210130"", ""TOURISM!$A$2:$F$2692""), {2,3,4,5,6},0))"),"Asia")</f>
        <v>Asia</v>
      </c>
      <c r="L200" s="14">
        <f>IFERROR(__xludf.DUMMYFUNCTION("""COMPUTED_VALUE"""),5.9E7)</f>
        <v>59000000</v>
      </c>
      <c r="M200" s="14" t="str">
        <f>IFERROR(__xludf.DUMMYFUNCTION("""COMPUTED_VALUE"""),"Bangladesh-Asia")</f>
        <v>Bangladesh-Asia</v>
      </c>
      <c r="N200" s="14" t="str">
        <f>IFERROR(__xludf.DUMMYFUNCTION("""COMPUTED_VALUE"""),"2003")</f>
        <v>2003</v>
      </c>
      <c r="O200" s="14">
        <f>IFERROR(__xludf.DUMMYFUNCTION("""COMPUTED_VALUE"""),3.89E8)</f>
        <v>389000000</v>
      </c>
      <c r="P200" s="15">
        <f>IFERROR(__xludf.DUMMYFUNCTION("ARRAYFORMULA(VLOOKUP(A200,IMPORTRANGE(""https://docs.google.com/spreadsheets/d/1BuTWp7qHGjWhqrnf-OmePP568O4A5Am9ttzvVdP67zw/edit#gid=771602874"" ,""HUMAN RESOURCES!$A$2:$M$2692""), {2,3,4,5,6,7,8,9,10,11,12,13},0))"),0.025)</f>
        <v>0.025</v>
      </c>
      <c r="Q200" s="14">
        <f>IFERROR(__xludf.DUMMYFUNCTION("""COMPUTED_VALUE"""),0.056)</f>
        <v>0.056</v>
      </c>
      <c r="R200" s="14">
        <f>IFERROR(__xludf.DUMMYFUNCTION("""COMPUTED_VALUE"""),67.0)</f>
        <v>67</v>
      </c>
      <c r="S200" s="14">
        <f>IFERROR(__xludf.DUMMYFUNCTION("""COMPUTED_VALUE"""),66.0)</f>
        <v>66</v>
      </c>
      <c r="T200" s="14">
        <f>IFERROR(__xludf.DUMMYFUNCTION("""COMPUTED_VALUE"""),0.354)</f>
        <v>0.354</v>
      </c>
      <c r="U200" s="14">
        <f>IFERROR(__xludf.DUMMYFUNCTION("""COMPUTED_VALUE"""),0.605)</f>
        <v>0.605</v>
      </c>
      <c r="V200" s="14">
        <f>IFERROR(__xludf.DUMMYFUNCTION("""COMPUTED_VALUE"""),0.042)</f>
        <v>0.042</v>
      </c>
      <c r="W200" s="14">
        <f>IFERROR(__xludf.DUMMYFUNCTION("""COMPUTED_VALUE"""),1.39185986E8)</f>
        <v>139185986</v>
      </c>
      <c r="X200" s="14">
        <f>IFERROR(__xludf.DUMMYFUNCTION("""COMPUTED_VALUE"""),0.254)</f>
        <v>0.254</v>
      </c>
      <c r="Y200" s="14" t="str">
        <f>IFERROR(__xludf.DUMMYFUNCTION("""COMPUTED_VALUE"""),"Bangladesh-Asia")</f>
        <v>Bangladesh-Asia</v>
      </c>
      <c r="Z200" s="14" t="str">
        <f>IFERROR(__xludf.DUMMYFUNCTION("""COMPUTED_VALUE"""),"Asia")</f>
        <v>Asia</v>
      </c>
      <c r="AA200" s="14" t="str">
        <f>IFERROR(__xludf.DUMMYFUNCTION("""COMPUTED_VALUE"""),"2003")</f>
        <v>2003</v>
      </c>
      <c r="AB200" s="15" t="str">
        <f>IFERROR(__xludf.DUMMYFUNCTION("ARRAYFORMULA(VLOOKUP(A200,IMPORTRANGE(""https://docs.google.com/spreadsheets/d/1BuTWp7qHGjWhqrnf-OmePP568O4A5Am9ttzvVdP67zw/edit#gid=1931367683"" ,""ENERGY!$A$2:$F$2692""), {2,3,4,5,6},0))"),"Asia")</f>
        <v>Asia</v>
      </c>
      <c r="AC200" s="14" t="str">
        <f>IFERROR(__xludf.DUMMYFUNCTION("""COMPUTED_VALUE"""),"Bangladesh-Asia")</f>
        <v>Bangladesh-Asia</v>
      </c>
      <c r="AD200" s="14" t="str">
        <f>IFERROR(__xludf.DUMMYFUNCTION("""COMPUTED_VALUE"""),"2003")</f>
        <v>2003</v>
      </c>
      <c r="AE200" s="14">
        <f>IFERROR(__xludf.DUMMYFUNCTION("""COMPUTED_VALUE"""),29131.0)</f>
        <v>29131</v>
      </c>
      <c r="AF200" s="14">
        <f>IFERROR(__xludf.DUMMYFUNCTION("""COMPUTED_VALUE"""),52328.0)</f>
        <v>52328</v>
      </c>
    </row>
    <row r="201">
      <c r="A201" s="12">
        <v>200.0</v>
      </c>
      <c r="B201" s="12" t="s">
        <v>94</v>
      </c>
      <c r="C201" s="5" t="s">
        <v>61</v>
      </c>
      <c r="D201" s="8"/>
      <c r="E201" s="11">
        <v>50.0</v>
      </c>
      <c r="F201" s="8"/>
      <c r="G201" s="8"/>
      <c r="H201" s="11">
        <v>0.002</v>
      </c>
      <c r="I201" s="11">
        <v>0.02</v>
      </c>
      <c r="J201" s="9" t="s">
        <v>65</v>
      </c>
      <c r="K201" s="14" t="str">
        <f>IFERROR(__xludf.DUMMYFUNCTION("ARRAYFORMULA(VLOOKUP(A201,IMPORTRANGE(""https://docs.google.com/spreadsheets/d/1BuTWp7qHGjWhqrnf-OmePP568O4A5Am9ttzvVdP67zw/edit#gid=1603210130"", ""TOURISM!$A$2:$F$2692""), {2,3,4,5,6},0))"),"Asia")</f>
        <v>Asia</v>
      </c>
      <c r="L201" s="14">
        <f>IFERROR(__xludf.DUMMYFUNCTION("""COMPUTED_VALUE"""),7.6E7)</f>
        <v>76000000</v>
      </c>
      <c r="M201" s="14" t="str">
        <f>IFERROR(__xludf.DUMMYFUNCTION("""COMPUTED_VALUE"""),"Bangladesh-Asia")</f>
        <v>Bangladesh-Asia</v>
      </c>
      <c r="N201" s="14" t="str">
        <f>IFERROR(__xludf.DUMMYFUNCTION("""COMPUTED_VALUE"""),"2004")</f>
        <v>2004</v>
      </c>
      <c r="O201" s="14">
        <f>IFERROR(__xludf.DUMMYFUNCTION("""COMPUTED_VALUE"""),4.42E8)</f>
        <v>442000000</v>
      </c>
      <c r="P201" s="15">
        <f>IFERROR(__xludf.DUMMYFUNCTION("ARRAYFORMULA(VLOOKUP(A201,IMPORTRANGE(""https://docs.google.com/spreadsheets/d/1BuTWp7qHGjWhqrnf-OmePP568O4A5Am9ttzvVdP67zw/edit#gid=771602874"" ,""HUMAN RESOURCES!$A$2:$M$2692""), {2,3,4,5,6,7,8,9,10,11,12,13},0))"),0.024)</f>
        <v>0.024</v>
      </c>
      <c r="Q201" s="14">
        <f>IFERROR(__xludf.DUMMYFUNCTION("""COMPUTED_VALUE"""),0.053)</f>
        <v>0.053</v>
      </c>
      <c r="R201" s="14">
        <f>IFERROR(__xludf.DUMMYFUNCTION("""COMPUTED_VALUE"""),68.0)</f>
        <v>68</v>
      </c>
      <c r="S201" s="14">
        <f>IFERROR(__xludf.DUMMYFUNCTION("""COMPUTED_VALUE"""),67.0)</f>
        <v>67</v>
      </c>
      <c r="T201" s="14">
        <f>IFERROR(__xludf.DUMMYFUNCTION("""COMPUTED_VALUE"""),0.348)</f>
        <v>0.348</v>
      </c>
      <c r="U201" s="14">
        <f>IFERROR(__xludf.DUMMYFUNCTION("""COMPUTED_VALUE"""),0.609)</f>
        <v>0.609</v>
      </c>
      <c r="V201" s="14">
        <f>IFERROR(__xludf.DUMMYFUNCTION("""COMPUTED_VALUE"""),0.042)</f>
        <v>0.042</v>
      </c>
      <c r="W201" s="14">
        <f>IFERROR(__xludf.DUMMYFUNCTION("""COMPUTED_VALUE"""),1.41235035E8)</f>
        <v>141235035</v>
      </c>
      <c r="X201" s="14">
        <f>IFERROR(__xludf.DUMMYFUNCTION("""COMPUTED_VALUE"""),0.261)</f>
        <v>0.261</v>
      </c>
      <c r="Y201" s="14" t="str">
        <f>IFERROR(__xludf.DUMMYFUNCTION("""COMPUTED_VALUE"""),"Bangladesh-Asia")</f>
        <v>Bangladesh-Asia</v>
      </c>
      <c r="Z201" s="14" t="str">
        <f>IFERROR(__xludf.DUMMYFUNCTION("""COMPUTED_VALUE"""),"Asia")</f>
        <v>Asia</v>
      </c>
      <c r="AA201" s="14" t="str">
        <f>IFERROR(__xludf.DUMMYFUNCTION("""COMPUTED_VALUE"""),"2004")</f>
        <v>2004</v>
      </c>
      <c r="AB201" s="15" t="str">
        <f>IFERROR(__xludf.DUMMYFUNCTION("ARRAYFORMULA(VLOOKUP(A201,IMPORTRANGE(""https://docs.google.com/spreadsheets/d/1BuTWp7qHGjWhqrnf-OmePP568O4A5Am9ttzvVdP67zw/edit#gid=1931367683"" ,""ENERGY!$A$2:$F$2692""), {2,3,4,5,6},0))"),"Asia")</f>
        <v>Asia</v>
      </c>
      <c r="AC201" s="14" t="str">
        <f>IFERROR(__xludf.DUMMYFUNCTION("""COMPUTED_VALUE"""),"Bangladesh-Asia")</f>
        <v>Bangladesh-Asia</v>
      </c>
      <c r="AD201" s="14" t="str">
        <f>IFERROR(__xludf.DUMMYFUNCTION("""COMPUTED_VALUE"""),"2004")</f>
        <v>2004</v>
      </c>
      <c r="AE201" s="14">
        <f>IFERROR(__xludf.DUMMYFUNCTION("""COMPUTED_VALUE"""),27873.0)</f>
        <v>27873</v>
      </c>
      <c r="AF201" s="14">
        <f>IFERROR(__xludf.DUMMYFUNCTION("""COMPUTED_VALUE"""),46435.0)</f>
        <v>46435</v>
      </c>
    </row>
    <row r="202">
      <c r="A202" s="12">
        <v>201.0</v>
      </c>
      <c r="B202" s="12" t="s">
        <v>94</v>
      </c>
      <c r="C202" s="5" t="s">
        <v>61</v>
      </c>
      <c r="D202" s="11">
        <v>0.353</v>
      </c>
      <c r="E202" s="11">
        <v>50.0</v>
      </c>
      <c r="F202" s="8"/>
      <c r="G202" s="11">
        <v>400.0</v>
      </c>
      <c r="H202" s="11">
        <v>0.002</v>
      </c>
      <c r="I202" s="11">
        <v>0.063</v>
      </c>
      <c r="J202" s="9" t="s">
        <v>66</v>
      </c>
      <c r="K202" s="14" t="str">
        <f>IFERROR(__xludf.DUMMYFUNCTION("ARRAYFORMULA(VLOOKUP(A202,IMPORTRANGE(""https://docs.google.com/spreadsheets/d/1BuTWp7qHGjWhqrnf-OmePP568O4A5Am9ttzvVdP67zw/edit#gid=1603210130"", ""TOURISM!$A$2:$F$2692""), {2,3,4,5,6},0))"),"Asia")</f>
        <v>Asia</v>
      </c>
      <c r="L202" s="14">
        <f>IFERROR(__xludf.DUMMYFUNCTION("""COMPUTED_VALUE"""),7.9E7)</f>
        <v>79000000</v>
      </c>
      <c r="M202" s="14" t="str">
        <f>IFERROR(__xludf.DUMMYFUNCTION("""COMPUTED_VALUE"""),"Bangladesh-Asia")</f>
        <v>Bangladesh-Asia</v>
      </c>
      <c r="N202" s="14" t="str">
        <f>IFERROR(__xludf.DUMMYFUNCTION("""COMPUTED_VALUE"""),"2005")</f>
        <v>2005</v>
      </c>
      <c r="O202" s="14">
        <f>IFERROR(__xludf.DUMMYFUNCTION("""COMPUTED_VALUE"""),3.75E8)</f>
        <v>375000000</v>
      </c>
      <c r="P202" s="15">
        <f>IFERROR(__xludf.DUMMYFUNCTION("ARRAYFORMULA(VLOOKUP(A202,IMPORTRANGE(""https://docs.google.com/spreadsheets/d/1BuTWp7qHGjWhqrnf-OmePP568O4A5Am9ttzvVdP67zw/edit#gid=771602874"" ,""HUMAN RESOURCES!$A$2:$M$2692""), {2,3,4,5,6,7,8,9,10,11,12,13},0))"),0.023)</f>
        <v>0.023</v>
      </c>
      <c r="Q202" s="14">
        <f>IFERROR(__xludf.DUMMYFUNCTION("""COMPUTED_VALUE"""),0.051)</f>
        <v>0.051</v>
      </c>
      <c r="R202" s="14">
        <f>IFERROR(__xludf.DUMMYFUNCTION("""COMPUTED_VALUE"""),68.0)</f>
        <v>68</v>
      </c>
      <c r="S202" s="14">
        <f>IFERROR(__xludf.DUMMYFUNCTION("""COMPUTED_VALUE"""),67.0)</f>
        <v>67</v>
      </c>
      <c r="T202" s="14">
        <f>IFERROR(__xludf.DUMMYFUNCTION("""COMPUTED_VALUE"""),0.343)</f>
        <v>0.343</v>
      </c>
      <c r="U202" s="14">
        <f>IFERROR(__xludf.DUMMYFUNCTION("""COMPUTED_VALUE"""),0.614)</f>
        <v>0.614</v>
      </c>
      <c r="V202" s="14">
        <f>IFERROR(__xludf.DUMMYFUNCTION("""COMPUTED_VALUE"""),0.043)</f>
        <v>0.043</v>
      </c>
      <c r="W202" s="14">
        <f>IFERROR(__xludf.DUMMYFUNCTION("""COMPUTED_VALUE"""),1.4313518E8)</f>
        <v>143135180</v>
      </c>
      <c r="X202" s="14">
        <f>IFERROR(__xludf.DUMMYFUNCTION("""COMPUTED_VALUE"""),0.268)</f>
        <v>0.268</v>
      </c>
      <c r="Y202" s="14" t="str">
        <f>IFERROR(__xludf.DUMMYFUNCTION("""COMPUTED_VALUE"""),"Bangladesh-Asia")</f>
        <v>Bangladesh-Asia</v>
      </c>
      <c r="Z202" s="14" t="str">
        <f>IFERROR(__xludf.DUMMYFUNCTION("""COMPUTED_VALUE"""),"Asia")</f>
        <v>Asia</v>
      </c>
      <c r="AA202" s="14" t="str">
        <f>IFERROR(__xludf.DUMMYFUNCTION("""COMPUTED_VALUE"""),"2005")</f>
        <v>2005</v>
      </c>
      <c r="AB202" s="15" t="str">
        <f>IFERROR(__xludf.DUMMYFUNCTION("ARRAYFORMULA(VLOOKUP(A202,IMPORTRANGE(""https://docs.google.com/spreadsheets/d/1BuTWp7qHGjWhqrnf-OmePP568O4A5Am9ttzvVdP67zw/edit#gid=1931367683"" ,""ENERGY!$A$2:$F$2692""), {2,3,4,5,6},0))"),"Asia")</f>
        <v>Asia</v>
      </c>
      <c r="AC202" s="14" t="str">
        <f>IFERROR(__xludf.DUMMYFUNCTION("""COMPUTED_VALUE"""),"Bangladesh-Asia")</f>
        <v>Bangladesh-Asia</v>
      </c>
      <c r="AD202" s="14" t="str">
        <f>IFERROR(__xludf.DUMMYFUNCTION("""COMPUTED_VALUE"""),"2005")</f>
        <v>2005</v>
      </c>
      <c r="AE202" s="14">
        <f>IFERROR(__xludf.DUMMYFUNCTION("""COMPUTED_VALUE"""),26626.0)</f>
        <v>26626</v>
      </c>
      <c r="AF202" s="14">
        <f>IFERROR(__xludf.DUMMYFUNCTION("""COMPUTED_VALUE"""),48467.0)</f>
        <v>48467</v>
      </c>
    </row>
    <row r="203">
      <c r="A203" s="12">
        <v>202.0</v>
      </c>
      <c r="B203" s="12" t="s">
        <v>94</v>
      </c>
      <c r="C203" s="5" t="s">
        <v>61</v>
      </c>
      <c r="D203" s="11">
        <v>0.353</v>
      </c>
      <c r="E203" s="11">
        <v>50.0</v>
      </c>
      <c r="F203" s="8"/>
      <c r="G203" s="11">
        <v>400.0</v>
      </c>
      <c r="H203" s="11">
        <v>0.01</v>
      </c>
      <c r="I203" s="11">
        <v>0.132</v>
      </c>
      <c r="J203" s="9" t="s">
        <v>67</v>
      </c>
      <c r="K203" s="14" t="str">
        <f>IFERROR(__xludf.DUMMYFUNCTION("ARRAYFORMULA(VLOOKUP(A203,IMPORTRANGE(""https://docs.google.com/spreadsheets/d/1BuTWp7qHGjWhqrnf-OmePP568O4A5Am9ttzvVdP67zw/edit#gid=1603210130"", ""TOURISM!$A$2:$F$2692""), {2,3,4,5,6},0))"),"Asia")</f>
        <v>Asia</v>
      </c>
      <c r="L203" s="14">
        <f>IFERROR(__xludf.DUMMYFUNCTION("""COMPUTED_VALUE"""),8.0E7)</f>
        <v>80000000</v>
      </c>
      <c r="M203" s="14" t="str">
        <f>IFERROR(__xludf.DUMMYFUNCTION("""COMPUTED_VALUE"""),"Bangladesh-Asia")</f>
        <v>Bangladesh-Asia</v>
      </c>
      <c r="N203" s="14" t="str">
        <f>IFERROR(__xludf.DUMMYFUNCTION("""COMPUTED_VALUE"""),"2006")</f>
        <v>2006</v>
      </c>
      <c r="O203" s="14">
        <f>IFERROR(__xludf.DUMMYFUNCTION("""COMPUTED_VALUE"""),4.44E8)</f>
        <v>444000000</v>
      </c>
      <c r="P203" s="15">
        <f>IFERROR(__xludf.DUMMYFUNCTION("ARRAYFORMULA(VLOOKUP(A203,IMPORTRANGE(""https://docs.google.com/spreadsheets/d/1BuTWp7qHGjWhqrnf-OmePP568O4A5Am9ttzvVdP67zw/edit#gid=771602874"" ,""HUMAN RESOURCES!$A$2:$M$2692""), {2,3,4,5,6,7,8,9,10,11,12,13},0))"),0.023)</f>
        <v>0.023</v>
      </c>
      <c r="Q203" s="14">
        <f>IFERROR(__xludf.DUMMYFUNCTION("""COMPUTED_VALUE"""),0.048)</f>
        <v>0.048</v>
      </c>
      <c r="R203" s="14">
        <f>IFERROR(__xludf.DUMMYFUNCTION("""COMPUTED_VALUE"""),68.0)</f>
        <v>68</v>
      </c>
      <c r="S203" s="14">
        <f>IFERROR(__xludf.DUMMYFUNCTION("""COMPUTED_VALUE"""),67.0)</f>
        <v>67</v>
      </c>
      <c r="T203" s="14">
        <f>IFERROR(__xludf.DUMMYFUNCTION("""COMPUTED_VALUE"""),0.338)</f>
        <v>0.338</v>
      </c>
      <c r="U203" s="14">
        <f>IFERROR(__xludf.DUMMYFUNCTION("""COMPUTED_VALUE"""),0.619)</f>
        <v>0.619</v>
      </c>
      <c r="V203" s="14">
        <f>IFERROR(__xludf.DUMMYFUNCTION("""COMPUTED_VALUE"""),0.044)</f>
        <v>0.044</v>
      </c>
      <c r="W203" s="14">
        <f>IFERROR(__xludf.DUMMYFUNCTION("""COMPUTED_VALUE"""),1.44868702E8)</f>
        <v>144868702</v>
      </c>
      <c r="X203" s="14">
        <f>IFERROR(__xludf.DUMMYFUNCTION("""COMPUTED_VALUE"""),0.275)</f>
        <v>0.275</v>
      </c>
      <c r="Y203" s="14" t="str">
        <f>IFERROR(__xludf.DUMMYFUNCTION("""COMPUTED_VALUE"""),"Bangladesh-Asia")</f>
        <v>Bangladesh-Asia</v>
      </c>
      <c r="Z203" s="14" t="str">
        <f>IFERROR(__xludf.DUMMYFUNCTION("""COMPUTED_VALUE"""),"Asia")</f>
        <v>Asia</v>
      </c>
      <c r="AA203" s="14" t="str">
        <f>IFERROR(__xludf.DUMMYFUNCTION("""COMPUTED_VALUE"""),"2006")</f>
        <v>2006</v>
      </c>
      <c r="AB203" s="15" t="str">
        <f>IFERROR(__xludf.DUMMYFUNCTION("ARRAYFORMULA(VLOOKUP(A203,IMPORTRANGE(""https://docs.google.com/spreadsheets/d/1BuTWp7qHGjWhqrnf-OmePP568O4A5Am9ttzvVdP67zw/edit#gid=1931367683"" ,""ENERGY!$A$2:$F$2692""), {2,3,4,5,6},0))"),"Asia")</f>
        <v>Asia</v>
      </c>
      <c r="AC203" s="14" t="str">
        <f>IFERROR(__xludf.DUMMYFUNCTION("""COMPUTED_VALUE"""),"Bangladesh-Asia")</f>
        <v>Bangladesh-Asia</v>
      </c>
      <c r="AD203" s="14" t="str">
        <f>IFERROR(__xludf.DUMMYFUNCTION("""COMPUTED_VALUE"""),"2009")</f>
        <v>2009</v>
      </c>
      <c r="AE203" s="14">
        <f>IFERROR(__xludf.DUMMYFUNCTION("""COMPUTED_VALUE"""),25332.0)</f>
        <v>25332</v>
      </c>
      <c r="AF203" s="14">
        <f>IFERROR(__xludf.DUMMYFUNCTION("""COMPUTED_VALUE"""),48137.0)</f>
        <v>48137</v>
      </c>
    </row>
    <row r="204">
      <c r="A204" s="12">
        <v>203.0</v>
      </c>
      <c r="B204" s="12" t="s">
        <v>94</v>
      </c>
      <c r="C204" s="5" t="s">
        <v>61</v>
      </c>
      <c r="D204" s="11">
        <v>0.37</v>
      </c>
      <c r="E204" s="11">
        <v>74.0</v>
      </c>
      <c r="F204" s="8"/>
      <c r="G204" s="11">
        <v>400.0</v>
      </c>
      <c r="H204" s="11">
        <v>0.018</v>
      </c>
      <c r="I204" s="11">
        <v>0.235</v>
      </c>
      <c r="J204" s="9" t="s">
        <v>68</v>
      </c>
      <c r="K204" s="14" t="str">
        <f>IFERROR(__xludf.DUMMYFUNCTION("ARRAYFORMULA(VLOOKUP(A204,IMPORTRANGE(""https://docs.google.com/spreadsheets/d/1BuTWp7qHGjWhqrnf-OmePP568O4A5Am9ttzvVdP67zw/edit#gid=1603210130"", ""TOURISM!$A$2:$F$2692""), {2,3,4,5,6},0))"),"Asia")</f>
        <v>Asia</v>
      </c>
      <c r="L204" s="14">
        <f>IFERROR(__xludf.DUMMYFUNCTION("""COMPUTED_VALUE"""),7.6E7)</f>
        <v>76000000</v>
      </c>
      <c r="M204" s="14" t="str">
        <f>IFERROR(__xludf.DUMMYFUNCTION("""COMPUTED_VALUE"""),"Bangladesh-Asia")</f>
        <v>Bangladesh-Asia</v>
      </c>
      <c r="N204" s="14" t="str">
        <f>IFERROR(__xludf.DUMMYFUNCTION("""COMPUTED_VALUE"""),"2007")</f>
        <v>2007</v>
      </c>
      <c r="O204" s="14">
        <f>IFERROR(__xludf.DUMMYFUNCTION("""COMPUTED_VALUE"""),5.3E8)</f>
        <v>530000000</v>
      </c>
      <c r="P204" s="15">
        <f>IFERROR(__xludf.DUMMYFUNCTION("ARRAYFORMULA(VLOOKUP(A204,IMPORTRANGE(""https://docs.google.com/spreadsheets/d/1BuTWp7qHGjWhqrnf-OmePP568O4A5Am9ttzvVdP67zw/edit#gid=771602874"" ,""HUMAN RESOURCES!$A$2:$M$2692""), {2,3,4,5,6,7,8,9,10,11,12,13},0))"),0.022)</f>
        <v>0.022</v>
      </c>
      <c r="Q204" s="14">
        <f>IFERROR(__xludf.DUMMYFUNCTION("""COMPUTED_VALUE"""),0.046)</f>
        <v>0.046</v>
      </c>
      <c r="R204" s="14">
        <f>IFERROR(__xludf.DUMMYFUNCTION("""COMPUTED_VALUE"""),69.0)</f>
        <v>69</v>
      </c>
      <c r="S204" s="14">
        <f>IFERROR(__xludf.DUMMYFUNCTION("""COMPUTED_VALUE"""),68.0)</f>
        <v>68</v>
      </c>
      <c r="T204" s="14">
        <f>IFERROR(__xludf.DUMMYFUNCTION("""COMPUTED_VALUE"""),0.333)</f>
        <v>0.333</v>
      </c>
      <c r="U204" s="14">
        <f>IFERROR(__xludf.DUMMYFUNCTION("""COMPUTED_VALUE"""),0.623)</f>
        <v>0.623</v>
      </c>
      <c r="V204" s="14">
        <f>IFERROR(__xludf.DUMMYFUNCTION("""COMPUTED_VALUE"""),0.044)</f>
        <v>0.044</v>
      </c>
      <c r="W204" s="14">
        <f>IFERROR(__xludf.DUMMYFUNCTION("""COMPUTED_VALUE"""),1.46457067E8)</f>
        <v>146457067</v>
      </c>
      <c r="X204" s="14">
        <f>IFERROR(__xludf.DUMMYFUNCTION("""COMPUTED_VALUE"""),0.282)</f>
        <v>0.282</v>
      </c>
      <c r="Y204" s="14" t="str">
        <f>IFERROR(__xludf.DUMMYFUNCTION("""COMPUTED_VALUE"""),"Bangladesh-Asia")</f>
        <v>Bangladesh-Asia</v>
      </c>
      <c r="Z204" s="14" t="str">
        <f>IFERROR(__xludf.DUMMYFUNCTION("""COMPUTED_VALUE"""),"Asia")</f>
        <v>Asia</v>
      </c>
      <c r="AA204" s="14" t="str">
        <f>IFERROR(__xludf.DUMMYFUNCTION("""COMPUTED_VALUE"""),"2007")</f>
        <v>2007</v>
      </c>
      <c r="AB204" s="15" t="str">
        <f>IFERROR(__xludf.DUMMYFUNCTION("ARRAYFORMULA(VLOOKUP(A204,IMPORTRANGE(""https://docs.google.com/spreadsheets/d/1BuTWp7qHGjWhqrnf-OmePP568O4A5Am9ttzvVdP67zw/edit#gid=1931367683"" ,""ENERGY!$A$2:$F$2692""), {2,3,4,5,6},0))"),"Asia")</f>
        <v>Asia</v>
      </c>
      <c r="AC204" s="14" t="str">
        <f>IFERROR(__xludf.DUMMYFUNCTION("""COMPUTED_VALUE"""),"Bangladesh-Asia")</f>
        <v>Bangladesh-Asia</v>
      </c>
      <c r="AD204" s="14" t="str">
        <f>IFERROR(__xludf.DUMMYFUNCTION("""COMPUTED_VALUE"""),"2006")</f>
        <v>2006</v>
      </c>
      <c r="AE204" s="14">
        <f>IFERROR(__xludf.DUMMYFUNCTION("""COMPUTED_VALUE"""),23868.0)</f>
        <v>23868</v>
      </c>
      <c r="AF204" s="14">
        <f>IFERROR(__xludf.DUMMYFUNCTION("""COMPUTED_VALUE"""),37554.0)</f>
        <v>37554</v>
      </c>
    </row>
    <row r="205">
      <c r="A205" s="12">
        <v>204.0</v>
      </c>
      <c r="B205" s="12" t="s">
        <v>94</v>
      </c>
      <c r="C205" s="5" t="s">
        <v>61</v>
      </c>
      <c r="D205" s="11">
        <v>0.361</v>
      </c>
      <c r="E205" s="11">
        <v>73.0</v>
      </c>
      <c r="F205" s="8"/>
      <c r="G205" s="11">
        <v>302.0</v>
      </c>
      <c r="H205" s="11">
        <v>0.025</v>
      </c>
      <c r="I205" s="11">
        <v>0.302</v>
      </c>
      <c r="J205" s="9" t="s">
        <v>69</v>
      </c>
      <c r="K205" s="14" t="str">
        <f>IFERROR(__xludf.DUMMYFUNCTION("ARRAYFORMULA(VLOOKUP(A205,IMPORTRANGE(""https://docs.google.com/spreadsheets/d/1BuTWp7qHGjWhqrnf-OmePP568O4A5Am9ttzvVdP67zw/edit#gid=1603210130"", ""TOURISM!$A$2:$F$2692""), {2,3,4,5,6},0))"),"Asia")</f>
        <v>Asia</v>
      </c>
      <c r="L205" s="14">
        <f>IFERROR(__xludf.DUMMYFUNCTION("""COMPUTED_VALUE"""),7.5E7)</f>
        <v>75000000</v>
      </c>
      <c r="M205" s="14" t="str">
        <f>IFERROR(__xludf.DUMMYFUNCTION("""COMPUTED_VALUE"""),"Bangladesh-Asia")</f>
        <v>Bangladesh-Asia</v>
      </c>
      <c r="N205" s="14" t="str">
        <f>IFERROR(__xludf.DUMMYFUNCTION("""COMPUTED_VALUE"""),"2008")</f>
        <v>2008</v>
      </c>
      <c r="O205" s="14">
        <f>IFERROR(__xludf.DUMMYFUNCTION("""COMPUTED_VALUE"""),7.35E8)</f>
        <v>735000000</v>
      </c>
      <c r="P205" s="15">
        <f>IFERROR(__xludf.DUMMYFUNCTION("ARRAYFORMULA(VLOOKUP(A205,IMPORTRANGE(""https://docs.google.com/spreadsheets/d/1BuTWp7qHGjWhqrnf-OmePP568O4A5Am9ttzvVdP67zw/edit#gid=771602874"" ,""HUMAN RESOURCES!$A$2:$M$2692""), {2,3,4,5,6,7,8,9,10,11,12,13},0))"),0.022)</f>
        <v>0.022</v>
      </c>
      <c r="Q205" s="14">
        <f>IFERROR(__xludf.DUMMYFUNCTION("""COMPUTED_VALUE"""),0.043)</f>
        <v>0.043</v>
      </c>
      <c r="R205" s="14">
        <f>IFERROR(__xludf.DUMMYFUNCTION("""COMPUTED_VALUE"""),69.0)</f>
        <v>69</v>
      </c>
      <c r="S205" s="14">
        <f>IFERROR(__xludf.DUMMYFUNCTION("""COMPUTED_VALUE"""),68.0)</f>
        <v>68</v>
      </c>
      <c r="T205" s="14">
        <f>IFERROR(__xludf.DUMMYFUNCTION("""COMPUTED_VALUE"""),0.327)</f>
        <v>0.327</v>
      </c>
      <c r="U205" s="14">
        <f>IFERROR(__xludf.DUMMYFUNCTION("""COMPUTED_VALUE"""),0.628)</f>
        <v>0.628</v>
      </c>
      <c r="V205" s="14">
        <f>IFERROR(__xludf.DUMMYFUNCTION("""COMPUTED_VALUE"""),0.045)</f>
        <v>0.045</v>
      </c>
      <c r="W205" s="14">
        <f>IFERROR(__xludf.DUMMYFUNCTION("""COMPUTED_VALUE"""),1.47969967E8)</f>
        <v>147969967</v>
      </c>
      <c r="X205" s="14">
        <f>IFERROR(__xludf.DUMMYFUNCTION("""COMPUTED_VALUE"""),0.29)</f>
        <v>0.29</v>
      </c>
      <c r="Y205" s="14" t="str">
        <f>IFERROR(__xludf.DUMMYFUNCTION("""COMPUTED_VALUE"""),"Bangladesh-Asia")</f>
        <v>Bangladesh-Asia</v>
      </c>
      <c r="Z205" s="14" t="str">
        <f>IFERROR(__xludf.DUMMYFUNCTION("""COMPUTED_VALUE"""),"Asia")</f>
        <v>Asia</v>
      </c>
      <c r="AA205" s="14" t="str">
        <f>IFERROR(__xludf.DUMMYFUNCTION("""COMPUTED_VALUE"""),"2008")</f>
        <v>2008</v>
      </c>
      <c r="AB205" s="15" t="str">
        <f>IFERROR(__xludf.DUMMYFUNCTION("ARRAYFORMULA(VLOOKUP(A205,IMPORTRANGE(""https://docs.google.com/spreadsheets/d/1BuTWp7qHGjWhqrnf-OmePP568O4A5Am9ttzvVdP67zw/edit#gid=1931367683"" ,""ENERGY!$A$2:$F$2692""), {2,3,4,5,6},0))"),"Asia")</f>
        <v>Asia</v>
      </c>
      <c r="AC205" s="14" t="str">
        <f>IFERROR(__xludf.DUMMYFUNCTION("""COMPUTED_VALUE"""),"Bangladesh-Asia")</f>
        <v>Bangladesh-Asia</v>
      </c>
      <c r="AD205" s="14" t="str">
        <f>IFERROR(__xludf.DUMMYFUNCTION("""COMPUTED_VALUE"""),"2012")</f>
        <v>2012</v>
      </c>
      <c r="AE205" s="14">
        <f>IFERROR(__xludf.DUMMYFUNCTION("""COMPUTED_VALUE"""),22554.0)</f>
        <v>22554</v>
      </c>
      <c r="AF205" s="14">
        <f>IFERROR(__xludf.DUMMYFUNCTION("""COMPUTED_VALUE"""),39750.0)</f>
        <v>39750</v>
      </c>
    </row>
    <row r="206">
      <c r="A206" s="12">
        <v>205.0</v>
      </c>
      <c r="B206" s="12" t="s">
        <v>94</v>
      </c>
      <c r="C206" s="5" t="s">
        <v>61</v>
      </c>
      <c r="D206" s="11">
        <v>0.35</v>
      </c>
      <c r="E206" s="11">
        <v>43.0</v>
      </c>
      <c r="F206" s="8"/>
      <c r="G206" s="11">
        <v>302.0</v>
      </c>
      <c r="H206" s="11">
        <v>0.031</v>
      </c>
      <c r="I206" s="11">
        <v>0.344</v>
      </c>
      <c r="J206" s="9" t="s">
        <v>70</v>
      </c>
      <c r="K206" s="14" t="str">
        <f>IFERROR(__xludf.DUMMYFUNCTION("ARRAYFORMULA(VLOOKUP(A206,IMPORTRANGE(""https://docs.google.com/spreadsheets/d/1BuTWp7qHGjWhqrnf-OmePP568O4A5Am9ttzvVdP67zw/edit#gid=1603210130"", ""TOURISM!$A$2:$F$2692""), {2,3,4,5,6},0))"),"Asia")</f>
        <v>Asia</v>
      </c>
      <c r="L206" s="14">
        <f>IFERROR(__xludf.DUMMYFUNCTION("""COMPUTED_VALUE"""),7.7E7)</f>
        <v>77000000</v>
      </c>
      <c r="M206" s="14" t="str">
        <f>IFERROR(__xludf.DUMMYFUNCTION("""COMPUTED_VALUE"""),"Bangladesh-Asia")</f>
        <v>Bangladesh-Asia</v>
      </c>
      <c r="N206" s="14" t="str">
        <f>IFERROR(__xludf.DUMMYFUNCTION("""COMPUTED_VALUE"""),"2009")</f>
        <v>2009</v>
      </c>
      <c r="O206" s="14">
        <f>IFERROR(__xludf.DUMMYFUNCTION("""COMPUTED_VALUE"""),6.51E8)</f>
        <v>651000000</v>
      </c>
      <c r="P206" s="15">
        <f>IFERROR(__xludf.DUMMYFUNCTION("ARRAYFORMULA(VLOOKUP(A206,IMPORTRANGE(""https://docs.google.com/spreadsheets/d/1BuTWp7qHGjWhqrnf-OmePP568O4A5Am9ttzvVdP67zw/edit#gid=771602874"" ,""HUMAN RESOURCES!$A$2:$M$2692""), {2,3,4,5,6,7,8,9,10,11,12,13},0))"),0.021)</f>
        <v>0.021</v>
      </c>
      <c r="Q206" s="14">
        <f>IFERROR(__xludf.DUMMYFUNCTION("""COMPUTED_VALUE"""),0.041)</f>
        <v>0.041</v>
      </c>
      <c r="R206" s="14">
        <f>IFERROR(__xludf.DUMMYFUNCTION("""COMPUTED_VALUE"""),70.0)</f>
        <v>70</v>
      </c>
      <c r="S206" s="14">
        <f>IFERROR(__xludf.DUMMYFUNCTION("""COMPUTED_VALUE"""),68.0)</f>
        <v>68</v>
      </c>
      <c r="T206" s="14">
        <f>IFERROR(__xludf.DUMMYFUNCTION("""COMPUTED_VALUE"""),0.322)</f>
        <v>0.322</v>
      </c>
      <c r="U206" s="14">
        <f>IFERROR(__xludf.DUMMYFUNCTION("""COMPUTED_VALUE"""),0.632)</f>
        <v>0.632</v>
      </c>
      <c r="V206" s="14">
        <f>IFERROR(__xludf.DUMMYFUNCTION("""COMPUTED_VALUE"""),0.046)</f>
        <v>0.046</v>
      </c>
      <c r="W206" s="14">
        <f>IFERROR(__xludf.DUMMYFUNCTION("""COMPUTED_VALUE"""),1.495031E8)</f>
        <v>149503100</v>
      </c>
      <c r="X206" s="14">
        <f>IFERROR(__xludf.DUMMYFUNCTION("""COMPUTED_VALUE"""),0.297)</f>
        <v>0.297</v>
      </c>
      <c r="Y206" s="14" t="str">
        <f>IFERROR(__xludf.DUMMYFUNCTION("""COMPUTED_VALUE"""),"Bangladesh-Asia")</f>
        <v>Bangladesh-Asia</v>
      </c>
      <c r="Z206" s="14" t="str">
        <f>IFERROR(__xludf.DUMMYFUNCTION("""COMPUTED_VALUE"""),"Asia")</f>
        <v>Asia</v>
      </c>
      <c r="AA206" s="14" t="str">
        <f>IFERROR(__xludf.DUMMYFUNCTION("""COMPUTED_VALUE"""),"2009")</f>
        <v>2009</v>
      </c>
      <c r="AB206" s="15" t="str">
        <f>IFERROR(__xludf.DUMMYFUNCTION("ARRAYFORMULA(VLOOKUP(A206,IMPORTRANGE(""https://docs.google.com/spreadsheets/d/1BuTWp7qHGjWhqrnf-OmePP568O4A5Am9ttzvVdP67zw/edit#gid=1931367683"" ,""ENERGY!$A$2:$F$2692""), {2,3,4,5,6},0))"),"Asia")</f>
        <v>Asia</v>
      </c>
      <c r="AC206" s="14" t="str">
        <f>IFERROR(__xludf.DUMMYFUNCTION("""COMPUTED_VALUE"""),"Bangladesh-Asia")</f>
        <v>Bangladesh-Asia</v>
      </c>
      <c r="AD206" s="14" t="str">
        <f>IFERROR(__xludf.DUMMYFUNCTION("""COMPUTED_VALUE"""),"2008")</f>
        <v>2008</v>
      </c>
      <c r="AE206" s="14">
        <f>IFERROR(__xludf.DUMMYFUNCTION("""COMPUTED_VALUE"""),21713.0)</f>
        <v>21713</v>
      </c>
      <c r="AF206" s="14">
        <f>IFERROR(__xludf.DUMMYFUNCTION("""COMPUTED_VALUE"""),33883.0)</f>
        <v>33883</v>
      </c>
    </row>
    <row r="207">
      <c r="A207" s="12">
        <v>206.0</v>
      </c>
      <c r="B207" s="12" t="s">
        <v>94</v>
      </c>
      <c r="C207" s="5" t="s">
        <v>61</v>
      </c>
      <c r="D207" s="11">
        <v>0.35</v>
      </c>
      <c r="E207" s="11">
        <v>19.0</v>
      </c>
      <c r="F207" s="8"/>
      <c r="G207" s="11">
        <v>302.0</v>
      </c>
      <c r="H207" s="11">
        <v>0.037</v>
      </c>
      <c r="I207" s="11">
        <v>0.449</v>
      </c>
      <c r="J207" s="9" t="s">
        <v>71</v>
      </c>
      <c r="K207" s="14" t="str">
        <f>IFERROR(__xludf.DUMMYFUNCTION("ARRAYFORMULA(VLOOKUP(A207,IMPORTRANGE(""https://docs.google.com/spreadsheets/d/1BuTWp7qHGjWhqrnf-OmePP568O4A5Am9ttzvVdP67zw/edit#gid=1603210130"", ""TOURISM!$A$2:$F$2692""), {2,3,4,5,6},0))"),"Asia")</f>
        <v>Asia</v>
      </c>
      <c r="L207" s="14">
        <f>IFERROR(__xludf.DUMMYFUNCTION("""COMPUTED_VALUE"""),1.03E8)</f>
        <v>103000000</v>
      </c>
      <c r="M207" s="14" t="str">
        <f>IFERROR(__xludf.DUMMYFUNCTION("""COMPUTED_VALUE"""),"Bangladesh-Asia")</f>
        <v>Bangladesh-Asia</v>
      </c>
      <c r="N207" s="14" t="str">
        <f>IFERROR(__xludf.DUMMYFUNCTION("""COMPUTED_VALUE"""),"2010")</f>
        <v>2010</v>
      </c>
      <c r="O207" s="14">
        <f>IFERROR(__xludf.DUMMYFUNCTION("""COMPUTED_VALUE"""),8.35E8)</f>
        <v>835000000</v>
      </c>
      <c r="P207" s="15">
        <f>IFERROR(__xludf.DUMMYFUNCTION("ARRAYFORMULA(VLOOKUP(A207,IMPORTRANGE(""https://docs.google.com/spreadsheets/d/1BuTWp7qHGjWhqrnf-OmePP568O4A5Am9ttzvVdP67zw/edit#gid=771602874"" ,""HUMAN RESOURCES!$A$2:$M$2692""), {2,3,4,5,6,7,8,9,10,11,12,13},0))"),0.021)</f>
        <v>0.021</v>
      </c>
      <c r="Q207" s="14">
        <f>IFERROR(__xludf.DUMMYFUNCTION("""COMPUTED_VALUE"""),0.039)</f>
        <v>0.039</v>
      </c>
      <c r="R207" s="14">
        <f>IFERROR(__xludf.DUMMYFUNCTION("""COMPUTED_VALUE"""),70.0)</f>
        <v>70</v>
      </c>
      <c r="S207" s="14">
        <f>IFERROR(__xludf.DUMMYFUNCTION("""COMPUTED_VALUE"""),69.0)</f>
        <v>69</v>
      </c>
      <c r="T207" s="14">
        <f>IFERROR(__xludf.DUMMYFUNCTION("""COMPUTED_VALUE"""),0.317)</f>
        <v>0.317</v>
      </c>
      <c r="U207" s="14">
        <f>IFERROR(__xludf.DUMMYFUNCTION("""COMPUTED_VALUE"""),0.637)</f>
        <v>0.637</v>
      </c>
      <c r="V207" s="14">
        <f>IFERROR(__xludf.DUMMYFUNCTION("""COMPUTED_VALUE"""),0.046)</f>
        <v>0.046</v>
      </c>
      <c r="W207" s="14">
        <f>IFERROR(__xludf.DUMMYFUNCTION("""COMPUTED_VALUE"""),1.51125475E8)</f>
        <v>151125475</v>
      </c>
      <c r="X207" s="14">
        <f>IFERROR(__xludf.DUMMYFUNCTION("""COMPUTED_VALUE"""),0.305)</f>
        <v>0.305</v>
      </c>
      <c r="Y207" s="14" t="str">
        <f>IFERROR(__xludf.DUMMYFUNCTION("""COMPUTED_VALUE"""),"Bangladesh-Asia")</f>
        <v>Bangladesh-Asia</v>
      </c>
      <c r="Z207" s="14" t="str">
        <f>IFERROR(__xludf.DUMMYFUNCTION("""COMPUTED_VALUE"""),"Asia")</f>
        <v>Asia</v>
      </c>
      <c r="AA207" s="14" t="str">
        <f>IFERROR(__xludf.DUMMYFUNCTION("""COMPUTED_VALUE"""),"2010")</f>
        <v>2010</v>
      </c>
      <c r="AB207" s="15" t="str">
        <f>IFERROR(__xludf.DUMMYFUNCTION("ARRAYFORMULA(VLOOKUP(A207,IMPORTRANGE(""https://docs.google.com/spreadsheets/d/1BuTWp7qHGjWhqrnf-OmePP568O4A5Am9ttzvVdP67zw/edit#gid=1931367683"" ,""ENERGY!$A$2:$F$2692""), {2,3,4,5,6},0))"),"Asia")</f>
        <v>Asia</v>
      </c>
      <c r="AC207" s="14" t="str">
        <f>IFERROR(__xludf.DUMMYFUNCTION("""COMPUTED_VALUE"""),"Bangladesh-Asia")</f>
        <v>Bangladesh-Asia</v>
      </c>
      <c r="AD207" s="14" t="str">
        <f>IFERROR(__xludf.DUMMYFUNCTION("""COMPUTED_VALUE"""),"2005")</f>
        <v>2005</v>
      </c>
      <c r="AE207" s="14">
        <f>IFERROR(__xludf.DUMMYFUNCTION("""COMPUTED_VALUE"""),20756.0)</f>
        <v>20756</v>
      </c>
      <c r="AF207" s="14">
        <f>IFERROR(__xludf.DUMMYFUNCTION("""COMPUTED_VALUE"""),33707.0)</f>
        <v>33707</v>
      </c>
    </row>
    <row r="208">
      <c r="A208" s="12">
        <v>207.0</v>
      </c>
      <c r="B208" s="12" t="s">
        <v>94</v>
      </c>
      <c r="C208" s="5" t="s">
        <v>61</v>
      </c>
      <c r="D208" s="11">
        <v>0.35</v>
      </c>
      <c r="E208" s="11">
        <v>19.0</v>
      </c>
      <c r="F208" s="8"/>
      <c r="G208" s="11">
        <v>302.0</v>
      </c>
      <c r="H208" s="11">
        <v>0.05</v>
      </c>
      <c r="I208" s="11">
        <v>0.552</v>
      </c>
      <c r="J208" s="9" t="s">
        <v>72</v>
      </c>
      <c r="K208" s="14" t="str">
        <f>IFERROR(__xludf.DUMMYFUNCTION("ARRAYFORMULA(VLOOKUP(A208,IMPORTRANGE(""https://docs.google.com/spreadsheets/d/1BuTWp7qHGjWhqrnf-OmePP568O4A5Am9ttzvVdP67zw/edit#gid=1603210130"", ""TOURISM!$A$2:$F$2692""), {2,3,4,5,6},0))"),"Asia")</f>
        <v>Asia</v>
      </c>
      <c r="L208" s="14">
        <f>IFERROR(__xludf.DUMMYFUNCTION("""COMPUTED_VALUE"""),9.7E7)</f>
        <v>97000000</v>
      </c>
      <c r="M208" s="14" t="str">
        <f>IFERROR(__xludf.DUMMYFUNCTION("""COMPUTED_VALUE"""),"Bangladesh-Asia")</f>
        <v>Bangladesh-Asia</v>
      </c>
      <c r="N208" s="14" t="str">
        <f>IFERROR(__xludf.DUMMYFUNCTION("""COMPUTED_VALUE"""),"2011")</f>
        <v>2011</v>
      </c>
      <c r="O208" s="14">
        <f>IFERROR(__xludf.DUMMYFUNCTION("""COMPUTED_VALUE"""),8.19E8)</f>
        <v>819000000</v>
      </c>
      <c r="P208" s="15">
        <f>IFERROR(__xludf.DUMMYFUNCTION("ARRAYFORMULA(VLOOKUP(A208,IMPORTRANGE(""https://docs.google.com/spreadsheets/d/1BuTWp7qHGjWhqrnf-OmePP568O4A5Am9ttzvVdP67zw/edit#gid=771602874"" ,""HUMAN RESOURCES!$A$2:$M$2692""), {2,3,4,5,6,7,8,9,10,11,12,13},0))"),0.021)</f>
        <v>0.021</v>
      </c>
      <c r="Q208" s="14">
        <f>IFERROR(__xludf.DUMMYFUNCTION("""COMPUTED_VALUE"""),0.037)</f>
        <v>0.037</v>
      </c>
      <c r="R208" s="14">
        <f>IFERROR(__xludf.DUMMYFUNCTION("""COMPUTED_VALUE"""),71.0)</f>
        <v>71</v>
      </c>
      <c r="S208" s="14">
        <f>IFERROR(__xludf.DUMMYFUNCTION("""COMPUTED_VALUE"""),69.0)</f>
        <v>69</v>
      </c>
      <c r="T208" s="14">
        <f>IFERROR(__xludf.DUMMYFUNCTION("""COMPUTED_VALUE"""),0.311)</f>
        <v>0.311</v>
      </c>
      <c r="U208" s="14">
        <f>IFERROR(__xludf.DUMMYFUNCTION("""COMPUTED_VALUE"""),0.642)</f>
        <v>0.642</v>
      </c>
      <c r="V208" s="14">
        <f>IFERROR(__xludf.DUMMYFUNCTION("""COMPUTED_VALUE"""),0.047)</f>
        <v>0.047</v>
      </c>
      <c r="W208" s="14">
        <f>IFERROR(__xludf.DUMMYFUNCTION("""COMPUTED_VALUE"""),1.52862431E8)</f>
        <v>152862431</v>
      </c>
      <c r="X208" s="14">
        <f>IFERROR(__xludf.DUMMYFUNCTION("""COMPUTED_VALUE"""),0.312)</f>
        <v>0.312</v>
      </c>
      <c r="Y208" s="14" t="str">
        <f>IFERROR(__xludf.DUMMYFUNCTION("""COMPUTED_VALUE"""),"Bangladesh-Asia")</f>
        <v>Bangladesh-Asia</v>
      </c>
      <c r="Z208" s="14" t="str">
        <f>IFERROR(__xludf.DUMMYFUNCTION("""COMPUTED_VALUE"""),"Asia")</f>
        <v>Asia</v>
      </c>
      <c r="AA208" s="14" t="str">
        <f>IFERROR(__xludf.DUMMYFUNCTION("""COMPUTED_VALUE"""),"2011")</f>
        <v>2011</v>
      </c>
      <c r="AB208" s="15" t="str">
        <f>IFERROR(__xludf.DUMMYFUNCTION("ARRAYFORMULA(VLOOKUP(A208,IMPORTRANGE(""https://docs.google.com/spreadsheets/d/1BuTWp7qHGjWhqrnf-OmePP568O4A5Am9ttzvVdP67zw/edit#gid=1931367683"" ,""ENERGY!$A$2:$F$2692""), {2,3,4,5,6},0))"),"Asia")</f>
        <v>Asia</v>
      </c>
      <c r="AC208" s="14" t="str">
        <f>IFERROR(__xludf.DUMMYFUNCTION("""COMPUTED_VALUE"""),"Bangladesh-Asia")</f>
        <v>Bangladesh-Asia</v>
      </c>
      <c r="AD208" s="14" t="str">
        <f>IFERROR(__xludf.DUMMYFUNCTION("""COMPUTED_VALUE"""),"2012")</f>
        <v>2012</v>
      </c>
      <c r="AE208" s="14">
        <f>IFERROR(__xludf.DUMMYFUNCTION("""COMPUTED_VALUE"""),20223.0)</f>
        <v>20223</v>
      </c>
      <c r="AF208" s="14">
        <f>IFERROR(__xludf.DUMMYFUNCTION("""COMPUTED_VALUE"""),32457.0)</f>
        <v>32457</v>
      </c>
    </row>
    <row r="209">
      <c r="A209" s="12">
        <v>208.0</v>
      </c>
      <c r="B209" s="12" t="s">
        <v>94</v>
      </c>
      <c r="C209" s="5" t="s">
        <v>61</v>
      </c>
      <c r="D209" s="11">
        <v>0.35</v>
      </c>
      <c r="E209" s="11">
        <v>19.0</v>
      </c>
      <c r="F209" s="11">
        <v>132.0</v>
      </c>
      <c r="G209" s="11">
        <v>302.0</v>
      </c>
      <c r="H209" s="11">
        <v>0.058</v>
      </c>
      <c r="I209" s="11">
        <v>0.628</v>
      </c>
      <c r="J209" s="9" t="s">
        <v>73</v>
      </c>
      <c r="K209" s="14" t="str">
        <f>IFERROR(__xludf.DUMMYFUNCTION("ARRAYFORMULA(VLOOKUP(A209,IMPORTRANGE(""https://docs.google.com/spreadsheets/d/1BuTWp7qHGjWhqrnf-OmePP568O4A5Am9ttzvVdP67zw/edit#gid=1603210130"", ""TOURISM!$A$2:$F$2692""), {2,3,4,5,6},0))"),"Asia")</f>
        <v>Asia</v>
      </c>
      <c r="L209" s="14">
        <f>IFERROR(__xludf.DUMMYFUNCTION("""COMPUTED_VALUE"""),1.1E8)</f>
        <v>110000000</v>
      </c>
      <c r="M209" s="14" t="str">
        <f>IFERROR(__xludf.DUMMYFUNCTION("""COMPUTED_VALUE"""),"Bangladesh-Asia")</f>
        <v>Bangladesh-Asia</v>
      </c>
      <c r="N209" s="14" t="str">
        <f>IFERROR(__xludf.DUMMYFUNCTION("""COMPUTED_VALUE"""),"2012")</f>
        <v>2012</v>
      </c>
      <c r="O209" s="14">
        <f>IFERROR(__xludf.DUMMYFUNCTION("""COMPUTED_VALUE"""),8.29E8)</f>
        <v>829000000</v>
      </c>
      <c r="P209" s="15">
        <f>IFERROR(__xludf.DUMMYFUNCTION("ARRAYFORMULA(VLOOKUP(A209,IMPORTRANGE(""https://docs.google.com/spreadsheets/d/1BuTWp7qHGjWhqrnf-OmePP568O4A5Am9ttzvVdP67zw/edit#gid=771602874"" ,""HUMAN RESOURCES!$A$2:$M$2692""), {2,3,4,5,6,7,8,9,10,11,12,13},0))"),0.02)</f>
        <v>0.02</v>
      </c>
      <c r="Q209" s="14">
        <f>IFERROR(__xludf.DUMMYFUNCTION("""COMPUTED_VALUE"""),0.035)</f>
        <v>0.035</v>
      </c>
      <c r="R209" s="14">
        <f>IFERROR(__xludf.DUMMYFUNCTION("""COMPUTED_VALUE"""),71.0)</f>
        <v>71</v>
      </c>
      <c r="S209" s="14">
        <f>IFERROR(__xludf.DUMMYFUNCTION("""COMPUTED_VALUE"""),70.0)</f>
        <v>70</v>
      </c>
      <c r="T209" s="14">
        <f>IFERROR(__xludf.DUMMYFUNCTION("""COMPUTED_VALUE"""),0.306)</f>
        <v>0.306</v>
      </c>
      <c r="U209" s="14">
        <f>IFERROR(__xludf.DUMMYFUNCTION("""COMPUTED_VALUE"""),0.647)</f>
        <v>0.647</v>
      </c>
      <c r="V209" s="14">
        <f>IFERROR(__xludf.DUMMYFUNCTION("""COMPUTED_VALUE"""),0.047)</f>
        <v>0.047</v>
      </c>
      <c r="W209" s="14">
        <f>IFERROR(__xludf.DUMMYFUNCTION("""COMPUTED_VALUE"""),1.54695368E8)</f>
        <v>154695368</v>
      </c>
      <c r="X209" s="14">
        <f>IFERROR(__xludf.DUMMYFUNCTION("""COMPUTED_VALUE"""),0.32)</f>
        <v>0.32</v>
      </c>
      <c r="Y209" s="14" t="str">
        <f>IFERROR(__xludf.DUMMYFUNCTION("""COMPUTED_VALUE"""),"Bangladesh-Asia")</f>
        <v>Bangladesh-Asia</v>
      </c>
      <c r="Z209" s="14" t="str">
        <f>IFERROR(__xludf.DUMMYFUNCTION("""COMPUTED_VALUE"""),"Asia")</f>
        <v>Asia</v>
      </c>
      <c r="AA209" s="14" t="str">
        <f>IFERROR(__xludf.DUMMYFUNCTION("""COMPUTED_VALUE"""),"2012")</f>
        <v>2012</v>
      </c>
      <c r="AB209" s="15" t="str">
        <f>IFERROR(__xludf.DUMMYFUNCTION("ARRAYFORMULA(VLOOKUP(A209,IMPORTRANGE(""https://docs.google.com/spreadsheets/d/1BuTWp7qHGjWhqrnf-OmePP568O4A5Am9ttzvVdP67zw/edit#gid=1931367683"" ,""ENERGY!$A$2:$F$2692""), {2,3,4,5,6},0))"),"Asia")</f>
        <v>Asia</v>
      </c>
      <c r="AC209" s="14" t="str">
        <f>IFERROR(__xludf.DUMMYFUNCTION("""COMPUTED_VALUE"""),"Bangladesh-Asia")</f>
        <v>Bangladesh-Asia</v>
      </c>
      <c r="AD209" s="14" t="str">
        <f>IFERROR(__xludf.DUMMYFUNCTION("""COMPUTED_VALUE"""),"2008")</f>
        <v>2008</v>
      </c>
      <c r="AE209" s="14">
        <f>IFERROR(__xludf.DUMMYFUNCTION("""COMPUTED_VALUE"""),18591.0)</f>
        <v>18591</v>
      </c>
      <c r="AF209" s="14">
        <f>IFERROR(__xludf.DUMMYFUNCTION("""COMPUTED_VALUE"""),27869.0)</f>
        <v>27869</v>
      </c>
    </row>
    <row r="210">
      <c r="A210" s="12">
        <v>209.0</v>
      </c>
      <c r="B210" s="12" t="s">
        <v>95</v>
      </c>
      <c r="C210" s="5" t="s">
        <v>84</v>
      </c>
      <c r="D210" s="8"/>
      <c r="E210" s="8"/>
      <c r="F210" s="8"/>
      <c r="G210" s="8"/>
      <c r="H210" s="11">
        <v>0.04</v>
      </c>
      <c r="I210" s="11">
        <v>0.107</v>
      </c>
      <c r="J210" s="9" t="s">
        <v>60</v>
      </c>
      <c r="K210" s="14" t="str">
        <f>IFERROR(__xludf.DUMMYFUNCTION("ARRAYFORMULA(VLOOKUP(A210,IMPORTRANGE(""https://docs.google.com/spreadsheets/d/1BuTWp7qHGjWhqrnf-OmePP568O4A5Am9ttzvVdP67zw/edit#gid=1603210130"", ""TOURISM!$A$2:$F$2692""), {2,3,4,5,6},0))"),"The Americas")</f>
        <v>The Americas</v>
      </c>
      <c r="L210" s="14">
        <f>IFERROR(__xludf.DUMMYFUNCTION("""COMPUTED_VALUE"""),7.33E8)</f>
        <v>733000000</v>
      </c>
      <c r="M210" s="14" t="str">
        <f>IFERROR(__xludf.DUMMYFUNCTION("""COMPUTED_VALUE"""),"Barbados-The Americas")</f>
        <v>Barbados-The Americas</v>
      </c>
      <c r="N210" s="14" t="str">
        <f>IFERROR(__xludf.DUMMYFUNCTION("""COMPUTED_VALUE"""),"2000")</f>
        <v>2000</v>
      </c>
      <c r="O210" s="14">
        <f>IFERROR(__xludf.DUMMYFUNCTION("""COMPUTED_VALUE"""),1.41E8)</f>
        <v>141000000</v>
      </c>
      <c r="P210" s="15">
        <f>IFERROR(__xludf.DUMMYFUNCTION("ARRAYFORMULA(VLOOKUP(A210,IMPORTRANGE(""https://docs.google.com/spreadsheets/d/1BuTWp7qHGjWhqrnf-OmePP568O4A5Am9ttzvVdP67zw/edit#gid=771602874"" ,""HUMAN RESOURCES!$A$2:$M$2692""), {2,3,4,5,6,7,8,9,10,11,12,13},0))"),0.013)</f>
        <v>0.013</v>
      </c>
      <c r="Q210" s="14">
        <f>IFERROR(__xludf.DUMMYFUNCTION("""COMPUTED_VALUE"""),0.015)</f>
        <v>0.015</v>
      </c>
      <c r="R210" s="14">
        <f>IFERROR(__xludf.DUMMYFUNCTION("""COMPUTED_VALUE"""),75.0)</f>
        <v>75</v>
      </c>
      <c r="S210" s="14">
        <f>IFERROR(__xludf.DUMMYFUNCTION("""COMPUTED_VALUE"""),71.0)</f>
        <v>71</v>
      </c>
      <c r="T210" s="14">
        <f>IFERROR(__xludf.DUMMYFUNCTION("""COMPUTED_VALUE"""),0.219)</f>
        <v>0.219</v>
      </c>
      <c r="U210" s="14">
        <f>IFERROR(__xludf.DUMMYFUNCTION("""COMPUTED_VALUE"""),0.666)</f>
        <v>0.666</v>
      </c>
      <c r="V210" s="14">
        <f>IFERROR(__xludf.DUMMYFUNCTION("""COMPUTED_VALUE"""),0.115)</f>
        <v>0.115</v>
      </c>
      <c r="W210" s="14">
        <f>IFERROR(__xludf.DUMMYFUNCTION("""COMPUTED_VALUE"""),267190.0)</f>
        <v>267190</v>
      </c>
      <c r="X210" s="14">
        <f>IFERROR(__xludf.DUMMYFUNCTION("""COMPUTED_VALUE"""),0.338)</f>
        <v>0.338</v>
      </c>
      <c r="Y210" s="14" t="str">
        <f>IFERROR(__xludf.DUMMYFUNCTION("""COMPUTED_VALUE"""),"Barbados-The Americas")</f>
        <v>Barbados-The Americas</v>
      </c>
      <c r="Z210" s="14" t="str">
        <f>IFERROR(__xludf.DUMMYFUNCTION("""COMPUTED_VALUE"""),"The Americas")</f>
        <v>The Americas</v>
      </c>
      <c r="AA210" s="14" t="str">
        <f>IFERROR(__xludf.DUMMYFUNCTION("""COMPUTED_VALUE"""),"2000")</f>
        <v>2000</v>
      </c>
      <c r="AB210" s="15" t="str">
        <f>IFERROR(__xludf.DUMMYFUNCTION("ARRAYFORMULA(VLOOKUP(A210,IMPORTRANGE(""https://docs.google.com/spreadsheets/d/1BuTWp7qHGjWhqrnf-OmePP568O4A5Am9ttzvVdP67zw/edit#gid=1931367683"" ,""ENERGY!$A$2:$F$2692""), {2,3,4,5,6},0))"),"The Americas")</f>
        <v>The Americas</v>
      </c>
      <c r="AC210" s="14" t="str">
        <f>IFERROR(__xludf.DUMMYFUNCTION("""COMPUTED_VALUE"""),"Barbados-The Americas")</f>
        <v>Barbados-The Americas</v>
      </c>
      <c r="AD210" s="14" t="str">
        <f>IFERROR(__xludf.DUMMYFUNCTION("""COMPUTED_VALUE"""),"2000")</f>
        <v>2000</v>
      </c>
      <c r="AE210" s="14"/>
      <c r="AF210" s="14"/>
    </row>
    <row r="211">
      <c r="A211" s="12">
        <v>210.0</v>
      </c>
      <c r="B211" s="12" t="s">
        <v>95</v>
      </c>
      <c r="C211" s="5" t="s">
        <v>84</v>
      </c>
      <c r="D211" s="8"/>
      <c r="E211" s="8"/>
      <c r="F211" s="8"/>
      <c r="G211" s="8"/>
      <c r="H211" s="11">
        <v>0.119</v>
      </c>
      <c r="I211" s="11">
        <v>0.198</v>
      </c>
      <c r="J211" s="9" t="s">
        <v>62</v>
      </c>
      <c r="K211" s="14" t="str">
        <f>IFERROR(__xludf.DUMMYFUNCTION("ARRAYFORMULA(VLOOKUP(A211,IMPORTRANGE(""https://docs.google.com/spreadsheets/d/1BuTWp7qHGjWhqrnf-OmePP568O4A5Am9ttzvVdP67zw/edit#gid=1603210130"", ""TOURISM!$A$2:$F$2692""), {2,3,4,5,6},0))"),"The Americas")</f>
        <v>The Americas</v>
      </c>
      <c r="L211" s="14">
        <f>IFERROR(__xludf.DUMMYFUNCTION("""COMPUTED_VALUE"""),7.06E8)</f>
        <v>706000000</v>
      </c>
      <c r="M211" s="14" t="str">
        <f>IFERROR(__xludf.DUMMYFUNCTION("""COMPUTED_VALUE"""),"Barbados-The Americas")</f>
        <v>Barbados-The Americas</v>
      </c>
      <c r="N211" s="14" t="str">
        <f>IFERROR(__xludf.DUMMYFUNCTION("""COMPUTED_VALUE"""),"2001")</f>
        <v>2001</v>
      </c>
      <c r="O211" s="14">
        <f>IFERROR(__xludf.DUMMYFUNCTION("""COMPUTED_VALUE"""),1.49E8)</f>
        <v>149000000</v>
      </c>
      <c r="P211" s="15">
        <f>IFERROR(__xludf.DUMMYFUNCTION("ARRAYFORMULA(VLOOKUP(A211,IMPORTRANGE(""https://docs.google.com/spreadsheets/d/1BuTWp7qHGjWhqrnf-OmePP568O4A5Am9ttzvVdP67zw/edit#gid=771602874"" ,""HUMAN RESOURCES!$A$2:$M$2692""), {2,3,4,5,6,7,8,9,10,11,12,13},0))"),0.013)</f>
        <v>0.013</v>
      </c>
      <c r="Q211" s="14">
        <f>IFERROR(__xludf.DUMMYFUNCTION("""COMPUTED_VALUE"""),0.015)</f>
        <v>0.015</v>
      </c>
      <c r="R211" s="14">
        <f>IFERROR(__xludf.DUMMYFUNCTION("""COMPUTED_VALUE"""),76.0)</f>
        <v>76</v>
      </c>
      <c r="S211" s="14">
        <f>IFERROR(__xludf.DUMMYFUNCTION("""COMPUTED_VALUE"""),71.0)</f>
        <v>71</v>
      </c>
      <c r="T211" s="14">
        <f>IFERROR(__xludf.DUMMYFUNCTION("""COMPUTED_VALUE"""),0.217)</f>
        <v>0.217</v>
      </c>
      <c r="U211" s="14">
        <f>IFERROR(__xludf.DUMMYFUNCTION("""COMPUTED_VALUE"""),0.669)</f>
        <v>0.669</v>
      </c>
      <c r="V211" s="14">
        <f>IFERROR(__xludf.DUMMYFUNCTION("""COMPUTED_VALUE"""),0.115)</f>
        <v>0.115</v>
      </c>
      <c r="W211" s="14">
        <f>IFERROR(__xludf.DUMMYFUNCTION("""COMPUTED_VALUE"""),268296.0)</f>
        <v>268296</v>
      </c>
      <c r="X211" s="14">
        <f>IFERROR(__xludf.DUMMYFUNCTION("""COMPUTED_VALUE"""),0.337)</f>
        <v>0.337</v>
      </c>
      <c r="Y211" s="14" t="str">
        <f>IFERROR(__xludf.DUMMYFUNCTION("""COMPUTED_VALUE"""),"Barbados-The Americas")</f>
        <v>Barbados-The Americas</v>
      </c>
      <c r="Z211" s="14" t="str">
        <f>IFERROR(__xludf.DUMMYFUNCTION("""COMPUTED_VALUE"""),"The Americas")</f>
        <v>The Americas</v>
      </c>
      <c r="AA211" s="14" t="str">
        <f>IFERROR(__xludf.DUMMYFUNCTION("""COMPUTED_VALUE"""),"2001")</f>
        <v>2001</v>
      </c>
      <c r="AB211" s="15" t="str">
        <f>IFERROR(__xludf.DUMMYFUNCTION("ARRAYFORMULA(VLOOKUP(A211,IMPORTRANGE(""https://docs.google.com/spreadsheets/d/1BuTWp7qHGjWhqrnf-OmePP568O4A5Am9ttzvVdP67zw/edit#gid=1931367683"" ,""ENERGY!$A$2:$F$2692""), {2,3,4,5,6},0))"),"The Americas")</f>
        <v>The Americas</v>
      </c>
      <c r="AC211" s="14" t="str">
        <f>IFERROR(__xludf.DUMMYFUNCTION("""COMPUTED_VALUE"""),"Barbados-The Americas")</f>
        <v>Barbados-The Americas</v>
      </c>
      <c r="AD211" s="14" t="str">
        <f>IFERROR(__xludf.DUMMYFUNCTION("""COMPUTED_VALUE"""),"2001")</f>
        <v>2001</v>
      </c>
      <c r="AE211" s="14"/>
      <c r="AF211" s="14"/>
    </row>
    <row r="212">
      <c r="A212" s="12">
        <v>211.0</v>
      </c>
      <c r="B212" s="12" t="s">
        <v>95</v>
      </c>
      <c r="C212" s="5" t="s">
        <v>84</v>
      </c>
      <c r="D212" s="8"/>
      <c r="E212" s="8"/>
      <c r="F212" s="8"/>
      <c r="G212" s="8"/>
      <c r="H212" s="11">
        <v>0.278</v>
      </c>
      <c r="I212" s="11">
        <v>0.361</v>
      </c>
      <c r="J212" s="9" t="s">
        <v>63</v>
      </c>
      <c r="K212" s="14" t="str">
        <f>IFERROR(__xludf.DUMMYFUNCTION("ARRAYFORMULA(VLOOKUP(A212,IMPORTRANGE(""https://docs.google.com/spreadsheets/d/1BuTWp7qHGjWhqrnf-OmePP568O4A5Am9ttzvVdP67zw/edit#gid=1603210130"", ""TOURISM!$A$2:$F$2692""), {2,3,4,5,6},0))"),"The Americas")</f>
        <v>The Americas</v>
      </c>
      <c r="L212" s="14">
        <f>IFERROR(__xludf.DUMMYFUNCTION("""COMPUTED_VALUE"""),6.66E8)</f>
        <v>666000000</v>
      </c>
      <c r="M212" s="14" t="str">
        <f>IFERROR(__xludf.DUMMYFUNCTION("""COMPUTED_VALUE"""),"Barbados-The Americas")</f>
        <v>Barbados-The Americas</v>
      </c>
      <c r="N212" s="14" t="str">
        <f>IFERROR(__xludf.DUMMYFUNCTION("""COMPUTED_VALUE"""),"2002")</f>
        <v>2002</v>
      </c>
      <c r="O212" s="14">
        <f>IFERROR(__xludf.DUMMYFUNCTION("""COMPUTED_VALUE"""),1.46E8)</f>
        <v>146000000</v>
      </c>
      <c r="P212" s="15">
        <f>IFERROR(__xludf.DUMMYFUNCTION("ARRAYFORMULA(VLOOKUP(A212,IMPORTRANGE(""https://docs.google.com/spreadsheets/d/1BuTWp7qHGjWhqrnf-OmePP568O4A5Am9ttzvVdP67zw/edit#gid=771602874"" ,""HUMAN RESOURCES!$A$2:$M$2692""), {2,3,4,5,6,7,8,9,10,11,12,13},0))"),0.013)</f>
        <v>0.013</v>
      </c>
      <c r="Q212" s="14">
        <f>IFERROR(__xludf.DUMMYFUNCTION("""COMPUTED_VALUE"""),0.015)</f>
        <v>0.015</v>
      </c>
      <c r="R212" s="14">
        <f>IFERROR(__xludf.DUMMYFUNCTION("""COMPUTED_VALUE"""),76.0)</f>
        <v>76</v>
      </c>
      <c r="S212" s="14">
        <f>IFERROR(__xludf.DUMMYFUNCTION("""COMPUTED_VALUE"""),71.0)</f>
        <v>71</v>
      </c>
      <c r="T212" s="14">
        <f>IFERROR(__xludf.DUMMYFUNCTION("""COMPUTED_VALUE"""),0.214)</f>
        <v>0.214</v>
      </c>
      <c r="U212" s="14">
        <f>IFERROR(__xludf.DUMMYFUNCTION("""COMPUTED_VALUE"""),0.672)</f>
        <v>0.672</v>
      </c>
      <c r="V212" s="14">
        <f>IFERROR(__xludf.DUMMYFUNCTION("""COMPUTED_VALUE"""),0.114)</f>
        <v>0.114</v>
      </c>
      <c r="W212" s="14">
        <f>IFERROR(__xludf.DUMMYFUNCTION("""COMPUTED_VALUE"""),269524.0)</f>
        <v>269524</v>
      </c>
      <c r="X212" s="14">
        <f>IFERROR(__xludf.DUMMYFUNCTION("""COMPUTED_VALUE"""),0.335)</f>
        <v>0.335</v>
      </c>
      <c r="Y212" s="14" t="str">
        <f>IFERROR(__xludf.DUMMYFUNCTION("""COMPUTED_VALUE"""),"Barbados-The Americas")</f>
        <v>Barbados-The Americas</v>
      </c>
      <c r="Z212" s="14" t="str">
        <f>IFERROR(__xludf.DUMMYFUNCTION("""COMPUTED_VALUE"""),"The Americas")</f>
        <v>The Americas</v>
      </c>
      <c r="AA212" s="14" t="str">
        <f>IFERROR(__xludf.DUMMYFUNCTION("""COMPUTED_VALUE"""),"2002")</f>
        <v>2002</v>
      </c>
      <c r="AB212" s="15" t="str">
        <f>IFERROR(__xludf.DUMMYFUNCTION("ARRAYFORMULA(VLOOKUP(A212,IMPORTRANGE(""https://docs.google.com/spreadsheets/d/1BuTWp7qHGjWhqrnf-OmePP568O4A5Am9ttzvVdP67zw/edit#gid=1931367683"" ,""ENERGY!$A$2:$F$2692""), {2,3,4,5,6},0))"),"The Americas")</f>
        <v>The Americas</v>
      </c>
      <c r="AC212" s="14" t="str">
        <f>IFERROR(__xludf.DUMMYFUNCTION("""COMPUTED_VALUE"""),"Barbados-The Americas")</f>
        <v>Barbados-The Americas</v>
      </c>
      <c r="AD212" s="14" t="str">
        <f>IFERROR(__xludf.DUMMYFUNCTION("""COMPUTED_VALUE"""),"2002")</f>
        <v>2002</v>
      </c>
      <c r="AE212" s="14"/>
      <c r="AF212" s="14">
        <f>IFERROR(__xludf.DUMMYFUNCTION("""COMPUTED_VALUE"""),1503.0)</f>
        <v>1503</v>
      </c>
    </row>
    <row r="213">
      <c r="A213" s="12">
        <v>212.0</v>
      </c>
      <c r="B213" s="12" t="s">
        <v>95</v>
      </c>
      <c r="C213" s="5" t="s">
        <v>84</v>
      </c>
      <c r="D213" s="8"/>
      <c r="E213" s="8"/>
      <c r="F213" s="8"/>
      <c r="G213" s="8"/>
      <c r="H213" s="11">
        <v>0.397</v>
      </c>
      <c r="I213" s="11">
        <v>0.517</v>
      </c>
      <c r="J213" s="9" t="s">
        <v>64</v>
      </c>
      <c r="K213" s="14" t="str">
        <f>IFERROR(__xludf.DUMMYFUNCTION("ARRAYFORMULA(VLOOKUP(A213,IMPORTRANGE(""https://docs.google.com/spreadsheets/d/1BuTWp7qHGjWhqrnf-OmePP568O4A5Am9ttzvVdP67zw/edit#gid=1603210130"", ""TOURISM!$A$2:$F$2692""), {2,3,4,5,6},0))"),"The Americas")</f>
        <v>The Americas</v>
      </c>
      <c r="L213" s="14">
        <f>IFERROR(__xludf.DUMMYFUNCTION("""COMPUTED_VALUE"""),7.67E8)</f>
        <v>767000000</v>
      </c>
      <c r="M213" s="14" t="str">
        <f>IFERROR(__xludf.DUMMYFUNCTION("""COMPUTED_VALUE"""),"Barbados-The Americas")</f>
        <v>Barbados-The Americas</v>
      </c>
      <c r="N213" s="14" t="str">
        <f>IFERROR(__xludf.DUMMYFUNCTION("""COMPUTED_VALUE"""),"2003")</f>
        <v>2003</v>
      </c>
      <c r="O213" s="14">
        <f>IFERROR(__xludf.DUMMYFUNCTION("""COMPUTED_VALUE"""),1.53E8)</f>
        <v>153000000</v>
      </c>
      <c r="P213" s="15">
        <f>IFERROR(__xludf.DUMMYFUNCTION("ARRAYFORMULA(VLOOKUP(A213,IMPORTRANGE(""https://docs.google.com/spreadsheets/d/1BuTWp7qHGjWhqrnf-OmePP568O4A5Am9ttzvVdP67zw/edit#gid=771602874"" ,""HUMAN RESOURCES!$A$2:$M$2692""), {2,3,4,5,6,7,8,9,10,11,12,13},0))"),0.013)</f>
        <v>0.013</v>
      </c>
      <c r="Q213" s="14">
        <f>IFERROR(__xludf.DUMMYFUNCTION("""COMPUTED_VALUE"""),0.015)</f>
        <v>0.015</v>
      </c>
      <c r="R213" s="14">
        <f>IFERROR(__xludf.DUMMYFUNCTION("""COMPUTED_VALUE"""),76.0)</f>
        <v>76</v>
      </c>
      <c r="S213" s="14">
        <f>IFERROR(__xludf.DUMMYFUNCTION("""COMPUTED_VALUE"""),71.0)</f>
        <v>71</v>
      </c>
      <c r="T213" s="14">
        <f>IFERROR(__xludf.DUMMYFUNCTION("""COMPUTED_VALUE"""),0.211)</f>
        <v>0.211</v>
      </c>
      <c r="U213" s="14">
        <f>IFERROR(__xludf.DUMMYFUNCTION("""COMPUTED_VALUE"""),0.677)</f>
        <v>0.677</v>
      </c>
      <c r="V213" s="14">
        <f>IFERROR(__xludf.DUMMYFUNCTION("""COMPUTED_VALUE"""),0.112)</f>
        <v>0.112</v>
      </c>
      <c r="W213" s="14">
        <f>IFERROR(__xludf.DUMMYFUNCTION("""COMPUTED_VALUE"""),270844.0)</f>
        <v>270844</v>
      </c>
      <c r="X213" s="14">
        <f>IFERROR(__xludf.DUMMYFUNCTION("""COMPUTED_VALUE"""),0.333)</f>
        <v>0.333</v>
      </c>
      <c r="Y213" s="14" t="str">
        <f>IFERROR(__xludf.DUMMYFUNCTION("""COMPUTED_VALUE"""),"Barbados-The Americas")</f>
        <v>Barbados-The Americas</v>
      </c>
      <c r="Z213" s="14" t="str">
        <f>IFERROR(__xludf.DUMMYFUNCTION("""COMPUTED_VALUE"""),"The Americas")</f>
        <v>The Americas</v>
      </c>
      <c r="AA213" s="14" t="str">
        <f>IFERROR(__xludf.DUMMYFUNCTION("""COMPUTED_VALUE"""),"2003")</f>
        <v>2003</v>
      </c>
      <c r="AB213" s="15" t="str">
        <f>IFERROR(__xludf.DUMMYFUNCTION("ARRAYFORMULA(VLOOKUP(A213,IMPORTRANGE(""https://docs.google.com/spreadsheets/d/1BuTWp7qHGjWhqrnf-OmePP568O4A5Am9ttzvVdP67zw/edit#gid=1931367683"" ,""ENERGY!$A$2:$F$2692""), {2,3,4,5,6},0))"),"The Americas")</f>
        <v>The Americas</v>
      </c>
      <c r="AC213" s="14" t="str">
        <f>IFERROR(__xludf.DUMMYFUNCTION("""COMPUTED_VALUE"""),"Barbados-The Americas")</f>
        <v>Barbados-The Americas</v>
      </c>
      <c r="AD213" s="14" t="str">
        <f>IFERROR(__xludf.DUMMYFUNCTION("""COMPUTED_VALUE"""),"2003")</f>
        <v>2003</v>
      </c>
      <c r="AE213" s="14"/>
      <c r="AF213" s="14">
        <f>IFERROR(__xludf.DUMMYFUNCTION("""COMPUTED_VALUE"""),1624.0)</f>
        <v>1624</v>
      </c>
    </row>
    <row r="214">
      <c r="A214" s="12">
        <v>213.0</v>
      </c>
      <c r="B214" s="12" t="s">
        <v>95</v>
      </c>
      <c r="C214" s="5" t="s">
        <v>84</v>
      </c>
      <c r="D214" s="8"/>
      <c r="E214" s="8"/>
      <c r="F214" s="8"/>
      <c r="G214" s="8"/>
      <c r="H214" s="11">
        <v>0.498</v>
      </c>
      <c r="I214" s="11">
        <v>0.735</v>
      </c>
      <c r="J214" s="9" t="s">
        <v>65</v>
      </c>
      <c r="K214" s="14" t="str">
        <f>IFERROR(__xludf.DUMMYFUNCTION("ARRAYFORMULA(VLOOKUP(A214,IMPORTRANGE(""https://docs.google.com/spreadsheets/d/1BuTWp7qHGjWhqrnf-OmePP568O4A5Am9ttzvVdP67zw/edit#gid=1603210130"", ""TOURISM!$A$2:$F$2692""), {2,3,4,5,6},0))"),"The Americas")</f>
        <v>The Americas</v>
      </c>
      <c r="L214" s="14">
        <f>IFERROR(__xludf.DUMMYFUNCTION("""COMPUTED_VALUE"""),7.84E8)</f>
        <v>784000000</v>
      </c>
      <c r="M214" s="14" t="str">
        <f>IFERROR(__xludf.DUMMYFUNCTION("""COMPUTED_VALUE"""),"Barbados-The Americas")</f>
        <v>Barbados-The Americas</v>
      </c>
      <c r="N214" s="14" t="str">
        <f>IFERROR(__xludf.DUMMYFUNCTION("""COMPUTED_VALUE"""),"2004")</f>
        <v>2004</v>
      </c>
      <c r="O214" s="14">
        <f>IFERROR(__xludf.DUMMYFUNCTION("""COMPUTED_VALUE"""),1.63E8)</f>
        <v>163000000</v>
      </c>
      <c r="P214" s="15">
        <f>IFERROR(__xludf.DUMMYFUNCTION("ARRAYFORMULA(VLOOKUP(A214,IMPORTRANGE(""https://docs.google.com/spreadsheets/d/1BuTWp7qHGjWhqrnf-OmePP568O4A5Am9ttzvVdP67zw/edit#gid=771602874"" ,""HUMAN RESOURCES!$A$2:$M$2692""), {2,3,4,5,6,7,8,9,10,11,12,13},0))"),0.013)</f>
        <v>0.013</v>
      </c>
      <c r="Q214" s="14">
        <f>IFERROR(__xludf.DUMMYFUNCTION("""COMPUTED_VALUE"""),0.015)</f>
        <v>0.015</v>
      </c>
      <c r="R214" s="14">
        <f>IFERROR(__xludf.DUMMYFUNCTION("""COMPUTED_VALUE"""),76.0)</f>
        <v>76</v>
      </c>
      <c r="S214" s="14">
        <f>IFERROR(__xludf.DUMMYFUNCTION("""COMPUTED_VALUE"""),71.0)</f>
        <v>71</v>
      </c>
      <c r="T214" s="14">
        <f>IFERROR(__xludf.DUMMYFUNCTION("""COMPUTED_VALUE"""),0.209)</f>
        <v>0.209</v>
      </c>
      <c r="U214" s="14">
        <f>IFERROR(__xludf.DUMMYFUNCTION("""COMPUTED_VALUE"""),0.681)</f>
        <v>0.681</v>
      </c>
      <c r="V214" s="14">
        <f>IFERROR(__xludf.DUMMYFUNCTION("""COMPUTED_VALUE"""),0.11)</f>
        <v>0.11</v>
      </c>
      <c r="W214" s="14">
        <f>IFERROR(__xludf.DUMMYFUNCTION("""COMPUTED_VALUE"""),272205.0)</f>
        <v>272205</v>
      </c>
      <c r="X214" s="14">
        <f>IFERROR(__xludf.DUMMYFUNCTION("""COMPUTED_VALUE"""),0.331)</f>
        <v>0.331</v>
      </c>
      <c r="Y214" s="14" t="str">
        <f>IFERROR(__xludf.DUMMYFUNCTION("""COMPUTED_VALUE"""),"Barbados-The Americas")</f>
        <v>Barbados-The Americas</v>
      </c>
      <c r="Z214" s="14" t="str">
        <f>IFERROR(__xludf.DUMMYFUNCTION("""COMPUTED_VALUE"""),"The Americas")</f>
        <v>The Americas</v>
      </c>
      <c r="AA214" s="14" t="str">
        <f>IFERROR(__xludf.DUMMYFUNCTION("""COMPUTED_VALUE"""),"2004")</f>
        <v>2004</v>
      </c>
      <c r="AB214" s="15" t="str">
        <f>IFERROR(__xludf.DUMMYFUNCTION("ARRAYFORMULA(VLOOKUP(A214,IMPORTRANGE(""https://docs.google.com/spreadsheets/d/1BuTWp7qHGjWhqrnf-OmePP568O4A5Am9ttzvVdP67zw/edit#gid=1931367683"" ,""ENERGY!$A$2:$F$2692""), {2,3,4,5,6},0))"),"The Americas")</f>
        <v>The Americas</v>
      </c>
      <c r="AC214" s="14" t="str">
        <f>IFERROR(__xludf.DUMMYFUNCTION("""COMPUTED_VALUE"""),"Barbados-The Americas")</f>
        <v>Barbados-The Americas</v>
      </c>
      <c r="AD214" s="14" t="str">
        <f>IFERROR(__xludf.DUMMYFUNCTION("""COMPUTED_VALUE"""),"2004")</f>
        <v>2004</v>
      </c>
      <c r="AE214" s="14"/>
      <c r="AF214" s="14">
        <f>IFERROR(__xludf.DUMMYFUNCTION("""COMPUTED_VALUE"""),1635.0)</f>
        <v>1635</v>
      </c>
    </row>
    <row r="215">
      <c r="A215" s="12">
        <v>214.0</v>
      </c>
      <c r="B215" s="12" t="s">
        <v>95</v>
      </c>
      <c r="C215" s="5" t="s">
        <v>84</v>
      </c>
      <c r="D215" s="8"/>
      <c r="E215" s="8"/>
      <c r="F215" s="8"/>
      <c r="G215" s="8"/>
      <c r="H215" s="11">
        <v>0.525</v>
      </c>
      <c r="I215" s="11">
        <v>0.754</v>
      </c>
      <c r="J215" s="9" t="s">
        <v>66</v>
      </c>
      <c r="K215" s="14" t="str">
        <f>IFERROR(__xludf.DUMMYFUNCTION("ARRAYFORMULA(VLOOKUP(A215,IMPORTRANGE(""https://docs.google.com/spreadsheets/d/1BuTWp7qHGjWhqrnf-OmePP568O4A5Am9ttzvVdP67zw/edit#gid=1603210130"", ""TOURISM!$A$2:$F$2692""), {2,3,4,5,6},0))"),"The Americas")</f>
        <v>The Americas</v>
      </c>
      <c r="L215" s="14">
        <f>IFERROR(__xludf.DUMMYFUNCTION("""COMPUTED_VALUE"""),1.081E9)</f>
        <v>1081000000</v>
      </c>
      <c r="M215" s="14" t="str">
        <f>IFERROR(__xludf.DUMMYFUNCTION("""COMPUTED_VALUE"""),"Barbados-The Americas")</f>
        <v>Barbados-The Americas</v>
      </c>
      <c r="N215" s="14" t="str">
        <f>IFERROR(__xludf.DUMMYFUNCTION("""COMPUTED_VALUE"""),"2005")</f>
        <v>2005</v>
      </c>
      <c r="O215" s="14">
        <f>IFERROR(__xludf.DUMMYFUNCTION("""COMPUTED_VALUE"""),2.74E8)</f>
        <v>274000000</v>
      </c>
      <c r="P215" s="15">
        <f>IFERROR(__xludf.DUMMYFUNCTION("ARRAYFORMULA(VLOOKUP(A215,IMPORTRANGE(""https://docs.google.com/spreadsheets/d/1BuTWp7qHGjWhqrnf-OmePP568O4A5Am9ttzvVdP67zw/edit#gid=771602874"" ,""HUMAN RESOURCES!$A$2:$M$2692""), {2,3,4,5,6,7,8,9,10,11,12,13},0))"),0.013)</f>
        <v>0.013</v>
      </c>
      <c r="Q215" s="14">
        <f>IFERROR(__xludf.DUMMYFUNCTION("""COMPUTED_VALUE"""),0.015)</f>
        <v>0.015</v>
      </c>
      <c r="R215" s="14">
        <f>IFERROR(__xludf.DUMMYFUNCTION("""COMPUTED_VALUE"""),76.0)</f>
        <v>76</v>
      </c>
      <c r="S215" s="14">
        <f>IFERROR(__xludf.DUMMYFUNCTION("""COMPUTED_VALUE"""),72.0)</f>
        <v>72</v>
      </c>
      <c r="T215" s="14">
        <f>IFERROR(__xludf.DUMMYFUNCTION("""COMPUTED_VALUE"""),0.206)</f>
        <v>0.206</v>
      </c>
      <c r="U215" s="14">
        <f>IFERROR(__xludf.DUMMYFUNCTION("""COMPUTED_VALUE"""),0.686)</f>
        <v>0.686</v>
      </c>
      <c r="V215" s="14">
        <f>IFERROR(__xludf.DUMMYFUNCTION("""COMPUTED_VALUE"""),0.108)</f>
        <v>0.108</v>
      </c>
      <c r="W215" s="14">
        <f>IFERROR(__xludf.DUMMYFUNCTION("""COMPUTED_VALUE"""),273568.0)</f>
        <v>273568</v>
      </c>
      <c r="X215" s="14">
        <f>IFERROR(__xludf.DUMMYFUNCTION("""COMPUTED_VALUE"""),0.329)</f>
        <v>0.329</v>
      </c>
      <c r="Y215" s="14" t="str">
        <f>IFERROR(__xludf.DUMMYFUNCTION("""COMPUTED_VALUE"""),"Barbados-The Americas")</f>
        <v>Barbados-The Americas</v>
      </c>
      <c r="Z215" s="14" t="str">
        <f>IFERROR(__xludf.DUMMYFUNCTION("""COMPUTED_VALUE"""),"The Americas")</f>
        <v>The Americas</v>
      </c>
      <c r="AA215" s="14" t="str">
        <f>IFERROR(__xludf.DUMMYFUNCTION("""COMPUTED_VALUE"""),"2005")</f>
        <v>2005</v>
      </c>
      <c r="AB215" s="15" t="str">
        <f>IFERROR(__xludf.DUMMYFUNCTION("ARRAYFORMULA(VLOOKUP(A215,IMPORTRANGE(""https://docs.google.com/spreadsheets/d/1BuTWp7qHGjWhqrnf-OmePP568O4A5Am9ttzvVdP67zw/edit#gid=1931367683"" ,""ENERGY!$A$2:$F$2692""), {2,3,4,5,6},0))"),"The Americas")</f>
        <v>The Americas</v>
      </c>
      <c r="AC215" s="14" t="str">
        <f>IFERROR(__xludf.DUMMYFUNCTION("""COMPUTED_VALUE"""),"Barbados-The Americas")</f>
        <v>Barbados-The Americas</v>
      </c>
      <c r="AD215" s="14" t="str">
        <f>IFERROR(__xludf.DUMMYFUNCTION("""COMPUTED_VALUE"""),"2005")</f>
        <v>2005</v>
      </c>
      <c r="AE215" s="14">
        <f>IFERROR(__xludf.DUMMYFUNCTION("""COMPUTED_VALUE"""),401.0)</f>
        <v>401</v>
      </c>
      <c r="AF215" s="14">
        <f>IFERROR(__xludf.DUMMYFUNCTION("""COMPUTED_VALUE"""),1426.0)</f>
        <v>1426</v>
      </c>
    </row>
    <row r="216">
      <c r="A216" s="12">
        <v>215.0</v>
      </c>
      <c r="B216" s="12" t="s">
        <v>95</v>
      </c>
      <c r="C216" s="5" t="s">
        <v>84</v>
      </c>
      <c r="D216" s="8"/>
      <c r="E216" s="8"/>
      <c r="F216" s="8"/>
      <c r="G216" s="8"/>
      <c r="H216" s="11">
        <v>0.553</v>
      </c>
      <c r="I216" s="11">
        <v>0.862</v>
      </c>
      <c r="J216" s="9" t="s">
        <v>67</v>
      </c>
      <c r="K216" s="14" t="str">
        <f>IFERROR(__xludf.DUMMYFUNCTION("ARRAYFORMULA(VLOOKUP(A216,IMPORTRANGE(""https://docs.google.com/spreadsheets/d/1BuTWp7qHGjWhqrnf-OmePP568O4A5Am9ttzvVdP67zw/edit#gid=1603210130"", ""TOURISM!$A$2:$F$2692""), {2,3,4,5,6},0))"),"The Americas")</f>
        <v>The Americas</v>
      </c>
      <c r="L216" s="14">
        <f>IFERROR(__xludf.DUMMYFUNCTION("""COMPUTED_VALUE"""),1.235E9)</f>
        <v>1235000000</v>
      </c>
      <c r="M216" s="14" t="str">
        <f>IFERROR(__xludf.DUMMYFUNCTION("""COMPUTED_VALUE"""),"Barbados-The Americas")</f>
        <v>Barbados-The Americas</v>
      </c>
      <c r="N216" s="14" t="str">
        <f>IFERROR(__xludf.DUMMYFUNCTION("""COMPUTED_VALUE"""),"2006")</f>
        <v>2006</v>
      </c>
      <c r="O216" s="14">
        <f>IFERROR(__xludf.DUMMYFUNCTION("""COMPUTED_VALUE"""),2.84E8)</f>
        <v>284000000</v>
      </c>
      <c r="P216" s="15">
        <f>IFERROR(__xludf.DUMMYFUNCTION("ARRAYFORMULA(VLOOKUP(A216,IMPORTRANGE(""https://docs.google.com/spreadsheets/d/1BuTWp7qHGjWhqrnf-OmePP568O4A5Am9ttzvVdP67zw/edit#gid=771602874"" ,""HUMAN RESOURCES!$A$2:$M$2692""), {2,3,4,5,6,7,8,9,10,11,12,13},0))"),0.013)</f>
        <v>0.013</v>
      </c>
      <c r="Q216" s="14">
        <f>IFERROR(__xludf.DUMMYFUNCTION("""COMPUTED_VALUE"""),0.014)</f>
        <v>0.014</v>
      </c>
      <c r="R216" s="14">
        <f>IFERROR(__xludf.DUMMYFUNCTION("""COMPUTED_VALUE"""),77.0)</f>
        <v>77</v>
      </c>
      <c r="S216" s="14">
        <f>IFERROR(__xludf.DUMMYFUNCTION("""COMPUTED_VALUE"""),72.0)</f>
        <v>72</v>
      </c>
      <c r="T216" s="14">
        <f>IFERROR(__xludf.DUMMYFUNCTION("""COMPUTED_VALUE"""),0.203)</f>
        <v>0.203</v>
      </c>
      <c r="U216" s="14">
        <f>IFERROR(__xludf.DUMMYFUNCTION("""COMPUTED_VALUE"""),0.69)</f>
        <v>0.69</v>
      </c>
      <c r="V216" s="14">
        <f>IFERROR(__xludf.DUMMYFUNCTION("""COMPUTED_VALUE"""),0.107)</f>
        <v>0.107</v>
      </c>
      <c r="W216" s="14">
        <f>IFERROR(__xludf.DUMMYFUNCTION("""COMPUTED_VALUE"""),274923.0)</f>
        <v>274923</v>
      </c>
      <c r="X216" s="14">
        <f>IFERROR(__xludf.DUMMYFUNCTION("""COMPUTED_VALUE"""),0.328)</f>
        <v>0.328</v>
      </c>
      <c r="Y216" s="14" t="str">
        <f>IFERROR(__xludf.DUMMYFUNCTION("""COMPUTED_VALUE"""),"Barbados-The Americas")</f>
        <v>Barbados-The Americas</v>
      </c>
      <c r="Z216" s="14" t="str">
        <f>IFERROR(__xludf.DUMMYFUNCTION("""COMPUTED_VALUE"""),"The Americas")</f>
        <v>The Americas</v>
      </c>
      <c r="AA216" s="14" t="str">
        <f>IFERROR(__xludf.DUMMYFUNCTION("""COMPUTED_VALUE"""),"2006")</f>
        <v>2006</v>
      </c>
      <c r="AB216" s="15" t="str">
        <f>IFERROR(__xludf.DUMMYFUNCTION("ARRAYFORMULA(VLOOKUP(A216,IMPORTRANGE(""https://docs.google.com/spreadsheets/d/1BuTWp7qHGjWhqrnf-OmePP568O4A5Am9ttzvVdP67zw/edit#gid=1931367683"" ,""ENERGY!$A$2:$F$2692""), {2,3,4,5,6},0))"),"The Americas")</f>
        <v>The Americas</v>
      </c>
      <c r="AC216" s="14" t="str">
        <f>IFERROR(__xludf.DUMMYFUNCTION("""COMPUTED_VALUE"""),"Barbados-The Americas")</f>
        <v>Barbados-The Americas</v>
      </c>
      <c r="AD216" s="14" t="str">
        <f>IFERROR(__xludf.DUMMYFUNCTION("""COMPUTED_VALUE"""),"2009")</f>
        <v>2009</v>
      </c>
      <c r="AE216" s="14">
        <f>IFERROR(__xludf.DUMMYFUNCTION("""COMPUTED_VALUE"""),398.0)</f>
        <v>398</v>
      </c>
      <c r="AF216" s="14">
        <f>IFERROR(__xludf.DUMMYFUNCTION("""COMPUTED_VALUE"""),1371.0)</f>
        <v>1371</v>
      </c>
    </row>
    <row r="217">
      <c r="A217" s="12">
        <v>216.0</v>
      </c>
      <c r="B217" s="12" t="s">
        <v>95</v>
      </c>
      <c r="C217" s="5" t="s">
        <v>84</v>
      </c>
      <c r="D217" s="8"/>
      <c r="E217" s="8"/>
      <c r="F217" s="8"/>
      <c r="G217" s="8"/>
      <c r="H217" s="11">
        <v>0.582</v>
      </c>
      <c r="I217" s="11">
        <v>0.932</v>
      </c>
      <c r="J217" s="9" t="s">
        <v>68</v>
      </c>
      <c r="K217" s="14" t="str">
        <f>IFERROR(__xludf.DUMMYFUNCTION("ARRAYFORMULA(VLOOKUP(A217,IMPORTRANGE(""https://docs.google.com/spreadsheets/d/1BuTWp7qHGjWhqrnf-OmePP568O4A5Am9ttzvVdP67zw/edit#gid=1603210130"", ""TOURISM!$A$2:$F$2692""), {2,3,4,5,6},0))"),"The Americas")</f>
        <v>The Americas</v>
      </c>
      <c r="L217" s="14">
        <f>IFERROR(__xludf.DUMMYFUNCTION("""COMPUTED_VALUE"""),1.224E9)</f>
        <v>1224000000</v>
      </c>
      <c r="M217" s="14" t="str">
        <f>IFERROR(__xludf.DUMMYFUNCTION("""COMPUTED_VALUE"""),"Barbados-The Americas")</f>
        <v>Barbados-The Americas</v>
      </c>
      <c r="N217" s="14" t="str">
        <f>IFERROR(__xludf.DUMMYFUNCTION("""COMPUTED_VALUE"""),"2007")</f>
        <v>2007</v>
      </c>
      <c r="O217" s="14">
        <f>IFERROR(__xludf.DUMMYFUNCTION("""COMPUTED_VALUE"""),2.9E8)</f>
        <v>290000000</v>
      </c>
      <c r="P217" s="15">
        <f>IFERROR(__xludf.DUMMYFUNCTION("ARRAYFORMULA(VLOOKUP(A217,IMPORTRANGE(""https://docs.google.com/spreadsheets/d/1BuTWp7qHGjWhqrnf-OmePP568O4A5Am9ttzvVdP67zw/edit#gid=771602874"" ,""HUMAN RESOURCES!$A$2:$M$2692""), {2,3,4,5,6,7,8,9,10,11,12,13},0))"),0.013)</f>
        <v>0.013</v>
      </c>
      <c r="Q217" s="14">
        <f>IFERROR(__xludf.DUMMYFUNCTION("""COMPUTED_VALUE"""),0.014)</f>
        <v>0.014</v>
      </c>
      <c r="R217" s="14">
        <f>IFERROR(__xludf.DUMMYFUNCTION("""COMPUTED_VALUE"""),77.0)</f>
        <v>77</v>
      </c>
      <c r="S217" s="14">
        <f>IFERROR(__xludf.DUMMYFUNCTION("""COMPUTED_VALUE"""),72.0)</f>
        <v>72</v>
      </c>
      <c r="T217" s="14">
        <f>IFERROR(__xludf.DUMMYFUNCTION("""COMPUTED_VALUE"""),0.2)</f>
        <v>0.2</v>
      </c>
      <c r="U217" s="14">
        <f>IFERROR(__xludf.DUMMYFUNCTION("""COMPUTED_VALUE"""),0.694)</f>
        <v>0.694</v>
      </c>
      <c r="V217" s="14">
        <f>IFERROR(__xludf.DUMMYFUNCTION("""COMPUTED_VALUE"""),0.106)</f>
        <v>0.106</v>
      </c>
      <c r="W217" s="14">
        <f>IFERROR(__xludf.DUMMYFUNCTION("""COMPUTED_VALUE"""),276277.0)</f>
        <v>276277</v>
      </c>
      <c r="X217" s="14">
        <f>IFERROR(__xludf.DUMMYFUNCTION("""COMPUTED_VALUE"""),0.326)</f>
        <v>0.326</v>
      </c>
      <c r="Y217" s="14" t="str">
        <f>IFERROR(__xludf.DUMMYFUNCTION("""COMPUTED_VALUE"""),"Barbados-The Americas")</f>
        <v>Barbados-The Americas</v>
      </c>
      <c r="Z217" s="14" t="str">
        <f>IFERROR(__xludf.DUMMYFUNCTION("""COMPUTED_VALUE"""),"The Americas")</f>
        <v>The Americas</v>
      </c>
      <c r="AA217" s="14" t="str">
        <f>IFERROR(__xludf.DUMMYFUNCTION("""COMPUTED_VALUE"""),"2007")</f>
        <v>2007</v>
      </c>
      <c r="AB217" s="15" t="str">
        <f>IFERROR(__xludf.DUMMYFUNCTION("ARRAYFORMULA(VLOOKUP(A217,IMPORTRANGE(""https://docs.google.com/spreadsheets/d/1BuTWp7qHGjWhqrnf-OmePP568O4A5Am9ttzvVdP67zw/edit#gid=1931367683"" ,""ENERGY!$A$2:$F$2692""), {2,3,4,5,6},0))"),"The Americas")</f>
        <v>The Americas</v>
      </c>
      <c r="AC217" s="14" t="str">
        <f>IFERROR(__xludf.DUMMYFUNCTION("""COMPUTED_VALUE"""),"Barbados-The Americas")</f>
        <v>Barbados-The Americas</v>
      </c>
      <c r="AD217" s="14" t="str">
        <f>IFERROR(__xludf.DUMMYFUNCTION("""COMPUTED_VALUE"""),"2006")</f>
        <v>2006</v>
      </c>
      <c r="AE217" s="14">
        <f>IFERROR(__xludf.DUMMYFUNCTION("""COMPUTED_VALUE"""),390.0)</f>
        <v>390</v>
      </c>
      <c r="AF217" s="14">
        <f>IFERROR(__xludf.DUMMYFUNCTION("""COMPUTED_VALUE"""),1353.0)</f>
        <v>1353</v>
      </c>
    </row>
    <row r="218">
      <c r="A218" s="12">
        <v>217.0</v>
      </c>
      <c r="B218" s="12" t="s">
        <v>95</v>
      </c>
      <c r="C218" s="5" t="s">
        <v>84</v>
      </c>
      <c r="D218" s="8"/>
      <c r="E218" s="8"/>
      <c r="F218" s="8"/>
      <c r="G218" s="8"/>
      <c r="H218" s="11">
        <v>0.614</v>
      </c>
      <c r="I218" s="11">
        <v>1.04</v>
      </c>
      <c r="J218" s="9" t="s">
        <v>69</v>
      </c>
      <c r="K218" s="14" t="str">
        <f>IFERROR(__xludf.DUMMYFUNCTION("ARRAYFORMULA(VLOOKUP(A218,IMPORTRANGE(""https://docs.google.com/spreadsheets/d/1BuTWp7qHGjWhqrnf-OmePP568O4A5Am9ttzvVdP67zw/edit#gid=1603210130"", ""TOURISM!$A$2:$F$2692""), {2,3,4,5,6},0))"),"The Americas")</f>
        <v>The Americas</v>
      </c>
      <c r="L218" s="14">
        <f>IFERROR(__xludf.DUMMYFUNCTION("""COMPUTED_VALUE"""),1.244E9)</f>
        <v>1244000000</v>
      </c>
      <c r="M218" s="14" t="str">
        <f>IFERROR(__xludf.DUMMYFUNCTION("""COMPUTED_VALUE"""),"Barbados-The Americas")</f>
        <v>Barbados-The Americas</v>
      </c>
      <c r="N218" s="14" t="str">
        <f>IFERROR(__xludf.DUMMYFUNCTION("""COMPUTED_VALUE"""),"2008")</f>
        <v>2008</v>
      </c>
      <c r="O218" s="14">
        <f>IFERROR(__xludf.DUMMYFUNCTION("""COMPUTED_VALUE"""),2.79E8)</f>
        <v>279000000</v>
      </c>
      <c r="P218" s="15">
        <f>IFERROR(__xludf.DUMMYFUNCTION("ARRAYFORMULA(VLOOKUP(A218,IMPORTRANGE(""https://docs.google.com/spreadsheets/d/1BuTWp7qHGjWhqrnf-OmePP568O4A5Am9ttzvVdP67zw/edit#gid=771602874"" ,""HUMAN RESOURCES!$A$2:$M$2692""), {2,3,4,5,6,7,8,9,10,11,12,13},0))"),0.013)</f>
        <v>0.013</v>
      </c>
      <c r="Q218" s="14">
        <f>IFERROR(__xludf.DUMMYFUNCTION("""COMPUTED_VALUE"""),0.014)</f>
        <v>0.014</v>
      </c>
      <c r="R218" s="14">
        <f>IFERROR(__xludf.DUMMYFUNCTION("""COMPUTED_VALUE"""),77.0)</f>
        <v>77</v>
      </c>
      <c r="S218" s="14">
        <f>IFERROR(__xludf.DUMMYFUNCTION("""COMPUTED_VALUE"""),72.0)</f>
        <v>72</v>
      </c>
      <c r="T218" s="14">
        <f>IFERROR(__xludf.DUMMYFUNCTION("""COMPUTED_VALUE"""),0.198)</f>
        <v>0.198</v>
      </c>
      <c r="U218" s="14">
        <f>IFERROR(__xludf.DUMMYFUNCTION("""COMPUTED_VALUE"""),0.698)</f>
        <v>0.698</v>
      </c>
      <c r="V218" s="14">
        <f>IFERROR(__xludf.DUMMYFUNCTION("""COMPUTED_VALUE"""),0.105)</f>
        <v>0.105</v>
      </c>
      <c r="W218" s="14">
        <f>IFERROR(__xludf.DUMMYFUNCTION("""COMPUTED_VALUE"""),277634.0)</f>
        <v>277634</v>
      </c>
      <c r="X218" s="14">
        <f>IFERROR(__xludf.DUMMYFUNCTION("""COMPUTED_VALUE"""),0.324)</f>
        <v>0.324</v>
      </c>
      <c r="Y218" s="14" t="str">
        <f>IFERROR(__xludf.DUMMYFUNCTION("""COMPUTED_VALUE"""),"Barbados-The Americas")</f>
        <v>Barbados-The Americas</v>
      </c>
      <c r="Z218" s="14" t="str">
        <f>IFERROR(__xludf.DUMMYFUNCTION("""COMPUTED_VALUE"""),"The Americas")</f>
        <v>The Americas</v>
      </c>
      <c r="AA218" s="14" t="str">
        <f>IFERROR(__xludf.DUMMYFUNCTION("""COMPUTED_VALUE"""),"2008")</f>
        <v>2008</v>
      </c>
      <c r="AB218" s="15" t="str">
        <f>IFERROR(__xludf.DUMMYFUNCTION("ARRAYFORMULA(VLOOKUP(A218,IMPORTRANGE(""https://docs.google.com/spreadsheets/d/1BuTWp7qHGjWhqrnf-OmePP568O4A5Am9ttzvVdP67zw/edit#gid=1931367683"" ,""ENERGY!$A$2:$F$2692""), {2,3,4,5,6},0))"),"The Americas")</f>
        <v>The Americas</v>
      </c>
      <c r="AC218" s="14" t="str">
        <f>IFERROR(__xludf.DUMMYFUNCTION("""COMPUTED_VALUE"""),"Barbados-The Americas")</f>
        <v>Barbados-The Americas</v>
      </c>
      <c r="AD218" s="14" t="str">
        <f>IFERROR(__xludf.DUMMYFUNCTION("""COMPUTED_VALUE"""),"2012")</f>
        <v>2012</v>
      </c>
      <c r="AE218" s="14">
        <f>IFERROR(__xludf.DUMMYFUNCTION("""COMPUTED_VALUE"""),375.0)</f>
        <v>375</v>
      </c>
      <c r="AF218" s="14">
        <f>IFERROR(__xludf.DUMMYFUNCTION("""COMPUTED_VALUE"""),1294.0)</f>
        <v>1294</v>
      </c>
    </row>
    <row r="219">
      <c r="A219" s="12">
        <v>218.0</v>
      </c>
      <c r="B219" s="12" t="s">
        <v>95</v>
      </c>
      <c r="C219" s="5" t="s">
        <v>84</v>
      </c>
      <c r="D219" s="8"/>
      <c r="E219" s="8"/>
      <c r="F219" s="8"/>
      <c r="G219" s="8"/>
      <c r="H219" s="11">
        <v>0.647</v>
      </c>
      <c r="I219" s="11">
        <v>1.208</v>
      </c>
      <c r="J219" s="9" t="s">
        <v>70</v>
      </c>
      <c r="K219" s="14" t="str">
        <f>IFERROR(__xludf.DUMMYFUNCTION("ARRAYFORMULA(VLOOKUP(A219,IMPORTRANGE(""https://docs.google.com/spreadsheets/d/1BuTWp7qHGjWhqrnf-OmePP568O4A5Am9ttzvVdP67zw/edit#gid=1603210130"", ""TOURISM!$A$2:$F$2692""), {2,3,4,5,6},0))"),"The Americas")</f>
        <v>The Americas</v>
      </c>
      <c r="L219" s="14">
        <f>IFERROR(__xludf.DUMMYFUNCTION("""COMPUTED_VALUE"""),1.122E9)</f>
        <v>1122000000</v>
      </c>
      <c r="M219" s="14" t="str">
        <f>IFERROR(__xludf.DUMMYFUNCTION("""COMPUTED_VALUE"""),"Barbados-The Americas")</f>
        <v>Barbados-The Americas</v>
      </c>
      <c r="N219" s="14" t="str">
        <f>IFERROR(__xludf.DUMMYFUNCTION("""COMPUTED_VALUE"""),"2009")</f>
        <v>2009</v>
      </c>
      <c r="O219" s="14">
        <f>IFERROR(__xludf.DUMMYFUNCTION("""COMPUTED_VALUE"""),2.93E8)</f>
        <v>293000000</v>
      </c>
      <c r="P219" s="15">
        <f>IFERROR(__xludf.DUMMYFUNCTION("ARRAYFORMULA(VLOOKUP(A219,IMPORTRANGE(""https://docs.google.com/spreadsheets/d/1BuTWp7qHGjWhqrnf-OmePP568O4A5Am9ttzvVdP67zw/edit#gid=771602874"" ,""HUMAN RESOURCES!$A$2:$M$2692""), {2,3,4,5,6,7,8,9,10,11,12,13},0))"),0.013)</f>
        <v>0.013</v>
      </c>
      <c r="Q219" s="14">
        <f>IFERROR(__xludf.DUMMYFUNCTION("""COMPUTED_VALUE"""),0.014)</f>
        <v>0.014</v>
      </c>
      <c r="R219" s="14">
        <f>IFERROR(__xludf.DUMMYFUNCTION("""COMPUTED_VALUE"""),77.0)</f>
        <v>77</v>
      </c>
      <c r="S219" s="14">
        <f>IFERROR(__xludf.DUMMYFUNCTION("""COMPUTED_VALUE"""),72.0)</f>
        <v>72</v>
      </c>
      <c r="T219" s="14">
        <f>IFERROR(__xludf.DUMMYFUNCTION("""COMPUTED_VALUE"""),0.195)</f>
        <v>0.195</v>
      </c>
      <c r="U219" s="14">
        <f>IFERROR(__xludf.DUMMYFUNCTION("""COMPUTED_VALUE"""),0.701)</f>
        <v>0.701</v>
      </c>
      <c r="V219" s="14">
        <f>IFERROR(__xludf.DUMMYFUNCTION("""COMPUTED_VALUE"""),0.104)</f>
        <v>0.104</v>
      </c>
      <c r="W219" s="14">
        <f>IFERROR(__xludf.DUMMYFUNCTION("""COMPUTED_VALUE"""),279006.0)</f>
        <v>279006</v>
      </c>
      <c r="X219" s="14">
        <f>IFERROR(__xludf.DUMMYFUNCTION("""COMPUTED_VALUE"""),0.322)</f>
        <v>0.322</v>
      </c>
      <c r="Y219" s="14" t="str">
        <f>IFERROR(__xludf.DUMMYFUNCTION("""COMPUTED_VALUE"""),"Barbados-The Americas")</f>
        <v>Barbados-The Americas</v>
      </c>
      <c r="Z219" s="14" t="str">
        <f>IFERROR(__xludf.DUMMYFUNCTION("""COMPUTED_VALUE"""),"The Americas")</f>
        <v>The Americas</v>
      </c>
      <c r="AA219" s="14" t="str">
        <f>IFERROR(__xludf.DUMMYFUNCTION("""COMPUTED_VALUE"""),"2009")</f>
        <v>2009</v>
      </c>
      <c r="AB219" s="15" t="str">
        <f>IFERROR(__xludf.DUMMYFUNCTION("ARRAYFORMULA(VLOOKUP(A219,IMPORTRANGE(""https://docs.google.com/spreadsheets/d/1BuTWp7qHGjWhqrnf-OmePP568O4A5Am9ttzvVdP67zw/edit#gid=1931367683"" ,""ENERGY!$A$2:$F$2692""), {2,3,4,5,6},0))"),"The Americas")</f>
        <v>The Americas</v>
      </c>
      <c r="AC219" s="14" t="str">
        <f>IFERROR(__xludf.DUMMYFUNCTION("""COMPUTED_VALUE"""),"Barbados-The Americas")</f>
        <v>Barbados-The Americas</v>
      </c>
      <c r="AD219" s="14" t="str">
        <f>IFERROR(__xludf.DUMMYFUNCTION("""COMPUTED_VALUE"""),"2008")</f>
        <v>2008</v>
      </c>
      <c r="AE219" s="14"/>
      <c r="AF219" s="14">
        <f>IFERROR(__xludf.DUMMYFUNCTION("""COMPUTED_VALUE"""),1269.0)</f>
        <v>1269</v>
      </c>
    </row>
    <row r="220">
      <c r="A220" s="12">
        <v>219.0</v>
      </c>
      <c r="B220" s="12" t="s">
        <v>95</v>
      </c>
      <c r="C220" s="5" t="s">
        <v>84</v>
      </c>
      <c r="D220" s="8"/>
      <c r="E220" s="8"/>
      <c r="F220" s="8"/>
      <c r="G220" s="8"/>
      <c r="H220" s="11">
        <v>0.681</v>
      </c>
      <c r="I220" s="11">
        <v>1.248</v>
      </c>
      <c r="J220" s="9" t="s">
        <v>71</v>
      </c>
      <c r="K220" s="14" t="str">
        <f>IFERROR(__xludf.DUMMYFUNCTION("ARRAYFORMULA(VLOOKUP(A220,IMPORTRANGE(""https://docs.google.com/spreadsheets/d/1BuTWp7qHGjWhqrnf-OmePP568O4A5Am9ttzvVdP67zw/edit#gid=1603210130"", ""TOURISM!$A$2:$F$2692""), {2,3,4,5,6},0))"),"The Americas")</f>
        <v>The Americas</v>
      </c>
      <c r="L220" s="14">
        <f>IFERROR(__xludf.DUMMYFUNCTION("""COMPUTED_VALUE"""),1.074E9)</f>
        <v>1074000000</v>
      </c>
      <c r="M220" s="14" t="str">
        <f>IFERROR(__xludf.DUMMYFUNCTION("""COMPUTED_VALUE"""),"Barbados-The Americas")</f>
        <v>Barbados-The Americas</v>
      </c>
      <c r="N220" s="14" t="str">
        <f>IFERROR(__xludf.DUMMYFUNCTION("""COMPUTED_VALUE"""),"2010")</f>
        <v>2010</v>
      </c>
      <c r="O220" s="14">
        <f>IFERROR(__xludf.DUMMYFUNCTION("""COMPUTED_VALUE"""),3.51E8)</f>
        <v>351000000</v>
      </c>
      <c r="P220" s="15">
        <f>IFERROR(__xludf.DUMMYFUNCTION("ARRAYFORMULA(VLOOKUP(A220,IMPORTRANGE(""https://docs.google.com/spreadsheets/d/1BuTWp7qHGjWhqrnf-OmePP568O4A5Am9ttzvVdP67zw/edit#gid=771602874"" ,""HUMAN RESOURCES!$A$2:$M$2692""), {2,3,4,5,6,7,8,9,10,11,12,13},0))"),0.013)</f>
        <v>0.013</v>
      </c>
      <c r="Q220" s="14">
        <f>IFERROR(__xludf.DUMMYFUNCTION("""COMPUTED_VALUE"""),0.014)</f>
        <v>0.014</v>
      </c>
      <c r="R220" s="14">
        <f>IFERROR(__xludf.DUMMYFUNCTION("""COMPUTED_VALUE"""),77.0)</f>
        <v>77</v>
      </c>
      <c r="S220" s="14">
        <f>IFERROR(__xludf.DUMMYFUNCTION("""COMPUTED_VALUE"""),72.0)</f>
        <v>72</v>
      </c>
      <c r="T220" s="14">
        <f>IFERROR(__xludf.DUMMYFUNCTION("""COMPUTED_VALUE"""),0.193)</f>
        <v>0.193</v>
      </c>
      <c r="U220" s="14">
        <f>IFERROR(__xludf.DUMMYFUNCTION("""COMPUTED_VALUE"""),0.703)</f>
        <v>0.703</v>
      </c>
      <c r="V220" s="14">
        <f>IFERROR(__xludf.DUMMYFUNCTION("""COMPUTED_VALUE"""),0.104)</f>
        <v>0.104</v>
      </c>
      <c r="W220" s="14">
        <f>IFERROR(__xludf.DUMMYFUNCTION("""COMPUTED_VALUE"""),280396.0)</f>
        <v>280396</v>
      </c>
      <c r="X220" s="14">
        <f>IFERROR(__xludf.DUMMYFUNCTION("""COMPUTED_VALUE"""),0.321)</f>
        <v>0.321</v>
      </c>
      <c r="Y220" s="14" t="str">
        <f>IFERROR(__xludf.DUMMYFUNCTION("""COMPUTED_VALUE"""),"Barbados-The Americas")</f>
        <v>Barbados-The Americas</v>
      </c>
      <c r="Z220" s="14" t="str">
        <f>IFERROR(__xludf.DUMMYFUNCTION("""COMPUTED_VALUE"""),"The Americas")</f>
        <v>The Americas</v>
      </c>
      <c r="AA220" s="14" t="str">
        <f>IFERROR(__xludf.DUMMYFUNCTION("""COMPUTED_VALUE"""),"2010")</f>
        <v>2010</v>
      </c>
      <c r="AB220" s="15" t="str">
        <f>IFERROR(__xludf.DUMMYFUNCTION("ARRAYFORMULA(VLOOKUP(A220,IMPORTRANGE(""https://docs.google.com/spreadsheets/d/1BuTWp7qHGjWhqrnf-OmePP568O4A5Am9ttzvVdP67zw/edit#gid=1931367683"" ,""ENERGY!$A$2:$F$2692""), {2,3,4,5,6},0))"),"The Americas")</f>
        <v>The Americas</v>
      </c>
      <c r="AC220" s="14" t="str">
        <f>IFERROR(__xludf.DUMMYFUNCTION("""COMPUTED_VALUE"""),"Barbados-The Americas")</f>
        <v>Barbados-The Americas</v>
      </c>
      <c r="AD220" s="14" t="str">
        <f>IFERROR(__xludf.DUMMYFUNCTION("""COMPUTED_VALUE"""),"2005")</f>
        <v>2005</v>
      </c>
      <c r="AE220" s="14"/>
      <c r="AF220" s="14">
        <f>IFERROR(__xludf.DUMMYFUNCTION("""COMPUTED_VALUE"""),1228.0)</f>
        <v>1228</v>
      </c>
    </row>
    <row r="221">
      <c r="A221" s="12">
        <v>220.0</v>
      </c>
      <c r="B221" s="12" t="s">
        <v>95</v>
      </c>
      <c r="C221" s="5" t="s">
        <v>84</v>
      </c>
      <c r="D221" s="11">
        <v>0.411</v>
      </c>
      <c r="E221" s="11">
        <v>18.0</v>
      </c>
      <c r="F221" s="8"/>
      <c r="G221" s="11">
        <v>245.0</v>
      </c>
      <c r="H221" s="11">
        <v>0.718</v>
      </c>
      <c r="I221" s="11">
        <v>1.235</v>
      </c>
      <c r="J221" s="9" t="s">
        <v>72</v>
      </c>
      <c r="K221" s="14" t="str">
        <f>IFERROR(__xludf.DUMMYFUNCTION("ARRAYFORMULA(VLOOKUP(A221,IMPORTRANGE(""https://docs.google.com/spreadsheets/d/1BuTWp7qHGjWhqrnf-OmePP568O4A5Am9ttzvVdP67zw/edit#gid=1603210130"", ""TOURISM!$A$2:$F$2692""), {2,3,4,5,6},0))"),"The Americas")</f>
        <v>The Americas</v>
      </c>
      <c r="L221" s="14"/>
      <c r="M221" s="14" t="str">
        <f>IFERROR(__xludf.DUMMYFUNCTION("""COMPUTED_VALUE"""),"Barbados-The Americas")</f>
        <v>Barbados-The Americas</v>
      </c>
      <c r="N221" s="14" t="str">
        <f>IFERROR(__xludf.DUMMYFUNCTION("""COMPUTED_VALUE"""),"2011")</f>
        <v>2011</v>
      </c>
      <c r="O221" s="14"/>
      <c r="P221" s="15">
        <f>IFERROR(__xludf.DUMMYFUNCTION("ARRAYFORMULA(VLOOKUP(A221,IMPORTRANGE(""https://docs.google.com/spreadsheets/d/1BuTWp7qHGjWhqrnf-OmePP568O4A5Am9ttzvVdP67zw/edit#gid=771602874"" ,""HUMAN RESOURCES!$A$2:$M$2692""), {2,3,4,5,6,7,8,9,10,11,12,13},0))"),0.013)</f>
        <v>0.013</v>
      </c>
      <c r="Q221" s="14">
        <f>IFERROR(__xludf.DUMMYFUNCTION("""COMPUTED_VALUE"""),0.014)</f>
        <v>0.014</v>
      </c>
      <c r="R221" s="14">
        <f>IFERROR(__xludf.DUMMYFUNCTION("""COMPUTED_VALUE"""),77.0)</f>
        <v>77</v>
      </c>
      <c r="S221" s="14">
        <f>IFERROR(__xludf.DUMMYFUNCTION("""COMPUTED_VALUE"""),73.0)</f>
        <v>73</v>
      </c>
      <c r="T221" s="14">
        <f>IFERROR(__xludf.DUMMYFUNCTION("""COMPUTED_VALUE"""),0.191)</f>
        <v>0.191</v>
      </c>
      <c r="U221" s="14">
        <f>IFERROR(__xludf.DUMMYFUNCTION("""COMPUTED_VALUE"""),0.704)</f>
        <v>0.704</v>
      </c>
      <c r="V221" s="14">
        <f>IFERROR(__xludf.DUMMYFUNCTION("""COMPUTED_VALUE"""),0.105)</f>
        <v>0.105</v>
      </c>
      <c r="W221" s="14">
        <f>IFERROR(__xludf.DUMMYFUNCTION("""COMPUTED_VALUE"""),281804.0)</f>
        <v>281804</v>
      </c>
      <c r="X221" s="14">
        <f>IFERROR(__xludf.DUMMYFUNCTION("""COMPUTED_VALUE"""),0.319)</f>
        <v>0.319</v>
      </c>
      <c r="Y221" s="14" t="str">
        <f>IFERROR(__xludf.DUMMYFUNCTION("""COMPUTED_VALUE"""),"Barbados-The Americas")</f>
        <v>Barbados-The Americas</v>
      </c>
      <c r="Z221" s="14" t="str">
        <f>IFERROR(__xludf.DUMMYFUNCTION("""COMPUTED_VALUE"""),"The Americas")</f>
        <v>The Americas</v>
      </c>
      <c r="AA221" s="14" t="str">
        <f>IFERROR(__xludf.DUMMYFUNCTION("""COMPUTED_VALUE"""),"2011")</f>
        <v>2011</v>
      </c>
      <c r="AB221" s="15" t="str">
        <f>IFERROR(__xludf.DUMMYFUNCTION("ARRAYFORMULA(VLOOKUP(A221,IMPORTRANGE(""https://docs.google.com/spreadsheets/d/1BuTWp7qHGjWhqrnf-OmePP568O4A5Am9ttzvVdP67zw/edit#gid=1931367683"" ,""ENERGY!$A$2:$F$2692""), {2,3,4,5,6},0))"),"The Americas")</f>
        <v>The Americas</v>
      </c>
      <c r="AC221" s="14" t="str">
        <f>IFERROR(__xludf.DUMMYFUNCTION("""COMPUTED_VALUE"""),"Barbados-The Americas")</f>
        <v>Barbados-The Americas</v>
      </c>
      <c r="AD221" s="14" t="str">
        <f>IFERROR(__xludf.DUMMYFUNCTION("""COMPUTED_VALUE"""),"2012")</f>
        <v>2012</v>
      </c>
      <c r="AE221" s="14"/>
      <c r="AF221" s="14">
        <f>IFERROR(__xludf.DUMMYFUNCTION("""COMPUTED_VALUE"""),1221.0)</f>
        <v>1221</v>
      </c>
    </row>
    <row r="222">
      <c r="A222" s="12">
        <v>221.0</v>
      </c>
      <c r="B222" s="12" t="s">
        <v>95</v>
      </c>
      <c r="C222" s="5" t="s">
        <v>84</v>
      </c>
      <c r="D222" s="11">
        <v>0.408</v>
      </c>
      <c r="E222" s="11">
        <v>18.0</v>
      </c>
      <c r="F222" s="11">
        <v>84.0</v>
      </c>
      <c r="G222" s="11">
        <v>237.0</v>
      </c>
      <c r="H222" s="11">
        <v>0.733</v>
      </c>
      <c r="I222" s="11">
        <v>1.233</v>
      </c>
      <c r="J222" s="9" t="s">
        <v>73</v>
      </c>
      <c r="K222" s="14" t="str">
        <f>IFERROR(__xludf.DUMMYFUNCTION("ARRAYFORMULA(VLOOKUP(A222,IMPORTRANGE(""https://docs.google.com/spreadsheets/d/1BuTWp7qHGjWhqrnf-OmePP568O4A5Am9ttzvVdP67zw/edit#gid=1603210130"", ""TOURISM!$A$2:$F$2692""), {2,3,4,5,6},0))"),"The Americas")</f>
        <v>The Americas</v>
      </c>
      <c r="L222" s="14"/>
      <c r="M222" s="14" t="str">
        <f>IFERROR(__xludf.DUMMYFUNCTION("""COMPUTED_VALUE"""),"Barbados-The Americas")</f>
        <v>Barbados-The Americas</v>
      </c>
      <c r="N222" s="14" t="str">
        <f>IFERROR(__xludf.DUMMYFUNCTION("""COMPUTED_VALUE"""),"2012")</f>
        <v>2012</v>
      </c>
      <c r="O222" s="14"/>
      <c r="P222" s="15">
        <f>IFERROR(__xludf.DUMMYFUNCTION("ARRAYFORMULA(VLOOKUP(A222,IMPORTRANGE(""https://docs.google.com/spreadsheets/d/1BuTWp7qHGjWhqrnf-OmePP568O4A5Am9ttzvVdP67zw/edit#gid=771602874"" ,""HUMAN RESOURCES!$A$2:$M$2692""), {2,3,4,5,6,7,8,9,10,11,12,13},0))"),0.013)</f>
        <v>0.013</v>
      </c>
      <c r="Q222" s="14">
        <f>IFERROR(__xludf.DUMMYFUNCTION("""COMPUTED_VALUE"""),0.014)</f>
        <v>0.014</v>
      </c>
      <c r="R222" s="14">
        <f>IFERROR(__xludf.DUMMYFUNCTION("""COMPUTED_VALUE"""),78.0)</f>
        <v>78</v>
      </c>
      <c r="S222" s="14">
        <f>IFERROR(__xludf.DUMMYFUNCTION("""COMPUTED_VALUE"""),73.0)</f>
        <v>73</v>
      </c>
      <c r="T222" s="14">
        <f>IFERROR(__xludf.DUMMYFUNCTION("""COMPUTED_VALUE"""),0.19)</f>
        <v>0.19</v>
      </c>
      <c r="U222" s="14">
        <f>IFERROR(__xludf.DUMMYFUNCTION("""COMPUTED_VALUE"""),0.704)</f>
        <v>0.704</v>
      </c>
      <c r="V222" s="14">
        <f>IFERROR(__xludf.DUMMYFUNCTION("""COMPUTED_VALUE"""),0.106)</f>
        <v>0.106</v>
      </c>
      <c r="W222" s="14">
        <f>IFERROR(__xludf.DUMMYFUNCTION("""COMPUTED_VALUE"""),283221.0)</f>
        <v>283221</v>
      </c>
      <c r="X222" s="14">
        <f>IFERROR(__xludf.DUMMYFUNCTION("""COMPUTED_VALUE"""),0.318)</f>
        <v>0.318</v>
      </c>
      <c r="Y222" s="14" t="str">
        <f>IFERROR(__xludf.DUMMYFUNCTION("""COMPUTED_VALUE"""),"Barbados-The Americas")</f>
        <v>Barbados-The Americas</v>
      </c>
      <c r="Z222" s="14" t="str">
        <f>IFERROR(__xludf.DUMMYFUNCTION("""COMPUTED_VALUE"""),"The Americas")</f>
        <v>The Americas</v>
      </c>
      <c r="AA222" s="14" t="str">
        <f>IFERROR(__xludf.DUMMYFUNCTION("""COMPUTED_VALUE"""),"2012")</f>
        <v>2012</v>
      </c>
      <c r="AB222" s="15" t="str">
        <f>IFERROR(__xludf.DUMMYFUNCTION("ARRAYFORMULA(VLOOKUP(A222,IMPORTRANGE(""https://docs.google.com/spreadsheets/d/1BuTWp7qHGjWhqrnf-OmePP568O4A5Am9ttzvVdP67zw/edit#gid=1931367683"" ,""ENERGY!$A$2:$F$2692""), {2,3,4,5,6},0))"),"The Americas")</f>
        <v>The Americas</v>
      </c>
      <c r="AC222" s="14" t="str">
        <f>IFERROR(__xludf.DUMMYFUNCTION("""COMPUTED_VALUE"""),"Barbados-The Americas")</f>
        <v>Barbados-The Americas</v>
      </c>
      <c r="AD222" s="14" t="str">
        <f>IFERROR(__xludf.DUMMYFUNCTION("""COMPUTED_VALUE"""),"2008")</f>
        <v>2008</v>
      </c>
      <c r="AE222" s="14"/>
      <c r="AF222" s="14">
        <f>IFERROR(__xludf.DUMMYFUNCTION("""COMPUTED_VALUE"""),1188.0)</f>
        <v>1188</v>
      </c>
    </row>
    <row r="223">
      <c r="A223" s="12">
        <v>222.0</v>
      </c>
      <c r="B223" s="12" t="s">
        <v>96</v>
      </c>
      <c r="C223" s="5" t="s">
        <v>75</v>
      </c>
      <c r="D223" s="8"/>
      <c r="E223" s="8"/>
      <c r="F223" s="8"/>
      <c r="G223" s="8"/>
      <c r="H223" s="11">
        <v>0.019</v>
      </c>
      <c r="I223" s="11">
        <v>0.005</v>
      </c>
      <c r="J223" s="9" t="s">
        <v>60</v>
      </c>
      <c r="K223" s="14" t="str">
        <f>IFERROR(__xludf.DUMMYFUNCTION("ARRAYFORMULA(VLOOKUP(A223,IMPORTRANGE(""https://docs.google.com/spreadsheets/d/1BuTWp7qHGjWhqrnf-OmePP568O4A5Am9ttzvVdP67zw/edit#gid=1603210130"", ""TOURISM!$A$2:$F$2692""), {2,3,4,5,6},0))"),"Europe")</f>
        <v>Europe</v>
      </c>
      <c r="L223" s="14">
        <f>IFERROR(__xludf.DUMMYFUNCTION("""COMPUTED_VALUE"""),1.88E8)</f>
        <v>188000000</v>
      </c>
      <c r="M223" s="14" t="str">
        <f>IFERROR(__xludf.DUMMYFUNCTION("""COMPUTED_VALUE"""),"Belarus-Europe")</f>
        <v>Belarus-Europe</v>
      </c>
      <c r="N223" s="14" t="str">
        <f>IFERROR(__xludf.DUMMYFUNCTION("""COMPUTED_VALUE"""),"2000")</f>
        <v>2000</v>
      </c>
      <c r="O223" s="14">
        <f>IFERROR(__xludf.DUMMYFUNCTION("""COMPUTED_VALUE"""),2.47E8)</f>
        <v>247000000</v>
      </c>
      <c r="P223" s="15">
        <f>IFERROR(__xludf.DUMMYFUNCTION("ARRAYFORMULA(VLOOKUP(A223,IMPORTRANGE(""https://docs.google.com/spreadsheets/d/1BuTWp7qHGjWhqrnf-OmePP568O4A5Am9ttzvVdP67zw/edit#gid=771602874"" ,""HUMAN RESOURCES!$A$2:$M$2692""), {2,3,4,5,6,7,8,9,10,11,12,13},0))"),0.009)</f>
        <v>0.009</v>
      </c>
      <c r="Q223" s="14">
        <f>IFERROR(__xludf.DUMMYFUNCTION("""COMPUTED_VALUE"""),0.011)</f>
        <v>0.011</v>
      </c>
      <c r="R223" s="14">
        <f>IFERROR(__xludf.DUMMYFUNCTION("""COMPUTED_VALUE"""),75.0)</f>
        <v>75</v>
      </c>
      <c r="S223" s="14">
        <f>IFERROR(__xludf.DUMMYFUNCTION("""COMPUTED_VALUE"""),63.0)</f>
        <v>63</v>
      </c>
      <c r="T223" s="14">
        <f>IFERROR(__xludf.DUMMYFUNCTION("""COMPUTED_VALUE"""),0.186)</f>
        <v>0.186</v>
      </c>
      <c r="U223" s="14">
        <f>IFERROR(__xludf.DUMMYFUNCTION("""COMPUTED_VALUE"""),0.679)</f>
        <v>0.679</v>
      </c>
      <c r="V223" s="14">
        <f>IFERROR(__xludf.DUMMYFUNCTION("""COMPUTED_VALUE"""),0.134)</f>
        <v>0.134</v>
      </c>
      <c r="W223" s="14">
        <f>IFERROR(__xludf.DUMMYFUNCTION("""COMPUTED_VALUE"""),1.0005E7)</f>
        <v>10005000</v>
      </c>
      <c r="X223" s="14">
        <f>IFERROR(__xludf.DUMMYFUNCTION("""COMPUTED_VALUE"""),0.7)</f>
        <v>0.7</v>
      </c>
      <c r="Y223" s="14" t="str">
        <f>IFERROR(__xludf.DUMMYFUNCTION("""COMPUTED_VALUE"""),"Belarus-Europe")</f>
        <v>Belarus-Europe</v>
      </c>
      <c r="Z223" s="14" t="str">
        <f>IFERROR(__xludf.DUMMYFUNCTION("""COMPUTED_VALUE"""),"Europe")</f>
        <v>Europe</v>
      </c>
      <c r="AA223" s="14" t="str">
        <f>IFERROR(__xludf.DUMMYFUNCTION("""COMPUTED_VALUE"""),"2000")</f>
        <v>2000</v>
      </c>
      <c r="AB223" s="15" t="str">
        <f>IFERROR(__xludf.DUMMYFUNCTION("ARRAYFORMULA(VLOOKUP(A223,IMPORTRANGE(""https://docs.google.com/spreadsheets/d/1BuTWp7qHGjWhqrnf-OmePP568O4A5Am9ttzvVdP67zw/edit#gid=1931367683"" ,""ENERGY!$A$2:$F$2692""), {2,3,4,5,6},0))"),"Europe")</f>
        <v>Europe</v>
      </c>
      <c r="AC223" s="14" t="str">
        <f>IFERROR(__xludf.DUMMYFUNCTION("""COMPUTED_VALUE"""),"Belarus-Europe")</f>
        <v>Belarus-Europe</v>
      </c>
      <c r="AD223" s="14" t="str">
        <f>IFERROR(__xludf.DUMMYFUNCTION("""COMPUTED_VALUE"""),"2000")</f>
        <v>2000</v>
      </c>
      <c r="AE223" s="14"/>
      <c r="AF223" s="14"/>
    </row>
    <row r="224">
      <c r="A224" s="12">
        <v>223.0</v>
      </c>
      <c r="B224" s="12" t="s">
        <v>96</v>
      </c>
      <c r="C224" s="5" t="s">
        <v>75</v>
      </c>
      <c r="D224" s="8"/>
      <c r="E224" s="8"/>
      <c r="F224" s="8"/>
      <c r="G224" s="8"/>
      <c r="H224" s="11">
        <v>0.043</v>
      </c>
      <c r="I224" s="11">
        <v>0.014</v>
      </c>
      <c r="J224" s="9" t="s">
        <v>62</v>
      </c>
      <c r="K224" s="14" t="str">
        <f>IFERROR(__xludf.DUMMYFUNCTION("ARRAYFORMULA(VLOOKUP(A224,IMPORTRANGE(""https://docs.google.com/spreadsheets/d/1BuTWp7qHGjWhqrnf-OmePP568O4A5Am9ttzvVdP67zw/edit#gid=1603210130"", ""TOURISM!$A$2:$F$2692""), {2,3,4,5,6},0))"),"Europe")</f>
        <v>Europe</v>
      </c>
      <c r="L224" s="14">
        <f>IFERROR(__xludf.DUMMYFUNCTION("""COMPUTED_VALUE"""),2.72E8)</f>
        <v>272000000</v>
      </c>
      <c r="M224" s="14" t="str">
        <f>IFERROR(__xludf.DUMMYFUNCTION("""COMPUTED_VALUE"""),"Belarus-Europe")</f>
        <v>Belarus-Europe</v>
      </c>
      <c r="N224" s="14" t="str">
        <f>IFERROR(__xludf.DUMMYFUNCTION("""COMPUTED_VALUE"""),"2001")</f>
        <v>2001</v>
      </c>
      <c r="O224" s="14">
        <f>IFERROR(__xludf.DUMMYFUNCTION("""COMPUTED_VALUE"""),4.86E8)</f>
        <v>486000000</v>
      </c>
      <c r="P224" s="15">
        <f>IFERROR(__xludf.DUMMYFUNCTION("ARRAYFORMULA(VLOOKUP(A224,IMPORTRANGE(""https://docs.google.com/spreadsheets/d/1BuTWp7qHGjWhqrnf-OmePP568O4A5Am9ttzvVdP67zw/edit#gid=771602874"" ,""HUMAN RESOURCES!$A$2:$M$2692""), {2,3,4,5,6,7,8,9,10,11,12,13},0))"),0.009)</f>
        <v>0.009</v>
      </c>
      <c r="Q224" s="14">
        <f>IFERROR(__xludf.DUMMYFUNCTION("""COMPUTED_VALUE"""),0.01)</f>
        <v>0.01</v>
      </c>
      <c r="R224" s="14">
        <f>IFERROR(__xludf.DUMMYFUNCTION("""COMPUTED_VALUE"""),75.0)</f>
        <v>75</v>
      </c>
      <c r="S224" s="14">
        <f>IFERROR(__xludf.DUMMYFUNCTION("""COMPUTED_VALUE"""),63.0)</f>
        <v>63</v>
      </c>
      <c r="T224" s="14">
        <f>IFERROR(__xludf.DUMMYFUNCTION("""COMPUTED_VALUE"""),0.179)</f>
        <v>0.179</v>
      </c>
      <c r="U224" s="14">
        <f>IFERROR(__xludf.DUMMYFUNCTION("""COMPUTED_VALUE"""),0.684)</f>
        <v>0.684</v>
      </c>
      <c r="V224" s="14">
        <f>IFERROR(__xludf.DUMMYFUNCTION("""COMPUTED_VALUE"""),0.137)</f>
        <v>0.137</v>
      </c>
      <c r="W224" s="14">
        <f>IFERROR(__xludf.DUMMYFUNCTION("""COMPUTED_VALUE"""),9928000.0)</f>
        <v>9928000</v>
      </c>
      <c r="X224" s="14">
        <f>IFERROR(__xludf.DUMMYFUNCTION("""COMPUTED_VALUE"""),0.705)</f>
        <v>0.705</v>
      </c>
      <c r="Y224" s="14" t="str">
        <f>IFERROR(__xludf.DUMMYFUNCTION("""COMPUTED_VALUE"""),"Belarus-Europe")</f>
        <v>Belarus-Europe</v>
      </c>
      <c r="Z224" s="14" t="str">
        <f>IFERROR(__xludf.DUMMYFUNCTION("""COMPUTED_VALUE"""),"Europe")</f>
        <v>Europe</v>
      </c>
      <c r="AA224" s="14" t="str">
        <f>IFERROR(__xludf.DUMMYFUNCTION("""COMPUTED_VALUE"""),"2001")</f>
        <v>2001</v>
      </c>
      <c r="AB224" s="15" t="str">
        <f>IFERROR(__xludf.DUMMYFUNCTION("ARRAYFORMULA(VLOOKUP(A224,IMPORTRANGE(""https://docs.google.com/spreadsheets/d/1BuTWp7qHGjWhqrnf-OmePP568O4A5Am9ttzvVdP67zw/edit#gid=1931367683"" ,""ENERGY!$A$2:$F$2692""), {2,3,4,5,6},0))"),"Europe")</f>
        <v>Europe</v>
      </c>
      <c r="AC224" s="14" t="str">
        <f>IFERROR(__xludf.DUMMYFUNCTION("""COMPUTED_VALUE"""),"Belarus-Europe")</f>
        <v>Belarus-Europe</v>
      </c>
      <c r="AD224" s="14" t="str">
        <f>IFERROR(__xludf.DUMMYFUNCTION("""COMPUTED_VALUE"""),"2001")</f>
        <v>2001</v>
      </c>
      <c r="AE224" s="14">
        <f>IFERROR(__xludf.DUMMYFUNCTION("""COMPUTED_VALUE"""),29501.0)</f>
        <v>29501</v>
      </c>
      <c r="AF224" s="14"/>
    </row>
    <row r="225">
      <c r="A225" s="12">
        <v>224.0</v>
      </c>
      <c r="B225" s="12" t="s">
        <v>96</v>
      </c>
      <c r="C225" s="5" t="s">
        <v>75</v>
      </c>
      <c r="D225" s="8"/>
      <c r="E225" s="8"/>
      <c r="F225" s="8"/>
      <c r="G225" s="8"/>
      <c r="H225" s="11">
        <v>0.09</v>
      </c>
      <c r="I225" s="11">
        <v>0.047</v>
      </c>
      <c r="J225" s="9" t="s">
        <v>63</v>
      </c>
      <c r="K225" s="14" t="str">
        <f>IFERROR(__xludf.DUMMYFUNCTION("ARRAYFORMULA(VLOOKUP(A225,IMPORTRANGE(""https://docs.google.com/spreadsheets/d/1BuTWp7qHGjWhqrnf-OmePP568O4A5Am9ttzvVdP67zw/edit#gid=1603210130"", ""TOURISM!$A$2:$F$2692""), {2,3,4,5,6},0))"),"Europe")</f>
        <v>Europe</v>
      </c>
      <c r="L225" s="14">
        <f>IFERROR(__xludf.DUMMYFUNCTION("""COMPUTED_VALUE"""),2.95E8)</f>
        <v>295000000</v>
      </c>
      <c r="M225" s="14" t="str">
        <f>IFERROR(__xludf.DUMMYFUNCTION("""COMPUTED_VALUE"""),"Belarus-Europe")</f>
        <v>Belarus-Europe</v>
      </c>
      <c r="N225" s="14" t="str">
        <f>IFERROR(__xludf.DUMMYFUNCTION("""COMPUTED_VALUE"""),"2002")</f>
        <v>2002</v>
      </c>
      <c r="O225" s="14">
        <f>IFERROR(__xludf.DUMMYFUNCTION("""COMPUTED_VALUE"""),5.27E8)</f>
        <v>527000000</v>
      </c>
      <c r="P225" s="15">
        <f>IFERROR(__xludf.DUMMYFUNCTION("ARRAYFORMULA(VLOOKUP(A225,IMPORTRANGE(""https://docs.google.com/spreadsheets/d/1BuTWp7qHGjWhqrnf-OmePP568O4A5Am9ttzvVdP67zw/edit#gid=771602874"" ,""HUMAN RESOURCES!$A$2:$M$2692""), {2,3,4,5,6,7,8,9,10,11,12,13},0))"),0.009)</f>
        <v>0.009</v>
      </c>
      <c r="Q225" s="14">
        <f>IFERROR(__xludf.DUMMYFUNCTION("""COMPUTED_VALUE"""),0.009)</f>
        <v>0.009</v>
      </c>
      <c r="R225" s="14">
        <f>IFERROR(__xludf.DUMMYFUNCTION("""COMPUTED_VALUE"""),74.0)</f>
        <v>74</v>
      </c>
      <c r="S225" s="14">
        <f>IFERROR(__xludf.DUMMYFUNCTION("""COMPUTED_VALUE"""),62.0)</f>
        <v>62</v>
      </c>
      <c r="T225" s="14">
        <f>IFERROR(__xludf.DUMMYFUNCTION("""COMPUTED_VALUE"""),0.172)</f>
        <v>0.172</v>
      </c>
      <c r="U225" s="14">
        <f>IFERROR(__xludf.DUMMYFUNCTION("""COMPUTED_VALUE"""),0.687)</f>
        <v>0.687</v>
      </c>
      <c r="V225" s="14">
        <f>IFERROR(__xludf.DUMMYFUNCTION("""COMPUTED_VALUE"""),0.14)</f>
        <v>0.14</v>
      </c>
      <c r="W225" s="14">
        <f>IFERROR(__xludf.DUMMYFUNCTION("""COMPUTED_VALUE"""),9865000.0)</f>
        <v>9865000</v>
      </c>
      <c r="X225" s="14">
        <f>IFERROR(__xludf.DUMMYFUNCTION("""COMPUTED_VALUE"""),0.709)</f>
        <v>0.709</v>
      </c>
      <c r="Y225" s="14" t="str">
        <f>IFERROR(__xludf.DUMMYFUNCTION("""COMPUTED_VALUE"""),"Belarus-Europe")</f>
        <v>Belarus-Europe</v>
      </c>
      <c r="Z225" s="14" t="str">
        <f>IFERROR(__xludf.DUMMYFUNCTION("""COMPUTED_VALUE"""),"Europe")</f>
        <v>Europe</v>
      </c>
      <c r="AA225" s="14" t="str">
        <f>IFERROR(__xludf.DUMMYFUNCTION("""COMPUTED_VALUE"""),"2002")</f>
        <v>2002</v>
      </c>
      <c r="AB225" s="15" t="str">
        <f>IFERROR(__xludf.DUMMYFUNCTION("ARRAYFORMULA(VLOOKUP(A225,IMPORTRANGE(""https://docs.google.com/spreadsheets/d/1BuTWp7qHGjWhqrnf-OmePP568O4A5Am9ttzvVdP67zw/edit#gid=1931367683"" ,""ENERGY!$A$2:$F$2692""), {2,3,4,5,6},0))"),"Europe")</f>
        <v>Europe</v>
      </c>
      <c r="AC225" s="14" t="str">
        <f>IFERROR(__xludf.DUMMYFUNCTION("""COMPUTED_VALUE"""),"Belarus-Europe")</f>
        <v>Belarus-Europe</v>
      </c>
      <c r="AD225" s="14" t="str">
        <f>IFERROR(__xludf.DUMMYFUNCTION("""COMPUTED_VALUE"""),"2002")</f>
        <v>2002</v>
      </c>
      <c r="AE225" s="14">
        <f>IFERROR(__xludf.DUMMYFUNCTION("""COMPUTED_VALUE"""),27686.0)</f>
        <v>27686</v>
      </c>
      <c r="AF225" s="14">
        <f>IFERROR(__xludf.DUMMYFUNCTION("""COMPUTED_VALUE"""),62222.0)</f>
        <v>62222</v>
      </c>
    </row>
    <row r="226">
      <c r="A226" s="12">
        <v>225.0</v>
      </c>
      <c r="B226" s="12" t="s">
        <v>96</v>
      </c>
      <c r="C226" s="5" t="s">
        <v>75</v>
      </c>
      <c r="D226" s="8"/>
      <c r="E226" s="11">
        <v>79.0</v>
      </c>
      <c r="F226" s="8"/>
      <c r="G226" s="8"/>
      <c r="H226" s="8"/>
      <c r="I226" s="11">
        <v>0.114</v>
      </c>
      <c r="J226" s="9" t="s">
        <v>64</v>
      </c>
      <c r="K226" s="14" t="str">
        <f>IFERROR(__xludf.DUMMYFUNCTION("ARRAYFORMULA(VLOOKUP(A226,IMPORTRANGE(""https://docs.google.com/spreadsheets/d/1BuTWp7qHGjWhqrnf-OmePP568O4A5Am9ttzvVdP67zw/edit#gid=1603210130"", ""TOURISM!$A$2:$F$2692""), {2,3,4,5,6},0))"),"Europe")</f>
        <v>Europe</v>
      </c>
      <c r="L226" s="14">
        <f>IFERROR(__xludf.DUMMYFUNCTION("""COMPUTED_VALUE"""),3.39E8)</f>
        <v>339000000</v>
      </c>
      <c r="M226" s="14" t="str">
        <f>IFERROR(__xludf.DUMMYFUNCTION("""COMPUTED_VALUE"""),"Belarus-Europe")</f>
        <v>Belarus-Europe</v>
      </c>
      <c r="N226" s="14" t="str">
        <f>IFERROR(__xludf.DUMMYFUNCTION("""COMPUTED_VALUE"""),"2003")</f>
        <v>2003</v>
      </c>
      <c r="O226" s="14">
        <f>IFERROR(__xludf.DUMMYFUNCTION("""COMPUTED_VALUE"""),4.36E8)</f>
        <v>436000000</v>
      </c>
      <c r="P226" s="15">
        <f>IFERROR(__xludf.DUMMYFUNCTION("ARRAYFORMULA(VLOOKUP(A226,IMPORTRANGE(""https://docs.google.com/spreadsheets/d/1BuTWp7qHGjWhqrnf-OmePP568O4A5Am9ttzvVdP67zw/edit#gid=771602874"" ,""HUMAN RESOURCES!$A$2:$M$2692""), {2,3,4,5,6,7,8,9,10,11,12,13},0))"),0.009)</f>
        <v>0.009</v>
      </c>
      <c r="Q226" s="14">
        <f>IFERROR(__xludf.DUMMYFUNCTION("""COMPUTED_VALUE"""),0.009)</f>
        <v>0.009</v>
      </c>
      <c r="R226" s="14">
        <f>IFERROR(__xludf.DUMMYFUNCTION("""COMPUTED_VALUE"""),75.0)</f>
        <v>75</v>
      </c>
      <c r="S226" s="14">
        <f>IFERROR(__xludf.DUMMYFUNCTION("""COMPUTED_VALUE"""),63.0)</f>
        <v>63</v>
      </c>
      <c r="T226" s="14">
        <f>IFERROR(__xludf.DUMMYFUNCTION("""COMPUTED_VALUE"""),0.166)</f>
        <v>0.166</v>
      </c>
      <c r="U226" s="14">
        <f>IFERROR(__xludf.DUMMYFUNCTION("""COMPUTED_VALUE"""),0.691)</f>
        <v>0.691</v>
      </c>
      <c r="V226" s="14">
        <f>IFERROR(__xludf.DUMMYFUNCTION("""COMPUTED_VALUE"""),0.143)</f>
        <v>0.143</v>
      </c>
      <c r="W226" s="14">
        <f>IFERROR(__xludf.DUMMYFUNCTION("""COMPUTED_VALUE"""),9797000.0)</f>
        <v>9797000</v>
      </c>
      <c r="X226" s="14">
        <f>IFERROR(__xludf.DUMMYFUNCTION("""COMPUTED_VALUE"""),0.714)</f>
        <v>0.714</v>
      </c>
      <c r="Y226" s="14" t="str">
        <f>IFERROR(__xludf.DUMMYFUNCTION("""COMPUTED_VALUE"""),"Belarus-Europe")</f>
        <v>Belarus-Europe</v>
      </c>
      <c r="Z226" s="14" t="str">
        <f>IFERROR(__xludf.DUMMYFUNCTION("""COMPUTED_VALUE"""),"Europe")</f>
        <v>Europe</v>
      </c>
      <c r="AA226" s="14" t="str">
        <f>IFERROR(__xludf.DUMMYFUNCTION("""COMPUTED_VALUE"""),"2003")</f>
        <v>2003</v>
      </c>
      <c r="AB226" s="15" t="str">
        <f>IFERROR(__xludf.DUMMYFUNCTION("ARRAYFORMULA(VLOOKUP(A226,IMPORTRANGE(""https://docs.google.com/spreadsheets/d/1BuTWp7qHGjWhqrnf-OmePP568O4A5Am9ttzvVdP67zw/edit#gid=1931367683"" ,""ENERGY!$A$2:$F$2692""), {2,3,4,5,6},0))"),"Europe")</f>
        <v>Europe</v>
      </c>
      <c r="AC226" s="14" t="str">
        <f>IFERROR(__xludf.DUMMYFUNCTION("""COMPUTED_VALUE"""),"Belarus-Europe")</f>
        <v>Belarus-Europe</v>
      </c>
      <c r="AD226" s="14" t="str">
        <f>IFERROR(__xludf.DUMMYFUNCTION("""COMPUTED_VALUE"""),"2003")</f>
        <v>2003</v>
      </c>
      <c r="AE226" s="14">
        <f>IFERROR(__xludf.DUMMYFUNCTION("""COMPUTED_VALUE"""),26737.0)</f>
        <v>26737</v>
      </c>
      <c r="AF226" s="14">
        <f>IFERROR(__xludf.DUMMYFUNCTION("""COMPUTED_VALUE"""),60293.0)</f>
        <v>60293</v>
      </c>
    </row>
    <row r="227">
      <c r="A227" s="12">
        <v>226.0</v>
      </c>
      <c r="B227" s="12" t="s">
        <v>96</v>
      </c>
      <c r="C227" s="5" t="s">
        <v>75</v>
      </c>
      <c r="D227" s="8"/>
      <c r="E227" s="11">
        <v>79.0</v>
      </c>
      <c r="F227" s="8"/>
      <c r="G227" s="8"/>
      <c r="H227" s="8"/>
      <c r="I227" s="11">
        <v>0.23</v>
      </c>
      <c r="J227" s="9" t="s">
        <v>65</v>
      </c>
      <c r="K227" s="14" t="str">
        <f>IFERROR(__xludf.DUMMYFUNCTION("ARRAYFORMULA(VLOOKUP(A227,IMPORTRANGE(""https://docs.google.com/spreadsheets/d/1BuTWp7qHGjWhqrnf-OmePP568O4A5Am9ttzvVdP67zw/edit#gid=1603210130"", ""TOURISM!$A$2:$F$2692""), {2,3,4,5,6},0))"),"Europe")</f>
        <v>Europe</v>
      </c>
      <c r="L227" s="14">
        <f>IFERROR(__xludf.DUMMYFUNCTION("""COMPUTED_VALUE"""),3.62E8)</f>
        <v>362000000</v>
      </c>
      <c r="M227" s="14" t="str">
        <f>IFERROR(__xludf.DUMMYFUNCTION("""COMPUTED_VALUE"""),"Belarus-Europe")</f>
        <v>Belarus-Europe</v>
      </c>
      <c r="N227" s="14" t="str">
        <f>IFERROR(__xludf.DUMMYFUNCTION("""COMPUTED_VALUE"""),"2004")</f>
        <v>2004</v>
      </c>
      <c r="O227" s="14">
        <f>IFERROR(__xludf.DUMMYFUNCTION("""COMPUTED_VALUE"""),5.0E8)</f>
        <v>500000000</v>
      </c>
      <c r="P227" s="15">
        <f>IFERROR(__xludf.DUMMYFUNCTION("ARRAYFORMULA(VLOOKUP(A227,IMPORTRANGE(""https://docs.google.com/spreadsheets/d/1BuTWp7qHGjWhqrnf-OmePP568O4A5Am9ttzvVdP67zw/edit#gid=771602874"" ,""HUMAN RESOURCES!$A$2:$M$2692""), {2,3,4,5,6,7,8,9,10,11,12,13},0))"),0.009)</f>
        <v>0.009</v>
      </c>
      <c r="Q227" s="14">
        <f>IFERROR(__xludf.DUMMYFUNCTION("""COMPUTED_VALUE"""),0.008)</f>
        <v>0.008</v>
      </c>
      <c r="R227" s="14">
        <f>IFERROR(__xludf.DUMMYFUNCTION("""COMPUTED_VALUE"""),75.0)</f>
        <v>75</v>
      </c>
      <c r="S227" s="14">
        <f>IFERROR(__xludf.DUMMYFUNCTION("""COMPUTED_VALUE"""),63.0)</f>
        <v>63</v>
      </c>
      <c r="T227" s="14">
        <f>IFERROR(__xludf.DUMMYFUNCTION("""COMPUTED_VALUE"""),0.16)</f>
        <v>0.16</v>
      </c>
      <c r="U227" s="14">
        <f>IFERROR(__xludf.DUMMYFUNCTION("""COMPUTED_VALUE"""),0.694)</f>
        <v>0.694</v>
      </c>
      <c r="V227" s="14">
        <f>IFERROR(__xludf.DUMMYFUNCTION("""COMPUTED_VALUE"""),0.146)</f>
        <v>0.146</v>
      </c>
      <c r="W227" s="14">
        <f>IFERROR(__xludf.DUMMYFUNCTION("""COMPUTED_VALUE"""),9730000.0)</f>
        <v>9730000</v>
      </c>
      <c r="X227" s="14">
        <f>IFERROR(__xludf.DUMMYFUNCTION("""COMPUTED_VALUE"""),0.719)</f>
        <v>0.719</v>
      </c>
      <c r="Y227" s="14" t="str">
        <f>IFERROR(__xludf.DUMMYFUNCTION("""COMPUTED_VALUE"""),"Belarus-Europe")</f>
        <v>Belarus-Europe</v>
      </c>
      <c r="Z227" s="14" t="str">
        <f>IFERROR(__xludf.DUMMYFUNCTION("""COMPUTED_VALUE"""),"Europe")</f>
        <v>Europe</v>
      </c>
      <c r="AA227" s="14" t="str">
        <f>IFERROR(__xludf.DUMMYFUNCTION("""COMPUTED_VALUE"""),"2004")</f>
        <v>2004</v>
      </c>
      <c r="AB227" s="15" t="str">
        <f>IFERROR(__xludf.DUMMYFUNCTION("ARRAYFORMULA(VLOOKUP(A227,IMPORTRANGE(""https://docs.google.com/spreadsheets/d/1BuTWp7qHGjWhqrnf-OmePP568O4A5Am9ttzvVdP67zw/edit#gid=1931367683"" ,""ENERGY!$A$2:$F$2692""), {2,3,4,5,6},0))"),"Europe")</f>
        <v>Europe</v>
      </c>
      <c r="AC227" s="14" t="str">
        <f>IFERROR(__xludf.DUMMYFUNCTION("""COMPUTED_VALUE"""),"Belarus-Europe")</f>
        <v>Belarus-Europe</v>
      </c>
      <c r="AD227" s="14" t="str">
        <f>IFERROR(__xludf.DUMMYFUNCTION("""COMPUTED_VALUE"""),"2004")</f>
        <v>2004</v>
      </c>
      <c r="AE227" s="14">
        <f>IFERROR(__xludf.DUMMYFUNCTION("""COMPUTED_VALUE"""),28098.0)</f>
        <v>28098</v>
      </c>
      <c r="AF227" s="14">
        <f>IFERROR(__xludf.DUMMYFUNCTION("""COMPUTED_VALUE"""),62816.0)</f>
        <v>62816</v>
      </c>
    </row>
    <row r="228">
      <c r="A228" s="12">
        <v>227.0</v>
      </c>
      <c r="B228" s="12" t="s">
        <v>96</v>
      </c>
      <c r="C228" s="5" t="s">
        <v>75</v>
      </c>
      <c r="D228" s="11">
        <v>1.373</v>
      </c>
      <c r="E228" s="11">
        <v>79.0</v>
      </c>
      <c r="F228" s="8"/>
      <c r="G228" s="11">
        <v>987.0</v>
      </c>
      <c r="H228" s="8"/>
      <c r="I228" s="11">
        <v>0.424</v>
      </c>
      <c r="J228" s="9" t="s">
        <v>66</v>
      </c>
      <c r="K228" s="14" t="str">
        <f>IFERROR(__xludf.DUMMYFUNCTION("ARRAYFORMULA(VLOOKUP(A228,IMPORTRANGE(""https://docs.google.com/spreadsheets/d/1BuTWp7qHGjWhqrnf-OmePP568O4A5Am9ttzvVdP67zw/edit#gid=1603210130"", ""TOURISM!$A$2:$F$2692""), {2,3,4,5,6},0))"),"Europe")</f>
        <v>Europe</v>
      </c>
      <c r="L228" s="14">
        <f>IFERROR(__xludf.DUMMYFUNCTION("""COMPUTED_VALUE"""),3.46E8)</f>
        <v>346000000</v>
      </c>
      <c r="M228" s="14" t="str">
        <f>IFERROR(__xludf.DUMMYFUNCTION("""COMPUTED_VALUE"""),"Belarus-Europe")</f>
        <v>Belarus-Europe</v>
      </c>
      <c r="N228" s="14" t="str">
        <f>IFERROR(__xludf.DUMMYFUNCTION("""COMPUTED_VALUE"""),"2005")</f>
        <v>2005</v>
      </c>
      <c r="O228" s="14">
        <f>IFERROR(__xludf.DUMMYFUNCTION("""COMPUTED_VALUE"""),5.16E8)</f>
        <v>516000000</v>
      </c>
      <c r="P228" s="15">
        <f>IFERROR(__xludf.DUMMYFUNCTION("ARRAYFORMULA(VLOOKUP(A228,IMPORTRANGE(""https://docs.google.com/spreadsheets/d/1BuTWp7qHGjWhqrnf-OmePP568O4A5Am9ttzvVdP67zw/edit#gid=771602874"" ,""HUMAN RESOURCES!$A$2:$M$2692""), {2,3,4,5,6,7,8,9,10,11,12,13},0))"),0.009)</f>
        <v>0.009</v>
      </c>
      <c r="Q228" s="14">
        <f>IFERROR(__xludf.DUMMYFUNCTION("""COMPUTED_VALUE"""),0.007)</f>
        <v>0.007</v>
      </c>
      <c r="R228" s="14">
        <f>IFERROR(__xludf.DUMMYFUNCTION("""COMPUTED_VALUE"""),75.0)</f>
        <v>75</v>
      </c>
      <c r="S228" s="14">
        <f>IFERROR(__xludf.DUMMYFUNCTION("""COMPUTED_VALUE"""),63.0)</f>
        <v>63</v>
      </c>
      <c r="T228" s="14">
        <f>IFERROR(__xludf.DUMMYFUNCTION("""COMPUTED_VALUE"""),0.155)</f>
        <v>0.155</v>
      </c>
      <c r="U228" s="14">
        <f>IFERROR(__xludf.DUMMYFUNCTION("""COMPUTED_VALUE"""),0.698)</f>
        <v>0.698</v>
      </c>
      <c r="V228" s="14">
        <f>IFERROR(__xludf.DUMMYFUNCTION("""COMPUTED_VALUE"""),0.147)</f>
        <v>0.147</v>
      </c>
      <c r="W228" s="14">
        <f>IFERROR(__xludf.DUMMYFUNCTION("""COMPUTED_VALUE"""),9663000.0)</f>
        <v>9663000</v>
      </c>
      <c r="X228" s="14">
        <f>IFERROR(__xludf.DUMMYFUNCTION("""COMPUTED_VALUE"""),0.724)</f>
        <v>0.724</v>
      </c>
      <c r="Y228" s="14" t="str">
        <f>IFERROR(__xludf.DUMMYFUNCTION("""COMPUTED_VALUE"""),"Belarus-Europe")</f>
        <v>Belarus-Europe</v>
      </c>
      <c r="Z228" s="14" t="str">
        <f>IFERROR(__xludf.DUMMYFUNCTION("""COMPUTED_VALUE"""),"Europe")</f>
        <v>Europe</v>
      </c>
      <c r="AA228" s="14" t="str">
        <f>IFERROR(__xludf.DUMMYFUNCTION("""COMPUTED_VALUE"""),"2005")</f>
        <v>2005</v>
      </c>
      <c r="AB228" s="15" t="str">
        <f>IFERROR(__xludf.DUMMYFUNCTION("ARRAYFORMULA(VLOOKUP(A228,IMPORTRANGE(""https://docs.google.com/spreadsheets/d/1BuTWp7qHGjWhqrnf-OmePP568O4A5Am9ttzvVdP67zw/edit#gid=1931367683"" ,""ENERGY!$A$2:$F$2692""), {2,3,4,5,6},0))"),"Europe")</f>
        <v>Europe</v>
      </c>
      <c r="AC228" s="14" t="str">
        <f>IFERROR(__xludf.DUMMYFUNCTION("""COMPUTED_VALUE"""),"Belarus-Europe")</f>
        <v>Belarus-Europe</v>
      </c>
      <c r="AD228" s="14" t="str">
        <f>IFERROR(__xludf.DUMMYFUNCTION("""COMPUTED_VALUE"""),"2005")</f>
        <v>2005</v>
      </c>
      <c r="AE228" s="14">
        <f>IFERROR(__xludf.DUMMYFUNCTION("""COMPUTED_VALUE"""),28039.0)</f>
        <v>28039</v>
      </c>
      <c r="AF228" s="14">
        <f>IFERROR(__xludf.DUMMYFUNCTION("""COMPUTED_VALUE"""),60282.0)</f>
        <v>60282</v>
      </c>
    </row>
    <row r="229">
      <c r="A229" s="12">
        <v>228.0</v>
      </c>
      <c r="B229" s="12" t="s">
        <v>96</v>
      </c>
      <c r="C229" s="5" t="s">
        <v>75</v>
      </c>
      <c r="D229" s="11">
        <v>1.373</v>
      </c>
      <c r="E229" s="11">
        <v>69.0</v>
      </c>
      <c r="F229" s="8"/>
      <c r="G229" s="11">
        <v>987.0</v>
      </c>
      <c r="H229" s="11">
        <v>0.162</v>
      </c>
      <c r="I229" s="11">
        <v>0.62</v>
      </c>
      <c r="J229" s="9" t="s">
        <v>67</v>
      </c>
      <c r="K229" s="14" t="str">
        <f>IFERROR(__xludf.DUMMYFUNCTION("ARRAYFORMULA(VLOOKUP(A229,IMPORTRANGE(""https://docs.google.com/spreadsheets/d/1BuTWp7qHGjWhqrnf-OmePP568O4A5Am9ttzvVdP67zw/edit#gid=1603210130"", ""TOURISM!$A$2:$F$2692""), {2,3,4,5,6},0))"),"Europe")</f>
        <v>Europe</v>
      </c>
      <c r="L229" s="14">
        <f>IFERROR(__xludf.DUMMYFUNCTION("""COMPUTED_VALUE"""),4.01E8)</f>
        <v>401000000</v>
      </c>
      <c r="M229" s="14" t="str">
        <f>IFERROR(__xludf.DUMMYFUNCTION("""COMPUTED_VALUE"""),"Belarus-Europe")</f>
        <v>Belarus-Europe</v>
      </c>
      <c r="N229" s="14" t="str">
        <f>IFERROR(__xludf.DUMMYFUNCTION("""COMPUTED_VALUE"""),"2006")</f>
        <v>2006</v>
      </c>
      <c r="O229" s="14">
        <f>IFERROR(__xludf.DUMMYFUNCTION("""COMPUTED_VALUE"""),6.75E8)</f>
        <v>675000000</v>
      </c>
      <c r="P229" s="15">
        <f>IFERROR(__xludf.DUMMYFUNCTION("ARRAYFORMULA(VLOOKUP(A229,IMPORTRANGE(""https://docs.google.com/spreadsheets/d/1BuTWp7qHGjWhqrnf-OmePP568O4A5Am9ttzvVdP67zw/edit#gid=771602874"" ,""HUMAN RESOURCES!$A$2:$M$2692""), {2,3,4,5,6,7,8,9,10,11,12,13},0))"),0.01)</f>
        <v>0.01</v>
      </c>
      <c r="Q229" s="14">
        <f>IFERROR(__xludf.DUMMYFUNCTION("""COMPUTED_VALUE"""),0.007)</f>
        <v>0.007</v>
      </c>
      <c r="R229" s="14">
        <f>IFERROR(__xludf.DUMMYFUNCTION("""COMPUTED_VALUE"""),76.0)</f>
        <v>76</v>
      </c>
      <c r="S229" s="14">
        <f>IFERROR(__xludf.DUMMYFUNCTION("""COMPUTED_VALUE"""),64.0)</f>
        <v>64</v>
      </c>
      <c r="T229" s="14">
        <f>IFERROR(__xludf.DUMMYFUNCTION("""COMPUTED_VALUE"""),0.152)</f>
        <v>0.152</v>
      </c>
      <c r="U229" s="14">
        <f>IFERROR(__xludf.DUMMYFUNCTION("""COMPUTED_VALUE"""),0.702)</f>
        <v>0.702</v>
      </c>
      <c r="V229" s="14">
        <f>IFERROR(__xludf.DUMMYFUNCTION("""COMPUTED_VALUE"""),0.147)</f>
        <v>0.147</v>
      </c>
      <c r="W229" s="14">
        <f>IFERROR(__xludf.DUMMYFUNCTION("""COMPUTED_VALUE"""),9604000.0)</f>
        <v>9604000</v>
      </c>
      <c r="X229" s="14">
        <f>IFERROR(__xludf.DUMMYFUNCTION("""COMPUTED_VALUE"""),0.728)</f>
        <v>0.728</v>
      </c>
      <c r="Y229" s="14" t="str">
        <f>IFERROR(__xludf.DUMMYFUNCTION("""COMPUTED_VALUE"""),"Belarus-Europe")</f>
        <v>Belarus-Europe</v>
      </c>
      <c r="Z229" s="14" t="str">
        <f>IFERROR(__xludf.DUMMYFUNCTION("""COMPUTED_VALUE"""),"Europe")</f>
        <v>Europe</v>
      </c>
      <c r="AA229" s="14" t="str">
        <f>IFERROR(__xludf.DUMMYFUNCTION("""COMPUTED_VALUE"""),"2006")</f>
        <v>2006</v>
      </c>
      <c r="AB229" s="15" t="str">
        <f>IFERROR(__xludf.DUMMYFUNCTION("ARRAYFORMULA(VLOOKUP(A229,IMPORTRANGE(""https://docs.google.com/spreadsheets/d/1BuTWp7qHGjWhqrnf-OmePP568O4A5Am9ttzvVdP67zw/edit#gid=1931367683"" ,""ENERGY!$A$2:$F$2692""), {2,3,4,5,6},0))"),"Europe")</f>
        <v>Europe</v>
      </c>
      <c r="AC229" s="14" t="str">
        <f>IFERROR(__xludf.DUMMYFUNCTION("""COMPUTED_VALUE"""),"Belarus-Europe")</f>
        <v>Belarus-Europe</v>
      </c>
      <c r="AD229" s="14" t="str">
        <f>IFERROR(__xludf.DUMMYFUNCTION("""COMPUTED_VALUE"""),"2009")</f>
        <v>2009</v>
      </c>
      <c r="AE229" s="14">
        <f>IFERROR(__xludf.DUMMYFUNCTION("""COMPUTED_VALUE"""),28621.0)</f>
        <v>28621</v>
      </c>
      <c r="AF229" s="14">
        <f>IFERROR(__xludf.DUMMYFUNCTION("""COMPUTED_VALUE"""),61829.0)</f>
        <v>61829</v>
      </c>
    </row>
    <row r="230">
      <c r="A230" s="12">
        <v>229.0</v>
      </c>
      <c r="B230" s="12" t="s">
        <v>96</v>
      </c>
      <c r="C230" s="5" t="s">
        <v>75</v>
      </c>
      <c r="D230" s="11">
        <v>1.208</v>
      </c>
      <c r="E230" s="11">
        <v>48.0</v>
      </c>
      <c r="F230" s="8"/>
      <c r="G230" s="11">
        <v>987.0</v>
      </c>
      <c r="H230" s="11">
        <v>0.197</v>
      </c>
      <c r="I230" s="11">
        <v>0.726</v>
      </c>
      <c r="J230" s="9" t="s">
        <v>68</v>
      </c>
      <c r="K230" s="14" t="str">
        <f>IFERROR(__xludf.DUMMYFUNCTION("ARRAYFORMULA(VLOOKUP(A230,IMPORTRANGE(""https://docs.google.com/spreadsheets/d/1BuTWp7qHGjWhqrnf-OmePP568O4A5Am9ttzvVdP67zw/edit#gid=1603210130"", ""TOURISM!$A$2:$F$2692""), {2,3,4,5,6},0))"),"Europe")</f>
        <v>Europe</v>
      </c>
      <c r="L230" s="14">
        <f>IFERROR(__xludf.DUMMYFUNCTION("""COMPUTED_VALUE"""),4.79E8)</f>
        <v>479000000</v>
      </c>
      <c r="M230" s="14" t="str">
        <f>IFERROR(__xludf.DUMMYFUNCTION("""COMPUTED_VALUE"""),"Belarus-Europe")</f>
        <v>Belarus-Europe</v>
      </c>
      <c r="N230" s="14" t="str">
        <f>IFERROR(__xludf.DUMMYFUNCTION("""COMPUTED_VALUE"""),"2007")</f>
        <v>2007</v>
      </c>
      <c r="O230" s="14">
        <f>IFERROR(__xludf.DUMMYFUNCTION("""COMPUTED_VALUE"""),7.24E8)</f>
        <v>724000000</v>
      </c>
      <c r="P230" s="15">
        <f>IFERROR(__xludf.DUMMYFUNCTION("ARRAYFORMULA(VLOOKUP(A230,IMPORTRANGE(""https://docs.google.com/spreadsheets/d/1BuTWp7qHGjWhqrnf-OmePP568O4A5Am9ttzvVdP67zw/edit#gid=771602874"" ,""HUMAN RESOURCES!$A$2:$M$2692""), {2,3,4,5,6,7,8,9,10,11,12,13},0))"),0.011)</f>
        <v>0.011</v>
      </c>
      <c r="Q230" s="14">
        <f>IFERROR(__xludf.DUMMYFUNCTION("""COMPUTED_VALUE"""),0.006)</f>
        <v>0.006</v>
      </c>
      <c r="R230" s="14">
        <f>IFERROR(__xludf.DUMMYFUNCTION("""COMPUTED_VALUE"""),76.0)</f>
        <v>76</v>
      </c>
      <c r="S230" s="14">
        <f>IFERROR(__xludf.DUMMYFUNCTION("""COMPUTED_VALUE"""),65.0)</f>
        <v>65</v>
      </c>
      <c r="T230" s="14">
        <f>IFERROR(__xludf.DUMMYFUNCTION("""COMPUTED_VALUE"""),0.15)</f>
        <v>0.15</v>
      </c>
      <c r="U230" s="14">
        <f>IFERROR(__xludf.DUMMYFUNCTION("""COMPUTED_VALUE"""),0.705)</f>
        <v>0.705</v>
      </c>
      <c r="V230" s="14">
        <f>IFERROR(__xludf.DUMMYFUNCTION("""COMPUTED_VALUE"""),0.145)</f>
        <v>0.145</v>
      </c>
      <c r="W230" s="14">
        <f>IFERROR(__xludf.DUMMYFUNCTION("""COMPUTED_VALUE"""),9560000.0)</f>
        <v>9560000</v>
      </c>
      <c r="X230" s="14">
        <f>IFERROR(__xludf.DUMMYFUNCTION("""COMPUTED_VALUE"""),0.733)</f>
        <v>0.733</v>
      </c>
      <c r="Y230" s="14" t="str">
        <f>IFERROR(__xludf.DUMMYFUNCTION("""COMPUTED_VALUE"""),"Belarus-Europe")</f>
        <v>Belarus-Europe</v>
      </c>
      <c r="Z230" s="14" t="str">
        <f>IFERROR(__xludf.DUMMYFUNCTION("""COMPUTED_VALUE"""),"Europe")</f>
        <v>Europe</v>
      </c>
      <c r="AA230" s="14" t="str">
        <f>IFERROR(__xludf.DUMMYFUNCTION("""COMPUTED_VALUE"""),"2007")</f>
        <v>2007</v>
      </c>
      <c r="AB230" s="15" t="str">
        <f>IFERROR(__xludf.DUMMYFUNCTION("ARRAYFORMULA(VLOOKUP(A230,IMPORTRANGE(""https://docs.google.com/spreadsheets/d/1BuTWp7qHGjWhqrnf-OmePP568O4A5Am9ttzvVdP67zw/edit#gid=1931367683"" ,""ENERGY!$A$2:$F$2692""), {2,3,4,5,6},0))"),"Europe")</f>
        <v>Europe</v>
      </c>
      <c r="AC230" s="14" t="str">
        <f>IFERROR(__xludf.DUMMYFUNCTION("""COMPUTED_VALUE"""),"Belarus-Europe")</f>
        <v>Belarus-Europe</v>
      </c>
      <c r="AD230" s="14" t="str">
        <f>IFERROR(__xludf.DUMMYFUNCTION("""COMPUTED_VALUE"""),"2006")</f>
        <v>2006</v>
      </c>
      <c r="AE230" s="14">
        <f>IFERROR(__xludf.DUMMYFUNCTION("""COMPUTED_VALUE"""),26874.0)</f>
        <v>26874</v>
      </c>
      <c r="AF230" s="14">
        <f>IFERROR(__xludf.DUMMYFUNCTION("""COMPUTED_VALUE"""),59064.0)</f>
        <v>59064</v>
      </c>
    </row>
    <row r="231">
      <c r="A231" s="12">
        <v>230.0</v>
      </c>
      <c r="B231" s="12" t="s">
        <v>96</v>
      </c>
      <c r="C231" s="5" t="s">
        <v>75</v>
      </c>
      <c r="D231" s="11">
        <v>1.175</v>
      </c>
      <c r="E231" s="11">
        <v>31.0</v>
      </c>
      <c r="F231" s="8"/>
      <c r="G231" s="11">
        <v>987.0</v>
      </c>
      <c r="H231" s="11">
        <v>0.23</v>
      </c>
      <c r="I231" s="11">
        <v>0.851</v>
      </c>
      <c r="J231" s="9" t="s">
        <v>69</v>
      </c>
      <c r="K231" s="14" t="str">
        <f>IFERROR(__xludf.DUMMYFUNCTION("ARRAYFORMULA(VLOOKUP(A231,IMPORTRANGE(""https://docs.google.com/spreadsheets/d/1BuTWp7qHGjWhqrnf-OmePP568O4A5Am9ttzvVdP67zw/edit#gid=1603210130"", ""TOURISM!$A$2:$F$2692""), {2,3,4,5,6},0))"),"Europe")</f>
        <v>Europe</v>
      </c>
      <c r="L231" s="14">
        <f>IFERROR(__xludf.DUMMYFUNCTION("""COMPUTED_VALUE"""),5.85E8)</f>
        <v>585000000</v>
      </c>
      <c r="M231" s="14" t="str">
        <f>IFERROR(__xludf.DUMMYFUNCTION("""COMPUTED_VALUE"""),"Belarus-Europe")</f>
        <v>Belarus-Europe</v>
      </c>
      <c r="N231" s="14" t="str">
        <f>IFERROR(__xludf.DUMMYFUNCTION("""COMPUTED_VALUE"""),"2008")</f>
        <v>2008</v>
      </c>
      <c r="O231" s="14">
        <f>IFERROR(__xludf.DUMMYFUNCTION("""COMPUTED_VALUE"""),8.6E8)</f>
        <v>860000000</v>
      </c>
      <c r="P231" s="15">
        <f>IFERROR(__xludf.DUMMYFUNCTION("ARRAYFORMULA(VLOOKUP(A231,IMPORTRANGE(""https://docs.google.com/spreadsheets/d/1BuTWp7qHGjWhqrnf-OmePP568O4A5Am9ttzvVdP67zw/edit#gid=771602874"" ,""HUMAN RESOURCES!$A$2:$M$2692""), {2,3,4,5,6,7,8,9,10,11,12,13},0))"),0.011)</f>
        <v>0.011</v>
      </c>
      <c r="Q231" s="14">
        <f>IFERROR(__xludf.DUMMYFUNCTION("""COMPUTED_VALUE"""),0.006)</f>
        <v>0.006</v>
      </c>
      <c r="R231" s="14">
        <f>IFERROR(__xludf.DUMMYFUNCTION("""COMPUTED_VALUE"""),77.0)</f>
        <v>77</v>
      </c>
      <c r="S231" s="14">
        <f>IFERROR(__xludf.DUMMYFUNCTION("""COMPUTED_VALUE"""),65.0)</f>
        <v>65</v>
      </c>
      <c r="T231" s="14">
        <f>IFERROR(__xludf.DUMMYFUNCTION("""COMPUTED_VALUE"""),0.148)</f>
        <v>0.148</v>
      </c>
      <c r="U231" s="14">
        <f>IFERROR(__xludf.DUMMYFUNCTION("""COMPUTED_VALUE"""),0.708)</f>
        <v>0.708</v>
      </c>
      <c r="V231" s="14">
        <f>IFERROR(__xludf.DUMMYFUNCTION("""COMPUTED_VALUE"""),0.143)</f>
        <v>0.143</v>
      </c>
      <c r="W231" s="14">
        <f>IFERROR(__xludf.DUMMYFUNCTION("""COMPUTED_VALUE"""),9528000.0)</f>
        <v>9528000</v>
      </c>
      <c r="X231" s="14">
        <f>IFERROR(__xludf.DUMMYFUNCTION("""COMPUTED_VALUE"""),0.737)</f>
        <v>0.737</v>
      </c>
      <c r="Y231" s="14" t="str">
        <f>IFERROR(__xludf.DUMMYFUNCTION("""COMPUTED_VALUE"""),"Belarus-Europe")</f>
        <v>Belarus-Europe</v>
      </c>
      <c r="Z231" s="14" t="str">
        <f>IFERROR(__xludf.DUMMYFUNCTION("""COMPUTED_VALUE"""),"Europe")</f>
        <v>Europe</v>
      </c>
      <c r="AA231" s="14" t="str">
        <f>IFERROR(__xludf.DUMMYFUNCTION("""COMPUTED_VALUE"""),"2008")</f>
        <v>2008</v>
      </c>
      <c r="AB231" s="15" t="str">
        <f>IFERROR(__xludf.DUMMYFUNCTION("ARRAYFORMULA(VLOOKUP(A231,IMPORTRANGE(""https://docs.google.com/spreadsheets/d/1BuTWp7qHGjWhqrnf-OmePP568O4A5Am9ttzvVdP67zw/edit#gid=1931367683"" ,""ENERGY!$A$2:$F$2692""), {2,3,4,5,6},0))"),"Europe")</f>
        <v>Europe</v>
      </c>
      <c r="AC231" s="14" t="str">
        <f>IFERROR(__xludf.DUMMYFUNCTION("""COMPUTED_VALUE"""),"Belarus-Europe")</f>
        <v>Belarus-Europe</v>
      </c>
      <c r="AD231" s="14" t="str">
        <f>IFERROR(__xludf.DUMMYFUNCTION("""COMPUTED_VALUE"""),"2012")</f>
        <v>2012</v>
      </c>
      <c r="AE231" s="14">
        <f>IFERROR(__xludf.DUMMYFUNCTION("""COMPUTED_VALUE"""),26888.0)</f>
        <v>26888</v>
      </c>
      <c r="AF231" s="14">
        <f>IFERROR(__xludf.DUMMYFUNCTION("""COMPUTED_VALUE"""),58038.0)</f>
        <v>58038</v>
      </c>
    </row>
    <row r="232">
      <c r="A232" s="12">
        <v>231.0</v>
      </c>
      <c r="B232" s="12" t="s">
        <v>96</v>
      </c>
      <c r="C232" s="5" t="s">
        <v>75</v>
      </c>
      <c r="D232" s="11">
        <v>0.997</v>
      </c>
      <c r="E232" s="11">
        <v>10.0</v>
      </c>
      <c r="F232" s="8"/>
      <c r="G232" s="11">
        <v>900.0</v>
      </c>
      <c r="H232" s="11">
        <v>0.274</v>
      </c>
      <c r="I232" s="11">
        <v>1.017</v>
      </c>
      <c r="J232" s="9" t="s">
        <v>70</v>
      </c>
      <c r="K232" s="14" t="str">
        <f>IFERROR(__xludf.DUMMYFUNCTION("ARRAYFORMULA(VLOOKUP(A232,IMPORTRANGE(""https://docs.google.com/spreadsheets/d/1BuTWp7qHGjWhqrnf-OmePP568O4A5Am9ttzvVdP67zw/edit#gid=1603210130"", ""TOURISM!$A$2:$F$2692""), {2,3,4,5,6},0))"),"Europe")</f>
        <v>Europe</v>
      </c>
      <c r="L232" s="14">
        <f>IFERROR(__xludf.DUMMYFUNCTION("""COMPUTED_VALUE"""),5.63E8)</f>
        <v>563000000</v>
      </c>
      <c r="M232" s="14" t="str">
        <f>IFERROR(__xludf.DUMMYFUNCTION("""COMPUTED_VALUE"""),"Belarus-Europe")</f>
        <v>Belarus-Europe</v>
      </c>
      <c r="N232" s="14" t="str">
        <f>IFERROR(__xludf.DUMMYFUNCTION("""COMPUTED_VALUE"""),"2009")</f>
        <v>2009</v>
      </c>
      <c r="O232" s="14">
        <f>IFERROR(__xludf.DUMMYFUNCTION("""COMPUTED_VALUE"""),7.52E8)</f>
        <v>752000000</v>
      </c>
      <c r="P232" s="15">
        <f>IFERROR(__xludf.DUMMYFUNCTION("ARRAYFORMULA(VLOOKUP(A232,IMPORTRANGE(""https://docs.google.com/spreadsheets/d/1BuTWp7qHGjWhqrnf-OmePP568O4A5Am9ttzvVdP67zw/edit#gid=771602874"" ,""HUMAN RESOURCES!$A$2:$M$2692""), {2,3,4,5,6,7,8,9,10,11,12,13},0))"),0.011)</f>
        <v>0.011</v>
      </c>
      <c r="Q232" s="14">
        <f>IFERROR(__xludf.DUMMYFUNCTION("""COMPUTED_VALUE"""),0.005)</f>
        <v>0.005</v>
      </c>
      <c r="R232" s="14">
        <f>IFERROR(__xludf.DUMMYFUNCTION("""COMPUTED_VALUE"""),76.0)</f>
        <v>76</v>
      </c>
      <c r="S232" s="14">
        <f>IFERROR(__xludf.DUMMYFUNCTION("""COMPUTED_VALUE"""),65.0)</f>
        <v>65</v>
      </c>
      <c r="T232" s="14">
        <f>IFERROR(__xludf.DUMMYFUNCTION("""COMPUTED_VALUE"""),0.148)</f>
        <v>0.148</v>
      </c>
      <c r="U232" s="14">
        <f>IFERROR(__xludf.DUMMYFUNCTION("""COMPUTED_VALUE"""),0.711)</f>
        <v>0.711</v>
      </c>
      <c r="V232" s="14">
        <f>IFERROR(__xludf.DUMMYFUNCTION("""COMPUTED_VALUE"""),0.141)</f>
        <v>0.141</v>
      </c>
      <c r="W232" s="14">
        <f>IFERROR(__xludf.DUMMYFUNCTION("""COMPUTED_VALUE"""),9507000.0)</f>
        <v>9507000</v>
      </c>
      <c r="X232" s="14">
        <f>IFERROR(__xludf.DUMMYFUNCTION("""COMPUTED_VALUE"""),0.742)</f>
        <v>0.742</v>
      </c>
      <c r="Y232" s="14" t="str">
        <f>IFERROR(__xludf.DUMMYFUNCTION("""COMPUTED_VALUE"""),"Belarus-Europe")</f>
        <v>Belarus-Europe</v>
      </c>
      <c r="Z232" s="14" t="str">
        <f>IFERROR(__xludf.DUMMYFUNCTION("""COMPUTED_VALUE"""),"Europe")</f>
        <v>Europe</v>
      </c>
      <c r="AA232" s="14" t="str">
        <f>IFERROR(__xludf.DUMMYFUNCTION("""COMPUTED_VALUE"""),"2009")</f>
        <v>2009</v>
      </c>
      <c r="AB232" s="15" t="str">
        <f>IFERROR(__xludf.DUMMYFUNCTION("ARRAYFORMULA(VLOOKUP(A232,IMPORTRANGE(""https://docs.google.com/spreadsheets/d/1BuTWp7qHGjWhqrnf-OmePP568O4A5Am9ttzvVdP67zw/edit#gid=1931367683"" ,""ENERGY!$A$2:$F$2692""), {2,3,4,5,6},0))"),"Europe")</f>
        <v>Europe</v>
      </c>
      <c r="AC232" s="14" t="str">
        <f>IFERROR(__xludf.DUMMYFUNCTION("""COMPUTED_VALUE"""),"Belarus-Europe")</f>
        <v>Belarus-Europe</v>
      </c>
      <c r="AD232" s="14" t="str">
        <f>IFERROR(__xludf.DUMMYFUNCTION("""COMPUTED_VALUE"""),"2008")</f>
        <v>2008</v>
      </c>
      <c r="AE232" s="14">
        <f>IFERROR(__xludf.DUMMYFUNCTION("""COMPUTED_VALUE"""),26009.0)</f>
        <v>26009</v>
      </c>
      <c r="AF232" s="14">
        <f>IFERROR(__xludf.DUMMYFUNCTION("""COMPUTED_VALUE"""),53722.0)</f>
        <v>53722</v>
      </c>
    </row>
    <row r="233">
      <c r="A233" s="12">
        <v>232.0</v>
      </c>
      <c r="B233" s="12" t="s">
        <v>96</v>
      </c>
      <c r="C233" s="5" t="s">
        <v>75</v>
      </c>
      <c r="D233" s="11">
        <v>0.805</v>
      </c>
      <c r="E233" s="11">
        <v>10.0</v>
      </c>
      <c r="F233" s="8"/>
      <c r="G233" s="11">
        <v>798.0</v>
      </c>
      <c r="H233" s="11">
        <v>0.318</v>
      </c>
      <c r="I233" s="11">
        <v>1.089</v>
      </c>
      <c r="J233" s="9" t="s">
        <v>71</v>
      </c>
      <c r="K233" s="14" t="str">
        <f>IFERROR(__xludf.DUMMYFUNCTION("ARRAYFORMULA(VLOOKUP(A233,IMPORTRANGE(""https://docs.google.com/spreadsheets/d/1BuTWp7qHGjWhqrnf-OmePP568O4A5Am9ttzvVdP67zw/edit#gid=1603210130"", ""TOURISM!$A$2:$F$2692""), {2,3,4,5,6},0))"),"Europe")</f>
        <v>Europe</v>
      </c>
      <c r="L233" s="14">
        <f>IFERROR(__xludf.DUMMYFUNCTION("""COMPUTED_VALUE"""),6.65E8)</f>
        <v>665000000</v>
      </c>
      <c r="M233" s="14" t="str">
        <f>IFERROR(__xludf.DUMMYFUNCTION("""COMPUTED_VALUE"""),"Belarus-Europe")</f>
        <v>Belarus-Europe</v>
      </c>
      <c r="N233" s="14" t="str">
        <f>IFERROR(__xludf.DUMMYFUNCTION("""COMPUTED_VALUE"""),"2010")</f>
        <v>2010</v>
      </c>
      <c r="O233" s="14">
        <f>IFERROR(__xludf.DUMMYFUNCTION("""COMPUTED_VALUE"""),7.48E8)</f>
        <v>748000000</v>
      </c>
      <c r="P233" s="15">
        <f>IFERROR(__xludf.DUMMYFUNCTION("ARRAYFORMULA(VLOOKUP(A233,IMPORTRANGE(""https://docs.google.com/spreadsheets/d/1BuTWp7qHGjWhqrnf-OmePP568O4A5Am9ttzvVdP67zw/edit#gid=771602874"" ,""HUMAN RESOURCES!$A$2:$M$2692""), {2,3,4,5,6,7,8,9,10,11,12,13},0))"),0.011)</f>
        <v>0.011</v>
      </c>
      <c r="Q233" s="14">
        <f>IFERROR(__xludf.DUMMYFUNCTION("""COMPUTED_VALUE"""),0.005)</f>
        <v>0.005</v>
      </c>
      <c r="R233" s="14">
        <f>IFERROR(__xludf.DUMMYFUNCTION("""COMPUTED_VALUE"""),77.0)</f>
        <v>77</v>
      </c>
      <c r="S233" s="14">
        <f>IFERROR(__xludf.DUMMYFUNCTION("""COMPUTED_VALUE"""),65.0)</f>
        <v>65</v>
      </c>
      <c r="T233" s="14">
        <f>IFERROR(__xludf.DUMMYFUNCTION("""COMPUTED_VALUE"""),0.148)</f>
        <v>0.148</v>
      </c>
      <c r="U233" s="14">
        <f>IFERROR(__xludf.DUMMYFUNCTION("""COMPUTED_VALUE"""),0.712)</f>
        <v>0.712</v>
      </c>
      <c r="V233" s="14">
        <f>IFERROR(__xludf.DUMMYFUNCTION("""COMPUTED_VALUE"""),0.139)</f>
        <v>0.139</v>
      </c>
      <c r="W233" s="14">
        <f>IFERROR(__xludf.DUMMYFUNCTION("""COMPUTED_VALUE"""),9490000.0)</f>
        <v>9490000</v>
      </c>
      <c r="X233" s="14">
        <f>IFERROR(__xludf.DUMMYFUNCTION("""COMPUTED_VALUE"""),0.746)</f>
        <v>0.746</v>
      </c>
      <c r="Y233" s="14" t="str">
        <f>IFERROR(__xludf.DUMMYFUNCTION("""COMPUTED_VALUE"""),"Belarus-Europe")</f>
        <v>Belarus-Europe</v>
      </c>
      <c r="Z233" s="14" t="str">
        <f>IFERROR(__xludf.DUMMYFUNCTION("""COMPUTED_VALUE"""),"Europe")</f>
        <v>Europe</v>
      </c>
      <c r="AA233" s="14" t="str">
        <f>IFERROR(__xludf.DUMMYFUNCTION("""COMPUTED_VALUE"""),"2010")</f>
        <v>2010</v>
      </c>
      <c r="AB233" s="15" t="str">
        <f>IFERROR(__xludf.DUMMYFUNCTION("ARRAYFORMULA(VLOOKUP(A233,IMPORTRANGE(""https://docs.google.com/spreadsheets/d/1BuTWp7qHGjWhqrnf-OmePP568O4A5Am9ttzvVdP67zw/edit#gid=1931367683"" ,""ENERGY!$A$2:$F$2692""), {2,3,4,5,6},0))"),"Europe")</f>
        <v>Europe</v>
      </c>
      <c r="AC233" s="14" t="str">
        <f>IFERROR(__xludf.DUMMYFUNCTION("""COMPUTED_VALUE"""),"Belarus-Europe")</f>
        <v>Belarus-Europe</v>
      </c>
      <c r="AD233" s="14" t="str">
        <f>IFERROR(__xludf.DUMMYFUNCTION("""COMPUTED_VALUE"""),"2005")</f>
        <v>2005</v>
      </c>
      <c r="AE233" s="14">
        <f>IFERROR(__xludf.DUMMYFUNCTION("""COMPUTED_VALUE"""),25262.0)</f>
        <v>25262</v>
      </c>
      <c r="AF233" s="14">
        <f>IFERROR(__xludf.DUMMYFUNCTION("""COMPUTED_VALUE"""),52390.0)</f>
        <v>52390</v>
      </c>
    </row>
    <row r="234">
      <c r="A234" s="12">
        <v>233.0</v>
      </c>
      <c r="B234" s="12" t="s">
        <v>96</v>
      </c>
      <c r="C234" s="5" t="s">
        <v>75</v>
      </c>
      <c r="D234" s="11">
        <v>0.623</v>
      </c>
      <c r="E234" s="11">
        <v>10.0</v>
      </c>
      <c r="F234" s="8"/>
      <c r="G234" s="11">
        <v>654.0</v>
      </c>
      <c r="H234" s="11">
        <v>0.396</v>
      </c>
      <c r="I234" s="11">
        <v>1.132</v>
      </c>
      <c r="J234" s="9" t="s">
        <v>72</v>
      </c>
      <c r="K234" s="14" t="str">
        <f>IFERROR(__xludf.DUMMYFUNCTION("ARRAYFORMULA(VLOOKUP(A234,IMPORTRANGE(""https://docs.google.com/spreadsheets/d/1BuTWp7qHGjWhqrnf-OmePP568O4A5Am9ttzvVdP67zw/edit#gid=1603210130"", ""TOURISM!$A$2:$F$2692""), {2,3,4,5,6},0))"),"Europe")</f>
        <v>Europe</v>
      </c>
      <c r="L234" s="14">
        <f>IFERROR(__xludf.DUMMYFUNCTION("""COMPUTED_VALUE"""),7.47E8)</f>
        <v>747000000</v>
      </c>
      <c r="M234" s="14" t="str">
        <f>IFERROR(__xludf.DUMMYFUNCTION("""COMPUTED_VALUE"""),"Belarus-Europe")</f>
        <v>Belarus-Europe</v>
      </c>
      <c r="N234" s="14" t="str">
        <f>IFERROR(__xludf.DUMMYFUNCTION("""COMPUTED_VALUE"""),"2011")</f>
        <v>2011</v>
      </c>
      <c r="O234" s="14">
        <f>IFERROR(__xludf.DUMMYFUNCTION("""COMPUTED_VALUE"""),7.29E8)</f>
        <v>729000000</v>
      </c>
      <c r="P234" s="15">
        <f>IFERROR(__xludf.DUMMYFUNCTION("ARRAYFORMULA(VLOOKUP(A234,IMPORTRANGE(""https://docs.google.com/spreadsheets/d/1BuTWp7qHGjWhqrnf-OmePP568O4A5Am9ttzvVdP67zw/edit#gid=771602874"" ,""HUMAN RESOURCES!$A$2:$M$2692""), {2,3,4,5,6,7,8,9,10,11,12,13},0))"),0.012)</f>
        <v>0.012</v>
      </c>
      <c r="Q234" s="14">
        <f>IFERROR(__xludf.DUMMYFUNCTION("""COMPUTED_VALUE"""),0.004)</f>
        <v>0.004</v>
      </c>
      <c r="R234" s="14">
        <f>IFERROR(__xludf.DUMMYFUNCTION("""COMPUTED_VALUE"""),77.0)</f>
        <v>77</v>
      </c>
      <c r="S234" s="14">
        <f>IFERROR(__xludf.DUMMYFUNCTION("""COMPUTED_VALUE"""),65.0)</f>
        <v>65</v>
      </c>
      <c r="T234" s="14">
        <f>IFERROR(__xludf.DUMMYFUNCTION("""COMPUTED_VALUE"""),0.149)</f>
        <v>0.149</v>
      </c>
      <c r="U234" s="14">
        <f>IFERROR(__xludf.DUMMYFUNCTION("""COMPUTED_VALUE"""),0.712)</f>
        <v>0.712</v>
      </c>
      <c r="V234" s="14">
        <f>IFERROR(__xludf.DUMMYFUNCTION("""COMPUTED_VALUE"""),0.138)</f>
        <v>0.138</v>
      </c>
      <c r="W234" s="14">
        <f>IFERROR(__xludf.DUMMYFUNCTION("""COMPUTED_VALUE"""),9473000.0)</f>
        <v>9473000</v>
      </c>
      <c r="X234" s="14">
        <f>IFERROR(__xludf.DUMMYFUNCTION("""COMPUTED_VALUE"""),0.75)</f>
        <v>0.75</v>
      </c>
      <c r="Y234" s="14" t="str">
        <f>IFERROR(__xludf.DUMMYFUNCTION("""COMPUTED_VALUE"""),"Belarus-Europe")</f>
        <v>Belarus-Europe</v>
      </c>
      <c r="Z234" s="14" t="str">
        <f>IFERROR(__xludf.DUMMYFUNCTION("""COMPUTED_VALUE"""),"Europe")</f>
        <v>Europe</v>
      </c>
      <c r="AA234" s="14" t="str">
        <f>IFERROR(__xludf.DUMMYFUNCTION("""COMPUTED_VALUE"""),"2011")</f>
        <v>2011</v>
      </c>
      <c r="AB234" s="15" t="str">
        <f>IFERROR(__xludf.DUMMYFUNCTION("ARRAYFORMULA(VLOOKUP(A234,IMPORTRANGE(""https://docs.google.com/spreadsheets/d/1BuTWp7qHGjWhqrnf-OmePP568O4A5Am9ttzvVdP67zw/edit#gid=1931367683"" ,""ENERGY!$A$2:$F$2692""), {2,3,4,5,6},0))"),"Europe")</f>
        <v>Europe</v>
      </c>
      <c r="AC234" s="14" t="str">
        <f>IFERROR(__xludf.DUMMYFUNCTION("""COMPUTED_VALUE"""),"Belarus-Europe")</f>
        <v>Belarus-Europe</v>
      </c>
      <c r="AD234" s="14" t="str">
        <f>IFERROR(__xludf.DUMMYFUNCTION("""COMPUTED_VALUE"""),"2012")</f>
        <v>2012</v>
      </c>
      <c r="AE234" s="14">
        <f>IFERROR(__xludf.DUMMYFUNCTION("""COMPUTED_VALUE"""),24785.0)</f>
        <v>24785</v>
      </c>
      <c r="AF234" s="14">
        <f>IFERROR(__xludf.DUMMYFUNCTION("""COMPUTED_VALUE"""),52596.0)</f>
        <v>52596</v>
      </c>
    </row>
    <row r="235">
      <c r="A235" s="12">
        <v>234.0</v>
      </c>
      <c r="B235" s="12" t="s">
        <v>96</v>
      </c>
      <c r="C235" s="5" t="s">
        <v>75</v>
      </c>
      <c r="D235" s="11">
        <v>0.605</v>
      </c>
      <c r="E235" s="11">
        <v>10.0</v>
      </c>
      <c r="F235" s="11">
        <v>64.0</v>
      </c>
      <c r="G235" s="11">
        <v>338.0</v>
      </c>
      <c r="H235" s="11">
        <v>0.469</v>
      </c>
      <c r="I235" s="11">
        <v>1.135</v>
      </c>
      <c r="J235" s="9" t="s">
        <v>73</v>
      </c>
      <c r="K235" s="14" t="str">
        <f>IFERROR(__xludf.DUMMYFUNCTION("ARRAYFORMULA(VLOOKUP(A235,IMPORTRANGE(""https://docs.google.com/spreadsheets/d/1BuTWp7qHGjWhqrnf-OmePP568O4A5Am9ttzvVdP67zw/edit#gid=1603210130"", ""TOURISM!$A$2:$F$2692""), {2,3,4,5,6},0))"),"Europe")</f>
        <v>Europe</v>
      </c>
      <c r="L235" s="14">
        <f>IFERROR(__xludf.DUMMYFUNCTION("""COMPUTED_VALUE"""),9.86E8)</f>
        <v>986000000</v>
      </c>
      <c r="M235" s="14" t="str">
        <f>IFERROR(__xludf.DUMMYFUNCTION("""COMPUTED_VALUE"""),"Belarus-Europe")</f>
        <v>Belarus-Europe</v>
      </c>
      <c r="N235" s="14" t="str">
        <f>IFERROR(__xludf.DUMMYFUNCTION("""COMPUTED_VALUE"""),"2012")</f>
        <v>2012</v>
      </c>
      <c r="O235" s="14">
        <f>IFERROR(__xludf.DUMMYFUNCTION("""COMPUTED_VALUE"""),7.81E8)</f>
        <v>781000000</v>
      </c>
      <c r="P235" s="15">
        <f>IFERROR(__xludf.DUMMYFUNCTION("ARRAYFORMULA(VLOOKUP(A235,IMPORTRANGE(""https://docs.google.com/spreadsheets/d/1BuTWp7qHGjWhqrnf-OmePP568O4A5Am9ttzvVdP67zw/edit#gid=771602874"" ,""HUMAN RESOURCES!$A$2:$M$2692""), {2,3,4,5,6,7,8,9,10,11,12,13},0))"),0.012)</f>
        <v>0.012</v>
      </c>
      <c r="Q235" s="14">
        <f>IFERROR(__xludf.DUMMYFUNCTION("""COMPUTED_VALUE"""),0.004)</f>
        <v>0.004</v>
      </c>
      <c r="R235" s="14">
        <f>IFERROR(__xludf.DUMMYFUNCTION("""COMPUTED_VALUE"""),78.0)</f>
        <v>78</v>
      </c>
      <c r="S235" s="14">
        <f>IFERROR(__xludf.DUMMYFUNCTION("""COMPUTED_VALUE"""),67.0)</f>
        <v>67</v>
      </c>
      <c r="T235" s="14">
        <f>IFERROR(__xludf.DUMMYFUNCTION("""COMPUTED_VALUE"""),0.151)</f>
        <v>0.151</v>
      </c>
      <c r="U235" s="14">
        <f>IFERROR(__xludf.DUMMYFUNCTION("""COMPUTED_VALUE"""),0.711)</f>
        <v>0.711</v>
      </c>
      <c r="V235" s="14">
        <f>IFERROR(__xludf.DUMMYFUNCTION("""COMPUTED_VALUE"""),0.138)</f>
        <v>0.138</v>
      </c>
      <c r="W235" s="14">
        <f>IFERROR(__xludf.DUMMYFUNCTION("""COMPUTED_VALUE"""),9464000.0)</f>
        <v>9464000</v>
      </c>
      <c r="X235" s="14">
        <f>IFERROR(__xludf.DUMMYFUNCTION("""COMPUTED_VALUE"""),0.755)</f>
        <v>0.755</v>
      </c>
      <c r="Y235" s="14" t="str">
        <f>IFERROR(__xludf.DUMMYFUNCTION("""COMPUTED_VALUE"""),"Belarus-Europe")</f>
        <v>Belarus-Europe</v>
      </c>
      <c r="Z235" s="14" t="str">
        <f>IFERROR(__xludf.DUMMYFUNCTION("""COMPUTED_VALUE"""),"Europe")</f>
        <v>Europe</v>
      </c>
      <c r="AA235" s="14" t="str">
        <f>IFERROR(__xludf.DUMMYFUNCTION("""COMPUTED_VALUE"""),"2012")</f>
        <v>2012</v>
      </c>
      <c r="AB235" s="15" t="str">
        <f>IFERROR(__xludf.DUMMYFUNCTION("ARRAYFORMULA(VLOOKUP(A235,IMPORTRANGE(""https://docs.google.com/spreadsheets/d/1BuTWp7qHGjWhqrnf-OmePP568O4A5Am9ttzvVdP67zw/edit#gid=1931367683"" ,""ENERGY!$A$2:$F$2692""), {2,3,4,5,6},0))"),"Europe")</f>
        <v>Europe</v>
      </c>
      <c r="AC235" s="14" t="str">
        <f>IFERROR(__xludf.DUMMYFUNCTION("""COMPUTED_VALUE"""),"Belarus-Europe")</f>
        <v>Belarus-Europe</v>
      </c>
      <c r="AD235" s="14" t="str">
        <f>IFERROR(__xludf.DUMMYFUNCTION("""COMPUTED_VALUE"""),"2008")</f>
        <v>2008</v>
      </c>
      <c r="AE235" s="14">
        <f>IFERROR(__xludf.DUMMYFUNCTION("""COMPUTED_VALUE"""),24695.0)</f>
        <v>24695</v>
      </c>
      <c r="AF235" s="14">
        <f>IFERROR(__xludf.DUMMYFUNCTION("""COMPUTED_VALUE"""),53469.0)</f>
        <v>53469</v>
      </c>
    </row>
    <row r="236">
      <c r="A236" s="12">
        <v>235.0</v>
      </c>
      <c r="B236" s="12" t="s">
        <v>97</v>
      </c>
      <c r="C236" s="5" t="s">
        <v>75</v>
      </c>
      <c r="D236" s="8"/>
      <c r="E236" s="8"/>
      <c r="F236" s="8"/>
      <c r="G236" s="8"/>
      <c r="H236" s="11">
        <v>0.294</v>
      </c>
      <c r="I236" s="11">
        <v>0.548</v>
      </c>
      <c r="J236" s="9" t="s">
        <v>60</v>
      </c>
      <c r="K236" s="14" t="str">
        <f>IFERROR(__xludf.DUMMYFUNCTION("ARRAYFORMULA(VLOOKUP(A236,IMPORTRANGE(""https://docs.google.com/spreadsheets/d/1BuTWp7qHGjWhqrnf-OmePP568O4A5Am9ttzvVdP67zw/edit#gid=1603210130"", ""TOURISM!$A$2:$F$2692""), {2,3,4,5,6},0))"),"Europe")</f>
        <v>Europe</v>
      </c>
      <c r="L236" s="14">
        <f>IFERROR(__xludf.DUMMYFUNCTION("""COMPUTED_VALUE"""),6.592E9)</f>
        <v>6592000000</v>
      </c>
      <c r="M236" s="14" t="str">
        <f>IFERROR(__xludf.DUMMYFUNCTION("""COMPUTED_VALUE"""),"Belgium-Europe")</f>
        <v>Belgium-Europe</v>
      </c>
      <c r="N236" s="14" t="str">
        <f>IFERROR(__xludf.DUMMYFUNCTION("""COMPUTED_VALUE"""),"2000")</f>
        <v>2000</v>
      </c>
      <c r="O236" s="14">
        <f>IFERROR(__xludf.DUMMYFUNCTION("""COMPUTED_VALUE"""),9.429E9)</f>
        <v>9429000000</v>
      </c>
      <c r="P236" s="15">
        <f>IFERROR(__xludf.DUMMYFUNCTION("ARRAYFORMULA(VLOOKUP(A236,IMPORTRANGE(""https://docs.google.com/spreadsheets/d/1BuTWp7qHGjWhqrnf-OmePP568O4A5Am9ttzvVdP67zw/edit#gid=771602874"" ,""HUMAN RESOURCES!$A$2:$M$2692""), {2,3,4,5,6,7,8,9,10,11,12,13},0))"),0.011)</f>
        <v>0.011</v>
      </c>
      <c r="Q236" s="14">
        <f>IFERROR(__xludf.DUMMYFUNCTION("""COMPUTED_VALUE"""),0.005)</f>
        <v>0.005</v>
      </c>
      <c r="R236" s="14">
        <f>IFERROR(__xludf.DUMMYFUNCTION("""COMPUTED_VALUE"""),81.0)</f>
        <v>81</v>
      </c>
      <c r="S236" s="14">
        <f>IFERROR(__xludf.DUMMYFUNCTION("""COMPUTED_VALUE"""),75.0)</f>
        <v>75</v>
      </c>
      <c r="T236" s="14">
        <f>IFERROR(__xludf.DUMMYFUNCTION("""COMPUTED_VALUE"""),0.176)</f>
        <v>0.176</v>
      </c>
      <c r="U236" s="14">
        <f>IFERROR(__xludf.DUMMYFUNCTION("""COMPUTED_VALUE"""),0.655)</f>
        <v>0.655</v>
      </c>
      <c r="V236" s="14">
        <f>IFERROR(__xludf.DUMMYFUNCTION("""COMPUTED_VALUE"""),0.169)</f>
        <v>0.169</v>
      </c>
      <c r="W236" s="14">
        <f>IFERROR(__xludf.DUMMYFUNCTION("""COMPUTED_VALUE"""),1.025125E7)</f>
        <v>10251250</v>
      </c>
      <c r="X236" s="14">
        <f>IFERROR(__xludf.DUMMYFUNCTION("""COMPUTED_VALUE"""),0.971)</f>
        <v>0.971</v>
      </c>
      <c r="Y236" s="14" t="str">
        <f>IFERROR(__xludf.DUMMYFUNCTION("""COMPUTED_VALUE"""),"Belgium-Europe")</f>
        <v>Belgium-Europe</v>
      </c>
      <c r="Z236" s="14" t="str">
        <f>IFERROR(__xludf.DUMMYFUNCTION("""COMPUTED_VALUE"""),"Europe")</f>
        <v>Europe</v>
      </c>
      <c r="AA236" s="14" t="str">
        <f>IFERROR(__xludf.DUMMYFUNCTION("""COMPUTED_VALUE"""),"2000")</f>
        <v>2000</v>
      </c>
      <c r="AB236" s="15" t="str">
        <f>IFERROR(__xludf.DUMMYFUNCTION("ARRAYFORMULA(VLOOKUP(A236,IMPORTRANGE(""https://docs.google.com/spreadsheets/d/1BuTWp7qHGjWhqrnf-OmePP568O4A5Am9ttzvVdP67zw/edit#gid=1931367683"" ,""ENERGY!$A$2:$F$2692""), {2,3,4,5,6},0))"),"Europe")</f>
        <v>Europe</v>
      </c>
      <c r="AC236" s="14" t="str">
        <f>IFERROR(__xludf.DUMMYFUNCTION("""COMPUTED_VALUE"""),"Belgium-Europe")</f>
        <v>Belgium-Europe</v>
      </c>
      <c r="AD236" s="14" t="str">
        <f>IFERROR(__xludf.DUMMYFUNCTION("""COMPUTED_VALUE"""),"2000")</f>
        <v>2000</v>
      </c>
      <c r="AE236" s="14">
        <f>IFERROR(__xludf.DUMMYFUNCTION("""COMPUTED_VALUE"""),57286.0)</f>
        <v>57286</v>
      </c>
      <c r="AF236" s="14"/>
    </row>
    <row r="237">
      <c r="A237" s="12">
        <v>236.0</v>
      </c>
      <c r="B237" s="12" t="s">
        <v>97</v>
      </c>
      <c r="C237" s="5" t="s">
        <v>75</v>
      </c>
      <c r="D237" s="8"/>
      <c r="E237" s="8"/>
      <c r="F237" s="8"/>
      <c r="G237" s="8"/>
      <c r="H237" s="11">
        <v>0.313</v>
      </c>
      <c r="I237" s="11">
        <v>0.747</v>
      </c>
      <c r="J237" s="9" t="s">
        <v>62</v>
      </c>
      <c r="K237" s="14" t="str">
        <f>IFERROR(__xludf.DUMMYFUNCTION("ARRAYFORMULA(VLOOKUP(A237,IMPORTRANGE(""https://docs.google.com/spreadsheets/d/1BuTWp7qHGjWhqrnf-OmePP568O4A5Am9ttzvVdP67zw/edit#gid=1603210130"", ""TOURISM!$A$2:$F$2692""), {2,3,4,5,6},0))"),"Europe")</f>
        <v>Europe</v>
      </c>
      <c r="L237" s="14">
        <f>IFERROR(__xludf.DUMMYFUNCTION("""COMPUTED_VALUE"""),8.304E9)</f>
        <v>8304000000</v>
      </c>
      <c r="M237" s="14" t="str">
        <f>IFERROR(__xludf.DUMMYFUNCTION("""COMPUTED_VALUE"""),"Belgium-Europe")</f>
        <v>Belgium-Europe</v>
      </c>
      <c r="N237" s="14" t="str">
        <f>IFERROR(__xludf.DUMMYFUNCTION("""COMPUTED_VALUE"""),"2001")</f>
        <v>2001</v>
      </c>
      <c r="O237" s="14">
        <f>IFERROR(__xludf.DUMMYFUNCTION("""COMPUTED_VALUE"""),1.0878E10)</f>
        <v>10878000000</v>
      </c>
      <c r="P237" s="15">
        <f>IFERROR(__xludf.DUMMYFUNCTION("ARRAYFORMULA(VLOOKUP(A237,IMPORTRANGE(""https://docs.google.com/spreadsheets/d/1BuTWp7qHGjWhqrnf-OmePP568O4A5Am9ttzvVdP67zw/edit#gid=771602874"" ,""HUMAN RESOURCES!$A$2:$M$2692""), {2,3,4,5,6,7,8,9,10,11,12,13},0))"),0.011)</f>
        <v>0.011</v>
      </c>
      <c r="Q237" s="14">
        <f>IFERROR(__xludf.DUMMYFUNCTION("""COMPUTED_VALUE"""),0.005)</f>
        <v>0.005</v>
      </c>
      <c r="R237" s="14">
        <f>IFERROR(__xludf.DUMMYFUNCTION("""COMPUTED_VALUE"""),81.0)</f>
        <v>81</v>
      </c>
      <c r="S237" s="14">
        <f>IFERROR(__xludf.DUMMYFUNCTION("""COMPUTED_VALUE"""),75.0)</f>
        <v>75</v>
      </c>
      <c r="T237" s="14">
        <f>IFERROR(__xludf.DUMMYFUNCTION("""COMPUTED_VALUE"""),0.175)</f>
        <v>0.175</v>
      </c>
      <c r="U237" s="14">
        <f>IFERROR(__xludf.DUMMYFUNCTION("""COMPUTED_VALUE"""),0.655)</f>
        <v>0.655</v>
      </c>
      <c r="V237" s="14">
        <f>IFERROR(__xludf.DUMMYFUNCTION("""COMPUTED_VALUE"""),0.17)</f>
        <v>0.17</v>
      </c>
      <c r="W237" s="14">
        <f>IFERROR(__xludf.DUMMYFUNCTION("""COMPUTED_VALUE"""),1.028657E7)</f>
        <v>10286570</v>
      </c>
      <c r="X237" s="14">
        <f>IFERROR(__xludf.DUMMYFUNCTION("""COMPUTED_VALUE"""),0.972)</f>
        <v>0.972</v>
      </c>
      <c r="Y237" s="14" t="str">
        <f>IFERROR(__xludf.DUMMYFUNCTION("""COMPUTED_VALUE"""),"Belgium-Europe")</f>
        <v>Belgium-Europe</v>
      </c>
      <c r="Z237" s="14" t="str">
        <f>IFERROR(__xludf.DUMMYFUNCTION("""COMPUTED_VALUE"""),"Europe")</f>
        <v>Europe</v>
      </c>
      <c r="AA237" s="14" t="str">
        <f>IFERROR(__xludf.DUMMYFUNCTION("""COMPUTED_VALUE"""),"2001")</f>
        <v>2001</v>
      </c>
      <c r="AB237" s="15" t="str">
        <f>IFERROR(__xludf.DUMMYFUNCTION("ARRAYFORMULA(VLOOKUP(A237,IMPORTRANGE(""https://docs.google.com/spreadsheets/d/1BuTWp7qHGjWhqrnf-OmePP568O4A5Am9ttzvVdP67zw/edit#gid=1931367683"" ,""ENERGY!$A$2:$F$2692""), {2,3,4,5,6},0))"),"Europe")</f>
        <v>Europe</v>
      </c>
      <c r="AC237" s="14" t="str">
        <f>IFERROR(__xludf.DUMMYFUNCTION("""COMPUTED_VALUE"""),"Belgium-Europe")</f>
        <v>Belgium-Europe</v>
      </c>
      <c r="AD237" s="14" t="str">
        <f>IFERROR(__xludf.DUMMYFUNCTION("""COMPUTED_VALUE"""),"2001")</f>
        <v>2001</v>
      </c>
      <c r="AE237" s="14">
        <f>IFERROR(__xludf.DUMMYFUNCTION("""COMPUTED_VALUE"""),59094.0)</f>
        <v>59094</v>
      </c>
      <c r="AF237" s="14"/>
    </row>
    <row r="238">
      <c r="A238" s="12">
        <v>237.0</v>
      </c>
      <c r="B238" s="12" t="s">
        <v>97</v>
      </c>
      <c r="C238" s="5" t="s">
        <v>75</v>
      </c>
      <c r="D238" s="8"/>
      <c r="E238" s="8"/>
      <c r="F238" s="8"/>
      <c r="G238" s="8"/>
      <c r="H238" s="11">
        <v>0.463</v>
      </c>
      <c r="I238" s="11">
        <v>0.784</v>
      </c>
      <c r="J238" s="9" t="s">
        <v>63</v>
      </c>
      <c r="K238" s="14" t="str">
        <f>IFERROR(__xludf.DUMMYFUNCTION("ARRAYFORMULA(VLOOKUP(A238,IMPORTRANGE(""https://docs.google.com/spreadsheets/d/1BuTWp7qHGjWhqrnf-OmePP568O4A5Am9ttzvVdP67zw/edit#gid=1603210130"", ""TOURISM!$A$2:$F$2692""), {2,3,4,5,6},0))"),"Europe")</f>
        <v>Europe</v>
      </c>
      <c r="L238" s="14">
        <f>IFERROR(__xludf.DUMMYFUNCTION("""COMPUTED_VALUE"""),7.598E9)</f>
        <v>7598000000</v>
      </c>
      <c r="M238" s="14" t="str">
        <f>IFERROR(__xludf.DUMMYFUNCTION("""COMPUTED_VALUE"""),"Belgium-Europe")</f>
        <v>Belgium-Europe</v>
      </c>
      <c r="N238" s="14" t="str">
        <f>IFERROR(__xludf.DUMMYFUNCTION("""COMPUTED_VALUE"""),"2002")</f>
        <v>2002</v>
      </c>
      <c r="O238" s="14">
        <f>IFERROR(__xludf.DUMMYFUNCTION("""COMPUTED_VALUE"""),1.127E10)</f>
        <v>11270000000</v>
      </c>
      <c r="P238" s="15">
        <f>IFERROR(__xludf.DUMMYFUNCTION("ARRAYFORMULA(VLOOKUP(A238,IMPORTRANGE(""https://docs.google.com/spreadsheets/d/1BuTWp7qHGjWhqrnf-OmePP568O4A5Am9ttzvVdP67zw/edit#gid=771602874"" ,""HUMAN RESOURCES!$A$2:$M$2692""), {2,3,4,5,6,7,8,9,10,11,12,13},0))"),0.011)</f>
        <v>0.011</v>
      </c>
      <c r="Q238" s="14">
        <f>IFERROR(__xludf.DUMMYFUNCTION("""COMPUTED_VALUE"""),0.004)</f>
        <v>0.004</v>
      </c>
      <c r="R238" s="14">
        <f>IFERROR(__xludf.DUMMYFUNCTION("""COMPUTED_VALUE"""),81.0)</f>
        <v>81</v>
      </c>
      <c r="S238" s="14">
        <f>IFERROR(__xludf.DUMMYFUNCTION("""COMPUTED_VALUE"""),75.0)</f>
        <v>75</v>
      </c>
      <c r="T238" s="14">
        <f>IFERROR(__xludf.DUMMYFUNCTION("""COMPUTED_VALUE"""),0.174)</f>
        <v>0.174</v>
      </c>
      <c r="U238" s="14">
        <f>IFERROR(__xludf.DUMMYFUNCTION("""COMPUTED_VALUE"""),0.655)</f>
        <v>0.655</v>
      </c>
      <c r="V238" s="14">
        <f>IFERROR(__xludf.DUMMYFUNCTION("""COMPUTED_VALUE"""),0.171)</f>
        <v>0.171</v>
      </c>
      <c r="W238" s="14">
        <f>IFERROR(__xludf.DUMMYFUNCTION("""COMPUTED_VALUE"""),1.0332785E7)</f>
        <v>10332785</v>
      </c>
      <c r="X238" s="14">
        <f>IFERROR(__xludf.DUMMYFUNCTION("""COMPUTED_VALUE"""),0.972)</f>
        <v>0.972</v>
      </c>
      <c r="Y238" s="14" t="str">
        <f>IFERROR(__xludf.DUMMYFUNCTION("""COMPUTED_VALUE"""),"Belgium-Europe")</f>
        <v>Belgium-Europe</v>
      </c>
      <c r="Z238" s="14" t="str">
        <f>IFERROR(__xludf.DUMMYFUNCTION("""COMPUTED_VALUE"""),"Europe")</f>
        <v>Europe</v>
      </c>
      <c r="AA238" s="14" t="str">
        <f>IFERROR(__xludf.DUMMYFUNCTION("""COMPUTED_VALUE"""),"2002")</f>
        <v>2002</v>
      </c>
      <c r="AB238" s="15" t="str">
        <f>IFERROR(__xludf.DUMMYFUNCTION("ARRAYFORMULA(VLOOKUP(A238,IMPORTRANGE(""https://docs.google.com/spreadsheets/d/1BuTWp7qHGjWhqrnf-OmePP568O4A5Am9ttzvVdP67zw/edit#gid=1931367683"" ,""ENERGY!$A$2:$F$2692""), {2,3,4,5,6},0))"),"Europe")</f>
        <v>Europe</v>
      </c>
      <c r="AC238" s="14" t="str">
        <f>IFERROR(__xludf.DUMMYFUNCTION("""COMPUTED_VALUE"""),"Belgium-Europe")</f>
        <v>Belgium-Europe</v>
      </c>
      <c r="AD238" s="14" t="str">
        <f>IFERROR(__xludf.DUMMYFUNCTION("""COMPUTED_VALUE"""),"2002")</f>
        <v>2002</v>
      </c>
      <c r="AE238" s="14">
        <f>IFERROR(__xludf.DUMMYFUNCTION("""COMPUTED_VALUE"""),60892.0)</f>
        <v>60892</v>
      </c>
      <c r="AF238" s="14">
        <f>IFERROR(__xludf.DUMMYFUNCTION("""COMPUTED_VALUE"""),108947.0)</f>
        <v>108947</v>
      </c>
    </row>
    <row r="239">
      <c r="A239" s="12">
        <v>238.0</v>
      </c>
      <c r="B239" s="12" t="s">
        <v>97</v>
      </c>
      <c r="C239" s="5" t="s">
        <v>75</v>
      </c>
      <c r="D239" s="8"/>
      <c r="E239" s="11">
        <v>56.0</v>
      </c>
      <c r="F239" s="8"/>
      <c r="G239" s="8"/>
      <c r="H239" s="11">
        <v>0.5</v>
      </c>
      <c r="I239" s="11">
        <v>0.829</v>
      </c>
      <c r="J239" s="9" t="s">
        <v>64</v>
      </c>
      <c r="K239" s="14" t="str">
        <f>IFERROR(__xludf.DUMMYFUNCTION("ARRAYFORMULA(VLOOKUP(A239,IMPORTRANGE(""https://docs.google.com/spreadsheets/d/1BuTWp7qHGjWhqrnf-OmePP568O4A5Am9ttzvVdP67zw/edit#gid=1603210130"", ""TOURISM!$A$2:$F$2692""), {2,3,4,5,6},0))"),"Europe")</f>
        <v>Europe</v>
      </c>
      <c r="L239" s="14">
        <f>IFERROR(__xludf.DUMMYFUNCTION("""COMPUTED_VALUE"""),8.848E9)</f>
        <v>8848000000</v>
      </c>
      <c r="M239" s="14" t="str">
        <f>IFERROR(__xludf.DUMMYFUNCTION("""COMPUTED_VALUE"""),"Belgium-Europe")</f>
        <v>Belgium-Europe</v>
      </c>
      <c r="N239" s="14" t="str">
        <f>IFERROR(__xludf.DUMMYFUNCTION("""COMPUTED_VALUE"""),"2003")</f>
        <v>2003</v>
      </c>
      <c r="O239" s="14">
        <f>IFERROR(__xludf.DUMMYFUNCTION("""COMPUTED_VALUE"""),1.3402E10)</f>
        <v>13402000000</v>
      </c>
      <c r="P239" s="15">
        <f>IFERROR(__xludf.DUMMYFUNCTION("ARRAYFORMULA(VLOOKUP(A239,IMPORTRANGE(""https://docs.google.com/spreadsheets/d/1BuTWp7qHGjWhqrnf-OmePP568O4A5Am9ttzvVdP67zw/edit#gid=771602874"" ,""HUMAN RESOURCES!$A$2:$M$2692""), {2,3,4,5,6,7,8,9,10,11,12,13},0))"),0.011)</f>
        <v>0.011</v>
      </c>
      <c r="Q239" s="14">
        <f>IFERROR(__xludf.DUMMYFUNCTION("""COMPUTED_VALUE"""),0.004)</f>
        <v>0.004</v>
      </c>
      <c r="R239" s="14">
        <f>IFERROR(__xludf.DUMMYFUNCTION("""COMPUTED_VALUE"""),81.0)</f>
        <v>81</v>
      </c>
      <c r="S239" s="14">
        <f>IFERROR(__xludf.DUMMYFUNCTION("""COMPUTED_VALUE"""),75.0)</f>
        <v>75</v>
      </c>
      <c r="T239" s="14">
        <f>IFERROR(__xludf.DUMMYFUNCTION("""COMPUTED_VALUE"""),0.173)</f>
        <v>0.173</v>
      </c>
      <c r="U239" s="14">
        <f>IFERROR(__xludf.DUMMYFUNCTION("""COMPUTED_VALUE"""),0.655)</f>
        <v>0.655</v>
      </c>
      <c r="V239" s="14">
        <f>IFERROR(__xludf.DUMMYFUNCTION("""COMPUTED_VALUE"""),0.172)</f>
        <v>0.172</v>
      </c>
      <c r="W239" s="14">
        <f>IFERROR(__xludf.DUMMYFUNCTION("""COMPUTED_VALUE"""),1.0376133E7)</f>
        <v>10376133</v>
      </c>
      <c r="X239" s="14">
        <f>IFERROR(__xludf.DUMMYFUNCTION("""COMPUTED_VALUE"""),0.973)</f>
        <v>0.973</v>
      </c>
      <c r="Y239" s="14" t="str">
        <f>IFERROR(__xludf.DUMMYFUNCTION("""COMPUTED_VALUE"""),"Belgium-Europe")</f>
        <v>Belgium-Europe</v>
      </c>
      <c r="Z239" s="14" t="str">
        <f>IFERROR(__xludf.DUMMYFUNCTION("""COMPUTED_VALUE"""),"Europe")</f>
        <v>Europe</v>
      </c>
      <c r="AA239" s="14" t="str">
        <f>IFERROR(__xludf.DUMMYFUNCTION("""COMPUTED_VALUE"""),"2003")</f>
        <v>2003</v>
      </c>
      <c r="AB239" s="15" t="str">
        <f>IFERROR(__xludf.DUMMYFUNCTION("ARRAYFORMULA(VLOOKUP(A239,IMPORTRANGE(""https://docs.google.com/spreadsheets/d/1BuTWp7qHGjWhqrnf-OmePP568O4A5Am9ttzvVdP67zw/edit#gid=1931367683"" ,""ENERGY!$A$2:$F$2692""), {2,3,4,5,6},0))"),"Europe")</f>
        <v>Europe</v>
      </c>
      <c r="AC239" s="14" t="str">
        <f>IFERROR(__xludf.DUMMYFUNCTION("""COMPUTED_VALUE"""),"Belgium-Europe")</f>
        <v>Belgium-Europe</v>
      </c>
      <c r="AD239" s="14" t="str">
        <f>IFERROR(__xludf.DUMMYFUNCTION("""COMPUTED_VALUE"""),"2003")</f>
        <v>2003</v>
      </c>
      <c r="AE239" s="14">
        <f>IFERROR(__xludf.DUMMYFUNCTION("""COMPUTED_VALUE"""),57096.0)</f>
        <v>57096</v>
      </c>
      <c r="AF239" s="14">
        <f>IFERROR(__xludf.DUMMYFUNCTION("""COMPUTED_VALUE"""),104194.0)</f>
        <v>104194</v>
      </c>
    </row>
    <row r="240">
      <c r="A240" s="12">
        <v>239.0</v>
      </c>
      <c r="B240" s="12" t="s">
        <v>97</v>
      </c>
      <c r="C240" s="5" t="s">
        <v>75</v>
      </c>
      <c r="D240" s="8"/>
      <c r="E240" s="11">
        <v>34.0</v>
      </c>
      <c r="F240" s="8"/>
      <c r="G240" s="8"/>
      <c r="H240" s="11">
        <v>0.539</v>
      </c>
      <c r="I240" s="11">
        <v>0.875</v>
      </c>
      <c r="J240" s="9" t="s">
        <v>65</v>
      </c>
      <c r="K240" s="14" t="str">
        <f>IFERROR(__xludf.DUMMYFUNCTION("ARRAYFORMULA(VLOOKUP(A240,IMPORTRANGE(""https://docs.google.com/spreadsheets/d/1BuTWp7qHGjWhqrnf-OmePP568O4A5Am9ttzvVdP67zw/edit#gid=1603210130"", ""TOURISM!$A$2:$F$2692""), {2,3,4,5,6},0))"),"Europe")</f>
        <v>Europe</v>
      </c>
      <c r="L240" s="14">
        <f>IFERROR(__xludf.DUMMYFUNCTION("""COMPUTED_VALUE"""),1.0089E10)</f>
        <v>10089000000</v>
      </c>
      <c r="M240" s="14" t="str">
        <f>IFERROR(__xludf.DUMMYFUNCTION("""COMPUTED_VALUE"""),"Belgium-Europe")</f>
        <v>Belgium-Europe</v>
      </c>
      <c r="N240" s="14" t="str">
        <f>IFERROR(__xludf.DUMMYFUNCTION("""COMPUTED_VALUE"""),"2004")</f>
        <v>2004</v>
      </c>
      <c r="O240" s="14">
        <f>IFERROR(__xludf.DUMMYFUNCTION("""COMPUTED_VALUE"""),1.5456E10)</f>
        <v>15456000000</v>
      </c>
      <c r="P240" s="15">
        <f>IFERROR(__xludf.DUMMYFUNCTION("ARRAYFORMULA(VLOOKUP(A240,IMPORTRANGE(""https://docs.google.com/spreadsheets/d/1BuTWp7qHGjWhqrnf-OmePP568O4A5Am9ttzvVdP67zw/edit#gid=771602874"" ,""HUMAN RESOURCES!$A$2:$M$2692""), {2,3,4,5,6,7,8,9,10,11,12,13},0))"),0.011)</f>
        <v>0.011</v>
      </c>
      <c r="Q240" s="14">
        <f>IFERROR(__xludf.DUMMYFUNCTION("""COMPUTED_VALUE"""),0.004)</f>
        <v>0.004</v>
      </c>
      <c r="R240" s="14">
        <f>IFERROR(__xludf.DUMMYFUNCTION("""COMPUTED_VALUE"""),82.0)</f>
        <v>82</v>
      </c>
      <c r="S240" s="14">
        <f>IFERROR(__xludf.DUMMYFUNCTION("""COMPUTED_VALUE"""),76.0)</f>
        <v>76</v>
      </c>
      <c r="T240" s="14">
        <f>IFERROR(__xludf.DUMMYFUNCTION("""COMPUTED_VALUE"""),0.172)</f>
        <v>0.172</v>
      </c>
      <c r="U240" s="14">
        <f>IFERROR(__xludf.DUMMYFUNCTION("""COMPUTED_VALUE"""),0.656)</f>
        <v>0.656</v>
      </c>
      <c r="V240" s="14">
        <f>IFERROR(__xludf.DUMMYFUNCTION("""COMPUTED_VALUE"""),0.173)</f>
        <v>0.173</v>
      </c>
      <c r="W240" s="14">
        <f>IFERROR(__xludf.DUMMYFUNCTION("""COMPUTED_VALUE"""),1.0421137E7)</f>
        <v>10421137</v>
      </c>
      <c r="X240" s="14">
        <f>IFERROR(__xludf.DUMMYFUNCTION("""COMPUTED_VALUE"""),0.973)</f>
        <v>0.973</v>
      </c>
      <c r="Y240" s="14" t="str">
        <f>IFERROR(__xludf.DUMMYFUNCTION("""COMPUTED_VALUE"""),"Belgium-Europe")</f>
        <v>Belgium-Europe</v>
      </c>
      <c r="Z240" s="14" t="str">
        <f>IFERROR(__xludf.DUMMYFUNCTION("""COMPUTED_VALUE"""),"Europe")</f>
        <v>Europe</v>
      </c>
      <c r="AA240" s="14" t="str">
        <f>IFERROR(__xludf.DUMMYFUNCTION("""COMPUTED_VALUE"""),"2004")</f>
        <v>2004</v>
      </c>
      <c r="AB240" s="15" t="str">
        <f>IFERROR(__xludf.DUMMYFUNCTION("ARRAYFORMULA(VLOOKUP(A240,IMPORTRANGE(""https://docs.google.com/spreadsheets/d/1BuTWp7qHGjWhqrnf-OmePP568O4A5Am9ttzvVdP67zw/edit#gid=1931367683"" ,""ENERGY!$A$2:$F$2692""), {2,3,4,5,6},0))"),"Europe")</f>
        <v>Europe</v>
      </c>
      <c r="AC240" s="14" t="str">
        <f>IFERROR(__xludf.DUMMYFUNCTION("""COMPUTED_VALUE"""),"Belgium-Europe")</f>
        <v>Belgium-Europe</v>
      </c>
      <c r="AD240" s="14" t="str">
        <f>IFERROR(__xludf.DUMMYFUNCTION("""COMPUTED_VALUE"""),"2004")</f>
        <v>2004</v>
      </c>
      <c r="AE240" s="14">
        <f>IFERROR(__xludf.DUMMYFUNCTION("""COMPUTED_VALUE"""),58600.0)</f>
        <v>58600</v>
      </c>
      <c r="AF240" s="14">
        <f>IFERROR(__xludf.DUMMYFUNCTION("""COMPUTED_VALUE"""),103882.0)</f>
        <v>103882</v>
      </c>
    </row>
    <row r="241">
      <c r="A241" s="12">
        <v>240.0</v>
      </c>
      <c r="B241" s="12" t="s">
        <v>97</v>
      </c>
      <c r="C241" s="5" t="s">
        <v>75</v>
      </c>
      <c r="D241" s="11">
        <v>0.595</v>
      </c>
      <c r="E241" s="11">
        <v>34.0</v>
      </c>
      <c r="F241" s="8"/>
      <c r="G241" s="11">
        <v>156.0</v>
      </c>
      <c r="H241" s="11">
        <v>0.558</v>
      </c>
      <c r="I241" s="11">
        <v>0.914</v>
      </c>
      <c r="J241" s="9" t="s">
        <v>66</v>
      </c>
      <c r="K241" s="14" t="str">
        <f>IFERROR(__xludf.DUMMYFUNCTION("ARRAYFORMULA(VLOOKUP(A241,IMPORTRANGE(""https://docs.google.com/spreadsheets/d/1BuTWp7qHGjWhqrnf-OmePP568O4A5Am9ttzvVdP67zw/edit#gid=1603210130"", ""TOURISM!$A$2:$F$2692""), {2,3,4,5,6},0))"),"Europe")</f>
        <v>Europe</v>
      </c>
      <c r="L241" s="14">
        <f>IFERROR(__xludf.DUMMYFUNCTION("""COMPUTED_VALUE"""),1.0881E10)</f>
        <v>10881000000</v>
      </c>
      <c r="M241" s="14" t="str">
        <f>IFERROR(__xludf.DUMMYFUNCTION("""COMPUTED_VALUE"""),"Belgium-Europe")</f>
        <v>Belgium-Europe</v>
      </c>
      <c r="N241" s="14" t="str">
        <f>IFERROR(__xludf.DUMMYFUNCTION("""COMPUTED_VALUE"""),"2005")</f>
        <v>2005</v>
      </c>
      <c r="O241" s="14">
        <f>IFERROR(__xludf.DUMMYFUNCTION("""COMPUTED_VALUE"""),1.6771E10)</f>
        <v>16771000000</v>
      </c>
      <c r="P241" s="15">
        <f>IFERROR(__xludf.DUMMYFUNCTION("ARRAYFORMULA(VLOOKUP(A241,IMPORTRANGE(""https://docs.google.com/spreadsheets/d/1BuTWp7qHGjWhqrnf-OmePP568O4A5Am9ttzvVdP67zw/edit#gid=771602874"" ,""HUMAN RESOURCES!$A$2:$M$2692""), {2,3,4,5,6,7,8,9,10,11,12,13},0))"),0.011)</f>
        <v>0.011</v>
      </c>
      <c r="Q241" s="14">
        <f>IFERROR(__xludf.DUMMYFUNCTION("""COMPUTED_VALUE"""),0.004)</f>
        <v>0.004</v>
      </c>
      <c r="R241" s="14">
        <f>IFERROR(__xludf.DUMMYFUNCTION("""COMPUTED_VALUE"""),82.0)</f>
        <v>82</v>
      </c>
      <c r="S241" s="14">
        <f>IFERROR(__xludf.DUMMYFUNCTION("""COMPUTED_VALUE"""),76.0)</f>
        <v>76</v>
      </c>
      <c r="T241" s="14">
        <f>IFERROR(__xludf.DUMMYFUNCTION("""COMPUTED_VALUE"""),0.171)</f>
        <v>0.171</v>
      </c>
      <c r="U241" s="14">
        <f>IFERROR(__xludf.DUMMYFUNCTION("""COMPUTED_VALUE"""),0.657)</f>
        <v>0.657</v>
      </c>
      <c r="V241" s="14">
        <f>IFERROR(__xludf.DUMMYFUNCTION("""COMPUTED_VALUE"""),0.173)</f>
        <v>0.173</v>
      </c>
      <c r="W241" s="14">
        <f>IFERROR(__xludf.DUMMYFUNCTION("""COMPUTED_VALUE"""),1.0478617E7)</f>
        <v>10478617</v>
      </c>
      <c r="X241" s="14">
        <f>IFERROR(__xludf.DUMMYFUNCTION("""COMPUTED_VALUE"""),0.974)</f>
        <v>0.974</v>
      </c>
      <c r="Y241" s="14" t="str">
        <f>IFERROR(__xludf.DUMMYFUNCTION("""COMPUTED_VALUE"""),"Belgium-Europe")</f>
        <v>Belgium-Europe</v>
      </c>
      <c r="Z241" s="14" t="str">
        <f>IFERROR(__xludf.DUMMYFUNCTION("""COMPUTED_VALUE"""),"Europe")</f>
        <v>Europe</v>
      </c>
      <c r="AA241" s="14" t="str">
        <f>IFERROR(__xludf.DUMMYFUNCTION("""COMPUTED_VALUE"""),"2005")</f>
        <v>2005</v>
      </c>
      <c r="AB241" s="15" t="str">
        <f>IFERROR(__xludf.DUMMYFUNCTION("ARRAYFORMULA(VLOOKUP(A241,IMPORTRANGE(""https://docs.google.com/spreadsheets/d/1BuTWp7qHGjWhqrnf-OmePP568O4A5Am9ttzvVdP67zw/edit#gid=1931367683"" ,""ENERGY!$A$2:$F$2692""), {2,3,4,5,6},0))"),"Europe")</f>
        <v>Europe</v>
      </c>
      <c r="AC241" s="14" t="str">
        <f>IFERROR(__xludf.DUMMYFUNCTION("""COMPUTED_VALUE"""),"Belgium-Europe")</f>
        <v>Belgium-Europe</v>
      </c>
      <c r="AD241" s="14" t="str">
        <f>IFERROR(__xludf.DUMMYFUNCTION("""COMPUTED_VALUE"""),"2006")</f>
        <v>2006</v>
      </c>
      <c r="AE241" s="14">
        <f>IFERROR(__xludf.DUMMYFUNCTION("""COMPUTED_VALUE"""),57019.0)</f>
        <v>57019</v>
      </c>
      <c r="AF241" s="14">
        <f>IFERROR(__xludf.DUMMYFUNCTION("""COMPUTED_VALUE"""),103215.0)</f>
        <v>103215</v>
      </c>
    </row>
    <row r="242">
      <c r="A242" s="12">
        <v>241.0</v>
      </c>
      <c r="B242" s="12" t="s">
        <v>97</v>
      </c>
      <c r="C242" s="5" t="s">
        <v>75</v>
      </c>
      <c r="D242" s="11">
        <v>0.593</v>
      </c>
      <c r="E242" s="11">
        <v>27.0</v>
      </c>
      <c r="F242" s="8"/>
      <c r="G242" s="11">
        <v>156.0</v>
      </c>
      <c r="H242" s="11">
        <v>0.597</v>
      </c>
      <c r="I242" s="11">
        <v>0.93</v>
      </c>
      <c r="J242" s="9" t="s">
        <v>67</v>
      </c>
      <c r="K242" s="14" t="str">
        <f>IFERROR(__xludf.DUMMYFUNCTION("ARRAYFORMULA(VLOOKUP(A242,IMPORTRANGE(""https://docs.google.com/spreadsheets/d/1BuTWp7qHGjWhqrnf-OmePP568O4A5Am9ttzvVdP67zw/edit#gid=1603210130"", ""TOURISM!$A$2:$F$2692""), {2,3,4,5,6},0))"),"Europe")</f>
        <v>Europe</v>
      </c>
      <c r="L242" s="14">
        <f>IFERROR(__xludf.DUMMYFUNCTION("""COMPUTED_VALUE"""),1.1625E10)</f>
        <v>11625000000</v>
      </c>
      <c r="M242" s="14" t="str">
        <f>IFERROR(__xludf.DUMMYFUNCTION("""COMPUTED_VALUE"""),"Belgium-Europe")</f>
        <v>Belgium-Europe</v>
      </c>
      <c r="N242" s="14" t="str">
        <f>IFERROR(__xludf.DUMMYFUNCTION("""COMPUTED_VALUE"""),"2006")</f>
        <v>2006</v>
      </c>
      <c r="O242" s="14">
        <f>IFERROR(__xludf.DUMMYFUNCTION("""COMPUTED_VALUE"""),1.7891E10)</f>
        <v>17891000000</v>
      </c>
      <c r="P242" s="15">
        <f>IFERROR(__xludf.DUMMYFUNCTION("ARRAYFORMULA(VLOOKUP(A242,IMPORTRANGE(""https://docs.google.com/spreadsheets/d/1BuTWp7qHGjWhqrnf-OmePP568O4A5Am9ttzvVdP67zw/edit#gid=771602874"" ,""HUMAN RESOURCES!$A$2:$M$2692""), {2,3,4,5,6,7,8,9,10,11,12,13},0))"),0.012)</f>
        <v>0.012</v>
      </c>
      <c r="Q242" s="14">
        <f>IFERROR(__xludf.DUMMYFUNCTION("""COMPUTED_VALUE"""),0.004)</f>
        <v>0.004</v>
      </c>
      <c r="R242" s="14">
        <f>IFERROR(__xludf.DUMMYFUNCTION("""COMPUTED_VALUE"""),82.0)</f>
        <v>82</v>
      </c>
      <c r="S242" s="14">
        <f>IFERROR(__xludf.DUMMYFUNCTION("""COMPUTED_VALUE"""),77.0)</f>
        <v>77</v>
      </c>
      <c r="T242" s="14">
        <f>IFERROR(__xludf.DUMMYFUNCTION("""COMPUTED_VALUE"""),0.17)</f>
        <v>0.17</v>
      </c>
      <c r="U242" s="14">
        <f>IFERROR(__xludf.DUMMYFUNCTION("""COMPUTED_VALUE"""),0.658)</f>
        <v>0.658</v>
      </c>
      <c r="V242" s="14">
        <f>IFERROR(__xludf.DUMMYFUNCTION("""COMPUTED_VALUE"""),0.172)</f>
        <v>0.172</v>
      </c>
      <c r="W242" s="14">
        <f>IFERROR(__xludf.DUMMYFUNCTION("""COMPUTED_VALUE"""),1.0547958E7)</f>
        <v>10547958</v>
      </c>
      <c r="X242" s="14">
        <f>IFERROR(__xludf.DUMMYFUNCTION("""COMPUTED_VALUE"""),0.974)</f>
        <v>0.974</v>
      </c>
      <c r="Y242" s="14" t="str">
        <f>IFERROR(__xludf.DUMMYFUNCTION("""COMPUTED_VALUE"""),"Belgium-Europe")</f>
        <v>Belgium-Europe</v>
      </c>
      <c r="Z242" s="14" t="str">
        <f>IFERROR(__xludf.DUMMYFUNCTION("""COMPUTED_VALUE"""),"Europe")</f>
        <v>Europe</v>
      </c>
      <c r="AA242" s="14" t="str">
        <f>IFERROR(__xludf.DUMMYFUNCTION("""COMPUTED_VALUE"""),"2006")</f>
        <v>2006</v>
      </c>
      <c r="AB242" s="15" t="str">
        <f>IFERROR(__xludf.DUMMYFUNCTION("ARRAYFORMULA(VLOOKUP(A242,IMPORTRANGE(""https://docs.google.com/spreadsheets/d/1BuTWp7qHGjWhqrnf-OmePP568O4A5Am9ttzvVdP67zw/edit#gid=1931367683"" ,""ENERGY!$A$2:$F$2692""), {2,3,4,5,6},0))"),"Europe")</f>
        <v>Europe</v>
      </c>
      <c r="AC242" s="14" t="str">
        <f>IFERROR(__xludf.DUMMYFUNCTION("""COMPUTED_VALUE"""),"Belgium-Europe")</f>
        <v>Belgium-Europe</v>
      </c>
      <c r="AD242" s="14" t="str">
        <f>IFERROR(__xludf.DUMMYFUNCTION("""COMPUTED_VALUE"""),"2009")</f>
        <v>2009</v>
      </c>
      <c r="AE242" s="14">
        <f>IFERROR(__xludf.DUMMYFUNCTION("""COMPUTED_VALUE"""),58111.0)</f>
        <v>58111</v>
      </c>
      <c r="AF242" s="14">
        <f>IFERROR(__xludf.DUMMYFUNCTION("""COMPUTED_VALUE"""),106834.0)</f>
        <v>106834</v>
      </c>
    </row>
    <row r="243">
      <c r="A243" s="12">
        <v>242.0</v>
      </c>
      <c r="B243" s="12" t="s">
        <v>97</v>
      </c>
      <c r="C243" s="5" t="s">
        <v>75</v>
      </c>
      <c r="D243" s="11">
        <v>0.573</v>
      </c>
      <c r="E243" s="11">
        <v>4.0</v>
      </c>
      <c r="F243" s="8"/>
      <c r="G243" s="11">
        <v>156.0</v>
      </c>
      <c r="H243" s="11">
        <v>0.644</v>
      </c>
      <c r="I243" s="11">
        <v>1.006</v>
      </c>
      <c r="J243" s="9" t="s">
        <v>68</v>
      </c>
      <c r="K243" s="14" t="str">
        <f>IFERROR(__xludf.DUMMYFUNCTION("ARRAYFORMULA(VLOOKUP(A243,IMPORTRANGE(""https://docs.google.com/spreadsheets/d/1BuTWp7qHGjWhqrnf-OmePP568O4A5Am9ttzvVdP67zw/edit#gid=1603210130"", ""TOURISM!$A$2:$F$2692""), {2,3,4,5,6},0))"),"Europe")</f>
        <v>Europe</v>
      </c>
      <c r="L243" s="14">
        <f>IFERROR(__xludf.DUMMYFUNCTION("""COMPUTED_VALUE"""),1.2371E10)</f>
        <v>12371000000</v>
      </c>
      <c r="M243" s="14" t="str">
        <f>IFERROR(__xludf.DUMMYFUNCTION("""COMPUTED_VALUE"""),"Belgium-Europe")</f>
        <v>Belgium-Europe</v>
      </c>
      <c r="N243" s="14" t="str">
        <f>IFERROR(__xludf.DUMMYFUNCTION("""COMPUTED_VALUE"""),"2007")</f>
        <v>2007</v>
      </c>
      <c r="O243" s="14">
        <f>IFERROR(__xludf.DUMMYFUNCTION("""COMPUTED_VALUE"""),1.9215E10)</f>
        <v>19215000000</v>
      </c>
      <c r="P243" s="15">
        <f>IFERROR(__xludf.DUMMYFUNCTION("ARRAYFORMULA(VLOOKUP(A243,IMPORTRANGE(""https://docs.google.com/spreadsheets/d/1BuTWp7qHGjWhqrnf-OmePP568O4A5Am9ttzvVdP67zw/edit#gid=771602874"" ,""HUMAN RESOURCES!$A$2:$M$2692""), {2,3,4,5,6,7,8,9,10,11,12,13},0))"),0.012)</f>
        <v>0.012</v>
      </c>
      <c r="Q243" s="14">
        <f>IFERROR(__xludf.DUMMYFUNCTION("""COMPUTED_VALUE"""),0.004)</f>
        <v>0.004</v>
      </c>
      <c r="R243" s="14">
        <f>IFERROR(__xludf.DUMMYFUNCTION("""COMPUTED_VALUE"""),83.0)</f>
        <v>83</v>
      </c>
      <c r="S243" s="14">
        <f>IFERROR(__xludf.DUMMYFUNCTION("""COMPUTED_VALUE"""),77.0)</f>
        <v>77</v>
      </c>
      <c r="T243" s="14">
        <f>IFERROR(__xludf.DUMMYFUNCTION("""COMPUTED_VALUE"""),0.169)</f>
        <v>0.169</v>
      </c>
      <c r="U243" s="14">
        <f>IFERROR(__xludf.DUMMYFUNCTION("""COMPUTED_VALUE"""),0.659)</f>
        <v>0.659</v>
      </c>
      <c r="V243" s="14">
        <f>IFERROR(__xludf.DUMMYFUNCTION("""COMPUTED_VALUE"""),0.172)</f>
        <v>0.172</v>
      </c>
      <c r="W243" s="14">
        <f>IFERROR(__xludf.DUMMYFUNCTION("""COMPUTED_VALUE"""),1.06257E7)</f>
        <v>10625700</v>
      </c>
      <c r="X243" s="14">
        <f>IFERROR(__xludf.DUMMYFUNCTION("""COMPUTED_VALUE"""),0.975)</f>
        <v>0.975</v>
      </c>
      <c r="Y243" s="14" t="str">
        <f>IFERROR(__xludf.DUMMYFUNCTION("""COMPUTED_VALUE"""),"Belgium-Europe")</f>
        <v>Belgium-Europe</v>
      </c>
      <c r="Z243" s="14" t="str">
        <f>IFERROR(__xludf.DUMMYFUNCTION("""COMPUTED_VALUE"""),"Europe")</f>
        <v>Europe</v>
      </c>
      <c r="AA243" s="14" t="str">
        <f>IFERROR(__xludf.DUMMYFUNCTION("""COMPUTED_VALUE"""),"2007")</f>
        <v>2007</v>
      </c>
      <c r="AB243" s="15" t="str">
        <f>IFERROR(__xludf.DUMMYFUNCTION("ARRAYFORMULA(VLOOKUP(A243,IMPORTRANGE(""https://docs.google.com/spreadsheets/d/1BuTWp7qHGjWhqrnf-OmePP568O4A5Am9ttzvVdP67zw/edit#gid=1931367683"" ,""ENERGY!$A$2:$F$2692""), {2,3,4,5,6},0))"),"Europe")</f>
        <v>Europe</v>
      </c>
      <c r="AC243" s="14" t="str">
        <f>IFERROR(__xludf.DUMMYFUNCTION("""COMPUTED_VALUE"""),"Belgium-Europe")</f>
        <v>Belgium-Europe</v>
      </c>
      <c r="AD243" s="14" t="str">
        <f>IFERROR(__xludf.DUMMYFUNCTION("""COMPUTED_VALUE"""),"2006")</f>
        <v>2006</v>
      </c>
      <c r="AE243" s="14">
        <f>IFERROR(__xludf.DUMMYFUNCTION("""COMPUTED_VALUE"""),58688.0)</f>
        <v>58688</v>
      </c>
      <c r="AF243" s="14">
        <f>IFERROR(__xludf.DUMMYFUNCTION("""COMPUTED_VALUE"""),108525.0)</f>
        <v>108525</v>
      </c>
    </row>
    <row r="244">
      <c r="A244" s="12">
        <v>243.0</v>
      </c>
      <c r="B244" s="12" t="s">
        <v>97</v>
      </c>
      <c r="C244" s="5" t="s">
        <v>75</v>
      </c>
      <c r="D244" s="11">
        <v>0.552</v>
      </c>
      <c r="E244" s="11">
        <v>4.0</v>
      </c>
      <c r="F244" s="8"/>
      <c r="G244" s="11">
        <v>156.0</v>
      </c>
      <c r="H244" s="11">
        <v>0.66</v>
      </c>
      <c r="I244" s="11">
        <v>1.053</v>
      </c>
      <c r="J244" s="9" t="s">
        <v>69</v>
      </c>
      <c r="K244" s="14" t="str">
        <f>IFERROR(__xludf.DUMMYFUNCTION("ARRAYFORMULA(VLOOKUP(A244,IMPORTRANGE(""https://docs.google.com/spreadsheets/d/1BuTWp7qHGjWhqrnf-OmePP568O4A5Am9ttzvVdP67zw/edit#gid=1603210130"", ""TOURISM!$A$2:$F$2692""), {2,3,4,5,6},0))"),"Europe")</f>
        <v>Europe</v>
      </c>
      <c r="L244" s="14">
        <f>IFERROR(__xludf.DUMMYFUNCTION("""COMPUTED_VALUE"""),1.3106E10)</f>
        <v>13106000000</v>
      </c>
      <c r="M244" s="14" t="str">
        <f>IFERROR(__xludf.DUMMYFUNCTION("""COMPUTED_VALUE"""),"Belgium-Europe")</f>
        <v>Belgium-Europe</v>
      </c>
      <c r="N244" s="14" t="str">
        <f>IFERROR(__xludf.DUMMYFUNCTION("""COMPUTED_VALUE"""),"2008")</f>
        <v>2008</v>
      </c>
      <c r="O244" s="14">
        <f>IFERROR(__xludf.DUMMYFUNCTION("""COMPUTED_VALUE"""),2.1445E10)</f>
        <v>21445000000</v>
      </c>
      <c r="P244" s="15">
        <f>IFERROR(__xludf.DUMMYFUNCTION("ARRAYFORMULA(VLOOKUP(A244,IMPORTRANGE(""https://docs.google.com/spreadsheets/d/1BuTWp7qHGjWhqrnf-OmePP568O4A5Am9ttzvVdP67zw/edit#gid=771602874"" ,""HUMAN RESOURCES!$A$2:$M$2692""), {2,3,4,5,6,7,8,9,10,11,12,13},0))"),0.012)</f>
        <v>0.012</v>
      </c>
      <c r="Q244" s="14">
        <f>IFERROR(__xludf.DUMMYFUNCTION("""COMPUTED_VALUE"""),0.004)</f>
        <v>0.004</v>
      </c>
      <c r="R244" s="14">
        <f>IFERROR(__xludf.DUMMYFUNCTION("""COMPUTED_VALUE"""),83.0)</f>
        <v>83</v>
      </c>
      <c r="S244" s="14">
        <f>IFERROR(__xludf.DUMMYFUNCTION("""COMPUTED_VALUE"""),77.0)</f>
        <v>77</v>
      </c>
      <c r="T244" s="14">
        <f>IFERROR(__xludf.DUMMYFUNCTION("""COMPUTED_VALUE"""),0.168)</f>
        <v>0.168</v>
      </c>
      <c r="U244" s="14">
        <f>IFERROR(__xludf.DUMMYFUNCTION("""COMPUTED_VALUE"""),0.661)</f>
        <v>0.661</v>
      </c>
      <c r="V244" s="14">
        <f>IFERROR(__xludf.DUMMYFUNCTION("""COMPUTED_VALUE"""),0.171)</f>
        <v>0.171</v>
      </c>
      <c r="W244" s="14">
        <f>IFERROR(__xludf.DUMMYFUNCTION("""COMPUTED_VALUE"""),1.0709973E7)</f>
        <v>10709973</v>
      </c>
      <c r="X244" s="14">
        <f>IFERROR(__xludf.DUMMYFUNCTION("""COMPUTED_VALUE"""),0.975)</f>
        <v>0.975</v>
      </c>
      <c r="Y244" s="14" t="str">
        <f>IFERROR(__xludf.DUMMYFUNCTION("""COMPUTED_VALUE"""),"Belgium-Europe")</f>
        <v>Belgium-Europe</v>
      </c>
      <c r="Z244" s="14" t="str">
        <f>IFERROR(__xludf.DUMMYFUNCTION("""COMPUTED_VALUE"""),"Europe")</f>
        <v>Europe</v>
      </c>
      <c r="AA244" s="14" t="str">
        <f>IFERROR(__xludf.DUMMYFUNCTION("""COMPUTED_VALUE"""),"2008")</f>
        <v>2008</v>
      </c>
      <c r="AB244" s="15" t="str">
        <f>IFERROR(__xludf.DUMMYFUNCTION("ARRAYFORMULA(VLOOKUP(A244,IMPORTRANGE(""https://docs.google.com/spreadsheets/d/1BuTWp7qHGjWhqrnf-OmePP568O4A5Am9ttzvVdP67zw/edit#gid=1931367683"" ,""ENERGY!$A$2:$F$2692""), {2,3,4,5,6},0))"),"Europe")</f>
        <v>Europe</v>
      </c>
      <c r="AC244" s="14" t="str">
        <f>IFERROR(__xludf.DUMMYFUNCTION("""COMPUTED_VALUE"""),"Belgium-Europe")</f>
        <v>Belgium-Europe</v>
      </c>
      <c r="AD244" s="14" t="str">
        <f>IFERROR(__xludf.DUMMYFUNCTION("""COMPUTED_VALUE"""),"2012")</f>
        <v>2012</v>
      </c>
      <c r="AE244" s="14">
        <f>IFERROR(__xludf.DUMMYFUNCTION("""COMPUTED_VALUE"""),58895.0)</f>
        <v>58895</v>
      </c>
      <c r="AF244" s="14">
        <f>IFERROR(__xludf.DUMMYFUNCTION("""COMPUTED_VALUE"""),111282.0)</f>
        <v>111282</v>
      </c>
    </row>
    <row r="245">
      <c r="A245" s="12">
        <v>244.0</v>
      </c>
      <c r="B245" s="12" t="s">
        <v>97</v>
      </c>
      <c r="C245" s="5" t="s">
        <v>75</v>
      </c>
      <c r="D245" s="11">
        <v>0.545</v>
      </c>
      <c r="E245" s="11">
        <v>4.0</v>
      </c>
      <c r="F245" s="8"/>
      <c r="G245" s="11">
        <v>156.0</v>
      </c>
      <c r="H245" s="11">
        <v>0.7</v>
      </c>
      <c r="I245" s="11">
        <v>1.084</v>
      </c>
      <c r="J245" s="9" t="s">
        <v>70</v>
      </c>
      <c r="K245" s="14" t="str">
        <f>IFERROR(__xludf.DUMMYFUNCTION("ARRAYFORMULA(VLOOKUP(A245,IMPORTRANGE(""https://docs.google.com/spreadsheets/d/1BuTWp7qHGjWhqrnf-OmePP568O4A5Am9ttzvVdP67zw/edit#gid=1603210130"", ""TOURISM!$A$2:$F$2692""), {2,3,4,5,6},0))"),"Europe")</f>
        <v>Europe</v>
      </c>
      <c r="L245" s="14">
        <f>IFERROR(__xludf.DUMMYFUNCTION("""COMPUTED_VALUE"""),1.15E10)</f>
        <v>11500000000</v>
      </c>
      <c r="M245" s="14" t="str">
        <f>IFERROR(__xludf.DUMMYFUNCTION("""COMPUTED_VALUE"""),"Belgium-Europe")</f>
        <v>Belgium-Europe</v>
      </c>
      <c r="N245" s="14" t="str">
        <f>IFERROR(__xludf.DUMMYFUNCTION("""COMPUTED_VALUE"""),"2009")</f>
        <v>2009</v>
      </c>
      <c r="O245" s="14">
        <f>IFERROR(__xludf.DUMMYFUNCTION("""COMPUTED_VALUE"""),2.2292E10)</f>
        <v>22292000000</v>
      </c>
      <c r="P245" s="15">
        <f>IFERROR(__xludf.DUMMYFUNCTION("ARRAYFORMULA(VLOOKUP(A245,IMPORTRANGE(""https://docs.google.com/spreadsheets/d/1BuTWp7qHGjWhqrnf-OmePP568O4A5Am9ttzvVdP67zw/edit#gid=771602874"" ,""HUMAN RESOURCES!$A$2:$M$2692""), {2,3,4,5,6,7,8,9,10,11,12,13},0))"),0.012)</f>
        <v>0.012</v>
      </c>
      <c r="Q245" s="14">
        <f>IFERROR(__xludf.DUMMYFUNCTION("""COMPUTED_VALUE"""),0.004)</f>
        <v>0.004</v>
      </c>
      <c r="R245" s="14">
        <f>IFERROR(__xludf.DUMMYFUNCTION("""COMPUTED_VALUE"""),83.0)</f>
        <v>83</v>
      </c>
      <c r="S245" s="14">
        <f>IFERROR(__xludf.DUMMYFUNCTION("""COMPUTED_VALUE"""),77.0)</f>
        <v>77</v>
      </c>
      <c r="T245" s="14">
        <f>IFERROR(__xludf.DUMMYFUNCTION("""COMPUTED_VALUE"""),0.168)</f>
        <v>0.168</v>
      </c>
      <c r="U245" s="14">
        <f>IFERROR(__xludf.DUMMYFUNCTION("""COMPUTED_VALUE"""),0.661)</f>
        <v>0.661</v>
      </c>
      <c r="V245" s="14">
        <f>IFERROR(__xludf.DUMMYFUNCTION("""COMPUTED_VALUE"""),0.171)</f>
        <v>0.171</v>
      </c>
      <c r="W245" s="14">
        <f>IFERROR(__xludf.DUMMYFUNCTION("""COMPUTED_VALUE"""),1.0796493E7)</f>
        <v>10796493</v>
      </c>
      <c r="X245" s="14">
        <f>IFERROR(__xludf.DUMMYFUNCTION("""COMPUTED_VALUE"""),0.976)</f>
        <v>0.976</v>
      </c>
      <c r="Y245" s="14" t="str">
        <f>IFERROR(__xludf.DUMMYFUNCTION("""COMPUTED_VALUE"""),"Belgium-Europe")</f>
        <v>Belgium-Europe</v>
      </c>
      <c r="Z245" s="14" t="str">
        <f>IFERROR(__xludf.DUMMYFUNCTION("""COMPUTED_VALUE"""),"Europe")</f>
        <v>Europe</v>
      </c>
      <c r="AA245" s="14" t="str">
        <f>IFERROR(__xludf.DUMMYFUNCTION("""COMPUTED_VALUE"""),"2009")</f>
        <v>2009</v>
      </c>
      <c r="AB245" s="15" t="str">
        <f>IFERROR(__xludf.DUMMYFUNCTION("ARRAYFORMULA(VLOOKUP(A245,IMPORTRANGE(""https://docs.google.com/spreadsheets/d/1BuTWp7qHGjWhqrnf-OmePP568O4A5Am9ttzvVdP67zw/edit#gid=1931367683"" ,""ENERGY!$A$2:$F$2692""), {2,3,4,5,6},0))"),"Europe")</f>
        <v>Europe</v>
      </c>
      <c r="AC245" s="14" t="str">
        <f>IFERROR(__xludf.DUMMYFUNCTION("""COMPUTED_VALUE"""),"Belgium-Europe")</f>
        <v>Belgium-Europe</v>
      </c>
      <c r="AD245" s="14" t="str">
        <f>IFERROR(__xludf.DUMMYFUNCTION("""COMPUTED_VALUE"""),"2008")</f>
        <v>2008</v>
      </c>
      <c r="AE245" s="14">
        <f>IFERROR(__xludf.DUMMYFUNCTION("""COMPUTED_VALUE"""),59242.0)</f>
        <v>59242</v>
      </c>
      <c r="AF245" s="14">
        <f>IFERROR(__xludf.DUMMYFUNCTION("""COMPUTED_VALUE"""),114836.0)</f>
        <v>114836</v>
      </c>
    </row>
    <row r="246">
      <c r="A246" s="12">
        <v>245.0</v>
      </c>
      <c r="B246" s="12" t="s">
        <v>97</v>
      </c>
      <c r="C246" s="5" t="s">
        <v>75</v>
      </c>
      <c r="D246" s="11">
        <v>0.567</v>
      </c>
      <c r="E246" s="11">
        <v>4.0</v>
      </c>
      <c r="F246" s="8"/>
      <c r="G246" s="11">
        <v>156.0</v>
      </c>
      <c r="H246" s="11">
        <v>0.75</v>
      </c>
      <c r="I246" s="11">
        <v>1.111</v>
      </c>
      <c r="J246" s="9" t="s">
        <v>71</v>
      </c>
      <c r="K246" s="14" t="str">
        <f>IFERROR(__xludf.DUMMYFUNCTION("ARRAYFORMULA(VLOOKUP(A246,IMPORTRANGE(""https://docs.google.com/spreadsheets/d/1BuTWp7qHGjWhqrnf-OmePP568O4A5Am9ttzvVdP67zw/edit#gid=1603210130"", ""TOURISM!$A$2:$F$2692""), {2,3,4,5,6},0))"),"Europe")</f>
        <v>Europe</v>
      </c>
      <c r="L246" s="14">
        <f>IFERROR(__xludf.DUMMYFUNCTION("""COMPUTED_VALUE"""),1.1624E10)</f>
        <v>11624000000</v>
      </c>
      <c r="M246" s="14" t="str">
        <f>IFERROR(__xludf.DUMMYFUNCTION("""COMPUTED_VALUE"""),"Belgium-Europe")</f>
        <v>Belgium-Europe</v>
      </c>
      <c r="N246" s="14" t="str">
        <f>IFERROR(__xludf.DUMMYFUNCTION("""COMPUTED_VALUE"""),"2010")</f>
        <v>2010</v>
      </c>
      <c r="O246" s="14">
        <f>IFERROR(__xludf.DUMMYFUNCTION("""COMPUTED_VALUE"""),2.0876E10)</f>
        <v>20876000000</v>
      </c>
      <c r="P246" s="15">
        <f>IFERROR(__xludf.DUMMYFUNCTION("ARRAYFORMULA(VLOOKUP(A246,IMPORTRANGE(""https://docs.google.com/spreadsheets/d/1BuTWp7qHGjWhqrnf-OmePP568O4A5Am9ttzvVdP67zw/edit#gid=771602874"" ,""HUMAN RESOURCES!$A$2:$M$2692""), {2,3,4,5,6,7,8,9,10,11,12,13},0))"),0.012)</f>
        <v>0.012</v>
      </c>
      <c r="Q246" s="14">
        <f>IFERROR(__xludf.DUMMYFUNCTION("""COMPUTED_VALUE"""),0.004)</f>
        <v>0.004</v>
      </c>
      <c r="R246" s="14">
        <f>IFERROR(__xludf.DUMMYFUNCTION("""COMPUTED_VALUE"""),83.0)</f>
        <v>83</v>
      </c>
      <c r="S246" s="14">
        <f>IFERROR(__xludf.DUMMYFUNCTION("""COMPUTED_VALUE"""),78.0)</f>
        <v>78</v>
      </c>
      <c r="T246" s="14">
        <f>IFERROR(__xludf.DUMMYFUNCTION("""COMPUTED_VALUE"""),0.168)</f>
        <v>0.168</v>
      </c>
      <c r="U246" s="14">
        <f>IFERROR(__xludf.DUMMYFUNCTION("""COMPUTED_VALUE"""),0.661)</f>
        <v>0.661</v>
      </c>
      <c r="V246" s="14">
        <f>IFERROR(__xludf.DUMMYFUNCTION("""COMPUTED_VALUE"""),0.172)</f>
        <v>0.172</v>
      </c>
      <c r="W246" s="14">
        <f>IFERROR(__xludf.DUMMYFUNCTION("""COMPUTED_VALUE"""),1.0920272E7)</f>
        <v>10920272</v>
      </c>
      <c r="X246" s="14">
        <f>IFERROR(__xludf.DUMMYFUNCTION("""COMPUTED_VALUE"""),0.976)</f>
        <v>0.976</v>
      </c>
      <c r="Y246" s="14" t="str">
        <f>IFERROR(__xludf.DUMMYFUNCTION("""COMPUTED_VALUE"""),"Belgium-Europe")</f>
        <v>Belgium-Europe</v>
      </c>
      <c r="Z246" s="14" t="str">
        <f>IFERROR(__xludf.DUMMYFUNCTION("""COMPUTED_VALUE"""),"Europe")</f>
        <v>Europe</v>
      </c>
      <c r="AA246" s="14" t="str">
        <f>IFERROR(__xludf.DUMMYFUNCTION("""COMPUTED_VALUE"""),"2010")</f>
        <v>2010</v>
      </c>
      <c r="AB246" s="15" t="str">
        <f>IFERROR(__xludf.DUMMYFUNCTION("ARRAYFORMULA(VLOOKUP(A246,IMPORTRANGE(""https://docs.google.com/spreadsheets/d/1BuTWp7qHGjWhqrnf-OmePP568O4A5Am9ttzvVdP67zw/edit#gid=1931367683"" ,""ENERGY!$A$2:$F$2692""), {2,3,4,5,6},0))"),"Europe")</f>
        <v>Europe</v>
      </c>
      <c r="AC246" s="14" t="str">
        <f>IFERROR(__xludf.DUMMYFUNCTION("""COMPUTED_VALUE"""),"Belgium-Europe")</f>
        <v>Belgium-Europe</v>
      </c>
      <c r="AD246" s="14" t="str">
        <f>IFERROR(__xludf.DUMMYFUNCTION("""COMPUTED_VALUE"""),"2005")</f>
        <v>2005</v>
      </c>
      <c r="AE246" s="14">
        <f>IFERROR(__xludf.DUMMYFUNCTION("""COMPUTED_VALUE"""),56375.0)</f>
        <v>56375</v>
      </c>
      <c r="AF246" s="14">
        <f>IFERROR(__xludf.DUMMYFUNCTION("""COMPUTED_VALUE"""),107531.0)</f>
        <v>107531</v>
      </c>
    </row>
    <row r="247">
      <c r="A247" s="12">
        <v>246.0</v>
      </c>
      <c r="B247" s="12" t="s">
        <v>97</v>
      </c>
      <c r="C247" s="5" t="s">
        <v>75</v>
      </c>
      <c r="D247" s="11">
        <v>0.57</v>
      </c>
      <c r="E247" s="11">
        <v>4.0</v>
      </c>
      <c r="F247" s="8"/>
      <c r="G247" s="11">
        <v>156.0</v>
      </c>
      <c r="H247" s="11">
        <v>0.816</v>
      </c>
      <c r="I247" s="11">
        <v>1.135</v>
      </c>
      <c r="J247" s="9" t="s">
        <v>72</v>
      </c>
      <c r="K247" s="14" t="str">
        <f>IFERROR(__xludf.DUMMYFUNCTION("ARRAYFORMULA(VLOOKUP(A247,IMPORTRANGE(""https://docs.google.com/spreadsheets/d/1BuTWp7qHGjWhqrnf-OmePP568O4A5Am9ttzvVdP67zw/edit#gid=1603210130"", ""TOURISM!$A$2:$F$2692""), {2,3,4,5,6},0))"),"Europe")</f>
        <v>Europe</v>
      </c>
      <c r="L247" s="14">
        <f>IFERROR(__xludf.DUMMYFUNCTION("""COMPUTED_VALUE"""),1.3008E10)</f>
        <v>13008000000</v>
      </c>
      <c r="M247" s="14" t="str">
        <f>IFERROR(__xludf.DUMMYFUNCTION("""COMPUTED_VALUE"""),"Belgium-Europe")</f>
        <v>Belgium-Europe</v>
      </c>
      <c r="N247" s="14" t="str">
        <f>IFERROR(__xludf.DUMMYFUNCTION("""COMPUTED_VALUE"""),"2011")</f>
        <v>2011</v>
      </c>
      <c r="O247" s="14">
        <f>IFERROR(__xludf.DUMMYFUNCTION("""COMPUTED_VALUE"""),2.4215E10)</f>
        <v>24215000000</v>
      </c>
      <c r="P247" s="15">
        <f>IFERROR(__xludf.DUMMYFUNCTION("ARRAYFORMULA(VLOOKUP(A247,IMPORTRANGE(""https://docs.google.com/spreadsheets/d/1BuTWp7qHGjWhqrnf-OmePP568O4A5Am9ttzvVdP67zw/edit#gid=771602874"" ,""HUMAN RESOURCES!$A$2:$M$2692""), {2,3,4,5,6,7,8,9,10,11,12,13},0))"),0.012)</f>
        <v>0.012</v>
      </c>
      <c r="Q247" s="14">
        <f>IFERROR(__xludf.DUMMYFUNCTION("""COMPUTED_VALUE"""),0.004)</f>
        <v>0.004</v>
      </c>
      <c r="R247" s="14">
        <f>IFERROR(__xludf.DUMMYFUNCTION("""COMPUTED_VALUE"""),83.0)</f>
        <v>83</v>
      </c>
      <c r="S247" s="14">
        <f>IFERROR(__xludf.DUMMYFUNCTION("""COMPUTED_VALUE"""),78.0)</f>
        <v>78</v>
      </c>
      <c r="T247" s="14">
        <f>IFERROR(__xludf.DUMMYFUNCTION("""COMPUTED_VALUE"""),0.168)</f>
        <v>0.168</v>
      </c>
      <c r="U247" s="14">
        <f>IFERROR(__xludf.DUMMYFUNCTION("""COMPUTED_VALUE"""),0.658)</f>
        <v>0.658</v>
      </c>
      <c r="V247" s="14">
        <f>IFERROR(__xludf.DUMMYFUNCTION("""COMPUTED_VALUE"""),0.174)</f>
        <v>0.174</v>
      </c>
      <c r="W247" s="14">
        <f>IFERROR(__xludf.DUMMYFUNCTION("""COMPUTED_VALUE"""),1.1047744E7)</f>
        <v>11047744</v>
      </c>
      <c r="X247" s="14">
        <f>IFERROR(__xludf.DUMMYFUNCTION("""COMPUTED_VALUE"""),0.977)</f>
        <v>0.977</v>
      </c>
      <c r="Y247" s="14" t="str">
        <f>IFERROR(__xludf.DUMMYFUNCTION("""COMPUTED_VALUE"""),"Belgium-Europe")</f>
        <v>Belgium-Europe</v>
      </c>
      <c r="Z247" s="14" t="str">
        <f>IFERROR(__xludf.DUMMYFUNCTION("""COMPUTED_VALUE"""),"Europe")</f>
        <v>Europe</v>
      </c>
      <c r="AA247" s="14" t="str">
        <f>IFERROR(__xludf.DUMMYFUNCTION("""COMPUTED_VALUE"""),"2011")</f>
        <v>2011</v>
      </c>
      <c r="AB247" s="15" t="str">
        <f>IFERROR(__xludf.DUMMYFUNCTION("ARRAYFORMULA(VLOOKUP(A247,IMPORTRANGE(""https://docs.google.com/spreadsheets/d/1BuTWp7qHGjWhqrnf-OmePP568O4A5Am9ttzvVdP67zw/edit#gid=1931367683"" ,""ENERGY!$A$2:$F$2692""), {2,3,4,5,6},0))"),"Europe")</f>
        <v>Europe</v>
      </c>
      <c r="AC247" s="14" t="str">
        <f>IFERROR(__xludf.DUMMYFUNCTION("""COMPUTED_VALUE"""),"Belgium-Europe")</f>
        <v>Belgium-Europe</v>
      </c>
      <c r="AD247" s="14" t="str">
        <f>IFERROR(__xludf.DUMMYFUNCTION("""COMPUTED_VALUE"""),"2012")</f>
        <v>2012</v>
      </c>
      <c r="AE247" s="14">
        <f>IFERROR(__xludf.DUMMYFUNCTION("""COMPUTED_VALUE"""),58391.0)</f>
        <v>58391</v>
      </c>
      <c r="AF247" s="14">
        <f>IFERROR(__xludf.DUMMYFUNCTION("""COMPUTED_VALUE"""),114766.0)</f>
        <v>114766</v>
      </c>
    </row>
    <row r="248">
      <c r="A248" s="12">
        <v>247.0</v>
      </c>
      <c r="B248" s="12" t="s">
        <v>97</v>
      </c>
      <c r="C248" s="5" t="s">
        <v>75</v>
      </c>
      <c r="D248" s="11">
        <v>0.576</v>
      </c>
      <c r="E248" s="11">
        <v>4.0</v>
      </c>
      <c r="F248" s="11">
        <v>32.0</v>
      </c>
      <c r="G248" s="11">
        <v>156.0</v>
      </c>
      <c r="H248" s="11">
        <v>0.807</v>
      </c>
      <c r="I248" s="11">
        <v>1.113</v>
      </c>
      <c r="J248" s="9" t="s">
        <v>73</v>
      </c>
      <c r="K248" s="14" t="str">
        <f>IFERROR(__xludf.DUMMYFUNCTION("ARRAYFORMULA(VLOOKUP(A248,IMPORTRANGE(""https://docs.google.com/spreadsheets/d/1BuTWp7qHGjWhqrnf-OmePP568O4A5Am9ttzvVdP67zw/edit#gid=1603210130"", ""TOURISM!$A$2:$F$2692""), {2,3,4,5,6},0))"),"Europe")</f>
        <v>Europe</v>
      </c>
      <c r="L248" s="14">
        <f>IFERROR(__xludf.DUMMYFUNCTION("""COMPUTED_VALUE"""),1.2659E10)</f>
        <v>12659000000</v>
      </c>
      <c r="M248" s="14" t="str">
        <f>IFERROR(__xludf.DUMMYFUNCTION("""COMPUTED_VALUE"""),"Belgium-Europe")</f>
        <v>Belgium-Europe</v>
      </c>
      <c r="N248" s="14" t="str">
        <f>IFERROR(__xludf.DUMMYFUNCTION("""COMPUTED_VALUE"""),"2012")</f>
        <v>2012</v>
      </c>
      <c r="O248" s="14">
        <f>IFERROR(__xludf.DUMMYFUNCTION("""COMPUTED_VALUE"""),2.3784E10)</f>
        <v>23784000000</v>
      </c>
      <c r="P248" s="15">
        <f>IFERROR(__xludf.DUMMYFUNCTION("ARRAYFORMULA(VLOOKUP(A248,IMPORTRANGE(""https://docs.google.com/spreadsheets/d/1BuTWp7qHGjWhqrnf-OmePP568O4A5Am9ttzvVdP67zw/edit#gid=771602874"" ,""HUMAN RESOURCES!$A$2:$M$2692""), {2,3,4,5,6,7,8,9,10,11,12,13},0))"),0.011)</f>
        <v>0.011</v>
      </c>
      <c r="Q248" s="14">
        <f>IFERROR(__xludf.DUMMYFUNCTION("""COMPUTED_VALUE"""),0.004)</f>
        <v>0.004</v>
      </c>
      <c r="R248" s="14">
        <f>IFERROR(__xludf.DUMMYFUNCTION("""COMPUTED_VALUE"""),83.0)</f>
        <v>83</v>
      </c>
      <c r="S248" s="14">
        <f>IFERROR(__xludf.DUMMYFUNCTION("""COMPUTED_VALUE"""),78.0)</f>
        <v>78</v>
      </c>
      <c r="T248" s="14">
        <f>IFERROR(__xludf.DUMMYFUNCTION("""COMPUTED_VALUE"""),0.169)</f>
        <v>0.169</v>
      </c>
      <c r="U248" s="14">
        <f>IFERROR(__xludf.DUMMYFUNCTION("""COMPUTED_VALUE"""),0.655)</f>
        <v>0.655</v>
      </c>
      <c r="V248" s="14">
        <f>IFERROR(__xludf.DUMMYFUNCTION("""COMPUTED_VALUE"""),0.176)</f>
        <v>0.176</v>
      </c>
      <c r="W248" s="14">
        <f>IFERROR(__xludf.DUMMYFUNCTION("""COMPUTED_VALUE"""),1.1128246E7)</f>
        <v>11128246</v>
      </c>
      <c r="X248" s="14">
        <f>IFERROR(__xludf.DUMMYFUNCTION("""COMPUTED_VALUE"""),0.977)</f>
        <v>0.977</v>
      </c>
      <c r="Y248" s="14" t="str">
        <f>IFERROR(__xludf.DUMMYFUNCTION("""COMPUTED_VALUE"""),"Belgium-Europe")</f>
        <v>Belgium-Europe</v>
      </c>
      <c r="Z248" s="14" t="str">
        <f>IFERROR(__xludf.DUMMYFUNCTION("""COMPUTED_VALUE"""),"Europe")</f>
        <v>Europe</v>
      </c>
      <c r="AA248" s="14" t="str">
        <f>IFERROR(__xludf.DUMMYFUNCTION("""COMPUTED_VALUE"""),"2012")</f>
        <v>2012</v>
      </c>
      <c r="AB248" s="15" t="str">
        <f>IFERROR(__xludf.DUMMYFUNCTION("ARRAYFORMULA(VLOOKUP(A248,IMPORTRANGE(""https://docs.google.com/spreadsheets/d/1BuTWp7qHGjWhqrnf-OmePP568O4A5Am9ttzvVdP67zw/edit#gid=1931367683"" ,""ENERGY!$A$2:$F$2692""), {2,3,4,5,6},0))"),"Europe")</f>
        <v>Europe</v>
      </c>
      <c r="AC248" s="14" t="str">
        <f>IFERROR(__xludf.DUMMYFUNCTION("""COMPUTED_VALUE"""),"Belgium-Europe")</f>
        <v>Belgium-Europe</v>
      </c>
      <c r="AD248" s="14" t="str">
        <f>IFERROR(__xludf.DUMMYFUNCTION("""COMPUTED_VALUE"""),"2008")</f>
        <v>2008</v>
      </c>
      <c r="AE248" s="14">
        <f>IFERROR(__xludf.DUMMYFUNCTION("""COMPUTED_VALUE"""),58508.0)</f>
        <v>58508</v>
      </c>
      <c r="AF248" s="14">
        <f>IFERROR(__xludf.DUMMYFUNCTION("""COMPUTED_VALUE"""),115709.0)</f>
        <v>115709</v>
      </c>
    </row>
    <row r="249">
      <c r="A249" s="12">
        <v>248.0</v>
      </c>
      <c r="B249" s="12" t="s">
        <v>98</v>
      </c>
      <c r="C249" s="5" t="s">
        <v>84</v>
      </c>
      <c r="D249" s="8"/>
      <c r="E249" s="8"/>
      <c r="F249" s="8"/>
      <c r="G249" s="8"/>
      <c r="H249" s="11">
        <v>0.06</v>
      </c>
      <c r="I249" s="11">
        <v>0.07</v>
      </c>
      <c r="J249" s="9" t="s">
        <v>60</v>
      </c>
      <c r="K249" s="14" t="str">
        <f>IFERROR(__xludf.DUMMYFUNCTION("ARRAYFORMULA(VLOOKUP(A249,IMPORTRANGE(""https://docs.google.com/spreadsheets/d/1BuTWp7qHGjWhqrnf-OmePP568O4A5Am9ttzvVdP67zw/edit#gid=1603210130"", ""TOURISM!$A$2:$F$2692""), {2,3,4,5,6},0))"),"The Americas")</f>
        <v>The Americas</v>
      </c>
      <c r="L249" s="14">
        <f>IFERROR(__xludf.DUMMYFUNCTION("""COMPUTED_VALUE"""),1.11E8)</f>
        <v>111000000</v>
      </c>
      <c r="M249" s="14" t="str">
        <f>IFERROR(__xludf.DUMMYFUNCTION("""COMPUTED_VALUE"""),"Belize-The Americas")</f>
        <v>Belize-The Americas</v>
      </c>
      <c r="N249" s="14" t="str">
        <f>IFERROR(__xludf.DUMMYFUNCTION("""COMPUTED_VALUE"""),"2000")</f>
        <v>2000</v>
      </c>
      <c r="O249" s="14">
        <f>IFERROR(__xludf.DUMMYFUNCTION("""COMPUTED_VALUE"""),4.4E7)</f>
        <v>44000000</v>
      </c>
      <c r="P249" s="15">
        <f>IFERROR(__xludf.DUMMYFUNCTION("ARRAYFORMULA(VLOOKUP(A249,IMPORTRANGE(""https://docs.google.com/spreadsheets/d/1BuTWp7qHGjWhqrnf-OmePP568O4A5Am9ttzvVdP67zw/edit#gid=771602874"" ,""HUMAN RESOURCES!$A$2:$M$2692""), {2,3,4,5,6,7,8,9,10,11,12,13},0))"),0.029)</f>
        <v>0.029</v>
      </c>
      <c r="Q249" s="14">
        <f>IFERROR(__xludf.DUMMYFUNCTION("""COMPUTED_VALUE"""),0.021)</f>
        <v>0.021</v>
      </c>
      <c r="R249" s="14">
        <f>IFERROR(__xludf.DUMMYFUNCTION("""COMPUTED_VALUE"""),74.0)</f>
        <v>74</v>
      </c>
      <c r="S249" s="14">
        <f>IFERROR(__xludf.DUMMYFUNCTION("""COMPUTED_VALUE"""),67.0)</f>
        <v>67</v>
      </c>
      <c r="T249" s="14">
        <f>IFERROR(__xludf.DUMMYFUNCTION("""COMPUTED_VALUE"""),0.402)</f>
        <v>0.402</v>
      </c>
      <c r="U249" s="14">
        <f>IFERROR(__xludf.DUMMYFUNCTION("""COMPUTED_VALUE"""),0.555)</f>
        <v>0.555</v>
      </c>
      <c r="V249" s="14">
        <f>IFERROR(__xludf.DUMMYFUNCTION("""COMPUTED_VALUE"""),0.043)</f>
        <v>0.043</v>
      </c>
      <c r="W249" s="14">
        <f>IFERROR(__xludf.DUMMYFUNCTION("""COMPUTED_VALUE"""),238586.0)</f>
        <v>238586</v>
      </c>
      <c r="X249" s="14">
        <f>IFERROR(__xludf.DUMMYFUNCTION("""COMPUTED_VALUE"""),0.477)</f>
        <v>0.477</v>
      </c>
      <c r="Y249" s="14" t="str">
        <f>IFERROR(__xludf.DUMMYFUNCTION("""COMPUTED_VALUE"""),"Belize-The Americas")</f>
        <v>Belize-The Americas</v>
      </c>
      <c r="Z249" s="14" t="str">
        <f>IFERROR(__xludf.DUMMYFUNCTION("""COMPUTED_VALUE"""),"The Americas")</f>
        <v>The Americas</v>
      </c>
      <c r="AA249" s="14" t="str">
        <f>IFERROR(__xludf.DUMMYFUNCTION("""COMPUTED_VALUE"""),"2000")</f>
        <v>2000</v>
      </c>
      <c r="AB249" s="15" t="str">
        <f>IFERROR(__xludf.DUMMYFUNCTION("ARRAYFORMULA(VLOOKUP(A249,IMPORTRANGE(""https://docs.google.com/spreadsheets/d/1BuTWp7qHGjWhqrnf-OmePP568O4A5Am9ttzvVdP67zw/edit#gid=1931367683"" ,""ENERGY!$A$2:$F$2692""), {2,3,4,5,6},0))"),"The Americas")</f>
        <v>The Americas</v>
      </c>
      <c r="AC249" s="14" t="str">
        <f>IFERROR(__xludf.DUMMYFUNCTION("""COMPUTED_VALUE"""),"Belize-The Americas")</f>
        <v>Belize-The Americas</v>
      </c>
      <c r="AD249" s="14" t="str">
        <f>IFERROR(__xludf.DUMMYFUNCTION("""COMPUTED_VALUE"""),"2000")</f>
        <v>2000</v>
      </c>
      <c r="AE249" s="14"/>
      <c r="AF249" s="14"/>
    </row>
    <row r="250">
      <c r="A250" s="12">
        <v>249.0</v>
      </c>
      <c r="B250" s="12" t="s">
        <v>98</v>
      </c>
      <c r="C250" s="5" t="s">
        <v>84</v>
      </c>
      <c r="D250" s="8"/>
      <c r="E250" s="8"/>
      <c r="F250" s="8"/>
      <c r="G250" s="8"/>
      <c r="H250" s="8"/>
      <c r="I250" s="11">
        <v>0.16</v>
      </c>
      <c r="J250" s="9" t="s">
        <v>62</v>
      </c>
      <c r="K250" s="14" t="str">
        <f>IFERROR(__xludf.DUMMYFUNCTION("ARRAYFORMULA(VLOOKUP(A250,IMPORTRANGE(""https://docs.google.com/spreadsheets/d/1BuTWp7qHGjWhqrnf-OmePP568O4A5Am9ttzvVdP67zw/edit#gid=1603210130"", ""TOURISM!$A$2:$F$2692""), {2,3,4,5,6},0))"),"The Americas")</f>
        <v>The Americas</v>
      </c>
      <c r="L250" s="14">
        <f>IFERROR(__xludf.DUMMYFUNCTION("""COMPUTED_VALUE"""),1.11E8)</f>
        <v>111000000</v>
      </c>
      <c r="M250" s="14" t="str">
        <f>IFERROR(__xludf.DUMMYFUNCTION("""COMPUTED_VALUE"""),"Belize-The Americas")</f>
        <v>Belize-The Americas</v>
      </c>
      <c r="N250" s="14" t="str">
        <f>IFERROR(__xludf.DUMMYFUNCTION("""COMPUTED_VALUE"""),"2001")</f>
        <v>2001</v>
      </c>
      <c r="O250" s="14">
        <f>IFERROR(__xludf.DUMMYFUNCTION("""COMPUTED_VALUE"""),4.5E7)</f>
        <v>45000000</v>
      </c>
      <c r="P250" s="15">
        <f>IFERROR(__xludf.DUMMYFUNCTION("ARRAYFORMULA(VLOOKUP(A250,IMPORTRANGE(""https://docs.google.com/spreadsheets/d/1BuTWp7qHGjWhqrnf-OmePP568O4A5Am9ttzvVdP67zw/edit#gid=771602874"" ,""HUMAN RESOURCES!$A$2:$M$2692""), {2,3,4,5,6,7,8,9,10,11,12,13},0))"),0.029)</f>
        <v>0.029</v>
      </c>
      <c r="Q250" s="14">
        <f>IFERROR(__xludf.DUMMYFUNCTION("""COMPUTED_VALUE"""),0.021)</f>
        <v>0.021</v>
      </c>
      <c r="R250" s="14">
        <f>IFERROR(__xludf.DUMMYFUNCTION("""COMPUTED_VALUE"""),74.0)</f>
        <v>74</v>
      </c>
      <c r="S250" s="14">
        <f>IFERROR(__xludf.DUMMYFUNCTION("""COMPUTED_VALUE"""),67.0)</f>
        <v>67</v>
      </c>
      <c r="T250" s="14">
        <f>IFERROR(__xludf.DUMMYFUNCTION("""COMPUTED_VALUE"""),0.397)</f>
        <v>0.397</v>
      </c>
      <c r="U250" s="14">
        <f>IFERROR(__xludf.DUMMYFUNCTION("""COMPUTED_VALUE"""),0.56)</f>
        <v>0.56</v>
      </c>
      <c r="V250" s="14">
        <f>IFERROR(__xludf.DUMMYFUNCTION("""COMPUTED_VALUE"""),0.042)</f>
        <v>0.042</v>
      </c>
      <c r="W250" s="14">
        <f>IFERROR(__xludf.DUMMYFUNCTION("""COMPUTED_VALUE"""),245198.0)</f>
        <v>245198</v>
      </c>
      <c r="X250" s="14">
        <f>IFERROR(__xludf.DUMMYFUNCTION("""COMPUTED_VALUE"""),0.474)</f>
        <v>0.474</v>
      </c>
      <c r="Y250" s="14" t="str">
        <f>IFERROR(__xludf.DUMMYFUNCTION("""COMPUTED_VALUE"""),"Belize-The Americas")</f>
        <v>Belize-The Americas</v>
      </c>
      <c r="Z250" s="14" t="str">
        <f>IFERROR(__xludf.DUMMYFUNCTION("""COMPUTED_VALUE"""),"The Americas")</f>
        <v>The Americas</v>
      </c>
      <c r="AA250" s="14" t="str">
        <f>IFERROR(__xludf.DUMMYFUNCTION("""COMPUTED_VALUE"""),"2001")</f>
        <v>2001</v>
      </c>
      <c r="AB250" s="15" t="str">
        <f>IFERROR(__xludf.DUMMYFUNCTION("ARRAYFORMULA(VLOOKUP(A250,IMPORTRANGE(""https://docs.google.com/spreadsheets/d/1BuTWp7qHGjWhqrnf-OmePP568O4A5Am9ttzvVdP67zw/edit#gid=1931367683"" ,""ENERGY!$A$2:$F$2692""), {2,3,4,5,6},0))"),"The Americas")</f>
        <v>The Americas</v>
      </c>
      <c r="AC250" s="14" t="str">
        <f>IFERROR(__xludf.DUMMYFUNCTION("""COMPUTED_VALUE"""),"Belize-The Americas")</f>
        <v>Belize-The Americas</v>
      </c>
      <c r="AD250" s="14" t="str">
        <f>IFERROR(__xludf.DUMMYFUNCTION("""COMPUTED_VALUE"""),"2001")</f>
        <v>2001</v>
      </c>
      <c r="AE250" s="14"/>
      <c r="AF250" s="14"/>
    </row>
    <row r="251">
      <c r="A251" s="12">
        <v>250.0</v>
      </c>
      <c r="B251" s="12" t="s">
        <v>98</v>
      </c>
      <c r="C251" s="5" t="s">
        <v>84</v>
      </c>
      <c r="D251" s="8"/>
      <c r="E251" s="8"/>
      <c r="F251" s="8"/>
      <c r="G251" s="8"/>
      <c r="H251" s="11">
        <v>0.057</v>
      </c>
      <c r="I251" s="11">
        <v>0.205</v>
      </c>
      <c r="J251" s="9" t="s">
        <v>63</v>
      </c>
      <c r="K251" s="14" t="str">
        <f>IFERROR(__xludf.DUMMYFUNCTION("ARRAYFORMULA(VLOOKUP(A251,IMPORTRANGE(""https://docs.google.com/spreadsheets/d/1BuTWp7qHGjWhqrnf-OmePP568O4A5Am9ttzvVdP67zw/edit#gid=1603210130"", ""TOURISM!$A$2:$F$2692""), {2,3,4,5,6},0))"),"The Americas")</f>
        <v>The Americas</v>
      </c>
      <c r="L251" s="14">
        <f>IFERROR(__xludf.DUMMYFUNCTION("""COMPUTED_VALUE"""),1.21E8)</f>
        <v>121000000</v>
      </c>
      <c r="M251" s="14" t="str">
        <f>IFERROR(__xludf.DUMMYFUNCTION("""COMPUTED_VALUE"""),"Belize-The Americas")</f>
        <v>Belize-The Americas</v>
      </c>
      <c r="N251" s="14" t="str">
        <f>IFERROR(__xludf.DUMMYFUNCTION("""COMPUTED_VALUE"""),"2002")</f>
        <v>2002</v>
      </c>
      <c r="O251" s="14">
        <f>IFERROR(__xludf.DUMMYFUNCTION("""COMPUTED_VALUE"""),4.8E7)</f>
        <v>48000000</v>
      </c>
      <c r="P251" s="15">
        <f>IFERROR(__xludf.DUMMYFUNCTION("ARRAYFORMULA(VLOOKUP(A251,IMPORTRANGE(""https://docs.google.com/spreadsheets/d/1BuTWp7qHGjWhqrnf-OmePP568O4A5Am9ttzvVdP67zw/edit#gid=771602874"" ,""HUMAN RESOURCES!$A$2:$M$2692""), {2,3,4,5,6,7,8,9,10,11,12,13},0))"),0.028)</f>
        <v>0.028</v>
      </c>
      <c r="Q251" s="14">
        <f>IFERROR(__xludf.DUMMYFUNCTION("""COMPUTED_VALUE"""),0.02)</f>
        <v>0.02</v>
      </c>
      <c r="R251" s="14">
        <f>IFERROR(__xludf.DUMMYFUNCTION("""COMPUTED_VALUE"""),75.0)</f>
        <v>75</v>
      </c>
      <c r="S251" s="14">
        <f>IFERROR(__xludf.DUMMYFUNCTION("""COMPUTED_VALUE"""),68.0)</f>
        <v>68</v>
      </c>
      <c r="T251" s="14">
        <f>IFERROR(__xludf.DUMMYFUNCTION("""COMPUTED_VALUE"""),0.393)</f>
        <v>0.393</v>
      </c>
      <c r="U251" s="14">
        <f>IFERROR(__xludf.DUMMYFUNCTION("""COMPUTED_VALUE"""),0.565)</f>
        <v>0.565</v>
      </c>
      <c r="V251" s="14">
        <f>IFERROR(__xludf.DUMMYFUNCTION("""COMPUTED_VALUE"""),0.042)</f>
        <v>0.042</v>
      </c>
      <c r="W251" s="14">
        <f>IFERROR(__xludf.DUMMYFUNCTION("""COMPUTED_VALUE"""),251766.0)</f>
        <v>251766</v>
      </c>
      <c r="X251" s="14">
        <f>IFERROR(__xludf.DUMMYFUNCTION("""COMPUTED_VALUE"""),0.471)</f>
        <v>0.471</v>
      </c>
      <c r="Y251" s="14" t="str">
        <f>IFERROR(__xludf.DUMMYFUNCTION("""COMPUTED_VALUE"""),"Belize-The Americas")</f>
        <v>Belize-The Americas</v>
      </c>
      <c r="Z251" s="14" t="str">
        <f>IFERROR(__xludf.DUMMYFUNCTION("""COMPUTED_VALUE"""),"The Americas")</f>
        <v>The Americas</v>
      </c>
      <c r="AA251" s="14" t="str">
        <f>IFERROR(__xludf.DUMMYFUNCTION("""COMPUTED_VALUE"""),"2002")</f>
        <v>2002</v>
      </c>
      <c r="AB251" s="15" t="str">
        <f>IFERROR(__xludf.DUMMYFUNCTION("ARRAYFORMULA(VLOOKUP(A251,IMPORTRANGE(""https://docs.google.com/spreadsheets/d/1BuTWp7qHGjWhqrnf-OmePP568O4A5Am9ttzvVdP67zw/edit#gid=1931367683"" ,""ENERGY!$A$2:$F$2692""), {2,3,4,5,6},0))"),"The Americas")</f>
        <v>The Americas</v>
      </c>
      <c r="AC251" s="14" t="str">
        <f>IFERROR(__xludf.DUMMYFUNCTION("""COMPUTED_VALUE"""),"Belize-The Americas")</f>
        <v>Belize-The Americas</v>
      </c>
      <c r="AD251" s="14" t="str">
        <f>IFERROR(__xludf.DUMMYFUNCTION("""COMPUTED_VALUE"""),"2002")</f>
        <v>2002</v>
      </c>
      <c r="AE251" s="14"/>
      <c r="AF251" s="14">
        <f>IFERROR(__xludf.DUMMYFUNCTION("""COMPUTED_VALUE"""),422.0)</f>
        <v>422</v>
      </c>
    </row>
    <row r="252">
      <c r="A252" s="12">
        <v>251.0</v>
      </c>
      <c r="B252" s="12" t="s">
        <v>98</v>
      </c>
      <c r="C252" s="5" t="s">
        <v>84</v>
      </c>
      <c r="D252" s="8"/>
      <c r="E252" s="8"/>
      <c r="F252" s="8"/>
      <c r="G252" s="8"/>
      <c r="H252" s="8"/>
      <c r="I252" s="11">
        <v>0.234</v>
      </c>
      <c r="J252" s="9" t="s">
        <v>64</v>
      </c>
      <c r="K252" s="14" t="str">
        <f>IFERROR(__xludf.DUMMYFUNCTION("ARRAYFORMULA(VLOOKUP(A252,IMPORTRANGE(""https://docs.google.com/spreadsheets/d/1BuTWp7qHGjWhqrnf-OmePP568O4A5Am9ttzvVdP67zw/edit#gid=1603210130"", ""TOURISM!$A$2:$F$2692""), {2,3,4,5,6},0))"),"The Americas")</f>
        <v>The Americas</v>
      </c>
      <c r="L252" s="14">
        <f>IFERROR(__xludf.DUMMYFUNCTION("""COMPUTED_VALUE"""),1.5E8)</f>
        <v>150000000</v>
      </c>
      <c r="M252" s="14" t="str">
        <f>IFERROR(__xludf.DUMMYFUNCTION("""COMPUTED_VALUE"""),"Belize-The Americas")</f>
        <v>Belize-The Americas</v>
      </c>
      <c r="N252" s="14" t="str">
        <f>IFERROR(__xludf.DUMMYFUNCTION("""COMPUTED_VALUE"""),"2003")</f>
        <v>2003</v>
      </c>
      <c r="O252" s="14">
        <f>IFERROR(__xludf.DUMMYFUNCTION("""COMPUTED_VALUE"""),5.0E7)</f>
        <v>50000000</v>
      </c>
      <c r="P252" s="15">
        <f>IFERROR(__xludf.DUMMYFUNCTION("ARRAYFORMULA(VLOOKUP(A252,IMPORTRANGE(""https://docs.google.com/spreadsheets/d/1BuTWp7qHGjWhqrnf-OmePP568O4A5Am9ttzvVdP67zw/edit#gid=771602874"" ,""HUMAN RESOURCES!$A$2:$M$2692""), {2,3,4,5,6,7,8,9,10,11,12,13},0))"),0.028)</f>
        <v>0.028</v>
      </c>
      <c r="Q252" s="14">
        <f>IFERROR(__xludf.DUMMYFUNCTION("""COMPUTED_VALUE"""),0.019)</f>
        <v>0.019</v>
      </c>
      <c r="R252" s="14">
        <f>IFERROR(__xludf.DUMMYFUNCTION("""COMPUTED_VALUE"""),75.0)</f>
        <v>75</v>
      </c>
      <c r="S252" s="14">
        <f>IFERROR(__xludf.DUMMYFUNCTION("""COMPUTED_VALUE"""),68.0)</f>
        <v>68</v>
      </c>
      <c r="T252" s="14">
        <f>IFERROR(__xludf.DUMMYFUNCTION("""COMPUTED_VALUE"""),0.388)</f>
        <v>0.388</v>
      </c>
      <c r="U252" s="14">
        <f>IFERROR(__xludf.DUMMYFUNCTION("""COMPUTED_VALUE"""),0.57)</f>
        <v>0.57</v>
      </c>
      <c r="V252" s="14">
        <f>IFERROR(__xludf.DUMMYFUNCTION("""COMPUTED_VALUE"""),0.042)</f>
        <v>0.042</v>
      </c>
      <c r="W252" s="14">
        <f>IFERROR(__xludf.DUMMYFUNCTION("""COMPUTED_VALUE"""),258346.0)</f>
        <v>258346</v>
      </c>
      <c r="X252" s="14">
        <f>IFERROR(__xludf.DUMMYFUNCTION("""COMPUTED_VALUE"""),0.469)</f>
        <v>0.469</v>
      </c>
      <c r="Y252" s="14" t="str">
        <f>IFERROR(__xludf.DUMMYFUNCTION("""COMPUTED_VALUE"""),"Belize-The Americas")</f>
        <v>Belize-The Americas</v>
      </c>
      <c r="Z252" s="14" t="str">
        <f>IFERROR(__xludf.DUMMYFUNCTION("""COMPUTED_VALUE"""),"The Americas")</f>
        <v>The Americas</v>
      </c>
      <c r="AA252" s="14" t="str">
        <f>IFERROR(__xludf.DUMMYFUNCTION("""COMPUTED_VALUE"""),"2003")</f>
        <v>2003</v>
      </c>
      <c r="AB252" s="15" t="str">
        <f>IFERROR(__xludf.DUMMYFUNCTION("ARRAYFORMULA(VLOOKUP(A252,IMPORTRANGE(""https://docs.google.com/spreadsheets/d/1BuTWp7qHGjWhqrnf-OmePP568O4A5Am9ttzvVdP67zw/edit#gid=1931367683"" ,""ENERGY!$A$2:$F$2692""), {2,3,4,5,6},0))"),"The Americas")</f>
        <v>The Americas</v>
      </c>
      <c r="AC252" s="14" t="str">
        <f>IFERROR(__xludf.DUMMYFUNCTION("""COMPUTED_VALUE"""),"Belize-The Americas")</f>
        <v>Belize-The Americas</v>
      </c>
      <c r="AD252" s="14" t="str">
        <f>IFERROR(__xludf.DUMMYFUNCTION("""COMPUTED_VALUE"""),"2003")</f>
        <v>2003</v>
      </c>
      <c r="AE252" s="14"/>
      <c r="AF252" s="14">
        <f>IFERROR(__xludf.DUMMYFUNCTION("""COMPUTED_VALUE"""),414.0)</f>
        <v>414</v>
      </c>
    </row>
    <row r="253">
      <c r="A253" s="12">
        <v>252.0</v>
      </c>
      <c r="B253" s="12" t="s">
        <v>98</v>
      </c>
      <c r="C253" s="5" t="s">
        <v>84</v>
      </c>
      <c r="D253" s="8"/>
      <c r="E253" s="8"/>
      <c r="F253" s="8"/>
      <c r="G253" s="8"/>
      <c r="H253" s="11">
        <v>0.058</v>
      </c>
      <c r="I253" s="11">
        <v>0.283</v>
      </c>
      <c r="J253" s="9" t="s">
        <v>65</v>
      </c>
      <c r="K253" s="14" t="str">
        <f>IFERROR(__xludf.DUMMYFUNCTION("ARRAYFORMULA(VLOOKUP(A253,IMPORTRANGE(""https://docs.google.com/spreadsheets/d/1BuTWp7qHGjWhqrnf-OmePP568O4A5Am9ttzvVdP67zw/edit#gid=1603210130"", ""TOURISM!$A$2:$F$2692""), {2,3,4,5,6},0))"),"The Americas")</f>
        <v>The Americas</v>
      </c>
      <c r="L253" s="14">
        <f>IFERROR(__xludf.DUMMYFUNCTION("""COMPUTED_VALUE"""),1.68E8)</f>
        <v>168000000</v>
      </c>
      <c r="M253" s="14" t="str">
        <f>IFERROR(__xludf.DUMMYFUNCTION("""COMPUTED_VALUE"""),"Belize-The Americas")</f>
        <v>Belize-The Americas</v>
      </c>
      <c r="N253" s="14" t="str">
        <f>IFERROR(__xludf.DUMMYFUNCTION("""COMPUTED_VALUE"""),"2004")</f>
        <v>2004</v>
      </c>
      <c r="O253" s="14">
        <f>IFERROR(__xludf.DUMMYFUNCTION("""COMPUTED_VALUE"""),4.7E7)</f>
        <v>47000000</v>
      </c>
      <c r="P253" s="15">
        <f>IFERROR(__xludf.DUMMYFUNCTION("ARRAYFORMULA(VLOOKUP(A253,IMPORTRANGE(""https://docs.google.com/spreadsheets/d/1BuTWp7qHGjWhqrnf-OmePP568O4A5Am9ttzvVdP67zw/edit#gid=771602874"" ,""HUMAN RESOURCES!$A$2:$M$2692""), {2,3,4,5,6,7,8,9,10,11,12,13},0))"),0.027)</f>
        <v>0.027</v>
      </c>
      <c r="Q253" s="14">
        <f>IFERROR(__xludf.DUMMYFUNCTION("""COMPUTED_VALUE"""),0.019)</f>
        <v>0.019</v>
      </c>
      <c r="R253" s="14">
        <f>IFERROR(__xludf.DUMMYFUNCTION("""COMPUTED_VALUE"""),75.0)</f>
        <v>75</v>
      </c>
      <c r="S253" s="14">
        <f>IFERROR(__xludf.DUMMYFUNCTION("""COMPUTED_VALUE"""),69.0)</f>
        <v>69</v>
      </c>
      <c r="T253" s="14">
        <f>IFERROR(__xludf.DUMMYFUNCTION("""COMPUTED_VALUE"""),0.384)</f>
        <v>0.384</v>
      </c>
      <c r="U253" s="14">
        <f>IFERROR(__xludf.DUMMYFUNCTION("""COMPUTED_VALUE"""),0.575)</f>
        <v>0.575</v>
      </c>
      <c r="V253" s="14">
        <f>IFERROR(__xludf.DUMMYFUNCTION("""COMPUTED_VALUE"""),0.041)</f>
        <v>0.041</v>
      </c>
      <c r="W253" s="14">
        <f>IFERROR(__xludf.DUMMYFUNCTION("""COMPUTED_VALUE"""),265040.0)</f>
        <v>265040</v>
      </c>
      <c r="X253" s="14">
        <f>IFERROR(__xludf.DUMMYFUNCTION("""COMPUTED_VALUE"""),0.466)</f>
        <v>0.466</v>
      </c>
      <c r="Y253" s="14" t="str">
        <f>IFERROR(__xludf.DUMMYFUNCTION("""COMPUTED_VALUE"""),"Belize-The Americas")</f>
        <v>Belize-The Americas</v>
      </c>
      <c r="Z253" s="14" t="str">
        <f>IFERROR(__xludf.DUMMYFUNCTION("""COMPUTED_VALUE"""),"The Americas")</f>
        <v>The Americas</v>
      </c>
      <c r="AA253" s="14" t="str">
        <f>IFERROR(__xludf.DUMMYFUNCTION("""COMPUTED_VALUE"""),"2004")</f>
        <v>2004</v>
      </c>
      <c r="AB253" s="15" t="str">
        <f>IFERROR(__xludf.DUMMYFUNCTION("ARRAYFORMULA(VLOOKUP(A253,IMPORTRANGE(""https://docs.google.com/spreadsheets/d/1BuTWp7qHGjWhqrnf-OmePP568O4A5Am9ttzvVdP67zw/edit#gid=1931367683"" ,""ENERGY!$A$2:$F$2692""), {2,3,4,5,6},0))"),"The Americas")</f>
        <v>The Americas</v>
      </c>
      <c r="AC253" s="14" t="str">
        <f>IFERROR(__xludf.DUMMYFUNCTION("""COMPUTED_VALUE"""),"Belize-The Americas")</f>
        <v>Belize-The Americas</v>
      </c>
      <c r="AD253" s="14" t="str">
        <f>IFERROR(__xludf.DUMMYFUNCTION("""COMPUTED_VALUE"""),"2004")</f>
        <v>2004</v>
      </c>
      <c r="AE253" s="14"/>
      <c r="AF253" s="14">
        <f>IFERROR(__xludf.DUMMYFUNCTION("""COMPUTED_VALUE"""),407.0)</f>
        <v>407</v>
      </c>
    </row>
    <row r="254">
      <c r="A254" s="12">
        <v>253.0</v>
      </c>
      <c r="B254" s="12" t="s">
        <v>98</v>
      </c>
      <c r="C254" s="5" t="s">
        <v>84</v>
      </c>
      <c r="D254" s="11">
        <v>0.347</v>
      </c>
      <c r="E254" s="11">
        <v>45.0</v>
      </c>
      <c r="F254" s="8"/>
      <c r="G254" s="11">
        <v>147.0</v>
      </c>
      <c r="H254" s="11">
        <v>0.092</v>
      </c>
      <c r="I254" s="11">
        <v>0.353</v>
      </c>
      <c r="J254" s="9" t="s">
        <v>66</v>
      </c>
      <c r="K254" s="14" t="str">
        <f>IFERROR(__xludf.DUMMYFUNCTION("ARRAYFORMULA(VLOOKUP(A254,IMPORTRANGE(""https://docs.google.com/spreadsheets/d/1BuTWp7qHGjWhqrnf-OmePP568O4A5Am9ttzvVdP67zw/edit#gid=1603210130"", ""TOURISM!$A$2:$F$2692""), {2,3,4,5,6},0))"),"The Americas")</f>
        <v>The Americas</v>
      </c>
      <c r="L254" s="14">
        <f>IFERROR(__xludf.DUMMYFUNCTION("""COMPUTED_VALUE"""),2.14E8)</f>
        <v>214000000</v>
      </c>
      <c r="M254" s="14" t="str">
        <f>IFERROR(__xludf.DUMMYFUNCTION("""COMPUTED_VALUE"""),"Belize-The Americas")</f>
        <v>Belize-The Americas</v>
      </c>
      <c r="N254" s="14" t="str">
        <f>IFERROR(__xludf.DUMMYFUNCTION("""COMPUTED_VALUE"""),"2005")</f>
        <v>2005</v>
      </c>
      <c r="O254" s="14">
        <f>IFERROR(__xludf.DUMMYFUNCTION("""COMPUTED_VALUE"""),4.5E7)</f>
        <v>45000000</v>
      </c>
      <c r="P254" s="15">
        <f>IFERROR(__xludf.DUMMYFUNCTION("ARRAYFORMULA(VLOOKUP(A254,IMPORTRANGE(""https://docs.google.com/spreadsheets/d/1BuTWp7qHGjWhqrnf-OmePP568O4A5Am9ttzvVdP67zw/edit#gid=771602874"" ,""HUMAN RESOURCES!$A$2:$M$2692""), {2,3,4,5,6,7,8,9,10,11,12,13},0))"),0.027)</f>
        <v>0.027</v>
      </c>
      <c r="Q254" s="14">
        <f>IFERROR(__xludf.DUMMYFUNCTION("""COMPUTED_VALUE"""),0.018)</f>
        <v>0.018</v>
      </c>
      <c r="R254" s="14">
        <f>IFERROR(__xludf.DUMMYFUNCTION("""COMPUTED_VALUE"""),75.0)</f>
        <v>75</v>
      </c>
      <c r="S254" s="14">
        <f>IFERROR(__xludf.DUMMYFUNCTION("""COMPUTED_VALUE"""),69.0)</f>
        <v>69</v>
      </c>
      <c r="T254" s="14">
        <f>IFERROR(__xludf.DUMMYFUNCTION("""COMPUTED_VALUE"""),0.379)</f>
        <v>0.379</v>
      </c>
      <c r="U254" s="14">
        <f>IFERROR(__xludf.DUMMYFUNCTION("""COMPUTED_VALUE"""),0.58)</f>
        <v>0.58</v>
      </c>
      <c r="V254" s="14">
        <f>IFERROR(__xludf.DUMMYFUNCTION("""COMPUTED_VALUE"""),0.041)</f>
        <v>0.041</v>
      </c>
      <c r="W254" s="14">
        <f>IFERROR(__xludf.DUMMYFUNCTION("""COMPUTED_VALUE"""),271920.0)</f>
        <v>271920</v>
      </c>
      <c r="X254" s="14">
        <f>IFERROR(__xludf.DUMMYFUNCTION("""COMPUTED_VALUE"""),0.463)</f>
        <v>0.463</v>
      </c>
      <c r="Y254" s="14" t="str">
        <f>IFERROR(__xludf.DUMMYFUNCTION("""COMPUTED_VALUE"""),"Belize-The Americas")</f>
        <v>Belize-The Americas</v>
      </c>
      <c r="Z254" s="14" t="str">
        <f>IFERROR(__xludf.DUMMYFUNCTION("""COMPUTED_VALUE"""),"The Americas")</f>
        <v>The Americas</v>
      </c>
      <c r="AA254" s="14" t="str">
        <f>IFERROR(__xludf.DUMMYFUNCTION("""COMPUTED_VALUE"""),"2005")</f>
        <v>2005</v>
      </c>
      <c r="AB254" s="15" t="str">
        <f>IFERROR(__xludf.DUMMYFUNCTION("ARRAYFORMULA(VLOOKUP(A254,IMPORTRANGE(""https://docs.google.com/spreadsheets/d/1BuTWp7qHGjWhqrnf-OmePP568O4A5Am9ttzvVdP67zw/edit#gid=1931367683"" ,""ENERGY!$A$2:$F$2692""), {2,3,4,5,6},0))"),"The Americas")</f>
        <v>The Americas</v>
      </c>
      <c r="AC254" s="14" t="str">
        <f>IFERROR(__xludf.DUMMYFUNCTION("""COMPUTED_VALUE"""),"Belize-The Americas")</f>
        <v>Belize-The Americas</v>
      </c>
      <c r="AD254" s="14" t="str">
        <f>IFERROR(__xludf.DUMMYFUNCTION("""COMPUTED_VALUE"""),"2006")</f>
        <v>2006</v>
      </c>
      <c r="AE254" s="14">
        <f>IFERROR(__xludf.DUMMYFUNCTION("""COMPUTED_VALUE"""),178.0)</f>
        <v>178</v>
      </c>
      <c r="AF254" s="14">
        <f>IFERROR(__xludf.DUMMYFUNCTION("""COMPUTED_VALUE"""),425.0)</f>
        <v>425</v>
      </c>
    </row>
    <row r="255">
      <c r="A255" s="12">
        <v>254.0</v>
      </c>
      <c r="B255" s="12" t="s">
        <v>98</v>
      </c>
      <c r="C255" s="5" t="s">
        <v>84</v>
      </c>
      <c r="D255" s="11">
        <v>0.348</v>
      </c>
      <c r="E255" s="11">
        <v>45.0</v>
      </c>
      <c r="F255" s="8"/>
      <c r="G255" s="11">
        <v>147.0</v>
      </c>
      <c r="H255" s="11">
        <v>0.104</v>
      </c>
      <c r="I255" s="11">
        <v>0.423</v>
      </c>
      <c r="J255" s="9" t="s">
        <v>67</v>
      </c>
      <c r="K255" s="14" t="str">
        <f>IFERROR(__xludf.DUMMYFUNCTION("ARRAYFORMULA(VLOOKUP(A255,IMPORTRANGE(""https://docs.google.com/spreadsheets/d/1BuTWp7qHGjWhqrnf-OmePP568O4A5Am9ttzvVdP67zw/edit#gid=1603210130"", ""TOURISM!$A$2:$F$2692""), {2,3,4,5,6},0))"),"The Americas")</f>
        <v>The Americas</v>
      </c>
      <c r="L255" s="14">
        <f>IFERROR(__xludf.DUMMYFUNCTION("""COMPUTED_VALUE"""),2.6E8)</f>
        <v>260000000</v>
      </c>
      <c r="M255" s="14" t="str">
        <f>IFERROR(__xludf.DUMMYFUNCTION("""COMPUTED_VALUE"""),"Belize-The Americas")</f>
        <v>Belize-The Americas</v>
      </c>
      <c r="N255" s="14" t="str">
        <f>IFERROR(__xludf.DUMMYFUNCTION("""COMPUTED_VALUE"""),"2006")</f>
        <v>2006</v>
      </c>
      <c r="O255" s="14">
        <f>IFERROR(__xludf.DUMMYFUNCTION("""COMPUTED_VALUE"""),4.3E7)</f>
        <v>43000000</v>
      </c>
      <c r="P255" s="15">
        <f>IFERROR(__xludf.DUMMYFUNCTION("ARRAYFORMULA(VLOOKUP(A255,IMPORTRANGE(""https://docs.google.com/spreadsheets/d/1BuTWp7qHGjWhqrnf-OmePP568O4A5Am9ttzvVdP67zw/edit#gid=771602874"" ,""HUMAN RESOURCES!$A$2:$M$2692""), {2,3,4,5,6,7,8,9,10,11,12,13},0))"),0.026)</f>
        <v>0.026</v>
      </c>
      <c r="Q255" s="14">
        <f>IFERROR(__xludf.DUMMYFUNCTION("""COMPUTED_VALUE"""),0.018)</f>
        <v>0.018</v>
      </c>
      <c r="R255" s="14">
        <f>IFERROR(__xludf.DUMMYFUNCTION("""COMPUTED_VALUE"""),75.0)</f>
        <v>75</v>
      </c>
      <c r="S255" s="14">
        <f>IFERROR(__xludf.DUMMYFUNCTION("""COMPUTED_VALUE"""),69.0)</f>
        <v>69</v>
      </c>
      <c r="T255" s="14">
        <f>IFERROR(__xludf.DUMMYFUNCTION("""COMPUTED_VALUE"""),0.374)</f>
        <v>0.374</v>
      </c>
      <c r="U255" s="14">
        <f>IFERROR(__xludf.DUMMYFUNCTION("""COMPUTED_VALUE"""),0.585)</f>
        <v>0.585</v>
      </c>
      <c r="V255" s="14">
        <f>IFERROR(__xludf.DUMMYFUNCTION("""COMPUTED_VALUE"""),0.04)</f>
        <v>0.04</v>
      </c>
      <c r="W255" s="14">
        <f>IFERROR(__xludf.DUMMYFUNCTION("""COMPUTED_VALUE"""),278985.0)</f>
        <v>278985</v>
      </c>
      <c r="X255" s="14">
        <f>IFERROR(__xludf.DUMMYFUNCTION("""COMPUTED_VALUE"""),0.46)</f>
        <v>0.46</v>
      </c>
      <c r="Y255" s="14" t="str">
        <f>IFERROR(__xludf.DUMMYFUNCTION("""COMPUTED_VALUE"""),"Belize-The Americas")</f>
        <v>Belize-The Americas</v>
      </c>
      <c r="Z255" s="14" t="str">
        <f>IFERROR(__xludf.DUMMYFUNCTION("""COMPUTED_VALUE"""),"The Americas")</f>
        <v>The Americas</v>
      </c>
      <c r="AA255" s="14" t="str">
        <f>IFERROR(__xludf.DUMMYFUNCTION("""COMPUTED_VALUE"""),"2006")</f>
        <v>2006</v>
      </c>
      <c r="AB255" s="15" t="str">
        <f>IFERROR(__xludf.DUMMYFUNCTION("ARRAYFORMULA(VLOOKUP(A255,IMPORTRANGE(""https://docs.google.com/spreadsheets/d/1BuTWp7qHGjWhqrnf-OmePP568O4A5Am9ttzvVdP67zw/edit#gid=1931367683"" ,""ENERGY!$A$2:$F$2692""), {2,3,4,5,6},0))"),"The Americas")</f>
        <v>The Americas</v>
      </c>
      <c r="AC255" s="14" t="str">
        <f>IFERROR(__xludf.DUMMYFUNCTION("""COMPUTED_VALUE"""),"Belize-The Americas")</f>
        <v>Belize-The Americas</v>
      </c>
      <c r="AD255" s="14" t="str">
        <f>IFERROR(__xludf.DUMMYFUNCTION("""COMPUTED_VALUE"""),"2009")</f>
        <v>2009</v>
      </c>
      <c r="AE255" s="14">
        <f>IFERROR(__xludf.DUMMYFUNCTION("""COMPUTED_VALUE"""),172.0)</f>
        <v>172</v>
      </c>
      <c r="AF255" s="14">
        <f>IFERROR(__xludf.DUMMYFUNCTION("""COMPUTED_VALUE"""),407.0)</f>
        <v>407</v>
      </c>
    </row>
    <row r="256">
      <c r="A256" s="12">
        <v>255.0</v>
      </c>
      <c r="B256" s="12" t="s">
        <v>98</v>
      </c>
      <c r="C256" s="5" t="s">
        <v>84</v>
      </c>
      <c r="D256" s="11">
        <v>0.348</v>
      </c>
      <c r="E256" s="11">
        <v>44.0</v>
      </c>
      <c r="F256" s="8"/>
      <c r="G256" s="11">
        <v>147.0</v>
      </c>
      <c r="H256" s="11">
        <v>0.109</v>
      </c>
      <c r="I256" s="11">
        <v>0.413</v>
      </c>
      <c r="J256" s="9" t="s">
        <v>68</v>
      </c>
      <c r="K256" s="14" t="str">
        <f>IFERROR(__xludf.DUMMYFUNCTION("ARRAYFORMULA(VLOOKUP(A256,IMPORTRANGE(""https://docs.google.com/spreadsheets/d/1BuTWp7qHGjWhqrnf-OmePP568O4A5Am9ttzvVdP67zw/edit#gid=1603210130"", ""TOURISM!$A$2:$F$2692""), {2,3,4,5,6},0))"),"The Americas")</f>
        <v>The Americas</v>
      </c>
      <c r="L256" s="14">
        <f>IFERROR(__xludf.DUMMYFUNCTION("""COMPUTED_VALUE"""),2.89E8)</f>
        <v>289000000</v>
      </c>
      <c r="M256" s="14" t="str">
        <f>IFERROR(__xludf.DUMMYFUNCTION("""COMPUTED_VALUE"""),"Belize-The Americas")</f>
        <v>Belize-The Americas</v>
      </c>
      <c r="N256" s="14" t="str">
        <f>IFERROR(__xludf.DUMMYFUNCTION("""COMPUTED_VALUE"""),"2007")</f>
        <v>2007</v>
      </c>
      <c r="O256" s="14">
        <f>IFERROR(__xludf.DUMMYFUNCTION("""COMPUTED_VALUE"""),4.6E7)</f>
        <v>46000000</v>
      </c>
      <c r="P256" s="15">
        <f>IFERROR(__xludf.DUMMYFUNCTION("ARRAYFORMULA(VLOOKUP(A256,IMPORTRANGE(""https://docs.google.com/spreadsheets/d/1BuTWp7qHGjWhqrnf-OmePP568O4A5Am9ttzvVdP67zw/edit#gid=771602874"" ,""HUMAN RESOURCES!$A$2:$M$2692""), {2,3,4,5,6,7,8,9,10,11,12,13},0))"),0.026)</f>
        <v>0.026</v>
      </c>
      <c r="Q256" s="14">
        <f>IFERROR(__xludf.DUMMYFUNCTION("""COMPUTED_VALUE"""),0.017)</f>
        <v>0.017</v>
      </c>
      <c r="R256" s="14">
        <f>IFERROR(__xludf.DUMMYFUNCTION("""COMPUTED_VALUE"""),76.0)</f>
        <v>76</v>
      </c>
      <c r="S256" s="14">
        <f>IFERROR(__xludf.DUMMYFUNCTION("""COMPUTED_VALUE"""),70.0)</f>
        <v>70</v>
      </c>
      <c r="T256" s="14">
        <f>IFERROR(__xludf.DUMMYFUNCTION("""COMPUTED_VALUE"""),0.37)</f>
        <v>0.37</v>
      </c>
      <c r="U256" s="14">
        <f>IFERROR(__xludf.DUMMYFUNCTION("""COMPUTED_VALUE"""),0.59)</f>
        <v>0.59</v>
      </c>
      <c r="V256" s="14">
        <f>IFERROR(__xludf.DUMMYFUNCTION("""COMPUTED_VALUE"""),0.04)</f>
        <v>0.04</v>
      </c>
      <c r="W256" s="14">
        <f>IFERROR(__xludf.DUMMYFUNCTION("""COMPUTED_VALUE"""),286196.0)</f>
        <v>286196</v>
      </c>
      <c r="X256" s="14">
        <f>IFERROR(__xludf.DUMMYFUNCTION("""COMPUTED_VALUE"""),0.458)</f>
        <v>0.458</v>
      </c>
      <c r="Y256" s="14" t="str">
        <f>IFERROR(__xludf.DUMMYFUNCTION("""COMPUTED_VALUE"""),"Belize-The Americas")</f>
        <v>Belize-The Americas</v>
      </c>
      <c r="Z256" s="14" t="str">
        <f>IFERROR(__xludf.DUMMYFUNCTION("""COMPUTED_VALUE"""),"The Americas")</f>
        <v>The Americas</v>
      </c>
      <c r="AA256" s="14" t="str">
        <f>IFERROR(__xludf.DUMMYFUNCTION("""COMPUTED_VALUE"""),"2007")</f>
        <v>2007</v>
      </c>
      <c r="AB256" s="15" t="str">
        <f>IFERROR(__xludf.DUMMYFUNCTION("ARRAYFORMULA(VLOOKUP(A256,IMPORTRANGE(""https://docs.google.com/spreadsheets/d/1BuTWp7qHGjWhqrnf-OmePP568O4A5Am9ttzvVdP67zw/edit#gid=1931367683"" ,""ENERGY!$A$2:$F$2692""), {2,3,4,5,6},0))"),"The Americas")</f>
        <v>The Americas</v>
      </c>
      <c r="AC256" s="14" t="str">
        <f>IFERROR(__xludf.DUMMYFUNCTION("""COMPUTED_VALUE"""),"Belize-The Americas")</f>
        <v>Belize-The Americas</v>
      </c>
      <c r="AD256" s="14" t="str">
        <f>IFERROR(__xludf.DUMMYFUNCTION("""COMPUTED_VALUE"""),"2006")</f>
        <v>2006</v>
      </c>
      <c r="AE256" s="14">
        <f>IFERROR(__xludf.DUMMYFUNCTION("""COMPUTED_VALUE"""),161.0)</f>
        <v>161</v>
      </c>
      <c r="AF256" s="14">
        <f>IFERROR(__xludf.DUMMYFUNCTION("""COMPUTED_VALUE"""),396.0)</f>
        <v>396</v>
      </c>
    </row>
    <row r="257">
      <c r="A257" s="12">
        <v>256.0</v>
      </c>
      <c r="B257" s="12" t="s">
        <v>98</v>
      </c>
      <c r="C257" s="5" t="s">
        <v>84</v>
      </c>
      <c r="D257" s="11">
        <v>0.332</v>
      </c>
      <c r="E257" s="11">
        <v>44.0</v>
      </c>
      <c r="F257" s="8"/>
      <c r="G257" s="11">
        <v>147.0</v>
      </c>
      <c r="H257" s="11">
        <v>0.113</v>
      </c>
      <c r="I257" s="11">
        <v>0.545</v>
      </c>
      <c r="J257" s="9" t="s">
        <v>69</v>
      </c>
      <c r="K257" s="14" t="str">
        <f>IFERROR(__xludf.DUMMYFUNCTION("ARRAYFORMULA(VLOOKUP(A257,IMPORTRANGE(""https://docs.google.com/spreadsheets/d/1BuTWp7qHGjWhqrnf-OmePP568O4A5Am9ttzvVdP67zw/edit#gid=1603210130"", ""TOURISM!$A$2:$F$2692""), {2,3,4,5,6},0))"),"The Americas")</f>
        <v>The Americas</v>
      </c>
      <c r="L257" s="14">
        <f>IFERROR(__xludf.DUMMYFUNCTION("""COMPUTED_VALUE"""),2.78E8)</f>
        <v>278000000</v>
      </c>
      <c r="M257" s="14" t="str">
        <f>IFERROR(__xludf.DUMMYFUNCTION("""COMPUTED_VALUE"""),"Belize-The Americas")</f>
        <v>Belize-The Americas</v>
      </c>
      <c r="N257" s="14" t="str">
        <f>IFERROR(__xludf.DUMMYFUNCTION("""COMPUTED_VALUE"""),"2008")</f>
        <v>2008</v>
      </c>
      <c r="O257" s="14">
        <f>IFERROR(__xludf.DUMMYFUNCTION("""COMPUTED_VALUE"""),4.4E7)</f>
        <v>44000000</v>
      </c>
      <c r="P257" s="15">
        <f>IFERROR(__xludf.DUMMYFUNCTION("ARRAYFORMULA(VLOOKUP(A257,IMPORTRANGE(""https://docs.google.com/spreadsheets/d/1BuTWp7qHGjWhqrnf-OmePP568O4A5Am9ttzvVdP67zw/edit#gid=771602874"" ,""HUMAN RESOURCES!$A$2:$M$2692""), {2,3,4,5,6,7,8,9,10,11,12,13},0))"),0.025)</f>
        <v>0.025</v>
      </c>
      <c r="Q257" s="14">
        <f>IFERROR(__xludf.DUMMYFUNCTION("""COMPUTED_VALUE"""),0.017)</f>
        <v>0.017</v>
      </c>
      <c r="R257" s="14">
        <f>IFERROR(__xludf.DUMMYFUNCTION("""COMPUTED_VALUE"""),76.0)</f>
        <v>76</v>
      </c>
      <c r="S257" s="14">
        <f>IFERROR(__xludf.DUMMYFUNCTION("""COMPUTED_VALUE"""),70.0)</f>
        <v>70</v>
      </c>
      <c r="T257" s="14">
        <f>IFERROR(__xludf.DUMMYFUNCTION("""COMPUTED_VALUE"""),0.365)</f>
        <v>0.365</v>
      </c>
      <c r="U257" s="14">
        <f>IFERROR(__xludf.DUMMYFUNCTION("""COMPUTED_VALUE"""),0.596)</f>
        <v>0.596</v>
      </c>
      <c r="V257" s="14">
        <f>IFERROR(__xludf.DUMMYFUNCTION("""COMPUTED_VALUE"""),0.039)</f>
        <v>0.039</v>
      </c>
      <c r="W257" s="14">
        <f>IFERROR(__xludf.DUMMYFUNCTION("""COMPUTED_VALUE"""),293544.0)</f>
        <v>293544</v>
      </c>
      <c r="X257" s="14">
        <f>IFERROR(__xludf.DUMMYFUNCTION("""COMPUTED_VALUE"""),0.455)</f>
        <v>0.455</v>
      </c>
      <c r="Y257" s="14" t="str">
        <f>IFERROR(__xludf.DUMMYFUNCTION("""COMPUTED_VALUE"""),"Belize-The Americas")</f>
        <v>Belize-The Americas</v>
      </c>
      <c r="Z257" s="14" t="str">
        <f>IFERROR(__xludf.DUMMYFUNCTION("""COMPUTED_VALUE"""),"The Americas")</f>
        <v>The Americas</v>
      </c>
      <c r="AA257" s="14" t="str">
        <f>IFERROR(__xludf.DUMMYFUNCTION("""COMPUTED_VALUE"""),"2008")</f>
        <v>2008</v>
      </c>
      <c r="AB257" s="15" t="str">
        <f>IFERROR(__xludf.DUMMYFUNCTION("ARRAYFORMULA(VLOOKUP(A257,IMPORTRANGE(""https://docs.google.com/spreadsheets/d/1BuTWp7qHGjWhqrnf-OmePP568O4A5Am9ttzvVdP67zw/edit#gid=1931367683"" ,""ENERGY!$A$2:$F$2692""), {2,3,4,5,6},0))"),"The Americas")</f>
        <v>The Americas</v>
      </c>
      <c r="AC257" s="14" t="str">
        <f>IFERROR(__xludf.DUMMYFUNCTION("""COMPUTED_VALUE"""),"Belize-The Americas")</f>
        <v>Belize-The Americas</v>
      </c>
      <c r="AD257" s="14" t="str">
        <f>IFERROR(__xludf.DUMMYFUNCTION("""COMPUTED_VALUE"""),"2012")</f>
        <v>2012</v>
      </c>
      <c r="AE257" s="14">
        <f>IFERROR(__xludf.DUMMYFUNCTION("""COMPUTED_VALUE"""),155.0)</f>
        <v>155</v>
      </c>
      <c r="AF257" s="14">
        <f>IFERROR(__xludf.DUMMYFUNCTION("""COMPUTED_VALUE"""),381.0)</f>
        <v>381</v>
      </c>
    </row>
    <row r="258">
      <c r="A258" s="12">
        <v>257.0</v>
      </c>
      <c r="B258" s="12" t="s">
        <v>98</v>
      </c>
      <c r="C258" s="5" t="s">
        <v>84</v>
      </c>
      <c r="D258" s="11">
        <v>0.332</v>
      </c>
      <c r="E258" s="11">
        <v>44.0</v>
      </c>
      <c r="F258" s="8"/>
      <c r="G258" s="11">
        <v>147.0</v>
      </c>
      <c r="H258" s="11">
        <v>0.117</v>
      </c>
      <c r="I258" s="11">
        <v>0.537</v>
      </c>
      <c r="J258" s="9" t="s">
        <v>70</v>
      </c>
      <c r="K258" s="14" t="str">
        <f>IFERROR(__xludf.DUMMYFUNCTION("ARRAYFORMULA(VLOOKUP(A258,IMPORTRANGE(""https://docs.google.com/spreadsheets/d/1BuTWp7qHGjWhqrnf-OmePP568O4A5Am9ttzvVdP67zw/edit#gid=1603210130"", ""TOURISM!$A$2:$F$2692""), {2,3,4,5,6},0))"),"The Americas")</f>
        <v>The Americas</v>
      </c>
      <c r="L258" s="14">
        <f>IFERROR(__xludf.DUMMYFUNCTION("""COMPUTED_VALUE"""),2.56E8)</f>
        <v>256000000</v>
      </c>
      <c r="M258" s="14" t="str">
        <f>IFERROR(__xludf.DUMMYFUNCTION("""COMPUTED_VALUE"""),"Belize-The Americas")</f>
        <v>Belize-The Americas</v>
      </c>
      <c r="N258" s="14" t="str">
        <f>IFERROR(__xludf.DUMMYFUNCTION("""COMPUTED_VALUE"""),"2009")</f>
        <v>2009</v>
      </c>
      <c r="O258" s="14">
        <f>IFERROR(__xludf.DUMMYFUNCTION("""COMPUTED_VALUE"""),4.3E7)</f>
        <v>43000000</v>
      </c>
      <c r="P258" s="15">
        <f>IFERROR(__xludf.DUMMYFUNCTION("ARRAYFORMULA(VLOOKUP(A258,IMPORTRANGE(""https://docs.google.com/spreadsheets/d/1BuTWp7qHGjWhqrnf-OmePP568O4A5Am9ttzvVdP67zw/edit#gid=771602874"" ,""HUMAN RESOURCES!$A$2:$M$2692""), {2,3,4,5,6,7,8,9,10,11,12,13},0))"),0.025)</f>
        <v>0.025</v>
      </c>
      <c r="Q258" s="14">
        <f>IFERROR(__xludf.DUMMYFUNCTION("""COMPUTED_VALUE"""),0.016)</f>
        <v>0.016</v>
      </c>
      <c r="R258" s="14">
        <f>IFERROR(__xludf.DUMMYFUNCTION("""COMPUTED_VALUE"""),76.0)</f>
        <v>76</v>
      </c>
      <c r="S258" s="14">
        <f>IFERROR(__xludf.DUMMYFUNCTION("""COMPUTED_VALUE"""),70.0)</f>
        <v>70</v>
      </c>
      <c r="T258" s="14">
        <f>IFERROR(__xludf.DUMMYFUNCTION("""COMPUTED_VALUE"""),0.36)</f>
        <v>0.36</v>
      </c>
      <c r="U258" s="14">
        <f>IFERROR(__xludf.DUMMYFUNCTION("""COMPUTED_VALUE"""),0.601)</f>
        <v>0.601</v>
      </c>
      <c r="V258" s="14">
        <f>IFERROR(__xludf.DUMMYFUNCTION("""COMPUTED_VALUE"""),0.039)</f>
        <v>0.039</v>
      </c>
      <c r="W258" s="14">
        <f>IFERROR(__xludf.DUMMYFUNCTION("""COMPUTED_VALUE"""),301016.0)</f>
        <v>301016</v>
      </c>
      <c r="X258" s="14">
        <f>IFERROR(__xludf.DUMMYFUNCTION("""COMPUTED_VALUE"""),0.452)</f>
        <v>0.452</v>
      </c>
      <c r="Y258" s="14" t="str">
        <f>IFERROR(__xludf.DUMMYFUNCTION("""COMPUTED_VALUE"""),"Belize-The Americas")</f>
        <v>Belize-The Americas</v>
      </c>
      <c r="Z258" s="14" t="str">
        <f>IFERROR(__xludf.DUMMYFUNCTION("""COMPUTED_VALUE"""),"The Americas")</f>
        <v>The Americas</v>
      </c>
      <c r="AA258" s="14" t="str">
        <f>IFERROR(__xludf.DUMMYFUNCTION("""COMPUTED_VALUE"""),"2009")</f>
        <v>2009</v>
      </c>
      <c r="AB258" s="15" t="str">
        <f>IFERROR(__xludf.DUMMYFUNCTION("ARRAYFORMULA(VLOOKUP(A258,IMPORTRANGE(""https://docs.google.com/spreadsheets/d/1BuTWp7qHGjWhqrnf-OmePP568O4A5Am9ttzvVdP67zw/edit#gid=1931367683"" ,""ENERGY!$A$2:$F$2692""), {2,3,4,5,6},0))"),"The Americas")</f>
        <v>The Americas</v>
      </c>
      <c r="AC258" s="14" t="str">
        <f>IFERROR(__xludf.DUMMYFUNCTION("""COMPUTED_VALUE"""),"Belize-The Americas")</f>
        <v>Belize-The Americas</v>
      </c>
      <c r="AD258" s="14" t="str">
        <f>IFERROR(__xludf.DUMMYFUNCTION("""COMPUTED_VALUE"""),"2008")</f>
        <v>2008</v>
      </c>
      <c r="AE258" s="14"/>
      <c r="AF258" s="14">
        <f>IFERROR(__xludf.DUMMYFUNCTION("""COMPUTED_VALUE"""),374.0)</f>
        <v>374</v>
      </c>
    </row>
    <row r="259">
      <c r="A259" s="12">
        <v>258.0</v>
      </c>
      <c r="B259" s="12" t="s">
        <v>98</v>
      </c>
      <c r="C259" s="5" t="s">
        <v>84</v>
      </c>
      <c r="D259" s="11">
        <v>0.332</v>
      </c>
      <c r="E259" s="11">
        <v>44.0</v>
      </c>
      <c r="F259" s="8"/>
      <c r="G259" s="11">
        <v>147.0</v>
      </c>
      <c r="H259" s="11">
        <v>0.14</v>
      </c>
      <c r="I259" s="11">
        <v>0.629</v>
      </c>
      <c r="J259" s="9" t="s">
        <v>71</v>
      </c>
      <c r="K259" s="14" t="str">
        <f>IFERROR(__xludf.DUMMYFUNCTION("ARRAYFORMULA(VLOOKUP(A259,IMPORTRANGE(""https://docs.google.com/spreadsheets/d/1BuTWp7qHGjWhqrnf-OmePP568O4A5Am9ttzvVdP67zw/edit#gid=1603210130"", ""TOURISM!$A$2:$F$2692""), {2,3,4,5,6},0))"),"The Americas")</f>
        <v>The Americas</v>
      </c>
      <c r="L259" s="14">
        <f>IFERROR(__xludf.DUMMYFUNCTION("""COMPUTED_VALUE"""),2.64E8)</f>
        <v>264000000</v>
      </c>
      <c r="M259" s="14" t="str">
        <f>IFERROR(__xludf.DUMMYFUNCTION("""COMPUTED_VALUE"""),"Belize-The Americas")</f>
        <v>Belize-The Americas</v>
      </c>
      <c r="N259" s="14" t="str">
        <f>IFERROR(__xludf.DUMMYFUNCTION("""COMPUTED_VALUE"""),"2010")</f>
        <v>2010</v>
      </c>
      <c r="O259" s="14">
        <f>IFERROR(__xludf.DUMMYFUNCTION("""COMPUTED_VALUE"""),3.9E7)</f>
        <v>39000000</v>
      </c>
      <c r="P259" s="15">
        <f>IFERROR(__xludf.DUMMYFUNCTION("ARRAYFORMULA(VLOOKUP(A259,IMPORTRANGE(""https://docs.google.com/spreadsheets/d/1BuTWp7qHGjWhqrnf-OmePP568O4A5Am9ttzvVdP67zw/edit#gid=771602874"" ,""HUMAN RESOURCES!$A$2:$M$2692""), {2,3,4,5,6,7,8,9,10,11,12,13},0))"),0.024)</f>
        <v>0.024</v>
      </c>
      <c r="Q259" s="14">
        <f>IFERROR(__xludf.DUMMYFUNCTION("""COMPUTED_VALUE"""),0.016)</f>
        <v>0.016</v>
      </c>
      <c r="R259" s="14">
        <f>IFERROR(__xludf.DUMMYFUNCTION("""COMPUTED_VALUE"""),76.0)</f>
        <v>76</v>
      </c>
      <c r="S259" s="14">
        <f>IFERROR(__xludf.DUMMYFUNCTION("""COMPUTED_VALUE"""),70.0)</f>
        <v>70</v>
      </c>
      <c r="T259" s="14">
        <f>IFERROR(__xludf.DUMMYFUNCTION("""COMPUTED_VALUE"""),0.355)</f>
        <v>0.355</v>
      </c>
      <c r="U259" s="14">
        <f>IFERROR(__xludf.DUMMYFUNCTION("""COMPUTED_VALUE"""),0.606)</f>
        <v>0.606</v>
      </c>
      <c r="V259" s="14">
        <f>IFERROR(__xludf.DUMMYFUNCTION("""COMPUTED_VALUE"""),0.039)</f>
        <v>0.039</v>
      </c>
      <c r="W259" s="14">
        <f>IFERROR(__xludf.DUMMYFUNCTION("""COMPUTED_VALUE"""),308595.0)</f>
        <v>308595</v>
      </c>
      <c r="X259" s="14">
        <f>IFERROR(__xludf.DUMMYFUNCTION("""COMPUTED_VALUE"""),0.45)</f>
        <v>0.45</v>
      </c>
      <c r="Y259" s="14" t="str">
        <f>IFERROR(__xludf.DUMMYFUNCTION("""COMPUTED_VALUE"""),"Belize-The Americas")</f>
        <v>Belize-The Americas</v>
      </c>
      <c r="Z259" s="14" t="str">
        <f>IFERROR(__xludf.DUMMYFUNCTION("""COMPUTED_VALUE"""),"The Americas")</f>
        <v>The Americas</v>
      </c>
      <c r="AA259" s="14" t="str">
        <f>IFERROR(__xludf.DUMMYFUNCTION("""COMPUTED_VALUE"""),"2010")</f>
        <v>2010</v>
      </c>
      <c r="AB259" s="15" t="str">
        <f>IFERROR(__xludf.DUMMYFUNCTION("ARRAYFORMULA(VLOOKUP(A259,IMPORTRANGE(""https://docs.google.com/spreadsheets/d/1BuTWp7qHGjWhqrnf-OmePP568O4A5Am9ttzvVdP67zw/edit#gid=1931367683"" ,""ENERGY!$A$2:$F$2692""), {2,3,4,5,6},0))"),"The Americas")</f>
        <v>The Americas</v>
      </c>
      <c r="AC259" s="14" t="str">
        <f>IFERROR(__xludf.DUMMYFUNCTION("""COMPUTED_VALUE"""),"Belize-The Americas")</f>
        <v>Belize-The Americas</v>
      </c>
      <c r="AD259" s="14" t="str">
        <f>IFERROR(__xludf.DUMMYFUNCTION("""COMPUTED_VALUE"""),"2005")</f>
        <v>2005</v>
      </c>
      <c r="AE259" s="14"/>
      <c r="AF259" s="14">
        <f>IFERROR(__xludf.DUMMYFUNCTION("""COMPUTED_VALUE"""),359.0)</f>
        <v>359</v>
      </c>
    </row>
    <row r="260">
      <c r="A260" s="12">
        <v>259.0</v>
      </c>
      <c r="B260" s="12" t="s">
        <v>98</v>
      </c>
      <c r="C260" s="5" t="s">
        <v>84</v>
      </c>
      <c r="D260" s="11">
        <v>0.332</v>
      </c>
      <c r="E260" s="11">
        <v>44.0</v>
      </c>
      <c r="F260" s="8"/>
      <c r="G260" s="11">
        <v>147.0</v>
      </c>
      <c r="H260" s="11">
        <v>0.187</v>
      </c>
      <c r="I260" s="11">
        <v>0.703</v>
      </c>
      <c r="J260" s="9" t="s">
        <v>72</v>
      </c>
      <c r="K260" s="14" t="str">
        <f>IFERROR(__xludf.DUMMYFUNCTION("ARRAYFORMULA(VLOOKUP(A260,IMPORTRANGE(""https://docs.google.com/spreadsheets/d/1BuTWp7qHGjWhqrnf-OmePP568O4A5Am9ttzvVdP67zw/edit#gid=1603210130"", ""TOURISM!$A$2:$F$2692""), {2,3,4,5,6},0))"),"The Americas")</f>
        <v>The Americas</v>
      </c>
      <c r="L260" s="14">
        <f>IFERROR(__xludf.DUMMYFUNCTION("""COMPUTED_VALUE"""),2.48E8)</f>
        <v>248000000</v>
      </c>
      <c r="M260" s="14" t="str">
        <f>IFERROR(__xludf.DUMMYFUNCTION("""COMPUTED_VALUE"""),"Belize-The Americas")</f>
        <v>Belize-The Americas</v>
      </c>
      <c r="N260" s="14" t="str">
        <f>IFERROR(__xludf.DUMMYFUNCTION("""COMPUTED_VALUE"""),"2011")</f>
        <v>2011</v>
      </c>
      <c r="O260" s="14">
        <f>IFERROR(__xludf.DUMMYFUNCTION("""COMPUTED_VALUE"""),3.7E7)</f>
        <v>37000000</v>
      </c>
      <c r="P260" s="15">
        <f>IFERROR(__xludf.DUMMYFUNCTION("ARRAYFORMULA(VLOOKUP(A260,IMPORTRANGE(""https://docs.google.com/spreadsheets/d/1BuTWp7qHGjWhqrnf-OmePP568O4A5Am9ttzvVdP67zw/edit#gid=771602874"" ,""HUMAN RESOURCES!$A$2:$M$2692""), {2,3,4,5,6,7,8,9,10,11,12,13},0))"),0.024)</f>
        <v>0.024</v>
      </c>
      <c r="Q260" s="14">
        <f>IFERROR(__xludf.DUMMYFUNCTION("""COMPUTED_VALUE"""),0.015)</f>
        <v>0.015</v>
      </c>
      <c r="R260" s="14">
        <f>IFERROR(__xludf.DUMMYFUNCTION("""COMPUTED_VALUE"""),77.0)</f>
        <v>77</v>
      </c>
      <c r="S260" s="14">
        <f>IFERROR(__xludf.DUMMYFUNCTION("""COMPUTED_VALUE"""),71.0)</f>
        <v>71</v>
      </c>
      <c r="T260" s="14">
        <f>IFERROR(__xludf.DUMMYFUNCTION("""COMPUTED_VALUE"""),0.349)</f>
        <v>0.349</v>
      </c>
      <c r="U260" s="14">
        <f>IFERROR(__xludf.DUMMYFUNCTION("""COMPUTED_VALUE"""),0.612)</f>
        <v>0.612</v>
      </c>
      <c r="V260" s="14">
        <f>IFERROR(__xludf.DUMMYFUNCTION("""COMPUTED_VALUE"""),0.039)</f>
        <v>0.039</v>
      </c>
      <c r="W260" s="14">
        <f>IFERROR(__xludf.DUMMYFUNCTION("""COMPUTED_VALUE"""),316280.0)</f>
        <v>316280</v>
      </c>
      <c r="X260" s="14">
        <f>IFERROR(__xludf.DUMMYFUNCTION("""COMPUTED_VALUE"""),0.447)</f>
        <v>0.447</v>
      </c>
      <c r="Y260" s="14" t="str">
        <f>IFERROR(__xludf.DUMMYFUNCTION("""COMPUTED_VALUE"""),"Belize-The Americas")</f>
        <v>Belize-The Americas</v>
      </c>
      <c r="Z260" s="14" t="str">
        <f>IFERROR(__xludf.DUMMYFUNCTION("""COMPUTED_VALUE"""),"The Americas")</f>
        <v>The Americas</v>
      </c>
      <c r="AA260" s="14" t="str">
        <f>IFERROR(__xludf.DUMMYFUNCTION("""COMPUTED_VALUE"""),"2011")</f>
        <v>2011</v>
      </c>
      <c r="AB260" s="15" t="str">
        <f>IFERROR(__xludf.DUMMYFUNCTION("ARRAYFORMULA(VLOOKUP(A260,IMPORTRANGE(""https://docs.google.com/spreadsheets/d/1BuTWp7qHGjWhqrnf-OmePP568O4A5Am9ttzvVdP67zw/edit#gid=1931367683"" ,""ENERGY!$A$2:$F$2692""), {2,3,4,5,6},0))"),"The Americas")</f>
        <v>The Americas</v>
      </c>
      <c r="AC260" s="14" t="str">
        <f>IFERROR(__xludf.DUMMYFUNCTION("""COMPUTED_VALUE"""),"Belize-The Americas")</f>
        <v>Belize-The Americas</v>
      </c>
      <c r="AD260" s="14" t="str">
        <f>IFERROR(__xludf.DUMMYFUNCTION("""COMPUTED_VALUE"""),"2012")</f>
        <v>2012</v>
      </c>
      <c r="AE260" s="14"/>
      <c r="AF260" s="14">
        <f>IFERROR(__xludf.DUMMYFUNCTION("""COMPUTED_VALUE"""),711.0)</f>
        <v>711</v>
      </c>
    </row>
    <row r="261">
      <c r="A261" s="12">
        <v>260.0</v>
      </c>
      <c r="B261" s="12" t="s">
        <v>98</v>
      </c>
      <c r="C261" s="5" t="s">
        <v>84</v>
      </c>
      <c r="D261" s="11">
        <v>0.332</v>
      </c>
      <c r="E261" s="11">
        <v>44.0</v>
      </c>
      <c r="F261" s="11">
        <v>104.0</v>
      </c>
      <c r="G261" s="11">
        <v>147.0</v>
      </c>
      <c r="H261" s="11">
        <v>0.25</v>
      </c>
      <c r="I261" s="11">
        <v>0.532</v>
      </c>
      <c r="J261" s="9" t="s">
        <v>73</v>
      </c>
      <c r="K261" s="14" t="str">
        <f>IFERROR(__xludf.DUMMYFUNCTION("ARRAYFORMULA(VLOOKUP(A261,IMPORTRANGE(""https://docs.google.com/spreadsheets/d/1BuTWp7qHGjWhqrnf-OmePP568O4A5Am9ttzvVdP67zw/edit#gid=1603210130"", ""TOURISM!$A$2:$F$2692""), {2,3,4,5,6},0))"),"The Americas")</f>
        <v>The Americas</v>
      </c>
      <c r="L261" s="14">
        <f>IFERROR(__xludf.DUMMYFUNCTION("""COMPUTED_VALUE"""),2.99E8)</f>
        <v>299000000</v>
      </c>
      <c r="M261" s="14" t="str">
        <f>IFERROR(__xludf.DUMMYFUNCTION("""COMPUTED_VALUE"""),"Belize-The Americas")</f>
        <v>Belize-The Americas</v>
      </c>
      <c r="N261" s="14" t="str">
        <f>IFERROR(__xludf.DUMMYFUNCTION("""COMPUTED_VALUE"""),"2012")</f>
        <v>2012</v>
      </c>
      <c r="O261" s="14">
        <f>IFERROR(__xludf.DUMMYFUNCTION("""COMPUTED_VALUE"""),4.0E7)</f>
        <v>40000000</v>
      </c>
      <c r="P261" s="15">
        <f>IFERROR(__xludf.DUMMYFUNCTION("ARRAYFORMULA(VLOOKUP(A261,IMPORTRANGE(""https://docs.google.com/spreadsheets/d/1BuTWp7qHGjWhqrnf-OmePP568O4A5Am9ttzvVdP67zw/edit#gid=771602874"" ,""HUMAN RESOURCES!$A$2:$M$2692""), {2,3,4,5,6,7,8,9,10,11,12,13},0))"),0.024)</f>
        <v>0.024</v>
      </c>
      <c r="Q261" s="14">
        <f>IFERROR(__xludf.DUMMYFUNCTION("""COMPUTED_VALUE"""),0.015)</f>
        <v>0.015</v>
      </c>
      <c r="R261" s="14">
        <f>IFERROR(__xludf.DUMMYFUNCTION("""COMPUTED_VALUE"""),77.0)</f>
        <v>77</v>
      </c>
      <c r="S261" s="14">
        <f>IFERROR(__xludf.DUMMYFUNCTION("""COMPUTED_VALUE"""),71.0)</f>
        <v>71</v>
      </c>
      <c r="T261" s="14">
        <f>IFERROR(__xludf.DUMMYFUNCTION("""COMPUTED_VALUE"""),0.344)</f>
        <v>0.344</v>
      </c>
      <c r="U261" s="14">
        <f>IFERROR(__xludf.DUMMYFUNCTION("""COMPUTED_VALUE"""),0.617)</f>
        <v>0.617</v>
      </c>
      <c r="V261" s="14">
        <f>IFERROR(__xludf.DUMMYFUNCTION("""COMPUTED_VALUE"""),0.039)</f>
        <v>0.039</v>
      </c>
      <c r="W261" s="14">
        <f>IFERROR(__xludf.DUMMYFUNCTION("""COMPUTED_VALUE"""),324060.0)</f>
        <v>324060</v>
      </c>
      <c r="X261" s="14">
        <f>IFERROR(__xludf.DUMMYFUNCTION("""COMPUTED_VALUE"""),0.445)</f>
        <v>0.445</v>
      </c>
      <c r="Y261" s="14" t="str">
        <f>IFERROR(__xludf.DUMMYFUNCTION("""COMPUTED_VALUE"""),"Belize-The Americas")</f>
        <v>Belize-The Americas</v>
      </c>
      <c r="Z261" s="14" t="str">
        <f>IFERROR(__xludf.DUMMYFUNCTION("""COMPUTED_VALUE"""),"The Americas")</f>
        <v>The Americas</v>
      </c>
      <c r="AA261" s="14" t="str">
        <f>IFERROR(__xludf.DUMMYFUNCTION("""COMPUTED_VALUE"""),"2012")</f>
        <v>2012</v>
      </c>
      <c r="AB261" s="15" t="str">
        <f>IFERROR(__xludf.DUMMYFUNCTION("ARRAYFORMULA(VLOOKUP(A261,IMPORTRANGE(""https://docs.google.com/spreadsheets/d/1BuTWp7qHGjWhqrnf-OmePP568O4A5Am9ttzvVdP67zw/edit#gid=1931367683"" ,""ENERGY!$A$2:$F$2692""), {2,3,4,5,6},0))"),"The Americas")</f>
        <v>The Americas</v>
      </c>
      <c r="AC261" s="14" t="str">
        <f>IFERROR(__xludf.DUMMYFUNCTION("""COMPUTED_VALUE"""),"Belize-The Americas")</f>
        <v>Belize-The Americas</v>
      </c>
      <c r="AD261" s="14" t="str">
        <f>IFERROR(__xludf.DUMMYFUNCTION("""COMPUTED_VALUE"""),"2008")</f>
        <v>2008</v>
      </c>
      <c r="AE261" s="14"/>
      <c r="AF261" s="14">
        <f>IFERROR(__xludf.DUMMYFUNCTION("""COMPUTED_VALUE"""),689.0)</f>
        <v>689</v>
      </c>
    </row>
    <row r="262">
      <c r="A262" s="12">
        <v>261.0</v>
      </c>
      <c r="B262" s="12" t="s">
        <v>99</v>
      </c>
      <c r="C262" s="5" t="s">
        <v>77</v>
      </c>
      <c r="D262" s="8"/>
      <c r="E262" s="8"/>
      <c r="F262" s="8"/>
      <c r="G262" s="8"/>
      <c r="H262" s="11">
        <v>0.002</v>
      </c>
      <c r="I262" s="11">
        <v>0.008</v>
      </c>
      <c r="J262" s="9" t="s">
        <v>60</v>
      </c>
      <c r="K262" s="14" t="str">
        <f>IFERROR(__xludf.DUMMYFUNCTION("ARRAYFORMULA(VLOOKUP(A262,IMPORTRANGE(""https://docs.google.com/spreadsheets/d/1BuTWp7qHGjWhqrnf-OmePP568O4A5Am9ttzvVdP67zw/edit#gid=1603210130"", ""TOURISM!$A$2:$F$2692""), {2,3,4,5,6},0))"),"Africa")</f>
        <v>Africa</v>
      </c>
      <c r="L262" s="14">
        <f>IFERROR(__xludf.DUMMYFUNCTION("""COMPUTED_VALUE"""),7.7E7)</f>
        <v>77000000</v>
      </c>
      <c r="M262" s="14" t="str">
        <f>IFERROR(__xludf.DUMMYFUNCTION("""COMPUTED_VALUE"""),"Benin-Africa")</f>
        <v>Benin-Africa</v>
      </c>
      <c r="N262" s="14" t="str">
        <f>IFERROR(__xludf.DUMMYFUNCTION("""COMPUTED_VALUE"""),"2000")</f>
        <v>2000</v>
      </c>
      <c r="O262" s="14">
        <f>IFERROR(__xludf.DUMMYFUNCTION("""COMPUTED_VALUE"""),5.0E7)</f>
        <v>50000000</v>
      </c>
      <c r="P262" s="15">
        <f>IFERROR(__xludf.DUMMYFUNCTION("ARRAYFORMULA(VLOOKUP(A262,IMPORTRANGE(""https://docs.google.com/spreadsheets/d/1BuTWp7qHGjWhqrnf-OmePP568O4A5Am9ttzvVdP67zw/edit#gid=771602874"" ,""HUMAN RESOURCES!$A$2:$M$2692""), {2,3,4,5,6,7,8,9,10,11,12,13},0))"),0.043)</f>
        <v>0.043</v>
      </c>
      <c r="Q262" s="14">
        <f>IFERROR(__xludf.DUMMYFUNCTION("""COMPUTED_VALUE"""),0.09)</f>
        <v>0.09</v>
      </c>
      <c r="R262" s="14">
        <f>IFERROR(__xludf.DUMMYFUNCTION("""COMPUTED_VALUE"""),57.0)</f>
        <v>57</v>
      </c>
      <c r="S262" s="14">
        <f>IFERROR(__xludf.DUMMYFUNCTION("""COMPUTED_VALUE"""),53.0)</f>
        <v>53</v>
      </c>
      <c r="T262" s="14">
        <f>IFERROR(__xludf.DUMMYFUNCTION("""COMPUTED_VALUE"""),0.454)</f>
        <v>0.454</v>
      </c>
      <c r="U262" s="14">
        <f>IFERROR(__xludf.DUMMYFUNCTION("""COMPUTED_VALUE"""),0.517)</f>
        <v>0.517</v>
      </c>
      <c r="V262" s="14">
        <f>IFERROR(__xludf.DUMMYFUNCTION("""COMPUTED_VALUE"""),0.029)</f>
        <v>0.029</v>
      </c>
      <c r="W262" s="14">
        <f>IFERROR(__xludf.DUMMYFUNCTION("""COMPUTED_VALUE"""),6949366.0)</f>
        <v>6949366</v>
      </c>
      <c r="X262" s="14">
        <f>IFERROR(__xludf.DUMMYFUNCTION("""COMPUTED_VALUE"""),0.383)</f>
        <v>0.383</v>
      </c>
      <c r="Y262" s="14" t="str">
        <f>IFERROR(__xludf.DUMMYFUNCTION("""COMPUTED_VALUE"""),"Benin-Africa")</f>
        <v>Benin-Africa</v>
      </c>
      <c r="Z262" s="14" t="str">
        <f>IFERROR(__xludf.DUMMYFUNCTION("""COMPUTED_VALUE"""),"Africa")</f>
        <v>Africa</v>
      </c>
      <c r="AA262" s="14" t="str">
        <f>IFERROR(__xludf.DUMMYFUNCTION("""COMPUTED_VALUE"""),"2000")</f>
        <v>2000</v>
      </c>
      <c r="AB262" s="15" t="str">
        <f>IFERROR(__xludf.DUMMYFUNCTION("ARRAYFORMULA(VLOOKUP(A262,IMPORTRANGE(""https://docs.google.com/spreadsheets/d/1BuTWp7qHGjWhqrnf-OmePP568O4A5Am9ttzvVdP67zw/edit#gid=1931367683"" ,""ENERGY!$A$2:$F$2692""), {2,3,4,5,6},0))"),"Africa")</f>
        <v>Africa</v>
      </c>
      <c r="AC262" s="14" t="str">
        <f>IFERROR(__xludf.DUMMYFUNCTION("""COMPUTED_VALUE"""),"Benin-Africa")</f>
        <v>Benin-Africa</v>
      </c>
      <c r="AD262" s="14" t="str">
        <f>IFERROR(__xludf.DUMMYFUNCTION("""COMPUTED_VALUE"""),"2000")</f>
        <v>2000</v>
      </c>
      <c r="AE262" s="14"/>
      <c r="AF262" s="14"/>
    </row>
    <row r="263">
      <c r="A263" s="12">
        <v>262.0</v>
      </c>
      <c r="B263" s="12" t="s">
        <v>99</v>
      </c>
      <c r="C263" s="5" t="s">
        <v>77</v>
      </c>
      <c r="D263" s="8"/>
      <c r="E263" s="8"/>
      <c r="F263" s="8"/>
      <c r="G263" s="8"/>
      <c r="H263" s="11">
        <v>0.004</v>
      </c>
      <c r="I263" s="11">
        <v>0.017</v>
      </c>
      <c r="J263" s="9" t="s">
        <v>62</v>
      </c>
      <c r="K263" s="14" t="str">
        <f>IFERROR(__xludf.DUMMYFUNCTION("ARRAYFORMULA(VLOOKUP(A263,IMPORTRANGE(""https://docs.google.com/spreadsheets/d/1BuTWp7qHGjWhqrnf-OmePP568O4A5Am9ttzvVdP67zw/edit#gid=1603210130"", ""TOURISM!$A$2:$F$2692""), {2,3,4,5,6},0))"),"Africa")</f>
        <v>Africa</v>
      </c>
      <c r="L263" s="14">
        <f>IFERROR(__xludf.DUMMYFUNCTION("""COMPUTED_VALUE"""),8.6E7)</f>
        <v>86000000</v>
      </c>
      <c r="M263" s="14" t="str">
        <f>IFERROR(__xludf.DUMMYFUNCTION("""COMPUTED_VALUE"""),"Benin-Africa")</f>
        <v>Benin-Africa</v>
      </c>
      <c r="N263" s="14" t="str">
        <f>IFERROR(__xludf.DUMMYFUNCTION("""COMPUTED_VALUE"""),"2001")</f>
        <v>2001</v>
      </c>
      <c r="O263" s="14">
        <f>IFERROR(__xludf.DUMMYFUNCTION("""COMPUTED_VALUE"""),4.8E7)</f>
        <v>48000000</v>
      </c>
      <c r="P263" s="15">
        <f>IFERROR(__xludf.DUMMYFUNCTION("ARRAYFORMULA(VLOOKUP(A263,IMPORTRANGE(""https://docs.google.com/spreadsheets/d/1BuTWp7qHGjWhqrnf-OmePP568O4A5Am9ttzvVdP67zw/edit#gid=771602874"" ,""HUMAN RESOURCES!$A$2:$M$2692""), {2,3,4,5,6,7,8,9,10,11,12,13},0))"),0.042)</f>
        <v>0.042</v>
      </c>
      <c r="Q263" s="14">
        <f>IFERROR(__xludf.DUMMYFUNCTION("""COMPUTED_VALUE"""),0.088)</f>
        <v>0.088</v>
      </c>
      <c r="R263" s="14">
        <f>IFERROR(__xludf.DUMMYFUNCTION("""COMPUTED_VALUE"""),57.0)</f>
        <v>57</v>
      </c>
      <c r="S263" s="14">
        <f>IFERROR(__xludf.DUMMYFUNCTION("""COMPUTED_VALUE"""),54.0)</f>
        <v>54</v>
      </c>
      <c r="T263" s="14">
        <f>IFERROR(__xludf.DUMMYFUNCTION("""COMPUTED_VALUE"""),0.453)</f>
        <v>0.453</v>
      </c>
      <c r="U263" s="14">
        <f>IFERROR(__xludf.DUMMYFUNCTION("""COMPUTED_VALUE"""),0.518)</f>
        <v>0.518</v>
      </c>
      <c r="V263" s="14">
        <f>IFERROR(__xludf.DUMMYFUNCTION("""COMPUTED_VALUE"""),0.029)</f>
        <v>0.029</v>
      </c>
      <c r="W263" s="14">
        <f>IFERROR(__xludf.DUMMYFUNCTION("""COMPUTED_VALUE"""),7174911.0)</f>
        <v>7174911</v>
      </c>
      <c r="X263" s="14">
        <f>IFERROR(__xludf.DUMMYFUNCTION("""COMPUTED_VALUE"""),0.387)</f>
        <v>0.387</v>
      </c>
      <c r="Y263" s="14" t="str">
        <f>IFERROR(__xludf.DUMMYFUNCTION("""COMPUTED_VALUE"""),"Benin-Africa")</f>
        <v>Benin-Africa</v>
      </c>
      <c r="Z263" s="14" t="str">
        <f>IFERROR(__xludf.DUMMYFUNCTION("""COMPUTED_VALUE"""),"Africa")</f>
        <v>Africa</v>
      </c>
      <c r="AA263" s="14" t="str">
        <f>IFERROR(__xludf.DUMMYFUNCTION("""COMPUTED_VALUE"""),"2001")</f>
        <v>2001</v>
      </c>
      <c r="AB263" s="15" t="str">
        <f>IFERROR(__xludf.DUMMYFUNCTION("ARRAYFORMULA(VLOOKUP(A263,IMPORTRANGE(""https://docs.google.com/spreadsheets/d/1BuTWp7qHGjWhqrnf-OmePP568O4A5Am9ttzvVdP67zw/edit#gid=1931367683"" ,""ENERGY!$A$2:$F$2692""), {2,3,4,5,6},0))"),"Africa")</f>
        <v>Africa</v>
      </c>
      <c r="AC263" s="14" t="str">
        <f>IFERROR(__xludf.DUMMYFUNCTION("""COMPUTED_VALUE"""),"Benin-Africa")</f>
        <v>Benin-Africa</v>
      </c>
      <c r="AD263" s="14" t="str">
        <f>IFERROR(__xludf.DUMMYFUNCTION("""COMPUTED_VALUE"""),"2001")</f>
        <v>2001</v>
      </c>
      <c r="AE263" s="14">
        <f>IFERROR(__xludf.DUMMYFUNCTION("""COMPUTED_VALUE"""),3761.0)</f>
        <v>3761</v>
      </c>
      <c r="AF263" s="14"/>
    </row>
    <row r="264">
      <c r="A264" s="12">
        <v>263.0</v>
      </c>
      <c r="B264" s="12" t="s">
        <v>99</v>
      </c>
      <c r="C264" s="5" t="s">
        <v>77</v>
      </c>
      <c r="D264" s="8"/>
      <c r="E264" s="8"/>
      <c r="F264" s="8"/>
      <c r="G264" s="8"/>
      <c r="H264" s="11">
        <v>0.007</v>
      </c>
      <c r="I264" s="11">
        <v>0.03</v>
      </c>
      <c r="J264" s="9" t="s">
        <v>63</v>
      </c>
      <c r="K264" s="14" t="str">
        <f>IFERROR(__xludf.DUMMYFUNCTION("ARRAYFORMULA(VLOOKUP(A264,IMPORTRANGE(""https://docs.google.com/spreadsheets/d/1BuTWp7qHGjWhqrnf-OmePP568O4A5Am9ttzvVdP67zw/edit#gid=1603210130"", ""TOURISM!$A$2:$F$2692""), {2,3,4,5,6},0))"),"Africa")</f>
        <v>Africa</v>
      </c>
      <c r="L264" s="14">
        <f>IFERROR(__xludf.DUMMYFUNCTION("""COMPUTED_VALUE"""),9.5E7)</f>
        <v>95000000</v>
      </c>
      <c r="M264" s="14" t="str">
        <f>IFERROR(__xludf.DUMMYFUNCTION("""COMPUTED_VALUE"""),"Benin-Africa")</f>
        <v>Benin-Africa</v>
      </c>
      <c r="N264" s="14" t="str">
        <f>IFERROR(__xludf.DUMMYFUNCTION("""COMPUTED_VALUE"""),"2002")</f>
        <v>2002</v>
      </c>
      <c r="O264" s="14">
        <f>IFERROR(__xludf.DUMMYFUNCTION("""COMPUTED_VALUE"""),4.9E7)</f>
        <v>49000000</v>
      </c>
      <c r="P264" s="15">
        <f>IFERROR(__xludf.DUMMYFUNCTION("ARRAYFORMULA(VLOOKUP(A264,IMPORTRANGE(""https://docs.google.com/spreadsheets/d/1BuTWp7qHGjWhqrnf-OmePP568O4A5Am9ttzvVdP67zw/edit#gid=771602874"" ,""HUMAN RESOURCES!$A$2:$M$2692""), {2,3,4,5,6,7,8,9,10,11,12,13},0))"),0.042)</f>
        <v>0.042</v>
      </c>
      <c r="Q264" s="14">
        <f>IFERROR(__xludf.DUMMYFUNCTION("""COMPUTED_VALUE"""),0.085)</f>
        <v>0.085</v>
      </c>
      <c r="R264" s="14">
        <f>IFERROR(__xludf.DUMMYFUNCTION("""COMPUTED_VALUE"""),58.0)</f>
        <v>58</v>
      </c>
      <c r="S264" s="14">
        <f>IFERROR(__xludf.DUMMYFUNCTION("""COMPUTED_VALUE"""),54.0)</f>
        <v>54</v>
      </c>
      <c r="T264" s="14">
        <f>IFERROR(__xludf.DUMMYFUNCTION("""COMPUTED_VALUE"""),0.451)</f>
        <v>0.451</v>
      </c>
      <c r="U264" s="14">
        <f>IFERROR(__xludf.DUMMYFUNCTION("""COMPUTED_VALUE"""),0.52)</f>
        <v>0.52</v>
      </c>
      <c r="V264" s="14">
        <f>IFERROR(__xludf.DUMMYFUNCTION("""COMPUTED_VALUE"""),0.028)</f>
        <v>0.028</v>
      </c>
      <c r="W264" s="14">
        <f>IFERROR(__xludf.DUMMYFUNCTION("""COMPUTED_VALUE"""),7414744.0)</f>
        <v>7414744</v>
      </c>
      <c r="X264" s="14">
        <f>IFERROR(__xludf.DUMMYFUNCTION("""COMPUTED_VALUE"""),0.39)</f>
        <v>0.39</v>
      </c>
      <c r="Y264" s="14" t="str">
        <f>IFERROR(__xludf.DUMMYFUNCTION("""COMPUTED_VALUE"""),"Benin-Africa")</f>
        <v>Benin-Africa</v>
      </c>
      <c r="Z264" s="14" t="str">
        <f>IFERROR(__xludf.DUMMYFUNCTION("""COMPUTED_VALUE"""),"Africa")</f>
        <v>Africa</v>
      </c>
      <c r="AA264" s="14" t="str">
        <f>IFERROR(__xludf.DUMMYFUNCTION("""COMPUTED_VALUE"""),"2002")</f>
        <v>2002</v>
      </c>
      <c r="AB264" s="15" t="str">
        <f>IFERROR(__xludf.DUMMYFUNCTION("ARRAYFORMULA(VLOOKUP(A264,IMPORTRANGE(""https://docs.google.com/spreadsheets/d/1BuTWp7qHGjWhqrnf-OmePP568O4A5Am9ttzvVdP67zw/edit#gid=1931367683"" ,""ENERGY!$A$2:$F$2692""), {2,3,4,5,6},0))"),"Africa")</f>
        <v>Africa</v>
      </c>
      <c r="AC264" s="14" t="str">
        <f>IFERROR(__xludf.DUMMYFUNCTION("""COMPUTED_VALUE"""),"Benin-Africa")</f>
        <v>Benin-Africa</v>
      </c>
      <c r="AD264" s="14" t="str">
        <f>IFERROR(__xludf.DUMMYFUNCTION("""COMPUTED_VALUE"""),"2002")</f>
        <v>2002</v>
      </c>
      <c r="AE264" s="14">
        <f>IFERROR(__xludf.DUMMYFUNCTION("""COMPUTED_VALUE"""),3653.0)</f>
        <v>3653</v>
      </c>
      <c r="AF264" s="14">
        <f>IFERROR(__xludf.DUMMYFUNCTION("""COMPUTED_VALUE"""),5189.0)</f>
        <v>5189</v>
      </c>
    </row>
    <row r="265">
      <c r="A265" s="12">
        <v>264.0</v>
      </c>
      <c r="B265" s="12" t="s">
        <v>99</v>
      </c>
      <c r="C265" s="5" t="s">
        <v>77</v>
      </c>
      <c r="D265" s="8"/>
      <c r="E265" s="11">
        <v>32.0</v>
      </c>
      <c r="F265" s="8"/>
      <c r="G265" s="8"/>
      <c r="H265" s="11">
        <v>0.01</v>
      </c>
      <c r="I265" s="11">
        <v>0.031</v>
      </c>
      <c r="J265" s="9" t="s">
        <v>64</v>
      </c>
      <c r="K265" s="14" t="str">
        <f>IFERROR(__xludf.DUMMYFUNCTION("ARRAYFORMULA(VLOOKUP(A265,IMPORTRANGE(""https://docs.google.com/spreadsheets/d/1BuTWp7qHGjWhqrnf-OmePP568O4A5Am9ttzvVdP67zw/edit#gid=1603210130"", ""TOURISM!$A$2:$F$2692""), {2,3,4,5,6},0))"),"Africa")</f>
        <v>Africa</v>
      </c>
      <c r="L265" s="14">
        <f>IFERROR(__xludf.DUMMYFUNCTION("""COMPUTED_VALUE"""),1.08E8)</f>
        <v>108000000</v>
      </c>
      <c r="M265" s="14" t="str">
        <f>IFERROR(__xludf.DUMMYFUNCTION("""COMPUTED_VALUE"""),"Benin-Africa")</f>
        <v>Benin-Africa</v>
      </c>
      <c r="N265" s="14" t="str">
        <f>IFERROR(__xludf.DUMMYFUNCTION("""COMPUTED_VALUE"""),"2003")</f>
        <v>2003</v>
      </c>
      <c r="O265" s="14">
        <f>IFERROR(__xludf.DUMMYFUNCTION("""COMPUTED_VALUE"""),5.3E7)</f>
        <v>53000000</v>
      </c>
      <c r="P265" s="15">
        <f>IFERROR(__xludf.DUMMYFUNCTION("ARRAYFORMULA(VLOOKUP(A265,IMPORTRANGE(""https://docs.google.com/spreadsheets/d/1BuTWp7qHGjWhqrnf-OmePP568O4A5Am9ttzvVdP67zw/edit#gid=771602874"" ,""HUMAN RESOURCES!$A$2:$M$2692""), {2,3,4,5,6,7,8,9,10,11,12,13},0))"),0.041)</f>
        <v>0.041</v>
      </c>
      <c r="Q265" s="14">
        <f>IFERROR(__xludf.DUMMYFUNCTION("""COMPUTED_VALUE"""),0.082)</f>
        <v>0.082</v>
      </c>
      <c r="R265" s="14">
        <f>IFERROR(__xludf.DUMMYFUNCTION("""COMPUTED_VALUE"""),58.0)</f>
        <v>58</v>
      </c>
      <c r="S265" s="14">
        <f>IFERROR(__xludf.DUMMYFUNCTION("""COMPUTED_VALUE"""),55.0)</f>
        <v>55</v>
      </c>
      <c r="T265" s="14">
        <f>IFERROR(__xludf.DUMMYFUNCTION("""COMPUTED_VALUE"""),0.449)</f>
        <v>0.449</v>
      </c>
      <c r="U265" s="14">
        <f>IFERROR(__xludf.DUMMYFUNCTION("""COMPUTED_VALUE"""),0.522)</f>
        <v>0.522</v>
      </c>
      <c r="V265" s="14">
        <f>IFERROR(__xludf.DUMMYFUNCTION("""COMPUTED_VALUE"""),0.028)</f>
        <v>0.028</v>
      </c>
      <c r="W265" s="14">
        <f>IFERROR(__xludf.DUMMYFUNCTION("""COMPUTED_VALUE"""),7665681.0)</f>
        <v>7665681</v>
      </c>
      <c r="X265" s="14">
        <f>IFERROR(__xludf.DUMMYFUNCTION("""COMPUTED_VALUE"""),0.393)</f>
        <v>0.393</v>
      </c>
      <c r="Y265" s="14" t="str">
        <f>IFERROR(__xludf.DUMMYFUNCTION("""COMPUTED_VALUE"""),"Benin-Africa")</f>
        <v>Benin-Africa</v>
      </c>
      <c r="Z265" s="14" t="str">
        <f>IFERROR(__xludf.DUMMYFUNCTION("""COMPUTED_VALUE"""),"Africa")</f>
        <v>Africa</v>
      </c>
      <c r="AA265" s="14" t="str">
        <f>IFERROR(__xludf.DUMMYFUNCTION("""COMPUTED_VALUE"""),"2003")</f>
        <v>2003</v>
      </c>
      <c r="AB265" s="15" t="str">
        <f>IFERROR(__xludf.DUMMYFUNCTION("ARRAYFORMULA(VLOOKUP(A265,IMPORTRANGE(""https://docs.google.com/spreadsheets/d/1BuTWp7qHGjWhqrnf-OmePP568O4A5Am9ttzvVdP67zw/edit#gid=1931367683"" ,""ENERGY!$A$2:$F$2692""), {2,3,4,5,6},0))"),"Africa")</f>
        <v>Africa</v>
      </c>
      <c r="AC265" s="14" t="str">
        <f>IFERROR(__xludf.DUMMYFUNCTION("""COMPUTED_VALUE"""),"Benin-Africa")</f>
        <v>Benin-Africa</v>
      </c>
      <c r="AD265" s="14" t="str">
        <f>IFERROR(__xludf.DUMMYFUNCTION("""COMPUTED_VALUE"""),"2003")</f>
        <v>2003</v>
      </c>
      <c r="AE265" s="14">
        <f>IFERROR(__xludf.DUMMYFUNCTION("""COMPUTED_VALUE"""),3439.0)</f>
        <v>3439</v>
      </c>
      <c r="AF265" s="14">
        <f>IFERROR(__xludf.DUMMYFUNCTION("""COMPUTED_VALUE"""),4756.0)</f>
        <v>4756</v>
      </c>
    </row>
    <row r="266">
      <c r="A266" s="12">
        <v>265.0</v>
      </c>
      <c r="B266" s="12" t="s">
        <v>99</v>
      </c>
      <c r="C266" s="5" t="s">
        <v>77</v>
      </c>
      <c r="D266" s="8"/>
      <c r="E266" s="11">
        <v>31.0</v>
      </c>
      <c r="F266" s="8"/>
      <c r="G266" s="8"/>
      <c r="H266" s="11">
        <v>0.012</v>
      </c>
      <c r="I266" s="11">
        <v>0.058</v>
      </c>
      <c r="J266" s="9" t="s">
        <v>65</v>
      </c>
      <c r="K266" s="14" t="str">
        <f>IFERROR(__xludf.DUMMYFUNCTION("ARRAYFORMULA(VLOOKUP(A266,IMPORTRANGE(""https://docs.google.com/spreadsheets/d/1BuTWp7qHGjWhqrnf-OmePP568O4A5Am9ttzvVdP67zw/edit#gid=1603210130"", ""TOURISM!$A$2:$F$2692""), {2,3,4,5,6},0))"),"Africa")</f>
        <v>Africa</v>
      </c>
      <c r="L266" s="14">
        <f>IFERROR(__xludf.DUMMYFUNCTION("""COMPUTED_VALUE"""),1.21E8)</f>
        <v>121000000</v>
      </c>
      <c r="M266" s="14" t="str">
        <f>IFERROR(__xludf.DUMMYFUNCTION("""COMPUTED_VALUE"""),"Benin-Africa")</f>
        <v>Benin-Africa</v>
      </c>
      <c r="N266" s="14" t="str">
        <f>IFERROR(__xludf.DUMMYFUNCTION("""COMPUTED_VALUE"""),"2004")</f>
        <v>2004</v>
      </c>
      <c r="O266" s="14">
        <f>IFERROR(__xludf.DUMMYFUNCTION("""COMPUTED_VALUE"""),5.9E7)</f>
        <v>59000000</v>
      </c>
      <c r="P266" s="15">
        <f>IFERROR(__xludf.DUMMYFUNCTION("ARRAYFORMULA(VLOOKUP(A266,IMPORTRANGE(""https://docs.google.com/spreadsheets/d/1BuTWp7qHGjWhqrnf-OmePP568O4A5Am9ttzvVdP67zw/edit#gid=771602874"" ,""HUMAN RESOURCES!$A$2:$M$2692""), {2,3,4,5,6,7,8,9,10,11,12,13},0))"),0.041)</f>
        <v>0.041</v>
      </c>
      <c r="Q266" s="14">
        <f>IFERROR(__xludf.DUMMYFUNCTION("""COMPUTED_VALUE"""),0.078)</f>
        <v>0.078</v>
      </c>
      <c r="R266" s="14">
        <f>IFERROR(__xludf.DUMMYFUNCTION("""COMPUTED_VALUE"""),58.0)</f>
        <v>58</v>
      </c>
      <c r="S266" s="14">
        <f>IFERROR(__xludf.DUMMYFUNCTION("""COMPUTED_VALUE"""),55.0)</f>
        <v>55</v>
      </c>
      <c r="T266" s="14">
        <f>IFERROR(__xludf.DUMMYFUNCTION("""COMPUTED_VALUE"""),0.447)</f>
        <v>0.447</v>
      </c>
      <c r="U266" s="14">
        <f>IFERROR(__xludf.DUMMYFUNCTION("""COMPUTED_VALUE"""),0.525)</f>
        <v>0.525</v>
      </c>
      <c r="V266" s="14">
        <f>IFERROR(__xludf.DUMMYFUNCTION("""COMPUTED_VALUE"""),0.028)</f>
        <v>0.028</v>
      </c>
      <c r="W266" s="14">
        <f>IFERROR(__xludf.DUMMYFUNCTION("""COMPUTED_VALUE"""),7922796.0)</f>
        <v>7922796</v>
      </c>
      <c r="X266" s="14">
        <f>IFERROR(__xludf.DUMMYFUNCTION("""COMPUTED_VALUE"""),0.396)</f>
        <v>0.396</v>
      </c>
      <c r="Y266" s="14" t="str">
        <f>IFERROR(__xludf.DUMMYFUNCTION("""COMPUTED_VALUE"""),"Benin-Africa")</f>
        <v>Benin-Africa</v>
      </c>
      <c r="Z266" s="14" t="str">
        <f>IFERROR(__xludf.DUMMYFUNCTION("""COMPUTED_VALUE"""),"Africa")</f>
        <v>Africa</v>
      </c>
      <c r="AA266" s="14" t="str">
        <f>IFERROR(__xludf.DUMMYFUNCTION("""COMPUTED_VALUE"""),"2004")</f>
        <v>2004</v>
      </c>
      <c r="AB266" s="15" t="str">
        <f>IFERROR(__xludf.DUMMYFUNCTION("ARRAYFORMULA(VLOOKUP(A266,IMPORTRANGE(""https://docs.google.com/spreadsheets/d/1BuTWp7qHGjWhqrnf-OmePP568O4A5Am9ttzvVdP67zw/edit#gid=1931367683"" ,""ENERGY!$A$2:$F$2692""), {2,3,4,5,6},0))"),"Africa")</f>
        <v>Africa</v>
      </c>
      <c r="AC266" s="14" t="str">
        <f>IFERROR(__xludf.DUMMYFUNCTION("""COMPUTED_VALUE"""),"Benin-Africa")</f>
        <v>Benin-Africa</v>
      </c>
      <c r="AD266" s="14" t="str">
        <f>IFERROR(__xludf.DUMMYFUNCTION("""COMPUTED_VALUE"""),"2004")</f>
        <v>2004</v>
      </c>
      <c r="AE266" s="14">
        <f>IFERROR(__xludf.DUMMYFUNCTION("""COMPUTED_VALUE"""),3278.0)</f>
        <v>3278</v>
      </c>
      <c r="AF266" s="14">
        <f>IFERROR(__xludf.DUMMYFUNCTION("""COMPUTED_VALUE"""),4492.0)</f>
        <v>4492</v>
      </c>
    </row>
    <row r="267">
      <c r="A267" s="12">
        <v>266.0</v>
      </c>
      <c r="B267" s="12" t="s">
        <v>99</v>
      </c>
      <c r="C267" s="5" t="s">
        <v>77</v>
      </c>
      <c r="D267" s="11">
        <v>0.757</v>
      </c>
      <c r="E267" s="11">
        <v>31.0</v>
      </c>
      <c r="F267" s="8"/>
      <c r="G267" s="11">
        <v>270.0</v>
      </c>
      <c r="H267" s="11">
        <v>0.013</v>
      </c>
      <c r="I267" s="11">
        <v>0.073</v>
      </c>
      <c r="J267" s="9" t="s">
        <v>66</v>
      </c>
      <c r="K267" s="14" t="str">
        <f>IFERROR(__xludf.DUMMYFUNCTION("ARRAYFORMULA(VLOOKUP(A267,IMPORTRANGE(""https://docs.google.com/spreadsheets/d/1BuTWp7qHGjWhqrnf-OmePP568O4A5Am9ttzvVdP67zw/edit#gid=1603210130"", ""TOURISM!$A$2:$F$2692""), {2,3,4,5,6},0))"),"Africa")</f>
        <v>Africa</v>
      </c>
      <c r="L267" s="14">
        <f>IFERROR(__xludf.DUMMYFUNCTION("""COMPUTED_VALUE"""),1.08E8)</f>
        <v>108000000</v>
      </c>
      <c r="M267" s="14" t="str">
        <f>IFERROR(__xludf.DUMMYFUNCTION("""COMPUTED_VALUE"""),"Benin-Africa")</f>
        <v>Benin-Africa</v>
      </c>
      <c r="N267" s="14" t="str">
        <f>IFERROR(__xludf.DUMMYFUNCTION("""COMPUTED_VALUE"""),"2005")</f>
        <v>2005</v>
      </c>
      <c r="O267" s="14">
        <f>IFERROR(__xludf.DUMMYFUNCTION("""COMPUTED_VALUE"""),5.8E7)</f>
        <v>58000000</v>
      </c>
      <c r="P267" s="15">
        <f>IFERROR(__xludf.DUMMYFUNCTION("ARRAYFORMULA(VLOOKUP(A267,IMPORTRANGE(""https://docs.google.com/spreadsheets/d/1BuTWp7qHGjWhqrnf-OmePP568O4A5Am9ttzvVdP67zw/edit#gid=771602874"" ,""HUMAN RESOURCES!$A$2:$M$2692""), {2,3,4,5,6,7,8,9,10,11,12,13},0))"),0.04)</f>
        <v>0.04</v>
      </c>
      <c r="Q267" s="14">
        <f>IFERROR(__xludf.DUMMYFUNCTION("""COMPUTED_VALUE"""),0.075)</f>
        <v>0.075</v>
      </c>
      <c r="R267" s="14">
        <f>IFERROR(__xludf.DUMMYFUNCTION("""COMPUTED_VALUE"""),59.0)</f>
        <v>59</v>
      </c>
      <c r="S267" s="14">
        <f>IFERROR(__xludf.DUMMYFUNCTION("""COMPUTED_VALUE"""),56.0)</f>
        <v>56</v>
      </c>
      <c r="T267" s="14">
        <f>IFERROR(__xludf.DUMMYFUNCTION("""COMPUTED_VALUE"""),0.445)</f>
        <v>0.445</v>
      </c>
      <c r="U267" s="14">
        <f>IFERROR(__xludf.DUMMYFUNCTION("""COMPUTED_VALUE"""),0.527)</f>
        <v>0.527</v>
      </c>
      <c r="V267" s="14">
        <f>IFERROR(__xludf.DUMMYFUNCTION("""COMPUTED_VALUE"""),0.028)</f>
        <v>0.028</v>
      </c>
      <c r="W267" s="14">
        <f>IFERROR(__xludf.DUMMYFUNCTION("""COMPUTED_VALUE"""),8182362.0)</f>
        <v>8182362</v>
      </c>
      <c r="X267" s="14">
        <f>IFERROR(__xludf.DUMMYFUNCTION("""COMPUTED_VALUE"""),0.4)</f>
        <v>0.4</v>
      </c>
      <c r="Y267" s="14" t="str">
        <f>IFERROR(__xludf.DUMMYFUNCTION("""COMPUTED_VALUE"""),"Benin-Africa")</f>
        <v>Benin-Africa</v>
      </c>
      <c r="Z267" s="14" t="str">
        <f>IFERROR(__xludf.DUMMYFUNCTION("""COMPUTED_VALUE"""),"Africa")</f>
        <v>Africa</v>
      </c>
      <c r="AA267" s="14" t="str">
        <f>IFERROR(__xludf.DUMMYFUNCTION("""COMPUTED_VALUE"""),"2005")</f>
        <v>2005</v>
      </c>
      <c r="AB267" s="15" t="str">
        <f>IFERROR(__xludf.DUMMYFUNCTION("ARRAYFORMULA(VLOOKUP(A267,IMPORTRANGE(""https://docs.google.com/spreadsheets/d/1BuTWp7qHGjWhqrnf-OmePP568O4A5Am9ttzvVdP67zw/edit#gid=1931367683"" ,""ENERGY!$A$2:$F$2692""), {2,3,4,5,6},0))"),"Africa")</f>
        <v>Africa</v>
      </c>
      <c r="AC267" s="14" t="str">
        <f>IFERROR(__xludf.DUMMYFUNCTION("""COMPUTED_VALUE"""),"Benin-Africa")</f>
        <v>Benin-Africa</v>
      </c>
      <c r="AD267" s="14" t="str">
        <f>IFERROR(__xludf.DUMMYFUNCTION("""COMPUTED_VALUE"""),"2006")</f>
        <v>2006</v>
      </c>
      <c r="AE267" s="14">
        <f>IFERROR(__xludf.DUMMYFUNCTION("""COMPUTED_VALUE"""),3206.0)</f>
        <v>3206</v>
      </c>
      <c r="AF267" s="14">
        <f>IFERROR(__xludf.DUMMYFUNCTION("""COMPUTED_VALUE"""),4499.0)</f>
        <v>4499</v>
      </c>
    </row>
    <row r="268">
      <c r="A268" s="12">
        <v>267.0</v>
      </c>
      <c r="B268" s="12" t="s">
        <v>99</v>
      </c>
      <c r="C268" s="5" t="s">
        <v>77</v>
      </c>
      <c r="D268" s="11">
        <v>0.757</v>
      </c>
      <c r="E268" s="11">
        <v>31.0</v>
      </c>
      <c r="F268" s="8"/>
      <c r="G268" s="11">
        <v>270.0</v>
      </c>
      <c r="H268" s="11">
        <v>0.015</v>
      </c>
      <c r="I268" s="11">
        <v>0.125</v>
      </c>
      <c r="J268" s="9" t="s">
        <v>67</v>
      </c>
      <c r="K268" s="14" t="str">
        <f>IFERROR(__xludf.DUMMYFUNCTION("ARRAYFORMULA(VLOOKUP(A268,IMPORTRANGE(""https://docs.google.com/spreadsheets/d/1BuTWp7qHGjWhqrnf-OmePP568O4A5Am9ttzvVdP67zw/edit#gid=1603210130"", ""TOURISM!$A$2:$F$2692""), {2,3,4,5,6},0))"),"Africa")</f>
        <v>Africa</v>
      </c>
      <c r="L268" s="14">
        <f>IFERROR(__xludf.DUMMYFUNCTION("""COMPUTED_VALUE"""),1.22E8)</f>
        <v>122000000</v>
      </c>
      <c r="M268" s="14" t="str">
        <f>IFERROR(__xludf.DUMMYFUNCTION("""COMPUTED_VALUE"""),"Benin-Africa")</f>
        <v>Benin-Africa</v>
      </c>
      <c r="N268" s="14" t="str">
        <f>IFERROR(__xludf.DUMMYFUNCTION("""COMPUTED_VALUE"""),"2006")</f>
        <v>2006</v>
      </c>
      <c r="O268" s="14">
        <f>IFERROR(__xludf.DUMMYFUNCTION("""COMPUTED_VALUE"""),7.1E7)</f>
        <v>71000000</v>
      </c>
      <c r="P268" s="15">
        <f>IFERROR(__xludf.DUMMYFUNCTION("ARRAYFORMULA(VLOOKUP(A268,IMPORTRANGE(""https://docs.google.com/spreadsheets/d/1BuTWp7qHGjWhqrnf-OmePP568O4A5Am9ttzvVdP67zw/edit#gid=771602874"" ,""HUMAN RESOURCES!$A$2:$M$2692""), {2,3,4,5,6,7,8,9,10,11,12,13},0))"),0.04)</f>
        <v>0.04</v>
      </c>
      <c r="Q268" s="14">
        <f>IFERROR(__xludf.DUMMYFUNCTION("""COMPUTED_VALUE"""),0.072)</f>
        <v>0.072</v>
      </c>
      <c r="R268" s="14">
        <f>IFERROR(__xludf.DUMMYFUNCTION("""COMPUTED_VALUE"""),59.0)</f>
        <v>59</v>
      </c>
      <c r="S268" s="14">
        <f>IFERROR(__xludf.DUMMYFUNCTION("""COMPUTED_VALUE"""),56.0)</f>
        <v>56</v>
      </c>
      <c r="T268" s="14">
        <f>IFERROR(__xludf.DUMMYFUNCTION("""COMPUTED_VALUE"""),0.443)</f>
        <v>0.443</v>
      </c>
      <c r="U268" s="14">
        <f>IFERROR(__xludf.DUMMYFUNCTION("""COMPUTED_VALUE"""),0.529)</f>
        <v>0.529</v>
      </c>
      <c r="V268" s="14">
        <f>IFERROR(__xludf.DUMMYFUNCTION("""COMPUTED_VALUE"""),0.028)</f>
        <v>0.028</v>
      </c>
      <c r="W268" s="14">
        <f>IFERROR(__xludf.DUMMYFUNCTION("""COMPUTED_VALUE"""),8443671.0)</f>
        <v>8443671</v>
      </c>
      <c r="X268" s="14">
        <f>IFERROR(__xludf.DUMMYFUNCTION("""COMPUTED_VALUE"""),0.403)</f>
        <v>0.403</v>
      </c>
      <c r="Y268" s="14" t="str">
        <f>IFERROR(__xludf.DUMMYFUNCTION("""COMPUTED_VALUE"""),"Benin-Africa")</f>
        <v>Benin-Africa</v>
      </c>
      <c r="Z268" s="14" t="str">
        <f>IFERROR(__xludf.DUMMYFUNCTION("""COMPUTED_VALUE"""),"Africa")</f>
        <v>Africa</v>
      </c>
      <c r="AA268" s="14" t="str">
        <f>IFERROR(__xludf.DUMMYFUNCTION("""COMPUTED_VALUE"""),"2006")</f>
        <v>2006</v>
      </c>
      <c r="AB268" s="15" t="str">
        <f>IFERROR(__xludf.DUMMYFUNCTION("ARRAYFORMULA(VLOOKUP(A268,IMPORTRANGE(""https://docs.google.com/spreadsheets/d/1BuTWp7qHGjWhqrnf-OmePP568O4A5Am9ttzvVdP67zw/edit#gid=1931367683"" ,""ENERGY!$A$2:$F$2692""), {2,3,4,5,6},0))"),"Africa")</f>
        <v>Africa</v>
      </c>
      <c r="AC268" s="14" t="str">
        <f>IFERROR(__xludf.DUMMYFUNCTION("""COMPUTED_VALUE"""),"Benin-Africa")</f>
        <v>Benin-Africa</v>
      </c>
      <c r="AD268" s="14" t="str">
        <f>IFERROR(__xludf.DUMMYFUNCTION("""COMPUTED_VALUE"""),"2009")</f>
        <v>2009</v>
      </c>
      <c r="AE268" s="14">
        <f>IFERROR(__xludf.DUMMYFUNCTION("""COMPUTED_VALUE"""),2949.0)</f>
        <v>2949</v>
      </c>
      <c r="AF268" s="14">
        <f>IFERROR(__xludf.DUMMYFUNCTION("""COMPUTED_VALUE"""),3876.0)</f>
        <v>3876</v>
      </c>
    </row>
    <row r="269">
      <c r="A269" s="12">
        <v>268.0</v>
      </c>
      <c r="B269" s="12" t="s">
        <v>99</v>
      </c>
      <c r="C269" s="5" t="s">
        <v>77</v>
      </c>
      <c r="D269" s="11">
        <v>0.732</v>
      </c>
      <c r="E269" s="11">
        <v>31.0</v>
      </c>
      <c r="F269" s="8"/>
      <c r="G269" s="11">
        <v>270.0</v>
      </c>
      <c r="H269" s="11">
        <v>0.018</v>
      </c>
      <c r="I269" s="11">
        <v>0.236</v>
      </c>
      <c r="J269" s="9" t="s">
        <v>68</v>
      </c>
      <c r="K269" s="14" t="str">
        <f>IFERROR(__xludf.DUMMYFUNCTION("ARRAYFORMULA(VLOOKUP(A269,IMPORTRANGE(""https://docs.google.com/spreadsheets/d/1BuTWp7qHGjWhqrnf-OmePP568O4A5Am9ttzvVdP67zw/edit#gid=1603210130"", ""TOURISM!$A$2:$F$2692""), {2,3,4,5,6},0))"),"Africa")</f>
        <v>Africa</v>
      </c>
      <c r="L269" s="14">
        <f>IFERROR(__xludf.DUMMYFUNCTION("""COMPUTED_VALUE"""),2.06E8)</f>
        <v>206000000</v>
      </c>
      <c r="M269" s="14" t="str">
        <f>IFERROR(__xludf.DUMMYFUNCTION("""COMPUTED_VALUE"""),"Benin-Africa")</f>
        <v>Benin-Africa</v>
      </c>
      <c r="N269" s="14" t="str">
        <f>IFERROR(__xludf.DUMMYFUNCTION("""COMPUTED_VALUE"""),"2007")</f>
        <v>2007</v>
      </c>
      <c r="O269" s="14">
        <f>IFERROR(__xludf.DUMMYFUNCTION("""COMPUTED_VALUE"""),1.07E8)</f>
        <v>107000000</v>
      </c>
      <c r="P269" s="15">
        <f>IFERROR(__xludf.DUMMYFUNCTION("ARRAYFORMULA(VLOOKUP(A269,IMPORTRANGE(""https://docs.google.com/spreadsheets/d/1BuTWp7qHGjWhqrnf-OmePP568O4A5Am9ttzvVdP67zw/edit#gid=771602874"" ,""HUMAN RESOURCES!$A$2:$M$2692""), {2,3,4,5,6,7,8,9,10,11,12,13},0))"),0.039)</f>
        <v>0.039</v>
      </c>
      <c r="Q269" s="14">
        <f>IFERROR(__xludf.DUMMYFUNCTION("""COMPUTED_VALUE"""),0.069)</f>
        <v>0.069</v>
      </c>
      <c r="R269" s="14">
        <f>IFERROR(__xludf.DUMMYFUNCTION("""COMPUTED_VALUE"""),59.0)</f>
        <v>59</v>
      </c>
      <c r="S269" s="14">
        <f>IFERROR(__xludf.DUMMYFUNCTION("""COMPUTED_VALUE"""),57.0)</f>
        <v>57</v>
      </c>
      <c r="T269" s="14">
        <f>IFERROR(__xludf.DUMMYFUNCTION("""COMPUTED_VALUE"""),0.441)</f>
        <v>0.441</v>
      </c>
      <c r="U269" s="14">
        <f>IFERROR(__xludf.DUMMYFUNCTION("""COMPUTED_VALUE"""),0.531)</f>
        <v>0.531</v>
      </c>
      <c r="V269" s="14">
        <f>IFERROR(__xludf.DUMMYFUNCTION("""COMPUTED_VALUE"""),0.028)</f>
        <v>0.028</v>
      </c>
      <c r="W269" s="14">
        <f>IFERROR(__xludf.DUMMYFUNCTION("""COMPUTED_VALUE"""),8707490.0)</f>
        <v>8707490</v>
      </c>
      <c r="X269" s="14">
        <f>IFERROR(__xludf.DUMMYFUNCTION("""COMPUTED_VALUE"""),0.407)</f>
        <v>0.407</v>
      </c>
      <c r="Y269" s="14" t="str">
        <f>IFERROR(__xludf.DUMMYFUNCTION("""COMPUTED_VALUE"""),"Benin-Africa")</f>
        <v>Benin-Africa</v>
      </c>
      <c r="Z269" s="14" t="str">
        <f>IFERROR(__xludf.DUMMYFUNCTION("""COMPUTED_VALUE"""),"Africa")</f>
        <v>Africa</v>
      </c>
      <c r="AA269" s="14" t="str">
        <f>IFERROR(__xludf.DUMMYFUNCTION("""COMPUTED_VALUE"""),"2007")</f>
        <v>2007</v>
      </c>
      <c r="AB269" s="15" t="str">
        <f>IFERROR(__xludf.DUMMYFUNCTION("ARRAYFORMULA(VLOOKUP(A269,IMPORTRANGE(""https://docs.google.com/spreadsheets/d/1BuTWp7qHGjWhqrnf-OmePP568O4A5Am9ttzvVdP67zw/edit#gid=1931367683"" ,""ENERGY!$A$2:$F$2692""), {2,3,4,5,6},0))"),"Africa")</f>
        <v>Africa</v>
      </c>
      <c r="AC269" s="14" t="str">
        <f>IFERROR(__xludf.DUMMYFUNCTION("""COMPUTED_VALUE"""),"Benin-Africa")</f>
        <v>Benin-Africa</v>
      </c>
      <c r="AD269" s="14" t="str">
        <f>IFERROR(__xludf.DUMMYFUNCTION("""COMPUTED_VALUE"""),"2006")</f>
        <v>2006</v>
      </c>
      <c r="AE269" s="14">
        <f>IFERROR(__xludf.DUMMYFUNCTION("""COMPUTED_VALUE"""),2499.0)</f>
        <v>2499</v>
      </c>
      <c r="AF269" s="14">
        <f>IFERROR(__xludf.DUMMYFUNCTION("""COMPUTED_VALUE"""),2398.0)</f>
        <v>2398</v>
      </c>
    </row>
    <row r="270">
      <c r="A270" s="12">
        <v>269.0</v>
      </c>
      <c r="B270" s="12" t="s">
        <v>99</v>
      </c>
      <c r="C270" s="5" t="s">
        <v>77</v>
      </c>
      <c r="D270" s="11">
        <v>0.732</v>
      </c>
      <c r="E270" s="11">
        <v>31.0</v>
      </c>
      <c r="F270" s="8"/>
      <c r="G270" s="11">
        <v>270.0</v>
      </c>
      <c r="H270" s="11">
        <v>0.019</v>
      </c>
      <c r="I270" s="11">
        <v>0.404</v>
      </c>
      <c r="J270" s="9" t="s">
        <v>69</v>
      </c>
      <c r="K270" s="14" t="str">
        <f>IFERROR(__xludf.DUMMYFUNCTION("ARRAYFORMULA(VLOOKUP(A270,IMPORTRANGE(""https://docs.google.com/spreadsheets/d/1BuTWp7qHGjWhqrnf-OmePP568O4A5Am9ttzvVdP67zw/edit#gid=1603210130"", ""TOURISM!$A$2:$F$2692""), {2,3,4,5,6},0))"),"Africa")</f>
        <v>Africa</v>
      </c>
      <c r="L270" s="14">
        <f>IFERROR(__xludf.DUMMYFUNCTION("""COMPUTED_VALUE"""),2.36E8)</f>
        <v>236000000</v>
      </c>
      <c r="M270" s="14" t="str">
        <f>IFERROR(__xludf.DUMMYFUNCTION("""COMPUTED_VALUE"""),"Benin-Africa")</f>
        <v>Benin-Africa</v>
      </c>
      <c r="N270" s="14" t="str">
        <f>IFERROR(__xludf.DUMMYFUNCTION("""COMPUTED_VALUE"""),"2008")</f>
        <v>2008</v>
      </c>
      <c r="O270" s="14">
        <f>IFERROR(__xludf.DUMMYFUNCTION("""COMPUTED_VALUE"""),1.02E8)</f>
        <v>102000000</v>
      </c>
      <c r="P270" s="15">
        <f>IFERROR(__xludf.DUMMYFUNCTION("ARRAYFORMULA(VLOOKUP(A270,IMPORTRANGE(""https://docs.google.com/spreadsheets/d/1BuTWp7qHGjWhqrnf-OmePP568O4A5Am9ttzvVdP67zw/edit#gid=771602874"" ,""HUMAN RESOURCES!$A$2:$M$2692""), {2,3,4,5,6,7,8,9,10,11,12,13},0))"),0.039)</f>
        <v>0.039</v>
      </c>
      <c r="Q270" s="14">
        <f>IFERROR(__xludf.DUMMYFUNCTION("""COMPUTED_VALUE"""),0.066)</f>
        <v>0.066</v>
      </c>
      <c r="R270" s="14">
        <f>IFERROR(__xludf.DUMMYFUNCTION("""COMPUTED_VALUE"""),60.0)</f>
        <v>60</v>
      </c>
      <c r="S270" s="14">
        <f>IFERROR(__xludf.DUMMYFUNCTION("""COMPUTED_VALUE"""),57.0)</f>
        <v>57</v>
      </c>
      <c r="T270" s="14">
        <f>IFERROR(__xludf.DUMMYFUNCTION("""COMPUTED_VALUE"""),0.439)</f>
        <v>0.439</v>
      </c>
      <c r="U270" s="14">
        <f>IFERROR(__xludf.DUMMYFUNCTION("""COMPUTED_VALUE"""),0.533)</f>
        <v>0.533</v>
      </c>
      <c r="V270" s="14">
        <f>IFERROR(__xludf.DUMMYFUNCTION("""COMPUTED_VALUE"""),0.029)</f>
        <v>0.029</v>
      </c>
      <c r="W270" s="14">
        <f>IFERROR(__xludf.DUMMYFUNCTION("""COMPUTED_VALUE"""),8973293.0)</f>
        <v>8973293</v>
      </c>
      <c r="X270" s="14">
        <f>IFERROR(__xludf.DUMMYFUNCTION("""COMPUTED_VALUE"""),0.411)</f>
        <v>0.411</v>
      </c>
      <c r="Y270" s="14" t="str">
        <f>IFERROR(__xludf.DUMMYFUNCTION("""COMPUTED_VALUE"""),"Benin-Africa")</f>
        <v>Benin-Africa</v>
      </c>
      <c r="Z270" s="14" t="str">
        <f>IFERROR(__xludf.DUMMYFUNCTION("""COMPUTED_VALUE"""),"Africa")</f>
        <v>Africa</v>
      </c>
      <c r="AA270" s="14" t="str">
        <f>IFERROR(__xludf.DUMMYFUNCTION("""COMPUTED_VALUE"""),"2008")</f>
        <v>2008</v>
      </c>
      <c r="AB270" s="15" t="str">
        <f>IFERROR(__xludf.DUMMYFUNCTION("ARRAYFORMULA(VLOOKUP(A270,IMPORTRANGE(""https://docs.google.com/spreadsheets/d/1BuTWp7qHGjWhqrnf-OmePP568O4A5Am9ttzvVdP67zw/edit#gid=1931367683"" ,""ENERGY!$A$2:$F$2692""), {2,3,4,5,6},0))"),"Africa")</f>
        <v>Africa</v>
      </c>
      <c r="AC270" s="14" t="str">
        <f>IFERROR(__xludf.DUMMYFUNCTION("""COMPUTED_VALUE"""),"Benin-Africa")</f>
        <v>Benin-Africa</v>
      </c>
      <c r="AD270" s="14" t="str">
        <f>IFERROR(__xludf.DUMMYFUNCTION("""COMPUTED_VALUE"""),"2012")</f>
        <v>2012</v>
      </c>
      <c r="AE270" s="14">
        <f>IFERROR(__xludf.DUMMYFUNCTION("""COMPUTED_VALUE"""),2491.0)</f>
        <v>2491</v>
      </c>
      <c r="AF270" s="14">
        <f>IFERROR(__xludf.DUMMYFUNCTION("""COMPUTED_VALUE"""),2512.0)</f>
        <v>2512</v>
      </c>
    </row>
    <row r="271">
      <c r="A271" s="12">
        <v>270.0</v>
      </c>
      <c r="B271" s="12" t="s">
        <v>99</v>
      </c>
      <c r="C271" s="5" t="s">
        <v>77</v>
      </c>
      <c r="D271" s="11">
        <v>0.732</v>
      </c>
      <c r="E271" s="11">
        <v>31.0</v>
      </c>
      <c r="F271" s="8"/>
      <c r="G271" s="11">
        <v>270.0</v>
      </c>
      <c r="H271" s="11">
        <v>0.022</v>
      </c>
      <c r="I271" s="11">
        <v>0.545</v>
      </c>
      <c r="J271" s="9" t="s">
        <v>70</v>
      </c>
      <c r="K271" s="14" t="str">
        <f>IFERROR(__xludf.DUMMYFUNCTION("ARRAYFORMULA(VLOOKUP(A271,IMPORTRANGE(""https://docs.google.com/spreadsheets/d/1BuTWp7qHGjWhqrnf-OmePP568O4A5Am9ttzvVdP67zw/edit#gid=1603210130"", ""TOURISM!$A$2:$F$2692""), {2,3,4,5,6},0))"),"Africa")</f>
        <v>Africa</v>
      </c>
      <c r="L271" s="14">
        <f>IFERROR(__xludf.DUMMYFUNCTION("""COMPUTED_VALUE"""),1.31E8)</f>
        <v>131000000</v>
      </c>
      <c r="M271" s="14" t="str">
        <f>IFERROR(__xludf.DUMMYFUNCTION("""COMPUTED_VALUE"""),"Benin-Africa")</f>
        <v>Benin-Africa</v>
      </c>
      <c r="N271" s="14" t="str">
        <f>IFERROR(__xludf.DUMMYFUNCTION("""COMPUTED_VALUE"""),"2009")</f>
        <v>2009</v>
      </c>
      <c r="O271" s="14">
        <f>IFERROR(__xludf.DUMMYFUNCTION("""COMPUTED_VALUE"""),8.8E7)</f>
        <v>88000000</v>
      </c>
      <c r="P271" s="15">
        <f>IFERROR(__xludf.DUMMYFUNCTION("ARRAYFORMULA(VLOOKUP(A271,IMPORTRANGE(""https://docs.google.com/spreadsheets/d/1BuTWp7qHGjWhqrnf-OmePP568O4A5Am9ttzvVdP67zw/edit#gid=771602874"" ,""HUMAN RESOURCES!$A$2:$M$2692""), {2,3,4,5,6,7,8,9,10,11,12,13},0))"),0.038)</f>
        <v>0.038</v>
      </c>
      <c r="Q271" s="14">
        <f>IFERROR(__xludf.DUMMYFUNCTION("""COMPUTED_VALUE"""),0.064)</f>
        <v>0.064</v>
      </c>
      <c r="R271" s="14">
        <f>IFERROR(__xludf.DUMMYFUNCTION("""COMPUTED_VALUE"""),60.0)</f>
        <v>60</v>
      </c>
      <c r="S271" s="14">
        <f>IFERROR(__xludf.DUMMYFUNCTION("""COMPUTED_VALUE"""),57.0)</f>
        <v>57</v>
      </c>
      <c r="T271" s="14">
        <f>IFERROR(__xludf.DUMMYFUNCTION("""COMPUTED_VALUE"""),0.436)</f>
        <v>0.436</v>
      </c>
      <c r="U271" s="14">
        <f>IFERROR(__xludf.DUMMYFUNCTION("""COMPUTED_VALUE"""),0.535)</f>
        <v>0.535</v>
      </c>
      <c r="V271" s="14">
        <f>IFERROR(__xludf.DUMMYFUNCTION("""COMPUTED_VALUE"""),0.029)</f>
        <v>0.029</v>
      </c>
      <c r="W271" s="14">
        <f>IFERROR(__xludf.DUMMYFUNCTION("""COMPUTED_VALUE"""),9240783.0)</f>
        <v>9240783</v>
      </c>
      <c r="X271" s="14">
        <f>IFERROR(__xludf.DUMMYFUNCTION("""COMPUTED_VALUE"""),0.415)</f>
        <v>0.415</v>
      </c>
      <c r="Y271" s="14" t="str">
        <f>IFERROR(__xludf.DUMMYFUNCTION("""COMPUTED_VALUE"""),"Benin-Africa")</f>
        <v>Benin-Africa</v>
      </c>
      <c r="Z271" s="14" t="str">
        <f>IFERROR(__xludf.DUMMYFUNCTION("""COMPUTED_VALUE"""),"Africa")</f>
        <v>Africa</v>
      </c>
      <c r="AA271" s="14" t="str">
        <f>IFERROR(__xludf.DUMMYFUNCTION("""COMPUTED_VALUE"""),"2009")</f>
        <v>2009</v>
      </c>
      <c r="AB271" s="15" t="str">
        <f>IFERROR(__xludf.DUMMYFUNCTION("ARRAYFORMULA(VLOOKUP(A271,IMPORTRANGE(""https://docs.google.com/spreadsheets/d/1BuTWp7qHGjWhqrnf-OmePP568O4A5Am9ttzvVdP67zw/edit#gid=1931367683"" ,""ENERGY!$A$2:$F$2692""), {2,3,4,5,6},0))"),"Africa")</f>
        <v>Africa</v>
      </c>
      <c r="AC271" s="14" t="str">
        <f>IFERROR(__xludf.DUMMYFUNCTION("""COMPUTED_VALUE"""),"Benin-Africa")</f>
        <v>Benin-Africa</v>
      </c>
      <c r="AD271" s="14" t="str">
        <f>IFERROR(__xludf.DUMMYFUNCTION("""COMPUTED_VALUE"""),"2008")</f>
        <v>2008</v>
      </c>
      <c r="AE271" s="14">
        <f>IFERROR(__xludf.DUMMYFUNCTION("""COMPUTED_VALUE"""),2386.0)</f>
        <v>2386</v>
      </c>
      <c r="AF271" s="14">
        <f>IFERROR(__xludf.DUMMYFUNCTION("""COMPUTED_VALUE"""),2321.0)</f>
        <v>2321</v>
      </c>
    </row>
    <row r="272">
      <c r="A272" s="12">
        <v>271.0</v>
      </c>
      <c r="B272" s="12" t="s">
        <v>99</v>
      </c>
      <c r="C272" s="5" t="s">
        <v>77</v>
      </c>
      <c r="D272" s="11">
        <v>0.659</v>
      </c>
      <c r="E272" s="11">
        <v>31.0</v>
      </c>
      <c r="F272" s="8"/>
      <c r="G272" s="11">
        <v>270.0</v>
      </c>
      <c r="H272" s="11">
        <v>0.031</v>
      </c>
      <c r="I272" s="11">
        <v>0.744</v>
      </c>
      <c r="J272" s="9" t="s">
        <v>71</v>
      </c>
      <c r="K272" s="14" t="str">
        <f>IFERROR(__xludf.DUMMYFUNCTION("ARRAYFORMULA(VLOOKUP(A272,IMPORTRANGE(""https://docs.google.com/spreadsheets/d/1BuTWp7qHGjWhqrnf-OmePP568O4A5Am9ttzvVdP67zw/edit#gid=1603210130"", ""TOURISM!$A$2:$F$2692""), {2,3,4,5,6},0))"),"Africa")</f>
        <v>Africa</v>
      </c>
      <c r="L272" s="14">
        <f>IFERROR(__xludf.DUMMYFUNCTION("""COMPUTED_VALUE"""),1.49E8)</f>
        <v>149000000</v>
      </c>
      <c r="M272" s="14" t="str">
        <f>IFERROR(__xludf.DUMMYFUNCTION("""COMPUTED_VALUE"""),"Benin-Africa")</f>
        <v>Benin-Africa</v>
      </c>
      <c r="N272" s="14" t="str">
        <f>IFERROR(__xludf.DUMMYFUNCTION("""COMPUTED_VALUE"""),"2010")</f>
        <v>2010</v>
      </c>
      <c r="O272" s="14">
        <f>IFERROR(__xludf.DUMMYFUNCTION("""COMPUTED_VALUE"""),9.1E7)</f>
        <v>91000000</v>
      </c>
      <c r="P272" s="15">
        <f>IFERROR(__xludf.DUMMYFUNCTION("ARRAYFORMULA(VLOOKUP(A272,IMPORTRANGE(""https://docs.google.com/spreadsheets/d/1BuTWp7qHGjWhqrnf-OmePP568O4A5Am9ttzvVdP67zw/edit#gid=771602874"" ,""HUMAN RESOURCES!$A$2:$M$2692""), {2,3,4,5,6,7,8,9,10,11,12,13},0))"),0.038)</f>
        <v>0.038</v>
      </c>
      <c r="Q272" s="14">
        <f>IFERROR(__xludf.DUMMYFUNCTION("""COMPUTED_VALUE"""),0.062)</f>
        <v>0.062</v>
      </c>
      <c r="R272" s="14">
        <f>IFERROR(__xludf.DUMMYFUNCTION("""COMPUTED_VALUE"""),60.0)</f>
        <v>60</v>
      </c>
      <c r="S272" s="14">
        <f>IFERROR(__xludf.DUMMYFUNCTION("""COMPUTED_VALUE"""),57.0)</f>
        <v>57</v>
      </c>
      <c r="T272" s="14">
        <f>IFERROR(__xludf.DUMMYFUNCTION("""COMPUTED_VALUE"""),0.434)</f>
        <v>0.434</v>
      </c>
      <c r="U272" s="14">
        <f>IFERROR(__xludf.DUMMYFUNCTION("""COMPUTED_VALUE"""),0.537)</f>
        <v>0.537</v>
      </c>
      <c r="V272" s="14">
        <f>IFERROR(__xludf.DUMMYFUNCTION("""COMPUTED_VALUE"""),0.029)</f>
        <v>0.029</v>
      </c>
      <c r="W272" s="14">
        <f>IFERROR(__xludf.DUMMYFUNCTION("""COMPUTED_VALUE"""),9509798.0)</f>
        <v>9509798</v>
      </c>
      <c r="X272" s="14">
        <f>IFERROR(__xludf.DUMMYFUNCTION("""COMPUTED_VALUE"""),0.419)</f>
        <v>0.419</v>
      </c>
      <c r="Y272" s="14" t="str">
        <f>IFERROR(__xludf.DUMMYFUNCTION("""COMPUTED_VALUE"""),"Benin-Africa")</f>
        <v>Benin-Africa</v>
      </c>
      <c r="Z272" s="14" t="str">
        <f>IFERROR(__xludf.DUMMYFUNCTION("""COMPUTED_VALUE"""),"Africa")</f>
        <v>Africa</v>
      </c>
      <c r="AA272" s="14" t="str">
        <f>IFERROR(__xludf.DUMMYFUNCTION("""COMPUTED_VALUE"""),"2010")</f>
        <v>2010</v>
      </c>
      <c r="AB272" s="15" t="str">
        <f>IFERROR(__xludf.DUMMYFUNCTION("ARRAYFORMULA(VLOOKUP(A272,IMPORTRANGE(""https://docs.google.com/spreadsheets/d/1BuTWp7qHGjWhqrnf-OmePP568O4A5Am9ttzvVdP67zw/edit#gid=1931367683"" ,""ENERGY!$A$2:$F$2692""), {2,3,4,5,6},0))"),"Africa")</f>
        <v>Africa</v>
      </c>
      <c r="AC272" s="14" t="str">
        <f>IFERROR(__xludf.DUMMYFUNCTION("""COMPUTED_VALUE"""),"Benin-Africa")</f>
        <v>Benin-Africa</v>
      </c>
      <c r="AD272" s="14" t="str">
        <f>IFERROR(__xludf.DUMMYFUNCTION("""COMPUTED_VALUE"""),"2005")</f>
        <v>2005</v>
      </c>
      <c r="AE272" s="14">
        <f>IFERROR(__xludf.DUMMYFUNCTION("""COMPUTED_VALUE"""),2262.0)</f>
        <v>2262</v>
      </c>
      <c r="AF272" s="14">
        <f>IFERROR(__xludf.DUMMYFUNCTION("""COMPUTED_VALUE"""),2054.0)</f>
        <v>2054</v>
      </c>
    </row>
    <row r="273">
      <c r="A273" s="12">
        <v>272.0</v>
      </c>
      <c r="B273" s="12" t="s">
        <v>99</v>
      </c>
      <c r="C273" s="5" t="s">
        <v>77</v>
      </c>
      <c r="D273" s="11">
        <v>0.659</v>
      </c>
      <c r="E273" s="11">
        <v>29.0</v>
      </c>
      <c r="F273" s="8"/>
      <c r="G273" s="11">
        <v>270.0</v>
      </c>
      <c r="H273" s="11">
        <v>0.041</v>
      </c>
      <c r="I273" s="11">
        <v>0.794</v>
      </c>
      <c r="J273" s="9" t="s">
        <v>72</v>
      </c>
      <c r="K273" s="14" t="str">
        <f>IFERROR(__xludf.DUMMYFUNCTION("ARRAYFORMULA(VLOOKUP(A273,IMPORTRANGE(""https://docs.google.com/spreadsheets/d/1BuTWp7qHGjWhqrnf-OmePP568O4A5Am9ttzvVdP67zw/edit#gid=1603210130"", ""TOURISM!$A$2:$F$2692""), {2,3,4,5,6},0))"),"Africa")</f>
        <v>Africa</v>
      </c>
      <c r="L273" s="14">
        <f>IFERROR(__xludf.DUMMYFUNCTION("""COMPUTED_VALUE"""),1.88E8)</f>
        <v>188000000</v>
      </c>
      <c r="M273" s="14" t="str">
        <f>IFERROR(__xludf.DUMMYFUNCTION("""COMPUTED_VALUE"""),"Benin-Africa")</f>
        <v>Benin-Africa</v>
      </c>
      <c r="N273" s="14" t="str">
        <f>IFERROR(__xludf.DUMMYFUNCTION("""COMPUTED_VALUE"""),"2011")</f>
        <v>2011</v>
      </c>
      <c r="O273" s="14"/>
      <c r="P273" s="15">
        <f>IFERROR(__xludf.DUMMYFUNCTION("ARRAYFORMULA(VLOOKUP(A273,IMPORTRANGE(""https://docs.google.com/spreadsheets/d/1BuTWp7qHGjWhqrnf-OmePP568O4A5Am9ttzvVdP67zw/edit#gid=771602874"" ,""HUMAN RESOURCES!$A$2:$M$2692""), {2,3,4,5,6,7,8,9,10,11,12,13},0))"),0.037)</f>
        <v>0.037</v>
      </c>
      <c r="Q273" s="14">
        <f>IFERROR(__xludf.DUMMYFUNCTION("""COMPUTED_VALUE"""),0.06)</f>
        <v>0.06</v>
      </c>
      <c r="R273" s="14">
        <f>IFERROR(__xludf.DUMMYFUNCTION("""COMPUTED_VALUE"""),60.0)</f>
        <v>60</v>
      </c>
      <c r="S273" s="14">
        <f>IFERROR(__xludf.DUMMYFUNCTION("""COMPUTED_VALUE"""),58.0)</f>
        <v>58</v>
      </c>
      <c r="T273" s="14">
        <f>IFERROR(__xludf.DUMMYFUNCTION("""COMPUTED_VALUE"""),0.432)</f>
        <v>0.432</v>
      </c>
      <c r="U273" s="14">
        <f>IFERROR(__xludf.DUMMYFUNCTION("""COMPUTED_VALUE"""),0.539)</f>
        <v>0.539</v>
      </c>
      <c r="V273" s="14">
        <f>IFERROR(__xludf.DUMMYFUNCTION("""COMPUTED_VALUE"""),0.029)</f>
        <v>0.029</v>
      </c>
      <c r="W273" s="14">
        <f>IFERROR(__xludf.DUMMYFUNCTION("""COMPUTED_VALUE"""),9779795.0)</f>
        <v>9779795</v>
      </c>
      <c r="X273" s="14">
        <f>IFERROR(__xludf.DUMMYFUNCTION("""COMPUTED_VALUE"""),0.423)</f>
        <v>0.423</v>
      </c>
      <c r="Y273" s="14" t="str">
        <f>IFERROR(__xludf.DUMMYFUNCTION("""COMPUTED_VALUE"""),"Benin-Africa")</f>
        <v>Benin-Africa</v>
      </c>
      <c r="Z273" s="14" t="str">
        <f>IFERROR(__xludf.DUMMYFUNCTION("""COMPUTED_VALUE"""),"Africa")</f>
        <v>Africa</v>
      </c>
      <c r="AA273" s="14" t="str">
        <f>IFERROR(__xludf.DUMMYFUNCTION("""COMPUTED_VALUE"""),"2011")</f>
        <v>2011</v>
      </c>
      <c r="AB273" s="15" t="str">
        <f>IFERROR(__xludf.DUMMYFUNCTION("ARRAYFORMULA(VLOOKUP(A273,IMPORTRANGE(""https://docs.google.com/spreadsheets/d/1BuTWp7qHGjWhqrnf-OmePP568O4A5Am9ttzvVdP67zw/edit#gid=1931367683"" ,""ENERGY!$A$2:$F$2692""), {2,3,4,5,6},0))"),"Africa")</f>
        <v>Africa</v>
      </c>
      <c r="AC273" s="14" t="str">
        <f>IFERROR(__xludf.DUMMYFUNCTION("""COMPUTED_VALUE"""),"Benin-Africa")</f>
        <v>Benin-Africa</v>
      </c>
      <c r="AD273" s="14" t="str">
        <f>IFERROR(__xludf.DUMMYFUNCTION("""COMPUTED_VALUE"""),"2012")</f>
        <v>2012</v>
      </c>
      <c r="AE273" s="14">
        <f>IFERROR(__xludf.DUMMYFUNCTION("""COMPUTED_VALUE"""),2109.0)</f>
        <v>2109</v>
      </c>
      <c r="AF273" s="14">
        <f>IFERROR(__xludf.DUMMYFUNCTION("""COMPUTED_VALUE"""),1738.0)</f>
        <v>1738</v>
      </c>
    </row>
    <row r="274">
      <c r="A274" s="12">
        <v>273.0</v>
      </c>
      <c r="B274" s="12" t="s">
        <v>99</v>
      </c>
      <c r="C274" s="5" t="s">
        <v>77</v>
      </c>
      <c r="D274" s="11">
        <v>0.659</v>
      </c>
      <c r="E274" s="11">
        <v>26.0</v>
      </c>
      <c r="F274" s="11">
        <v>175.0</v>
      </c>
      <c r="G274" s="11">
        <v>270.0</v>
      </c>
      <c r="H274" s="11">
        <v>0.045</v>
      </c>
      <c r="I274" s="11">
        <v>0.837</v>
      </c>
      <c r="J274" s="9" t="s">
        <v>73</v>
      </c>
      <c r="K274" s="14" t="str">
        <f>IFERROR(__xludf.DUMMYFUNCTION("ARRAYFORMULA(VLOOKUP(A274,IMPORTRANGE(""https://docs.google.com/spreadsheets/d/1BuTWp7qHGjWhqrnf-OmePP568O4A5Am9ttzvVdP67zw/edit#gid=1603210130"", ""TOURISM!$A$2:$F$2692""), {2,3,4,5,6},0))"),"Africa")</f>
        <v>Africa</v>
      </c>
      <c r="L274" s="14">
        <f>IFERROR(__xludf.DUMMYFUNCTION("""COMPUTED_VALUE"""),1.92E8)</f>
        <v>192000000</v>
      </c>
      <c r="M274" s="14" t="str">
        <f>IFERROR(__xludf.DUMMYFUNCTION("""COMPUTED_VALUE"""),"Benin-Africa")</f>
        <v>Benin-Africa</v>
      </c>
      <c r="N274" s="14" t="str">
        <f>IFERROR(__xludf.DUMMYFUNCTION("""COMPUTED_VALUE"""),"2012")</f>
        <v>2012</v>
      </c>
      <c r="O274" s="14"/>
      <c r="P274" s="15">
        <f>IFERROR(__xludf.DUMMYFUNCTION("ARRAYFORMULA(VLOOKUP(A274,IMPORTRANGE(""https://docs.google.com/spreadsheets/d/1BuTWp7qHGjWhqrnf-OmePP568O4A5Am9ttzvVdP67zw/edit#gid=771602874"" ,""HUMAN RESOURCES!$A$2:$M$2692""), {2,3,4,5,6,7,8,9,10,11,12,13},0))"),0.037)</f>
        <v>0.037</v>
      </c>
      <c r="Q274" s="14">
        <f>IFERROR(__xludf.DUMMYFUNCTION("""COMPUTED_VALUE"""),0.058)</f>
        <v>0.058</v>
      </c>
      <c r="R274" s="14">
        <f>IFERROR(__xludf.DUMMYFUNCTION("""COMPUTED_VALUE"""),61.0)</f>
        <v>61</v>
      </c>
      <c r="S274" s="14">
        <f>IFERROR(__xludf.DUMMYFUNCTION("""COMPUTED_VALUE"""),58.0)</f>
        <v>58</v>
      </c>
      <c r="T274" s="14">
        <f>IFERROR(__xludf.DUMMYFUNCTION("""COMPUTED_VALUE"""),0.43)</f>
        <v>0.43</v>
      </c>
      <c r="U274" s="14">
        <f>IFERROR(__xludf.DUMMYFUNCTION("""COMPUTED_VALUE"""),0.542)</f>
        <v>0.542</v>
      </c>
      <c r="V274" s="14">
        <f>IFERROR(__xludf.DUMMYFUNCTION("""COMPUTED_VALUE"""),0.029)</f>
        <v>0.029</v>
      </c>
      <c r="W274" s="14">
        <f>IFERROR(__xludf.DUMMYFUNCTION("""COMPUTED_VALUE"""),1.0050702E7)</f>
        <v>10050702</v>
      </c>
      <c r="X274" s="14">
        <f>IFERROR(__xludf.DUMMYFUNCTION("""COMPUTED_VALUE"""),0.427)</f>
        <v>0.427</v>
      </c>
      <c r="Y274" s="14" t="str">
        <f>IFERROR(__xludf.DUMMYFUNCTION("""COMPUTED_VALUE"""),"Benin-Africa")</f>
        <v>Benin-Africa</v>
      </c>
      <c r="Z274" s="14" t="str">
        <f>IFERROR(__xludf.DUMMYFUNCTION("""COMPUTED_VALUE"""),"Africa")</f>
        <v>Africa</v>
      </c>
      <c r="AA274" s="14" t="str">
        <f>IFERROR(__xludf.DUMMYFUNCTION("""COMPUTED_VALUE"""),"2012")</f>
        <v>2012</v>
      </c>
      <c r="AB274" s="15" t="str">
        <f>IFERROR(__xludf.DUMMYFUNCTION("ARRAYFORMULA(VLOOKUP(A274,IMPORTRANGE(""https://docs.google.com/spreadsheets/d/1BuTWp7qHGjWhqrnf-OmePP568O4A5Am9ttzvVdP67zw/edit#gid=1931367683"" ,""ENERGY!$A$2:$F$2692""), {2,3,4,5,6},0))"),"Africa")</f>
        <v>Africa</v>
      </c>
      <c r="AC274" s="14" t="str">
        <f>IFERROR(__xludf.DUMMYFUNCTION("""COMPUTED_VALUE"""),"Benin-Africa")</f>
        <v>Benin-Africa</v>
      </c>
      <c r="AD274" s="14" t="str">
        <f>IFERROR(__xludf.DUMMYFUNCTION("""COMPUTED_VALUE"""),"2008")</f>
        <v>2008</v>
      </c>
      <c r="AE274" s="14">
        <f>IFERROR(__xludf.DUMMYFUNCTION("""COMPUTED_VALUE"""),1983.0)</f>
        <v>1983</v>
      </c>
      <c r="AF274" s="14">
        <f>IFERROR(__xludf.DUMMYFUNCTION("""COMPUTED_VALUE"""),1617.0)</f>
        <v>1617</v>
      </c>
    </row>
    <row r="275">
      <c r="A275" s="12">
        <v>274.0</v>
      </c>
      <c r="B275" s="12" t="s">
        <v>100</v>
      </c>
      <c r="C275" s="5" t="s">
        <v>84</v>
      </c>
      <c r="D275" s="8"/>
      <c r="E275" s="8"/>
      <c r="F275" s="8"/>
      <c r="G275" s="8"/>
      <c r="H275" s="11">
        <v>0.429</v>
      </c>
      <c r="I275" s="11">
        <v>0.207</v>
      </c>
      <c r="J275" s="9" t="s">
        <v>60</v>
      </c>
      <c r="K275" s="14" t="str">
        <f>IFERROR(__xludf.DUMMYFUNCTION("ARRAYFORMULA(VLOOKUP(A275,IMPORTRANGE(""https://docs.google.com/spreadsheets/d/1BuTWp7qHGjWhqrnf-OmePP568O4A5Am9ttzvVdP67zw/edit#gid=1603210130"", ""TOURISM!$A$2:$F$2692""), {2,3,4,5,6},0))"),"The Americas")</f>
        <v>The Americas</v>
      </c>
      <c r="L275" s="14">
        <f>IFERROR(__xludf.DUMMYFUNCTION("""COMPUTED_VALUE"""),4.31E8)</f>
        <v>431000000</v>
      </c>
      <c r="M275" s="14" t="str">
        <f>IFERROR(__xludf.DUMMYFUNCTION("""COMPUTED_VALUE"""),"Bermuda-The Americas")</f>
        <v>Bermuda-The Americas</v>
      </c>
      <c r="N275" s="14" t="str">
        <f>IFERROR(__xludf.DUMMYFUNCTION("""COMPUTED_VALUE"""),"2000")</f>
        <v>2000</v>
      </c>
      <c r="O275" s="14"/>
      <c r="P275" s="15">
        <f>IFERROR(__xludf.DUMMYFUNCTION("ARRAYFORMULA(VLOOKUP(A275,IMPORTRANGE(""https://docs.google.com/spreadsheets/d/1BuTWp7qHGjWhqrnf-OmePP568O4A5Am9ttzvVdP67zw/edit#gid=771602874"" ,""HUMAN RESOURCES!$A$2:$M$2692""), {2,3,4,5,6,7,8,9,10,11,12,13},0))"),0.014)</f>
        <v>0.014</v>
      </c>
      <c r="Q275" s="14"/>
      <c r="R275" s="14">
        <f>IFERROR(__xludf.DUMMYFUNCTION("""COMPUTED_VALUE"""),81.0)</f>
        <v>81</v>
      </c>
      <c r="S275" s="14">
        <f>IFERROR(__xludf.DUMMYFUNCTION("""COMPUTED_VALUE"""),75.0)</f>
        <v>75</v>
      </c>
      <c r="T275" s="14"/>
      <c r="U275" s="14"/>
      <c r="V275" s="14"/>
      <c r="W275" s="14">
        <f>IFERROR(__xludf.DUMMYFUNCTION("""COMPUTED_VALUE"""),61833.0)</f>
        <v>61833</v>
      </c>
      <c r="X275" s="14">
        <f>IFERROR(__xludf.DUMMYFUNCTION("""COMPUTED_VALUE"""),1.0)</f>
        <v>1</v>
      </c>
      <c r="Y275" s="14" t="str">
        <f>IFERROR(__xludf.DUMMYFUNCTION("""COMPUTED_VALUE"""),"Bermuda-The Americas")</f>
        <v>Bermuda-The Americas</v>
      </c>
      <c r="Z275" s="14" t="str">
        <f>IFERROR(__xludf.DUMMYFUNCTION("""COMPUTED_VALUE"""),"The Americas")</f>
        <v>The Americas</v>
      </c>
      <c r="AA275" s="14" t="str">
        <f>IFERROR(__xludf.DUMMYFUNCTION("""COMPUTED_VALUE"""),"2000")</f>
        <v>2000</v>
      </c>
      <c r="AB275" s="15" t="str">
        <f>IFERROR(__xludf.DUMMYFUNCTION("ARRAYFORMULA(VLOOKUP(A275,IMPORTRANGE(""https://docs.google.com/spreadsheets/d/1BuTWp7qHGjWhqrnf-OmePP568O4A5Am9ttzvVdP67zw/edit#gid=1931367683"" ,""ENERGY!$A$2:$F$2692""), {2,3,4,5,6},0))"),"The Americas")</f>
        <v>The Americas</v>
      </c>
      <c r="AC275" s="14" t="str">
        <f>IFERROR(__xludf.DUMMYFUNCTION("""COMPUTED_VALUE"""),"Bermuda-The Americas")</f>
        <v>Bermuda-The Americas</v>
      </c>
      <c r="AD275" s="14" t="str">
        <f>IFERROR(__xludf.DUMMYFUNCTION("""COMPUTED_VALUE"""),"2000")</f>
        <v>2000</v>
      </c>
      <c r="AE275" s="14"/>
      <c r="AF275" s="14"/>
    </row>
    <row r="276">
      <c r="A276" s="12">
        <v>275.0</v>
      </c>
      <c r="B276" s="12" t="s">
        <v>100</v>
      </c>
      <c r="C276" s="5" t="s">
        <v>84</v>
      </c>
      <c r="D276" s="8"/>
      <c r="E276" s="8"/>
      <c r="F276" s="8"/>
      <c r="G276" s="8"/>
      <c r="H276" s="11">
        <v>0.475</v>
      </c>
      <c r="I276" s="11">
        <v>0.211</v>
      </c>
      <c r="J276" s="9" t="s">
        <v>62</v>
      </c>
      <c r="K276" s="14" t="str">
        <f>IFERROR(__xludf.DUMMYFUNCTION("ARRAYFORMULA(VLOOKUP(A276,IMPORTRANGE(""https://docs.google.com/spreadsheets/d/1BuTWp7qHGjWhqrnf-OmePP568O4A5Am9ttzvVdP67zw/edit#gid=1603210130"", ""TOURISM!$A$2:$F$2692""), {2,3,4,5,6},0))"),"The Americas")</f>
        <v>The Americas</v>
      </c>
      <c r="L276" s="14">
        <f>IFERROR(__xludf.DUMMYFUNCTION("""COMPUTED_VALUE"""),3.51E8)</f>
        <v>351000000</v>
      </c>
      <c r="M276" s="14" t="str">
        <f>IFERROR(__xludf.DUMMYFUNCTION("""COMPUTED_VALUE"""),"Bermuda-The Americas")</f>
        <v>Bermuda-The Americas</v>
      </c>
      <c r="N276" s="14" t="str">
        <f>IFERROR(__xludf.DUMMYFUNCTION("""COMPUTED_VALUE"""),"2001")</f>
        <v>2001</v>
      </c>
      <c r="O276" s="14"/>
      <c r="P276" s="15">
        <f>IFERROR(__xludf.DUMMYFUNCTION("ARRAYFORMULA(VLOOKUP(A276,IMPORTRANGE(""https://docs.google.com/spreadsheets/d/1BuTWp7qHGjWhqrnf-OmePP568O4A5Am9ttzvVdP67zw/edit#gid=771602874"" ,""HUMAN RESOURCES!$A$2:$M$2692""), {2,3,4,5,6,7,8,9,10,11,12,13},0))"),0.013)</f>
        <v>0.013</v>
      </c>
      <c r="Q276" s="14"/>
      <c r="R276" s="14">
        <f>IFERROR(__xludf.DUMMYFUNCTION("""COMPUTED_VALUE"""),81.0)</f>
        <v>81</v>
      </c>
      <c r="S276" s="14">
        <f>IFERROR(__xludf.DUMMYFUNCTION("""COMPUTED_VALUE"""),75.0)</f>
        <v>75</v>
      </c>
      <c r="T276" s="14"/>
      <c r="U276" s="14"/>
      <c r="V276" s="14"/>
      <c r="W276" s="14">
        <f>IFERROR(__xludf.DUMMYFUNCTION("""COMPUTED_VALUE"""),62504.0)</f>
        <v>62504</v>
      </c>
      <c r="X276" s="14">
        <f>IFERROR(__xludf.DUMMYFUNCTION("""COMPUTED_VALUE"""),1.0)</f>
        <v>1</v>
      </c>
      <c r="Y276" s="14" t="str">
        <f>IFERROR(__xludf.DUMMYFUNCTION("""COMPUTED_VALUE"""),"Bermuda-The Americas")</f>
        <v>Bermuda-The Americas</v>
      </c>
      <c r="Z276" s="14" t="str">
        <f>IFERROR(__xludf.DUMMYFUNCTION("""COMPUTED_VALUE"""),"The Americas")</f>
        <v>The Americas</v>
      </c>
      <c r="AA276" s="14" t="str">
        <f>IFERROR(__xludf.DUMMYFUNCTION("""COMPUTED_VALUE"""),"2001")</f>
        <v>2001</v>
      </c>
      <c r="AB276" s="15" t="str">
        <f>IFERROR(__xludf.DUMMYFUNCTION("ARRAYFORMULA(VLOOKUP(A276,IMPORTRANGE(""https://docs.google.com/spreadsheets/d/1BuTWp7qHGjWhqrnf-OmePP568O4A5Am9ttzvVdP67zw/edit#gid=1931367683"" ,""ENERGY!$A$2:$F$2692""), {2,3,4,5,6},0))"),"The Americas")</f>
        <v>The Americas</v>
      </c>
      <c r="AC276" s="14" t="str">
        <f>IFERROR(__xludf.DUMMYFUNCTION("""COMPUTED_VALUE"""),"Bermuda-The Americas")</f>
        <v>Bermuda-The Americas</v>
      </c>
      <c r="AD276" s="14" t="str">
        <f>IFERROR(__xludf.DUMMYFUNCTION("""COMPUTED_VALUE"""),"2001")</f>
        <v>2001</v>
      </c>
      <c r="AE276" s="14"/>
      <c r="AF276" s="14"/>
    </row>
    <row r="277">
      <c r="A277" s="12">
        <v>276.0</v>
      </c>
      <c r="B277" s="12" t="s">
        <v>100</v>
      </c>
      <c r="C277" s="5" t="s">
        <v>84</v>
      </c>
      <c r="D277" s="8"/>
      <c r="E277" s="8"/>
      <c r="F277" s="8"/>
      <c r="G277" s="8"/>
      <c r="H277" s="11">
        <v>0.52</v>
      </c>
      <c r="I277" s="11">
        <v>0.473</v>
      </c>
      <c r="J277" s="9" t="s">
        <v>63</v>
      </c>
      <c r="K277" s="14" t="str">
        <f>IFERROR(__xludf.DUMMYFUNCTION("ARRAYFORMULA(VLOOKUP(A277,IMPORTRANGE(""https://docs.google.com/spreadsheets/d/1BuTWp7qHGjWhqrnf-OmePP568O4A5Am9ttzvVdP67zw/edit#gid=1603210130"", ""TOURISM!$A$2:$F$2692""), {2,3,4,5,6},0))"),"The Americas")</f>
        <v>The Americas</v>
      </c>
      <c r="L277" s="14">
        <f>IFERROR(__xludf.DUMMYFUNCTION("""COMPUTED_VALUE"""),3.78E8)</f>
        <v>378000000</v>
      </c>
      <c r="M277" s="14" t="str">
        <f>IFERROR(__xludf.DUMMYFUNCTION("""COMPUTED_VALUE"""),"Bermuda-The Americas")</f>
        <v>Bermuda-The Americas</v>
      </c>
      <c r="N277" s="14" t="str">
        <f>IFERROR(__xludf.DUMMYFUNCTION("""COMPUTED_VALUE"""),"2002")</f>
        <v>2002</v>
      </c>
      <c r="O277" s="14">
        <f>IFERROR(__xludf.DUMMYFUNCTION("""COMPUTED_VALUE"""),2.43E8)</f>
        <v>243000000</v>
      </c>
      <c r="P277" s="15">
        <f>IFERROR(__xludf.DUMMYFUNCTION("ARRAYFORMULA(VLOOKUP(A277,IMPORTRANGE(""https://docs.google.com/spreadsheets/d/1BuTWp7qHGjWhqrnf-OmePP568O4A5Am9ttzvVdP67zw/edit#gid=771602874"" ,""HUMAN RESOURCES!$A$2:$M$2692""), {2,3,4,5,6,7,8,9,10,11,12,13},0))"),0.013)</f>
        <v>0.013</v>
      </c>
      <c r="Q277" s="14"/>
      <c r="R277" s="14">
        <f>IFERROR(__xludf.DUMMYFUNCTION("""COMPUTED_VALUE"""),81.0)</f>
        <v>81</v>
      </c>
      <c r="S277" s="14">
        <f>IFERROR(__xludf.DUMMYFUNCTION("""COMPUTED_VALUE"""),76.0)</f>
        <v>76</v>
      </c>
      <c r="T277" s="14"/>
      <c r="U277" s="14"/>
      <c r="V277" s="14"/>
      <c r="W277" s="14">
        <f>IFERROR(__xludf.DUMMYFUNCTION("""COMPUTED_VALUE"""),62912.0)</f>
        <v>62912</v>
      </c>
      <c r="X277" s="14">
        <f>IFERROR(__xludf.DUMMYFUNCTION("""COMPUTED_VALUE"""),1.0)</f>
        <v>1</v>
      </c>
      <c r="Y277" s="14" t="str">
        <f>IFERROR(__xludf.DUMMYFUNCTION("""COMPUTED_VALUE"""),"Bermuda-The Americas")</f>
        <v>Bermuda-The Americas</v>
      </c>
      <c r="Z277" s="14" t="str">
        <f>IFERROR(__xludf.DUMMYFUNCTION("""COMPUTED_VALUE"""),"The Americas")</f>
        <v>The Americas</v>
      </c>
      <c r="AA277" s="14" t="str">
        <f>IFERROR(__xludf.DUMMYFUNCTION("""COMPUTED_VALUE"""),"2002")</f>
        <v>2002</v>
      </c>
      <c r="AB277" s="15" t="str">
        <f>IFERROR(__xludf.DUMMYFUNCTION("ARRAYFORMULA(VLOOKUP(A277,IMPORTRANGE(""https://docs.google.com/spreadsheets/d/1BuTWp7qHGjWhqrnf-OmePP568O4A5Am9ttzvVdP67zw/edit#gid=1931367683"" ,""ENERGY!$A$2:$F$2692""), {2,3,4,5,6},0))"),"The Americas")</f>
        <v>The Americas</v>
      </c>
      <c r="AC277" s="14" t="str">
        <f>IFERROR(__xludf.DUMMYFUNCTION("""COMPUTED_VALUE"""),"Bermuda-The Americas")</f>
        <v>Bermuda-The Americas</v>
      </c>
      <c r="AD277" s="14" t="str">
        <f>IFERROR(__xludf.DUMMYFUNCTION("""COMPUTED_VALUE"""),"2002")</f>
        <v>2002</v>
      </c>
      <c r="AE277" s="14"/>
      <c r="AF277" s="14">
        <f>IFERROR(__xludf.DUMMYFUNCTION("""COMPUTED_VALUE"""),477.0)</f>
        <v>477</v>
      </c>
    </row>
    <row r="278">
      <c r="A278" s="12">
        <v>277.0</v>
      </c>
      <c r="B278" s="12" t="s">
        <v>100</v>
      </c>
      <c r="C278" s="5" t="s">
        <v>84</v>
      </c>
      <c r="D278" s="8"/>
      <c r="E278" s="8"/>
      <c r="F278" s="8"/>
      <c r="G278" s="8"/>
      <c r="H278" s="11">
        <v>0.565</v>
      </c>
      <c r="I278" s="11">
        <v>0.628</v>
      </c>
      <c r="J278" s="9" t="s">
        <v>64</v>
      </c>
      <c r="K278" s="14" t="str">
        <f>IFERROR(__xludf.DUMMYFUNCTION("ARRAYFORMULA(VLOOKUP(A278,IMPORTRANGE(""https://docs.google.com/spreadsheets/d/1BuTWp7qHGjWhqrnf-OmePP568O4A5Am9ttzvVdP67zw/edit#gid=1603210130"", ""TOURISM!$A$2:$F$2692""), {2,3,4,5,6},0))"),"The Americas")</f>
        <v>The Americas</v>
      </c>
      <c r="L278" s="14">
        <f>IFERROR(__xludf.DUMMYFUNCTION("""COMPUTED_VALUE"""),3.48E8)</f>
        <v>348000000</v>
      </c>
      <c r="M278" s="14" t="str">
        <f>IFERROR(__xludf.DUMMYFUNCTION("""COMPUTED_VALUE"""),"Bermuda-The Americas")</f>
        <v>Bermuda-The Americas</v>
      </c>
      <c r="N278" s="14" t="str">
        <f>IFERROR(__xludf.DUMMYFUNCTION("""COMPUTED_VALUE"""),"2003")</f>
        <v>2003</v>
      </c>
      <c r="O278" s="14">
        <f>IFERROR(__xludf.DUMMYFUNCTION("""COMPUTED_VALUE"""),2.48E8)</f>
        <v>248000000</v>
      </c>
      <c r="P278" s="15">
        <f>IFERROR(__xludf.DUMMYFUNCTION("ARRAYFORMULA(VLOOKUP(A278,IMPORTRANGE(""https://docs.google.com/spreadsheets/d/1BuTWp7qHGjWhqrnf-OmePP568O4A5Am9ttzvVdP67zw/edit#gid=771602874"" ,""HUMAN RESOURCES!$A$2:$M$2692""), {2,3,4,5,6,7,8,9,10,11,12,13},0))"),0.013)</f>
        <v>0.013</v>
      </c>
      <c r="Q278" s="14"/>
      <c r="R278" s="14">
        <f>IFERROR(__xludf.DUMMYFUNCTION("""COMPUTED_VALUE"""),81.0)</f>
        <v>81</v>
      </c>
      <c r="S278" s="14">
        <f>IFERROR(__xludf.DUMMYFUNCTION("""COMPUTED_VALUE"""),76.0)</f>
        <v>76</v>
      </c>
      <c r="T278" s="14"/>
      <c r="U278" s="14"/>
      <c r="V278" s="14"/>
      <c r="W278" s="14">
        <f>IFERROR(__xludf.DUMMYFUNCTION("""COMPUTED_VALUE"""),63325.0)</f>
        <v>63325</v>
      </c>
      <c r="X278" s="14">
        <f>IFERROR(__xludf.DUMMYFUNCTION("""COMPUTED_VALUE"""),1.0)</f>
        <v>1</v>
      </c>
      <c r="Y278" s="14" t="str">
        <f>IFERROR(__xludf.DUMMYFUNCTION("""COMPUTED_VALUE"""),"Bermuda-The Americas")</f>
        <v>Bermuda-The Americas</v>
      </c>
      <c r="Z278" s="14" t="str">
        <f>IFERROR(__xludf.DUMMYFUNCTION("""COMPUTED_VALUE"""),"The Americas")</f>
        <v>The Americas</v>
      </c>
      <c r="AA278" s="14" t="str">
        <f>IFERROR(__xludf.DUMMYFUNCTION("""COMPUTED_VALUE"""),"2003")</f>
        <v>2003</v>
      </c>
      <c r="AB278" s="15" t="str">
        <f>IFERROR(__xludf.DUMMYFUNCTION("ARRAYFORMULA(VLOOKUP(A278,IMPORTRANGE(""https://docs.google.com/spreadsheets/d/1BuTWp7qHGjWhqrnf-OmePP568O4A5Am9ttzvVdP67zw/edit#gid=1931367683"" ,""ENERGY!$A$2:$F$2692""), {2,3,4,5,6},0))"),"The Americas")</f>
        <v>The Americas</v>
      </c>
      <c r="AC278" s="14" t="str">
        <f>IFERROR(__xludf.DUMMYFUNCTION("""COMPUTED_VALUE"""),"Bermuda-The Americas")</f>
        <v>Bermuda-The Americas</v>
      </c>
      <c r="AD278" s="14" t="str">
        <f>IFERROR(__xludf.DUMMYFUNCTION("""COMPUTED_VALUE"""),"2003")</f>
        <v>2003</v>
      </c>
      <c r="AE278" s="14"/>
      <c r="AF278" s="14">
        <f>IFERROR(__xludf.DUMMYFUNCTION("""COMPUTED_VALUE"""),466.0)</f>
        <v>466</v>
      </c>
    </row>
    <row r="279">
      <c r="A279" s="12">
        <v>278.0</v>
      </c>
      <c r="B279" s="12" t="s">
        <v>100</v>
      </c>
      <c r="C279" s="5" t="s">
        <v>84</v>
      </c>
      <c r="D279" s="8"/>
      <c r="E279" s="8"/>
      <c r="F279" s="8"/>
      <c r="G279" s="8"/>
      <c r="H279" s="11">
        <v>0.61</v>
      </c>
      <c r="I279" s="11">
        <v>0.767</v>
      </c>
      <c r="J279" s="9" t="s">
        <v>65</v>
      </c>
      <c r="K279" s="14" t="str">
        <f>IFERROR(__xludf.DUMMYFUNCTION("ARRAYFORMULA(VLOOKUP(A279,IMPORTRANGE(""https://docs.google.com/spreadsheets/d/1BuTWp7qHGjWhqrnf-OmePP568O4A5Am9ttzvVdP67zw/edit#gid=1603210130"", ""TOURISM!$A$2:$F$2692""), {2,3,4,5,6},0))"),"The Americas")</f>
        <v>The Americas</v>
      </c>
      <c r="L279" s="14">
        <f>IFERROR(__xludf.DUMMYFUNCTION("""COMPUTED_VALUE"""),4.26E8)</f>
        <v>426000000</v>
      </c>
      <c r="M279" s="14" t="str">
        <f>IFERROR(__xludf.DUMMYFUNCTION("""COMPUTED_VALUE"""),"Bermuda-The Americas")</f>
        <v>Bermuda-The Americas</v>
      </c>
      <c r="N279" s="14" t="str">
        <f>IFERROR(__xludf.DUMMYFUNCTION("""COMPUTED_VALUE"""),"2004")</f>
        <v>2004</v>
      </c>
      <c r="O279" s="14">
        <f>IFERROR(__xludf.DUMMYFUNCTION("""COMPUTED_VALUE"""),2.17E8)</f>
        <v>217000000</v>
      </c>
      <c r="P279" s="15">
        <f>IFERROR(__xludf.DUMMYFUNCTION("ARRAYFORMULA(VLOOKUP(A279,IMPORTRANGE(""https://docs.google.com/spreadsheets/d/1BuTWp7qHGjWhqrnf-OmePP568O4A5Am9ttzvVdP67zw/edit#gid=771602874"" ,""HUMAN RESOURCES!$A$2:$M$2692""), {2,3,4,5,6,7,8,9,10,11,12,13},0))"),0.013)</f>
        <v>0.013</v>
      </c>
      <c r="Q279" s="14"/>
      <c r="R279" s="14">
        <f>IFERROR(__xludf.DUMMYFUNCTION("""COMPUTED_VALUE"""),81.0)</f>
        <v>81</v>
      </c>
      <c r="S279" s="14">
        <f>IFERROR(__xludf.DUMMYFUNCTION("""COMPUTED_VALUE"""),76.0)</f>
        <v>76</v>
      </c>
      <c r="T279" s="14"/>
      <c r="U279" s="14"/>
      <c r="V279" s="14"/>
      <c r="W279" s="14">
        <f>IFERROR(__xludf.DUMMYFUNCTION("""COMPUTED_VALUE"""),63740.0)</f>
        <v>63740</v>
      </c>
      <c r="X279" s="14">
        <f>IFERROR(__xludf.DUMMYFUNCTION("""COMPUTED_VALUE"""),1.0)</f>
        <v>1</v>
      </c>
      <c r="Y279" s="14" t="str">
        <f>IFERROR(__xludf.DUMMYFUNCTION("""COMPUTED_VALUE"""),"Bermuda-The Americas")</f>
        <v>Bermuda-The Americas</v>
      </c>
      <c r="Z279" s="14" t="str">
        <f>IFERROR(__xludf.DUMMYFUNCTION("""COMPUTED_VALUE"""),"The Americas")</f>
        <v>The Americas</v>
      </c>
      <c r="AA279" s="14" t="str">
        <f>IFERROR(__xludf.DUMMYFUNCTION("""COMPUTED_VALUE"""),"2004")</f>
        <v>2004</v>
      </c>
      <c r="AB279" s="15" t="str">
        <f>IFERROR(__xludf.DUMMYFUNCTION("ARRAYFORMULA(VLOOKUP(A279,IMPORTRANGE(""https://docs.google.com/spreadsheets/d/1BuTWp7qHGjWhqrnf-OmePP568O4A5Am9ttzvVdP67zw/edit#gid=1931367683"" ,""ENERGY!$A$2:$F$2692""), {2,3,4,5,6},0))"),"The Americas")</f>
        <v>The Americas</v>
      </c>
      <c r="AC279" s="14" t="str">
        <f>IFERROR(__xludf.DUMMYFUNCTION("""COMPUTED_VALUE"""),"Bermuda-The Americas")</f>
        <v>Bermuda-The Americas</v>
      </c>
      <c r="AD279" s="14" t="str">
        <f>IFERROR(__xludf.DUMMYFUNCTION("""COMPUTED_VALUE"""),"2004")</f>
        <v>2004</v>
      </c>
      <c r="AE279" s="14"/>
      <c r="AF279" s="14">
        <f>IFERROR(__xludf.DUMMYFUNCTION("""COMPUTED_VALUE"""),389.0)</f>
        <v>389</v>
      </c>
    </row>
    <row r="280">
      <c r="A280" s="12">
        <v>279.0</v>
      </c>
      <c r="B280" s="12" t="s">
        <v>100</v>
      </c>
      <c r="C280" s="5" t="s">
        <v>84</v>
      </c>
      <c r="D280" s="8"/>
      <c r="E280" s="8"/>
      <c r="F280" s="8"/>
      <c r="G280" s="8"/>
      <c r="H280" s="11">
        <v>0.654</v>
      </c>
      <c r="I280" s="11">
        <v>0.822</v>
      </c>
      <c r="J280" s="9" t="s">
        <v>66</v>
      </c>
      <c r="K280" s="14" t="str">
        <f>IFERROR(__xludf.DUMMYFUNCTION("ARRAYFORMULA(VLOOKUP(A280,IMPORTRANGE(""https://docs.google.com/spreadsheets/d/1BuTWp7qHGjWhqrnf-OmePP568O4A5Am9ttzvVdP67zw/edit#gid=1603210130"", ""TOURISM!$A$2:$F$2692""), {2,3,4,5,6},0))"),"The Americas")</f>
        <v>The Americas</v>
      </c>
      <c r="L280" s="14">
        <f>IFERROR(__xludf.DUMMYFUNCTION("""COMPUTED_VALUE"""),4.29E8)</f>
        <v>429000000</v>
      </c>
      <c r="M280" s="14" t="str">
        <f>IFERROR(__xludf.DUMMYFUNCTION("""COMPUTED_VALUE"""),"Bermuda-The Americas")</f>
        <v>Bermuda-The Americas</v>
      </c>
      <c r="N280" s="14" t="str">
        <f>IFERROR(__xludf.DUMMYFUNCTION("""COMPUTED_VALUE"""),"2005")</f>
        <v>2005</v>
      </c>
      <c r="O280" s="14">
        <f>IFERROR(__xludf.DUMMYFUNCTION("""COMPUTED_VALUE"""),2.39E8)</f>
        <v>239000000</v>
      </c>
      <c r="P280" s="15">
        <f>IFERROR(__xludf.DUMMYFUNCTION("ARRAYFORMULA(VLOOKUP(A280,IMPORTRANGE(""https://docs.google.com/spreadsheets/d/1BuTWp7qHGjWhqrnf-OmePP568O4A5Am9ttzvVdP67zw/edit#gid=771602874"" ,""HUMAN RESOURCES!$A$2:$M$2692""), {2,3,4,5,6,7,8,9,10,11,12,13},0))"),0.013)</f>
        <v>0.013</v>
      </c>
      <c r="Q280" s="14"/>
      <c r="R280" s="14">
        <f>IFERROR(__xludf.DUMMYFUNCTION("""COMPUTED_VALUE"""),81.0)</f>
        <v>81</v>
      </c>
      <c r="S280" s="14">
        <f>IFERROR(__xludf.DUMMYFUNCTION("""COMPUTED_VALUE"""),76.0)</f>
        <v>76</v>
      </c>
      <c r="T280" s="14"/>
      <c r="U280" s="14"/>
      <c r="V280" s="14"/>
      <c r="W280" s="14">
        <f>IFERROR(__xludf.DUMMYFUNCTION("""COMPUTED_VALUE"""),64154.0)</f>
        <v>64154</v>
      </c>
      <c r="X280" s="14">
        <f>IFERROR(__xludf.DUMMYFUNCTION("""COMPUTED_VALUE"""),1.0)</f>
        <v>1</v>
      </c>
      <c r="Y280" s="14" t="str">
        <f>IFERROR(__xludf.DUMMYFUNCTION("""COMPUTED_VALUE"""),"Bermuda-The Americas")</f>
        <v>Bermuda-The Americas</v>
      </c>
      <c r="Z280" s="14" t="str">
        <f>IFERROR(__xludf.DUMMYFUNCTION("""COMPUTED_VALUE"""),"The Americas")</f>
        <v>The Americas</v>
      </c>
      <c r="AA280" s="14" t="str">
        <f>IFERROR(__xludf.DUMMYFUNCTION("""COMPUTED_VALUE"""),"2005")</f>
        <v>2005</v>
      </c>
      <c r="AB280" s="15" t="str">
        <f>IFERROR(__xludf.DUMMYFUNCTION("ARRAYFORMULA(VLOOKUP(A280,IMPORTRANGE(""https://docs.google.com/spreadsheets/d/1BuTWp7qHGjWhqrnf-OmePP568O4A5Am9ttzvVdP67zw/edit#gid=1931367683"" ,""ENERGY!$A$2:$F$2692""), {2,3,4,5,6},0))"),"The Americas")</f>
        <v>The Americas</v>
      </c>
      <c r="AC280" s="14" t="str">
        <f>IFERROR(__xludf.DUMMYFUNCTION("""COMPUTED_VALUE"""),"Bermuda-The Americas")</f>
        <v>Bermuda-The Americas</v>
      </c>
      <c r="AD280" s="14" t="str">
        <f>IFERROR(__xludf.DUMMYFUNCTION("""COMPUTED_VALUE"""),"2006")</f>
        <v>2006</v>
      </c>
      <c r="AE280" s="14"/>
      <c r="AF280" s="14">
        <f>IFERROR(__xludf.DUMMYFUNCTION("""COMPUTED_VALUE"""),517.0)</f>
        <v>517</v>
      </c>
    </row>
    <row r="281">
      <c r="A281" s="12">
        <v>280.0</v>
      </c>
      <c r="B281" s="12" t="s">
        <v>100</v>
      </c>
      <c r="C281" s="5" t="s">
        <v>84</v>
      </c>
      <c r="D281" s="8"/>
      <c r="E281" s="8"/>
      <c r="F281" s="8"/>
      <c r="G281" s="8"/>
      <c r="H281" s="11">
        <v>0.699</v>
      </c>
      <c r="I281" s="11">
        <v>0.934</v>
      </c>
      <c r="J281" s="9" t="s">
        <v>67</v>
      </c>
      <c r="K281" s="14" t="str">
        <f>IFERROR(__xludf.DUMMYFUNCTION("ARRAYFORMULA(VLOOKUP(A281,IMPORTRANGE(""https://docs.google.com/spreadsheets/d/1BuTWp7qHGjWhqrnf-OmePP568O4A5Am9ttzvVdP67zw/edit#gid=1603210130"", ""TOURISM!$A$2:$F$2692""), {2,3,4,5,6},0))"),"The Americas")</f>
        <v>The Americas</v>
      </c>
      <c r="L281" s="14">
        <f>IFERROR(__xludf.DUMMYFUNCTION("""COMPUTED_VALUE"""),4.95E8)</f>
        <v>495000000</v>
      </c>
      <c r="M281" s="14" t="str">
        <f>IFERROR(__xludf.DUMMYFUNCTION("""COMPUTED_VALUE"""),"Bermuda-The Americas")</f>
        <v>Bermuda-The Americas</v>
      </c>
      <c r="N281" s="14" t="str">
        <f>IFERROR(__xludf.DUMMYFUNCTION("""COMPUTED_VALUE"""),"2006")</f>
        <v>2006</v>
      </c>
      <c r="O281" s="14">
        <f>IFERROR(__xludf.DUMMYFUNCTION("""COMPUTED_VALUE"""),3.94E8)</f>
        <v>394000000</v>
      </c>
      <c r="P281" s="15">
        <f>IFERROR(__xludf.DUMMYFUNCTION("ARRAYFORMULA(VLOOKUP(A281,IMPORTRANGE(""https://docs.google.com/spreadsheets/d/1BuTWp7qHGjWhqrnf-OmePP568O4A5Am9ttzvVdP67zw/edit#gid=771602874"" ,""HUMAN RESOURCES!$A$2:$M$2692""), {2,3,4,5,6,7,8,9,10,11,12,13},0))"),0.013)</f>
        <v>0.013</v>
      </c>
      <c r="Q281" s="14"/>
      <c r="R281" s="14">
        <f>IFERROR(__xludf.DUMMYFUNCTION("""COMPUTED_VALUE"""),82.0)</f>
        <v>82</v>
      </c>
      <c r="S281" s="14">
        <f>IFERROR(__xludf.DUMMYFUNCTION("""COMPUTED_VALUE"""),76.0)</f>
        <v>76</v>
      </c>
      <c r="T281" s="14"/>
      <c r="U281" s="14"/>
      <c r="V281" s="14"/>
      <c r="W281" s="14">
        <f>IFERROR(__xludf.DUMMYFUNCTION("""COMPUTED_VALUE"""),64523.0)</f>
        <v>64523</v>
      </c>
      <c r="X281" s="14">
        <f>IFERROR(__xludf.DUMMYFUNCTION("""COMPUTED_VALUE"""),1.0)</f>
        <v>1</v>
      </c>
      <c r="Y281" s="14" t="str">
        <f>IFERROR(__xludf.DUMMYFUNCTION("""COMPUTED_VALUE"""),"Bermuda-The Americas")</f>
        <v>Bermuda-The Americas</v>
      </c>
      <c r="Z281" s="14" t="str">
        <f>IFERROR(__xludf.DUMMYFUNCTION("""COMPUTED_VALUE"""),"The Americas")</f>
        <v>The Americas</v>
      </c>
      <c r="AA281" s="14" t="str">
        <f>IFERROR(__xludf.DUMMYFUNCTION("""COMPUTED_VALUE"""),"2006")</f>
        <v>2006</v>
      </c>
      <c r="AB281" s="15" t="str">
        <f>IFERROR(__xludf.DUMMYFUNCTION("ARRAYFORMULA(VLOOKUP(A281,IMPORTRANGE(""https://docs.google.com/spreadsheets/d/1BuTWp7qHGjWhqrnf-OmePP568O4A5Am9ttzvVdP67zw/edit#gid=1931367683"" ,""ENERGY!$A$2:$F$2692""), {2,3,4,5,6},0))"),"The Americas")</f>
        <v>The Americas</v>
      </c>
      <c r="AC281" s="14" t="str">
        <f>IFERROR(__xludf.DUMMYFUNCTION("""COMPUTED_VALUE"""),"Bermuda-The Americas")</f>
        <v>Bermuda-The Americas</v>
      </c>
      <c r="AD281" s="14" t="str">
        <f>IFERROR(__xludf.DUMMYFUNCTION("""COMPUTED_VALUE"""),"2009")</f>
        <v>2009</v>
      </c>
      <c r="AE281" s="14"/>
      <c r="AF281" s="14">
        <f>IFERROR(__xludf.DUMMYFUNCTION("""COMPUTED_VALUE"""),521.0)</f>
        <v>521</v>
      </c>
    </row>
    <row r="282">
      <c r="A282" s="12">
        <v>281.0</v>
      </c>
      <c r="B282" s="12" t="s">
        <v>100</v>
      </c>
      <c r="C282" s="5" t="s">
        <v>84</v>
      </c>
      <c r="D282" s="8"/>
      <c r="E282" s="8"/>
      <c r="F282" s="8"/>
      <c r="G282" s="8"/>
      <c r="H282" s="11">
        <v>0.744</v>
      </c>
      <c r="I282" s="11">
        <v>1.07</v>
      </c>
      <c r="J282" s="9" t="s">
        <v>68</v>
      </c>
      <c r="K282" s="14" t="str">
        <f>IFERROR(__xludf.DUMMYFUNCTION("ARRAYFORMULA(VLOOKUP(A282,IMPORTRANGE(""https://docs.google.com/spreadsheets/d/1BuTWp7qHGjWhqrnf-OmePP568O4A5Am9ttzvVdP67zw/edit#gid=1603210130"", ""TOURISM!$A$2:$F$2692""), {2,3,4,5,6},0))"),"The Americas")</f>
        <v>The Americas</v>
      </c>
      <c r="L282" s="14">
        <f>IFERROR(__xludf.DUMMYFUNCTION("""COMPUTED_VALUE"""),5.69E8)</f>
        <v>569000000</v>
      </c>
      <c r="M282" s="14" t="str">
        <f>IFERROR(__xludf.DUMMYFUNCTION("""COMPUTED_VALUE"""),"Bermuda-The Americas")</f>
        <v>Bermuda-The Americas</v>
      </c>
      <c r="N282" s="14" t="str">
        <f>IFERROR(__xludf.DUMMYFUNCTION("""COMPUTED_VALUE"""),"2007")</f>
        <v>2007</v>
      </c>
      <c r="O282" s="14">
        <f>IFERROR(__xludf.DUMMYFUNCTION("""COMPUTED_VALUE"""),4.53E8)</f>
        <v>453000000</v>
      </c>
      <c r="P282" s="15">
        <f>IFERROR(__xludf.DUMMYFUNCTION("ARRAYFORMULA(VLOOKUP(A282,IMPORTRANGE(""https://docs.google.com/spreadsheets/d/1BuTWp7qHGjWhqrnf-OmePP568O4A5Am9ttzvVdP67zw/edit#gid=771602874"" ,""HUMAN RESOURCES!$A$2:$M$2692""), {2,3,4,5,6,7,8,9,10,11,12,13},0))"),0.013)</f>
        <v>0.013</v>
      </c>
      <c r="Q282" s="14"/>
      <c r="R282" s="14">
        <f>IFERROR(__xludf.DUMMYFUNCTION("""COMPUTED_VALUE"""),82.0)</f>
        <v>82</v>
      </c>
      <c r="S282" s="14">
        <f>IFERROR(__xludf.DUMMYFUNCTION("""COMPUTED_VALUE"""),76.0)</f>
        <v>76</v>
      </c>
      <c r="T282" s="14"/>
      <c r="U282" s="14"/>
      <c r="V282" s="14"/>
      <c r="W282" s="14">
        <f>IFERROR(__xludf.DUMMYFUNCTION("""COMPUTED_VALUE"""),64888.0)</f>
        <v>64888</v>
      </c>
      <c r="X282" s="14">
        <f>IFERROR(__xludf.DUMMYFUNCTION("""COMPUTED_VALUE"""),1.0)</f>
        <v>1</v>
      </c>
      <c r="Y282" s="14" t="str">
        <f>IFERROR(__xludf.DUMMYFUNCTION("""COMPUTED_VALUE"""),"Bermuda-The Americas")</f>
        <v>Bermuda-The Americas</v>
      </c>
      <c r="Z282" s="14" t="str">
        <f>IFERROR(__xludf.DUMMYFUNCTION("""COMPUTED_VALUE"""),"The Americas")</f>
        <v>The Americas</v>
      </c>
      <c r="AA282" s="14" t="str">
        <f>IFERROR(__xludf.DUMMYFUNCTION("""COMPUTED_VALUE"""),"2007")</f>
        <v>2007</v>
      </c>
      <c r="AB282" s="15" t="str">
        <f>IFERROR(__xludf.DUMMYFUNCTION("ARRAYFORMULA(VLOOKUP(A282,IMPORTRANGE(""https://docs.google.com/spreadsheets/d/1BuTWp7qHGjWhqrnf-OmePP568O4A5Am9ttzvVdP67zw/edit#gid=1931367683"" ,""ENERGY!$A$2:$F$2692""), {2,3,4,5,6},0))"),"The Americas")</f>
        <v>The Americas</v>
      </c>
      <c r="AC282" s="14" t="str">
        <f>IFERROR(__xludf.DUMMYFUNCTION("""COMPUTED_VALUE"""),"Bermuda-The Americas")</f>
        <v>Bermuda-The Americas</v>
      </c>
      <c r="AD282" s="14" t="str">
        <f>IFERROR(__xludf.DUMMYFUNCTION("""COMPUTED_VALUE"""),"2006")</f>
        <v>2006</v>
      </c>
      <c r="AE282" s="14"/>
      <c r="AF282" s="14">
        <f>IFERROR(__xludf.DUMMYFUNCTION("""COMPUTED_VALUE"""),444.0)</f>
        <v>444</v>
      </c>
    </row>
    <row r="283">
      <c r="A283" s="12">
        <v>282.0</v>
      </c>
      <c r="B283" s="12" t="s">
        <v>100</v>
      </c>
      <c r="C283" s="5" t="s">
        <v>84</v>
      </c>
      <c r="D283" s="8"/>
      <c r="E283" s="8"/>
      <c r="F283" s="8"/>
      <c r="G283" s="8"/>
      <c r="H283" s="11">
        <v>0.823</v>
      </c>
      <c r="I283" s="11">
        <v>1.222</v>
      </c>
      <c r="J283" s="9" t="s">
        <v>69</v>
      </c>
      <c r="K283" s="14" t="str">
        <f>IFERROR(__xludf.DUMMYFUNCTION("ARRAYFORMULA(VLOOKUP(A283,IMPORTRANGE(""https://docs.google.com/spreadsheets/d/1BuTWp7qHGjWhqrnf-OmePP568O4A5Am9ttzvVdP67zw/edit#gid=1603210130"", ""TOURISM!$A$2:$F$2692""), {2,3,4,5,6},0))"),"The Americas")</f>
        <v>The Americas</v>
      </c>
      <c r="L283" s="14">
        <f>IFERROR(__xludf.DUMMYFUNCTION("""COMPUTED_VALUE"""),4.31E8)</f>
        <v>431000000</v>
      </c>
      <c r="M283" s="14" t="str">
        <f>IFERROR(__xludf.DUMMYFUNCTION("""COMPUTED_VALUE"""),"Bermuda-The Americas")</f>
        <v>Bermuda-The Americas</v>
      </c>
      <c r="N283" s="14" t="str">
        <f>IFERROR(__xludf.DUMMYFUNCTION("""COMPUTED_VALUE"""),"2008")</f>
        <v>2008</v>
      </c>
      <c r="O283" s="14">
        <f>IFERROR(__xludf.DUMMYFUNCTION("""COMPUTED_VALUE"""),4.59E8)</f>
        <v>459000000</v>
      </c>
      <c r="P283" s="15">
        <f>IFERROR(__xludf.DUMMYFUNCTION("ARRAYFORMULA(VLOOKUP(A283,IMPORTRANGE(""https://docs.google.com/spreadsheets/d/1BuTWp7qHGjWhqrnf-OmePP568O4A5Am9ttzvVdP67zw/edit#gid=771602874"" ,""HUMAN RESOURCES!$A$2:$M$2692""), {2,3,4,5,6,7,8,9,10,11,12,13},0))"),0.013)</f>
        <v>0.013</v>
      </c>
      <c r="Q283" s="14"/>
      <c r="R283" s="14">
        <f>IFERROR(__xludf.DUMMYFUNCTION("""COMPUTED_VALUE"""),82.0)</f>
        <v>82</v>
      </c>
      <c r="S283" s="14">
        <f>IFERROR(__xludf.DUMMYFUNCTION("""COMPUTED_VALUE"""),77.0)</f>
        <v>77</v>
      </c>
      <c r="T283" s="14"/>
      <c r="U283" s="14"/>
      <c r="V283" s="14"/>
      <c r="W283" s="14">
        <f>IFERROR(__xludf.DUMMYFUNCTION("""COMPUTED_VALUE"""),65273.0)</f>
        <v>65273</v>
      </c>
      <c r="X283" s="14">
        <f>IFERROR(__xludf.DUMMYFUNCTION("""COMPUTED_VALUE"""),1.0)</f>
        <v>1</v>
      </c>
      <c r="Y283" s="14" t="str">
        <f>IFERROR(__xludf.DUMMYFUNCTION("""COMPUTED_VALUE"""),"Bermuda-The Americas")</f>
        <v>Bermuda-The Americas</v>
      </c>
      <c r="Z283" s="14" t="str">
        <f>IFERROR(__xludf.DUMMYFUNCTION("""COMPUTED_VALUE"""),"The Americas")</f>
        <v>The Americas</v>
      </c>
      <c r="AA283" s="14" t="str">
        <f>IFERROR(__xludf.DUMMYFUNCTION("""COMPUTED_VALUE"""),"2008")</f>
        <v>2008</v>
      </c>
      <c r="AB283" s="15" t="str">
        <f>IFERROR(__xludf.DUMMYFUNCTION("ARRAYFORMULA(VLOOKUP(A283,IMPORTRANGE(""https://docs.google.com/spreadsheets/d/1BuTWp7qHGjWhqrnf-OmePP568O4A5Am9ttzvVdP67zw/edit#gid=1931367683"" ,""ENERGY!$A$2:$F$2692""), {2,3,4,5,6},0))"),"The Americas")</f>
        <v>The Americas</v>
      </c>
      <c r="AC283" s="14" t="str">
        <f>IFERROR(__xludf.DUMMYFUNCTION("""COMPUTED_VALUE"""),"Bermuda-The Americas")</f>
        <v>Bermuda-The Americas</v>
      </c>
      <c r="AD283" s="14" t="str">
        <f>IFERROR(__xludf.DUMMYFUNCTION("""COMPUTED_VALUE"""),"2012")</f>
        <v>2012</v>
      </c>
      <c r="AE283" s="14"/>
      <c r="AF283" s="14">
        <f>IFERROR(__xludf.DUMMYFUNCTION("""COMPUTED_VALUE"""),671.0)</f>
        <v>671</v>
      </c>
    </row>
    <row r="284">
      <c r="A284" s="12">
        <v>283.0</v>
      </c>
      <c r="B284" s="12" t="s">
        <v>100</v>
      </c>
      <c r="C284" s="5" t="s">
        <v>84</v>
      </c>
      <c r="D284" s="8"/>
      <c r="E284" s="8"/>
      <c r="F284" s="8"/>
      <c r="G284" s="8"/>
      <c r="H284" s="11">
        <v>0.833</v>
      </c>
      <c r="I284" s="11">
        <v>1.311</v>
      </c>
      <c r="J284" s="9" t="s">
        <v>70</v>
      </c>
      <c r="K284" s="14" t="str">
        <f>IFERROR(__xludf.DUMMYFUNCTION("ARRAYFORMULA(VLOOKUP(A284,IMPORTRANGE(""https://docs.google.com/spreadsheets/d/1BuTWp7qHGjWhqrnf-OmePP568O4A5Am9ttzvVdP67zw/edit#gid=1603210130"", ""TOURISM!$A$2:$F$2692""), {2,3,4,5,6},0))"),"The Americas")</f>
        <v>The Americas</v>
      </c>
      <c r="L284" s="14">
        <f>IFERROR(__xludf.DUMMYFUNCTION("""COMPUTED_VALUE"""),3.66E8)</f>
        <v>366000000</v>
      </c>
      <c r="M284" s="14" t="str">
        <f>IFERROR(__xludf.DUMMYFUNCTION("""COMPUTED_VALUE"""),"Bermuda-The Americas")</f>
        <v>Bermuda-The Americas</v>
      </c>
      <c r="N284" s="14" t="str">
        <f>IFERROR(__xludf.DUMMYFUNCTION("""COMPUTED_VALUE"""),"2009")</f>
        <v>2009</v>
      </c>
      <c r="O284" s="14">
        <f>IFERROR(__xludf.DUMMYFUNCTION("""COMPUTED_VALUE"""),4.07E8)</f>
        <v>407000000</v>
      </c>
      <c r="P284" s="15">
        <f>IFERROR(__xludf.DUMMYFUNCTION("ARRAYFORMULA(VLOOKUP(A284,IMPORTRANGE(""https://docs.google.com/spreadsheets/d/1BuTWp7qHGjWhqrnf-OmePP568O4A5Am9ttzvVdP67zw/edit#gid=771602874"" ,""HUMAN RESOURCES!$A$2:$M$2692""), {2,3,4,5,6,7,8,9,10,11,12,13},0))"),0.012)</f>
        <v>0.012</v>
      </c>
      <c r="Q284" s="14"/>
      <c r="R284" s="14">
        <f>IFERROR(__xludf.DUMMYFUNCTION("""COMPUTED_VALUE"""),82.0)</f>
        <v>82</v>
      </c>
      <c r="S284" s="14">
        <f>IFERROR(__xludf.DUMMYFUNCTION("""COMPUTED_VALUE"""),77.0)</f>
        <v>77</v>
      </c>
      <c r="T284" s="14"/>
      <c r="U284" s="14"/>
      <c r="V284" s="14"/>
      <c r="W284" s="14">
        <f>IFERROR(__xludf.DUMMYFUNCTION("""COMPUTED_VALUE"""),65636.0)</f>
        <v>65636</v>
      </c>
      <c r="X284" s="14">
        <f>IFERROR(__xludf.DUMMYFUNCTION("""COMPUTED_VALUE"""),1.0)</f>
        <v>1</v>
      </c>
      <c r="Y284" s="14" t="str">
        <f>IFERROR(__xludf.DUMMYFUNCTION("""COMPUTED_VALUE"""),"Bermuda-The Americas")</f>
        <v>Bermuda-The Americas</v>
      </c>
      <c r="Z284" s="14" t="str">
        <f>IFERROR(__xludf.DUMMYFUNCTION("""COMPUTED_VALUE"""),"The Americas")</f>
        <v>The Americas</v>
      </c>
      <c r="AA284" s="14" t="str">
        <f>IFERROR(__xludf.DUMMYFUNCTION("""COMPUTED_VALUE"""),"2009")</f>
        <v>2009</v>
      </c>
      <c r="AB284" s="15" t="str">
        <f>IFERROR(__xludf.DUMMYFUNCTION("ARRAYFORMULA(VLOOKUP(A284,IMPORTRANGE(""https://docs.google.com/spreadsheets/d/1BuTWp7qHGjWhqrnf-OmePP568O4A5Am9ttzvVdP67zw/edit#gid=1931367683"" ,""ENERGY!$A$2:$F$2692""), {2,3,4,5,6},0))"),"The Americas")</f>
        <v>The Americas</v>
      </c>
      <c r="AC284" s="14" t="str">
        <f>IFERROR(__xludf.DUMMYFUNCTION("""COMPUTED_VALUE"""),"Bermuda-The Americas")</f>
        <v>Bermuda-The Americas</v>
      </c>
      <c r="AD284" s="14" t="str">
        <f>IFERROR(__xludf.DUMMYFUNCTION("""COMPUTED_VALUE"""),"2008")</f>
        <v>2008</v>
      </c>
      <c r="AE284" s="14"/>
      <c r="AF284" s="14">
        <f>IFERROR(__xludf.DUMMYFUNCTION("""COMPUTED_VALUE"""),510.0)</f>
        <v>510</v>
      </c>
    </row>
    <row r="285">
      <c r="A285" s="12">
        <v>284.0</v>
      </c>
      <c r="B285" s="12" t="s">
        <v>100</v>
      </c>
      <c r="C285" s="5" t="s">
        <v>84</v>
      </c>
      <c r="D285" s="8"/>
      <c r="E285" s="8"/>
      <c r="F285" s="8"/>
      <c r="G285" s="8"/>
      <c r="H285" s="11">
        <v>0.842</v>
      </c>
      <c r="I285" s="11">
        <v>1.358</v>
      </c>
      <c r="J285" s="9" t="s">
        <v>71</v>
      </c>
      <c r="K285" s="14" t="str">
        <f>IFERROR(__xludf.DUMMYFUNCTION("ARRAYFORMULA(VLOOKUP(A285,IMPORTRANGE(""https://docs.google.com/spreadsheets/d/1BuTWp7qHGjWhqrnf-OmePP568O4A5Am9ttzvVdP67zw/edit#gid=1603210130"", ""TOURISM!$A$2:$F$2692""), {2,3,4,5,6},0))"),"The Americas")</f>
        <v>The Americas</v>
      </c>
      <c r="L285" s="14">
        <f>IFERROR(__xludf.DUMMYFUNCTION("""COMPUTED_VALUE"""),4.42E8)</f>
        <v>442000000</v>
      </c>
      <c r="M285" s="14" t="str">
        <f>IFERROR(__xludf.DUMMYFUNCTION("""COMPUTED_VALUE"""),"Bermuda-The Americas")</f>
        <v>Bermuda-The Americas</v>
      </c>
      <c r="N285" s="14" t="str">
        <f>IFERROR(__xludf.DUMMYFUNCTION("""COMPUTED_VALUE"""),"2010")</f>
        <v>2010</v>
      </c>
      <c r="O285" s="14">
        <f>IFERROR(__xludf.DUMMYFUNCTION("""COMPUTED_VALUE"""),4.17E8)</f>
        <v>417000000</v>
      </c>
      <c r="P285" s="15">
        <f>IFERROR(__xludf.DUMMYFUNCTION("ARRAYFORMULA(VLOOKUP(A285,IMPORTRANGE(""https://docs.google.com/spreadsheets/d/1BuTWp7qHGjWhqrnf-OmePP568O4A5Am9ttzvVdP67zw/edit#gid=771602874"" ,""HUMAN RESOURCES!$A$2:$M$2692""), {2,3,4,5,6,7,8,9,10,11,12,13},0))"),0.012)</f>
        <v>0.012</v>
      </c>
      <c r="Q285" s="14"/>
      <c r="R285" s="14">
        <f>IFERROR(__xludf.DUMMYFUNCTION("""COMPUTED_VALUE"""),82.0)</f>
        <v>82</v>
      </c>
      <c r="S285" s="14">
        <f>IFERROR(__xludf.DUMMYFUNCTION("""COMPUTED_VALUE"""),77.0)</f>
        <v>77</v>
      </c>
      <c r="T285" s="14"/>
      <c r="U285" s="14"/>
      <c r="V285" s="14"/>
      <c r="W285" s="14">
        <f>IFERROR(__xludf.DUMMYFUNCTION("""COMPUTED_VALUE"""),65124.0)</f>
        <v>65124</v>
      </c>
      <c r="X285" s="14">
        <f>IFERROR(__xludf.DUMMYFUNCTION("""COMPUTED_VALUE"""),1.0)</f>
        <v>1</v>
      </c>
      <c r="Y285" s="14" t="str">
        <f>IFERROR(__xludf.DUMMYFUNCTION("""COMPUTED_VALUE"""),"Bermuda-The Americas")</f>
        <v>Bermuda-The Americas</v>
      </c>
      <c r="Z285" s="14" t="str">
        <f>IFERROR(__xludf.DUMMYFUNCTION("""COMPUTED_VALUE"""),"The Americas")</f>
        <v>The Americas</v>
      </c>
      <c r="AA285" s="14" t="str">
        <f>IFERROR(__xludf.DUMMYFUNCTION("""COMPUTED_VALUE"""),"2010")</f>
        <v>2010</v>
      </c>
      <c r="AB285" s="15" t="str">
        <f>IFERROR(__xludf.DUMMYFUNCTION("ARRAYFORMULA(VLOOKUP(A285,IMPORTRANGE(""https://docs.google.com/spreadsheets/d/1BuTWp7qHGjWhqrnf-OmePP568O4A5Am9ttzvVdP67zw/edit#gid=1931367683"" ,""ENERGY!$A$2:$F$2692""), {2,3,4,5,6},0))"),"The Americas")</f>
        <v>The Americas</v>
      </c>
      <c r="AC285" s="14" t="str">
        <f>IFERROR(__xludf.DUMMYFUNCTION("""COMPUTED_VALUE"""),"Bermuda-The Americas")</f>
        <v>Bermuda-The Americas</v>
      </c>
      <c r="AD285" s="14" t="str">
        <f>IFERROR(__xludf.DUMMYFUNCTION("""COMPUTED_VALUE"""),"2005")</f>
        <v>2005</v>
      </c>
      <c r="AE285" s="14"/>
      <c r="AF285" s="14">
        <f>IFERROR(__xludf.DUMMYFUNCTION("""COMPUTED_VALUE"""),524.0)</f>
        <v>524</v>
      </c>
    </row>
    <row r="286">
      <c r="A286" s="12">
        <v>285.0</v>
      </c>
      <c r="B286" s="12" t="s">
        <v>100</v>
      </c>
      <c r="C286" s="5" t="s">
        <v>84</v>
      </c>
      <c r="D286" s="8"/>
      <c r="E286" s="8"/>
      <c r="F286" s="8"/>
      <c r="G286" s="8"/>
      <c r="H286" s="11">
        <v>0.883</v>
      </c>
      <c r="I286" s="8"/>
      <c r="J286" s="9" t="s">
        <v>72</v>
      </c>
      <c r="K286" s="14" t="str">
        <f>IFERROR(__xludf.DUMMYFUNCTION("ARRAYFORMULA(VLOOKUP(A286,IMPORTRANGE(""https://docs.google.com/spreadsheets/d/1BuTWp7qHGjWhqrnf-OmePP568O4A5Am9ttzvVdP67zw/edit#gid=1603210130"", ""TOURISM!$A$2:$F$2692""), {2,3,4,5,6},0))"),"The Americas")</f>
        <v>The Americas</v>
      </c>
      <c r="L286" s="14">
        <f>IFERROR(__xludf.DUMMYFUNCTION("""COMPUTED_VALUE"""),4.72E8)</f>
        <v>472000000</v>
      </c>
      <c r="M286" s="14" t="str">
        <f>IFERROR(__xludf.DUMMYFUNCTION("""COMPUTED_VALUE"""),"Bermuda-The Americas")</f>
        <v>Bermuda-The Americas</v>
      </c>
      <c r="N286" s="14" t="str">
        <f>IFERROR(__xludf.DUMMYFUNCTION("""COMPUTED_VALUE"""),"2011")</f>
        <v>2011</v>
      </c>
      <c r="O286" s="14">
        <f>IFERROR(__xludf.DUMMYFUNCTION("""COMPUTED_VALUE"""),4.13E8)</f>
        <v>413000000</v>
      </c>
      <c r="P286" s="15">
        <f>IFERROR(__xludf.DUMMYFUNCTION("ARRAYFORMULA(VLOOKUP(A286,IMPORTRANGE(""https://docs.google.com/spreadsheets/d/1BuTWp7qHGjWhqrnf-OmePP568O4A5Am9ttzvVdP67zw/edit#gid=771602874"" ,""HUMAN RESOURCES!$A$2:$M$2692""), {2,3,4,5,6,7,8,9,10,11,12,13},0))"),0.012)</f>
        <v>0.012</v>
      </c>
      <c r="Q286" s="14"/>
      <c r="R286" s="14">
        <f>IFERROR(__xludf.DUMMYFUNCTION("""COMPUTED_VALUE"""),82.0)</f>
        <v>82</v>
      </c>
      <c r="S286" s="14">
        <f>IFERROR(__xludf.DUMMYFUNCTION("""COMPUTED_VALUE"""),77.0)</f>
        <v>77</v>
      </c>
      <c r="T286" s="14"/>
      <c r="U286" s="14"/>
      <c r="V286" s="14"/>
      <c r="W286" s="14">
        <f>IFERROR(__xludf.DUMMYFUNCTION("""COMPUTED_VALUE"""),64564.0)</f>
        <v>64564</v>
      </c>
      <c r="X286" s="14">
        <f>IFERROR(__xludf.DUMMYFUNCTION("""COMPUTED_VALUE"""),1.0)</f>
        <v>1</v>
      </c>
      <c r="Y286" s="14" t="str">
        <f>IFERROR(__xludf.DUMMYFUNCTION("""COMPUTED_VALUE"""),"Bermuda-The Americas")</f>
        <v>Bermuda-The Americas</v>
      </c>
      <c r="Z286" s="14" t="str">
        <f>IFERROR(__xludf.DUMMYFUNCTION("""COMPUTED_VALUE"""),"The Americas")</f>
        <v>The Americas</v>
      </c>
      <c r="AA286" s="14" t="str">
        <f>IFERROR(__xludf.DUMMYFUNCTION("""COMPUTED_VALUE"""),"2011")</f>
        <v>2011</v>
      </c>
      <c r="AB286" s="15" t="str">
        <f>IFERROR(__xludf.DUMMYFUNCTION("ARRAYFORMULA(VLOOKUP(A286,IMPORTRANGE(""https://docs.google.com/spreadsheets/d/1BuTWp7qHGjWhqrnf-OmePP568O4A5Am9ttzvVdP67zw/edit#gid=1931367683"" ,""ENERGY!$A$2:$F$2692""), {2,3,4,5,6},0))"),"The Americas")</f>
        <v>The Americas</v>
      </c>
      <c r="AC286" s="14" t="str">
        <f>IFERROR(__xludf.DUMMYFUNCTION("""COMPUTED_VALUE"""),"Bermuda-The Americas")</f>
        <v>Bermuda-The Americas</v>
      </c>
      <c r="AD286" s="14" t="str">
        <f>IFERROR(__xludf.DUMMYFUNCTION("""COMPUTED_VALUE"""),"2012")</f>
        <v>2012</v>
      </c>
      <c r="AE286" s="14"/>
      <c r="AF286" s="14">
        <f>IFERROR(__xludf.DUMMYFUNCTION("""COMPUTED_VALUE"""),495.0)</f>
        <v>495</v>
      </c>
    </row>
    <row r="287">
      <c r="A287" s="12">
        <v>286.0</v>
      </c>
      <c r="B287" s="12" t="s">
        <v>100</v>
      </c>
      <c r="C287" s="5" t="s">
        <v>84</v>
      </c>
      <c r="D287" s="8"/>
      <c r="E287" s="8"/>
      <c r="F287" s="8"/>
      <c r="G287" s="8"/>
      <c r="H287" s="11">
        <v>0.913</v>
      </c>
      <c r="I287" s="11">
        <v>1.395</v>
      </c>
      <c r="J287" s="9" t="s">
        <v>73</v>
      </c>
      <c r="K287" s="14" t="str">
        <f>IFERROR(__xludf.DUMMYFUNCTION("ARRAYFORMULA(VLOOKUP(A287,IMPORTRANGE(""https://docs.google.com/spreadsheets/d/1BuTWp7qHGjWhqrnf-OmePP568O4A5Am9ttzvVdP67zw/edit#gid=1603210130"", ""TOURISM!$A$2:$F$2692""), {2,3,4,5,6},0))"),"The Americas")</f>
        <v>The Americas</v>
      </c>
      <c r="L287" s="14">
        <f>IFERROR(__xludf.DUMMYFUNCTION("""COMPUTED_VALUE"""),4.61E8)</f>
        <v>461000000</v>
      </c>
      <c r="M287" s="14" t="str">
        <f>IFERROR(__xludf.DUMMYFUNCTION("""COMPUTED_VALUE"""),"Bermuda-The Americas")</f>
        <v>Bermuda-The Americas</v>
      </c>
      <c r="N287" s="14" t="str">
        <f>IFERROR(__xludf.DUMMYFUNCTION("""COMPUTED_VALUE"""),"2012")</f>
        <v>2012</v>
      </c>
      <c r="O287" s="14">
        <f>IFERROR(__xludf.DUMMYFUNCTION("""COMPUTED_VALUE"""),4.11E8)</f>
        <v>411000000</v>
      </c>
      <c r="P287" s="15">
        <f>IFERROR(__xludf.DUMMYFUNCTION("ARRAYFORMULA(VLOOKUP(A287,IMPORTRANGE(""https://docs.google.com/spreadsheets/d/1BuTWp7qHGjWhqrnf-OmePP568O4A5Am9ttzvVdP67zw/edit#gid=771602874"" ,""HUMAN RESOURCES!$A$2:$M$2692""), {2,3,4,5,6,7,8,9,10,11,12,13},0))"),0.012)</f>
        <v>0.012</v>
      </c>
      <c r="Q287" s="14"/>
      <c r="R287" s="14">
        <f>IFERROR(__xludf.DUMMYFUNCTION("""COMPUTED_VALUE"""),82.0)</f>
        <v>82</v>
      </c>
      <c r="S287" s="14">
        <f>IFERROR(__xludf.DUMMYFUNCTION("""COMPUTED_VALUE"""),77.0)</f>
        <v>77</v>
      </c>
      <c r="T287" s="14"/>
      <c r="U287" s="14"/>
      <c r="V287" s="14"/>
      <c r="W287" s="14">
        <f>IFERROR(__xludf.DUMMYFUNCTION("""COMPUTED_VALUE"""),64798.0)</f>
        <v>64798</v>
      </c>
      <c r="X287" s="14">
        <f>IFERROR(__xludf.DUMMYFUNCTION("""COMPUTED_VALUE"""),1.0)</f>
        <v>1</v>
      </c>
      <c r="Y287" s="14" t="str">
        <f>IFERROR(__xludf.DUMMYFUNCTION("""COMPUTED_VALUE"""),"Bermuda-The Americas")</f>
        <v>Bermuda-The Americas</v>
      </c>
      <c r="Z287" s="14" t="str">
        <f>IFERROR(__xludf.DUMMYFUNCTION("""COMPUTED_VALUE"""),"The Americas")</f>
        <v>The Americas</v>
      </c>
      <c r="AA287" s="14" t="str">
        <f>IFERROR(__xludf.DUMMYFUNCTION("""COMPUTED_VALUE"""),"2012")</f>
        <v>2012</v>
      </c>
      <c r="AB287" s="15" t="str">
        <f>IFERROR(__xludf.DUMMYFUNCTION("ARRAYFORMULA(VLOOKUP(A287,IMPORTRANGE(""https://docs.google.com/spreadsheets/d/1BuTWp7qHGjWhqrnf-OmePP568O4A5Am9ttzvVdP67zw/edit#gid=1931367683"" ,""ENERGY!$A$2:$F$2692""), {2,3,4,5,6},0))"),"The Americas")</f>
        <v>The Americas</v>
      </c>
      <c r="AC287" s="14" t="str">
        <f>IFERROR(__xludf.DUMMYFUNCTION("""COMPUTED_VALUE"""),"Bermuda-The Americas")</f>
        <v>Bermuda-The Americas</v>
      </c>
      <c r="AD287" s="14" t="str">
        <f>IFERROR(__xludf.DUMMYFUNCTION("""COMPUTED_VALUE"""),"2008")</f>
        <v>2008</v>
      </c>
      <c r="AE287" s="14"/>
      <c r="AF287" s="14">
        <f>IFERROR(__xludf.DUMMYFUNCTION("""COMPUTED_VALUE"""),495.0)</f>
        <v>495</v>
      </c>
    </row>
    <row r="288">
      <c r="A288" s="12">
        <v>287.0</v>
      </c>
      <c r="B288" s="12" t="s">
        <v>101</v>
      </c>
      <c r="C288" s="5" t="s">
        <v>61</v>
      </c>
      <c r="D288" s="8"/>
      <c r="E288" s="8"/>
      <c r="F288" s="8"/>
      <c r="G288" s="8"/>
      <c r="H288" s="11">
        <v>0.004</v>
      </c>
      <c r="I288" s="8"/>
      <c r="J288" s="9" t="s">
        <v>60</v>
      </c>
      <c r="K288" s="14" t="str">
        <f>IFERROR(__xludf.DUMMYFUNCTION("ARRAYFORMULA(VLOOKUP(A288,IMPORTRANGE(""https://docs.google.com/spreadsheets/d/1BuTWp7qHGjWhqrnf-OmePP568O4A5Am9ttzvVdP67zw/edit#gid=1603210130"", ""TOURISM!$A$2:$F$2692""), {2,3,4,5,6},0))"),"Asia")</f>
        <v>Asia</v>
      </c>
      <c r="L288" s="14">
        <f>IFERROR(__xludf.DUMMYFUNCTION("""COMPUTED_VALUE"""),1.0E7)</f>
        <v>10000000</v>
      </c>
      <c r="M288" s="14" t="str">
        <f>IFERROR(__xludf.DUMMYFUNCTION("""COMPUTED_VALUE"""),"Bhutan-Asia")</f>
        <v>Bhutan-Asia</v>
      </c>
      <c r="N288" s="14" t="str">
        <f>IFERROR(__xludf.DUMMYFUNCTION("""COMPUTED_VALUE"""),"2000")</f>
        <v>2000</v>
      </c>
      <c r="O288" s="14"/>
      <c r="P288" s="15">
        <f>IFERROR(__xludf.DUMMYFUNCTION("ARRAYFORMULA(VLOOKUP(A288,IMPORTRANGE(""https://docs.google.com/spreadsheets/d/1BuTWp7qHGjWhqrnf-OmePP568O4A5Am9ttzvVdP67zw/edit#gid=771602874"" ,""HUMAN RESOURCES!$A$2:$M$2692""), {2,3,4,5,6,7,8,9,10,11,12,13},0))"),0.028)</f>
        <v>0.028</v>
      </c>
      <c r="Q288" s="14">
        <f>IFERROR(__xludf.DUMMYFUNCTION("""COMPUTED_VALUE"""),0.059)</f>
        <v>0.059</v>
      </c>
      <c r="R288" s="14">
        <f>IFERROR(__xludf.DUMMYFUNCTION("""COMPUTED_VALUE"""),60.0)</f>
        <v>60</v>
      </c>
      <c r="S288" s="14">
        <f>IFERROR(__xludf.DUMMYFUNCTION("""COMPUTED_VALUE"""),60.0)</f>
        <v>60</v>
      </c>
      <c r="T288" s="14">
        <f>IFERROR(__xludf.DUMMYFUNCTION("""COMPUTED_VALUE"""),0.406)</f>
        <v>0.406</v>
      </c>
      <c r="U288" s="14">
        <f>IFERROR(__xludf.DUMMYFUNCTION("""COMPUTED_VALUE"""),0.556)</f>
        <v>0.556</v>
      </c>
      <c r="V288" s="14">
        <f>IFERROR(__xludf.DUMMYFUNCTION("""COMPUTED_VALUE"""),0.038)</f>
        <v>0.038</v>
      </c>
      <c r="W288" s="14">
        <f>IFERROR(__xludf.DUMMYFUNCTION("""COMPUTED_VALUE"""),564350.0)</f>
        <v>564350</v>
      </c>
      <c r="X288" s="14">
        <f>IFERROR(__xludf.DUMMYFUNCTION("""COMPUTED_VALUE"""),0.254)</f>
        <v>0.254</v>
      </c>
      <c r="Y288" s="14" t="str">
        <f>IFERROR(__xludf.DUMMYFUNCTION("""COMPUTED_VALUE"""),"Bhutan-Asia")</f>
        <v>Bhutan-Asia</v>
      </c>
      <c r="Z288" s="14" t="str">
        <f>IFERROR(__xludf.DUMMYFUNCTION("""COMPUTED_VALUE"""),"Asia")</f>
        <v>Asia</v>
      </c>
      <c r="AA288" s="14" t="str">
        <f>IFERROR(__xludf.DUMMYFUNCTION("""COMPUTED_VALUE"""),"2000")</f>
        <v>2000</v>
      </c>
      <c r="AB288" s="15" t="str">
        <f>IFERROR(__xludf.DUMMYFUNCTION("ARRAYFORMULA(VLOOKUP(A288,IMPORTRANGE(""https://docs.google.com/spreadsheets/d/1BuTWp7qHGjWhqrnf-OmePP568O4A5Am9ttzvVdP67zw/edit#gid=1931367683"" ,""ENERGY!$A$2:$F$2692""), {2,3,4,5,6},0))"),"Asia")</f>
        <v>Asia</v>
      </c>
      <c r="AC288" s="14" t="str">
        <f>IFERROR(__xludf.DUMMYFUNCTION("""COMPUTED_VALUE"""),"Bhutan-Asia")</f>
        <v>Bhutan-Asia</v>
      </c>
      <c r="AD288" s="14" t="str">
        <f>IFERROR(__xludf.DUMMYFUNCTION("""COMPUTED_VALUE"""),"2000")</f>
        <v>2000</v>
      </c>
      <c r="AE288" s="14"/>
      <c r="AF288" s="14"/>
    </row>
    <row r="289">
      <c r="A289" s="12">
        <v>288.0</v>
      </c>
      <c r="B289" s="12" t="s">
        <v>101</v>
      </c>
      <c r="C289" s="5" t="s">
        <v>61</v>
      </c>
      <c r="D289" s="8"/>
      <c r="E289" s="8"/>
      <c r="F289" s="8"/>
      <c r="G289" s="8"/>
      <c r="H289" s="11">
        <v>0.009</v>
      </c>
      <c r="I289" s="8"/>
      <c r="J289" s="9" t="s">
        <v>62</v>
      </c>
      <c r="K289" s="14" t="str">
        <f>IFERROR(__xludf.DUMMYFUNCTION("ARRAYFORMULA(VLOOKUP(A289,IMPORTRANGE(""https://docs.google.com/spreadsheets/d/1BuTWp7qHGjWhqrnf-OmePP568O4A5Am9ttzvVdP67zw/edit#gid=1603210130"", ""TOURISM!$A$2:$F$2692""), {2,3,4,5,6},0))"),"Asia")</f>
        <v>Asia</v>
      </c>
      <c r="L289" s="14">
        <f>IFERROR(__xludf.DUMMYFUNCTION("""COMPUTED_VALUE"""),9000000.0)</f>
        <v>9000000</v>
      </c>
      <c r="M289" s="14" t="str">
        <f>IFERROR(__xludf.DUMMYFUNCTION("""COMPUTED_VALUE"""),"Bhutan-Asia")</f>
        <v>Bhutan-Asia</v>
      </c>
      <c r="N289" s="14" t="str">
        <f>IFERROR(__xludf.DUMMYFUNCTION("""COMPUTED_VALUE"""),"2001")</f>
        <v>2001</v>
      </c>
      <c r="O289" s="14"/>
      <c r="P289" s="15">
        <f>IFERROR(__xludf.DUMMYFUNCTION("ARRAYFORMULA(VLOOKUP(A289,IMPORTRANGE(""https://docs.google.com/spreadsheets/d/1BuTWp7qHGjWhqrnf-OmePP568O4A5Am9ttzvVdP67zw/edit#gid=771602874"" ,""HUMAN RESOURCES!$A$2:$M$2692""), {2,3,4,5,6,7,8,9,10,11,12,13},0))"),0.027)</f>
        <v>0.027</v>
      </c>
      <c r="Q289" s="14">
        <f>IFERROR(__xludf.DUMMYFUNCTION("""COMPUTED_VALUE"""),0.056)</f>
        <v>0.056</v>
      </c>
      <c r="R289" s="14">
        <f>IFERROR(__xludf.DUMMYFUNCTION("""COMPUTED_VALUE"""),61.0)</f>
        <v>61</v>
      </c>
      <c r="S289" s="14">
        <f>IFERROR(__xludf.DUMMYFUNCTION("""COMPUTED_VALUE"""),61.0)</f>
        <v>61</v>
      </c>
      <c r="T289" s="14">
        <f>IFERROR(__xludf.DUMMYFUNCTION("""COMPUTED_VALUE"""),0.393)</f>
        <v>0.393</v>
      </c>
      <c r="U289" s="14">
        <f>IFERROR(__xludf.DUMMYFUNCTION("""COMPUTED_VALUE"""),0.568)</f>
        <v>0.568</v>
      </c>
      <c r="V289" s="14">
        <f>IFERROR(__xludf.DUMMYFUNCTION("""COMPUTED_VALUE"""),0.039)</f>
        <v>0.039</v>
      </c>
      <c r="W289" s="14">
        <f>IFERROR(__xludf.DUMMYFUNCTION("""COMPUTED_VALUE"""),580888.0)</f>
        <v>580888</v>
      </c>
      <c r="X289" s="14">
        <f>IFERROR(__xludf.DUMMYFUNCTION("""COMPUTED_VALUE"""),0.265)</f>
        <v>0.265</v>
      </c>
      <c r="Y289" s="14" t="str">
        <f>IFERROR(__xludf.DUMMYFUNCTION("""COMPUTED_VALUE"""),"Bhutan-Asia")</f>
        <v>Bhutan-Asia</v>
      </c>
      <c r="Z289" s="14" t="str">
        <f>IFERROR(__xludf.DUMMYFUNCTION("""COMPUTED_VALUE"""),"Asia")</f>
        <v>Asia</v>
      </c>
      <c r="AA289" s="14" t="str">
        <f>IFERROR(__xludf.DUMMYFUNCTION("""COMPUTED_VALUE"""),"2001")</f>
        <v>2001</v>
      </c>
      <c r="AB289" s="15" t="str">
        <f>IFERROR(__xludf.DUMMYFUNCTION("ARRAYFORMULA(VLOOKUP(A289,IMPORTRANGE(""https://docs.google.com/spreadsheets/d/1BuTWp7qHGjWhqrnf-OmePP568O4A5Am9ttzvVdP67zw/edit#gid=1931367683"" ,""ENERGY!$A$2:$F$2692""), {2,3,4,5,6},0))"),"Asia")</f>
        <v>Asia</v>
      </c>
      <c r="AC289" s="14" t="str">
        <f>IFERROR(__xludf.DUMMYFUNCTION("""COMPUTED_VALUE"""),"Bhutan-Asia")</f>
        <v>Bhutan-Asia</v>
      </c>
      <c r="AD289" s="14" t="str">
        <f>IFERROR(__xludf.DUMMYFUNCTION("""COMPUTED_VALUE"""),"2001")</f>
        <v>2001</v>
      </c>
      <c r="AE289" s="14"/>
      <c r="AF289" s="14"/>
    </row>
    <row r="290">
      <c r="A290" s="12">
        <v>289.0</v>
      </c>
      <c r="B290" s="12" t="s">
        <v>101</v>
      </c>
      <c r="C290" s="5" t="s">
        <v>61</v>
      </c>
      <c r="D290" s="8"/>
      <c r="E290" s="8"/>
      <c r="F290" s="8"/>
      <c r="G290" s="8"/>
      <c r="H290" s="11">
        <v>0.017</v>
      </c>
      <c r="I290" s="8"/>
      <c r="J290" s="9" t="s">
        <v>63</v>
      </c>
      <c r="K290" s="14" t="str">
        <f>IFERROR(__xludf.DUMMYFUNCTION("ARRAYFORMULA(VLOOKUP(A290,IMPORTRANGE(""https://docs.google.com/spreadsheets/d/1BuTWp7qHGjWhqrnf-OmePP568O4A5Am9ttzvVdP67zw/edit#gid=1603210130"", ""TOURISM!$A$2:$F$2692""), {2,3,4,5,6},0))"),"Asia")</f>
        <v>Asia</v>
      </c>
      <c r="L290" s="14">
        <f>IFERROR(__xludf.DUMMYFUNCTION("""COMPUTED_VALUE"""),8000000.0)</f>
        <v>8000000</v>
      </c>
      <c r="M290" s="14" t="str">
        <f>IFERROR(__xludf.DUMMYFUNCTION("""COMPUTED_VALUE"""),"Bhutan-Asia")</f>
        <v>Bhutan-Asia</v>
      </c>
      <c r="N290" s="14" t="str">
        <f>IFERROR(__xludf.DUMMYFUNCTION("""COMPUTED_VALUE"""),"2002")</f>
        <v>2002</v>
      </c>
      <c r="O290" s="14"/>
      <c r="P290" s="15">
        <f>IFERROR(__xludf.DUMMYFUNCTION("ARRAYFORMULA(VLOOKUP(A290,IMPORTRANGE(""https://docs.google.com/spreadsheets/d/1BuTWp7qHGjWhqrnf-OmePP568O4A5Am9ttzvVdP67zw/edit#gid=771602874"" ,""HUMAN RESOURCES!$A$2:$M$2692""), {2,3,4,5,6,7,8,9,10,11,12,13},0))"),0.026)</f>
        <v>0.026</v>
      </c>
      <c r="Q290" s="14">
        <f>IFERROR(__xludf.DUMMYFUNCTION("""COMPUTED_VALUE"""),0.053)</f>
        <v>0.053</v>
      </c>
      <c r="R290" s="14">
        <f>IFERROR(__xludf.DUMMYFUNCTION("""COMPUTED_VALUE"""),62.0)</f>
        <v>62</v>
      </c>
      <c r="S290" s="14">
        <f>IFERROR(__xludf.DUMMYFUNCTION("""COMPUTED_VALUE"""),62.0)</f>
        <v>62</v>
      </c>
      <c r="T290" s="14">
        <f>IFERROR(__xludf.DUMMYFUNCTION("""COMPUTED_VALUE"""),0.38)</f>
        <v>0.38</v>
      </c>
      <c r="U290" s="14">
        <f>IFERROR(__xludf.DUMMYFUNCTION("""COMPUTED_VALUE"""),0.581)</f>
        <v>0.581</v>
      </c>
      <c r="V290" s="14">
        <f>IFERROR(__xludf.DUMMYFUNCTION("""COMPUTED_VALUE"""),0.039)</f>
        <v>0.039</v>
      </c>
      <c r="W290" s="14">
        <f>IFERROR(__xludf.DUMMYFUNCTION("""COMPUTED_VALUE"""),598455.0)</f>
        <v>598455</v>
      </c>
      <c r="X290" s="14">
        <f>IFERROR(__xludf.DUMMYFUNCTION("""COMPUTED_VALUE"""),0.276)</f>
        <v>0.276</v>
      </c>
      <c r="Y290" s="14" t="str">
        <f>IFERROR(__xludf.DUMMYFUNCTION("""COMPUTED_VALUE"""),"Bhutan-Asia")</f>
        <v>Bhutan-Asia</v>
      </c>
      <c r="Z290" s="14" t="str">
        <f>IFERROR(__xludf.DUMMYFUNCTION("""COMPUTED_VALUE"""),"Asia")</f>
        <v>Asia</v>
      </c>
      <c r="AA290" s="14" t="str">
        <f>IFERROR(__xludf.DUMMYFUNCTION("""COMPUTED_VALUE"""),"2002")</f>
        <v>2002</v>
      </c>
      <c r="AB290" s="15" t="str">
        <f>IFERROR(__xludf.DUMMYFUNCTION("ARRAYFORMULA(VLOOKUP(A290,IMPORTRANGE(""https://docs.google.com/spreadsheets/d/1BuTWp7qHGjWhqrnf-OmePP568O4A5Am9ttzvVdP67zw/edit#gid=1931367683"" ,""ENERGY!$A$2:$F$2692""), {2,3,4,5,6},0))"),"Asia")</f>
        <v>Asia</v>
      </c>
      <c r="AC290" s="14" t="str">
        <f>IFERROR(__xludf.DUMMYFUNCTION("""COMPUTED_VALUE"""),"Bhutan-Asia")</f>
        <v>Bhutan-Asia</v>
      </c>
      <c r="AD290" s="14" t="str">
        <f>IFERROR(__xludf.DUMMYFUNCTION("""COMPUTED_VALUE"""),"2002")</f>
        <v>2002</v>
      </c>
      <c r="AE290" s="14"/>
      <c r="AF290" s="14">
        <f>IFERROR(__xludf.DUMMYFUNCTION("""COMPUTED_VALUE"""),477.0)</f>
        <v>477</v>
      </c>
    </row>
    <row r="291">
      <c r="A291" s="12">
        <v>290.0</v>
      </c>
      <c r="B291" s="12" t="s">
        <v>101</v>
      </c>
      <c r="C291" s="5" t="s">
        <v>61</v>
      </c>
      <c r="D291" s="8"/>
      <c r="E291" s="11">
        <v>62.0</v>
      </c>
      <c r="F291" s="8"/>
      <c r="G291" s="8"/>
      <c r="H291" s="11">
        <v>0.024</v>
      </c>
      <c r="I291" s="11">
        <v>0.004</v>
      </c>
      <c r="J291" s="9" t="s">
        <v>64</v>
      </c>
      <c r="K291" s="14" t="str">
        <f>IFERROR(__xludf.DUMMYFUNCTION("ARRAYFORMULA(VLOOKUP(A291,IMPORTRANGE(""https://docs.google.com/spreadsheets/d/1BuTWp7qHGjWhqrnf-OmePP568O4A5Am9ttzvVdP67zw/edit#gid=1603210130"", ""TOURISM!$A$2:$F$2692""), {2,3,4,5,6},0))"),"Asia")</f>
        <v>Asia</v>
      </c>
      <c r="L291" s="14">
        <f>IFERROR(__xludf.DUMMYFUNCTION("""COMPUTED_VALUE"""),8000000.0)</f>
        <v>8000000</v>
      </c>
      <c r="M291" s="14" t="str">
        <f>IFERROR(__xludf.DUMMYFUNCTION("""COMPUTED_VALUE"""),"Bhutan-Asia")</f>
        <v>Bhutan-Asia</v>
      </c>
      <c r="N291" s="14" t="str">
        <f>IFERROR(__xludf.DUMMYFUNCTION("""COMPUTED_VALUE"""),"2003")</f>
        <v>2003</v>
      </c>
      <c r="O291" s="14"/>
      <c r="P291" s="15">
        <f>IFERROR(__xludf.DUMMYFUNCTION("ARRAYFORMULA(VLOOKUP(A291,IMPORTRANGE(""https://docs.google.com/spreadsheets/d/1BuTWp7qHGjWhqrnf-OmePP568O4A5Am9ttzvVdP67zw/edit#gid=771602874"" ,""HUMAN RESOURCES!$A$2:$M$2692""), {2,3,4,5,6,7,8,9,10,11,12,13},0))"),0.025)</f>
        <v>0.025</v>
      </c>
      <c r="Q291" s="14">
        <f>IFERROR(__xludf.DUMMYFUNCTION("""COMPUTED_VALUE"""),0.051)</f>
        <v>0.051</v>
      </c>
      <c r="R291" s="14">
        <f>IFERROR(__xludf.DUMMYFUNCTION("""COMPUTED_VALUE"""),63.0)</f>
        <v>63</v>
      </c>
      <c r="S291" s="14">
        <f>IFERROR(__xludf.DUMMYFUNCTION("""COMPUTED_VALUE"""),62.0)</f>
        <v>62</v>
      </c>
      <c r="T291" s="14">
        <f>IFERROR(__xludf.DUMMYFUNCTION("""COMPUTED_VALUE"""),0.365)</f>
        <v>0.365</v>
      </c>
      <c r="U291" s="14">
        <f>IFERROR(__xludf.DUMMYFUNCTION("""COMPUTED_VALUE"""),0.595)</f>
        <v>0.595</v>
      </c>
      <c r="V291" s="14">
        <f>IFERROR(__xludf.DUMMYFUNCTION("""COMPUTED_VALUE"""),0.04)</f>
        <v>0.04</v>
      </c>
      <c r="W291" s="14">
        <f>IFERROR(__xludf.DUMMYFUNCTION("""COMPUTED_VALUE"""),616383.0)</f>
        <v>616383</v>
      </c>
      <c r="X291" s="14">
        <f>IFERROR(__xludf.DUMMYFUNCTION("""COMPUTED_VALUE"""),0.287)</f>
        <v>0.287</v>
      </c>
      <c r="Y291" s="14" t="str">
        <f>IFERROR(__xludf.DUMMYFUNCTION("""COMPUTED_VALUE"""),"Bhutan-Asia")</f>
        <v>Bhutan-Asia</v>
      </c>
      <c r="Z291" s="14" t="str">
        <f>IFERROR(__xludf.DUMMYFUNCTION("""COMPUTED_VALUE"""),"Asia")</f>
        <v>Asia</v>
      </c>
      <c r="AA291" s="14" t="str">
        <f>IFERROR(__xludf.DUMMYFUNCTION("""COMPUTED_VALUE"""),"2003")</f>
        <v>2003</v>
      </c>
      <c r="AB291" s="15" t="str">
        <f>IFERROR(__xludf.DUMMYFUNCTION("ARRAYFORMULA(VLOOKUP(A291,IMPORTRANGE(""https://docs.google.com/spreadsheets/d/1BuTWp7qHGjWhqrnf-OmePP568O4A5Am9ttzvVdP67zw/edit#gid=1931367683"" ,""ENERGY!$A$2:$F$2692""), {2,3,4,5,6},0))"),"Asia")</f>
        <v>Asia</v>
      </c>
      <c r="AC291" s="14" t="str">
        <f>IFERROR(__xludf.DUMMYFUNCTION("""COMPUTED_VALUE"""),"Bhutan-Asia")</f>
        <v>Bhutan-Asia</v>
      </c>
      <c r="AD291" s="14" t="str">
        <f>IFERROR(__xludf.DUMMYFUNCTION("""COMPUTED_VALUE"""),"2003")</f>
        <v>2003</v>
      </c>
      <c r="AE291" s="14"/>
      <c r="AF291" s="14">
        <f>IFERROR(__xludf.DUMMYFUNCTION("""COMPUTED_VALUE"""),389.0)</f>
        <v>389</v>
      </c>
    </row>
    <row r="292">
      <c r="A292" s="12">
        <v>291.0</v>
      </c>
      <c r="B292" s="12" t="s">
        <v>101</v>
      </c>
      <c r="C292" s="5" t="s">
        <v>61</v>
      </c>
      <c r="D292" s="8"/>
      <c r="E292" s="11">
        <v>62.0</v>
      </c>
      <c r="F292" s="8"/>
      <c r="G292" s="8"/>
      <c r="H292" s="11">
        <v>0.032</v>
      </c>
      <c r="I292" s="11">
        <v>0.03</v>
      </c>
      <c r="J292" s="9" t="s">
        <v>65</v>
      </c>
      <c r="K292" s="14" t="str">
        <f>IFERROR(__xludf.DUMMYFUNCTION("ARRAYFORMULA(VLOOKUP(A292,IMPORTRANGE(""https://docs.google.com/spreadsheets/d/1BuTWp7qHGjWhqrnf-OmePP568O4A5Am9ttzvVdP67zw/edit#gid=1603210130"", ""TOURISM!$A$2:$F$2692""), {2,3,4,5,6},0))"),"Asia")</f>
        <v>Asia</v>
      </c>
      <c r="L292" s="14">
        <f>IFERROR(__xludf.DUMMYFUNCTION("""COMPUTED_VALUE"""),1.3E7)</f>
        <v>13000000</v>
      </c>
      <c r="M292" s="14" t="str">
        <f>IFERROR(__xludf.DUMMYFUNCTION("""COMPUTED_VALUE"""),"Bhutan-Asia")</f>
        <v>Bhutan-Asia</v>
      </c>
      <c r="N292" s="14" t="str">
        <f>IFERROR(__xludf.DUMMYFUNCTION("""COMPUTED_VALUE"""),"2004")</f>
        <v>2004</v>
      </c>
      <c r="O292" s="14"/>
      <c r="P292" s="15">
        <f>IFERROR(__xludf.DUMMYFUNCTION("ARRAYFORMULA(VLOOKUP(A292,IMPORTRANGE(""https://docs.google.com/spreadsheets/d/1BuTWp7qHGjWhqrnf-OmePP568O4A5Am9ttzvVdP67zw/edit#gid=771602874"" ,""HUMAN RESOURCES!$A$2:$M$2692""), {2,3,4,5,6,7,8,9,10,11,12,13},0))"),0.024)</f>
        <v>0.024</v>
      </c>
      <c r="Q292" s="14">
        <f>IFERROR(__xludf.DUMMYFUNCTION("""COMPUTED_VALUE"""),0.048)</f>
        <v>0.048</v>
      </c>
      <c r="R292" s="14">
        <f>IFERROR(__xludf.DUMMYFUNCTION("""COMPUTED_VALUE"""),63.0)</f>
        <v>63</v>
      </c>
      <c r="S292" s="14">
        <f>IFERROR(__xludf.DUMMYFUNCTION("""COMPUTED_VALUE"""),63.0)</f>
        <v>63</v>
      </c>
      <c r="T292" s="14">
        <f>IFERROR(__xludf.DUMMYFUNCTION("""COMPUTED_VALUE"""),0.352)</f>
        <v>0.352</v>
      </c>
      <c r="U292" s="14">
        <f>IFERROR(__xludf.DUMMYFUNCTION("""COMPUTED_VALUE"""),0.608)</f>
        <v>0.608</v>
      </c>
      <c r="V292" s="14">
        <f>IFERROR(__xludf.DUMMYFUNCTION("""COMPUTED_VALUE"""),0.04)</f>
        <v>0.04</v>
      </c>
      <c r="W292" s="14">
        <f>IFERROR(__xludf.DUMMYFUNCTION("""COMPUTED_VALUE"""),633893.0)</f>
        <v>633893</v>
      </c>
      <c r="X292" s="14">
        <f>IFERROR(__xludf.DUMMYFUNCTION("""COMPUTED_VALUE"""),0.298)</f>
        <v>0.298</v>
      </c>
      <c r="Y292" s="14" t="str">
        <f>IFERROR(__xludf.DUMMYFUNCTION("""COMPUTED_VALUE"""),"Bhutan-Asia")</f>
        <v>Bhutan-Asia</v>
      </c>
      <c r="Z292" s="14" t="str">
        <f>IFERROR(__xludf.DUMMYFUNCTION("""COMPUTED_VALUE"""),"Asia")</f>
        <v>Asia</v>
      </c>
      <c r="AA292" s="14" t="str">
        <f>IFERROR(__xludf.DUMMYFUNCTION("""COMPUTED_VALUE"""),"2004")</f>
        <v>2004</v>
      </c>
      <c r="AB292" s="15" t="str">
        <f>IFERROR(__xludf.DUMMYFUNCTION("ARRAYFORMULA(VLOOKUP(A292,IMPORTRANGE(""https://docs.google.com/spreadsheets/d/1BuTWp7qHGjWhqrnf-OmePP568O4A5Am9ttzvVdP67zw/edit#gid=1931367683"" ,""ENERGY!$A$2:$F$2692""), {2,3,4,5,6},0))"),"Asia")</f>
        <v>Asia</v>
      </c>
      <c r="AC292" s="14" t="str">
        <f>IFERROR(__xludf.DUMMYFUNCTION("""COMPUTED_VALUE"""),"Bhutan-Asia")</f>
        <v>Bhutan-Asia</v>
      </c>
      <c r="AD292" s="14" t="str">
        <f>IFERROR(__xludf.DUMMYFUNCTION("""COMPUTED_VALUE"""),"2004")</f>
        <v>2004</v>
      </c>
      <c r="AE292" s="14"/>
      <c r="AF292" s="14">
        <f>IFERROR(__xludf.DUMMYFUNCTION("""COMPUTED_VALUE"""),422.0)</f>
        <v>422</v>
      </c>
    </row>
    <row r="293">
      <c r="A293" s="12">
        <v>292.0</v>
      </c>
      <c r="B293" s="12" t="s">
        <v>101</v>
      </c>
      <c r="C293" s="5" t="s">
        <v>61</v>
      </c>
      <c r="D293" s="11">
        <v>0.408</v>
      </c>
      <c r="E293" s="11">
        <v>62.0</v>
      </c>
      <c r="F293" s="8"/>
      <c r="G293" s="11">
        <v>274.0</v>
      </c>
      <c r="H293" s="11">
        <v>0.038</v>
      </c>
      <c r="I293" s="11">
        <v>0.055</v>
      </c>
      <c r="J293" s="9" t="s">
        <v>66</v>
      </c>
      <c r="K293" s="14" t="str">
        <f>IFERROR(__xludf.DUMMYFUNCTION("ARRAYFORMULA(VLOOKUP(A293,IMPORTRANGE(""https://docs.google.com/spreadsheets/d/1BuTWp7qHGjWhqrnf-OmePP568O4A5Am9ttzvVdP67zw/edit#gid=1603210130"", ""TOURISM!$A$2:$F$2692""), {2,3,4,5,6},0))"),"Asia")</f>
        <v>Asia</v>
      </c>
      <c r="L293" s="14">
        <f>IFERROR(__xludf.DUMMYFUNCTION("""COMPUTED_VALUE"""),1.9E7)</f>
        <v>19000000</v>
      </c>
      <c r="M293" s="14" t="str">
        <f>IFERROR(__xludf.DUMMYFUNCTION("""COMPUTED_VALUE"""),"Bhutan-Asia")</f>
        <v>Bhutan-Asia</v>
      </c>
      <c r="N293" s="14" t="str">
        <f>IFERROR(__xludf.DUMMYFUNCTION("""COMPUTED_VALUE"""),"2005")</f>
        <v>2005</v>
      </c>
      <c r="O293" s="14"/>
      <c r="P293" s="15">
        <f>IFERROR(__xludf.DUMMYFUNCTION("ARRAYFORMULA(VLOOKUP(A293,IMPORTRANGE(""https://docs.google.com/spreadsheets/d/1BuTWp7qHGjWhqrnf-OmePP568O4A5Am9ttzvVdP67zw/edit#gid=771602874"" ,""HUMAN RESOURCES!$A$2:$M$2692""), {2,3,4,5,6,7,8,9,10,11,12,13},0))"),0.023)</f>
        <v>0.023</v>
      </c>
      <c r="Q293" s="14">
        <f>IFERROR(__xludf.DUMMYFUNCTION("""COMPUTED_VALUE"""),0.045)</f>
        <v>0.045</v>
      </c>
      <c r="R293" s="14">
        <f>IFERROR(__xludf.DUMMYFUNCTION("""COMPUTED_VALUE"""),64.0)</f>
        <v>64</v>
      </c>
      <c r="S293" s="14">
        <f>IFERROR(__xludf.DUMMYFUNCTION("""COMPUTED_VALUE"""),64.0)</f>
        <v>64</v>
      </c>
      <c r="T293" s="14">
        <f>IFERROR(__xludf.DUMMYFUNCTION("""COMPUTED_VALUE"""),0.34)</f>
        <v>0.34</v>
      </c>
      <c r="U293" s="14">
        <f>IFERROR(__xludf.DUMMYFUNCTION("""COMPUTED_VALUE"""),0.619)</f>
        <v>0.619</v>
      </c>
      <c r="V293" s="14">
        <f>IFERROR(__xludf.DUMMYFUNCTION("""COMPUTED_VALUE"""),0.041)</f>
        <v>0.041</v>
      </c>
      <c r="W293" s="14">
        <f>IFERROR(__xludf.DUMMYFUNCTION("""COMPUTED_VALUE"""),650417.0)</f>
        <v>650417</v>
      </c>
      <c r="X293" s="14">
        <f>IFERROR(__xludf.DUMMYFUNCTION("""COMPUTED_VALUE"""),0.31)</f>
        <v>0.31</v>
      </c>
      <c r="Y293" s="14" t="str">
        <f>IFERROR(__xludf.DUMMYFUNCTION("""COMPUTED_VALUE"""),"Bhutan-Asia")</f>
        <v>Bhutan-Asia</v>
      </c>
      <c r="Z293" s="14" t="str">
        <f>IFERROR(__xludf.DUMMYFUNCTION("""COMPUTED_VALUE"""),"Asia")</f>
        <v>Asia</v>
      </c>
      <c r="AA293" s="14" t="str">
        <f>IFERROR(__xludf.DUMMYFUNCTION("""COMPUTED_VALUE"""),"2005")</f>
        <v>2005</v>
      </c>
      <c r="AB293" s="15" t="str">
        <f>IFERROR(__xludf.DUMMYFUNCTION("ARRAYFORMULA(VLOOKUP(A293,IMPORTRANGE(""https://docs.google.com/spreadsheets/d/1BuTWp7qHGjWhqrnf-OmePP568O4A5Am9ttzvVdP67zw/edit#gid=1931367683"" ,""ENERGY!$A$2:$F$2692""), {2,3,4,5,6},0))"),"Asia")</f>
        <v>Asia</v>
      </c>
      <c r="AC293" s="14" t="str">
        <f>IFERROR(__xludf.DUMMYFUNCTION("""COMPUTED_VALUE"""),"Bhutan-Asia")</f>
        <v>Bhutan-Asia</v>
      </c>
      <c r="AD293" s="14" t="str">
        <f>IFERROR(__xludf.DUMMYFUNCTION("""COMPUTED_VALUE"""),"2006")</f>
        <v>2006</v>
      </c>
      <c r="AE293" s="14">
        <f>IFERROR(__xludf.DUMMYFUNCTION("""COMPUTED_VALUE"""),244.0)</f>
        <v>244</v>
      </c>
      <c r="AF293" s="14">
        <f>IFERROR(__xludf.DUMMYFUNCTION("""COMPUTED_VALUE"""),392.0)</f>
        <v>392</v>
      </c>
    </row>
    <row r="294">
      <c r="A294" s="12">
        <v>293.0</v>
      </c>
      <c r="B294" s="12" t="s">
        <v>101</v>
      </c>
      <c r="C294" s="5" t="s">
        <v>61</v>
      </c>
      <c r="D294" s="11">
        <v>0.408</v>
      </c>
      <c r="E294" s="11">
        <v>62.0</v>
      </c>
      <c r="F294" s="8"/>
      <c r="G294" s="11">
        <v>274.0</v>
      </c>
      <c r="H294" s="11">
        <v>0.045</v>
      </c>
      <c r="I294" s="11">
        <v>0.123</v>
      </c>
      <c r="J294" s="9" t="s">
        <v>67</v>
      </c>
      <c r="K294" s="14" t="str">
        <f>IFERROR(__xludf.DUMMYFUNCTION("ARRAYFORMULA(VLOOKUP(A294,IMPORTRANGE(""https://docs.google.com/spreadsheets/d/1BuTWp7qHGjWhqrnf-OmePP568O4A5Am9ttzvVdP67zw/edit#gid=1603210130"", ""TOURISM!$A$2:$F$2692""), {2,3,4,5,6},0))"),"Asia")</f>
        <v>Asia</v>
      </c>
      <c r="L294" s="14">
        <f>IFERROR(__xludf.DUMMYFUNCTION("""COMPUTED_VALUE"""),3.6E7)</f>
        <v>36000000</v>
      </c>
      <c r="M294" s="14" t="str">
        <f>IFERROR(__xludf.DUMMYFUNCTION("""COMPUTED_VALUE"""),"Bhutan-Asia")</f>
        <v>Bhutan-Asia</v>
      </c>
      <c r="N294" s="14" t="str">
        <f>IFERROR(__xludf.DUMMYFUNCTION("""COMPUTED_VALUE"""),"2006")</f>
        <v>2006</v>
      </c>
      <c r="O294" s="14">
        <f>IFERROR(__xludf.DUMMYFUNCTION("""COMPUTED_VALUE"""),2.2E7)</f>
        <v>22000000</v>
      </c>
      <c r="P294" s="15">
        <f>IFERROR(__xludf.DUMMYFUNCTION("ARRAYFORMULA(VLOOKUP(A294,IMPORTRANGE(""https://docs.google.com/spreadsheets/d/1BuTWp7qHGjWhqrnf-OmePP568O4A5Am9ttzvVdP67zw/edit#gid=771602874"" ,""HUMAN RESOURCES!$A$2:$M$2692""), {2,3,4,5,6,7,8,9,10,11,12,13},0))"),0.022)</f>
        <v>0.022</v>
      </c>
      <c r="Q294" s="14">
        <f>IFERROR(__xludf.DUMMYFUNCTION("""COMPUTED_VALUE"""),0.043)</f>
        <v>0.043</v>
      </c>
      <c r="R294" s="14">
        <f>IFERROR(__xludf.DUMMYFUNCTION("""COMPUTED_VALUE"""),65.0)</f>
        <v>65</v>
      </c>
      <c r="S294" s="14">
        <f>IFERROR(__xludf.DUMMYFUNCTION("""COMPUTED_VALUE"""),65.0)</f>
        <v>65</v>
      </c>
      <c r="T294" s="14">
        <f>IFERROR(__xludf.DUMMYFUNCTION("""COMPUTED_VALUE"""),0.329)</f>
        <v>0.329</v>
      </c>
      <c r="U294" s="14">
        <f>IFERROR(__xludf.DUMMYFUNCTION("""COMPUTED_VALUE"""),0.629)</f>
        <v>0.629</v>
      </c>
      <c r="V294" s="14">
        <f>IFERROR(__xludf.DUMMYFUNCTION("""COMPUTED_VALUE"""),0.041)</f>
        <v>0.041</v>
      </c>
      <c r="W294" s="14">
        <f>IFERROR(__xludf.DUMMYFUNCTION("""COMPUTED_VALUE"""),665568.0)</f>
        <v>665568</v>
      </c>
      <c r="X294" s="14">
        <f>IFERROR(__xludf.DUMMYFUNCTION("""COMPUTED_VALUE"""),0.317)</f>
        <v>0.317</v>
      </c>
      <c r="Y294" s="14" t="str">
        <f>IFERROR(__xludf.DUMMYFUNCTION("""COMPUTED_VALUE"""),"Bhutan-Asia")</f>
        <v>Bhutan-Asia</v>
      </c>
      <c r="Z294" s="14" t="str">
        <f>IFERROR(__xludf.DUMMYFUNCTION("""COMPUTED_VALUE"""),"Asia")</f>
        <v>Asia</v>
      </c>
      <c r="AA294" s="14" t="str">
        <f>IFERROR(__xludf.DUMMYFUNCTION("""COMPUTED_VALUE"""),"2006")</f>
        <v>2006</v>
      </c>
      <c r="AB294" s="15" t="str">
        <f>IFERROR(__xludf.DUMMYFUNCTION("ARRAYFORMULA(VLOOKUP(A294,IMPORTRANGE(""https://docs.google.com/spreadsheets/d/1BuTWp7qHGjWhqrnf-OmePP568O4A5Am9ttzvVdP67zw/edit#gid=1931367683"" ,""ENERGY!$A$2:$F$2692""), {2,3,4,5,6},0))"),"Asia")</f>
        <v>Asia</v>
      </c>
      <c r="AC294" s="14" t="str">
        <f>IFERROR(__xludf.DUMMYFUNCTION("""COMPUTED_VALUE"""),"Bhutan-Asia")</f>
        <v>Bhutan-Asia</v>
      </c>
      <c r="AD294" s="14" t="str">
        <f>IFERROR(__xludf.DUMMYFUNCTION("""COMPUTED_VALUE"""),"2009")</f>
        <v>2009</v>
      </c>
      <c r="AE294" s="14">
        <f>IFERROR(__xludf.DUMMYFUNCTION("""COMPUTED_VALUE"""),211.0)</f>
        <v>211</v>
      </c>
      <c r="AF294" s="14">
        <f>IFERROR(__xludf.DUMMYFUNCTION("""COMPUTED_VALUE"""),392.0)</f>
        <v>392</v>
      </c>
    </row>
    <row r="295">
      <c r="A295" s="12">
        <v>294.0</v>
      </c>
      <c r="B295" s="12" t="s">
        <v>101</v>
      </c>
      <c r="C295" s="5" t="s">
        <v>61</v>
      </c>
      <c r="D295" s="11">
        <v>0.408</v>
      </c>
      <c r="E295" s="11">
        <v>48.0</v>
      </c>
      <c r="F295" s="8"/>
      <c r="G295" s="11">
        <v>274.0</v>
      </c>
      <c r="H295" s="11">
        <v>0.059</v>
      </c>
      <c r="I295" s="11">
        <v>0.22</v>
      </c>
      <c r="J295" s="9" t="s">
        <v>68</v>
      </c>
      <c r="K295" s="14" t="str">
        <f>IFERROR(__xludf.DUMMYFUNCTION("ARRAYFORMULA(VLOOKUP(A295,IMPORTRANGE(""https://docs.google.com/spreadsheets/d/1BuTWp7qHGjWhqrnf-OmePP568O4A5Am9ttzvVdP67zw/edit#gid=1603210130"", ""TOURISM!$A$2:$F$2692""), {2,3,4,5,6},0))"),"Asia")</f>
        <v>Asia</v>
      </c>
      <c r="L295" s="14">
        <f>IFERROR(__xludf.DUMMYFUNCTION("""COMPUTED_VALUE"""),4.7E7)</f>
        <v>47000000</v>
      </c>
      <c r="M295" s="14" t="str">
        <f>IFERROR(__xludf.DUMMYFUNCTION("""COMPUTED_VALUE"""),"Bhutan-Asia")</f>
        <v>Bhutan-Asia</v>
      </c>
      <c r="N295" s="14" t="str">
        <f>IFERROR(__xludf.DUMMYFUNCTION("""COMPUTED_VALUE"""),"2007")</f>
        <v>2007</v>
      </c>
      <c r="O295" s="14">
        <f>IFERROR(__xludf.DUMMYFUNCTION("""COMPUTED_VALUE"""),2.6E7)</f>
        <v>26000000</v>
      </c>
      <c r="P295" s="15">
        <f>IFERROR(__xludf.DUMMYFUNCTION("ARRAYFORMULA(VLOOKUP(A295,IMPORTRANGE(""https://docs.google.com/spreadsheets/d/1BuTWp7qHGjWhqrnf-OmePP568O4A5Am9ttzvVdP67zw/edit#gid=771602874"" ,""HUMAN RESOURCES!$A$2:$M$2692""), {2,3,4,5,6,7,8,9,10,11,12,13},0))"),0.022)</f>
        <v>0.022</v>
      </c>
      <c r="Q295" s="14">
        <f>IFERROR(__xludf.DUMMYFUNCTION("""COMPUTED_VALUE"""),0.041)</f>
        <v>0.041</v>
      </c>
      <c r="R295" s="14">
        <f>IFERROR(__xludf.DUMMYFUNCTION("""COMPUTED_VALUE"""),66.0)</f>
        <v>66</v>
      </c>
      <c r="S295" s="14">
        <f>IFERROR(__xludf.DUMMYFUNCTION("""COMPUTED_VALUE"""),65.0)</f>
        <v>65</v>
      </c>
      <c r="T295" s="14">
        <f>IFERROR(__xludf.DUMMYFUNCTION("""COMPUTED_VALUE"""),0.32)</f>
        <v>0.32</v>
      </c>
      <c r="U295" s="14">
        <f>IFERROR(__xludf.DUMMYFUNCTION("""COMPUTED_VALUE"""),0.638)</f>
        <v>0.638</v>
      </c>
      <c r="V295" s="14">
        <f>IFERROR(__xludf.DUMMYFUNCTION("""COMPUTED_VALUE"""),0.042)</f>
        <v>0.042</v>
      </c>
      <c r="W295" s="14">
        <f>IFERROR(__xludf.DUMMYFUNCTION("""COMPUTED_VALUE"""),679365.0)</f>
        <v>679365</v>
      </c>
      <c r="X295" s="14">
        <f>IFERROR(__xludf.DUMMYFUNCTION("""COMPUTED_VALUE"""),0.325)</f>
        <v>0.325</v>
      </c>
      <c r="Y295" s="14" t="str">
        <f>IFERROR(__xludf.DUMMYFUNCTION("""COMPUTED_VALUE"""),"Bhutan-Asia")</f>
        <v>Bhutan-Asia</v>
      </c>
      <c r="Z295" s="14" t="str">
        <f>IFERROR(__xludf.DUMMYFUNCTION("""COMPUTED_VALUE"""),"Asia")</f>
        <v>Asia</v>
      </c>
      <c r="AA295" s="14" t="str">
        <f>IFERROR(__xludf.DUMMYFUNCTION("""COMPUTED_VALUE"""),"2007")</f>
        <v>2007</v>
      </c>
      <c r="AB295" s="15" t="str">
        <f>IFERROR(__xludf.DUMMYFUNCTION("ARRAYFORMULA(VLOOKUP(A295,IMPORTRANGE(""https://docs.google.com/spreadsheets/d/1BuTWp7qHGjWhqrnf-OmePP568O4A5Am9ttzvVdP67zw/edit#gid=1931367683"" ,""ENERGY!$A$2:$F$2692""), {2,3,4,5,6},0))"),"Asia")</f>
        <v>Asia</v>
      </c>
      <c r="AC295" s="14" t="str">
        <f>IFERROR(__xludf.DUMMYFUNCTION("""COMPUTED_VALUE"""),"Bhutan-Asia")</f>
        <v>Bhutan-Asia</v>
      </c>
      <c r="AD295" s="14" t="str">
        <f>IFERROR(__xludf.DUMMYFUNCTION("""COMPUTED_VALUE"""),"2006")</f>
        <v>2006</v>
      </c>
      <c r="AE295" s="14">
        <f>IFERROR(__xludf.DUMMYFUNCTION("""COMPUTED_VALUE"""),204.0)</f>
        <v>204</v>
      </c>
      <c r="AF295" s="14">
        <f>IFERROR(__xludf.DUMMYFUNCTION("""COMPUTED_VALUE"""),396.0)</f>
        <v>396</v>
      </c>
    </row>
    <row r="296">
      <c r="A296" s="12">
        <v>295.0</v>
      </c>
      <c r="B296" s="12" t="s">
        <v>101</v>
      </c>
      <c r="C296" s="5" t="s">
        <v>61</v>
      </c>
      <c r="D296" s="11">
        <v>0.408</v>
      </c>
      <c r="E296" s="11">
        <v>46.0</v>
      </c>
      <c r="F296" s="8"/>
      <c r="G296" s="11">
        <v>274.0</v>
      </c>
      <c r="H296" s="11">
        <v>0.066</v>
      </c>
      <c r="I296" s="11">
        <v>0.366</v>
      </c>
      <c r="J296" s="9" t="s">
        <v>69</v>
      </c>
      <c r="K296" s="14" t="str">
        <f>IFERROR(__xludf.DUMMYFUNCTION("ARRAYFORMULA(VLOOKUP(A296,IMPORTRANGE(""https://docs.google.com/spreadsheets/d/1BuTWp7qHGjWhqrnf-OmePP568O4A5Am9ttzvVdP67zw/edit#gid=1603210130"", ""TOURISM!$A$2:$F$2692""), {2,3,4,5,6},0))"),"Asia")</f>
        <v>Asia</v>
      </c>
      <c r="L296" s="14">
        <f>IFERROR(__xludf.DUMMYFUNCTION("""COMPUTED_VALUE"""),4.6E7)</f>
        <v>46000000</v>
      </c>
      <c r="M296" s="14" t="str">
        <f>IFERROR(__xludf.DUMMYFUNCTION("""COMPUTED_VALUE"""),"Bhutan-Asia")</f>
        <v>Bhutan-Asia</v>
      </c>
      <c r="N296" s="14" t="str">
        <f>IFERROR(__xludf.DUMMYFUNCTION("""COMPUTED_VALUE"""),"2008")</f>
        <v>2008</v>
      </c>
      <c r="O296" s="14">
        <f>IFERROR(__xludf.DUMMYFUNCTION("""COMPUTED_VALUE"""),6.6E7)</f>
        <v>66000000</v>
      </c>
      <c r="P296" s="15">
        <f>IFERROR(__xludf.DUMMYFUNCTION("ARRAYFORMULA(VLOOKUP(A296,IMPORTRANGE(""https://docs.google.com/spreadsheets/d/1BuTWp7qHGjWhqrnf-OmePP568O4A5Am9ttzvVdP67zw/edit#gid=771602874"" ,""HUMAN RESOURCES!$A$2:$M$2692""), {2,3,4,5,6,7,8,9,10,11,12,13},0))"),0.021)</f>
        <v>0.021</v>
      </c>
      <c r="Q296" s="14">
        <f>IFERROR(__xludf.DUMMYFUNCTION("""COMPUTED_VALUE"""),0.038)</f>
        <v>0.038</v>
      </c>
      <c r="R296" s="14">
        <f>IFERROR(__xludf.DUMMYFUNCTION("""COMPUTED_VALUE"""),66.0)</f>
        <v>66</v>
      </c>
      <c r="S296" s="14">
        <f>IFERROR(__xludf.DUMMYFUNCTION("""COMPUTED_VALUE"""),66.0)</f>
        <v>66</v>
      </c>
      <c r="T296" s="14">
        <f>IFERROR(__xludf.DUMMYFUNCTION("""COMPUTED_VALUE"""),0.312)</f>
        <v>0.312</v>
      </c>
      <c r="U296" s="14">
        <f>IFERROR(__xludf.DUMMYFUNCTION("""COMPUTED_VALUE"""),0.645)</f>
        <v>0.645</v>
      </c>
      <c r="V296" s="14">
        <f>IFERROR(__xludf.DUMMYFUNCTION("""COMPUTED_VALUE"""),0.043)</f>
        <v>0.043</v>
      </c>
      <c r="W296" s="14">
        <f>IFERROR(__xludf.DUMMYFUNCTION("""COMPUTED_VALUE"""),692159.0)</f>
        <v>692159</v>
      </c>
      <c r="X296" s="14">
        <f>IFERROR(__xludf.DUMMYFUNCTION("""COMPUTED_VALUE"""),0.332)</f>
        <v>0.332</v>
      </c>
      <c r="Y296" s="14" t="str">
        <f>IFERROR(__xludf.DUMMYFUNCTION("""COMPUTED_VALUE"""),"Bhutan-Asia")</f>
        <v>Bhutan-Asia</v>
      </c>
      <c r="Z296" s="14" t="str">
        <f>IFERROR(__xludf.DUMMYFUNCTION("""COMPUTED_VALUE"""),"Asia")</f>
        <v>Asia</v>
      </c>
      <c r="AA296" s="14" t="str">
        <f>IFERROR(__xludf.DUMMYFUNCTION("""COMPUTED_VALUE"""),"2008")</f>
        <v>2008</v>
      </c>
      <c r="AB296" s="15" t="str">
        <f>IFERROR(__xludf.DUMMYFUNCTION("ARRAYFORMULA(VLOOKUP(A296,IMPORTRANGE(""https://docs.google.com/spreadsheets/d/1BuTWp7qHGjWhqrnf-OmePP568O4A5Am9ttzvVdP67zw/edit#gid=1931367683"" ,""ENERGY!$A$2:$F$2692""), {2,3,4,5,6},0))"),"Asia")</f>
        <v>Asia</v>
      </c>
      <c r="AC296" s="14" t="str">
        <f>IFERROR(__xludf.DUMMYFUNCTION("""COMPUTED_VALUE"""),"Bhutan-Asia")</f>
        <v>Bhutan-Asia</v>
      </c>
      <c r="AD296" s="14" t="str">
        <f>IFERROR(__xludf.DUMMYFUNCTION("""COMPUTED_VALUE"""),"2012")</f>
        <v>2012</v>
      </c>
      <c r="AE296" s="14">
        <f>IFERROR(__xludf.DUMMYFUNCTION("""COMPUTED_VALUE"""),180.0)</f>
        <v>180</v>
      </c>
      <c r="AF296" s="14">
        <f>IFERROR(__xludf.DUMMYFUNCTION("""COMPUTED_VALUE"""),308.0)</f>
        <v>308</v>
      </c>
    </row>
    <row r="297">
      <c r="A297" s="12">
        <v>296.0</v>
      </c>
      <c r="B297" s="12" t="s">
        <v>101</v>
      </c>
      <c r="C297" s="5" t="s">
        <v>61</v>
      </c>
      <c r="D297" s="11">
        <v>0.408</v>
      </c>
      <c r="E297" s="11">
        <v>46.0</v>
      </c>
      <c r="F297" s="8"/>
      <c r="G297" s="11">
        <v>274.0</v>
      </c>
      <c r="H297" s="11">
        <v>0.072</v>
      </c>
      <c r="I297" s="11">
        <v>0.481</v>
      </c>
      <c r="J297" s="9" t="s">
        <v>70</v>
      </c>
      <c r="K297" s="14" t="str">
        <f>IFERROR(__xludf.DUMMYFUNCTION("ARRAYFORMULA(VLOOKUP(A297,IMPORTRANGE(""https://docs.google.com/spreadsheets/d/1BuTWp7qHGjWhqrnf-OmePP568O4A5Am9ttzvVdP67zw/edit#gid=1603210130"", ""TOURISM!$A$2:$F$2692""), {2,3,4,5,6},0))"),"Asia")</f>
        <v>Asia</v>
      </c>
      <c r="L297" s="14">
        <f>IFERROR(__xludf.DUMMYFUNCTION("""COMPUTED_VALUE"""),5.1E7)</f>
        <v>51000000</v>
      </c>
      <c r="M297" s="14" t="str">
        <f>IFERROR(__xludf.DUMMYFUNCTION("""COMPUTED_VALUE"""),"Bhutan-Asia")</f>
        <v>Bhutan-Asia</v>
      </c>
      <c r="N297" s="14" t="str">
        <f>IFERROR(__xludf.DUMMYFUNCTION("""COMPUTED_VALUE"""),"2009")</f>
        <v>2009</v>
      </c>
      <c r="O297" s="14">
        <f>IFERROR(__xludf.DUMMYFUNCTION("""COMPUTED_VALUE"""),3.4E7)</f>
        <v>34000000</v>
      </c>
      <c r="P297" s="15">
        <f>IFERROR(__xludf.DUMMYFUNCTION("ARRAYFORMULA(VLOOKUP(A297,IMPORTRANGE(""https://docs.google.com/spreadsheets/d/1BuTWp7qHGjWhqrnf-OmePP568O4A5Am9ttzvVdP67zw/edit#gid=771602874"" ,""HUMAN RESOURCES!$A$2:$M$2692""), {2,3,4,5,6,7,8,9,10,11,12,13},0))"),0.021)</f>
        <v>0.021</v>
      </c>
      <c r="Q297" s="14">
        <f>IFERROR(__xludf.DUMMYFUNCTION("""COMPUTED_VALUE"""),0.036)</f>
        <v>0.036</v>
      </c>
      <c r="R297" s="14">
        <f>IFERROR(__xludf.DUMMYFUNCTION("""COMPUTED_VALUE"""),67.0)</f>
        <v>67</v>
      </c>
      <c r="S297" s="14">
        <f>IFERROR(__xludf.DUMMYFUNCTION("""COMPUTED_VALUE"""),66.0)</f>
        <v>66</v>
      </c>
      <c r="T297" s="14">
        <f>IFERROR(__xludf.DUMMYFUNCTION("""COMPUTED_VALUE"""),0.305)</f>
        <v>0.305</v>
      </c>
      <c r="U297" s="14">
        <f>IFERROR(__xludf.DUMMYFUNCTION("""COMPUTED_VALUE"""),0.651)</f>
        <v>0.651</v>
      </c>
      <c r="V297" s="14">
        <f>IFERROR(__xludf.DUMMYFUNCTION("""COMPUTED_VALUE"""),0.044)</f>
        <v>0.044</v>
      </c>
      <c r="W297" s="14">
        <f>IFERROR(__xludf.DUMMYFUNCTION("""COMPUTED_VALUE"""),704542.0)</f>
        <v>704542</v>
      </c>
      <c r="X297" s="14">
        <f>IFERROR(__xludf.DUMMYFUNCTION("""COMPUTED_VALUE"""),0.34)</f>
        <v>0.34</v>
      </c>
      <c r="Y297" s="14" t="str">
        <f>IFERROR(__xludf.DUMMYFUNCTION("""COMPUTED_VALUE"""),"Bhutan-Asia")</f>
        <v>Bhutan-Asia</v>
      </c>
      <c r="Z297" s="14" t="str">
        <f>IFERROR(__xludf.DUMMYFUNCTION("""COMPUTED_VALUE"""),"Asia")</f>
        <v>Asia</v>
      </c>
      <c r="AA297" s="14" t="str">
        <f>IFERROR(__xludf.DUMMYFUNCTION("""COMPUTED_VALUE"""),"2009")</f>
        <v>2009</v>
      </c>
      <c r="AB297" s="15" t="str">
        <f>IFERROR(__xludf.DUMMYFUNCTION("ARRAYFORMULA(VLOOKUP(A297,IMPORTRANGE(""https://docs.google.com/spreadsheets/d/1BuTWp7qHGjWhqrnf-OmePP568O4A5Am9ttzvVdP67zw/edit#gid=1931367683"" ,""ENERGY!$A$2:$F$2692""), {2,3,4,5,6},0))"),"Asia")</f>
        <v>Asia</v>
      </c>
      <c r="AC297" s="14" t="str">
        <f>IFERROR(__xludf.DUMMYFUNCTION("""COMPUTED_VALUE"""),"Bhutan-Asia")</f>
        <v>Bhutan-Asia</v>
      </c>
      <c r="AD297" s="14" t="str">
        <f>IFERROR(__xludf.DUMMYFUNCTION("""COMPUTED_VALUE"""),"2008")</f>
        <v>2008</v>
      </c>
      <c r="AE297" s="14"/>
      <c r="AF297" s="14">
        <f>IFERROR(__xludf.DUMMYFUNCTION("""COMPUTED_VALUE"""),378.0)</f>
        <v>378</v>
      </c>
    </row>
    <row r="298">
      <c r="A298" s="12">
        <v>297.0</v>
      </c>
      <c r="B298" s="12" t="s">
        <v>101</v>
      </c>
      <c r="C298" s="5" t="s">
        <v>61</v>
      </c>
      <c r="D298" s="11">
        <v>0.408</v>
      </c>
      <c r="E298" s="11">
        <v>46.0</v>
      </c>
      <c r="F298" s="8"/>
      <c r="G298" s="11">
        <v>274.0</v>
      </c>
      <c r="H298" s="11">
        <v>0.136</v>
      </c>
      <c r="I298" s="11">
        <v>0.55</v>
      </c>
      <c r="J298" s="9" t="s">
        <v>71</v>
      </c>
      <c r="K298" s="14" t="str">
        <f>IFERROR(__xludf.DUMMYFUNCTION("ARRAYFORMULA(VLOOKUP(A298,IMPORTRANGE(""https://docs.google.com/spreadsheets/d/1BuTWp7qHGjWhqrnf-OmePP568O4A5Am9ttzvVdP67zw/edit#gid=1603210130"", ""TOURISM!$A$2:$F$2692""), {2,3,4,5,6},0))"),"Asia")</f>
        <v>Asia</v>
      </c>
      <c r="L298" s="14">
        <f>IFERROR(__xludf.DUMMYFUNCTION("""COMPUTED_VALUE"""),6.4E7)</f>
        <v>64000000</v>
      </c>
      <c r="M298" s="14" t="str">
        <f>IFERROR(__xludf.DUMMYFUNCTION("""COMPUTED_VALUE"""),"Bhutan-Asia")</f>
        <v>Bhutan-Asia</v>
      </c>
      <c r="N298" s="14" t="str">
        <f>IFERROR(__xludf.DUMMYFUNCTION("""COMPUTED_VALUE"""),"2010")</f>
        <v>2010</v>
      </c>
      <c r="O298" s="14">
        <f>IFERROR(__xludf.DUMMYFUNCTION("""COMPUTED_VALUE"""),4.3E7)</f>
        <v>43000000</v>
      </c>
      <c r="P298" s="15">
        <f>IFERROR(__xludf.DUMMYFUNCTION("ARRAYFORMULA(VLOOKUP(A298,IMPORTRANGE(""https://docs.google.com/spreadsheets/d/1BuTWp7qHGjWhqrnf-OmePP568O4A5Am9ttzvVdP67zw/edit#gid=771602874"" ,""HUMAN RESOURCES!$A$2:$M$2692""), {2,3,4,5,6,7,8,9,10,11,12,13},0))"),0.021)</f>
        <v>0.021</v>
      </c>
      <c r="Q298" s="14">
        <f>IFERROR(__xludf.DUMMYFUNCTION("""COMPUTED_VALUE"""),0.034)</f>
        <v>0.034</v>
      </c>
      <c r="R298" s="14">
        <f>IFERROR(__xludf.DUMMYFUNCTION("""COMPUTED_VALUE"""),67.0)</f>
        <v>67</v>
      </c>
      <c r="S298" s="14">
        <f>IFERROR(__xludf.DUMMYFUNCTION("""COMPUTED_VALUE"""),67.0)</f>
        <v>67</v>
      </c>
      <c r="T298" s="14">
        <f>IFERROR(__xludf.DUMMYFUNCTION("""COMPUTED_VALUE"""),0.298)</f>
        <v>0.298</v>
      </c>
      <c r="U298" s="14">
        <f>IFERROR(__xludf.DUMMYFUNCTION("""COMPUTED_VALUE"""),0.657)</f>
        <v>0.657</v>
      </c>
      <c r="V298" s="14">
        <f>IFERROR(__xludf.DUMMYFUNCTION("""COMPUTED_VALUE"""),0.045)</f>
        <v>0.045</v>
      </c>
      <c r="W298" s="14">
        <f>IFERROR(__xludf.DUMMYFUNCTION("""COMPUTED_VALUE"""),716939.0)</f>
        <v>716939</v>
      </c>
      <c r="X298" s="14">
        <f>IFERROR(__xludf.DUMMYFUNCTION("""COMPUTED_VALUE"""),0.348)</f>
        <v>0.348</v>
      </c>
      <c r="Y298" s="14" t="str">
        <f>IFERROR(__xludf.DUMMYFUNCTION("""COMPUTED_VALUE"""),"Bhutan-Asia")</f>
        <v>Bhutan-Asia</v>
      </c>
      <c r="Z298" s="14" t="str">
        <f>IFERROR(__xludf.DUMMYFUNCTION("""COMPUTED_VALUE"""),"Asia")</f>
        <v>Asia</v>
      </c>
      <c r="AA298" s="14" t="str">
        <f>IFERROR(__xludf.DUMMYFUNCTION("""COMPUTED_VALUE"""),"2010")</f>
        <v>2010</v>
      </c>
      <c r="AB298" s="15" t="str">
        <f>IFERROR(__xludf.DUMMYFUNCTION("ARRAYFORMULA(VLOOKUP(A298,IMPORTRANGE(""https://docs.google.com/spreadsheets/d/1BuTWp7qHGjWhqrnf-OmePP568O4A5Am9ttzvVdP67zw/edit#gid=1931367683"" ,""ENERGY!$A$2:$F$2692""), {2,3,4,5,6},0))"),"Asia")</f>
        <v>Asia</v>
      </c>
      <c r="AC298" s="14" t="str">
        <f>IFERROR(__xludf.DUMMYFUNCTION("""COMPUTED_VALUE"""),"Bhutan-Asia")</f>
        <v>Bhutan-Asia</v>
      </c>
      <c r="AD298" s="14" t="str">
        <f>IFERROR(__xludf.DUMMYFUNCTION("""COMPUTED_VALUE"""),"2005")</f>
        <v>2005</v>
      </c>
      <c r="AE298" s="14"/>
      <c r="AF298" s="14">
        <f>IFERROR(__xludf.DUMMYFUNCTION("""COMPUTED_VALUE"""),418.0)</f>
        <v>418</v>
      </c>
    </row>
    <row r="299">
      <c r="A299" s="12">
        <v>298.0</v>
      </c>
      <c r="B299" s="12" t="s">
        <v>101</v>
      </c>
      <c r="C299" s="5" t="s">
        <v>61</v>
      </c>
      <c r="D299" s="11">
        <v>0.408</v>
      </c>
      <c r="E299" s="11">
        <v>36.0</v>
      </c>
      <c r="F299" s="8"/>
      <c r="G299" s="11">
        <v>274.0</v>
      </c>
      <c r="H299" s="11">
        <v>0.21</v>
      </c>
      <c r="I299" s="11">
        <v>0.664</v>
      </c>
      <c r="J299" s="9" t="s">
        <v>72</v>
      </c>
      <c r="K299" s="14" t="str">
        <f>IFERROR(__xludf.DUMMYFUNCTION("ARRAYFORMULA(VLOOKUP(A299,IMPORTRANGE(""https://docs.google.com/spreadsheets/d/1BuTWp7qHGjWhqrnf-OmePP568O4A5Am9ttzvVdP67zw/edit#gid=1603210130"", ""TOURISM!$A$2:$F$2692""), {2,3,4,5,6},0))"),"Asia")</f>
        <v>Asia</v>
      </c>
      <c r="L299" s="14">
        <f>IFERROR(__xludf.DUMMYFUNCTION("""COMPUTED_VALUE"""),7.6E7)</f>
        <v>76000000</v>
      </c>
      <c r="M299" s="14" t="str">
        <f>IFERROR(__xludf.DUMMYFUNCTION("""COMPUTED_VALUE"""),"Bhutan-Asia")</f>
        <v>Bhutan-Asia</v>
      </c>
      <c r="N299" s="14" t="str">
        <f>IFERROR(__xludf.DUMMYFUNCTION("""COMPUTED_VALUE"""),"2011")</f>
        <v>2011</v>
      </c>
      <c r="O299" s="14">
        <f>IFERROR(__xludf.DUMMYFUNCTION("""COMPUTED_VALUE"""),5.8E7)</f>
        <v>58000000</v>
      </c>
      <c r="P299" s="15">
        <f>IFERROR(__xludf.DUMMYFUNCTION("ARRAYFORMULA(VLOOKUP(A299,IMPORTRANGE(""https://docs.google.com/spreadsheets/d/1BuTWp7qHGjWhqrnf-OmePP568O4A5Am9ttzvVdP67zw/edit#gid=771602874"" ,""HUMAN RESOURCES!$A$2:$M$2692""), {2,3,4,5,6,7,8,9,10,11,12,13},0))"),0.02)</f>
        <v>0.02</v>
      </c>
      <c r="Q299" s="14">
        <f>IFERROR(__xludf.DUMMYFUNCTION("""COMPUTED_VALUE"""),0.033)</f>
        <v>0.033</v>
      </c>
      <c r="R299" s="14">
        <f>IFERROR(__xludf.DUMMYFUNCTION("""COMPUTED_VALUE"""),68.0)</f>
        <v>68</v>
      </c>
      <c r="S299" s="14">
        <f>IFERROR(__xludf.DUMMYFUNCTION("""COMPUTED_VALUE"""),67.0)</f>
        <v>67</v>
      </c>
      <c r="T299" s="14">
        <f>IFERROR(__xludf.DUMMYFUNCTION("""COMPUTED_VALUE"""),0.291)</f>
        <v>0.291</v>
      </c>
      <c r="U299" s="14">
        <f>IFERROR(__xludf.DUMMYFUNCTION("""COMPUTED_VALUE"""),0.663)</f>
        <v>0.663</v>
      </c>
      <c r="V299" s="14">
        <f>IFERROR(__xludf.DUMMYFUNCTION("""COMPUTED_VALUE"""),0.046)</f>
        <v>0.046</v>
      </c>
      <c r="W299" s="14">
        <f>IFERROR(__xludf.DUMMYFUNCTION("""COMPUTED_VALUE"""),729429.0)</f>
        <v>729429</v>
      </c>
      <c r="X299" s="14">
        <f>IFERROR(__xludf.DUMMYFUNCTION("""COMPUTED_VALUE"""),0.356)</f>
        <v>0.356</v>
      </c>
      <c r="Y299" s="14" t="str">
        <f>IFERROR(__xludf.DUMMYFUNCTION("""COMPUTED_VALUE"""),"Bhutan-Asia")</f>
        <v>Bhutan-Asia</v>
      </c>
      <c r="Z299" s="14" t="str">
        <f>IFERROR(__xludf.DUMMYFUNCTION("""COMPUTED_VALUE"""),"Asia")</f>
        <v>Asia</v>
      </c>
      <c r="AA299" s="14" t="str">
        <f>IFERROR(__xludf.DUMMYFUNCTION("""COMPUTED_VALUE"""),"2011")</f>
        <v>2011</v>
      </c>
      <c r="AB299" s="15" t="str">
        <f>IFERROR(__xludf.DUMMYFUNCTION("ARRAYFORMULA(VLOOKUP(A299,IMPORTRANGE(""https://docs.google.com/spreadsheets/d/1BuTWp7qHGjWhqrnf-OmePP568O4A5Am9ttzvVdP67zw/edit#gid=1931367683"" ,""ENERGY!$A$2:$F$2692""), {2,3,4,5,6},0))"),"Asia")</f>
        <v>Asia</v>
      </c>
      <c r="AC299" s="14" t="str">
        <f>IFERROR(__xludf.DUMMYFUNCTION("""COMPUTED_VALUE"""),"Bhutan-Asia")</f>
        <v>Bhutan-Asia</v>
      </c>
      <c r="AD299" s="14" t="str">
        <f>IFERROR(__xludf.DUMMYFUNCTION("""COMPUTED_VALUE"""),"2012")</f>
        <v>2012</v>
      </c>
      <c r="AE299" s="14"/>
      <c r="AF299" s="14">
        <f>IFERROR(__xludf.DUMMYFUNCTION("""COMPUTED_VALUE"""),389.0)</f>
        <v>389</v>
      </c>
    </row>
    <row r="300">
      <c r="A300" s="12">
        <v>299.0</v>
      </c>
      <c r="B300" s="12" t="s">
        <v>101</v>
      </c>
      <c r="C300" s="5" t="s">
        <v>61</v>
      </c>
      <c r="D300" s="11">
        <v>0.408</v>
      </c>
      <c r="E300" s="11">
        <v>36.0</v>
      </c>
      <c r="F300" s="11">
        <v>146.0</v>
      </c>
      <c r="G300" s="11">
        <v>274.0</v>
      </c>
      <c r="H300" s="11">
        <v>0.254</v>
      </c>
      <c r="I300" s="11">
        <v>0.756</v>
      </c>
      <c r="J300" s="9" t="s">
        <v>73</v>
      </c>
      <c r="K300" s="14" t="str">
        <f>IFERROR(__xludf.DUMMYFUNCTION("ARRAYFORMULA(VLOOKUP(A300,IMPORTRANGE(""https://docs.google.com/spreadsheets/d/1BuTWp7qHGjWhqrnf-OmePP568O4A5Am9ttzvVdP67zw/edit#gid=1603210130"", ""TOURISM!$A$2:$F$2692""), {2,3,4,5,6},0))"),"Asia")</f>
        <v>Asia</v>
      </c>
      <c r="L300" s="14">
        <f>IFERROR(__xludf.DUMMYFUNCTION("""COMPUTED_VALUE"""),9.4E7)</f>
        <v>94000000</v>
      </c>
      <c r="M300" s="14" t="str">
        <f>IFERROR(__xludf.DUMMYFUNCTION("""COMPUTED_VALUE"""),"Bhutan-Asia")</f>
        <v>Bhutan-Asia</v>
      </c>
      <c r="N300" s="14" t="str">
        <f>IFERROR(__xludf.DUMMYFUNCTION("""COMPUTED_VALUE"""),"2012")</f>
        <v>2012</v>
      </c>
      <c r="O300" s="14">
        <f>IFERROR(__xludf.DUMMYFUNCTION("""COMPUTED_VALUE"""),7.1E7)</f>
        <v>71000000</v>
      </c>
      <c r="P300" s="15">
        <f>IFERROR(__xludf.DUMMYFUNCTION("ARRAYFORMULA(VLOOKUP(A300,IMPORTRANGE(""https://docs.google.com/spreadsheets/d/1BuTWp7qHGjWhqrnf-OmePP568O4A5Am9ttzvVdP67zw/edit#gid=771602874"" ,""HUMAN RESOURCES!$A$2:$M$2692""), {2,3,4,5,6,7,8,9,10,11,12,13},0))"),0.02)</f>
        <v>0.02</v>
      </c>
      <c r="Q300" s="14">
        <f>IFERROR(__xludf.DUMMYFUNCTION("""COMPUTED_VALUE"""),0.031)</f>
        <v>0.031</v>
      </c>
      <c r="R300" s="14">
        <f>IFERROR(__xludf.DUMMYFUNCTION("""COMPUTED_VALUE"""),68.0)</f>
        <v>68</v>
      </c>
      <c r="S300" s="14">
        <f>IFERROR(__xludf.DUMMYFUNCTION("""COMPUTED_VALUE"""),68.0)</f>
        <v>68</v>
      </c>
      <c r="T300" s="14">
        <f>IFERROR(__xludf.DUMMYFUNCTION("""COMPUTED_VALUE"""),0.285)</f>
        <v>0.285</v>
      </c>
      <c r="U300" s="14">
        <f>IFERROR(__xludf.DUMMYFUNCTION("""COMPUTED_VALUE"""),0.668)</f>
        <v>0.668</v>
      </c>
      <c r="V300" s="14">
        <f>IFERROR(__xludf.DUMMYFUNCTION("""COMPUTED_VALUE"""),0.047)</f>
        <v>0.047</v>
      </c>
      <c r="W300" s="14">
        <f>IFERROR(__xludf.DUMMYFUNCTION("""COMPUTED_VALUE"""),741822.0)</f>
        <v>741822</v>
      </c>
      <c r="X300" s="14">
        <f>IFERROR(__xludf.DUMMYFUNCTION("""COMPUTED_VALUE"""),0.364)</f>
        <v>0.364</v>
      </c>
      <c r="Y300" s="14" t="str">
        <f>IFERROR(__xludf.DUMMYFUNCTION("""COMPUTED_VALUE"""),"Bhutan-Asia")</f>
        <v>Bhutan-Asia</v>
      </c>
      <c r="Z300" s="14" t="str">
        <f>IFERROR(__xludf.DUMMYFUNCTION("""COMPUTED_VALUE"""),"Asia")</f>
        <v>Asia</v>
      </c>
      <c r="AA300" s="14" t="str">
        <f>IFERROR(__xludf.DUMMYFUNCTION("""COMPUTED_VALUE"""),"2012")</f>
        <v>2012</v>
      </c>
      <c r="AB300" s="15" t="str">
        <f>IFERROR(__xludf.DUMMYFUNCTION("ARRAYFORMULA(VLOOKUP(A300,IMPORTRANGE(""https://docs.google.com/spreadsheets/d/1BuTWp7qHGjWhqrnf-OmePP568O4A5Am9ttzvVdP67zw/edit#gid=1931367683"" ,""ENERGY!$A$2:$F$2692""), {2,3,4,5,6},0))"),"Asia")</f>
        <v>Asia</v>
      </c>
      <c r="AC300" s="14" t="str">
        <f>IFERROR(__xludf.DUMMYFUNCTION("""COMPUTED_VALUE"""),"Bhutan-Asia")</f>
        <v>Bhutan-Asia</v>
      </c>
      <c r="AD300" s="14" t="str">
        <f>IFERROR(__xludf.DUMMYFUNCTION("""COMPUTED_VALUE"""),"2008")</f>
        <v>2008</v>
      </c>
      <c r="AE300" s="14"/>
      <c r="AF300" s="14">
        <f>IFERROR(__xludf.DUMMYFUNCTION("""COMPUTED_VALUE"""),400.0)</f>
        <v>400</v>
      </c>
    </row>
    <row r="301">
      <c r="A301" s="12">
        <v>300.0</v>
      </c>
      <c r="B301" s="12" t="s">
        <v>102</v>
      </c>
      <c r="C301" s="5" t="s">
        <v>84</v>
      </c>
      <c r="D301" s="8"/>
      <c r="E301" s="8"/>
      <c r="F301" s="8"/>
      <c r="G301" s="8"/>
      <c r="H301" s="11">
        <v>0.014</v>
      </c>
      <c r="I301" s="11">
        <v>0.069</v>
      </c>
      <c r="J301" s="9" t="s">
        <v>60</v>
      </c>
      <c r="K301" s="14" t="str">
        <f>IFERROR(__xludf.DUMMYFUNCTION("ARRAYFORMULA(VLOOKUP(A301,IMPORTRANGE(""https://docs.google.com/spreadsheets/d/1BuTWp7qHGjWhqrnf-OmePP568O4A5Am9ttzvVdP67zw/edit#gid=1603210130"", ""TOURISM!$A$2:$F$2692""), {2,3,4,5,6},0))"),"The Americas")</f>
        <v>The Americas</v>
      </c>
      <c r="L301" s="14">
        <f>IFERROR(__xludf.DUMMYFUNCTION("""COMPUTED_VALUE"""),1.01E8)</f>
        <v>101000000</v>
      </c>
      <c r="M301" s="14" t="str">
        <f>IFERROR(__xludf.DUMMYFUNCTION("""COMPUTED_VALUE"""),"Bolivia-The Americas")</f>
        <v>Bolivia-The Americas</v>
      </c>
      <c r="N301" s="14" t="str">
        <f>IFERROR(__xludf.DUMMYFUNCTION("""COMPUTED_VALUE"""),"2000")</f>
        <v>2000</v>
      </c>
      <c r="O301" s="14">
        <f>IFERROR(__xludf.DUMMYFUNCTION("""COMPUTED_VALUE"""),1.16E8)</f>
        <v>116000000</v>
      </c>
      <c r="P301" s="15">
        <f>IFERROR(__xludf.DUMMYFUNCTION("ARRAYFORMULA(VLOOKUP(A301,IMPORTRANGE(""https://docs.google.com/spreadsheets/d/1BuTWp7qHGjWhqrnf-OmePP568O4A5Am9ttzvVdP67zw/edit#gid=771602874"" ,""HUMAN RESOURCES!$A$2:$M$2692""), {2,3,4,5,6,7,8,9,10,11,12,13},0))"),0.031)</f>
        <v>0.031</v>
      </c>
      <c r="Q301" s="14">
        <f>IFERROR(__xludf.DUMMYFUNCTION("""COMPUTED_VALUE"""),0.057)</f>
        <v>0.057</v>
      </c>
      <c r="R301" s="14">
        <f>IFERROR(__xludf.DUMMYFUNCTION("""COMPUTED_VALUE"""),65.0)</f>
        <v>65</v>
      </c>
      <c r="S301" s="14">
        <f>IFERROR(__xludf.DUMMYFUNCTION("""COMPUTED_VALUE"""),61.0)</f>
        <v>61</v>
      </c>
      <c r="T301" s="14">
        <f>IFERROR(__xludf.DUMMYFUNCTION("""COMPUTED_VALUE"""),0.398)</f>
        <v>0.398</v>
      </c>
      <c r="U301" s="14">
        <f>IFERROR(__xludf.DUMMYFUNCTION("""COMPUTED_VALUE"""),0.56)</f>
        <v>0.56</v>
      </c>
      <c r="V301" s="14">
        <f>IFERROR(__xludf.DUMMYFUNCTION("""COMPUTED_VALUE"""),0.042)</f>
        <v>0.042</v>
      </c>
      <c r="W301" s="14">
        <f>IFERROR(__xludf.DUMMYFUNCTION("""COMPUTED_VALUE"""),8495271.0)</f>
        <v>8495271</v>
      </c>
      <c r="X301" s="14">
        <f>IFERROR(__xludf.DUMMYFUNCTION("""COMPUTED_VALUE"""),0.618)</f>
        <v>0.618</v>
      </c>
      <c r="Y301" s="14" t="str">
        <f>IFERROR(__xludf.DUMMYFUNCTION("""COMPUTED_VALUE"""),"Bolivia-The Americas")</f>
        <v>Bolivia-The Americas</v>
      </c>
      <c r="Z301" s="14" t="str">
        <f>IFERROR(__xludf.DUMMYFUNCTION("""COMPUTED_VALUE"""),"The Americas")</f>
        <v>The Americas</v>
      </c>
      <c r="AA301" s="14" t="str">
        <f>IFERROR(__xludf.DUMMYFUNCTION("""COMPUTED_VALUE"""),"2000")</f>
        <v>2000</v>
      </c>
      <c r="AB301" s="15" t="str">
        <f>IFERROR(__xludf.DUMMYFUNCTION("ARRAYFORMULA(VLOOKUP(A301,IMPORTRANGE(""https://docs.google.com/spreadsheets/d/1BuTWp7qHGjWhqrnf-OmePP568O4A5Am9ttzvVdP67zw/edit#gid=1931367683"" ,""ENERGY!$A$2:$F$2692""), {2,3,4,5,6},0))"),"The Americas")</f>
        <v>The Americas</v>
      </c>
      <c r="AC301" s="14" t="str">
        <f>IFERROR(__xludf.DUMMYFUNCTION("""COMPUTED_VALUE"""),"Bolivia-The Americas")</f>
        <v>Bolivia-The Americas</v>
      </c>
      <c r="AD301" s="14" t="str">
        <f>IFERROR(__xludf.DUMMYFUNCTION("""COMPUTED_VALUE"""),"2000")</f>
        <v>2000</v>
      </c>
      <c r="AE301" s="14"/>
      <c r="AF301" s="14"/>
    </row>
    <row r="302">
      <c r="A302" s="12">
        <v>301.0</v>
      </c>
      <c r="B302" s="12" t="s">
        <v>102</v>
      </c>
      <c r="C302" s="5" t="s">
        <v>84</v>
      </c>
      <c r="D302" s="8"/>
      <c r="E302" s="8"/>
      <c r="F302" s="8"/>
      <c r="G302" s="8"/>
      <c r="H302" s="11">
        <v>0.021</v>
      </c>
      <c r="I302" s="11">
        <v>0.09</v>
      </c>
      <c r="J302" s="9" t="s">
        <v>62</v>
      </c>
      <c r="K302" s="14" t="str">
        <f>IFERROR(__xludf.DUMMYFUNCTION("ARRAYFORMULA(VLOOKUP(A302,IMPORTRANGE(""https://docs.google.com/spreadsheets/d/1BuTWp7qHGjWhqrnf-OmePP568O4A5Am9ttzvVdP67zw/edit#gid=1603210130"", ""TOURISM!$A$2:$F$2692""), {2,3,4,5,6},0))"),"The Americas")</f>
        <v>The Americas</v>
      </c>
      <c r="L302" s="14">
        <f>IFERROR(__xludf.DUMMYFUNCTION("""COMPUTED_VALUE"""),1.19E8)</f>
        <v>119000000</v>
      </c>
      <c r="M302" s="14" t="str">
        <f>IFERROR(__xludf.DUMMYFUNCTION("""COMPUTED_VALUE"""),"Bolivia-The Americas")</f>
        <v>Bolivia-The Americas</v>
      </c>
      <c r="N302" s="14" t="str">
        <f>IFERROR(__xludf.DUMMYFUNCTION("""COMPUTED_VALUE"""),"2001")</f>
        <v>2001</v>
      </c>
      <c r="O302" s="14">
        <f>IFERROR(__xludf.DUMMYFUNCTION("""COMPUTED_VALUE"""),1.14E8)</f>
        <v>114000000</v>
      </c>
      <c r="P302" s="15">
        <f>IFERROR(__xludf.DUMMYFUNCTION("ARRAYFORMULA(VLOOKUP(A302,IMPORTRANGE(""https://docs.google.com/spreadsheets/d/1BuTWp7qHGjWhqrnf-OmePP568O4A5Am9ttzvVdP67zw/edit#gid=771602874"" ,""HUMAN RESOURCES!$A$2:$M$2692""), {2,3,4,5,6,7,8,9,10,11,12,13},0))"),0.031)</f>
        <v>0.031</v>
      </c>
      <c r="Q302" s="14">
        <f>IFERROR(__xludf.DUMMYFUNCTION("""COMPUTED_VALUE"""),0.054)</f>
        <v>0.054</v>
      </c>
      <c r="R302" s="14">
        <f>IFERROR(__xludf.DUMMYFUNCTION("""COMPUTED_VALUE"""),65.0)</f>
        <v>65</v>
      </c>
      <c r="S302" s="14">
        <f>IFERROR(__xludf.DUMMYFUNCTION("""COMPUTED_VALUE"""),61.0)</f>
        <v>61</v>
      </c>
      <c r="T302" s="14">
        <f>IFERROR(__xludf.DUMMYFUNCTION("""COMPUTED_VALUE"""),0.396)</f>
        <v>0.396</v>
      </c>
      <c r="U302" s="14">
        <f>IFERROR(__xludf.DUMMYFUNCTION("""COMPUTED_VALUE"""),0.562)</f>
        <v>0.562</v>
      </c>
      <c r="V302" s="14">
        <f>IFERROR(__xludf.DUMMYFUNCTION("""COMPUTED_VALUE"""),0.042)</f>
        <v>0.042</v>
      </c>
      <c r="W302" s="14">
        <f>IFERROR(__xludf.DUMMYFUNCTION("""COMPUTED_VALUE"""),8669066.0)</f>
        <v>8669066</v>
      </c>
      <c r="X302" s="14">
        <f>IFERROR(__xludf.DUMMYFUNCTION("""COMPUTED_VALUE"""),0.623)</f>
        <v>0.623</v>
      </c>
      <c r="Y302" s="14" t="str">
        <f>IFERROR(__xludf.DUMMYFUNCTION("""COMPUTED_VALUE"""),"Bolivia-The Americas")</f>
        <v>Bolivia-The Americas</v>
      </c>
      <c r="Z302" s="14" t="str">
        <f>IFERROR(__xludf.DUMMYFUNCTION("""COMPUTED_VALUE"""),"The Americas")</f>
        <v>The Americas</v>
      </c>
      <c r="AA302" s="14" t="str">
        <f>IFERROR(__xludf.DUMMYFUNCTION("""COMPUTED_VALUE"""),"2001")</f>
        <v>2001</v>
      </c>
      <c r="AB302" s="15" t="str">
        <f>IFERROR(__xludf.DUMMYFUNCTION("ARRAYFORMULA(VLOOKUP(A302,IMPORTRANGE(""https://docs.google.com/spreadsheets/d/1BuTWp7qHGjWhqrnf-OmePP568O4A5Am9ttzvVdP67zw/edit#gid=1931367683"" ,""ENERGY!$A$2:$F$2692""), {2,3,4,5,6},0))"),"The Americas")</f>
        <v>The Americas</v>
      </c>
      <c r="AC302" s="14" t="str">
        <f>IFERROR(__xludf.DUMMYFUNCTION("""COMPUTED_VALUE"""),"Bolivia-The Americas")</f>
        <v>Bolivia-The Americas</v>
      </c>
      <c r="AD302" s="14" t="str">
        <f>IFERROR(__xludf.DUMMYFUNCTION("""COMPUTED_VALUE"""),"2001")</f>
        <v>2001</v>
      </c>
      <c r="AE302" s="14">
        <f>IFERROR(__xludf.DUMMYFUNCTION("""COMPUTED_VALUE"""),7704.0)</f>
        <v>7704</v>
      </c>
      <c r="AF302" s="14"/>
    </row>
    <row r="303">
      <c r="A303" s="12">
        <v>302.0</v>
      </c>
      <c r="B303" s="12" t="s">
        <v>102</v>
      </c>
      <c r="C303" s="5" t="s">
        <v>84</v>
      </c>
      <c r="D303" s="8"/>
      <c r="E303" s="8"/>
      <c r="F303" s="8"/>
      <c r="G303" s="8"/>
      <c r="H303" s="11">
        <v>0.031</v>
      </c>
      <c r="I303" s="11">
        <v>0.116</v>
      </c>
      <c r="J303" s="9" t="s">
        <v>63</v>
      </c>
      <c r="K303" s="14" t="str">
        <f>IFERROR(__xludf.DUMMYFUNCTION("ARRAYFORMULA(VLOOKUP(A303,IMPORTRANGE(""https://docs.google.com/spreadsheets/d/1BuTWp7qHGjWhqrnf-OmePP568O4A5Am9ttzvVdP67zw/edit#gid=1603210130"", ""TOURISM!$A$2:$F$2692""), {2,3,4,5,6},0))"),"The Americas")</f>
        <v>The Americas</v>
      </c>
      <c r="L303" s="14">
        <f>IFERROR(__xludf.DUMMYFUNCTION("""COMPUTED_VALUE"""),1.43E8)</f>
        <v>143000000</v>
      </c>
      <c r="M303" s="14" t="str">
        <f>IFERROR(__xludf.DUMMYFUNCTION("""COMPUTED_VALUE"""),"Bolivia-The Americas")</f>
        <v>Bolivia-The Americas</v>
      </c>
      <c r="N303" s="14" t="str">
        <f>IFERROR(__xludf.DUMMYFUNCTION("""COMPUTED_VALUE"""),"2002")</f>
        <v>2002</v>
      </c>
      <c r="O303" s="14">
        <f>IFERROR(__xludf.DUMMYFUNCTION("""COMPUTED_VALUE"""),1.14E8)</f>
        <v>114000000</v>
      </c>
      <c r="P303" s="15">
        <f>IFERROR(__xludf.DUMMYFUNCTION("ARRAYFORMULA(VLOOKUP(A303,IMPORTRANGE(""https://docs.google.com/spreadsheets/d/1BuTWp7qHGjWhqrnf-OmePP568O4A5Am9ttzvVdP67zw/edit#gid=771602874"" ,""HUMAN RESOURCES!$A$2:$M$2692""), {2,3,4,5,6,7,8,9,10,11,12,13},0))"),0.03)</f>
        <v>0.03</v>
      </c>
      <c r="Q303" s="14">
        <f>IFERROR(__xludf.DUMMYFUNCTION("""COMPUTED_VALUE"""),0.052)</f>
        <v>0.052</v>
      </c>
      <c r="R303" s="14">
        <f>IFERROR(__xludf.DUMMYFUNCTION("""COMPUTED_VALUE"""),66.0)</f>
        <v>66</v>
      </c>
      <c r="S303" s="14">
        <f>IFERROR(__xludf.DUMMYFUNCTION("""COMPUTED_VALUE"""),62.0)</f>
        <v>62</v>
      </c>
      <c r="T303" s="14">
        <f>IFERROR(__xludf.DUMMYFUNCTION("""COMPUTED_VALUE"""),0.393)</f>
        <v>0.393</v>
      </c>
      <c r="U303" s="14">
        <f>IFERROR(__xludf.DUMMYFUNCTION("""COMPUTED_VALUE"""),0.564)</f>
        <v>0.564</v>
      </c>
      <c r="V303" s="14">
        <f>IFERROR(__xludf.DUMMYFUNCTION("""COMPUTED_VALUE"""),0.043)</f>
        <v>0.043</v>
      </c>
      <c r="W303" s="14">
        <f>IFERROR(__xludf.DUMMYFUNCTION("""COMPUTED_VALUE"""),8843350.0)</f>
        <v>8843350</v>
      </c>
      <c r="X303" s="14">
        <f>IFERROR(__xludf.DUMMYFUNCTION("""COMPUTED_VALUE"""),0.628)</f>
        <v>0.628</v>
      </c>
      <c r="Y303" s="14" t="str">
        <f>IFERROR(__xludf.DUMMYFUNCTION("""COMPUTED_VALUE"""),"Bolivia-The Americas")</f>
        <v>Bolivia-The Americas</v>
      </c>
      <c r="Z303" s="14" t="str">
        <f>IFERROR(__xludf.DUMMYFUNCTION("""COMPUTED_VALUE"""),"The Americas")</f>
        <v>The Americas</v>
      </c>
      <c r="AA303" s="14" t="str">
        <f>IFERROR(__xludf.DUMMYFUNCTION("""COMPUTED_VALUE"""),"2002")</f>
        <v>2002</v>
      </c>
      <c r="AB303" s="15" t="str">
        <f>IFERROR(__xludf.DUMMYFUNCTION("ARRAYFORMULA(VLOOKUP(A303,IMPORTRANGE(""https://docs.google.com/spreadsheets/d/1BuTWp7qHGjWhqrnf-OmePP568O4A5Am9ttzvVdP67zw/edit#gid=1931367683"" ,""ENERGY!$A$2:$F$2692""), {2,3,4,5,6},0))"),"The Americas")</f>
        <v>The Americas</v>
      </c>
      <c r="AC303" s="14" t="str">
        <f>IFERROR(__xludf.DUMMYFUNCTION("""COMPUTED_VALUE"""),"Bolivia-The Americas")</f>
        <v>Bolivia-The Americas</v>
      </c>
      <c r="AD303" s="14" t="str">
        <f>IFERROR(__xludf.DUMMYFUNCTION("""COMPUTED_VALUE"""),"2002")</f>
        <v>2002</v>
      </c>
      <c r="AE303" s="14">
        <f>IFERROR(__xludf.DUMMYFUNCTION("""COMPUTED_VALUE"""),7341.0)</f>
        <v>7341</v>
      </c>
      <c r="AF303" s="14">
        <f>IFERROR(__xludf.DUMMYFUNCTION("""COMPUTED_VALUE"""),15456.0)</f>
        <v>15456</v>
      </c>
    </row>
    <row r="304">
      <c r="A304" s="12">
        <v>303.0</v>
      </c>
      <c r="B304" s="12" t="s">
        <v>102</v>
      </c>
      <c r="C304" s="5" t="s">
        <v>84</v>
      </c>
      <c r="D304" s="8"/>
      <c r="E304" s="11">
        <v>60.0</v>
      </c>
      <c r="F304" s="8"/>
      <c r="G304" s="8"/>
      <c r="H304" s="11">
        <v>0.035</v>
      </c>
      <c r="I304" s="11">
        <v>0.142</v>
      </c>
      <c r="J304" s="9" t="s">
        <v>64</v>
      </c>
      <c r="K304" s="14" t="str">
        <f>IFERROR(__xludf.DUMMYFUNCTION("ARRAYFORMULA(VLOOKUP(A304,IMPORTRANGE(""https://docs.google.com/spreadsheets/d/1BuTWp7qHGjWhqrnf-OmePP568O4A5Am9ttzvVdP67zw/edit#gid=1603210130"", ""TOURISM!$A$2:$F$2692""), {2,3,4,5,6},0))"),"The Americas")</f>
        <v>The Americas</v>
      </c>
      <c r="L304" s="14">
        <f>IFERROR(__xludf.DUMMYFUNCTION("""COMPUTED_VALUE"""),2.43E8)</f>
        <v>243000000</v>
      </c>
      <c r="M304" s="14" t="str">
        <f>IFERROR(__xludf.DUMMYFUNCTION("""COMPUTED_VALUE"""),"Bolivia-The Americas")</f>
        <v>Bolivia-The Americas</v>
      </c>
      <c r="N304" s="14" t="str">
        <f>IFERROR(__xludf.DUMMYFUNCTION("""COMPUTED_VALUE"""),"2003")</f>
        <v>2003</v>
      </c>
      <c r="O304" s="14">
        <f>IFERROR(__xludf.DUMMYFUNCTION("""COMPUTED_VALUE"""),1.97E8)</f>
        <v>197000000</v>
      </c>
      <c r="P304" s="15">
        <f>IFERROR(__xludf.DUMMYFUNCTION("ARRAYFORMULA(VLOOKUP(A304,IMPORTRANGE(""https://docs.google.com/spreadsheets/d/1BuTWp7qHGjWhqrnf-OmePP568O4A5Am9ttzvVdP67zw/edit#gid=771602874"" ,""HUMAN RESOURCES!$A$2:$M$2692""), {2,3,4,5,6,7,8,9,10,11,12,13},0))"),0.03)</f>
        <v>0.03</v>
      </c>
      <c r="Q304" s="14">
        <f>IFERROR(__xludf.DUMMYFUNCTION("""COMPUTED_VALUE"""),0.049)</f>
        <v>0.049</v>
      </c>
      <c r="R304" s="14">
        <f>IFERROR(__xludf.DUMMYFUNCTION("""COMPUTED_VALUE"""),66.0)</f>
        <v>66</v>
      </c>
      <c r="S304" s="14">
        <f>IFERROR(__xludf.DUMMYFUNCTION("""COMPUTED_VALUE"""),62.0)</f>
        <v>62</v>
      </c>
      <c r="T304" s="14">
        <f>IFERROR(__xludf.DUMMYFUNCTION("""COMPUTED_VALUE"""),0.39)</f>
        <v>0.39</v>
      </c>
      <c r="U304" s="14">
        <f>IFERROR(__xludf.DUMMYFUNCTION("""COMPUTED_VALUE"""),0.567)</f>
        <v>0.567</v>
      </c>
      <c r="V304" s="14">
        <f>IFERROR(__xludf.DUMMYFUNCTION("""COMPUTED_VALUE"""),0.043)</f>
        <v>0.043</v>
      </c>
      <c r="W304" s="14">
        <f>IFERROR(__xludf.DUMMYFUNCTION("""COMPUTED_VALUE"""),9016787.0)</f>
        <v>9016787</v>
      </c>
      <c r="X304" s="14">
        <f>IFERROR(__xludf.DUMMYFUNCTION("""COMPUTED_VALUE"""),0.633)</f>
        <v>0.633</v>
      </c>
      <c r="Y304" s="14" t="str">
        <f>IFERROR(__xludf.DUMMYFUNCTION("""COMPUTED_VALUE"""),"Bolivia-The Americas")</f>
        <v>Bolivia-The Americas</v>
      </c>
      <c r="Z304" s="14" t="str">
        <f>IFERROR(__xludf.DUMMYFUNCTION("""COMPUTED_VALUE"""),"The Americas")</f>
        <v>The Americas</v>
      </c>
      <c r="AA304" s="14" t="str">
        <f>IFERROR(__xludf.DUMMYFUNCTION("""COMPUTED_VALUE"""),"2003")</f>
        <v>2003</v>
      </c>
      <c r="AB304" s="15" t="str">
        <f>IFERROR(__xludf.DUMMYFUNCTION("ARRAYFORMULA(VLOOKUP(A304,IMPORTRANGE(""https://docs.google.com/spreadsheets/d/1BuTWp7qHGjWhqrnf-OmePP568O4A5Am9ttzvVdP67zw/edit#gid=1931367683"" ,""ENERGY!$A$2:$F$2692""), {2,3,4,5,6},0))"),"The Americas")</f>
        <v>The Americas</v>
      </c>
      <c r="AC304" s="14" t="str">
        <f>IFERROR(__xludf.DUMMYFUNCTION("""COMPUTED_VALUE"""),"Bolivia-The Americas")</f>
        <v>Bolivia-The Americas</v>
      </c>
      <c r="AD304" s="14" t="str">
        <f>IFERROR(__xludf.DUMMYFUNCTION("""COMPUTED_VALUE"""),"2003")</f>
        <v>2003</v>
      </c>
      <c r="AE304" s="14">
        <f>IFERROR(__xludf.DUMMYFUNCTION("""COMPUTED_VALUE"""),6203.0)</f>
        <v>6203</v>
      </c>
      <c r="AF304" s="14">
        <f>IFERROR(__xludf.DUMMYFUNCTION("""COMPUTED_VALUE"""),14408.0)</f>
        <v>14408</v>
      </c>
    </row>
    <row r="305">
      <c r="A305" s="12">
        <v>304.0</v>
      </c>
      <c r="B305" s="12" t="s">
        <v>102</v>
      </c>
      <c r="C305" s="5" t="s">
        <v>84</v>
      </c>
      <c r="D305" s="8"/>
      <c r="E305" s="11">
        <v>60.0</v>
      </c>
      <c r="F305" s="8"/>
      <c r="G305" s="8"/>
      <c r="H305" s="11">
        <v>0.044</v>
      </c>
      <c r="I305" s="11">
        <v>0.196</v>
      </c>
      <c r="J305" s="9" t="s">
        <v>65</v>
      </c>
      <c r="K305" s="14" t="str">
        <f>IFERROR(__xludf.DUMMYFUNCTION("ARRAYFORMULA(VLOOKUP(A305,IMPORTRANGE(""https://docs.google.com/spreadsheets/d/1BuTWp7qHGjWhqrnf-OmePP568O4A5Am9ttzvVdP67zw/edit#gid=1603210130"", ""TOURISM!$A$2:$F$2692""), {2,3,4,5,6},0))"),"The Americas")</f>
        <v>The Americas</v>
      </c>
      <c r="L305" s="14">
        <f>IFERROR(__xludf.DUMMYFUNCTION("""COMPUTED_VALUE"""),2.83E8)</f>
        <v>283000000</v>
      </c>
      <c r="M305" s="14" t="str">
        <f>IFERROR(__xludf.DUMMYFUNCTION("""COMPUTED_VALUE"""),"Bolivia-The Americas")</f>
        <v>Bolivia-The Americas</v>
      </c>
      <c r="N305" s="14" t="str">
        <f>IFERROR(__xludf.DUMMYFUNCTION("""COMPUTED_VALUE"""),"2004")</f>
        <v>2004</v>
      </c>
      <c r="O305" s="14">
        <f>IFERROR(__xludf.DUMMYFUNCTION("""COMPUTED_VALUE"""),2.32E8)</f>
        <v>232000000</v>
      </c>
      <c r="P305" s="15">
        <f>IFERROR(__xludf.DUMMYFUNCTION("ARRAYFORMULA(VLOOKUP(A305,IMPORTRANGE(""https://docs.google.com/spreadsheets/d/1BuTWp7qHGjWhqrnf-OmePP568O4A5Am9ttzvVdP67zw/edit#gid=771602874"" ,""HUMAN RESOURCES!$A$2:$M$2692""), {2,3,4,5,6,7,8,9,10,11,12,13},0))"),0.029)</f>
        <v>0.029</v>
      </c>
      <c r="Q305" s="14">
        <f>IFERROR(__xludf.DUMMYFUNCTION("""COMPUTED_VALUE"""),0.046)</f>
        <v>0.046</v>
      </c>
      <c r="R305" s="14">
        <f>IFERROR(__xludf.DUMMYFUNCTION("""COMPUTED_VALUE"""),67.0)</f>
        <v>67</v>
      </c>
      <c r="S305" s="14">
        <f>IFERROR(__xludf.DUMMYFUNCTION("""COMPUTED_VALUE"""),62.0)</f>
        <v>62</v>
      </c>
      <c r="T305" s="14">
        <f>IFERROR(__xludf.DUMMYFUNCTION("""COMPUTED_VALUE"""),0.387)</f>
        <v>0.387</v>
      </c>
      <c r="U305" s="14">
        <f>IFERROR(__xludf.DUMMYFUNCTION("""COMPUTED_VALUE"""),0.569)</f>
        <v>0.569</v>
      </c>
      <c r="V305" s="14">
        <f>IFERROR(__xludf.DUMMYFUNCTION("""COMPUTED_VALUE"""),0.044)</f>
        <v>0.044</v>
      </c>
      <c r="W305" s="14">
        <f>IFERROR(__xludf.DUMMYFUNCTION("""COMPUTED_VALUE"""),9187610.0)</f>
        <v>9187610</v>
      </c>
      <c r="X305" s="14">
        <f>IFERROR(__xludf.DUMMYFUNCTION("""COMPUTED_VALUE"""),0.637)</f>
        <v>0.637</v>
      </c>
      <c r="Y305" s="14" t="str">
        <f>IFERROR(__xludf.DUMMYFUNCTION("""COMPUTED_VALUE"""),"Bolivia-The Americas")</f>
        <v>Bolivia-The Americas</v>
      </c>
      <c r="Z305" s="14" t="str">
        <f>IFERROR(__xludf.DUMMYFUNCTION("""COMPUTED_VALUE"""),"The Americas")</f>
        <v>The Americas</v>
      </c>
      <c r="AA305" s="14" t="str">
        <f>IFERROR(__xludf.DUMMYFUNCTION("""COMPUTED_VALUE"""),"2004")</f>
        <v>2004</v>
      </c>
      <c r="AB305" s="15" t="str">
        <f>IFERROR(__xludf.DUMMYFUNCTION("ARRAYFORMULA(VLOOKUP(A305,IMPORTRANGE(""https://docs.google.com/spreadsheets/d/1BuTWp7qHGjWhqrnf-OmePP568O4A5Am9ttzvVdP67zw/edit#gid=1931367683"" ,""ENERGY!$A$2:$F$2692""), {2,3,4,5,6},0))"),"The Americas")</f>
        <v>The Americas</v>
      </c>
      <c r="AC305" s="14" t="str">
        <f>IFERROR(__xludf.DUMMYFUNCTION("""COMPUTED_VALUE"""),"Bolivia-The Americas")</f>
        <v>Bolivia-The Americas</v>
      </c>
      <c r="AD305" s="14" t="str">
        <f>IFERROR(__xludf.DUMMYFUNCTION("""COMPUTED_VALUE"""),"2004")</f>
        <v>2004</v>
      </c>
      <c r="AE305" s="14">
        <f>IFERROR(__xludf.DUMMYFUNCTION("""COMPUTED_VALUE"""),5973.0)</f>
        <v>5973</v>
      </c>
      <c r="AF305" s="14">
        <f>IFERROR(__xludf.DUMMYFUNCTION("""COMPUTED_VALUE"""),13773.0)</f>
        <v>13773</v>
      </c>
    </row>
    <row r="306">
      <c r="A306" s="12">
        <v>305.0</v>
      </c>
      <c r="B306" s="12" t="s">
        <v>102</v>
      </c>
      <c r="C306" s="5" t="s">
        <v>84</v>
      </c>
      <c r="D306" s="11">
        <v>0.8</v>
      </c>
      <c r="E306" s="11">
        <v>50.0</v>
      </c>
      <c r="F306" s="8"/>
      <c r="G306" s="11">
        <v>1080.0</v>
      </c>
      <c r="H306" s="11">
        <v>0.052</v>
      </c>
      <c r="I306" s="11">
        <v>0.259</v>
      </c>
      <c r="J306" s="9" t="s">
        <v>66</v>
      </c>
      <c r="K306" s="14" t="str">
        <f>IFERROR(__xludf.DUMMYFUNCTION("ARRAYFORMULA(VLOOKUP(A306,IMPORTRANGE(""https://docs.google.com/spreadsheets/d/1BuTWp7qHGjWhqrnf-OmePP568O4A5Am9ttzvVdP67zw/edit#gid=1603210130"", ""TOURISM!$A$2:$F$2692""), {2,3,4,5,6},0))"),"The Americas")</f>
        <v>The Americas</v>
      </c>
      <c r="L306" s="14">
        <f>IFERROR(__xludf.DUMMYFUNCTION("""COMPUTED_VALUE"""),3.45E8)</f>
        <v>345000000</v>
      </c>
      <c r="M306" s="14" t="str">
        <f>IFERROR(__xludf.DUMMYFUNCTION("""COMPUTED_VALUE"""),"Bolivia-The Americas")</f>
        <v>Bolivia-The Americas</v>
      </c>
      <c r="N306" s="14" t="str">
        <f>IFERROR(__xludf.DUMMYFUNCTION("""COMPUTED_VALUE"""),"2005")</f>
        <v>2005</v>
      </c>
      <c r="O306" s="14">
        <f>IFERROR(__xludf.DUMMYFUNCTION("""COMPUTED_VALUE"""),2.57E8)</f>
        <v>257000000</v>
      </c>
      <c r="P306" s="15">
        <f>IFERROR(__xludf.DUMMYFUNCTION("ARRAYFORMULA(VLOOKUP(A306,IMPORTRANGE(""https://docs.google.com/spreadsheets/d/1BuTWp7qHGjWhqrnf-OmePP568O4A5Am9ttzvVdP67zw/edit#gid=771602874"" ,""HUMAN RESOURCES!$A$2:$M$2692""), {2,3,4,5,6,7,8,9,10,11,12,13},0))"),0.029)</f>
        <v>0.029</v>
      </c>
      <c r="Q306" s="14">
        <f>IFERROR(__xludf.DUMMYFUNCTION("""COMPUTED_VALUE"""),0.044)</f>
        <v>0.044</v>
      </c>
      <c r="R306" s="14">
        <f>IFERROR(__xludf.DUMMYFUNCTION("""COMPUTED_VALUE"""),67.0)</f>
        <v>67</v>
      </c>
      <c r="S306" s="14">
        <f>IFERROR(__xludf.DUMMYFUNCTION("""COMPUTED_VALUE"""),63.0)</f>
        <v>63</v>
      </c>
      <c r="T306" s="14">
        <f>IFERROR(__xludf.DUMMYFUNCTION("""COMPUTED_VALUE"""),0.383)</f>
        <v>0.383</v>
      </c>
      <c r="U306" s="14">
        <f>IFERROR(__xludf.DUMMYFUNCTION("""COMPUTED_VALUE"""),0.573)</f>
        <v>0.573</v>
      </c>
      <c r="V306" s="14">
        <f>IFERROR(__xludf.DUMMYFUNCTION("""COMPUTED_VALUE"""),0.044)</f>
        <v>0.044</v>
      </c>
      <c r="W306" s="14">
        <f>IFERROR(__xludf.DUMMYFUNCTION("""COMPUTED_VALUE"""),9354709.0)</f>
        <v>9354709</v>
      </c>
      <c r="X306" s="14">
        <f>IFERROR(__xludf.DUMMYFUNCTION("""COMPUTED_VALUE"""),0.642)</f>
        <v>0.642</v>
      </c>
      <c r="Y306" s="14" t="str">
        <f>IFERROR(__xludf.DUMMYFUNCTION("""COMPUTED_VALUE"""),"Bolivia-The Americas")</f>
        <v>Bolivia-The Americas</v>
      </c>
      <c r="Z306" s="14" t="str">
        <f>IFERROR(__xludf.DUMMYFUNCTION("""COMPUTED_VALUE"""),"The Americas")</f>
        <v>The Americas</v>
      </c>
      <c r="AA306" s="14" t="str">
        <f>IFERROR(__xludf.DUMMYFUNCTION("""COMPUTED_VALUE"""),"2005")</f>
        <v>2005</v>
      </c>
      <c r="AB306" s="15" t="str">
        <f>IFERROR(__xludf.DUMMYFUNCTION("ARRAYFORMULA(VLOOKUP(A306,IMPORTRANGE(""https://docs.google.com/spreadsheets/d/1BuTWp7qHGjWhqrnf-OmePP568O4A5Am9ttzvVdP67zw/edit#gid=1931367683"" ,""ENERGY!$A$2:$F$2692""), {2,3,4,5,6},0))"),"The Americas")</f>
        <v>The Americas</v>
      </c>
      <c r="AC306" s="14" t="str">
        <f>IFERROR(__xludf.DUMMYFUNCTION("""COMPUTED_VALUE"""),"Bolivia-The Americas")</f>
        <v>Bolivia-The Americas</v>
      </c>
      <c r="AD306" s="14" t="str">
        <f>IFERROR(__xludf.DUMMYFUNCTION("""COMPUTED_VALUE"""),"2006")</f>
        <v>2006</v>
      </c>
      <c r="AE306" s="14">
        <f>IFERROR(__xludf.DUMMYFUNCTION("""COMPUTED_VALUE"""),5372.0)</f>
        <v>5372</v>
      </c>
      <c r="AF306" s="14">
        <f>IFERROR(__xludf.DUMMYFUNCTION("""COMPUTED_VALUE"""),12757.0)</f>
        <v>12757</v>
      </c>
    </row>
    <row r="307">
      <c r="A307" s="12">
        <v>306.0</v>
      </c>
      <c r="B307" s="12" t="s">
        <v>102</v>
      </c>
      <c r="C307" s="5" t="s">
        <v>84</v>
      </c>
      <c r="D307" s="11">
        <v>0.8</v>
      </c>
      <c r="E307" s="11">
        <v>50.0</v>
      </c>
      <c r="F307" s="8"/>
      <c r="G307" s="11">
        <v>1080.0</v>
      </c>
      <c r="H307" s="11">
        <v>0.062</v>
      </c>
      <c r="I307" s="11">
        <v>0.302</v>
      </c>
      <c r="J307" s="9" t="s">
        <v>67</v>
      </c>
      <c r="K307" s="14" t="str">
        <f>IFERROR(__xludf.DUMMYFUNCTION("ARRAYFORMULA(VLOOKUP(A307,IMPORTRANGE(""https://docs.google.com/spreadsheets/d/1BuTWp7qHGjWhqrnf-OmePP568O4A5Am9ttzvVdP67zw/edit#gid=1603210130"", ""TOURISM!$A$2:$F$2692""), {2,3,4,5,6},0))"),"The Americas")</f>
        <v>The Americas</v>
      </c>
      <c r="L307" s="14">
        <f>IFERROR(__xludf.DUMMYFUNCTION("""COMPUTED_VALUE"""),3.3E8)</f>
        <v>330000000</v>
      </c>
      <c r="M307" s="14" t="str">
        <f>IFERROR(__xludf.DUMMYFUNCTION("""COMPUTED_VALUE"""),"Bolivia-The Americas")</f>
        <v>Bolivia-The Americas</v>
      </c>
      <c r="N307" s="14" t="str">
        <f>IFERROR(__xludf.DUMMYFUNCTION("""COMPUTED_VALUE"""),"2006")</f>
        <v>2006</v>
      </c>
      <c r="O307" s="14">
        <f>IFERROR(__xludf.DUMMYFUNCTION("""COMPUTED_VALUE"""),3.6E8)</f>
        <v>360000000</v>
      </c>
      <c r="P307" s="15">
        <f>IFERROR(__xludf.DUMMYFUNCTION("ARRAYFORMULA(VLOOKUP(A307,IMPORTRANGE(""https://docs.google.com/spreadsheets/d/1BuTWp7qHGjWhqrnf-OmePP568O4A5Am9ttzvVdP67zw/edit#gid=771602874"" ,""HUMAN RESOURCES!$A$2:$M$2692""), {2,3,4,5,6,7,8,9,10,11,12,13},0))"),0.028)</f>
        <v>0.028</v>
      </c>
      <c r="Q307" s="14">
        <f>IFERROR(__xludf.DUMMYFUNCTION("""COMPUTED_VALUE"""),0.042)</f>
        <v>0.042</v>
      </c>
      <c r="R307" s="14">
        <f>IFERROR(__xludf.DUMMYFUNCTION("""COMPUTED_VALUE"""),67.0)</f>
        <v>67</v>
      </c>
      <c r="S307" s="14">
        <f>IFERROR(__xludf.DUMMYFUNCTION("""COMPUTED_VALUE"""),63.0)</f>
        <v>63</v>
      </c>
      <c r="T307" s="14">
        <f>IFERROR(__xludf.DUMMYFUNCTION("""COMPUTED_VALUE"""),0.379)</f>
        <v>0.379</v>
      </c>
      <c r="U307" s="14">
        <f>IFERROR(__xludf.DUMMYFUNCTION("""COMPUTED_VALUE"""),0.576)</f>
        <v>0.576</v>
      </c>
      <c r="V307" s="14">
        <f>IFERROR(__xludf.DUMMYFUNCTION("""COMPUTED_VALUE"""),0.045)</f>
        <v>0.045</v>
      </c>
      <c r="W307" s="14">
        <f>IFERROR(__xludf.DUMMYFUNCTION("""COMPUTED_VALUE"""),9517395.0)</f>
        <v>9517395</v>
      </c>
      <c r="X307" s="14">
        <f>IFERROR(__xludf.DUMMYFUNCTION("""COMPUTED_VALUE"""),0.647)</f>
        <v>0.647</v>
      </c>
      <c r="Y307" s="14" t="str">
        <f>IFERROR(__xludf.DUMMYFUNCTION("""COMPUTED_VALUE"""),"Bolivia-The Americas")</f>
        <v>Bolivia-The Americas</v>
      </c>
      <c r="Z307" s="14" t="str">
        <f>IFERROR(__xludf.DUMMYFUNCTION("""COMPUTED_VALUE"""),"The Americas")</f>
        <v>The Americas</v>
      </c>
      <c r="AA307" s="14" t="str">
        <f>IFERROR(__xludf.DUMMYFUNCTION("""COMPUTED_VALUE"""),"2006")</f>
        <v>2006</v>
      </c>
      <c r="AB307" s="15" t="str">
        <f>IFERROR(__xludf.DUMMYFUNCTION("ARRAYFORMULA(VLOOKUP(A307,IMPORTRANGE(""https://docs.google.com/spreadsheets/d/1BuTWp7qHGjWhqrnf-OmePP568O4A5Am9ttzvVdP67zw/edit#gid=1931367683"" ,""ENERGY!$A$2:$F$2692""), {2,3,4,5,6},0))"),"The Americas")</f>
        <v>The Americas</v>
      </c>
      <c r="AC307" s="14" t="str">
        <f>IFERROR(__xludf.DUMMYFUNCTION("""COMPUTED_VALUE"""),"Bolivia-The Americas")</f>
        <v>Bolivia-The Americas</v>
      </c>
      <c r="AD307" s="14" t="str">
        <f>IFERROR(__xludf.DUMMYFUNCTION("""COMPUTED_VALUE"""),"2010")</f>
        <v>2010</v>
      </c>
      <c r="AE307" s="14">
        <f>IFERROR(__xludf.DUMMYFUNCTION("""COMPUTED_VALUE"""),6439.0)</f>
        <v>6439</v>
      </c>
      <c r="AF307" s="14">
        <f>IFERROR(__xludf.DUMMYFUNCTION("""COMPUTED_VALUE"""),14910.0)</f>
        <v>14910</v>
      </c>
    </row>
    <row r="308">
      <c r="A308" s="12">
        <v>307.0</v>
      </c>
      <c r="B308" s="12" t="s">
        <v>102</v>
      </c>
      <c r="C308" s="5" t="s">
        <v>84</v>
      </c>
      <c r="D308" s="11">
        <v>0.8</v>
      </c>
      <c r="E308" s="11">
        <v>50.0</v>
      </c>
      <c r="F308" s="8"/>
      <c r="G308" s="11">
        <v>1080.0</v>
      </c>
      <c r="H308" s="11">
        <v>0.105</v>
      </c>
      <c r="I308" s="11">
        <v>0.336</v>
      </c>
      <c r="J308" s="9" t="s">
        <v>68</v>
      </c>
      <c r="K308" s="14" t="str">
        <f>IFERROR(__xludf.DUMMYFUNCTION("ARRAYFORMULA(VLOOKUP(A308,IMPORTRANGE(""https://docs.google.com/spreadsheets/d/1BuTWp7qHGjWhqrnf-OmePP568O4A5Am9ttzvVdP67zw/edit#gid=1603210130"", ""TOURISM!$A$2:$F$2692""), {2,3,4,5,6},0))"),"The Americas")</f>
        <v>The Americas</v>
      </c>
      <c r="L308" s="14">
        <f>IFERROR(__xludf.DUMMYFUNCTION("""COMPUTED_VALUE"""),3.26E8)</f>
        <v>326000000</v>
      </c>
      <c r="M308" s="14" t="str">
        <f>IFERROR(__xludf.DUMMYFUNCTION("""COMPUTED_VALUE"""),"Bolivia-The Americas")</f>
        <v>Bolivia-The Americas</v>
      </c>
      <c r="N308" s="14" t="str">
        <f>IFERROR(__xludf.DUMMYFUNCTION("""COMPUTED_VALUE"""),"2007")</f>
        <v>2007</v>
      </c>
      <c r="O308" s="14">
        <f>IFERROR(__xludf.DUMMYFUNCTION("""COMPUTED_VALUE"""),3.85E8)</f>
        <v>385000000</v>
      </c>
      <c r="P308" s="15">
        <f>IFERROR(__xludf.DUMMYFUNCTION("ARRAYFORMULA(VLOOKUP(A308,IMPORTRANGE(""https://docs.google.com/spreadsheets/d/1BuTWp7qHGjWhqrnf-OmePP568O4A5Am9ttzvVdP67zw/edit#gid=771602874"" ,""HUMAN RESOURCES!$A$2:$M$2692""), {2,3,4,5,6,7,8,9,10,11,12,13},0))"),0.028)</f>
        <v>0.028</v>
      </c>
      <c r="Q308" s="14">
        <f>IFERROR(__xludf.DUMMYFUNCTION("""COMPUTED_VALUE"""),0.04)</f>
        <v>0.04</v>
      </c>
      <c r="R308" s="14">
        <f>IFERROR(__xludf.DUMMYFUNCTION("""COMPUTED_VALUE"""),68.0)</f>
        <v>68</v>
      </c>
      <c r="S308" s="14">
        <f>IFERROR(__xludf.DUMMYFUNCTION("""COMPUTED_VALUE"""),63.0)</f>
        <v>63</v>
      </c>
      <c r="T308" s="14">
        <f>IFERROR(__xludf.DUMMYFUNCTION("""COMPUTED_VALUE"""),0.374)</f>
        <v>0.374</v>
      </c>
      <c r="U308" s="14">
        <f>IFERROR(__xludf.DUMMYFUNCTION("""COMPUTED_VALUE"""),0.58)</f>
        <v>0.58</v>
      </c>
      <c r="V308" s="14">
        <f>IFERROR(__xludf.DUMMYFUNCTION("""COMPUTED_VALUE"""),0.045)</f>
        <v>0.045</v>
      </c>
      <c r="W308" s="14">
        <f>IFERROR(__xludf.DUMMYFUNCTION("""COMPUTED_VALUE"""),9676456.0)</f>
        <v>9676456</v>
      </c>
      <c r="X308" s="14">
        <f>IFERROR(__xludf.DUMMYFUNCTION("""COMPUTED_VALUE"""),0.651)</f>
        <v>0.651</v>
      </c>
      <c r="Y308" s="14" t="str">
        <f>IFERROR(__xludf.DUMMYFUNCTION("""COMPUTED_VALUE"""),"Bolivia-The Americas")</f>
        <v>Bolivia-The Americas</v>
      </c>
      <c r="Z308" s="14" t="str">
        <f>IFERROR(__xludf.DUMMYFUNCTION("""COMPUTED_VALUE"""),"The Americas")</f>
        <v>The Americas</v>
      </c>
      <c r="AA308" s="14" t="str">
        <f>IFERROR(__xludf.DUMMYFUNCTION("""COMPUTED_VALUE"""),"2007")</f>
        <v>2007</v>
      </c>
      <c r="AB308" s="15" t="str">
        <f>IFERROR(__xludf.DUMMYFUNCTION("ARRAYFORMULA(VLOOKUP(A308,IMPORTRANGE(""https://docs.google.com/spreadsheets/d/1BuTWp7qHGjWhqrnf-OmePP568O4A5Am9ttzvVdP67zw/edit#gid=1931367683"" ,""ENERGY!$A$2:$F$2692""), {2,3,4,5,6},0))"),"The Americas")</f>
        <v>The Americas</v>
      </c>
      <c r="AC308" s="14" t="str">
        <f>IFERROR(__xludf.DUMMYFUNCTION("""COMPUTED_VALUE"""),"Bolivia-The Americas")</f>
        <v>Bolivia-The Americas</v>
      </c>
      <c r="AD308" s="14" t="str">
        <f>IFERROR(__xludf.DUMMYFUNCTION("""COMPUTED_VALUE"""),"2006")</f>
        <v>2006</v>
      </c>
      <c r="AE308" s="14">
        <f>IFERROR(__xludf.DUMMYFUNCTION("""COMPUTED_VALUE"""),5183.0)</f>
        <v>5183</v>
      </c>
      <c r="AF308" s="14">
        <f>IFERROR(__xludf.DUMMYFUNCTION("""COMPUTED_VALUE"""),12325.0)</f>
        <v>12325</v>
      </c>
    </row>
    <row r="309">
      <c r="A309" s="12">
        <v>308.0</v>
      </c>
      <c r="B309" s="12" t="s">
        <v>102</v>
      </c>
      <c r="C309" s="5" t="s">
        <v>84</v>
      </c>
      <c r="D309" s="11">
        <v>0.8</v>
      </c>
      <c r="E309" s="11">
        <v>50.0</v>
      </c>
      <c r="F309" s="8"/>
      <c r="G309" s="11">
        <v>1080.0</v>
      </c>
      <c r="H309" s="11">
        <v>0.125</v>
      </c>
      <c r="I309" s="11">
        <v>0.512</v>
      </c>
      <c r="J309" s="9" t="s">
        <v>69</v>
      </c>
      <c r="K309" s="14" t="str">
        <f>IFERROR(__xludf.DUMMYFUNCTION("ARRAYFORMULA(VLOOKUP(A309,IMPORTRANGE(""https://docs.google.com/spreadsheets/d/1BuTWp7qHGjWhqrnf-OmePP568O4A5Am9ttzvVdP67zw/edit#gid=1603210130"", ""TOURISM!$A$2:$F$2692""), {2,3,4,5,6},0))"),"The Americas")</f>
        <v>The Americas</v>
      </c>
      <c r="L309" s="14">
        <f>IFERROR(__xludf.DUMMYFUNCTION("""COMPUTED_VALUE"""),3.02E8)</f>
        <v>302000000</v>
      </c>
      <c r="M309" s="14" t="str">
        <f>IFERROR(__xludf.DUMMYFUNCTION("""COMPUTED_VALUE"""),"Bolivia-The Americas")</f>
        <v>Bolivia-The Americas</v>
      </c>
      <c r="N309" s="14" t="str">
        <f>IFERROR(__xludf.DUMMYFUNCTION("""COMPUTED_VALUE"""),"2008")</f>
        <v>2008</v>
      </c>
      <c r="O309" s="14">
        <f>IFERROR(__xludf.DUMMYFUNCTION("""COMPUTED_VALUE"""),3.81E8)</f>
        <v>381000000</v>
      </c>
      <c r="P309" s="15">
        <f>IFERROR(__xludf.DUMMYFUNCTION("ARRAYFORMULA(VLOOKUP(A309,IMPORTRANGE(""https://docs.google.com/spreadsheets/d/1BuTWp7qHGjWhqrnf-OmePP568O4A5Am9ttzvVdP67zw/edit#gid=771602874"" ,""HUMAN RESOURCES!$A$2:$M$2692""), {2,3,4,5,6,7,8,9,10,11,12,13},0))"),0.027)</f>
        <v>0.027</v>
      </c>
      <c r="Q309" s="14">
        <f>IFERROR(__xludf.DUMMYFUNCTION("""COMPUTED_VALUE"""),0.038)</f>
        <v>0.038</v>
      </c>
      <c r="R309" s="14">
        <f>IFERROR(__xludf.DUMMYFUNCTION("""COMPUTED_VALUE"""),68.0)</f>
        <v>68</v>
      </c>
      <c r="S309" s="14">
        <f>IFERROR(__xludf.DUMMYFUNCTION("""COMPUTED_VALUE"""),64.0)</f>
        <v>64</v>
      </c>
      <c r="T309" s="14">
        <f>IFERROR(__xludf.DUMMYFUNCTION("""COMPUTED_VALUE"""),0.37)</f>
        <v>0.37</v>
      </c>
      <c r="U309" s="14">
        <f>IFERROR(__xludf.DUMMYFUNCTION("""COMPUTED_VALUE"""),0.585)</f>
        <v>0.585</v>
      </c>
      <c r="V309" s="14">
        <f>IFERROR(__xludf.DUMMYFUNCTION("""COMPUTED_VALUE"""),0.046)</f>
        <v>0.046</v>
      </c>
      <c r="W309" s="14">
        <f>IFERROR(__xludf.DUMMYFUNCTION("""COMPUTED_VALUE"""),9834098.0)</f>
        <v>9834098</v>
      </c>
      <c r="X309" s="14">
        <f>IFERROR(__xludf.DUMMYFUNCTION("""COMPUTED_VALUE"""),0.656)</f>
        <v>0.656</v>
      </c>
      <c r="Y309" s="14" t="str">
        <f>IFERROR(__xludf.DUMMYFUNCTION("""COMPUTED_VALUE"""),"Bolivia-The Americas")</f>
        <v>Bolivia-The Americas</v>
      </c>
      <c r="Z309" s="14" t="str">
        <f>IFERROR(__xludf.DUMMYFUNCTION("""COMPUTED_VALUE"""),"The Americas")</f>
        <v>The Americas</v>
      </c>
      <c r="AA309" s="14" t="str">
        <f>IFERROR(__xludf.DUMMYFUNCTION("""COMPUTED_VALUE"""),"2008")</f>
        <v>2008</v>
      </c>
      <c r="AB309" s="15" t="str">
        <f>IFERROR(__xludf.DUMMYFUNCTION("ARRAYFORMULA(VLOOKUP(A309,IMPORTRANGE(""https://docs.google.com/spreadsheets/d/1BuTWp7qHGjWhqrnf-OmePP568O4A5Am9ttzvVdP67zw/edit#gid=1931367683"" ,""ENERGY!$A$2:$F$2692""), {2,3,4,5,6},0))"),"The Americas")</f>
        <v>The Americas</v>
      </c>
      <c r="AC309" s="14" t="str">
        <f>IFERROR(__xludf.DUMMYFUNCTION("""COMPUTED_VALUE"""),"Bolivia-The Americas")</f>
        <v>Bolivia-The Americas</v>
      </c>
      <c r="AD309" s="14" t="str">
        <f>IFERROR(__xludf.DUMMYFUNCTION("""COMPUTED_VALUE"""),"2012")</f>
        <v>2012</v>
      </c>
      <c r="AE309" s="14">
        <f>IFERROR(__xludf.DUMMYFUNCTION("""COMPUTED_VALUE"""),3622.0)</f>
        <v>3622</v>
      </c>
      <c r="AF309" s="14">
        <f>IFERROR(__xludf.DUMMYFUNCTION("""COMPUTED_VALUE"""),13084.0)</f>
        <v>13084</v>
      </c>
    </row>
    <row r="310">
      <c r="A310" s="12">
        <v>309.0</v>
      </c>
      <c r="B310" s="12" t="s">
        <v>102</v>
      </c>
      <c r="C310" s="5" t="s">
        <v>84</v>
      </c>
      <c r="D310" s="11">
        <v>0.8</v>
      </c>
      <c r="E310" s="11">
        <v>50.0</v>
      </c>
      <c r="F310" s="8"/>
      <c r="G310" s="11">
        <v>1080.0</v>
      </c>
      <c r="H310" s="11">
        <v>0.168</v>
      </c>
      <c r="I310" s="11">
        <v>0.647</v>
      </c>
      <c r="J310" s="9" t="s">
        <v>70</v>
      </c>
      <c r="K310" s="14" t="str">
        <f>IFERROR(__xludf.DUMMYFUNCTION("ARRAYFORMULA(VLOOKUP(A310,IMPORTRANGE(""https://docs.google.com/spreadsheets/d/1BuTWp7qHGjWhqrnf-OmePP568O4A5Am9ttzvVdP67zw/edit#gid=1603210130"", ""TOURISM!$A$2:$F$2692""), {2,3,4,5,6},0))"),"The Americas")</f>
        <v>The Americas</v>
      </c>
      <c r="L310" s="14">
        <f>IFERROR(__xludf.DUMMYFUNCTION("""COMPUTED_VALUE"""),3.06E8)</f>
        <v>306000000</v>
      </c>
      <c r="M310" s="14" t="str">
        <f>IFERROR(__xludf.DUMMYFUNCTION("""COMPUTED_VALUE"""),"Bolivia-The Americas")</f>
        <v>Bolivia-The Americas</v>
      </c>
      <c r="N310" s="14" t="str">
        <f>IFERROR(__xludf.DUMMYFUNCTION("""COMPUTED_VALUE"""),"2009")</f>
        <v>2009</v>
      </c>
      <c r="O310" s="14">
        <f>IFERROR(__xludf.DUMMYFUNCTION("""COMPUTED_VALUE"""),3.88E8)</f>
        <v>388000000</v>
      </c>
      <c r="P310" s="15">
        <f>IFERROR(__xludf.DUMMYFUNCTION("ARRAYFORMULA(VLOOKUP(A310,IMPORTRANGE(""https://docs.google.com/spreadsheets/d/1BuTWp7qHGjWhqrnf-OmePP568O4A5Am9ttzvVdP67zw/edit#gid=771602874"" ,""HUMAN RESOURCES!$A$2:$M$2692""), {2,3,4,5,6,7,8,9,10,11,12,13},0))"),0.027)</f>
        <v>0.027</v>
      </c>
      <c r="Q310" s="14">
        <f>IFERROR(__xludf.DUMMYFUNCTION("""COMPUTED_VALUE"""),0.036)</f>
        <v>0.036</v>
      </c>
      <c r="R310" s="14">
        <f>IFERROR(__xludf.DUMMYFUNCTION("""COMPUTED_VALUE"""),68.0)</f>
        <v>68</v>
      </c>
      <c r="S310" s="14">
        <f>IFERROR(__xludf.DUMMYFUNCTION("""COMPUTED_VALUE"""),64.0)</f>
        <v>64</v>
      </c>
      <c r="T310" s="14">
        <f>IFERROR(__xludf.DUMMYFUNCTION("""COMPUTED_VALUE"""),0.365)</f>
        <v>0.365</v>
      </c>
      <c r="U310" s="14">
        <f>IFERROR(__xludf.DUMMYFUNCTION("""COMPUTED_VALUE"""),0.589)</f>
        <v>0.589</v>
      </c>
      <c r="V310" s="14">
        <f>IFERROR(__xludf.DUMMYFUNCTION("""COMPUTED_VALUE"""),0.046)</f>
        <v>0.046</v>
      </c>
      <c r="W310" s="14">
        <f>IFERROR(__xludf.DUMMYFUNCTION("""COMPUTED_VALUE"""),9993406.0)</f>
        <v>9993406</v>
      </c>
      <c r="X310" s="14">
        <f>IFERROR(__xludf.DUMMYFUNCTION("""COMPUTED_VALUE"""),0.66)</f>
        <v>0.66</v>
      </c>
      <c r="Y310" s="14" t="str">
        <f>IFERROR(__xludf.DUMMYFUNCTION("""COMPUTED_VALUE"""),"Bolivia-The Americas")</f>
        <v>Bolivia-The Americas</v>
      </c>
      <c r="Z310" s="14" t="str">
        <f>IFERROR(__xludf.DUMMYFUNCTION("""COMPUTED_VALUE"""),"The Americas")</f>
        <v>The Americas</v>
      </c>
      <c r="AA310" s="14" t="str">
        <f>IFERROR(__xludf.DUMMYFUNCTION("""COMPUTED_VALUE"""),"2009")</f>
        <v>2009</v>
      </c>
      <c r="AB310" s="15" t="str">
        <f>IFERROR(__xludf.DUMMYFUNCTION("ARRAYFORMULA(VLOOKUP(A310,IMPORTRANGE(""https://docs.google.com/spreadsheets/d/1BuTWp7qHGjWhqrnf-OmePP568O4A5Am9ttzvVdP67zw/edit#gid=1931367683"" ,""ENERGY!$A$2:$F$2692""), {2,3,4,5,6},0))"),"The Americas")</f>
        <v>The Americas</v>
      </c>
      <c r="AC310" s="14" t="str">
        <f>IFERROR(__xludf.DUMMYFUNCTION("""COMPUTED_VALUE"""),"Bolivia-The Americas")</f>
        <v>Bolivia-The Americas</v>
      </c>
      <c r="AD310" s="14" t="str">
        <f>IFERROR(__xludf.DUMMYFUNCTION("""COMPUTED_VALUE"""),"2008")</f>
        <v>2008</v>
      </c>
      <c r="AE310" s="14">
        <f>IFERROR(__xludf.DUMMYFUNCTION("""COMPUTED_VALUE"""),3688.0)</f>
        <v>3688</v>
      </c>
      <c r="AF310" s="14">
        <f>IFERROR(__xludf.DUMMYFUNCTION("""COMPUTED_VALUE"""),14129.0)</f>
        <v>14129</v>
      </c>
    </row>
    <row r="311">
      <c r="A311" s="12">
        <v>310.0</v>
      </c>
      <c r="B311" s="12" t="s">
        <v>102</v>
      </c>
      <c r="C311" s="5" t="s">
        <v>84</v>
      </c>
      <c r="D311" s="11">
        <v>0.8</v>
      </c>
      <c r="E311" s="11">
        <v>49.0</v>
      </c>
      <c r="F311" s="8"/>
      <c r="G311" s="11">
        <v>1080.0</v>
      </c>
      <c r="H311" s="11">
        <v>0.224</v>
      </c>
      <c r="I311" s="11">
        <v>0.707</v>
      </c>
      <c r="J311" s="9" t="s">
        <v>71</v>
      </c>
      <c r="K311" s="14" t="str">
        <f>IFERROR(__xludf.DUMMYFUNCTION("ARRAYFORMULA(VLOOKUP(A311,IMPORTRANGE(""https://docs.google.com/spreadsheets/d/1BuTWp7qHGjWhqrnf-OmePP568O4A5Am9ttzvVdP67zw/edit#gid=1603210130"", ""TOURISM!$A$2:$F$2692""), {2,3,4,5,6},0))"),"The Americas")</f>
        <v>The Americas</v>
      </c>
      <c r="L311" s="14">
        <f>IFERROR(__xludf.DUMMYFUNCTION("""COMPUTED_VALUE"""),3.39E8)</f>
        <v>339000000</v>
      </c>
      <c r="M311" s="14" t="str">
        <f>IFERROR(__xludf.DUMMYFUNCTION("""COMPUTED_VALUE"""),"Bolivia-The Americas")</f>
        <v>Bolivia-The Americas</v>
      </c>
      <c r="N311" s="14" t="str">
        <f>IFERROR(__xludf.DUMMYFUNCTION("""COMPUTED_VALUE"""),"2010")</f>
        <v>2010</v>
      </c>
      <c r="O311" s="14">
        <f>IFERROR(__xludf.DUMMYFUNCTION("""COMPUTED_VALUE"""),4.21E8)</f>
        <v>421000000</v>
      </c>
      <c r="P311" s="15">
        <f>IFERROR(__xludf.DUMMYFUNCTION("ARRAYFORMULA(VLOOKUP(A311,IMPORTRANGE(""https://docs.google.com/spreadsheets/d/1BuTWp7qHGjWhqrnf-OmePP568O4A5Am9ttzvVdP67zw/edit#gid=771602874"" ,""HUMAN RESOURCES!$A$2:$M$2692""), {2,3,4,5,6,7,8,9,10,11,12,13},0))"),0.026)</f>
        <v>0.026</v>
      </c>
      <c r="Q311" s="14">
        <f>IFERROR(__xludf.DUMMYFUNCTION("""COMPUTED_VALUE"""),0.035)</f>
        <v>0.035</v>
      </c>
      <c r="R311" s="14">
        <f>IFERROR(__xludf.DUMMYFUNCTION("""COMPUTED_VALUE"""),69.0)</f>
        <v>69</v>
      </c>
      <c r="S311" s="14">
        <f>IFERROR(__xludf.DUMMYFUNCTION("""COMPUTED_VALUE"""),64.0)</f>
        <v>64</v>
      </c>
      <c r="T311" s="14">
        <f>IFERROR(__xludf.DUMMYFUNCTION("""COMPUTED_VALUE"""),0.36)</f>
        <v>0.36</v>
      </c>
      <c r="U311" s="14">
        <f>IFERROR(__xludf.DUMMYFUNCTION("""COMPUTED_VALUE"""),0.593)</f>
        <v>0.593</v>
      </c>
      <c r="V311" s="14">
        <f>IFERROR(__xludf.DUMMYFUNCTION("""COMPUTED_VALUE"""),0.047)</f>
        <v>0.047</v>
      </c>
      <c r="W311" s="14">
        <f>IFERROR(__xludf.DUMMYFUNCTION("""COMPUTED_VALUE"""),1.0156601E7)</f>
        <v>10156601</v>
      </c>
      <c r="X311" s="14">
        <f>IFERROR(__xludf.DUMMYFUNCTION("""COMPUTED_VALUE"""),0.664)</f>
        <v>0.664</v>
      </c>
      <c r="Y311" s="14" t="str">
        <f>IFERROR(__xludf.DUMMYFUNCTION("""COMPUTED_VALUE"""),"Bolivia-The Americas")</f>
        <v>Bolivia-The Americas</v>
      </c>
      <c r="Z311" s="14" t="str">
        <f>IFERROR(__xludf.DUMMYFUNCTION("""COMPUTED_VALUE"""),"The Americas")</f>
        <v>The Americas</v>
      </c>
      <c r="AA311" s="14" t="str">
        <f>IFERROR(__xludf.DUMMYFUNCTION("""COMPUTED_VALUE"""),"2010")</f>
        <v>2010</v>
      </c>
      <c r="AB311" s="15" t="str">
        <f>IFERROR(__xludf.DUMMYFUNCTION("ARRAYFORMULA(VLOOKUP(A311,IMPORTRANGE(""https://docs.google.com/spreadsheets/d/1BuTWp7qHGjWhqrnf-OmePP568O4A5Am9ttzvVdP67zw/edit#gid=1931367683"" ,""ENERGY!$A$2:$F$2692""), {2,3,4,5,6},0))"),"The Americas")</f>
        <v>The Americas</v>
      </c>
      <c r="AC311" s="14" t="str">
        <f>IFERROR(__xludf.DUMMYFUNCTION("""COMPUTED_VALUE"""),"Bolivia-The Americas")</f>
        <v>Bolivia-The Americas</v>
      </c>
      <c r="AD311" s="14" t="str">
        <f>IFERROR(__xludf.DUMMYFUNCTION("""COMPUTED_VALUE"""),"2006")</f>
        <v>2006</v>
      </c>
      <c r="AE311" s="14">
        <f>IFERROR(__xludf.DUMMYFUNCTION("""COMPUTED_VALUE"""),3527.0)</f>
        <v>3527</v>
      </c>
      <c r="AF311" s="14">
        <f>IFERROR(__xludf.DUMMYFUNCTION("""COMPUTED_VALUE"""),9567.0)</f>
        <v>9567</v>
      </c>
    </row>
    <row r="312">
      <c r="A312" s="12">
        <v>311.0</v>
      </c>
      <c r="B312" s="12" t="s">
        <v>102</v>
      </c>
      <c r="C312" s="5" t="s">
        <v>84</v>
      </c>
      <c r="D312" s="11">
        <v>0.8</v>
      </c>
      <c r="E312" s="11">
        <v>49.0</v>
      </c>
      <c r="F312" s="8"/>
      <c r="G312" s="11">
        <v>1080.0</v>
      </c>
      <c r="H312" s="11">
        <v>0.3</v>
      </c>
      <c r="I312" s="11">
        <v>0.809</v>
      </c>
      <c r="J312" s="9" t="s">
        <v>72</v>
      </c>
      <c r="K312" s="14" t="str">
        <f>IFERROR(__xludf.DUMMYFUNCTION("ARRAYFORMULA(VLOOKUP(A312,IMPORTRANGE(""https://docs.google.com/spreadsheets/d/1BuTWp7qHGjWhqrnf-OmePP568O4A5Am9ttzvVdP67zw/edit#gid=1603210130"", ""TOURISM!$A$2:$F$2692""), {2,3,4,5,6},0))"),"The Americas")</f>
        <v>The Americas</v>
      </c>
      <c r="L312" s="14">
        <f>IFERROR(__xludf.DUMMYFUNCTION("""COMPUTED_VALUE"""),4.99E8)</f>
        <v>499000000</v>
      </c>
      <c r="M312" s="14" t="str">
        <f>IFERROR(__xludf.DUMMYFUNCTION("""COMPUTED_VALUE"""),"Bolivia-The Americas")</f>
        <v>Bolivia-The Americas</v>
      </c>
      <c r="N312" s="14" t="str">
        <f>IFERROR(__xludf.DUMMYFUNCTION("""COMPUTED_VALUE"""),"2011")</f>
        <v>2011</v>
      </c>
      <c r="O312" s="14">
        <f>IFERROR(__xludf.DUMMYFUNCTION("""COMPUTED_VALUE"""),4.1E8)</f>
        <v>410000000</v>
      </c>
      <c r="P312" s="15">
        <f>IFERROR(__xludf.DUMMYFUNCTION("ARRAYFORMULA(VLOOKUP(A312,IMPORTRANGE(""https://docs.google.com/spreadsheets/d/1BuTWp7qHGjWhqrnf-OmePP568O4A5Am9ttzvVdP67zw/edit#gid=771602874"" ,""HUMAN RESOURCES!$A$2:$M$2692""), {2,3,4,5,6,7,8,9,10,11,12,13},0))"),0.026)</f>
        <v>0.026</v>
      </c>
      <c r="Q312" s="14">
        <f>IFERROR(__xludf.DUMMYFUNCTION("""COMPUTED_VALUE"""),0.033)</f>
        <v>0.033</v>
      </c>
      <c r="R312" s="14">
        <f>IFERROR(__xludf.DUMMYFUNCTION("""COMPUTED_VALUE"""),69.0)</f>
        <v>69</v>
      </c>
      <c r="S312" s="14">
        <f>IFERROR(__xludf.DUMMYFUNCTION("""COMPUTED_VALUE"""),65.0)</f>
        <v>65</v>
      </c>
      <c r="T312" s="14">
        <f>IFERROR(__xludf.DUMMYFUNCTION("""COMPUTED_VALUE"""),0.356)</f>
        <v>0.356</v>
      </c>
      <c r="U312" s="14">
        <f>IFERROR(__xludf.DUMMYFUNCTION("""COMPUTED_VALUE"""),0.596)</f>
        <v>0.596</v>
      </c>
      <c r="V312" s="14">
        <f>IFERROR(__xludf.DUMMYFUNCTION("""COMPUTED_VALUE"""),0.048)</f>
        <v>0.048</v>
      </c>
      <c r="W312" s="14">
        <f>IFERROR(__xludf.DUMMYFUNCTION("""COMPUTED_VALUE"""),1.0324445E7)</f>
        <v>10324445</v>
      </c>
      <c r="X312" s="14">
        <f>IFERROR(__xludf.DUMMYFUNCTION("""COMPUTED_VALUE"""),0.669)</f>
        <v>0.669</v>
      </c>
      <c r="Y312" s="14" t="str">
        <f>IFERROR(__xludf.DUMMYFUNCTION("""COMPUTED_VALUE"""),"Bolivia-The Americas")</f>
        <v>Bolivia-The Americas</v>
      </c>
      <c r="Z312" s="14" t="str">
        <f>IFERROR(__xludf.DUMMYFUNCTION("""COMPUTED_VALUE"""),"The Americas")</f>
        <v>The Americas</v>
      </c>
      <c r="AA312" s="14" t="str">
        <f>IFERROR(__xludf.DUMMYFUNCTION("""COMPUTED_VALUE"""),"2011")</f>
        <v>2011</v>
      </c>
      <c r="AB312" s="15" t="str">
        <f>IFERROR(__xludf.DUMMYFUNCTION("ARRAYFORMULA(VLOOKUP(A312,IMPORTRANGE(""https://docs.google.com/spreadsheets/d/1BuTWp7qHGjWhqrnf-OmePP568O4A5Am9ttzvVdP67zw/edit#gid=1931367683"" ,""ENERGY!$A$2:$F$2692""), {2,3,4,5,6},0))"),"The Americas")</f>
        <v>The Americas</v>
      </c>
      <c r="AC312" s="14" t="str">
        <f>IFERROR(__xludf.DUMMYFUNCTION("""COMPUTED_VALUE"""),"Bolivia-The Americas")</f>
        <v>Bolivia-The Americas</v>
      </c>
      <c r="AD312" s="14" t="str">
        <f>IFERROR(__xludf.DUMMYFUNCTION("""COMPUTED_VALUE"""),"2012")</f>
        <v>2012</v>
      </c>
      <c r="AE312" s="14">
        <f>IFERROR(__xludf.DUMMYFUNCTION("""COMPUTED_VALUE"""),2903.0)</f>
        <v>2903</v>
      </c>
      <c r="AF312" s="14">
        <f>IFERROR(__xludf.DUMMYFUNCTION("""COMPUTED_VALUE"""),9824.0)</f>
        <v>9824</v>
      </c>
    </row>
    <row r="313">
      <c r="A313" s="12">
        <v>312.0</v>
      </c>
      <c r="B313" s="12" t="s">
        <v>102</v>
      </c>
      <c r="C313" s="5" t="s">
        <v>84</v>
      </c>
      <c r="D313" s="11">
        <v>0.834</v>
      </c>
      <c r="E313" s="11">
        <v>49.0</v>
      </c>
      <c r="F313" s="11">
        <v>158.0</v>
      </c>
      <c r="G313" s="11">
        <v>1025.0</v>
      </c>
      <c r="H313" s="11">
        <v>0.355</v>
      </c>
      <c r="I313" s="11">
        <v>0.904</v>
      </c>
      <c r="J313" s="9" t="s">
        <v>73</v>
      </c>
      <c r="K313" s="14" t="str">
        <f>IFERROR(__xludf.DUMMYFUNCTION("ARRAYFORMULA(VLOOKUP(A313,IMPORTRANGE(""https://docs.google.com/spreadsheets/d/1BuTWp7qHGjWhqrnf-OmePP568O4A5Am9ttzvVdP67zw/edit#gid=1603210130"", ""TOURISM!$A$2:$F$2692""), {2,3,4,5,6},0))"),"The Americas")</f>
        <v>The Americas</v>
      </c>
      <c r="L313" s="14">
        <f>IFERROR(__xludf.DUMMYFUNCTION("""COMPUTED_VALUE"""),5.81E8)</f>
        <v>581000000</v>
      </c>
      <c r="M313" s="14" t="str">
        <f>IFERROR(__xludf.DUMMYFUNCTION("""COMPUTED_VALUE"""),"Bolivia-The Americas")</f>
        <v>Bolivia-The Americas</v>
      </c>
      <c r="N313" s="14" t="str">
        <f>IFERROR(__xludf.DUMMYFUNCTION("""COMPUTED_VALUE"""),"2012")</f>
        <v>2012</v>
      </c>
      <c r="O313" s="14">
        <f>IFERROR(__xludf.DUMMYFUNCTION("""COMPUTED_VALUE"""),5.59E8)</f>
        <v>559000000</v>
      </c>
      <c r="P313" s="15">
        <f>IFERROR(__xludf.DUMMYFUNCTION("ARRAYFORMULA(VLOOKUP(A313,IMPORTRANGE(""https://docs.google.com/spreadsheets/d/1BuTWp7qHGjWhqrnf-OmePP568O4A5Am9ttzvVdP67zw/edit#gid=771602874"" ,""HUMAN RESOURCES!$A$2:$M$2692""), {2,3,4,5,6,7,8,9,10,11,12,13},0))"),0.026)</f>
        <v>0.026</v>
      </c>
      <c r="Q313" s="14">
        <f>IFERROR(__xludf.DUMMYFUNCTION("""COMPUTED_VALUE"""),0.032)</f>
        <v>0.032</v>
      </c>
      <c r="R313" s="14">
        <f>IFERROR(__xludf.DUMMYFUNCTION("""COMPUTED_VALUE"""),69.0)</f>
        <v>69</v>
      </c>
      <c r="S313" s="14">
        <f>IFERROR(__xludf.DUMMYFUNCTION("""COMPUTED_VALUE"""),65.0)</f>
        <v>65</v>
      </c>
      <c r="T313" s="14">
        <f>IFERROR(__xludf.DUMMYFUNCTION("""COMPUTED_VALUE"""),0.352)</f>
        <v>0.352</v>
      </c>
      <c r="U313" s="14">
        <f>IFERROR(__xludf.DUMMYFUNCTION("""COMPUTED_VALUE"""),0.599)</f>
        <v>0.599</v>
      </c>
      <c r="V313" s="14">
        <f>IFERROR(__xludf.DUMMYFUNCTION("""COMPUTED_VALUE"""),0.048)</f>
        <v>0.048</v>
      </c>
      <c r="W313" s="14">
        <f>IFERROR(__xludf.DUMMYFUNCTION("""COMPUTED_VALUE"""),1.0496285E7)</f>
        <v>10496285</v>
      </c>
      <c r="X313" s="14">
        <f>IFERROR(__xludf.DUMMYFUNCTION("""COMPUTED_VALUE"""),0.673)</f>
        <v>0.673</v>
      </c>
      <c r="Y313" s="14" t="str">
        <f>IFERROR(__xludf.DUMMYFUNCTION("""COMPUTED_VALUE"""),"Bolivia-The Americas")</f>
        <v>Bolivia-The Americas</v>
      </c>
      <c r="Z313" s="14" t="str">
        <f>IFERROR(__xludf.DUMMYFUNCTION("""COMPUTED_VALUE"""),"The Americas")</f>
        <v>The Americas</v>
      </c>
      <c r="AA313" s="14" t="str">
        <f>IFERROR(__xludf.DUMMYFUNCTION("""COMPUTED_VALUE"""),"2012")</f>
        <v>2012</v>
      </c>
      <c r="AB313" s="15" t="str">
        <f>IFERROR(__xludf.DUMMYFUNCTION("ARRAYFORMULA(VLOOKUP(A313,IMPORTRANGE(""https://docs.google.com/spreadsheets/d/1BuTWp7qHGjWhqrnf-OmePP568O4A5Am9ttzvVdP67zw/edit#gid=1931367683"" ,""ENERGY!$A$2:$F$2692""), {2,3,4,5,6},0))"),"The Americas")</f>
        <v>The Americas</v>
      </c>
      <c r="AC313" s="14" t="str">
        <f>IFERROR(__xludf.DUMMYFUNCTION("""COMPUTED_VALUE"""),"Bolivia-The Americas")</f>
        <v>Bolivia-The Americas</v>
      </c>
      <c r="AD313" s="14" t="str">
        <f>IFERROR(__xludf.DUMMYFUNCTION("""COMPUTED_VALUE"""),"2008")</f>
        <v>2008</v>
      </c>
      <c r="AE313" s="14">
        <f>IFERROR(__xludf.DUMMYFUNCTION("""COMPUTED_VALUE"""),3737.0)</f>
        <v>3737</v>
      </c>
      <c r="AF313" s="14">
        <f>IFERROR(__xludf.DUMMYFUNCTION("""COMPUTED_VALUE"""),10224.0)</f>
        <v>10224</v>
      </c>
    </row>
    <row r="314">
      <c r="A314" s="12">
        <v>313.0</v>
      </c>
      <c r="B314" s="12" t="s">
        <v>103</v>
      </c>
      <c r="C314" s="5" t="s">
        <v>75</v>
      </c>
      <c r="D314" s="8"/>
      <c r="E314" s="8"/>
      <c r="F314" s="8"/>
      <c r="G314" s="8"/>
      <c r="H314" s="11">
        <v>0.011</v>
      </c>
      <c r="I314" s="11">
        <v>0.024</v>
      </c>
      <c r="J314" s="9" t="s">
        <v>60</v>
      </c>
      <c r="K314" s="14" t="str">
        <f>IFERROR(__xludf.DUMMYFUNCTION("ARRAYFORMULA(VLOOKUP(A314,IMPORTRANGE(""https://docs.google.com/spreadsheets/d/1BuTWp7qHGjWhqrnf-OmePP568O4A5Am9ttzvVdP67zw/edit#gid=1603210130"", ""TOURISM!$A$2:$F$2692""), {2,3,4,5,6},0))"),"Europe")</f>
        <v>Europe</v>
      </c>
      <c r="L314" s="14">
        <f>IFERROR(__xludf.DUMMYFUNCTION("""COMPUTED_VALUE"""),2.46E8)</f>
        <v>246000000</v>
      </c>
      <c r="M314" s="14" t="str">
        <f>IFERROR(__xludf.DUMMYFUNCTION("""COMPUTED_VALUE"""),"Bosnia and Herzegovina-Europe")</f>
        <v>Bosnia and Herzegovina-Europe</v>
      </c>
      <c r="N314" s="14" t="str">
        <f>IFERROR(__xludf.DUMMYFUNCTION("""COMPUTED_VALUE"""),"2000")</f>
        <v>2000</v>
      </c>
      <c r="O314" s="14">
        <f>IFERROR(__xludf.DUMMYFUNCTION("""COMPUTED_VALUE"""),9.2E7)</f>
        <v>92000000</v>
      </c>
      <c r="P314" s="15">
        <f>IFERROR(__xludf.DUMMYFUNCTION("ARRAYFORMULA(VLOOKUP(A314,IMPORTRANGE(""https://docs.google.com/spreadsheets/d/1BuTWp7qHGjWhqrnf-OmePP568O4A5Am9ttzvVdP67zw/edit#gid=771602874"" ,""HUMAN RESOURCES!$A$2:$M$2692""), {2,3,4,5,6,7,8,9,10,11,12,13},0))"),0.01)</f>
        <v>0.01</v>
      </c>
      <c r="Q314" s="14">
        <f>IFERROR(__xludf.DUMMYFUNCTION("""COMPUTED_VALUE"""),0.008)</f>
        <v>0.008</v>
      </c>
      <c r="R314" s="14">
        <f>IFERROR(__xludf.DUMMYFUNCTION("""COMPUTED_VALUE"""),77.0)</f>
        <v>77</v>
      </c>
      <c r="S314" s="14">
        <f>IFERROR(__xludf.DUMMYFUNCTION("""COMPUTED_VALUE"""),72.0)</f>
        <v>72</v>
      </c>
      <c r="T314" s="14">
        <f>IFERROR(__xludf.DUMMYFUNCTION("""COMPUTED_VALUE"""),0.202)</f>
        <v>0.202</v>
      </c>
      <c r="U314" s="14">
        <f>IFERROR(__xludf.DUMMYFUNCTION("""COMPUTED_VALUE"""),0.691)</f>
        <v>0.691</v>
      </c>
      <c r="V314" s="14">
        <f>IFERROR(__xludf.DUMMYFUNCTION("""COMPUTED_VALUE"""),0.107)</f>
        <v>0.107</v>
      </c>
      <c r="W314" s="14">
        <f>IFERROR(__xludf.DUMMYFUNCTION("""COMPUTED_VALUE"""),3834364.0)</f>
        <v>3834364</v>
      </c>
      <c r="X314" s="14">
        <f>IFERROR(__xludf.DUMMYFUNCTION("""COMPUTED_VALUE"""),0.393)</f>
        <v>0.393</v>
      </c>
      <c r="Y314" s="14" t="str">
        <f>IFERROR(__xludf.DUMMYFUNCTION("""COMPUTED_VALUE"""),"Bosnia and Herzegovina-Europe")</f>
        <v>Bosnia and Herzegovina-Europe</v>
      </c>
      <c r="Z314" s="14" t="str">
        <f>IFERROR(__xludf.DUMMYFUNCTION("""COMPUTED_VALUE"""),"Europe")</f>
        <v>Europe</v>
      </c>
      <c r="AA314" s="14" t="str">
        <f>IFERROR(__xludf.DUMMYFUNCTION("""COMPUTED_VALUE"""),"2000")</f>
        <v>2000</v>
      </c>
      <c r="AB314" s="15" t="str">
        <f>IFERROR(__xludf.DUMMYFUNCTION("ARRAYFORMULA(VLOOKUP(A314,IMPORTRANGE(""https://docs.google.com/spreadsheets/d/1BuTWp7qHGjWhqrnf-OmePP568O4A5Am9ttzvVdP67zw/edit#gid=1931367683"" ,""ENERGY!$A$2:$F$2692""), {2,3,4,5,6},0))"),"Europe")</f>
        <v>Europe</v>
      </c>
      <c r="AC314" s="14" t="str">
        <f>IFERROR(__xludf.DUMMYFUNCTION("""COMPUTED_VALUE"""),"Bosnia and Herzegovina-Europe")</f>
        <v>Bosnia and Herzegovina-Europe</v>
      </c>
      <c r="AD314" s="14" t="str">
        <f>IFERROR(__xludf.DUMMYFUNCTION("""COMPUTED_VALUE"""),"2000")</f>
        <v>2000</v>
      </c>
      <c r="AE314" s="14"/>
      <c r="AF314" s="14"/>
    </row>
    <row r="315">
      <c r="A315" s="12">
        <v>314.0</v>
      </c>
      <c r="B315" s="12" t="s">
        <v>103</v>
      </c>
      <c r="C315" s="5" t="s">
        <v>75</v>
      </c>
      <c r="D315" s="8"/>
      <c r="E315" s="8"/>
      <c r="F315" s="8"/>
      <c r="G315" s="8"/>
      <c r="H315" s="11">
        <v>0.012</v>
      </c>
      <c r="I315" s="11">
        <v>0.115</v>
      </c>
      <c r="J315" s="9" t="s">
        <v>62</v>
      </c>
      <c r="K315" s="14" t="str">
        <f>IFERROR(__xludf.DUMMYFUNCTION("ARRAYFORMULA(VLOOKUP(A315,IMPORTRANGE(""https://docs.google.com/spreadsheets/d/1BuTWp7qHGjWhqrnf-OmePP568O4A5Am9ttzvVdP67zw/edit#gid=1603210130"", ""TOURISM!$A$2:$F$2692""), {2,3,4,5,6},0))"),"Europe")</f>
        <v>Europe</v>
      </c>
      <c r="L315" s="14">
        <f>IFERROR(__xludf.DUMMYFUNCTION("""COMPUTED_VALUE"""),2.79E8)</f>
        <v>279000000</v>
      </c>
      <c r="M315" s="14" t="str">
        <f>IFERROR(__xludf.DUMMYFUNCTION("""COMPUTED_VALUE"""),"Bosnia and Herzegovina-Europe")</f>
        <v>Bosnia and Herzegovina-Europe</v>
      </c>
      <c r="N315" s="14" t="str">
        <f>IFERROR(__xludf.DUMMYFUNCTION("""COMPUTED_VALUE"""),"2001")</f>
        <v>2001</v>
      </c>
      <c r="O315" s="14">
        <f>IFERROR(__xludf.DUMMYFUNCTION("""COMPUTED_VALUE"""),9.6E7)</f>
        <v>96000000</v>
      </c>
      <c r="P315" s="15">
        <f>IFERROR(__xludf.DUMMYFUNCTION("ARRAYFORMULA(VLOOKUP(A315,IMPORTRANGE(""https://docs.google.com/spreadsheets/d/1BuTWp7qHGjWhqrnf-OmePP568O4A5Am9ttzvVdP67zw/edit#gid=771602874"" ,""HUMAN RESOURCES!$A$2:$M$2692""), {2,3,4,5,6,7,8,9,10,11,12,13},0))"),0.01)</f>
        <v>0.01</v>
      </c>
      <c r="Q315" s="14">
        <f>IFERROR(__xludf.DUMMYFUNCTION("""COMPUTED_VALUE"""),0.008)</f>
        <v>0.008</v>
      </c>
      <c r="R315" s="14">
        <f>IFERROR(__xludf.DUMMYFUNCTION("""COMPUTED_VALUE"""),77.0)</f>
        <v>77</v>
      </c>
      <c r="S315" s="14">
        <f>IFERROR(__xludf.DUMMYFUNCTION("""COMPUTED_VALUE"""),73.0)</f>
        <v>73</v>
      </c>
      <c r="T315" s="14">
        <f>IFERROR(__xludf.DUMMYFUNCTION("""COMPUTED_VALUE"""),0.199)</f>
        <v>0.199</v>
      </c>
      <c r="U315" s="14">
        <f>IFERROR(__xludf.DUMMYFUNCTION("""COMPUTED_VALUE"""),0.689)</f>
        <v>0.689</v>
      </c>
      <c r="V315" s="14">
        <f>IFERROR(__xludf.DUMMYFUNCTION("""COMPUTED_VALUE"""),0.112)</f>
        <v>0.112</v>
      </c>
      <c r="W315" s="14">
        <f>IFERROR(__xludf.DUMMYFUNCTION("""COMPUTED_VALUE"""),3879353.0)</f>
        <v>3879353</v>
      </c>
      <c r="X315" s="14">
        <f>IFERROR(__xludf.DUMMYFUNCTION("""COMPUTED_VALUE"""),0.393)</f>
        <v>0.393</v>
      </c>
      <c r="Y315" s="14" t="str">
        <f>IFERROR(__xludf.DUMMYFUNCTION("""COMPUTED_VALUE"""),"Bosnia and Herzegovina-Europe")</f>
        <v>Bosnia and Herzegovina-Europe</v>
      </c>
      <c r="Z315" s="14" t="str">
        <f>IFERROR(__xludf.DUMMYFUNCTION("""COMPUTED_VALUE"""),"Europe")</f>
        <v>Europe</v>
      </c>
      <c r="AA315" s="14" t="str">
        <f>IFERROR(__xludf.DUMMYFUNCTION("""COMPUTED_VALUE"""),"2001")</f>
        <v>2001</v>
      </c>
      <c r="AB315" s="15" t="str">
        <f>IFERROR(__xludf.DUMMYFUNCTION("ARRAYFORMULA(VLOOKUP(A315,IMPORTRANGE(""https://docs.google.com/spreadsheets/d/1BuTWp7qHGjWhqrnf-OmePP568O4A5Am9ttzvVdP67zw/edit#gid=1931367683"" ,""ENERGY!$A$2:$F$2692""), {2,3,4,5,6},0))"),"Europe")</f>
        <v>Europe</v>
      </c>
      <c r="AC315" s="14" t="str">
        <f>IFERROR(__xludf.DUMMYFUNCTION("""COMPUTED_VALUE"""),"Bosnia and Herzegovina-Europe")</f>
        <v>Bosnia and Herzegovina-Europe</v>
      </c>
      <c r="AD315" s="14" t="str">
        <f>IFERROR(__xludf.DUMMYFUNCTION("""COMPUTED_VALUE"""),"2001")</f>
        <v>2001</v>
      </c>
      <c r="AE315" s="14">
        <f>IFERROR(__xludf.DUMMYFUNCTION("""COMPUTED_VALUE"""),7095.0)</f>
        <v>7095</v>
      </c>
      <c r="AF315" s="14"/>
    </row>
    <row r="316">
      <c r="A316" s="12">
        <v>315.0</v>
      </c>
      <c r="B316" s="12" t="s">
        <v>103</v>
      </c>
      <c r="C316" s="5" t="s">
        <v>75</v>
      </c>
      <c r="D316" s="8"/>
      <c r="E316" s="8"/>
      <c r="F316" s="8"/>
      <c r="G316" s="8"/>
      <c r="H316" s="11">
        <v>0.026</v>
      </c>
      <c r="I316" s="11">
        <v>0.192</v>
      </c>
      <c r="J316" s="9" t="s">
        <v>63</v>
      </c>
      <c r="K316" s="14" t="str">
        <f>IFERROR(__xludf.DUMMYFUNCTION("ARRAYFORMULA(VLOOKUP(A316,IMPORTRANGE(""https://docs.google.com/spreadsheets/d/1BuTWp7qHGjWhqrnf-OmePP568O4A5Am9ttzvVdP67zw/edit#gid=1603210130"", ""TOURISM!$A$2:$F$2692""), {2,3,4,5,6},0))"),"Europe")</f>
        <v>Europe</v>
      </c>
      <c r="L316" s="14">
        <f>IFERROR(__xludf.DUMMYFUNCTION("""COMPUTED_VALUE"""),3.07E8)</f>
        <v>307000000</v>
      </c>
      <c r="M316" s="14" t="str">
        <f>IFERROR(__xludf.DUMMYFUNCTION("""COMPUTED_VALUE"""),"Bosnia and Herzegovina-Europe")</f>
        <v>Bosnia and Herzegovina-Europe</v>
      </c>
      <c r="N316" s="14" t="str">
        <f>IFERROR(__xludf.DUMMYFUNCTION("""COMPUTED_VALUE"""),"2002")</f>
        <v>2002</v>
      </c>
      <c r="O316" s="14">
        <f>IFERROR(__xludf.DUMMYFUNCTION("""COMPUTED_VALUE"""),1.12E8)</f>
        <v>112000000</v>
      </c>
      <c r="P316" s="15">
        <f>IFERROR(__xludf.DUMMYFUNCTION("ARRAYFORMULA(VLOOKUP(A316,IMPORTRANGE(""https://docs.google.com/spreadsheets/d/1BuTWp7qHGjWhqrnf-OmePP568O4A5Am9ttzvVdP67zw/edit#gid=771602874"" ,""HUMAN RESOURCES!$A$2:$M$2692""), {2,3,4,5,6,7,8,9,10,11,12,13},0))"),0.009)</f>
        <v>0.009</v>
      </c>
      <c r="Q316" s="14">
        <f>IFERROR(__xludf.DUMMYFUNCTION("""COMPUTED_VALUE"""),0.007)</f>
        <v>0.007</v>
      </c>
      <c r="R316" s="14">
        <f>IFERROR(__xludf.DUMMYFUNCTION("""COMPUTED_VALUE"""),77.0)</f>
        <v>77</v>
      </c>
      <c r="S316" s="14">
        <f>IFERROR(__xludf.DUMMYFUNCTION("""COMPUTED_VALUE"""),73.0)</f>
        <v>73</v>
      </c>
      <c r="T316" s="14">
        <f>IFERROR(__xludf.DUMMYFUNCTION("""COMPUTED_VALUE"""),0.197)</f>
        <v>0.197</v>
      </c>
      <c r="U316" s="14">
        <f>IFERROR(__xludf.DUMMYFUNCTION("""COMPUTED_VALUE"""),0.686)</f>
        <v>0.686</v>
      </c>
      <c r="V316" s="14">
        <f>IFERROR(__xludf.DUMMYFUNCTION("""COMPUTED_VALUE"""),0.117)</f>
        <v>0.117</v>
      </c>
      <c r="W316" s="14">
        <f>IFERROR(__xludf.DUMMYFUNCTION("""COMPUTED_VALUE"""),3897579.0)</f>
        <v>3897579</v>
      </c>
      <c r="X316" s="14">
        <f>IFERROR(__xludf.DUMMYFUNCTION("""COMPUTED_VALUE"""),0.393)</f>
        <v>0.393</v>
      </c>
      <c r="Y316" s="14" t="str">
        <f>IFERROR(__xludf.DUMMYFUNCTION("""COMPUTED_VALUE"""),"Bosnia and Herzegovina-Europe")</f>
        <v>Bosnia and Herzegovina-Europe</v>
      </c>
      <c r="Z316" s="14" t="str">
        <f>IFERROR(__xludf.DUMMYFUNCTION("""COMPUTED_VALUE"""),"Europe")</f>
        <v>Europe</v>
      </c>
      <c r="AA316" s="14" t="str">
        <f>IFERROR(__xludf.DUMMYFUNCTION("""COMPUTED_VALUE"""),"2002")</f>
        <v>2002</v>
      </c>
      <c r="AB316" s="15" t="str">
        <f>IFERROR(__xludf.DUMMYFUNCTION("ARRAYFORMULA(VLOOKUP(A316,IMPORTRANGE(""https://docs.google.com/spreadsheets/d/1BuTWp7qHGjWhqrnf-OmePP568O4A5Am9ttzvVdP67zw/edit#gid=1931367683"" ,""ENERGY!$A$2:$F$2692""), {2,3,4,5,6},0))"),"Europe")</f>
        <v>Europe</v>
      </c>
      <c r="AC316" s="14" t="str">
        <f>IFERROR(__xludf.DUMMYFUNCTION("""COMPUTED_VALUE"""),"Bosnia and Herzegovina-Europe")</f>
        <v>Bosnia and Herzegovina-Europe</v>
      </c>
      <c r="AD316" s="14" t="str">
        <f>IFERROR(__xludf.DUMMYFUNCTION("""COMPUTED_VALUE"""),"2002")</f>
        <v>2002</v>
      </c>
      <c r="AE316" s="14">
        <f>IFERROR(__xludf.DUMMYFUNCTION("""COMPUTED_VALUE"""),6451.0)</f>
        <v>6451</v>
      </c>
      <c r="AF316" s="14">
        <f>IFERROR(__xludf.DUMMYFUNCTION("""COMPUTED_VALUE"""),31125.0)</f>
        <v>31125</v>
      </c>
    </row>
    <row r="317">
      <c r="A317" s="12">
        <v>316.0</v>
      </c>
      <c r="B317" s="12" t="s">
        <v>103</v>
      </c>
      <c r="C317" s="5" t="s">
        <v>75</v>
      </c>
      <c r="D317" s="8"/>
      <c r="E317" s="11">
        <v>68.0</v>
      </c>
      <c r="F317" s="8"/>
      <c r="G317" s="8"/>
      <c r="H317" s="11">
        <v>0.04</v>
      </c>
      <c r="I317" s="11">
        <v>0.276</v>
      </c>
      <c r="J317" s="9" t="s">
        <v>64</v>
      </c>
      <c r="K317" s="14" t="str">
        <f>IFERROR(__xludf.DUMMYFUNCTION("ARRAYFORMULA(VLOOKUP(A317,IMPORTRANGE(""https://docs.google.com/spreadsheets/d/1BuTWp7qHGjWhqrnf-OmePP568O4A5Am9ttzvVdP67zw/edit#gid=1603210130"", ""TOURISM!$A$2:$F$2692""), {2,3,4,5,6},0))"),"Europe")</f>
        <v>Europe</v>
      </c>
      <c r="L317" s="14">
        <f>IFERROR(__xludf.DUMMYFUNCTION("""COMPUTED_VALUE"""),4.04E8)</f>
        <v>404000000</v>
      </c>
      <c r="M317" s="14" t="str">
        <f>IFERROR(__xludf.DUMMYFUNCTION("""COMPUTED_VALUE"""),"Bosnia and Herzegovina-Europe")</f>
        <v>Bosnia and Herzegovina-Europe</v>
      </c>
      <c r="N317" s="14" t="str">
        <f>IFERROR(__xludf.DUMMYFUNCTION("""COMPUTED_VALUE"""),"2003")</f>
        <v>2003</v>
      </c>
      <c r="O317" s="14">
        <f>IFERROR(__xludf.DUMMYFUNCTION("""COMPUTED_VALUE"""),1.45E8)</f>
        <v>145000000</v>
      </c>
      <c r="P317" s="15">
        <f>IFERROR(__xludf.DUMMYFUNCTION("ARRAYFORMULA(VLOOKUP(A317,IMPORTRANGE(""https://docs.google.com/spreadsheets/d/1BuTWp7qHGjWhqrnf-OmePP568O4A5Am9ttzvVdP67zw/edit#gid=771602874"" ,""HUMAN RESOURCES!$A$2:$M$2692""), {2,3,4,5,6,7,8,9,10,11,12,13},0))"),0.009)</f>
        <v>0.009</v>
      </c>
      <c r="Q317" s="14">
        <f>IFERROR(__xludf.DUMMYFUNCTION("""COMPUTED_VALUE"""),0.007)</f>
        <v>0.007</v>
      </c>
      <c r="R317" s="14">
        <f>IFERROR(__xludf.DUMMYFUNCTION("""COMPUTED_VALUE"""),78.0)</f>
        <v>78</v>
      </c>
      <c r="S317" s="14">
        <f>IFERROR(__xludf.DUMMYFUNCTION("""COMPUTED_VALUE"""),73.0)</f>
        <v>73</v>
      </c>
      <c r="T317" s="14">
        <f>IFERROR(__xludf.DUMMYFUNCTION("""COMPUTED_VALUE"""),0.194)</f>
        <v>0.194</v>
      </c>
      <c r="U317" s="14">
        <f>IFERROR(__xludf.DUMMYFUNCTION("""COMPUTED_VALUE"""),0.684)</f>
        <v>0.684</v>
      </c>
      <c r="V317" s="14">
        <f>IFERROR(__xludf.DUMMYFUNCTION("""COMPUTED_VALUE"""),0.122)</f>
        <v>0.122</v>
      </c>
      <c r="W317" s="14">
        <f>IFERROR(__xludf.DUMMYFUNCTION("""COMPUTED_VALUE"""),3895779.0)</f>
        <v>3895779</v>
      </c>
      <c r="X317" s="14">
        <f>IFERROR(__xludf.DUMMYFUNCTION("""COMPUTED_VALUE"""),0.392)</f>
        <v>0.392</v>
      </c>
      <c r="Y317" s="14" t="str">
        <f>IFERROR(__xludf.DUMMYFUNCTION("""COMPUTED_VALUE"""),"Bosnia and Herzegovina-Europe")</f>
        <v>Bosnia and Herzegovina-Europe</v>
      </c>
      <c r="Z317" s="14" t="str">
        <f>IFERROR(__xludf.DUMMYFUNCTION("""COMPUTED_VALUE"""),"Europe")</f>
        <v>Europe</v>
      </c>
      <c r="AA317" s="14" t="str">
        <f>IFERROR(__xludf.DUMMYFUNCTION("""COMPUTED_VALUE"""),"2003")</f>
        <v>2003</v>
      </c>
      <c r="AB317" s="15" t="str">
        <f>IFERROR(__xludf.DUMMYFUNCTION("ARRAYFORMULA(VLOOKUP(A317,IMPORTRANGE(""https://docs.google.com/spreadsheets/d/1BuTWp7qHGjWhqrnf-OmePP568O4A5Am9ttzvVdP67zw/edit#gid=1931367683"" ,""ENERGY!$A$2:$F$2692""), {2,3,4,5,6},0))"),"Europe")</f>
        <v>Europe</v>
      </c>
      <c r="AC317" s="14" t="str">
        <f>IFERROR(__xludf.DUMMYFUNCTION("""COMPUTED_VALUE"""),"Bosnia and Herzegovina-Europe")</f>
        <v>Bosnia and Herzegovina-Europe</v>
      </c>
      <c r="AD317" s="14" t="str">
        <f>IFERROR(__xludf.DUMMYFUNCTION("""COMPUTED_VALUE"""),"2003")</f>
        <v>2003</v>
      </c>
      <c r="AE317" s="14">
        <f>IFERROR(__xludf.DUMMYFUNCTION("""COMPUTED_VALUE"""),6161.0)</f>
        <v>6161</v>
      </c>
      <c r="AF317" s="14">
        <f>IFERROR(__xludf.DUMMYFUNCTION("""COMPUTED_VALUE"""),30590.0)</f>
        <v>30590</v>
      </c>
    </row>
    <row r="318">
      <c r="A318" s="12">
        <v>317.0</v>
      </c>
      <c r="B318" s="12" t="s">
        <v>103</v>
      </c>
      <c r="C318" s="5" t="s">
        <v>75</v>
      </c>
      <c r="D318" s="8"/>
      <c r="E318" s="11">
        <v>63.0</v>
      </c>
      <c r="F318" s="8"/>
      <c r="G318" s="8"/>
      <c r="H318" s="11">
        <v>0.155</v>
      </c>
      <c r="I318" s="11">
        <v>0.362</v>
      </c>
      <c r="J318" s="9" t="s">
        <v>65</v>
      </c>
      <c r="K318" s="14" t="str">
        <f>IFERROR(__xludf.DUMMYFUNCTION("ARRAYFORMULA(VLOOKUP(A318,IMPORTRANGE(""https://docs.google.com/spreadsheets/d/1BuTWp7qHGjWhqrnf-OmePP568O4A5Am9ttzvVdP67zw/edit#gid=1603210130"", ""TOURISM!$A$2:$F$2692""), {2,3,4,5,6},0))"),"Europe")</f>
        <v>Europe</v>
      </c>
      <c r="L318" s="14">
        <f>IFERROR(__xludf.DUMMYFUNCTION("""COMPUTED_VALUE"""),5.07E8)</f>
        <v>507000000</v>
      </c>
      <c r="M318" s="14" t="str">
        <f>IFERROR(__xludf.DUMMYFUNCTION("""COMPUTED_VALUE"""),"Bosnia and Herzegovina-Europe")</f>
        <v>Bosnia and Herzegovina-Europe</v>
      </c>
      <c r="N318" s="14" t="str">
        <f>IFERROR(__xludf.DUMMYFUNCTION("""COMPUTED_VALUE"""),"2004")</f>
        <v>2004</v>
      </c>
      <c r="O318" s="14">
        <f>IFERROR(__xludf.DUMMYFUNCTION("""COMPUTED_VALUE"""),1.62E8)</f>
        <v>162000000</v>
      </c>
      <c r="P318" s="15">
        <f>IFERROR(__xludf.DUMMYFUNCTION("ARRAYFORMULA(VLOOKUP(A318,IMPORTRANGE(""https://docs.google.com/spreadsheets/d/1BuTWp7qHGjWhqrnf-OmePP568O4A5Am9ttzvVdP67zw/edit#gid=771602874"" ,""HUMAN RESOURCES!$A$2:$M$2692""), {2,3,4,5,6,7,8,9,10,11,12,13},0))"),0.008)</f>
        <v>0.008</v>
      </c>
      <c r="Q318" s="14">
        <f>IFERROR(__xludf.DUMMYFUNCTION("""COMPUTED_VALUE"""),0.007)</f>
        <v>0.007</v>
      </c>
      <c r="R318" s="14">
        <f>IFERROR(__xludf.DUMMYFUNCTION("""COMPUTED_VALUE"""),78.0)</f>
        <v>78</v>
      </c>
      <c r="S318" s="14">
        <f>IFERROR(__xludf.DUMMYFUNCTION("""COMPUTED_VALUE"""),73.0)</f>
        <v>73</v>
      </c>
      <c r="T318" s="14">
        <f>IFERROR(__xludf.DUMMYFUNCTION("""COMPUTED_VALUE"""),0.192)</f>
        <v>0.192</v>
      </c>
      <c r="U318" s="14">
        <f>IFERROR(__xludf.DUMMYFUNCTION("""COMPUTED_VALUE"""),0.682)</f>
        <v>0.682</v>
      </c>
      <c r="V318" s="14">
        <f>IFERROR(__xludf.DUMMYFUNCTION("""COMPUTED_VALUE"""),0.127)</f>
        <v>0.127</v>
      </c>
      <c r="W318" s="14">
        <f>IFERROR(__xludf.DUMMYFUNCTION("""COMPUTED_VALUE"""),3886723.0)</f>
        <v>3886723</v>
      </c>
      <c r="X318" s="14">
        <f>IFERROR(__xludf.DUMMYFUNCTION("""COMPUTED_VALUE"""),0.392)</f>
        <v>0.392</v>
      </c>
      <c r="Y318" s="14" t="str">
        <f>IFERROR(__xludf.DUMMYFUNCTION("""COMPUTED_VALUE"""),"Bosnia and Herzegovina-Europe")</f>
        <v>Bosnia and Herzegovina-Europe</v>
      </c>
      <c r="Z318" s="14" t="str">
        <f>IFERROR(__xludf.DUMMYFUNCTION("""COMPUTED_VALUE"""),"Europe")</f>
        <v>Europe</v>
      </c>
      <c r="AA318" s="14" t="str">
        <f>IFERROR(__xludf.DUMMYFUNCTION("""COMPUTED_VALUE"""),"2004")</f>
        <v>2004</v>
      </c>
      <c r="AB318" s="15" t="str">
        <f>IFERROR(__xludf.DUMMYFUNCTION("ARRAYFORMULA(VLOOKUP(A318,IMPORTRANGE(""https://docs.google.com/spreadsheets/d/1BuTWp7qHGjWhqrnf-OmePP568O4A5Am9ttzvVdP67zw/edit#gid=1931367683"" ,""ENERGY!$A$2:$F$2692""), {2,3,4,5,6},0))"),"Europe")</f>
        <v>Europe</v>
      </c>
      <c r="AC318" s="14" t="str">
        <f>IFERROR(__xludf.DUMMYFUNCTION("""COMPUTED_VALUE"""),"Bosnia and Herzegovina-Europe")</f>
        <v>Bosnia and Herzegovina-Europe</v>
      </c>
      <c r="AD318" s="14" t="str">
        <f>IFERROR(__xludf.DUMMYFUNCTION("""COMPUTED_VALUE"""),"2004")</f>
        <v>2004</v>
      </c>
      <c r="AE318" s="14">
        <f>IFERROR(__xludf.DUMMYFUNCTION("""COMPUTED_VALUE"""),5954.0)</f>
        <v>5954</v>
      </c>
      <c r="AF318" s="14">
        <f>IFERROR(__xludf.DUMMYFUNCTION("""COMPUTED_VALUE"""),30997.0)</f>
        <v>30997</v>
      </c>
    </row>
    <row r="319">
      <c r="A319" s="12">
        <v>318.0</v>
      </c>
      <c r="B319" s="12" t="s">
        <v>103</v>
      </c>
      <c r="C319" s="5" t="s">
        <v>75</v>
      </c>
      <c r="D319" s="11">
        <v>0.428</v>
      </c>
      <c r="E319" s="11">
        <v>63.0</v>
      </c>
      <c r="F319" s="8"/>
      <c r="G319" s="11">
        <v>368.0</v>
      </c>
      <c r="H319" s="11">
        <v>0.213</v>
      </c>
      <c r="I319" s="11">
        <v>0.411</v>
      </c>
      <c r="J319" s="9" t="s">
        <v>66</v>
      </c>
      <c r="K319" s="14" t="str">
        <f>IFERROR(__xludf.DUMMYFUNCTION("ARRAYFORMULA(VLOOKUP(A319,IMPORTRANGE(""https://docs.google.com/spreadsheets/d/1BuTWp7qHGjWhqrnf-OmePP568O4A5Am9ttzvVdP67zw/edit#gid=1603210130"", ""TOURISM!$A$2:$F$2692""), {2,3,4,5,6},0))"),"Europe")</f>
        <v>Europe</v>
      </c>
      <c r="L319" s="14">
        <f>IFERROR(__xludf.DUMMYFUNCTION("""COMPUTED_VALUE"""),5.57E8)</f>
        <v>557000000</v>
      </c>
      <c r="M319" s="14" t="str">
        <f>IFERROR(__xludf.DUMMYFUNCTION("""COMPUTED_VALUE"""),"Bosnia and Herzegovina-Europe")</f>
        <v>Bosnia and Herzegovina-Europe</v>
      </c>
      <c r="N319" s="14" t="str">
        <f>IFERROR(__xludf.DUMMYFUNCTION("""COMPUTED_VALUE"""),"2005")</f>
        <v>2005</v>
      </c>
      <c r="O319" s="14">
        <f>IFERROR(__xludf.DUMMYFUNCTION("""COMPUTED_VALUE"""),1.58E8)</f>
        <v>158000000</v>
      </c>
      <c r="P319" s="15">
        <f>IFERROR(__xludf.DUMMYFUNCTION("ARRAYFORMULA(VLOOKUP(A319,IMPORTRANGE(""https://docs.google.com/spreadsheets/d/1BuTWp7qHGjWhqrnf-OmePP568O4A5Am9ttzvVdP67zw/edit#gid=771602874"" ,""HUMAN RESOURCES!$A$2:$M$2692""), {2,3,4,5,6,7,8,9,10,11,12,13},0))"),0.008)</f>
        <v>0.008</v>
      </c>
      <c r="Q319" s="14">
        <f>IFERROR(__xludf.DUMMYFUNCTION("""COMPUTED_VALUE"""),0.007)</f>
        <v>0.007</v>
      </c>
      <c r="R319" s="14">
        <f>IFERROR(__xludf.DUMMYFUNCTION("""COMPUTED_VALUE"""),78.0)</f>
        <v>78</v>
      </c>
      <c r="S319" s="14">
        <f>IFERROR(__xludf.DUMMYFUNCTION("""COMPUTED_VALUE"""),73.0)</f>
        <v>73</v>
      </c>
      <c r="T319" s="14">
        <f>IFERROR(__xludf.DUMMYFUNCTION("""COMPUTED_VALUE"""),0.189)</f>
        <v>0.189</v>
      </c>
      <c r="U319" s="14">
        <f>IFERROR(__xludf.DUMMYFUNCTION("""COMPUTED_VALUE"""),0.68)</f>
        <v>0.68</v>
      </c>
      <c r="V319" s="14">
        <f>IFERROR(__xludf.DUMMYFUNCTION("""COMPUTED_VALUE"""),0.131)</f>
        <v>0.131</v>
      </c>
      <c r="W319" s="14">
        <f>IFERROR(__xludf.DUMMYFUNCTION("""COMPUTED_VALUE"""),3879828.0)</f>
        <v>3879828</v>
      </c>
      <c r="X319" s="14">
        <f>IFERROR(__xludf.DUMMYFUNCTION("""COMPUTED_VALUE"""),0.392)</f>
        <v>0.392</v>
      </c>
      <c r="Y319" s="14" t="str">
        <f>IFERROR(__xludf.DUMMYFUNCTION("""COMPUTED_VALUE"""),"Bosnia and Herzegovina-Europe")</f>
        <v>Bosnia and Herzegovina-Europe</v>
      </c>
      <c r="Z319" s="14" t="str">
        <f>IFERROR(__xludf.DUMMYFUNCTION("""COMPUTED_VALUE"""),"Europe")</f>
        <v>Europe</v>
      </c>
      <c r="AA319" s="14" t="str">
        <f>IFERROR(__xludf.DUMMYFUNCTION("""COMPUTED_VALUE"""),"2005")</f>
        <v>2005</v>
      </c>
      <c r="AB319" s="15" t="str">
        <f>IFERROR(__xludf.DUMMYFUNCTION("ARRAYFORMULA(VLOOKUP(A319,IMPORTRANGE(""https://docs.google.com/spreadsheets/d/1BuTWp7qHGjWhqrnf-OmePP568O4A5Am9ttzvVdP67zw/edit#gid=1931367683"" ,""ENERGY!$A$2:$F$2692""), {2,3,4,5,6},0))"),"Europe")</f>
        <v>Europe</v>
      </c>
      <c r="AC319" s="14" t="str">
        <f>IFERROR(__xludf.DUMMYFUNCTION("""COMPUTED_VALUE"""),"Bosnia and Herzegovina-Europe")</f>
        <v>Bosnia and Herzegovina-Europe</v>
      </c>
      <c r="AD319" s="14" t="str">
        <f>IFERROR(__xludf.DUMMYFUNCTION("""COMPUTED_VALUE"""),"2006")</f>
        <v>2006</v>
      </c>
      <c r="AE319" s="14">
        <f>IFERROR(__xludf.DUMMYFUNCTION("""COMPUTED_VALUE"""),5305.0)</f>
        <v>5305</v>
      </c>
      <c r="AF319" s="14">
        <f>IFERROR(__xludf.DUMMYFUNCTION("""COMPUTED_VALUE"""),27884.0)</f>
        <v>27884</v>
      </c>
    </row>
    <row r="320">
      <c r="A320" s="12">
        <v>319.0</v>
      </c>
      <c r="B320" s="12" t="s">
        <v>103</v>
      </c>
      <c r="C320" s="5" t="s">
        <v>75</v>
      </c>
      <c r="D320" s="11">
        <v>0.427</v>
      </c>
      <c r="E320" s="11">
        <v>63.0</v>
      </c>
      <c r="F320" s="8"/>
      <c r="G320" s="11">
        <v>368.0</v>
      </c>
      <c r="H320" s="11">
        <v>0.251</v>
      </c>
      <c r="I320" s="11">
        <v>0.487</v>
      </c>
      <c r="J320" s="9" t="s">
        <v>67</v>
      </c>
      <c r="K320" s="14" t="str">
        <f>IFERROR(__xludf.DUMMYFUNCTION("ARRAYFORMULA(VLOOKUP(A320,IMPORTRANGE(""https://docs.google.com/spreadsheets/d/1BuTWp7qHGjWhqrnf-OmePP568O4A5Am9ttzvVdP67zw/edit#gid=1603210130"", ""TOURISM!$A$2:$F$2692""), {2,3,4,5,6},0))"),"Europe")</f>
        <v>Europe</v>
      </c>
      <c r="L320" s="14">
        <f>IFERROR(__xludf.DUMMYFUNCTION("""COMPUTED_VALUE"""),6.58E8)</f>
        <v>658000000</v>
      </c>
      <c r="M320" s="14" t="str">
        <f>IFERROR(__xludf.DUMMYFUNCTION("""COMPUTED_VALUE"""),"Bosnia and Herzegovina-Europe")</f>
        <v>Bosnia and Herzegovina-Europe</v>
      </c>
      <c r="N320" s="14" t="str">
        <f>IFERROR(__xludf.DUMMYFUNCTION("""COMPUTED_VALUE"""),"2006")</f>
        <v>2006</v>
      </c>
      <c r="O320" s="14">
        <f>IFERROR(__xludf.DUMMYFUNCTION("""COMPUTED_VALUE"""),2.1E8)</f>
        <v>210000000</v>
      </c>
      <c r="P320" s="15">
        <f>IFERROR(__xludf.DUMMYFUNCTION("ARRAYFORMULA(VLOOKUP(A320,IMPORTRANGE(""https://docs.google.com/spreadsheets/d/1BuTWp7qHGjWhqrnf-OmePP568O4A5Am9ttzvVdP67zw/edit#gid=771602874"" ,""HUMAN RESOURCES!$A$2:$M$2692""), {2,3,4,5,6,7,8,9,10,11,12,13},0))"),0.008)</f>
        <v>0.008</v>
      </c>
      <c r="Q320" s="14">
        <f>IFERROR(__xludf.DUMMYFUNCTION("""COMPUTED_VALUE"""),0.007)</f>
        <v>0.007</v>
      </c>
      <c r="R320" s="14">
        <f>IFERROR(__xludf.DUMMYFUNCTION("""COMPUTED_VALUE"""),78.0)</f>
        <v>78</v>
      </c>
      <c r="S320" s="14">
        <f>IFERROR(__xludf.DUMMYFUNCTION("""COMPUTED_VALUE"""),73.0)</f>
        <v>73</v>
      </c>
      <c r="T320" s="14">
        <f>IFERROR(__xludf.DUMMYFUNCTION("""COMPUTED_VALUE"""),0.186)</f>
        <v>0.186</v>
      </c>
      <c r="U320" s="14">
        <f>IFERROR(__xludf.DUMMYFUNCTION("""COMPUTED_VALUE"""),0.678)</f>
        <v>0.678</v>
      </c>
      <c r="V320" s="14">
        <f>IFERROR(__xludf.DUMMYFUNCTION("""COMPUTED_VALUE"""),0.136)</f>
        <v>0.136</v>
      </c>
      <c r="W320" s="14">
        <f>IFERROR(__xludf.DUMMYFUNCTION("""COMPUTED_VALUE"""),3875157.0)</f>
        <v>3875157</v>
      </c>
      <c r="X320" s="14">
        <f>IFERROR(__xludf.DUMMYFUNCTION("""COMPUTED_VALUE"""),0.392)</f>
        <v>0.392</v>
      </c>
      <c r="Y320" s="14" t="str">
        <f>IFERROR(__xludf.DUMMYFUNCTION("""COMPUTED_VALUE"""),"Bosnia and Herzegovina-Europe")</f>
        <v>Bosnia and Herzegovina-Europe</v>
      </c>
      <c r="Z320" s="14" t="str">
        <f>IFERROR(__xludf.DUMMYFUNCTION("""COMPUTED_VALUE"""),"Europe")</f>
        <v>Europe</v>
      </c>
      <c r="AA320" s="14" t="str">
        <f>IFERROR(__xludf.DUMMYFUNCTION("""COMPUTED_VALUE"""),"2006")</f>
        <v>2006</v>
      </c>
      <c r="AB320" s="15" t="str">
        <f>IFERROR(__xludf.DUMMYFUNCTION("ARRAYFORMULA(VLOOKUP(A320,IMPORTRANGE(""https://docs.google.com/spreadsheets/d/1BuTWp7qHGjWhqrnf-OmePP568O4A5Am9ttzvVdP67zw/edit#gid=1931367683"" ,""ENERGY!$A$2:$F$2692""), {2,3,4,5,6},0))"),"Europe")</f>
        <v>Europe</v>
      </c>
      <c r="AC320" s="14" t="str">
        <f>IFERROR(__xludf.DUMMYFUNCTION("""COMPUTED_VALUE"""),"Bosnia and Herzegovina-Europe")</f>
        <v>Bosnia and Herzegovina-Europe</v>
      </c>
      <c r="AD320" s="14" t="str">
        <f>IFERROR(__xludf.DUMMYFUNCTION("""COMPUTED_VALUE"""),"2010")</f>
        <v>2010</v>
      </c>
      <c r="AE320" s="14">
        <f>IFERROR(__xludf.DUMMYFUNCTION("""COMPUTED_VALUE"""),5301.0)</f>
        <v>5301</v>
      </c>
      <c r="AF320" s="14">
        <f>IFERROR(__xludf.DUMMYFUNCTION("""COMPUTED_VALUE"""),27169.0)</f>
        <v>27169</v>
      </c>
    </row>
    <row r="321">
      <c r="A321" s="12">
        <v>320.0</v>
      </c>
      <c r="B321" s="12" t="s">
        <v>103</v>
      </c>
      <c r="C321" s="5" t="s">
        <v>75</v>
      </c>
      <c r="D321" s="11">
        <v>0.428</v>
      </c>
      <c r="E321" s="11">
        <v>63.0</v>
      </c>
      <c r="F321" s="8"/>
      <c r="G321" s="11">
        <v>368.0</v>
      </c>
      <c r="H321" s="11">
        <v>0.279</v>
      </c>
      <c r="I321" s="11">
        <v>0.633</v>
      </c>
      <c r="J321" s="9" t="s">
        <v>68</v>
      </c>
      <c r="K321" s="14" t="str">
        <f>IFERROR(__xludf.DUMMYFUNCTION("ARRAYFORMULA(VLOOKUP(A321,IMPORTRANGE(""https://docs.google.com/spreadsheets/d/1BuTWp7qHGjWhqrnf-OmePP568O4A5Am9ttzvVdP67zw/edit#gid=1603210130"", ""TOURISM!$A$2:$F$2692""), {2,3,4,5,6},0))"),"Europe")</f>
        <v>Europe</v>
      </c>
      <c r="L321" s="14">
        <f>IFERROR(__xludf.DUMMYFUNCTION("""COMPUTED_VALUE"""),8.04E8)</f>
        <v>804000000</v>
      </c>
      <c r="M321" s="14" t="str">
        <f>IFERROR(__xludf.DUMMYFUNCTION("""COMPUTED_VALUE"""),"Bosnia and Herzegovina-Europe")</f>
        <v>Bosnia and Herzegovina-Europe</v>
      </c>
      <c r="N321" s="14" t="str">
        <f>IFERROR(__xludf.DUMMYFUNCTION("""COMPUTED_VALUE"""),"2007")</f>
        <v>2007</v>
      </c>
      <c r="O321" s="14">
        <f>IFERROR(__xludf.DUMMYFUNCTION("""COMPUTED_VALUE"""),2.64E8)</f>
        <v>264000000</v>
      </c>
      <c r="P321" s="15">
        <f>IFERROR(__xludf.DUMMYFUNCTION("ARRAYFORMULA(VLOOKUP(A321,IMPORTRANGE(""https://docs.google.com/spreadsheets/d/1BuTWp7qHGjWhqrnf-OmePP568O4A5Am9ttzvVdP67zw/edit#gid=771602874"" ,""HUMAN RESOURCES!$A$2:$M$2692""), {2,3,4,5,6,7,8,9,10,11,12,13},0))"),0.008)</f>
        <v>0.008</v>
      </c>
      <c r="Q321" s="14">
        <f>IFERROR(__xludf.DUMMYFUNCTION("""COMPUTED_VALUE"""),0.007)</f>
        <v>0.007</v>
      </c>
      <c r="R321" s="14">
        <f>IFERROR(__xludf.DUMMYFUNCTION("""COMPUTED_VALUE"""),78.0)</f>
        <v>78</v>
      </c>
      <c r="S321" s="14">
        <f>IFERROR(__xludf.DUMMYFUNCTION("""COMPUTED_VALUE"""),73.0)</f>
        <v>73</v>
      </c>
      <c r="T321" s="14">
        <f>IFERROR(__xludf.DUMMYFUNCTION("""COMPUTED_VALUE"""),0.184)</f>
        <v>0.184</v>
      </c>
      <c r="U321" s="14">
        <f>IFERROR(__xludf.DUMMYFUNCTION("""COMPUTED_VALUE"""),0.676)</f>
        <v>0.676</v>
      </c>
      <c r="V321" s="14">
        <f>IFERROR(__xludf.DUMMYFUNCTION("""COMPUTED_VALUE"""),0.14)</f>
        <v>0.14</v>
      </c>
      <c r="W321" s="14">
        <f>IFERROR(__xludf.DUMMYFUNCTION("""COMPUTED_VALUE"""),3868665.0)</f>
        <v>3868665</v>
      </c>
      <c r="X321" s="14">
        <f>IFERROR(__xludf.DUMMYFUNCTION("""COMPUTED_VALUE"""),0.392)</f>
        <v>0.392</v>
      </c>
      <c r="Y321" s="14" t="str">
        <f>IFERROR(__xludf.DUMMYFUNCTION("""COMPUTED_VALUE"""),"Bosnia and Herzegovina-Europe")</f>
        <v>Bosnia and Herzegovina-Europe</v>
      </c>
      <c r="Z321" s="14" t="str">
        <f>IFERROR(__xludf.DUMMYFUNCTION("""COMPUTED_VALUE"""),"Europe")</f>
        <v>Europe</v>
      </c>
      <c r="AA321" s="14" t="str">
        <f>IFERROR(__xludf.DUMMYFUNCTION("""COMPUTED_VALUE"""),"2007")</f>
        <v>2007</v>
      </c>
      <c r="AB321" s="15" t="str">
        <f>IFERROR(__xludf.DUMMYFUNCTION("ARRAYFORMULA(VLOOKUP(A321,IMPORTRANGE(""https://docs.google.com/spreadsheets/d/1BuTWp7qHGjWhqrnf-OmePP568O4A5Am9ttzvVdP67zw/edit#gid=1931367683"" ,""ENERGY!$A$2:$F$2692""), {2,3,4,5,6},0))"),"Europe")</f>
        <v>Europe</v>
      </c>
      <c r="AC321" s="14" t="str">
        <f>IFERROR(__xludf.DUMMYFUNCTION("""COMPUTED_VALUE"""),"Bosnia and Herzegovina-Europe")</f>
        <v>Bosnia and Herzegovina-Europe</v>
      </c>
      <c r="AD321" s="14" t="str">
        <f>IFERROR(__xludf.DUMMYFUNCTION("""COMPUTED_VALUE"""),"2006")</f>
        <v>2006</v>
      </c>
      <c r="AE321" s="14">
        <f>IFERROR(__xludf.DUMMYFUNCTION("""COMPUTED_VALUE"""),5042.0)</f>
        <v>5042</v>
      </c>
      <c r="AF321" s="14">
        <f>IFERROR(__xludf.DUMMYFUNCTION("""COMPUTED_VALUE"""),25618.0)</f>
        <v>25618</v>
      </c>
    </row>
    <row r="322">
      <c r="A322" s="12">
        <v>321.0</v>
      </c>
      <c r="B322" s="12" t="s">
        <v>103</v>
      </c>
      <c r="C322" s="5" t="s">
        <v>75</v>
      </c>
      <c r="D322" s="11">
        <v>0.428</v>
      </c>
      <c r="E322" s="11">
        <v>69.0</v>
      </c>
      <c r="F322" s="8"/>
      <c r="G322" s="11">
        <v>428.0</v>
      </c>
      <c r="H322" s="11">
        <v>0.347</v>
      </c>
      <c r="I322" s="11">
        <v>0.823</v>
      </c>
      <c r="J322" s="9" t="s">
        <v>69</v>
      </c>
      <c r="K322" s="14" t="str">
        <f>IFERROR(__xludf.DUMMYFUNCTION("ARRAYFORMULA(VLOOKUP(A322,IMPORTRANGE(""https://docs.google.com/spreadsheets/d/1BuTWp7qHGjWhqrnf-OmePP568O4A5Am9ttzvVdP67zw/edit#gid=1603210130"", ""TOURISM!$A$2:$F$2692""), {2,3,4,5,6},0))"),"Europe")</f>
        <v>Europe</v>
      </c>
      <c r="L322" s="14">
        <f>IFERROR(__xludf.DUMMYFUNCTION("""COMPUTED_VALUE"""),9.13E8)</f>
        <v>913000000</v>
      </c>
      <c r="M322" s="14" t="str">
        <f>IFERROR(__xludf.DUMMYFUNCTION("""COMPUTED_VALUE"""),"Bosnia and Herzegovina-Europe")</f>
        <v>Bosnia and Herzegovina-Europe</v>
      </c>
      <c r="N322" s="14" t="str">
        <f>IFERROR(__xludf.DUMMYFUNCTION("""COMPUTED_VALUE"""),"2008")</f>
        <v>2008</v>
      </c>
      <c r="O322" s="14">
        <f>IFERROR(__xludf.DUMMYFUNCTION("""COMPUTED_VALUE"""),3.45E8)</f>
        <v>345000000</v>
      </c>
      <c r="P322" s="15">
        <f>IFERROR(__xludf.DUMMYFUNCTION("ARRAYFORMULA(VLOOKUP(A322,IMPORTRANGE(""https://docs.google.com/spreadsheets/d/1BuTWp7qHGjWhqrnf-OmePP568O4A5Am9ttzvVdP67zw/edit#gid=771602874"" ,""HUMAN RESOURCES!$A$2:$M$2692""), {2,3,4,5,6,7,8,9,10,11,12,13},0))"),0.008)</f>
        <v>0.008</v>
      </c>
      <c r="Q322" s="14">
        <f>IFERROR(__xludf.DUMMYFUNCTION("""COMPUTED_VALUE"""),0.007)</f>
        <v>0.007</v>
      </c>
      <c r="R322" s="14">
        <f>IFERROR(__xludf.DUMMYFUNCTION("""COMPUTED_VALUE"""),78.0)</f>
        <v>78</v>
      </c>
      <c r="S322" s="14">
        <f>IFERROR(__xludf.DUMMYFUNCTION("""COMPUTED_VALUE"""),73.0)</f>
        <v>73</v>
      </c>
      <c r="T322" s="14">
        <f>IFERROR(__xludf.DUMMYFUNCTION("""COMPUTED_VALUE"""),0.181)</f>
        <v>0.181</v>
      </c>
      <c r="U322" s="14">
        <f>IFERROR(__xludf.DUMMYFUNCTION("""COMPUTED_VALUE"""),0.674)</f>
        <v>0.674</v>
      </c>
      <c r="V322" s="14">
        <f>IFERROR(__xludf.DUMMYFUNCTION("""COMPUTED_VALUE"""),0.144)</f>
        <v>0.144</v>
      </c>
      <c r="W322" s="14">
        <f>IFERROR(__xludf.DUMMYFUNCTION("""COMPUTED_VALUE"""),3861201.0)</f>
        <v>3861201</v>
      </c>
      <c r="X322" s="14">
        <f>IFERROR(__xludf.DUMMYFUNCTION("""COMPUTED_VALUE"""),0.392)</f>
        <v>0.392</v>
      </c>
      <c r="Y322" s="14" t="str">
        <f>IFERROR(__xludf.DUMMYFUNCTION("""COMPUTED_VALUE"""),"Bosnia and Herzegovina-Europe")</f>
        <v>Bosnia and Herzegovina-Europe</v>
      </c>
      <c r="Z322" s="14" t="str">
        <f>IFERROR(__xludf.DUMMYFUNCTION("""COMPUTED_VALUE"""),"Europe")</f>
        <v>Europe</v>
      </c>
      <c r="AA322" s="14" t="str">
        <f>IFERROR(__xludf.DUMMYFUNCTION("""COMPUTED_VALUE"""),"2008")</f>
        <v>2008</v>
      </c>
      <c r="AB322" s="15" t="str">
        <f>IFERROR(__xludf.DUMMYFUNCTION("ARRAYFORMULA(VLOOKUP(A322,IMPORTRANGE(""https://docs.google.com/spreadsheets/d/1BuTWp7qHGjWhqrnf-OmePP568O4A5Am9ttzvVdP67zw/edit#gid=1931367683"" ,""ENERGY!$A$2:$F$2692""), {2,3,4,5,6},0))"),"Europe")</f>
        <v>Europe</v>
      </c>
      <c r="AC322" s="14" t="str">
        <f>IFERROR(__xludf.DUMMYFUNCTION("""COMPUTED_VALUE"""),"Bosnia and Herzegovina-Europe")</f>
        <v>Bosnia and Herzegovina-Europe</v>
      </c>
      <c r="AD322" s="14" t="str">
        <f>IFERROR(__xludf.DUMMYFUNCTION("""COMPUTED_VALUE"""),"2012")</f>
        <v>2012</v>
      </c>
      <c r="AE322" s="14">
        <f>IFERROR(__xludf.DUMMYFUNCTION("""COMPUTED_VALUE"""),4811.0)</f>
        <v>4811</v>
      </c>
      <c r="AF322" s="14">
        <f>IFERROR(__xludf.DUMMYFUNCTION("""COMPUTED_VALUE"""),24617.0)</f>
        <v>24617</v>
      </c>
    </row>
    <row r="323">
      <c r="A323" s="12">
        <v>322.0</v>
      </c>
      <c r="B323" s="12" t="s">
        <v>103</v>
      </c>
      <c r="C323" s="5" t="s">
        <v>75</v>
      </c>
      <c r="D323" s="11">
        <v>0.259</v>
      </c>
      <c r="E323" s="11">
        <v>69.0</v>
      </c>
      <c r="F323" s="8"/>
      <c r="G323" s="11">
        <v>422.0</v>
      </c>
      <c r="H323" s="11">
        <v>0.377</v>
      </c>
      <c r="I323" s="11">
        <v>0.845</v>
      </c>
      <c r="J323" s="9" t="s">
        <v>70</v>
      </c>
      <c r="K323" s="14" t="str">
        <f>IFERROR(__xludf.DUMMYFUNCTION("ARRAYFORMULA(VLOOKUP(A323,IMPORTRANGE(""https://docs.google.com/spreadsheets/d/1BuTWp7qHGjWhqrnf-OmePP568O4A5Am9ttzvVdP67zw/edit#gid=1603210130"", ""TOURISM!$A$2:$F$2692""), {2,3,4,5,6},0))"),"Europe")</f>
        <v>Europe</v>
      </c>
      <c r="L323" s="14">
        <f>IFERROR(__xludf.DUMMYFUNCTION("""COMPUTED_VALUE"""),7.53E8)</f>
        <v>753000000</v>
      </c>
      <c r="M323" s="14" t="str">
        <f>IFERROR(__xludf.DUMMYFUNCTION("""COMPUTED_VALUE"""),"Bosnia and Herzegovina-Europe")</f>
        <v>Bosnia and Herzegovina-Europe</v>
      </c>
      <c r="N323" s="14" t="str">
        <f>IFERROR(__xludf.DUMMYFUNCTION("""COMPUTED_VALUE"""),"2009")</f>
        <v>2009</v>
      </c>
      <c r="O323" s="14">
        <f>IFERROR(__xludf.DUMMYFUNCTION("""COMPUTED_VALUE"""),2.85E8)</f>
        <v>285000000</v>
      </c>
      <c r="P323" s="15">
        <f>IFERROR(__xludf.DUMMYFUNCTION("ARRAYFORMULA(VLOOKUP(A323,IMPORTRANGE(""https://docs.google.com/spreadsheets/d/1BuTWp7qHGjWhqrnf-OmePP568O4A5Am9ttzvVdP67zw/edit#gid=771602874"" ,""HUMAN RESOURCES!$A$2:$M$2692""), {2,3,4,5,6,7,8,9,10,11,12,13},0))"),0.009)</f>
        <v>0.009</v>
      </c>
      <c r="Q323" s="14">
        <f>IFERROR(__xludf.DUMMYFUNCTION("""COMPUTED_VALUE"""),0.007)</f>
        <v>0.007</v>
      </c>
      <c r="R323" s="14">
        <f>IFERROR(__xludf.DUMMYFUNCTION("""COMPUTED_VALUE"""),78.0)</f>
        <v>78</v>
      </c>
      <c r="S323" s="14">
        <f>IFERROR(__xludf.DUMMYFUNCTION("""COMPUTED_VALUE"""),73.0)</f>
        <v>73</v>
      </c>
      <c r="T323" s="14">
        <f>IFERROR(__xludf.DUMMYFUNCTION("""COMPUTED_VALUE"""),0.178)</f>
        <v>0.178</v>
      </c>
      <c r="U323" s="14">
        <f>IFERROR(__xludf.DUMMYFUNCTION("""COMPUTED_VALUE"""),0.674)</f>
        <v>0.674</v>
      </c>
      <c r="V323" s="14">
        <f>IFERROR(__xludf.DUMMYFUNCTION("""COMPUTED_VALUE"""),0.148)</f>
        <v>0.148</v>
      </c>
      <c r="W323" s="14">
        <f>IFERROR(__xludf.DUMMYFUNCTION("""COMPUTED_VALUE"""),3853446.0)</f>
        <v>3853446</v>
      </c>
      <c r="X323" s="14">
        <f>IFERROR(__xludf.DUMMYFUNCTION("""COMPUTED_VALUE"""),0.392)</f>
        <v>0.392</v>
      </c>
      <c r="Y323" s="14" t="str">
        <f>IFERROR(__xludf.DUMMYFUNCTION("""COMPUTED_VALUE"""),"Bosnia and Herzegovina-Europe")</f>
        <v>Bosnia and Herzegovina-Europe</v>
      </c>
      <c r="Z323" s="14" t="str">
        <f>IFERROR(__xludf.DUMMYFUNCTION("""COMPUTED_VALUE"""),"Europe")</f>
        <v>Europe</v>
      </c>
      <c r="AA323" s="14" t="str">
        <f>IFERROR(__xludf.DUMMYFUNCTION("""COMPUTED_VALUE"""),"2009")</f>
        <v>2009</v>
      </c>
      <c r="AB323" s="15" t="str">
        <f>IFERROR(__xludf.DUMMYFUNCTION("ARRAYFORMULA(VLOOKUP(A323,IMPORTRANGE(""https://docs.google.com/spreadsheets/d/1BuTWp7qHGjWhqrnf-OmePP568O4A5Am9ttzvVdP67zw/edit#gid=1931367683"" ,""ENERGY!$A$2:$F$2692""), {2,3,4,5,6},0))"),"Europe")</f>
        <v>Europe</v>
      </c>
      <c r="AC323" s="14" t="str">
        <f>IFERROR(__xludf.DUMMYFUNCTION("""COMPUTED_VALUE"""),"Bosnia and Herzegovina-Europe")</f>
        <v>Bosnia and Herzegovina-Europe</v>
      </c>
      <c r="AD323" s="14" t="str">
        <f>IFERROR(__xludf.DUMMYFUNCTION("""COMPUTED_VALUE"""),"2008")</f>
        <v>2008</v>
      </c>
      <c r="AE323" s="14">
        <f>IFERROR(__xludf.DUMMYFUNCTION("""COMPUTED_VALUE"""),4400.0)</f>
        <v>4400</v>
      </c>
      <c r="AF323" s="14">
        <f>IFERROR(__xludf.DUMMYFUNCTION("""COMPUTED_VALUE"""),23238.0)</f>
        <v>23238</v>
      </c>
    </row>
    <row r="324">
      <c r="A324" s="12">
        <v>323.0</v>
      </c>
      <c r="B324" s="12" t="s">
        <v>103</v>
      </c>
      <c r="C324" s="5" t="s">
        <v>75</v>
      </c>
      <c r="D324" s="11">
        <v>0.222</v>
      </c>
      <c r="E324" s="11">
        <v>64.0</v>
      </c>
      <c r="F324" s="8"/>
      <c r="G324" s="11">
        <v>422.0</v>
      </c>
      <c r="H324" s="11">
        <v>0.52</v>
      </c>
      <c r="I324" s="11">
        <v>0.809</v>
      </c>
      <c r="J324" s="9" t="s">
        <v>71</v>
      </c>
      <c r="K324" s="14" t="str">
        <f>IFERROR(__xludf.DUMMYFUNCTION("ARRAYFORMULA(VLOOKUP(A324,IMPORTRANGE(""https://docs.google.com/spreadsheets/d/1BuTWp7qHGjWhqrnf-OmePP568O4A5Am9ttzvVdP67zw/edit#gid=1603210130"", ""TOURISM!$A$2:$F$2692""), {2,3,4,5,6},0))"),"Europe")</f>
        <v>Europe</v>
      </c>
      <c r="L324" s="14">
        <f>IFERROR(__xludf.DUMMYFUNCTION("""COMPUTED_VALUE"""),6.62E8)</f>
        <v>662000000</v>
      </c>
      <c r="M324" s="14" t="str">
        <f>IFERROR(__xludf.DUMMYFUNCTION("""COMPUTED_VALUE"""),"Bosnia and Herzegovina-Europe")</f>
        <v>Bosnia and Herzegovina-Europe</v>
      </c>
      <c r="N324" s="14" t="str">
        <f>IFERROR(__xludf.DUMMYFUNCTION("""COMPUTED_VALUE"""),"2010")</f>
        <v>2010</v>
      </c>
      <c r="O324" s="14">
        <f>IFERROR(__xludf.DUMMYFUNCTION("""COMPUTED_VALUE"""),2.47E8)</f>
        <v>247000000</v>
      </c>
      <c r="P324" s="15">
        <f>IFERROR(__xludf.DUMMYFUNCTION("ARRAYFORMULA(VLOOKUP(A324,IMPORTRANGE(""https://docs.google.com/spreadsheets/d/1BuTWp7qHGjWhqrnf-OmePP568O4A5Am9ttzvVdP67zw/edit#gid=771602874"" ,""HUMAN RESOURCES!$A$2:$M$2692""), {2,3,4,5,6,7,8,9,10,11,12,13},0))"),0.009)</f>
        <v>0.009</v>
      </c>
      <c r="Q324" s="14">
        <f>IFERROR(__xludf.DUMMYFUNCTION("""COMPUTED_VALUE"""),0.007)</f>
        <v>0.007</v>
      </c>
      <c r="R324" s="14">
        <f>IFERROR(__xludf.DUMMYFUNCTION("""COMPUTED_VALUE"""),78.0)</f>
        <v>78</v>
      </c>
      <c r="S324" s="14">
        <f>IFERROR(__xludf.DUMMYFUNCTION("""COMPUTED_VALUE"""),73.0)</f>
        <v>73</v>
      </c>
      <c r="T324" s="14">
        <f>IFERROR(__xludf.DUMMYFUNCTION("""COMPUTED_VALUE"""),0.174)</f>
        <v>0.174</v>
      </c>
      <c r="U324" s="14">
        <f>IFERROR(__xludf.DUMMYFUNCTION("""COMPUTED_VALUE"""),0.675)</f>
        <v>0.675</v>
      </c>
      <c r="V324" s="14">
        <f>IFERROR(__xludf.DUMMYFUNCTION("""COMPUTED_VALUE"""),0.151)</f>
        <v>0.151</v>
      </c>
      <c r="W324" s="14">
        <f>IFERROR(__xludf.DUMMYFUNCTION("""COMPUTED_VALUE"""),3845929.0)</f>
        <v>3845929</v>
      </c>
      <c r="X324" s="14">
        <f>IFERROR(__xludf.DUMMYFUNCTION("""COMPUTED_VALUE"""),0.392)</f>
        <v>0.392</v>
      </c>
      <c r="Y324" s="14" t="str">
        <f>IFERROR(__xludf.DUMMYFUNCTION("""COMPUTED_VALUE"""),"Bosnia and Herzegovina-Europe")</f>
        <v>Bosnia and Herzegovina-Europe</v>
      </c>
      <c r="Z324" s="14" t="str">
        <f>IFERROR(__xludf.DUMMYFUNCTION("""COMPUTED_VALUE"""),"Europe")</f>
        <v>Europe</v>
      </c>
      <c r="AA324" s="14" t="str">
        <f>IFERROR(__xludf.DUMMYFUNCTION("""COMPUTED_VALUE"""),"2010")</f>
        <v>2010</v>
      </c>
      <c r="AB324" s="15" t="str">
        <f>IFERROR(__xludf.DUMMYFUNCTION("ARRAYFORMULA(VLOOKUP(A324,IMPORTRANGE(""https://docs.google.com/spreadsheets/d/1BuTWp7qHGjWhqrnf-OmePP568O4A5Am9ttzvVdP67zw/edit#gid=1931367683"" ,""ENERGY!$A$2:$F$2692""), {2,3,4,5,6},0))"),"Europe")</f>
        <v>Europe</v>
      </c>
      <c r="AC324" s="14" t="str">
        <f>IFERROR(__xludf.DUMMYFUNCTION("""COMPUTED_VALUE"""),"Bosnia and Herzegovina-Europe")</f>
        <v>Bosnia and Herzegovina-Europe</v>
      </c>
      <c r="AD324" s="14" t="str">
        <f>IFERROR(__xludf.DUMMYFUNCTION("""COMPUTED_VALUE"""),"2006")</f>
        <v>2006</v>
      </c>
      <c r="AE324" s="14">
        <f>IFERROR(__xludf.DUMMYFUNCTION("""COMPUTED_VALUE"""),4407.0)</f>
        <v>4407</v>
      </c>
      <c r="AF324" s="14">
        <f>IFERROR(__xludf.DUMMYFUNCTION("""COMPUTED_VALUE"""),22919.0)</f>
        <v>22919</v>
      </c>
    </row>
    <row r="325">
      <c r="A325" s="12">
        <v>324.0</v>
      </c>
      <c r="B325" s="12" t="s">
        <v>103</v>
      </c>
      <c r="C325" s="5" t="s">
        <v>75</v>
      </c>
      <c r="D325" s="11">
        <v>0.237</v>
      </c>
      <c r="E325" s="11">
        <v>40.0</v>
      </c>
      <c r="F325" s="8"/>
      <c r="G325" s="11">
        <v>422.0</v>
      </c>
      <c r="H325" s="11">
        <v>0.6</v>
      </c>
      <c r="I325" s="11">
        <v>0.826</v>
      </c>
      <c r="J325" s="9" t="s">
        <v>72</v>
      </c>
      <c r="K325" s="14" t="str">
        <f>IFERROR(__xludf.DUMMYFUNCTION("ARRAYFORMULA(VLOOKUP(A325,IMPORTRANGE(""https://docs.google.com/spreadsheets/d/1BuTWp7qHGjWhqrnf-OmePP568O4A5Am9ttzvVdP67zw/edit#gid=1603210130"", ""TOURISM!$A$2:$F$2692""), {2,3,4,5,6},0))"),"Europe")</f>
        <v>Europe</v>
      </c>
      <c r="L325" s="14">
        <f>IFERROR(__xludf.DUMMYFUNCTION("""COMPUTED_VALUE"""),7.34E8)</f>
        <v>734000000</v>
      </c>
      <c r="M325" s="14" t="str">
        <f>IFERROR(__xludf.DUMMYFUNCTION("""COMPUTED_VALUE"""),"Bosnia and Herzegovina-Europe")</f>
        <v>Bosnia and Herzegovina-Europe</v>
      </c>
      <c r="N325" s="14" t="str">
        <f>IFERROR(__xludf.DUMMYFUNCTION("""COMPUTED_VALUE"""),"2011")</f>
        <v>2011</v>
      </c>
      <c r="O325" s="14">
        <f>IFERROR(__xludf.DUMMYFUNCTION("""COMPUTED_VALUE"""),2.38E8)</f>
        <v>238000000</v>
      </c>
      <c r="P325" s="15">
        <f>IFERROR(__xludf.DUMMYFUNCTION("ARRAYFORMULA(VLOOKUP(A325,IMPORTRANGE(""https://docs.google.com/spreadsheets/d/1BuTWp7qHGjWhqrnf-OmePP568O4A5Am9ttzvVdP67zw/edit#gid=771602874"" ,""HUMAN RESOURCES!$A$2:$M$2692""), {2,3,4,5,6,7,8,9,10,11,12,13},0))"),0.009)</f>
        <v>0.009</v>
      </c>
      <c r="Q325" s="14">
        <f>IFERROR(__xludf.DUMMYFUNCTION("""COMPUTED_VALUE"""),0.006)</f>
        <v>0.006</v>
      </c>
      <c r="R325" s="14">
        <f>IFERROR(__xludf.DUMMYFUNCTION("""COMPUTED_VALUE"""),79.0)</f>
        <v>79</v>
      </c>
      <c r="S325" s="14">
        <f>IFERROR(__xludf.DUMMYFUNCTION("""COMPUTED_VALUE"""),73.0)</f>
        <v>73</v>
      </c>
      <c r="T325" s="14">
        <f>IFERROR(__xludf.DUMMYFUNCTION("""COMPUTED_VALUE"""),0.169)</f>
        <v>0.169</v>
      </c>
      <c r="U325" s="14">
        <f>IFERROR(__xludf.DUMMYFUNCTION("""COMPUTED_VALUE"""),0.678)</f>
        <v>0.678</v>
      </c>
      <c r="V325" s="14">
        <f>IFERROR(__xludf.DUMMYFUNCTION("""COMPUTED_VALUE"""),0.153)</f>
        <v>0.153</v>
      </c>
      <c r="W325" s="14">
        <f>IFERROR(__xludf.DUMMYFUNCTION("""COMPUTED_VALUE"""),3839322.0)</f>
        <v>3839322</v>
      </c>
      <c r="X325" s="14">
        <f>IFERROR(__xludf.DUMMYFUNCTION("""COMPUTED_VALUE"""),0.393)</f>
        <v>0.393</v>
      </c>
      <c r="Y325" s="14" t="str">
        <f>IFERROR(__xludf.DUMMYFUNCTION("""COMPUTED_VALUE"""),"Bosnia and Herzegovina-Europe")</f>
        <v>Bosnia and Herzegovina-Europe</v>
      </c>
      <c r="Z325" s="14" t="str">
        <f>IFERROR(__xludf.DUMMYFUNCTION("""COMPUTED_VALUE"""),"Europe")</f>
        <v>Europe</v>
      </c>
      <c r="AA325" s="14" t="str">
        <f>IFERROR(__xludf.DUMMYFUNCTION("""COMPUTED_VALUE"""),"2011")</f>
        <v>2011</v>
      </c>
      <c r="AB325" s="15" t="str">
        <f>IFERROR(__xludf.DUMMYFUNCTION("ARRAYFORMULA(VLOOKUP(A325,IMPORTRANGE(""https://docs.google.com/spreadsheets/d/1BuTWp7qHGjWhqrnf-OmePP568O4A5Am9ttzvVdP67zw/edit#gid=1931367683"" ,""ENERGY!$A$2:$F$2692""), {2,3,4,5,6},0))"),"Europe")</f>
        <v>Europe</v>
      </c>
      <c r="AC325" s="14" t="str">
        <f>IFERROR(__xludf.DUMMYFUNCTION("""COMPUTED_VALUE"""),"Bosnia and Herzegovina-Europe")</f>
        <v>Bosnia and Herzegovina-Europe</v>
      </c>
      <c r="AD325" s="14" t="str">
        <f>IFERROR(__xludf.DUMMYFUNCTION("""COMPUTED_VALUE"""),"2012")</f>
        <v>2012</v>
      </c>
      <c r="AE325" s="14">
        <f>IFERROR(__xludf.DUMMYFUNCTION("""COMPUTED_VALUE"""),4201.0)</f>
        <v>4201</v>
      </c>
      <c r="AF325" s="14">
        <f>IFERROR(__xludf.DUMMYFUNCTION("""COMPUTED_VALUE"""),20700.0)</f>
        <v>20700</v>
      </c>
    </row>
    <row r="326">
      <c r="A326" s="12">
        <v>325.0</v>
      </c>
      <c r="B326" s="12" t="s">
        <v>103</v>
      </c>
      <c r="C326" s="5" t="s">
        <v>75</v>
      </c>
      <c r="D326" s="11">
        <v>0.237</v>
      </c>
      <c r="E326" s="11">
        <v>37.0</v>
      </c>
      <c r="F326" s="11">
        <v>130.0</v>
      </c>
      <c r="G326" s="11">
        <v>407.0</v>
      </c>
      <c r="H326" s="11">
        <v>0.654</v>
      </c>
      <c r="I326" s="11">
        <v>0.876</v>
      </c>
      <c r="J326" s="9" t="s">
        <v>73</v>
      </c>
      <c r="K326" s="14" t="str">
        <f>IFERROR(__xludf.DUMMYFUNCTION("ARRAYFORMULA(VLOOKUP(A326,IMPORTRANGE(""https://docs.google.com/spreadsheets/d/1BuTWp7qHGjWhqrnf-OmePP568O4A5Am9ttzvVdP67zw/edit#gid=1603210130"", ""TOURISM!$A$2:$F$2692""), {2,3,4,5,6},0))"),"Europe")</f>
        <v>Europe</v>
      </c>
      <c r="L326" s="14">
        <f>IFERROR(__xludf.DUMMYFUNCTION("""COMPUTED_VALUE"""),6.65E8)</f>
        <v>665000000</v>
      </c>
      <c r="M326" s="14" t="str">
        <f>IFERROR(__xludf.DUMMYFUNCTION("""COMPUTED_VALUE"""),"Bosnia and Herzegovina-Europe")</f>
        <v>Bosnia and Herzegovina-Europe</v>
      </c>
      <c r="N326" s="14" t="str">
        <f>IFERROR(__xludf.DUMMYFUNCTION("""COMPUTED_VALUE"""),"2012")</f>
        <v>2012</v>
      </c>
      <c r="O326" s="14">
        <f>IFERROR(__xludf.DUMMYFUNCTION("""COMPUTED_VALUE"""),1.94E8)</f>
        <v>194000000</v>
      </c>
      <c r="P326" s="15">
        <f>IFERROR(__xludf.DUMMYFUNCTION("ARRAYFORMULA(VLOOKUP(A326,IMPORTRANGE(""https://docs.google.com/spreadsheets/d/1BuTWp7qHGjWhqrnf-OmePP568O4A5Am9ttzvVdP67zw/edit#gid=771602874"" ,""HUMAN RESOURCES!$A$2:$M$2692""), {2,3,4,5,6,7,8,9,10,11,12,13},0))"),0.009)</f>
        <v>0.009</v>
      </c>
      <c r="Q326" s="14">
        <f>IFERROR(__xludf.DUMMYFUNCTION("""COMPUTED_VALUE"""),0.006)</f>
        <v>0.006</v>
      </c>
      <c r="R326" s="14">
        <f>IFERROR(__xludf.DUMMYFUNCTION("""COMPUTED_VALUE"""),79.0)</f>
        <v>79</v>
      </c>
      <c r="S326" s="14">
        <f>IFERROR(__xludf.DUMMYFUNCTION("""COMPUTED_VALUE"""),74.0)</f>
        <v>74</v>
      </c>
      <c r="T326" s="14">
        <f>IFERROR(__xludf.DUMMYFUNCTION("""COMPUTED_VALUE"""),0.163)</f>
        <v>0.163</v>
      </c>
      <c r="U326" s="14">
        <f>IFERROR(__xludf.DUMMYFUNCTION("""COMPUTED_VALUE"""),0.682)</f>
        <v>0.682</v>
      </c>
      <c r="V326" s="14">
        <f>IFERROR(__xludf.DUMMYFUNCTION("""COMPUTED_VALUE"""),0.155)</f>
        <v>0.155</v>
      </c>
      <c r="W326" s="14">
        <f>IFERROR(__xludf.DUMMYFUNCTION("""COMPUTED_VALUE"""),3833916.0)</f>
        <v>3833916</v>
      </c>
      <c r="X326" s="14">
        <f>IFERROR(__xludf.DUMMYFUNCTION("""COMPUTED_VALUE"""),0.394)</f>
        <v>0.394</v>
      </c>
      <c r="Y326" s="14" t="str">
        <f>IFERROR(__xludf.DUMMYFUNCTION("""COMPUTED_VALUE"""),"Bosnia and Herzegovina-Europe")</f>
        <v>Bosnia and Herzegovina-Europe</v>
      </c>
      <c r="Z326" s="14" t="str">
        <f>IFERROR(__xludf.DUMMYFUNCTION("""COMPUTED_VALUE"""),"Europe")</f>
        <v>Europe</v>
      </c>
      <c r="AA326" s="14" t="str">
        <f>IFERROR(__xludf.DUMMYFUNCTION("""COMPUTED_VALUE"""),"2012")</f>
        <v>2012</v>
      </c>
      <c r="AB326" s="15" t="str">
        <f>IFERROR(__xludf.DUMMYFUNCTION("ARRAYFORMULA(VLOOKUP(A326,IMPORTRANGE(""https://docs.google.com/spreadsheets/d/1BuTWp7qHGjWhqrnf-OmePP568O4A5Am9ttzvVdP67zw/edit#gid=1931367683"" ,""ENERGY!$A$2:$F$2692""), {2,3,4,5,6},0))"),"Europe")</f>
        <v>Europe</v>
      </c>
      <c r="AC326" s="14" t="str">
        <f>IFERROR(__xludf.DUMMYFUNCTION("""COMPUTED_VALUE"""),"Bosnia and Herzegovina-Europe")</f>
        <v>Bosnia and Herzegovina-Europe</v>
      </c>
      <c r="AD326" s="14" t="str">
        <f>IFERROR(__xludf.DUMMYFUNCTION("""COMPUTED_VALUE"""),"2008")</f>
        <v>2008</v>
      </c>
      <c r="AE326" s="14">
        <f>IFERROR(__xludf.DUMMYFUNCTION("""COMPUTED_VALUE"""),4346.0)</f>
        <v>4346</v>
      </c>
      <c r="AF326" s="14">
        <f>IFERROR(__xludf.DUMMYFUNCTION("""COMPUTED_VALUE"""),23223.0)</f>
        <v>23223</v>
      </c>
    </row>
    <row r="327">
      <c r="A327" s="12">
        <v>326.0</v>
      </c>
      <c r="B327" s="12" t="s">
        <v>104</v>
      </c>
      <c r="C327" s="5" t="s">
        <v>77</v>
      </c>
      <c r="D327" s="8"/>
      <c r="E327" s="8"/>
      <c r="F327" s="8"/>
      <c r="G327" s="8"/>
      <c r="H327" s="11">
        <v>0.029</v>
      </c>
      <c r="I327" s="11">
        <v>0.127</v>
      </c>
      <c r="J327" s="9" t="s">
        <v>60</v>
      </c>
      <c r="K327" s="14" t="str">
        <f>IFERROR(__xludf.DUMMYFUNCTION("ARRAYFORMULA(VLOOKUP(A327,IMPORTRANGE(""https://docs.google.com/spreadsheets/d/1BuTWp7qHGjWhqrnf-OmePP568O4A5Am9ttzvVdP67zw/edit#gid=1603210130"", ""TOURISM!$A$2:$F$2692""), {2,3,4,5,6},0))"),"Africa")</f>
        <v>Africa</v>
      </c>
      <c r="L327" s="14">
        <f>IFERROR(__xludf.DUMMYFUNCTION("""COMPUTED_VALUE"""),2.27E8)</f>
        <v>227000000</v>
      </c>
      <c r="M327" s="14" t="str">
        <f>IFERROR(__xludf.DUMMYFUNCTION("""COMPUTED_VALUE"""),"Botswana-Africa")</f>
        <v>Botswana-Africa</v>
      </c>
      <c r="N327" s="14" t="str">
        <f>IFERROR(__xludf.DUMMYFUNCTION("""COMPUTED_VALUE"""),"2000")</f>
        <v>2000</v>
      </c>
      <c r="O327" s="14">
        <f>IFERROR(__xludf.DUMMYFUNCTION("""COMPUTED_VALUE"""),2.09E8)</f>
        <v>209000000</v>
      </c>
      <c r="P327" s="15">
        <f>IFERROR(__xludf.DUMMYFUNCTION("ARRAYFORMULA(VLOOKUP(A327,IMPORTRANGE(""https://docs.google.com/spreadsheets/d/1BuTWp7qHGjWhqrnf-OmePP568O4A5Am9ttzvVdP67zw/edit#gid=771602874"" ,""HUMAN RESOURCES!$A$2:$M$2692""), {2,3,4,5,6,7,8,9,10,11,12,13},0))"),0.027)</f>
        <v>0.027</v>
      </c>
      <c r="Q327" s="14">
        <f>IFERROR(__xludf.DUMMYFUNCTION("""COMPUTED_VALUE"""),0.054)</f>
        <v>0.054</v>
      </c>
      <c r="R327" s="14">
        <f>IFERROR(__xludf.DUMMYFUNCTION("""COMPUTED_VALUE"""),52.0)</f>
        <v>52</v>
      </c>
      <c r="S327" s="14">
        <f>IFERROR(__xludf.DUMMYFUNCTION("""COMPUTED_VALUE"""),49.0)</f>
        <v>49</v>
      </c>
      <c r="T327" s="14">
        <f>IFERROR(__xludf.DUMMYFUNCTION("""COMPUTED_VALUE"""),0.383)</f>
        <v>0.383</v>
      </c>
      <c r="U327" s="14">
        <f>IFERROR(__xludf.DUMMYFUNCTION("""COMPUTED_VALUE"""),0.587)</f>
        <v>0.587</v>
      </c>
      <c r="V327" s="14">
        <f>IFERROR(__xludf.DUMMYFUNCTION("""COMPUTED_VALUE"""),0.029)</f>
        <v>0.029</v>
      </c>
      <c r="W327" s="14">
        <f>IFERROR(__xludf.DUMMYFUNCTION("""COMPUTED_VALUE"""),1755375.0)</f>
        <v>1755375</v>
      </c>
      <c r="X327" s="14">
        <f>IFERROR(__xludf.DUMMYFUNCTION("""COMPUTED_VALUE"""),0.532)</f>
        <v>0.532</v>
      </c>
      <c r="Y327" s="14" t="str">
        <f>IFERROR(__xludf.DUMMYFUNCTION("""COMPUTED_VALUE"""),"Botswana-Africa")</f>
        <v>Botswana-Africa</v>
      </c>
      <c r="Z327" s="14" t="str">
        <f>IFERROR(__xludf.DUMMYFUNCTION("""COMPUTED_VALUE"""),"Africa")</f>
        <v>Africa</v>
      </c>
      <c r="AA327" s="14" t="str">
        <f>IFERROR(__xludf.DUMMYFUNCTION("""COMPUTED_VALUE"""),"2000")</f>
        <v>2000</v>
      </c>
      <c r="AB327" s="15" t="str">
        <f>IFERROR(__xludf.DUMMYFUNCTION("ARRAYFORMULA(VLOOKUP(A327,IMPORTRANGE(""https://docs.google.com/spreadsheets/d/1BuTWp7qHGjWhqrnf-OmePP568O4A5Am9ttzvVdP67zw/edit#gid=1931367683"" ,""ENERGY!$A$2:$F$2692""), {2,3,4,5,6},0))"),"Africa")</f>
        <v>Africa</v>
      </c>
      <c r="AC327" s="14" t="str">
        <f>IFERROR(__xludf.DUMMYFUNCTION("""COMPUTED_VALUE"""),"Botswana-Africa")</f>
        <v>Botswana-Africa</v>
      </c>
      <c r="AD327" s="14" t="str">
        <f>IFERROR(__xludf.DUMMYFUNCTION("""COMPUTED_VALUE"""),"2000")</f>
        <v>2000</v>
      </c>
      <c r="AE327" s="14"/>
      <c r="AF327" s="14"/>
    </row>
    <row r="328">
      <c r="A328" s="12">
        <v>327.0</v>
      </c>
      <c r="B328" s="12" t="s">
        <v>104</v>
      </c>
      <c r="C328" s="5" t="s">
        <v>77</v>
      </c>
      <c r="D328" s="8"/>
      <c r="E328" s="8"/>
      <c r="F328" s="8"/>
      <c r="G328" s="8"/>
      <c r="H328" s="11">
        <v>0.034</v>
      </c>
      <c r="I328" s="11">
        <v>0.186</v>
      </c>
      <c r="J328" s="9" t="s">
        <v>62</v>
      </c>
      <c r="K328" s="14" t="str">
        <f>IFERROR(__xludf.DUMMYFUNCTION("ARRAYFORMULA(VLOOKUP(A328,IMPORTRANGE(""https://docs.google.com/spreadsheets/d/1BuTWp7qHGjWhqrnf-OmePP568O4A5Am9ttzvVdP67zw/edit#gid=1603210130"", ""TOURISM!$A$2:$F$2692""), {2,3,4,5,6},0))"),"Africa")</f>
        <v>Africa</v>
      </c>
      <c r="L328" s="14">
        <f>IFERROR(__xludf.DUMMYFUNCTION("""COMPUTED_VALUE"""),2.35E8)</f>
        <v>235000000</v>
      </c>
      <c r="M328" s="14" t="str">
        <f>IFERROR(__xludf.DUMMYFUNCTION("""COMPUTED_VALUE"""),"Botswana-Africa")</f>
        <v>Botswana-Africa</v>
      </c>
      <c r="N328" s="14" t="str">
        <f>IFERROR(__xludf.DUMMYFUNCTION("""COMPUTED_VALUE"""),"2001")</f>
        <v>2001</v>
      </c>
      <c r="O328" s="14">
        <f>IFERROR(__xludf.DUMMYFUNCTION("""COMPUTED_VALUE"""),2.15E8)</f>
        <v>215000000</v>
      </c>
      <c r="P328" s="15">
        <f>IFERROR(__xludf.DUMMYFUNCTION("ARRAYFORMULA(VLOOKUP(A328,IMPORTRANGE(""https://docs.google.com/spreadsheets/d/1BuTWp7qHGjWhqrnf-OmePP568O4A5Am9ttzvVdP67zw/edit#gid=771602874"" ,""HUMAN RESOURCES!$A$2:$M$2692""), {2,3,4,5,6,7,8,9,10,11,12,13},0))"),0.027)</f>
        <v>0.027</v>
      </c>
      <c r="Q328" s="14">
        <f>IFERROR(__xludf.DUMMYFUNCTION("""COMPUTED_VALUE"""),0.054)</f>
        <v>0.054</v>
      </c>
      <c r="R328" s="14">
        <f>IFERROR(__xludf.DUMMYFUNCTION("""COMPUTED_VALUE"""),51.0)</f>
        <v>51</v>
      </c>
      <c r="S328" s="14">
        <f>IFERROR(__xludf.DUMMYFUNCTION("""COMPUTED_VALUE"""),48.0)</f>
        <v>48</v>
      </c>
      <c r="T328" s="14">
        <f>IFERROR(__xludf.DUMMYFUNCTION("""COMPUTED_VALUE"""),0.377)</f>
        <v>0.377</v>
      </c>
      <c r="U328" s="14">
        <f>IFERROR(__xludf.DUMMYFUNCTION("""COMPUTED_VALUE"""),0.593)</f>
        <v>0.593</v>
      </c>
      <c r="V328" s="14">
        <f>IFERROR(__xludf.DUMMYFUNCTION("""COMPUTED_VALUE"""),0.03)</f>
        <v>0.03</v>
      </c>
      <c r="W328" s="14">
        <f>IFERROR(__xludf.DUMMYFUNCTION("""COMPUTED_VALUE"""),1783349.0)</f>
        <v>1783349</v>
      </c>
      <c r="X328" s="14">
        <f>IFERROR(__xludf.DUMMYFUNCTION("""COMPUTED_VALUE"""),0.541)</f>
        <v>0.541</v>
      </c>
      <c r="Y328" s="14" t="str">
        <f>IFERROR(__xludf.DUMMYFUNCTION("""COMPUTED_VALUE"""),"Botswana-Africa")</f>
        <v>Botswana-Africa</v>
      </c>
      <c r="Z328" s="14" t="str">
        <f>IFERROR(__xludf.DUMMYFUNCTION("""COMPUTED_VALUE"""),"Africa")</f>
        <v>Africa</v>
      </c>
      <c r="AA328" s="14" t="str">
        <f>IFERROR(__xludf.DUMMYFUNCTION("""COMPUTED_VALUE"""),"2001")</f>
        <v>2001</v>
      </c>
      <c r="AB328" s="15" t="str">
        <f>IFERROR(__xludf.DUMMYFUNCTION("ARRAYFORMULA(VLOOKUP(A328,IMPORTRANGE(""https://docs.google.com/spreadsheets/d/1BuTWp7qHGjWhqrnf-OmePP568O4A5Am9ttzvVdP67zw/edit#gid=1931367683"" ,""ENERGY!$A$2:$F$2692""), {2,3,4,5,6},0))"),"Africa")</f>
        <v>Africa</v>
      </c>
      <c r="AC328" s="14" t="str">
        <f>IFERROR(__xludf.DUMMYFUNCTION("""COMPUTED_VALUE"""),"Botswana-Africa")</f>
        <v>Botswana-Africa</v>
      </c>
      <c r="AD328" s="14" t="str">
        <f>IFERROR(__xludf.DUMMYFUNCTION("""COMPUTED_VALUE"""),"2001")</f>
        <v>2001</v>
      </c>
      <c r="AE328" s="14">
        <f>IFERROR(__xludf.DUMMYFUNCTION("""COMPUTED_VALUE"""),2215.0)</f>
        <v>2215</v>
      </c>
      <c r="AF328" s="14"/>
    </row>
    <row r="329">
      <c r="A329" s="12">
        <v>328.0</v>
      </c>
      <c r="B329" s="12" t="s">
        <v>104</v>
      </c>
      <c r="C329" s="5" t="s">
        <v>77</v>
      </c>
      <c r="D329" s="8"/>
      <c r="E329" s="8"/>
      <c r="F329" s="8"/>
      <c r="G329" s="8"/>
      <c r="H329" s="11">
        <v>0.034</v>
      </c>
      <c r="I329" s="11">
        <v>0.184</v>
      </c>
      <c r="J329" s="9" t="s">
        <v>63</v>
      </c>
      <c r="K329" s="14" t="str">
        <f>IFERROR(__xludf.DUMMYFUNCTION("ARRAYFORMULA(VLOOKUP(A329,IMPORTRANGE(""https://docs.google.com/spreadsheets/d/1BuTWp7qHGjWhqrnf-OmePP568O4A5Am9ttzvVdP67zw/edit#gid=1603210130"", ""TOURISM!$A$2:$F$2692""), {2,3,4,5,6},0))"),"Africa")</f>
        <v>Africa</v>
      </c>
      <c r="L329" s="14">
        <f>IFERROR(__xludf.DUMMYFUNCTION("""COMPUTED_VALUE"""),3.24E8)</f>
        <v>324000000</v>
      </c>
      <c r="M329" s="14" t="str">
        <f>IFERROR(__xludf.DUMMYFUNCTION("""COMPUTED_VALUE"""),"Botswana-Africa")</f>
        <v>Botswana-Africa</v>
      </c>
      <c r="N329" s="14" t="str">
        <f>IFERROR(__xludf.DUMMYFUNCTION("""COMPUTED_VALUE"""),"2002")</f>
        <v>2002</v>
      </c>
      <c r="O329" s="14">
        <f>IFERROR(__xludf.DUMMYFUNCTION("""COMPUTED_VALUE"""),1.97E8)</f>
        <v>197000000</v>
      </c>
      <c r="P329" s="15">
        <f>IFERROR(__xludf.DUMMYFUNCTION("ARRAYFORMULA(VLOOKUP(A329,IMPORTRANGE(""https://docs.google.com/spreadsheets/d/1BuTWp7qHGjWhqrnf-OmePP568O4A5Am9ttzvVdP67zw/edit#gid=771602874"" ,""HUMAN RESOURCES!$A$2:$M$2692""), {2,3,4,5,6,7,8,9,10,11,12,13},0))"),0.026)</f>
        <v>0.026</v>
      </c>
      <c r="Q329" s="14">
        <f>IFERROR(__xludf.DUMMYFUNCTION("""COMPUTED_VALUE"""),0.054)</f>
        <v>0.054</v>
      </c>
      <c r="R329" s="14">
        <f>IFERROR(__xludf.DUMMYFUNCTION("""COMPUTED_VALUE"""),49.0)</f>
        <v>49</v>
      </c>
      <c r="S329" s="14">
        <f>IFERROR(__xludf.DUMMYFUNCTION("""COMPUTED_VALUE"""),48.0)</f>
        <v>48</v>
      </c>
      <c r="T329" s="14">
        <f>IFERROR(__xludf.DUMMYFUNCTION("""COMPUTED_VALUE"""),0.372)</f>
        <v>0.372</v>
      </c>
      <c r="U329" s="14">
        <f>IFERROR(__xludf.DUMMYFUNCTION("""COMPUTED_VALUE"""),0.598)</f>
        <v>0.598</v>
      </c>
      <c r="V329" s="14">
        <f>IFERROR(__xludf.DUMMYFUNCTION("""COMPUTED_VALUE"""),0.03)</f>
        <v>0.03</v>
      </c>
      <c r="W329" s="14">
        <f>IFERROR(__xludf.DUMMYFUNCTION("""COMPUTED_VALUE"""),1808976.0)</f>
        <v>1808976</v>
      </c>
      <c r="X329" s="14">
        <f>IFERROR(__xludf.DUMMYFUNCTION("""COMPUTED_VALUE"""),0.544)</f>
        <v>0.544</v>
      </c>
      <c r="Y329" s="14" t="str">
        <f>IFERROR(__xludf.DUMMYFUNCTION("""COMPUTED_VALUE"""),"Botswana-Africa")</f>
        <v>Botswana-Africa</v>
      </c>
      <c r="Z329" s="14" t="str">
        <f>IFERROR(__xludf.DUMMYFUNCTION("""COMPUTED_VALUE"""),"Africa")</f>
        <v>Africa</v>
      </c>
      <c r="AA329" s="14" t="str">
        <f>IFERROR(__xludf.DUMMYFUNCTION("""COMPUTED_VALUE"""),"2002")</f>
        <v>2002</v>
      </c>
      <c r="AB329" s="15" t="str">
        <f>IFERROR(__xludf.DUMMYFUNCTION("ARRAYFORMULA(VLOOKUP(A329,IMPORTRANGE(""https://docs.google.com/spreadsheets/d/1BuTWp7qHGjWhqrnf-OmePP568O4A5Am9ttzvVdP67zw/edit#gid=1931367683"" ,""ENERGY!$A$2:$F$2692""), {2,3,4,5,6},0))"),"Africa")</f>
        <v>Africa</v>
      </c>
      <c r="AC329" s="14" t="str">
        <f>IFERROR(__xludf.DUMMYFUNCTION("""COMPUTED_VALUE"""),"Botswana-Africa")</f>
        <v>Botswana-Africa</v>
      </c>
      <c r="AD329" s="14" t="str">
        <f>IFERROR(__xludf.DUMMYFUNCTION("""COMPUTED_VALUE"""),"2002")</f>
        <v>2002</v>
      </c>
      <c r="AE329" s="14">
        <f>IFERROR(__xludf.DUMMYFUNCTION("""COMPUTED_VALUE"""),2263.0)</f>
        <v>2263</v>
      </c>
      <c r="AF329" s="14">
        <f>IFERROR(__xludf.DUMMYFUNCTION("""COMPUTED_VALUE"""),5233.0)</f>
        <v>5233</v>
      </c>
    </row>
    <row r="330">
      <c r="A330" s="12">
        <v>329.0</v>
      </c>
      <c r="B330" s="12" t="s">
        <v>104</v>
      </c>
      <c r="C330" s="5" t="s">
        <v>77</v>
      </c>
      <c r="D330" s="8"/>
      <c r="E330" s="11">
        <v>107.0</v>
      </c>
      <c r="F330" s="8"/>
      <c r="G330" s="8"/>
      <c r="H330" s="11">
        <v>0.033</v>
      </c>
      <c r="I330" s="11">
        <v>0.243</v>
      </c>
      <c r="J330" s="9" t="s">
        <v>64</v>
      </c>
      <c r="K330" s="14" t="str">
        <f>IFERROR(__xludf.DUMMYFUNCTION("ARRAYFORMULA(VLOOKUP(A330,IMPORTRANGE(""https://docs.google.com/spreadsheets/d/1BuTWp7qHGjWhqrnf-OmePP568O4A5Am9ttzvVdP67zw/edit#gid=1603210130"", ""TOURISM!$A$2:$F$2692""), {2,3,4,5,6},0))"),"Africa")</f>
        <v>Africa</v>
      </c>
      <c r="L330" s="14">
        <f>IFERROR(__xludf.DUMMYFUNCTION("""COMPUTED_VALUE"""),4.59E8)</f>
        <v>459000000</v>
      </c>
      <c r="M330" s="14" t="str">
        <f>IFERROR(__xludf.DUMMYFUNCTION("""COMPUTED_VALUE"""),"Botswana-Africa")</f>
        <v>Botswana-Africa</v>
      </c>
      <c r="N330" s="14" t="str">
        <f>IFERROR(__xludf.DUMMYFUNCTION("""COMPUTED_VALUE"""),"2003")</f>
        <v>2003</v>
      </c>
      <c r="O330" s="14">
        <f>IFERROR(__xludf.DUMMYFUNCTION("""COMPUTED_VALUE"""),2.35E8)</f>
        <v>235000000</v>
      </c>
      <c r="P330" s="15">
        <f>IFERROR(__xludf.DUMMYFUNCTION("ARRAYFORMULA(VLOOKUP(A330,IMPORTRANGE(""https://docs.google.com/spreadsheets/d/1BuTWp7qHGjWhqrnf-OmePP568O4A5Am9ttzvVdP67zw/edit#gid=771602874"" ,""HUMAN RESOURCES!$A$2:$M$2692""), {2,3,4,5,6,7,8,9,10,11,12,13},0))"),0.026)</f>
        <v>0.026</v>
      </c>
      <c r="Q330" s="14">
        <f>IFERROR(__xludf.DUMMYFUNCTION("""COMPUTED_VALUE"""),0.051)</f>
        <v>0.051</v>
      </c>
      <c r="R330" s="14">
        <f>IFERROR(__xludf.DUMMYFUNCTION("""COMPUTED_VALUE"""),48.0)</f>
        <v>48</v>
      </c>
      <c r="S330" s="14">
        <f>IFERROR(__xludf.DUMMYFUNCTION("""COMPUTED_VALUE"""),47.0)</f>
        <v>47</v>
      </c>
      <c r="T330" s="14">
        <f>IFERROR(__xludf.DUMMYFUNCTION("""COMPUTED_VALUE"""),0.367)</f>
        <v>0.367</v>
      </c>
      <c r="U330" s="14">
        <f>IFERROR(__xludf.DUMMYFUNCTION("""COMPUTED_VALUE"""),0.602)</f>
        <v>0.602</v>
      </c>
      <c r="V330" s="14">
        <f>IFERROR(__xludf.DUMMYFUNCTION("""COMPUTED_VALUE"""),0.031)</f>
        <v>0.031</v>
      </c>
      <c r="W330" s="14">
        <f>IFERROR(__xludf.DUMMYFUNCTION("""COMPUTED_VALUE"""),1832602.0)</f>
        <v>1832602</v>
      </c>
      <c r="X330" s="14">
        <f>IFERROR(__xludf.DUMMYFUNCTION("""COMPUTED_VALUE"""),0.546)</f>
        <v>0.546</v>
      </c>
      <c r="Y330" s="14" t="str">
        <f>IFERROR(__xludf.DUMMYFUNCTION("""COMPUTED_VALUE"""),"Botswana-Africa")</f>
        <v>Botswana-Africa</v>
      </c>
      <c r="Z330" s="14" t="str">
        <f>IFERROR(__xludf.DUMMYFUNCTION("""COMPUTED_VALUE"""),"Africa")</f>
        <v>Africa</v>
      </c>
      <c r="AA330" s="14" t="str">
        <f>IFERROR(__xludf.DUMMYFUNCTION("""COMPUTED_VALUE"""),"2003")</f>
        <v>2003</v>
      </c>
      <c r="AB330" s="15" t="str">
        <f>IFERROR(__xludf.DUMMYFUNCTION("ARRAYFORMULA(VLOOKUP(A330,IMPORTRANGE(""https://docs.google.com/spreadsheets/d/1BuTWp7qHGjWhqrnf-OmePP568O4A5Am9ttzvVdP67zw/edit#gid=1931367683"" ,""ENERGY!$A$2:$F$2692""), {2,3,4,5,6},0))"),"Africa")</f>
        <v>Africa</v>
      </c>
      <c r="AC330" s="14" t="str">
        <f>IFERROR(__xludf.DUMMYFUNCTION("""COMPUTED_VALUE"""),"Botswana-Africa")</f>
        <v>Botswana-Africa</v>
      </c>
      <c r="AD330" s="14" t="str">
        <f>IFERROR(__xludf.DUMMYFUNCTION("""COMPUTED_VALUE"""),"2003")</f>
        <v>2003</v>
      </c>
      <c r="AE330" s="14">
        <f>IFERROR(__xludf.DUMMYFUNCTION("""COMPUTED_VALUE"""),2023.0)</f>
        <v>2023</v>
      </c>
      <c r="AF330" s="14">
        <f>IFERROR(__xludf.DUMMYFUNCTION("""COMPUTED_VALUE"""),4397.0)</f>
        <v>4397</v>
      </c>
    </row>
    <row r="331">
      <c r="A331" s="12">
        <v>330.0</v>
      </c>
      <c r="B331" s="12" t="s">
        <v>104</v>
      </c>
      <c r="C331" s="5" t="s">
        <v>77</v>
      </c>
      <c r="D331" s="8"/>
      <c r="E331" s="11">
        <v>107.0</v>
      </c>
      <c r="F331" s="8"/>
      <c r="G331" s="8"/>
      <c r="H331" s="11">
        <v>0.033</v>
      </c>
      <c r="I331" s="11">
        <v>0.282</v>
      </c>
      <c r="J331" s="9" t="s">
        <v>65</v>
      </c>
      <c r="K331" s="14" t="str">
        <f>IFERROR(__xludf.DUMMYFUNCTION("ARRAYFORMULA(VLOOKUP(A331,IMPORTRANGE(""https://docs.google.com/spreadsheets/d/1BuTWp7qHGjWhqrnf-OmePP568O4A5Am9ttzvVdP67zw/edit#gid=1603210130"", ""TOURISM!$A$2:$F$2692""), {2,3,4,5,6},0))"),"Africa")</f>
        <v>Africa</v>
      </c>
      <c r="L331" s="14">
        <f>IFERROR(__xludf.DUMMYFUNCTION("""COMPUTED_VALUE"""),5.82E8)</f>
        <v>582000000</v>
      </c>
      <c r="M331" s="14" t="str">
        <f>IFERROR(__xludf.DUMMYFUNCTION("""COMPUTED_VALUE"""),"Botswana-Africa")</f>
        <v>Botswana-Africa</v>
      </c>
      <c r="N331" s="14" t="str">
        <f>IFERROR(__xludf.DUMMYFUNCTION("""COMPUTED_VALUE"""),"2004")</f>
        <v>2004</v>
      </c>
      <c r="O331" s="14">
        <f>IFERROR(__xludf.DUMMYFUNCTION("""COMPUTED_VALUE"""),2.8E8)</f>
        <v>280000000</v>
      </c>
      <c r="P331" s="15">
        <f>IFERROR(__xludf.DUMMYFUNCTION("ARRAYFORMULA(VLOOKUP(A331,IMPORTRANGE(""https://docs.google.com/spreadsheets/d/1BuTWp7qHGjWhqrnf-OmePP568O4A5Am9ttzvVdP67zw/edit#gid=771602874"" ,""HUMAN RESOURCES!$A$2:$M$2692""), {2,3,4,5,6,7,8,9,10,11,12,13},0))"),0.026)</f>
        <v>0.026</v>
      </c>
      <c r="Q331" s="14">
        <f>IFERROR(__xludf.DUMMYFUNCTION("""COMPUTED_VALUE"""),0.046)</f>
        <v>0.046</v>
      </c>
      <c r="R331" s="14">
        <f>IFERROR(__xludf.DUMMYFUNCTION("""COMPUTED_VALUE"""),48.0)</f>
        <v>48</v>
      </c>
      <c r="S331" s="14">
        <f>IFERROR(__xludf.DUMMYFUNCTION("""COMPUTED_VALUE"""),47.0)</f>
        <v>47</v>
      </c>
      <c r="T331" s="14">
        <f>IFERROR(__xludf.DUMMYFUNCTION("""COMPUTED_VALUE"""),0.362)</f>
        <v>0.362</v>
      </c>
      <c r="U331" s="14">
        <f>IFERROR(__xludf.DUMMYFUNCTION("""COMPUTED_VALUE"""),0.607)</f>
        <v>0.607</v>
      </c>
      <c r="V331" s="14">
        <f>IFERROR(__xludf.DUMMYFUNCTION("""COMPUTED_VALUE"""),0.032)</f>
        <v>0.032</v>
      </c>
      <c r="W331" s="14">
        <f>IFERROR(__xludf.DUMMYFUNCTION("""COMPUTED_VALUE"""),1854739.0)</f>
        <v>1854739</v>
      </c>
      <c r="X331" s="14">
        <f>IFERROR(__xludf.DUMMYFUNCTION("""COMPUTED_VALUE"""),0.548)</f>
        <v>0.548</v>
      </c>
      <c r="Y331" s="14" t="str">
        <f>IFERROR(__xludf.DUMMYFUNCTION("""COMPUTED_VALUE"""),"Botswana-Africa")</f>
        <v>Botswana-Africa</v>
      </c>
      <c r="Z331" s="14" t="str">
        <f>IFERROR(__xludf.DUMMYFUNCTION("""COMPUTED_VALUE"""),"Africa")</f>
        <v>Africa</v>
      </c>
      <c r="AA331" s="14" t="str">
        <f>IFERROR(__xludf.DUMMYFUNCTION("""COMPUTED_VALUE"""),"2004")</f>
        <v>2004</v>
      </c>
      <c r="AB331" s="15" t="str">
        <f>IFERROR(__xludf.DUMMYFUNCTION("ARRAYFORMULA(VLOOKUP(A331,IMPORTRANGE(""https://docs.google.com/spreadsheets/d/1BuTWp7qHGjWhqrnf-OmePP568O4A5Am9ttzvVdP67zw/edit#gid=1931367683"" ,""ENERGY!$A$2:$F$2692""), {2,3,4,5,6},0))"),"Africa")</f>
        <v>Africa</v>
      </c>
      <c r="AC331" s="14" t="str">
        <f>IFERROR(__xludf.DUMMYFUNCTION("""COMPUTED_VALUE"""),"Botswana-Africa")</f>
        <v>Botswana-Africa</v>
      </c>
      <c r="AD331" s="14" t="str">
        <f>IFERROR(__xludf.DUMMYFUNCTION("""COMPUTED_VALUE"""),"2004")</f>
        <v>2004</v>
      </c>
      <c r="AE331" s="14">
        <f>IFERROR(__xludf.DUMMYFUNCTION("""COMPUTED_VALUE"""),2151.0)</f>
        <v>2151</v>
      </c>
      <c r="AF331" s="14">
        <f>IFERROR(__xludf.DUMMYFUNCTION("""COMPUTED_VALUE"""),4980.0)</f>
        <v>4980</v>
      </c>
    </row>
    <row r="332">
      <c r="A332" s="12">
        <v>331.0</v>
      </c>
      <c r="B332" s="12" t="s">
        <v>104</v>
      </c>
      <c r="C332" s="5" t="s">
        <v>77</v>
      </c>
      <c r="D332" s="11">
        <v>0.171</v>
      </c>
      <c r="E332" s="11">
        <v>107.0</v>
      </c>
      <c r="F332" s="8"/>
      <c r="G332" s="11">
        <v>140.0</v>
      </c>
      <c r="H332" s="11">
        <v>0.033</v>
      </c>
      <c r="I332" s="11">
        <v>0.301</v>
      </c>
      <c r="J332" s="9" t="s">
        <v>66</v>
      </c>
      <c r="K332" s="14" t="str">
        <f>IFERROR(__xludf.DUMMYFUNCTION("ARRAYFORMULA(VLOOKUP(A332,IMPORTRANGE(""https://docs.google.com/spreadsheets/d/1BuTWp7qHGjWhqrnf-OmePP568O4A5Am9ttzvVdP67zw/edit#gid=1603210130"", ""TOURISM!$A$2:$F$2692""), {2,3,4,5,6},0))"),"Africa")</f>
        <v>Africa</v>
      </c>
      <c r="L332" s="14">
        <f>IFERROR(__xludf.DUMMYFUNCTION("""COMPUTED_VALUE"""),5.63E8)</f>
        <v>563000000</v>
      </c>
      <c r="M332" s="14" t="str">
        <f>IFERROR(__xludf.DUMMYFUNCTION("""COMPUTED_VALUE"""),"Botswana-Africa")</f>
        <v>Botswana-Africa</v>
      </c>
      <c r="N332" s="14" t="str">
        <f>IFERROR(__xludf.DUMMYFUNCTION("""COMPUTED_VALUE"""),"2005")</f>
        <v>2005</v>
      </c>
      <c r="O332" s="14">
        <f>IFERROR(__xludf.DUMMYFUNCTION("""COMPUTED_VALUE"""),3.01E8)</f>
        <v>301000000</v>
      </c>
      <c r="P332" s="15">
        <f>IFERROR(__xludf.DUMMYFUNCTION("ARRAYFORMULA(VLOOKUP(A332,IMPORTRANGE(""https://docs.google.com/spreadsheets/d/1BuTWp7qHGjWhqrnf-OmePP568O4A5Am9ttzvVdP67zw/edit#gid=771602874"" ,""HUMAN RESOURCES!$A$2:$M$2692""), {2,3,4,5,6,7,8,9,10,11,12,13},0))"),0.025)</f>
        <v>0.025</v>
      </c>
      <c r="Q332" s="14">
        <f>IFERROR(__xludf.DUMMYFUNCTION("""COMPUTED_VALUE"""),0.043)</f>
        <v>0.043</v>
      </c>
      <c r="R332" s="14">
        <f>IFERROR(__xludf.DUMMYFUNCTION("""COMPUTED_VALUE"""),47.0)</f>
        <v>47</v>
      </c>
      <c r="S332" s="14">
        <f>IFERROR(__xludf.DUMMYFUNCTION("""COMPUTED_VALUE"""),46.0)</f>
        <v>46</v>
      </c>
      <c r="T332" s="14">
        <f>IFERROR(__xludf.DUMMYFUNCTION("""COMPUTED_VALUE"""),0.358)</f>
        <v>0.358</v>
      </c>
      <c r="U332" s="14">
        <f>IFERROR(__xludf.DUMMYFUNCTION("""COMPUTED_VALUE"""),0.61)</f>
        <v>0.61</v>
      </c>
      <c r="V332" s="14">
        <f>IFERROR(__xludf.DUMMYFUNCTION("""COMPUTED_VALUE"""),0.032)</f>
        <v>0.032</v>
      </c>
      <c r="W332" s="14">
        <f>IFERROR(__xludf.DUMMYFUNCTION("""COMPUTED_VALUE"""),1875805.0)</f>
        <v>1875805</v>
      </c>
      <c r="X332" s="14">
        <f>IFERROR(__xludf.DUMMYFUNCTION("""COMPUTED_VALUE"""),0.551)</f>
        <v>0.551</v>
      </c>
      <c r="Y332" s="14" t="str">
        <f>IFERROR(__xludf.DUMMYFUNCTION("""COMPUTED_VALUE"""),"Botswana-Africa")</f>
        <v>Botswana-Africa</v>
      </c>
      <c r="Z332" s="14" t="str">
        <f>IFERROR(__xludf.DUMMYFUNCTION("""COMPUTED_VALUE"""),"Africa")</f>
        <v>Africa</v>
      </c>
      <c r="AA332" s="14" t="str">
        <f>IFERROR(__xludf.DUMMYFUNCTION("""COMPUTED_VALUE"""),"2005")</f>
        <v>2005</v>
      </c>
      <c r="AB332" s="15" t="str">
        <f>IFERROR(__xludf.DUMMYFUNCTION("ARRAYFORMULA(VLOOKUP(A332,IMPORTRANGE(""https://docs.google.com/spreadsheets/d/1BuTWp7qHGjWhqrnf-OmePP568O4A5Am9ttzvVdP67zw/edit#gid=1931367683"" ,""ENERGY!$A$2:$F$2692""), {2,3,4,5,6},0))"),"Africa")</f>
        <v>Africa</v>
      </c>
      <c r="AC332" s="14" t="str">
        <f>IFERROR(__xludf.DUMMYFUNCTION("""COMPUTED_VALUE"""),"Botswana-Africa")</f>
        <v>Botswana-Africa</v>
      </c>
      <c r="AD332" s="14" t="str">
        <f>IFERROR(__xludf.DUMMYFUNCTION("""COMPUTED_VALUE"""),"2006")</f>
        <v>2006</v>
      </c>
      <c r="AE332" s="14">
        <f>IFERROR(__xludf.DUMMYFUNCTION("""COMPUTED_VALUE"""),2033.0)</f>
        <v>2033</v>
      </c>
      <c r="AF332" s="14">
        <f>IFERROR(__xludf.DUMMYFUNCTION("""COMPUTED_VALUE"""),4701.0)</f>
        <v>4701</v>
      </c>
    </row>
    <row r="333">
      <c r="A333" s="12">
        <v>332.0</v>
      </c>
      <c r="B333" s="12" t="s">
        <v>104</v>
      </c>
      <c r="C333" s="5" t="s">
        <v>77</v>
      </c>
      <c r="D333" s="11">
        <v>0.171</v>
      </c>
      <c r="E333" s="11">
        <v>107.0</v>
      </c>
      <c r="F333" s="8"/>
      <c r="G333" s="11">
        <v>140.0</v>
      </c>
      <c r="H333" s="11">
        <v>0.043</v>
      </c>
      <c r="I333" s="11">
        <v>0.434</v>
      </c>
      <c r="J333" s="9" t="s">
        <v>67</v>
      </c>
      <c r="K333" s="14" t="str">
        <f>IFERROR(__xludf.DUMMYFUNCTION("ARRAYFORMULA(VLOOKUP(A333,IMPORTRANGE(""https://docs.google.com/spreadsheets/d/1BuTWp7qHGjWhqrnf-OmePP568O4A5Am9ttzvVdP67zw/edit#gid=1603210130"", ""TOURISM!$A$2:$F$2692""), {2,3,4,5,6},0))"),"Africa")</f>
        <v>Africa</v>
      </c>
      <c r="L333" s="14">
        <f>IFERROR(__xludf.DUMMYFUNCTION("""COMPUTED_VALUE"""),5.39E8)</f>
        <v>539000000</v>
      </c>
      <c r="M333" s="14" t="str">
        <f>IFERROR(__xludf.DUMMYFUNCTION("""COMPUTED_VALUE"""),"Botswana-Africa")</f>
        <v>Botswana-Africa</v>
      </c>
      <c r="N333" s="14" t="str">
        <f>IFERROR(__xludf.DUMMYFUNCTION("""COMPUTED_VALUE"""),"2006")</f>
        <v>2006</v>
      </c>
      <c r="O333" s="14">
        <f>IFERROR(__xludf.DUMMYFUNCTION("""COMPUTED_VALUE"""),2.85E8)</f>
        <v>285000000</v>
      </c>
      <c r="P333" s="15">
        <f>IFERROR(__xludf.DUMMYFUNCTION("ARRAYFORMULA(VLOOKUP(A333,IMPORTRANGE(""https://docs.google.com/spreadsheets/d/1BuTWp7qHGjWhqrnf-OmePP568O4A5Am9ttzvVdP67zw/edit#gid=771602874"" ,""HUMAN RESOURCES!$A$2:$M$2692""), {2,3,4,5,6,7,8,9,10,11,12,13},0))"),0.025)</f>
        <v>0.025</v>
      </c>
      <c r="Q333" s="14">
        <f>IFERROR(__xludf.DUMMYFUNCTION("""COMPUTED_VALUE"""),0.043)</f>
        <v>0.043</v>
      </c>
      <c r="R333" s="14">
        <f>IFERROR(__xludf.DUMMYFUNCTION("""COMPUTED_VALUE"""),47.0)</f>
        <v>47</v>
      </c>
      <c r="S333" s="14">
        <f>IFERROR(__xludf.DUMMYFUNCTION("""COMPUTED_VALUE"""),46.0)</f>
        <v>46</v>
      </c>
      <c r="T333" s="14">
        <f>IFERROR(__xludf.DUMMYFUNCTION("""COMPUTED_VALUE"""),0.354)</f>
        <v>0.354</v>
      </c>
      <c r="U333" s="14">
        <f>IFERROR(__xludf.DUMMYFUNCTION("""COMPUTED_VALUE"""),0.613)</f>
        <v>0.613</v>
      </c>
      <c r="V333" s="14">
        <f>IFERROR(__xludf.DUMMYFUNCTION("""COMPUTED_VALUE"""),0.033)</f>
        <v>0.033</v>
      </c>
      <c r="W333" s="14">
        <f>IFERROR(__xludf.DUMMYFUNCTION("""COMPUTED_VALUE"""),1895944.0)</f>
        <v>1895944</v>
      </c>
      <c r="X333" s="14">
        <f>IFERROR(__xludf.DUMMYFUNCTION("""COMPUTED_VALUE"""),0.553)</f>
        <v>0.553</v>
      </c>
      <c r="Y333" s="14" t="str">
        <f>IFERROR(__xludf.DUMMYFUNCTION("""COMPUTED_VALUE"""),"Botswana-Africa")</f>
        <v>Botswana-Africa</v>
      </c>
      <c r="Z333" s="14" t="str">
        <f>IFERROR(__xludf.DUMMYFUNCTION("""COMPUTED_VALUE"""),"Africa")</f>
        <v>Africa</v>
      </c>
      <c r="AA333" s="14" t="str">
        <f>IFERROR(__xludf.DUMMYFUNCTION("""COMPUTED_VALUE"""),"2006")</f>
        <v>2006</v>
      </c>
      <c r="AB333" s="15" t="str">
        <f>IFERROR(__xludf.DUMMYFUNCTION("ARRAYFORMULA(VLOOKUP(A333,IMPORTRANGE(""https://docs.google.com/spreadsheets/d/1BuTWp7qHGjWhqrnf-OmePP568O4A5Am9ttzvVdP67zw/edit#gid=1931367683"" ,""ENERGY!$A$2:$F$2692""), {2,3,4,5,6},0))"),"Africa")</f>
        <v>Africa</v>
      </c>
      <c r="AC333" s="14" t="str">
        <f>IFERROR(__xludf.DUMMYFUNCTION("""COMPUTED_VALUE"""),"Botswana-Africa")</f>
        <v>Botswana-Africa</v>
      </c>
      <c r="AD333" s="14" t="str">
        <f>IFERROR(__xludf.DUMMYFUNCTION("""COMPUTED_VALUE"""),"2010")</f>
        <v>2010</v>
      </c>
      <c r="AE333" s="14">
        <f>IFERROR(__xludf.DUMMYFUNCTION("""COMPUTED_VALUE"""),1956.0)</f>
        <v>1956</v>
      </c>
      <c r="AF333" s="14">
        <f>IFERROR(__xludf.DUMMYFUNCTION("""COMPUTED_VALUE"""),4646.0)</f>
        <v>4646</v>
      </c>
    </row>
    <row r="334">
      <c r="A334" s="12">
        <v>333.0</v>
      </c>
      <c r="B334" s="12" t="s">
        <v>104</v>
      </c>
      <c r="C334" s="5" t="s">
        <v>77</v>
      </c>
      <c r="D334" s="11">
        <v>0.171</v>
      </c>
      <c r="E334" s="11">
        <v>107.0</v>
      </c>
      <c r="F334" s="8"/>
      <c r="G334" s="11">
        <v>140.0</v>
      </c>
      <c r="H334" s="11">
        <v>0.053</v>
      </c>
      <c r="I334" s="11">
        <v>0.601</v>
      </c>
      <c r="J334" s="9" t="s">
        <v>68</v>
      </c>
      <c r="K334" s="14" t="str">
        <f>IFERROR(__xludf.DUMMYFUNCTION("ARRAYFORMULA(VLOOKUP(A334,IMPORTRANGE(""https://docs.google.com/spreadsheets/d/1BuTWp7qHGjWhqrnf-OmePP568O4A5Am9ttzvVdP67zw/edit#gid=1603210130"", ""TOURISM!$A$2:$F$2692""), {2,3,4,5,6},0))"),"Africa")</f>
        <v>Africa</v>
      </c>
      <c r="L334" s="14">
        <f>IFERROR(__xludf.DUMMYFUNCTION("""COMPUTED_VALUE"""),5.48E8)</f>
        <v>548000000</v>
      </c>
      <c r="M334" s="14" t="str">
        <f>IFERROR(__xludf.DUMMYFUNCTION("""COMPUTED_VALUE"""),"Botswana-Africa")</f>
        <v>Botswana-Africa</v>
      </c>
      <c r="N334" s="14" t="str">
        <f>IFERROR(__xludf.DUMMYFUNCTION("""COMPUTED_VALUE"""),"2007")</f>
        <v>2007</v>
      </c>
      <c r="O334" s="14">
        <f>IFERROR(__xludf.DUMMYFUNCTION("""COMPUTED_VALUE"""),2.84E8)</f>
        <v>284000000</v>
      </c>
      <c r="P334" s="15">
        <f>IFERROR(__xludf.DUMMYFUNCTION("ARRAYFORMULA(VLOOKUP(A334,IMPORTRANGE(""https://docs.google.com/spreadsheets/d/1BuTWp7qHGjWhqrnf-OmePP568O4A5Am9ttzvVdP67zw/edit#gid=771602874"" ,""HUMAN RESOURCES!$A$2:$M$2692""), {2,3,4,5,6,7,8,9,10,11,12,13},0))"),0.025)</f>
        <v>0.025</v>
      </c>
      <c r="Q334" s="14">
        <f>IFERROR(__xludf.DUMMYFUNCTION("""COMPUTED_VALUE"""),0.043)</f>
        <v>0.043</v>
      </c>
      <c r="R334" s="14">
        <f>IFERROR(__xludf.DUMMYFUNCTION("""COMPUTED_VALUE"""),46.0)</f>
        <v>46</v>
      </c>
      <c r="S334" s="14">
        <f>IFERROR(__xludf.DUMMYFUNCTION("""COMPUTED_VALUE"""),46.0)</f>
        <v>46</v>
      </c>
      <c r="T334" s="14">
        <f>IFERROR(__xludf.DUMMYFUNCTION("""COMPUTED_VALUE"""),0.351)</f>
        <v>0.351</v>
      </c>
      <c r="U334" s="14">
        <f>IFERROR(__xludf.DUMMYFUNCTION("""COMPUTED_VALUE"""),0.616)</f>
        <v>0.616</v>
      </c>
      <c r="V334" s="14">
        <f>IFERROR(__xludf.DUMMYFUNCTION("""COMPUTED_VALUE"""),0.033)</f>
        <v>0.033</v>
      </c>
      <c r="W334" s="14">
        <f>IFERROR(__xludf.DUMMYFUNCTION("""COMPUTED_VALUE"""),1915187.0)</f>
        <v>1915187</v>
      </c>
      <c r="X334" s="14">
        <f>IFERROR(__xludf.DUMMYFUNCTION("""COMPUTED_VALUE"""),0.555)</f>
        <v>0.555</v>
      </c>
      <c r="Y334" s="14" t="str">
        <f>IFERROR(__xludf.DUMMYFUNCTION("""COMPUTED_VALUE"""),"Botswana-Africa")</f>
        <v>Botswana-Africa</v>
      </c>
      <c r="Z334" s="14" t="str">
        <f>IFERROR(__xludf.DUMMYFUNCTION("""COMPUTED_VALUE"""),"Africa")</f>
        <v>Africa</v>
      </c>
      <c r="AA334" s="14" t="str">
        <f>IFERROR(__xludf.DUMMYFUNCTION("""COMPUTED_VALUE"""),"2007")</f>
        <v>2007</v>
      </c>
      <c r="AB334" s="15" t="str">
        <f>IFERROR(__xludf.DUMMYFUNCTION("ARRAYFORMULA(VLOOKUP(A334,IMPORTRANGE(""https://docs.google.com/spreadsheets/d/1BuTWp7qHGjWhqrnf-OmePP568O4A5Am9ttzvVdP67zw/edit#gid=1931367683"" ,""ENERGY!$A$2:$F$2692""), {2,3,4,5,6},0))"),"Africa")</f>
        <v>Africa</v>
      </c>
      <c r="AC334" s="14" t="str">
        <f>IFERROR(__xludf.DUMMYFUNCTION("""COMPUTED_VALUE"""),"Botswana-Africa")</f>
        <v>Botswana-Africa</v>
      </c>
      <c r="AD334" s="14" t="str">
        <f>IFERROR(__xludf.DUMMYFUNCTION("""COMPUTED_VALUE"""),"2006")</f>
        <v>2006</v>
      </c>
      <c r="AE334" s="14">
        <f>IFERROR(__xludf.DUMMYFUNCTION("""COMPUTED_VALUE"""),1929.0)</f>
        <v>1929</v>
      </c>
      <c r="AF334" s="14">
        <f>IFERROR(__xludf.DUMMYFUNCTION("""COMPUTED_VALUE"""),4613.0)</f>
        <v>4613</v>
      </c>
    </row>
    <row r="335">
      <c r="A335" s="12">
        <v>334.0</v>
      </c>
      <c r="B335" s="12" t="s">
        <v>104</v>
      </c>
      <c r="C335" s="5" t="s">
        <v>77</v>
      </c>
      <c r="D335" s="11">
        <v>0.171</v>
      </c>
      <c r="E335" s="11">
        <v>77.0</v>
      </c>
      <c r="F335" s="8"/>
      <c r="G335" s="11">
        <v>140.0</v>
      </c>
      <c r="H335" s="11">
        <v>0.063</v>
      </c>
      <c r="I335" s="11">
        <v>0.768</v>
      </c>
      <c r="J335" s="9" t="s">
        <v>69</v>
      </c>
      <c r="K335" s="14" t="str">
        <f>IFERROR(__xludf.DUMMYFUNCTION("ARRAYFORMULA(VLOOKUP(A335,IMPORTRANGE(""https://docs.google.com/spreadsheets/d/1BuTWp7qHGjWhqrnf-OmePP568O4A5Am9ttzvVdP67zw/edit#gid=1603210130"", ""TOURISM!$A$2:$F$2692""), {2,3,4,5,6},0))"),"Africa")</f>
        <v>Africa</v>
      </c>
      <c r="L335" s="14">
        <f>IFERROR(__xludf.DUMMYFUNCTION("""COMPUTED_VALUE"""),5.9E7)</f>
        <v>59000000</v>
      </c>
      <c r="M335" s="14" t="str">
        <f>IFERROR(__xludf.DUMMYFUNCTION("""COMPUTED_VALUE"""),"Botswana-Africa")</f>
        <v>Botswana-Africa</v>
      </c>
      <c r="N335" s="14" t="str">
        <f>IFERROR(__xludf.DUMMYFUNCTION("""COMPUTED_VALUE"""),"2008")</f>
        <v>2008</v>
      </c>
      <c r="O335" s="14">
        <f>IFERROR(__xludf.DUMMYFUNCTION("""COMPUTED_VALUE"""),5.4E7)</f>
        <v>54000000</v>
      </c>
      <c r="P335" s="15">
        <f>IFERROR(__xludf.DUMMYFUNCTION("ARRAYFORMULA(VLOOKUP(A335,IMPORTRANGE(""https://docs.google.com/spreadsheets/d/1BuTWp7qHGjWhqrnf-OmePP568O4A5Am9ttzvVdP67zw/edit#gid=771602874"" ,""HUMAN RESOURCES!$A$2:$M$2692""), {2,3,4,5,6,7,8,9,10,11,12,13},0))"),0.025)</f>
        <v>0.025</v>
      </c>
      <c r="Q335" s="14">
        <f>IFERROR(__xludf.DUMMYFUNCTION("""COMPUTED_VALUE"""),0.043)</f>
        <v>0.043</v>
      </c>
      <c r="R335" s="14">
        <f>IFERROR(__xludf.DUMMYFUNCTION("""COMPUTED_VALUE"""),46.0)</f>
        <v>46</v>
      </c>
      <c r="S335" s="14">
        <f>IFERROR(__xludf.DUMMYFUNCTION("""COMPUTED_VALUE"""),46.0)</f>
        <v>46</v>
      </c>
      <c r="T335" s="14">
        <f>IFERROR(__xludf.DUMMYFUNCTION("""COMPUTED_VALUE"""),0.348)</f>
        <v>0.348</v>
      </c>
      <c r="U335" s="14">
        <f>IFERROR(__xludf.DUMMYFUNCTION("""COMPUTED_VALUE"""),0.618)</f>
        <v>0.618</v>
      </c>
      <c r="V335" s="14">
        <f>IFERROR(__xludf.DUMMYFUNCTION("""COMPUTED_VALUE"""),0.034)</f>
        <v>0.034</v>
      </c>
      <c r="W335" s="14">
        <f>IFERROR(__xludf.DUMMYFUNCTION("""COMPUTED_VALUE"""),1933719.0)</f>
        <v>1933719</v>
      </c>
      <c r="X335" s="14">
        <f>IFERROR(__xludf.DUMMYFUNCTION("""COMPUTED_VALUE"""),0.558)</f>
        <v>0.558</v>
      </c>
      <c r="Y335" s="14" t="str">
        <f>IFERROR(__xludf.DUMMYFUNCTION("""COMPUTED_VALUE"""),"Botswana-Africa")</f>
        <v>Botswana-Africa</v>
      </c>
      <c r="Z335" s="14" t="str">
        <f>IFERROR(__xludf.DUMMYFUNCTION("""COMPUTED_VALUE"""),"Africa")</f>
        <v>Africa</v>
      </c>
      <c r="AA335" s="14" t="str">
        <f>IFERROR(__xludf.DUMMYFUNCTION("""COMPUTED_VALUE"""),"2008")</f>
        <v>2008</v>
      </c>
      <c r="AB335" s="15" t="str">
        <f>IFERROR(__xludf.DUMMYFUNCTION("ARRAYFORMULA(VLOOKUP(A335,IMPORTRANGE(""https://docs.google.com/spreadsheets/d/1BuTWp7qHGjWhqrnf-OmePP568O4A5Am9ttzvVdP67zw/edit#gid=1931367683"" ,""ENERGY!$A$2:$F$2692""), {2,3,4,5,6},0))"),"Africa")</f>
        <v>Africa</v>
      </c>
      <c r="AC335" s="14" t="str">
        <f>IFERROR(__xludf.DUMMYFUNCTION("""COMPUTED_VALUE"""),"Botswana-Africa")</f>
        <v>Botswana-Africa</v>
      </c>
      <c r="AD335" s="14" t="str">
        <f>IFERROR(__xludf.DUMMYFUNCTION("""COMPUTED_VALUE"""),"2012")</f>
        <v>2012</v>
      </c>
      <c r="AE335" s="14">
        <f>IFERROR(__xludf.DUMMYFUNCTION("""COMPUTED_VALUE"""),1857.0)</f>
        <v>1857</v>
      </c>
      <c r="AF335" s="14">
        <f>IFERROR(__xludf.DUMMYFUNCTION("""COMPUTED_VALUE"""),4378.0)</f>
        <v>4378</v>
      </c>
    </row>
    <row r="336">
      <c r="A336" s="12">
        <v>335.0</v>
      </c>
      <c r="B336" s="12" t="s">
        <v>104</v>
      </c>
      <c r="C336" s="5" t="s">
        <v>77</v>
      </c>
      <c r="D336" s="11">
        <v>0.17</v>
      </c>
      <c r="E336" s="11">
        <v>60.0</v>
      </c>
      <c r="F336" s="8"/>
      <c r="G336" s="11">
        <v>140.0</v>
      </c>
      <c r="H336" s="11">
        <v>0.062</v>
      </c>
      <c r="I336" s="11">
        <v>0.96</v>
      </c>
      <c r="J336" s="9" t="s">
        <v>70</v>
      </c>
      <c r="K336" s="14" t="str">
        <f>IFERROR(__xludf.DUMMYFUNCTION("ARRAYFORMULA(VLOOKUP(A336,IMPORTRANGE(""https://docs.google.com/spreadsheets/d/1BuTWp7qHGjWhqrnf-OmePP568O4A5Am9ttzvVdP67zw/edit#gid=1603210130"", ""TOURISM!$A$2:$F$2692""), {2,3,4,5,6},0))"),"Africa")</f>
        <v>Africa</v>
      </c>
      <c r="L336" s="14">
        <f>IFERROR(__xludf.DUMMYFUNCTION("""COMPUTED_VALUE"""),5.3E7)</f>
        <v>53000000</v>
      </c>
      <c r="M336" s="14" t="str">
        <f>IFERROR(__xludf.DUMMYFUNCTION("""COMPUTED_VALUE"""),"Botswana-Africa")</f>
        <v>Botswana-Africa</v>
      </c>
      <c r="N336" s="14" t="str">
        <f>IFERROR(__xludf.DUMMYFUNCTION("""COMPUTED_VALUE"""),"2009")</f>
        <v>2009</v>
      </c>
      <c r="O336" s="14">
        <f>IFERROR(__xludf.DUMMYFUNCTION("""COMPUTED_VALUE"""),8.0E7)</f>
        <v>80000000</v>
      </c>
      <c r="P336" s="15">
        <f>IFERROR(__xludf.DUMMYFUNCTION("ARRAYFORMULA(VLOOKUP(A336,IMPORTRANGE(""https://docs.google.com/spreadsheets/d/1BuTWp7qHGjWhqrnf-OmePP568O4A5Am9ttzvVdP67zw/edit#gid=771602874"" ,""HUMAN RESOURCES!$A$2:$M$2692""), {2,3,4,5,6,7,8,9,10,11,12,13},0))"),0.025)</f>
        <v>0.025</v>
      </c>
      <c r="Q336" s="14">
        <f>IFERROR(__xludf.DUMMYFUNCTION("""COMPUTED_VALUE"""),0.041)</f>
        <v>0.041</v>
      </c>
      <c r="R336" s="14">
        <f>IFERROR(__xludf.DUMMYFUNCTION("""COMPUTED_VALUE"""),46.0)</f>
        <v>46</v>
      </c>
      <c r="S336" s="14">
        <f>IFERROR(__xludf.DUMMYFUNCTION("""COMPUTED_VALUE"""),47.0)</f>
        <v>47</v>
      </c>
      <c r="T336" s="14">
        <f>IFERROR(__xludf.DUMMYFUNCTION("""COMPUTED_VALUE"""),0.345)</f>
        <v>0.345</v>
      </c>
      <c r="U336" s="14">
        <f>IFERROR(__xludf.DUMMYFUNCTION("""COMPUTED_VALUE"""),0.621)</f>
        <v>0.621</v>
      </c>
      <c r="V336" s="14">
        <f>IFERROR(__xludf.DUMMYFUNCTION("""COMPUTED_VALUE"""),0.034)</f>
        <v>0.034</v>
      </c>
      <c r="W336" s="14">
        <f>IFERROR(__xludf.DUMMYFUNCTION("""COMPUTED_VALUE"""),1951715.0)</f>
        <v>1951715</v>
      </c>
      <c r="X336" s="14">
        <f>IFERROR(__xludf.DUMMYFUNCTION("""COMPUTED_VALUE"""),0.56)</f>
        <v>0.56</v>
      </c>
      <c r="Y336" s="14" t="str">
        <f>IFERROR(__xludf.DUMMYFUNCTION("""COMPUTED_VALUE"""),"Botswana-Africa")</f>
        <v>Botswana-Africa</v>
      </c>
      <c r="Z336" s="14" t="str">
        <f>IFERROR(__xludf.DUMMYFUNCTION("""COMPUTED_VALUE"""),"Africa")</f>
        <v>Africa</v>
      </c>
      <c r="AA336" s="14" t="str">
        <f>IFERROR(__xludf.DUMMYFUNCTION("""COMPUTED_VALUE"""),"2009")</f>
        <v>2009</v>
      </c>
      <c r="AB336" s="15" t="str">
        <f>IFERROR(__xludf.DUMMYFUNCTION("ARRAYFORMULA(VLOOKUP(A336,IMPORTRANGE(""https://docs.google.com/spreadsheets/d/1BuTWp7qHGjWhqrnf-OmePP568O4A5Am9ttzvVdP67zw/edit#gid=1931367683"" ,""ENERGY!$A$2:$F$2692""), {2,3,4,5,6},0))"),"Africa")</f>
        <v>Africa</v>
      </c>
      <c r="AC336" s="14" t="str">
        <f>IFERROR(__xludf.DUMMYFUNCTION("""COMPUTED_VALUE"""),"Botswana-Africa")</f>
        <v>Botswana-Africa</v>
      </c>
      <c r="AD336" s="14" t="str">
        <f>IFERROR(__xludf.DUMMYFUNCTION("""COMPUTED_VALUE"""),"2009")</f>
        <v>2009</v>
      </c>
      <c r="AE336" s="14">
        <f>IFERROR(__xludf.DUMMYFUNCTION("""COMPUTED_VALUE"""),1907.0)</f>
        <v>1907</v>
      </c>
      <c r="AF336" s="14">
        <f>IFERROR(__xludf.DUMMYFUNCTION("""COMPUTED_VALUE"""),4265.0)</f>
        <v>4265</v>
      </c>
    </row>
    <row r="337">
      <c r="A337" s="12">
        <v>336.0</v>
      </c>
      <c r="B337" s="12" t="s">
        <v>104</v>
      </c>
      <c r="C337" s="5" t="s">
        <v>77</v>
      </c>
      <c r="D337" s="11">
        <v>0.195</v>
      </c>
      <c r="E337" s="11">
        <v>60.0</v>
      </c>
      <c r="F337" s="8"/>
      <c r="G337" s="11">
        <v>152.0</v>
      </c>
      <c r="H337" s="11">
        <v>0.06</v>
      </c>
      <c r="I337" s="11">
        <v>1.2</v>
      </c>
      <c r="J337" s="9" t="s">
        <v>71</v>
      </c>
      <c r="K337" s="14" t="str">
        <f>IFERROR(__xludf.DUMMYFUNCTION("ARRAYFORMULA(VLOOKUP(A337,IMPORTRANGE(""https://docs.google.com/spreadsheets/d/1BuTWp7qHGjWhqrnf-OmePP568O4A5Am9ttzvVdP67zw/edit#gid=1603210130"", ""TOURISM!$A$2:$F$2692""), {2,3,4,5,6},0))"),"Africa")</f>
        <v>Africa</v>
      </c>
      <c r="L337" s="14">
        <f>IFERROR(__xludf.DUMMYFUNCTION("""COMPUTED_VALUE"""),8.0E7)</f>
        <v>80000000</v>
      </c>
      <c r="M337" s="14" t="str">
        <f>IFERROR(__xludf.DUMMYFUNCTION("""COMPUTED_VALUE"""),"Botswana-Africa")</f>
        <v>Botswana-Africa</v>
      </c>
      <c r="N337" s="14" t="str">
        <f>IFERROR(__xludf.DUMMYFUNCTION("""COMPUTED_VALUE"""),"2010")</f>
        <v>2010</v>
      </c>
      <c r="O337" s="14">
        <f>IFERROR(__xludf.DUMMYFUNCTION("""COMPUTED_VALUE"""),8.9E7)</f>
        <v>89000000</v>
      </c>
      <c r="P337" s="15">
        <f>IFERROR(__xludf.DUMMYFUNCTION("ARRAYFORMULA(VLOOKUP(A337,IMPORTRANGE(""https://docs.google.com/spreadsheets/d/1BuTWp7qHGjWhqrnf-OmePP568O4A5Am9ttzvVdP67zw/edit#gid=771602874"" ,""HUMAN RESOURCES!$A$2:$M$2692""), {2,3,4,5,6,7,8,9,10,11,12,13},0))"),0.024)</f>
        <v>0.024</v>
      </c>
      <c r="Q337" s="14">
        <f>IFERROR(__xludf.DUMMYFUNCTION("""COMPUTED_VALUE"""),0.04)</f>
        <v>0.04</v>
      </c>
      <c r="R337" s="14">
        <f>IFERROR(__xludf.DUMMYFUNCTION("""COMPUTED_VALUE"""),46.0)</f>
        <v>46</v>
      </c>
      <c r="S337" s="14">
        <f>IFERROR(__xludf.DUMMYFUNCTION("""COMPUTED_VALUE"""),47.0)</f>
        <v>47</v>
      </c>
      <c r="T337" s="14">
        <f>IFERROR(__xludf.DUMMYFUNCTION("""COMPUTED_VALUE"""),0.343)</f>
        <v>0.343</v>
      </c>
      <c r="U337" s="14">
        <f>IFERROR(__xludf.DUMMYFUNCTION("""COMPUTED_VALUE"""),0.623)</f>
        <v>0.623</v>
      </c>
      <c r="V337" s="14">
        <f>IFERROR(__xludf.DUMMYFUNCTION("""COMPUTED_VALUE"""),0.035)</f>
        <v>0.035</v>
      </c>
      <c r="W337" s="14">
        <f>IFERROR(__xludf.DUMMYFUNCTION("""COMPUTED_VALUE"""),1969341.0)</f>
        <v>1969341</v>
      </c>
      <c r="X337" s="14">
        <f>IFERROR(__xludf.DUMMYFUNCTION("""COMPUTED_VALUE"""),0.562)</f>
        <v>0.562</v>
      </c>
      <c r="Y337" s="14" t="str">
        <f>IFERROR(__xludf.DUMMYFUNCTION("""COMPUTED_VALUE"""),"Botswana-Africa")</f>
        <v>Botswana-Africa</v>
      </c>
      <c r="Z337" s="14" t="str">
        <f>IFERROR(__xludf.DUMMYFUNCTION("""COMPUTED_VALUE"""),"Africa")</f>
        <v>Africa</v>
      </c>
      <c r="AA337" s="14" t="str">
        <f>IFERROR(__xludf.DUMMYFUNCTION("""COMPUTED_VALUE"""),"2010")</f>
        <v>2010</v>
      </c>
      <c r="AB337" s="15" t="str">
        <f>IFERROR(__xludf.DUMMYFUNCTION("ARRAYFORMULA(VLOOKUP(A337,IMPORTRANGE(""https://docs.google.com/spreadsheets/d/1BuTWp7qHGjWhqrnf-OmePP568O4A5Am9ttzvVdP67zw/edit#gid=1931367683"" ,""ENERGY!$A$2:$F$2692""), {2,3,4,5,6},0))"),"Africa")</f>
        <v>Africa</v>
      </c>
      <c r="AC337" s="14" t="str">
        <f>IFERROR(__xludf.DUMMYFUNCTION("""COMPUTED_VALUE"""),"Botswana-Africa")</f>
        <v>Botswana-Africa</v>
      </c>
      <c r="AD337" s="14" t="str">
        <f>IFERROR(__xludf.DUMMYFUNCTION("""COMPUTED_VALUE"""),"2006")</f>
        <v>2006</v>
      </c>
      <c r="AE337" s="14">
        <f>IFERROR(__xludf.DUMMYFUNCTION("""COMPUTED_VALUE"""),1916.0)</f>
        <v>1916</v>
      </c>
      <c r="AF337" s="14">
        <f>IFERROR(__xludf.DUMMYFUNCTION("""COMPUTED_VALUE"""),4485.0)</f>
        <v>4485</v>
      </c>
    </row>
    <row r="338">
      <c r="A338" s="12">
        <v>337.0</v>
      </c>
      <c r="B338" s="12" t="s">
        <v>104</v>
      </c>
      <c r="C338" s="5" t="s">
        <v>77</v>
      </c>
      <c r="D338" s="11">
        <v>0.195</v>
      </c>
      <c r="E338" s="11">
        <v>60.0</v>
      </c>
      <c r="F338" s="8"/>
      <c r="G338" s="11">
        <v>152.0</v>
      </c>
      <c r="H338" s="11">
        <v>0.08</v>
      </c>
      <c r="I338" s="11">
        <v>1.46</v>
      </c>
      <c r="J338" s="9" t="s">
        <v>72</v>
      </c>
      <c r="K338" s="14" t="str">
        <f>IFERROR(__xludf.DUMMYFUNCTION("ARRAYFORMULA(VLOOKUP(A338,IMPORTRANGE(""https://docs.google.com/spreadsheets/d/1BuTWp7qHGjWhqrnf-OmePP568O4A5Am9ttzvVdP67zw/edit#gid=1603210130"", ""TOURISM!$A$2:$F$2692""), {2,3,4,5,6},0))"),"Africa")</f>
        <v>Africa</v>
      </c>
      <c r="L338" s="14">
        <f>IFERROR(__xludf.DUMMYFUNCTION("""COMPUTED_VALUE"""),3.6E7)</f>
        <v>36000000</v>
      </c>
      <c r="M338" s="14" t="str">
        <f>IFERROR(__xludf.DUMMYFUNCTION("""COMPUTED_VALUE"""),"Botswana-Africa")</f>
        <v>Botswana-Africa</v>
      </c>
      <c r="N338" s="14" t="str">
        <f>IFERROR(__xludf.DUMMYFUNCTION("""COMPUTED_VALUE"""),"2011")</f>
        <v>2011</v>
      </c>
      <c r="O338" s="14">
        <f>IFERROR(__xludf.DUMMYFUNCTION("""COMPUTED_VALUE"""),8.2E7)</f>
        <v>82000000</v>
      </c>
      <c r="P338" s="15">
        <f>IFERROR(__xludf.DUMMYFUNCTION("ARRAYFORMULA(VLOOKUP(A338,IMPORTRANGE(""https://docs.google.com/spreadsheets/d/1BuTWp7qHGjWhqrnf-OmePP568O4A5Am9ttzvVdP67zw/edit#gid=771602874"" ,""HUMAN RESOURCES!$A$2:$M$2692""), {2,3,4,5,6,7,8,9,10,11,12,13},0))"),0.024)</f>
        <v>0.024</v>
      </c>
      <c r="Q338" s="14">
        <f>IFERROR(__xludf.DUMMYFUNCTION("""COMPUTED_VALUE"""),0.039)</f>
        <v>0.039</v>
      </c>
      <c r="R338" s="14">
        <f>IFERROR(__xludf.DUMMYFUNCTION("""COMPUTED_VALUE"""),46.0)</f>
        <v>46</v>
      </c>
      <c r="S338" s="14">
        <f>IFERROR(__xludf.DUMMYFUNCTION("""COMPUTED_VALUE"""),47.0)</f>
        <v>47</v>
      </c>
      <c r="T338" s="14">
        <f>IFERROR(__xludf.DUMMYFUNCTION("""COMPUTED_VALUE"""),0.34)</f>
        <v>0.34</v>
      </c>
      <c r="U338" s="14">
        <f>IFERROR(__xludf.DUMMYFUNCTION("""COMPUTED_VALUE"""),0.625)</f>
        <v>0.625</v>
      </c>
      <c r="V338" s="14">
        <f>IFERROR(__xludf.DUMMYFUNCTION("""COMPUTED_VALUE"""),0.035)</f>
        <v>0.035</v>
      </c>
      <c r="W338" s="14">
        <f>IFERROR(__xludf.DUMMYFUNCTION("""COMPUTED_VALUE"""),1986701.0)</f>
        <v>1986701</v>
      </c>
      <c r="X338" s="14">
        <f>IFERROR(__xludf.DUMMYFUNCTION("""COMPUTED_VALUE"""),0.565)</f>
        <v>0.565</v>
      </c>
      <c r="Y338" s="14" t="str">
        <f>IFERROR(__xludf.DUMMYFUNCTION("""COMPUTED_VALUE"""),"Botswana-Africa")</f>
        <v>Botswana-Africa</v>
      </c>
      <c r="Z338" s="14" t="str">
        <f>IFERROR(__xludf.DUMMYFUNCTION("""COMPUTED_VALUE"""),"Africa")</f>
        <v>Africa</v>
      </c>
      <c r="AA338" s="14" t="str">
        <f>IFERROR(__xludf.DUMMYFUNCTION("""COMPUTED_VALUE"""),"2011")</f>
        <v>2011</v>
      </c>
      <c r="AB338" s="15" t="str">
        <f>IFERROR(__xludf.DUMMYFUNCTION("ARRAYFORMULA(VLOOKUP(A338,IMPORTRANGE(""https://docs.google.com/spreadsheets/d/1BuTWp7qHGjWhqrnf-OmePP568O4A5Am9ttzvVdP67zw/edit#gid=1931367683"" ,""ENERGY!$A$2:$F$2692""), {2,3,4,5,6},0))"),"Africa")</f>
        <v>Africa</v>
      </c>
      <c r="AC338" s="14" t="str">
        <f>IFERROR(__xludf.DUMMYFUNCTION("""COMPUTED_VALUE"""),"Botswana-Africa")</f>
        <v>Botswana-Africa</v>
      </c>
      <c r="AD338" s="14" t="str">
        <f>IFERROR(__xludf.DUMMYFUNCTION("""COMPUTED_VALUE"""),"2012")</f>
        <v>2012</v>
      </c>
      <c r="AE338" s="14">
        <f>IFERROR(__xludf.DUMMYFUNCTION("""COMPUTED_VALUE"""),1868.0)</f>
        <v>1868</v>
      </c>
      <c r="AF338" s="14">
        <f>IFERROR(__xludf.DUMMYFUNCTION("""COMPUTED_VALUE"""),4334.0)</f>
        <v>4334</v>
      </c>
    </row>
    <row r="339">
      <c r="A339" s="12">
        <v>338.0</v>
      </c>
      <c r="B339" s="12" t="s">
        <v>104</v>
      </c>
      <c r="C339" s="5" t="s">
        <v>77</v>
      </c>
      <c r="D339" s="11">
        <v>0.254</v>
      </c>
      <c r="E339" s="11">
        <v>60.0</v>
      </c>
      <c r="F339" s="11">
        <v>65.0</v>
      </c>
      <c r="G339" s="11">
        <v>152.0</v>
      </c>
      <c r="H339" s="11">
        <v>0.115</v>
      </c>
      <c r="I339" s="11">
        <v>1.538</v>
      </c>
      <c r="J339" s="9" t="s">
        <v>73</v>
      </c>
      <c r="K339" s="14" t="str">
        <f>IFERROR(__xludf.DUMMYFUNCTION("ARRAYFORMULA(VLOOKUP(A339,IMPORTRANGE(""https://docs.google.com/spreadsheets/d/1BuTWp7qHGjWhqrnf-OmePP568O4A5Am9ttzvVdP67zw/edit#gid=1603210130"", ""TOURISM!$A$2:$F$2692""), {2,3,4,5,6},0))"),"Africa")</f>
        <v>Africa</v>
      </c>
      <c r="L339" s="14">
        <f>IFERROR(__xludf.DUMMYFUNCTION("""COMPUTED_VALUE"""),3.0E7)</f>
        <v>30000000</v>
      </c>
      <c r="M339" s="14" t="str">
        <f>IFERROR(__xludf.DUMMYFUNCTION("""COMPUTED_VALUE"""),"Botswana-Africa")</f>
        <v>Botswana-Africa</v>
      </c>
      <c r="N339" s="14" t="str">
        <f>IFERROR(__xludf.DUMMYFUNCTION("""COMPUTED_VALUE"""),"2012")</f>
        <v>2012</v>
      </c>
      <c r="O339" s="14">
        <f>IFERROR(__xludf.DUMMYFUNCTION("""COMPUTED_VALUE"""),1.0E8)</f>
        <v>100000000</v>
      </c>
      <c r="P339" s="15">
        <f>IFERROR(__xludf.DUMMYFUNCTION("ARRAYFORMULA(VLOOKUP(A339,IMPORTRANGE(""https://docs.google.com/spreadsheets/d/1BuTWp7qHGjWhqrnf-OmePP568O4A5Am9ttzvVdP67zw/edit#gid=771602874"" ,""HUMAN RESOURCES!$A$2:$M$2692""), {2,3,4,5,6,7,8,9,10,11,12,13},0))"),0.024)</f>
        <v>0.024</v>
      </c>
      <c r="Q339" s="14">
        <f>IFERROR(__xludf.DUMMYFUNCTION("""COMPUTED_VALUE"""),0.037)</f>
        <v>0.037</v>
      </c>
      <c r="R339" s="14">
        <f>IFERROR(__xludf.DUMMYFUNCTION("""COMPUTED_VALUE"""),46.0)</f>
        <v>46</v>
      </c>
      <c r="S339" s="14">
        <f>IFERROR(__xludf.DUMMYFUNCTION("""COMPUTED_VALUE"""),48.0)</f>
        <v>48</v>
      </c>
      <c r="T339" s="14">
        <f>IFERROR(__xludf.DUMMYFUNCTION("""COMPUTED_VALUE"""),0.338)</f>
        <v>0.338</v>
      </c>
      <c r="U339" s="14">
        <f>IFERROR(__xludf.DUMMYFUNCTION("""COMPUTED_VALUE"""),0.627)</f>
        <v>0.627</v>
      </c>
      <c r="V339" s="14">
        <f>IFERROR(__xludf.DUMMYFUNCTION("""COMPUTED_VALUE"""),0.036)</f>
        <v>0.036</v>
      </c>
      <c r="W339" s="14">
        <f>IFERROR(__xludf.DUMMYFUNCTION("""COMPUTED_VALUE"""),2003910.0)</f>
        <v>2003910</v>
      </c>
      <c r="X339" s="14">
        <f>IFERROR(__xludf.DUMMYFUNCTION("""COMPUTED_VALUE"""),0.567)</f>
        <v>0.567</v>
      </c>
      <c r="Y339" s="14" t="str">
        <f>IFERROR(__xludf.DUMMYFUNCTION("""COMPUTED_VALUE"""),"Botswana-Africa")</f>
        <v>Botswana-Africa</v>
      </c>
      <c r="Z339" s="14" t="str">
        <f>IFERROR(__xludf.DUMMYFUNCTION("""COMPUTED_VALUE"""),"Africa")</f>
        <v>Africa</v>
      </c>
      <c r="AA339" s="14" t="str">
        <f>IFERROR(__xludf.DUMMYFUNCTION("""COMPUTED_VALUE"""),"2012")</f>
        <v>2012</v>
      </c>
      <c r="AB339" s="15" t="str">
        <f>IFERROR(__xludf.DUMMYFUNCTION("ARRAYFORMULA(VLOOKUP(A339,IMPORTRANGE(""https://docs.google.com/spreadsheets/d/1BuTWp7qHGjWhqrnf-OmePP568O4A5Am9ttzvVdP67zw/edit#gid=1931367683"" ,""ENERGY!$A$2:$F$2692""), {2,3,4,5,6},0))"),"Africa")</f>
        <v>Africa</v>
      </c>
      <c r="AC339" s="14" t="str">
        <f>IFERROR(__xludf.DUMMYFUNCTION("""COMPUTED_VALUE"""),"Botswana-Africa")</f>
        <v>Botswana-Africa</v>
      </c>
      <c r="AD339" s="14" t="str">
        <f>IFERROR(__xludf.DUMMYFUNCTION("""COMPUTED_VALUE"""),"2008")</f>
        <v>2008</v>
      </c>
      <c r="AE339" s="14">
        <f>IFERROR(__xludf.DUMMYFUNCTION("""COMPUTED_VALUE"""),1836.0)</f>
        <v>1836</v>
      </c>
      <c r="AF339" s="14">
        <f>IFERROR(__xludf.DUMMYFUNCTION("""COMPUTED_VALUE"""),4276.0)</f>
        <v>4276</v>
      </c>
    </row>
    <row r="340">
      <c r="A340" s="12">
        <v>339.0</v>
      </c>
      <c r="B340" s="12" t="s">
        <v>105</v>
      </c>
      <c r="C340" s="5" t="s">
        <v>84</v>
      </c>
      <c r="D340" s="8"/>
      <c r="E340" s="8"/>
      <c r="F340" s="8"/>
      <c r="G340" s="8"/>
      <c r="H340" s="11">
        <v>0.029</v>
      </c>
      <c r="I340" s="11">
        <v>0.133</v>
      </c>
      <c r="J340" s="9" t="s">
        <v>60</v>
      </c>
      <c r="K340" s="14" t="str">
        <f>IFERROR(__xludf.DUMMYFUNCTION("ARRAYFORMULA(VLOOKUP(A340,IMPORTRANGE(""https://docs.google.com/spreadsheets/d/1BuTWp7qHGjWhqrnf-OmePP568O4A5Am9ttzvVdP67zw/edit#gid=1603210130"", ""TOURISM!$A$2:$F$2692""), {2,3,4,5,6},0))"),"The Americas")</f>
        <v>The Americas</v>
      </c>
      <c r="L340" s="14">
        <f>IFERROR(__xludf.DUMMYFUNCTION("""COMPUTED_VALUE"""),1.969E9)</f>
        <v>1969000000</v>
      </c>
      <c r="M340" s="14" t="str">
        <f>IFERROR(__xludf.DUMMYFUNCTION("""COMPUTED_VALUE"""),"Brazil-The Americas")</f>
        <v>Brazil-The Americas</v>
      </c>
      <c r="N340" s="14" t="str">
        <f>IFERROR(__xludf.DUMMYFUNCTION("""COMPUTED_VALUE"""),"2000")</f>
        <v>2000</v>
      </c>
      <c r="O340" s="14">
        <f>IFERROR(__xludf.DUMMYFUNCTION("""COMPUTED_VALUE"""),4.548E9)</f>
        <v>4548000000</v>
      </c>
      <c r="P340" s="15">
        <f>IFERROR(__xludf.DUMMYFUNCTION("ARRAYFORMULA(VLOOKUP(A340,IMPORTRANGE(""https://docs.google.com/spreadsheets/d/1BuTWp7qHGjWhqrnf-OmePP568O4A5Am9ttzvVdP67zw/edit#gid=771602874"" ,""HUMAN RESOURCES!$A$2:$M$2692""), {2,3,4,5,6,7,8,9,10,11,12,13},0))"),0.021)</f>
        <v>0.021</v>
      </c>
      <c r="Q340" s="14">
        <f>IFERROR(__xludf.DUMMYFUNCTION("""COMPUTED_VALUE"""),0.029)</f>
        <v>0.029</v>
      </c>
      <c r="R340" s="14">
        <f>IFERROR(__xludf.DUMMYFUNCTION("""COMPUTED_VALUE"""),74.0)</f>
        <v>74</v>
      </c>
      <c r="S340" s="14">
        <f>IFERROR(__xludf.DUMMYFUNCTION("""COMPUTED_VALUE"""),67.0)</f>
        <v>67</v>
      </c>
      <c r="T340" s="14">
        <f>IFERROR(__xludf.DUMMYFUNCTION("""COMPUTED_VALUE"""),0.296)</f>
        <v>0.296</v>
      </c>
      <c r="U340" s="14">
        <f>IFERROR(__xludf.DUMMYFUNCTION("""COMPUTED_VALUE"""),0.649)</f>
        <v>0.649</v>
      </c>
      <c r="V340" s="14">
        <f>IFERROR(__xludf.DUMMYFUNCTION("""COMPUTED_VALUE"""),0.055)</f>
        <v>0.055</v>
      </c>
      <c r="W340" s="14">
        <f>IFERROR(__xludf.DUMMYFUNCTION("""COMPUTED_VALUE"""),1.74504898E8)</f>
        <v>174504898</v>
      </c>
      <c r="X340" s="14">
        <f>IFERROR(__xludf.DUMMYFUNCTION("""COMPUTED_VALUE"""),0.812)</f>
        <v>0.812</v>
      </c>
      <c r="Y340" s="14" t="str">
        <f>IFERROR(__xludf.DUMMYFUNCTION("""COMPUTED_VALUE"""),"Brazil-The Americas")</f>
        <v>Brazil-The Americas</v>
      </c>
      <c r="Z340" s="14" t="str">
        <f>IFERROR(__xludf.DUMMYFUNCTION("""COMPUTED_VALUE"""),"The Americas")</f>
        <v>The Americas</v>
      </c>
      <c r="AA340" s="14" t="str">
        <f>IFERROR(__xludf.DUMMYFUNCTION("""COMPUTED_VALUE"""),"2000")</f>
        <v>2000</v>
      </c>
      <c r="AB340" s="15" t="str">
        <f>IFERROR(__xludf.DUMMYFUNCTION("ARRAYFORMULA(VLOOKUP(A340,IMPORTRANGE(""https://docs.google.com/spreadsheets/d/1BuTWp7qHGjWhqrnf-OmePP568O4A5Am9ttzvVdP67zw/edit#gid=1931367683"" ,""ENERGY!$A$2:$F$2692""), {2,3,4,5,6},0))"),"The Americas")</f>
        <v>The Americas</v>
      </c>
      <c r="AC340" s="14" t="str">
        <f>IFERROR(__xludf.DUMMYFUNCTION("""COMPUTED_VALUE"""),"Brazil-The Americas")</f>
        <v>Brazil-The Americas</v>
      </c>
      <c r="AD340" s="14" t="str">
        <f>IFERROR(__xludf.DUMMYFUNCTION("""COMPUTED_VALUE"""),"2000")</f>
        <v>2000</v>
      </c>
      <c r="AE340" s="14"/>
      <c r="AF340" s="14"/>
    </row>
    <row r="341">
      <c r="A341" s="12">
        <v>340.0</v>
      </c>
      <c r="B341" s="12" t="s">
        <v>105</v>
      </c>
      <c r="C341" s="5" t="s">
        <v>84</v>
      </c>
      <c r="D341" s="8"/>
      <c r="E341" s="8"/>
      <c r="F341" s="8"/>
      <c r="G341" s="8"/>
      <c r="H341" s="11">
        <v>0.045</v>
      </c>
      <c r="I341" s="11">
        <v>0.162</v>
      </c>
      <c r="J341" s="9" t="s">
        <v>62</v>
      </c>
      <c r="K341" s="14" t="str">
        <f>IFERROR(__xludf.DUMMYFUNCTION("ARRAYFORMULA(VLOOKUP(A341,IMPORTRANGE(""https://docs.google.com/spreadsheets/d/1BuTWp7qHGjWhqrnf-OmePP568O4A5Am9ttzvVdP67zw/edit#gid=1603210130"", ""TOURISM!$A$2:$F$2692""), {2,3,4,5,6},0))"),"The Americas")</f>
        <v>The Americas</v>
      </c>
      <c r="L341" s="14">
        <f>IFERROR(__xludf.DUMMYFUNCTION("""COMPUTED_VALUE"""),1.844E9)</f>
        <v>1844000000</v>
      </c>
      <c r="M341" s="14" t="str">
        <f>IFERROR(__xludf.DUMMYFUNCTION("""COMPUTED_VALUE"""),"Brazil-The Americas")</f>
        <v>Brazil-The Americas</v>
      </c>
      <c r="N341" s="14" t="str">
        <f>IFERROR(__xludf.DUMMYFUNCTION("""COMPUTED_VALUE"""),"2001")</f>
        <v>2001</v>
      </c>
      <c r="O341" s="14">
        <f>IFERROR(__xludf.DUMMYFUNCTION("""COMPUTED_VALUE"""),3.765E9)</f>
        <v>3765000000</v>
      </c>
      <c r="P341" s="15">
        <f>IFERROR(__xludf.DUMMYFUNCTION("ARRAYFORMULA(VLOOKUP(A341,IMPORTRANGE(""https://docs.google.com/spreadsheets/d/1BuTWp7qHGjWhqrnf-OmePP568O4A5Am9ttzvVdP67zw/edit#gid=771602874"" ,""HUMAN RESOURCES!$A$2:$M$2692""), {2,3,4,5,6,7,8,9,10,11,12,13},0))"),0.02)</f>
        <v>0.02</v>
      </c>
      <c r="Q341" s="14">
        <f>IFERROR(__xludf.DUMMYFUNCTION("""COMPUTED_VALUE"""),0.027)</f>
        <v>0.027</v>
      </c>
      <c r="R341" s="14">
        <f>IFERROR(__xludf.DUMMYFUNCTION("""COMPUTED_VALUE"""),74.0)</f>
        <v>74</v>
      </c>
      <c r="S341" s="14">
        <f>IFERROR(__xludf.DUMMYFUNCTION("""COMPUTED_VALUE"""),67.0)</f>
        <v>67</v>
      </c>
      <c r="T341" s="14">
        <f>IFERROR(__xludf.DUMMYFUNCTION("""COMPUTED_VALUE"""),0.291)</f>
        <v>0.291</v>
      </c>
      <c r="U341" s="14">
        <f>IFERROR(__xludf.DUMMYFUNCTION("""COMPUTED_VALUE"""),0.653)</f>
        <v>0.653</v>
      </c>
      <c r="V341" s="14">
        <f>IFERROR(__xludf.DUMMYFUNCTION("""COMPUTED_VALUE"""),0.056)</f>
        <v>0.056</v>
      </c>
      <c r="W341" s="14">
        <f>IFERROR(__xludf.DUMMYFUNCTION("""COMPUTED_VALUE"""),1.76968205E8)</f>
        <v>176968205</v>
      </c>
      <c r="X341" s="14">
        <f>IFERROR(__xludf.DUMMYFUNCTION("""COMPUTED_VALUE"""),0.816)</f>
        <v>0.816</v>
      </c>
      <c r="Y341" s="14" t="str">
        <f>IFERROR(__xludf.DUMMYFUNCTION("""COMPUTED_VALUE"""),"Brazil-The Americas")</f>
        <v>Brazil-The Americas</v>
      </c>
      <c r="Z341" s="14" t="str">
        <f>IFERROR(__xludf.DUMMYFUNCTION("""COMPUTED_VALUE"""),"The Americas")</f>
        <v>The Americas</v>
      </c>
      <c r="AA341" s="14" t="str">
        <f>IFERROR(__xludf.DUMMYFUNCTION("""COMPUTED_VALUE"""),"2001")</f>
        <v>2001</v>
      </c>
      <c r="AB341" s="15" t="str">
        <f>IFERROR(__xludf.DUMMYFUNCTION("ARRAYFORMULA(VLOOKUP(A341,IMPORTRANGE(""https://docs.google.com/spreadsheets/d/1BuTWp7qHGjWhqrnf-OmePP568O4A5Am9ttzvVdP67zw/edit#gid=1931367683"" ,""ENERGY!$A$2:$F$2692""), {2,3,4,5,6},0))"),"The Americas")</f>
        <v>The Americas</v>
      </c>
      <c r="AC341" s="14" t="str">
        <f>IFERROR(__xludf.DUMMYFUNCTION("""COMPUTED_VALUE"""),"Brazil-The Americas")</f>
        <v>Brazil-The Americas</v>
      </c>
      <c r="AD341" s="14" t="str">
        <f>IFERROR(__xludf.DUMMYFUNCTION("""COMPUTED_VALUE"""),"2001")</f>
        <v>2001</v>
      </c>
      <c r="AE341" s="14">
        <f>IFERROR(__xludf.DUMMYFUNCTION("""COMPUTED_VALUE"""),270028.0)</f>
        <v>270028</v>
      </c>
      <c r="AF341" s="14"/>
    </row>
    <row r="342">
      <c r="A342" s="12">
        <v>341.0</v>
      </c>
      <c r="B342" s="12" t="s">
        <v>105</v>
      </c>
      <c r="C342" s="5" t="s">
        <v>84</v>
      </c>
      <c r="D342" s="8"/>
      <c r="E342" s="8"/>
      <c r="F342" s="8"/>
      <c r="G342" s="8"/>
      <c r="H342" s="11">
        <v>0.091</v>
      </c>
      <c r="I342" s="11">
        <v>0.194</v>
      </c>
      <c r="J342" s="9" t="s">
        <v>63</v>
      </c>
      <c r="K342" s="14" t="str">
        <f>IFERROR(__xludf.DUMMYFUNCTION("ARRAYFORMULA(VLOOKUP(A342,IMPORTRANGE(""https://docs.google.com/spreadsheets/d/1BuTWp7qHGjWhqrnf-OmePP568O4A5Am9ttzvVdP67zw/edit#gid=1603210130"", ""TOURISM!$A$2:$F$2692""), {2,3,4,5,6},0))"),"The Americas")</f>
        <v>The Americas</v>
      </c>
      <c r="L342" s="14">
        <f>IFERROR(__xludf.DUMMYFUNCTION("""COMPUTED_VALUE"""),2.142E9)</f>
        <v>2142000000</v>
      </c>
      <c r="M342" s="14" t="str">
        <f>IFERROR(__xludf.DUMMYFUNCTION("""COMPUTED_VALUE"""),"Brazil-The Americas")</f>
        <v>Brazil-The Americas</v>
      </c>
      <c r="N342" s="14" t="str">
        <f>IFERROR(__xludf.DUMMYFUNCTION("""COMPUTED_VALUE"""),"2002")</f>
        <v>2002</v>
      </c>
      <c r="O342" s="14">
        <f>IFERROR(__xludf.DUMMYFUNCTION("""COMPUTED_VALUE"""),2.929E9)</f>
        <v>2929000000</v>
      </c>
      <c r="P342" s="15">
        <f>IFERROR(__xludf.DUMMYFUNCTION("ARRAYFORMULA(VLOOKUP(A342,IMPORTRANGE(""https://docs.google.com/spreadsheets/d/1BuTWp7qHGjWhqrnf-OmePP568O4A5Am9ttzvVdP67zw/edit#gid=771602874"" ,""HUMAN RESOURCES!$A$2:$M$2692""), {2,3,4,5,6,7,8,9,10,11,12,13},0))"),0.02)</f>
        <v>0.02</v>
      </c>
      <c r="Q342" s="14">
        <f>IFERROR(__xludf.DUMMYFUNCTION("""COMPUTED_VALUE"""),0.025)</f>
        <v>0.025</v>
      </c>
      <c r="R342" s="14">
        <f>IFERROR(__xludf.DUMMYFUNCTION("""COMPUTED_VALUE"""),75.0)</f>
        <v>75</v>
      </c>
      <c r="S342" s="14">
        <f>IFERROR(__xludf.DUMMYFUNCTION("""COMPUTED_VALUE"""),67.0)</f>
        <v>67</v>
      </c>
      <c r="T342" s="14">
        <f>IFERROR(__xludf.DUMMYFUNCTION("""COMPUTED_VALUE"""),0.287)</f>
        <v>0.287</v>
      </c>
      <c r="U342" s="14">
        <f>IFERROR(__xludf.DUMMYFUNCTION("""COMPUTED_VALUE"""),0.655)</f>
        <v>0.655</v>
      </c>
      <c r="V342" s="14">
        <f>IFERROR(__xludf.DUMMYFUNCTION("""COMPUTED_VALUE"""),0.057)</f>
        <v>0.057</v>
      </c>
      <c r="W342" s="14">
        <f>IFERROR(__xludf.DUMMYFUNCTION("""COMPUTED_VALUE"""),1.79393768E8)</f>
        <v>179393768</v>
      </c>
      <c r="X342" s="14">
        <f>IFERROR(__xludf.DUMMYFUNCTION("""COMPUTED_VALUE"""),0.819)</f>
        <v>0.819</v>
      </c>
      <c r="Y342" s="14" t="str">
        <f>IFERROR(__xludf.DUMMYFUNCTION("""COMPUTED_VALUE"""),"Brazil-The Americas")</f>
        <v>Brazil-The Americas</v>
      </c>
      <c r="Z342" s="14" t="str">
        <f>IFERROR(__xludf.DUMMYFUNCTION("""COMPUTED_VALUE"""),"The Americas")</f>
        <v>The Americas</v>
      </c>
      <c r="AA342" s="14" t="str">
        <f>IFERROR(__xludf.DUMMYFUNCTION("""COMPUTED_VALUE"""),"2002")</f>
        <v>2002</v>
      </c>
      <c r="AB342" s="15" t="str">
        <f>IFERROR(__xludf.DUMMYFUNCTION("ARRAYFORMULA(VLOOKUP(A342,IMPORTRANGE(""https://docs.google.com/spreadsheets/d/1BuTWp7qHGjWhqrnf-OmePP568O4A5Am9ttzvVdP67zw/edit#gid=1931367683"" ,""ENERGY!$A$2:$F$2692""), {2,3,4,5,6},0))"),"The Americas")</f>
        <v>The Americas</v>
      </c>
      <c r="AC342" s="14" t="str">
        <f>IFERROR(__xludf.DUMMYFUNCTION("""COMPUTED_VALUE"""),"Brazil-The Americas")</f>
        <v>Brazil-The Americas</v>
      </c>
      <c r="AD342" s="14" t="str">
        <f>IFERROR(__xludf.DUMMYFUNCTION("""COMPUTED_VALUE"""),"2002")</f>
        <v>2002</v>
      </c>
      <c r="AE342" s="14">
        <f>IFERROR(__xludf.DUMMYFUNCTION("""COMPUTED_VALUE"""),265887.0)</f>
        <v>265887</v>
      </c>
      <c r="AF342" s="14">
        <f>IFERROR(__xludf.DUMMYFUNCTION("""COMPUTED_VALUE"""),419754.0)</f>
        <v>419754</v>
      </c>
    </row>
    <row r="343">
      <c r="A343" s="12">
        <v>342.0</v>
      </c>
      <c r="B343" s="12" t="s">
        <v>105</v>
      </c>
      <c r="C343" s="5" t="s">
        <v>84</v>
      </c>
      <c r="D343" s="8"/>
      <c r="E343" s="11">
        <v>152.0</v>
      </c>
      <c r="F343" s="8"/>
      <c r="G343" s="8"/>
      <c r="H343" s="11">
        <v>0.132</v>
      </c>
      <c r="I343" s="11">
        <v>0.255</v>
      </c>
      <c r="J343" s="9" t="s">
        <v>64</v>
      </c>
      <c r="K343" s="14" t="str">
        <f>IFERROR(__xludf.DUMMYFUNCTION("ARRAYFORMULA(VLOOKUP(A343,IMPORTRANGE(""https://docs.google.com/spreadsheets/d/1BuTWp7qHGjWhqrnf-OmePP568O4A5Am9ttzvVdP67zw/edit#gid=1603210130"", ""TOURISM!$A$2:$F$2692""), {2,3,4,5,6},0))"),"The Americas")</f>
        <v>The Americas</v>
      </c>
      <c r="L343" s="14">
        <f>IFERROR(__xludf.DUMMYFUNCTION("""COMPUTED_VALUE"""),2.673E9)</f>
        <v>2673000000</v>
      </c>
      <c r="M343" s="14" t="str">
        <f>IFERROR(__xludf.DUMMYFUNCTION("""COMPUTED_VALUE"""),"Brazil-The Americas")</f>
        <v>Brazil-The Americas</v>
      </c>
      <c r="N343" s="14" t="str">
        <f>IFERROR(__xludf.DUMMYFUNCTION("""COMPUTED_VALUE"""),"2003")</f>
        <v>2003</v>
      </c>
      <c r="O343" s="14">
        <f>IFERROR(__xludf.DUMMYFUNCTION("""COMPUTED_VALUE"""),2.874E9)</f>
        <v>2874000000</v>
      </c>
      <c r="P343" s="15">
        <f>IFERROR(__xludf.DUMMYFUNCTION("ARRAYFORMULA(VLOOKUP(A343,IMPORTRANGE(""https://docs.google.com/spreadsheets/d/1BuTWp7qHGjWhqrnf-OmePP568O4A5Am9ttzvVdP67zw/edit#gid=771602874"" ,""HUMAN RESOURCES!$A$2:$M$2692""), {2,3,4,5,6,7,8,9,10,11,12,13},0))"),0.019)</f>
        <v>0.019</v>
      </c>
      <c r="Q343" s="14">
        <f>IFERROR(__xludf.DUMMYFUNCTION("""COMPUTED_VALUE"""),0.024)</f>
        <v>0.024</v>
      </c>
      <c r="R343" s="14">
        <f>IFERROR(__xludf.DUMMYFUNCTION("""COMPUTED_VALUE"""),75.0)</f>
        <v>75</v>
      </c>
      <c r="S343" s="14">
        <f>IFERROR(__xludf.DUMMYFUNCTION("""COMPUTED_VALUE"""),67.0)</f>
        <v>67</v>
      </c>
      <c r="T343" s="14">
        <f>IFERROR(__xludf.DUMMYFUNCTION("""COMPUTED_VALUE"""),0.283)</f>
        <v>0.283</v>
      </c>
      <c r="U343" s="14">
        <f>IFERROR(__xludf.DUMMYFUNCTION("""COMPUTED_VALUE"""),0.658)</f>
        <v>0.658</v>
      </c>
      <c r="V343" s="14">
        <f>IFERROR(__xludf.DUMMYFUNCTION("""COMPUTED_VALUE"""),0.059)</f>
        <v>0.059</v>
      </c>
      <c r="W343" s="14">
        <f>IFERROR(__xludf.DUMMYFUNCTION("""COMPUTED_VALUE"""),1.81752951E8)</f>
        <v>181752951</v>
      </c>
      <c r="X343" s="14">
        <f>IFERROR(__xludf.DUMMYFUNCTION("""COMPUTED_VALUE"""),0.822)</f>
        <v>0.822</v>
      </c>
      <c r="Y343" s="14" t="str">
        <f>IFERROR(__xludf.DUMMYFUNCTION("""COMPUTED_VALUE"""),"Brazil-The Americas")</f>
        <v>Brazil-The Americas</v>
      </c>
      <c r="Z343" s="14" t="str">
        <f>IFERROR(__xludf.DUMMYFUNCTION("""COMPUTED_VALUE"""),"The Americas")</f>
        <v>The Americas</v>
      </c>
      <c r="AA343" s="14" t="str">
        <f>IFERROR(__xludf.DUMMYFUNCTION("""COMPUTED_VALUE"""),"2003")</f>
        <v>2003</v>
      </c>
      <c r="AB343" s="15" t="str">
        <f>IFERROR(__xludf.DUMMYFUNCTION("ARRAYFORMULA(VLOOKUP(A343,IMPORTRANGE(""https://docs.google.com/spreadsheets/d/1BuTWp7qHGjWhqrnf-OmePP568O4A5Am9ttzvVdP67zw/edit#gid=1931367683"" ,""ENERGY!$A$2:$F$2692""), {2,3,4,5,6},0))"),"The Americas")</f>
        <v>The Americas</v>
      </c>
      <c r="AC343" s="14" t="str">
        <f>IFERROR(__xludf.DUMMYFUNCTION("""COMPUTED_VALUE"""),"Brazil-The Americas")</f>
        <v>Brazil-The Americas</v>
      </c>
      <c r="AD343" s="14" t="str">
        <f>IFERROR(__xludf.DUMMYFUNCTION("""COMPUTED_VALUE"""),"2003")</f>
        <v>2003</v>
      </c>
      <c r="AE343" s="14">
        <f>IFERROR(__xludf.DUMMYFUNCTION("""COMPUTED_VALUE"""),240464.0)</f>
        <v>240464</v>
      </c>
      <c r="AF343" s="14">
        <f>IFERROR(__xludf.DUMMYFUNCTION("""COMPUTED_VALUE"""),367147.0)</f>
        <v>367147</v>
      </c>
    </row>
    <row r="344">
      <c r="A344" s="12">
        <v>343.0</v>
      </c>
      <c r="B344" s="12" t="s">
        <v>105</v>
      </c>
      <c r="C344" s="5" t="s">
        <v>84</v>
      </c>
      <c r="D344" s="8"/>
      <c r="E344" s="11">
        <v>152.0</v>
      </c>
      <c r="F344" s="8"/>
      <c r="G344" s="8"/>
      <c r="H344" s="11">
        <v>0.191</v>
      </c>
      <c r="I344" s="11">
        <v>0.357</v>
      </c>
      <c r="J344" s="9" t="s">
        <v>65</v>
      </c>
      <c r="K344" s="14" t="str">
        <f>IFERROR(__xludf.DUMMYFUNCTION("ARRAYFORMULA(VLOOKUP(A344,IMPORTRANGE(""https://docs.google.com/spreadsheets/d/1BuTWp7qHGjWhqrnf-OmePP568O4A5Am9ttzvVdP67zw/edit#gid=1603210130"", ""TOURISM!$A$2:$F$2692""), {2,3,4,5,6},0))"),"The Americas")</f>
        <v>The Americas</v>
      </c>
      <c r="L344" s="14">
        <f>IFERROR(__xludf.DUMMYFUNCTION("""COMPUTED_VALUE"""),3.389E9)</f>
        <v>3389000000</v>
      </c>
      <c r="M344" s="14" t="str">
        <f>IFERROR(__xludf.DUMMYFUNCTION("""COMPUTED_VALUE"""),"Brazil-The Americas")</f>
        <v>Brazil-The Americas</v>
      </c>
      <c r="N344" s="14" t="str">
        <f>IFERROR(__xludf.DUMMYFUNCTION("""COMPUTED_VALUE"""),"2004")</f>
        <v>2004</v>
      </c>
      <c r="O344" s="14">
        <f>IFERROR(__xludf.DUMMYFUNCTION("""COMPUTED_VALUE"""),3.752E9)</f>
        <v>3752000000</v>
      </c>
      <c r="P344" s="15">
        <f>IFERROR(__xludf.DUMMYFUNCTION("ARRAYFORMULA(VLOOKUP(A344,IMPORTRANGE(""https://docs.google.com/spreadsheets/d/1BuTWp7qHGjWhqrnf-OmePP568O4A5Am9ttzvVdP67zw/edit#gid=771602874"" ,""HUMAN RESOURCES!$A$2:$M$2692""), {2,3,4,5,6,7,8,9,10,11,12,13},0))"),0.019)</f>
        <v>0.019</v>
      </c>
      <c r="Q344" s="14">
        <f>IFERROR(__xludf.DUMMYFUNCTION("""COMPUTED_VALUE"""),0.022)</f>
        <v>0.022</v>
      </c>
      <c r="R344" s="14">
        <f>IFERROR(__xludf.DUMMYFUNCTION("""COMPUTED_VALUE"""),75.0)</f>
        <v>75</v>
      </c>
      <c r="S344" s="14">
        <f>IFERROR(__xludf.DUMMYFUNCTION("""COMPUTED_VALUE"""),68.0)</f>
        <v>68</v>
      </c>
      <c r="T344" s="14">
        <f>IFERROR(__xludf.DUMMYFUNCTION("""COMPUTED_VALUE"""),0.28)</f>
        <v>0.28</v>
      </c>
      <c r="U344" s="14">
        <f>IFERROR(__xludf.DUMMYFUNCTION("""COMPUTED_VALUE"""),0.66)</f>
        <v>0.66</v>
      </c>
      <c r="V344" s="14">
        <f>IFERROR(__xludf.DUMMYFUNCTION("""COMPUTED_VALUE"""),0.06)</f>
        <v>0.06</v>
      </c>
      <c r="W344" s="14">
        <f>IFERROR(__xludf.DUMMYFUNCTION("""COMPUTED_VALUE"""),1.84010283E8)</f>
        <v>184010283</v>
      </c>
      <c r="X344" s="14">
        <f>IFERROR(__xludf.DUMMYFUNCTION("""COMPUTED_VALUE"""),0.825)</f>
        <v>0.825</v>
      </c>
      <c r="Y344" s="14" t="str">
        <f>IFERROR(__xludf.DUMMYFUNCTION("""COMPUTED_VALUE"""),"Brazil-The Americas")</f>
        <v>Brazil-The Americas</v>
      </c>
      <c r="Z344" s="14" t="str">
        <f>IFERROR(__xludf.DUMMYFUNCTION("""COMPUTED_VALUE"""),"The Americas")</f>
        <v>The Americas</v>
      </c>
      <c r="AA344" s="14" t="str">
        <f>IFERROR(__xludf.DUMMYFUNCTION("""COMPUTED_VALUE"""),"2004")</f>
        <v>2004</v>
      </c>
      <c r="AB344" s="15" t="str">
        <f>IFERROR(__xludf.DUMMYFUNCTION("ARRAYFORMULA(VLOOKUP(A344,IMPORTRANGE(""https://docs.google.com/spreadsheets/d/1BuTWp7qHGjWhqrnf-OmePP568O4A5Am9ttzvVdP67zw/edit#gid=1931367683"" ,""ENERGY!$A$2:$F$2692""), {2,3,4,5,6},0))"),"The Americas")</f>
        <v>The Americas</v>
      </c>
      <c r="AC344" s="14" t="str">
        <f>IFERROR(__xludf.DUMMYFUNCTION("""COMPUTED_VALUE"""),"Brazil-The Americas")</f>
        <v>Brazil-The Americas</v>
      </c>
      <c r="AD344" s="14" t="str">
        <f>IFERROR(__xludf.DUMMYFUNCTION("""COMPUTED_VALUE"""),"2004")</f>
        <v>2004</v>
      </c>
      <c r="AE344" s="14">
        <f>IFERROR(__xludf.DUMMYFUNCTION("""COMPUTED_VALUE"""),248594.0)</f>
        <v>248594</v>
      </c>
      <c r="AF344" s="14">
        <f>IFERROR(__xludf.DUMMYFUNCTION("""COMPUTED_VALUE"""),387675.0)</f>
        <v>387675</v>
      </c>
    </row>
    <row r="345">
      <c r="A345" s="12">
        <v>344.0</v>
      </c>
      <c r="B345" s="12" t="s">
        <v>105</v>
      </c>
      <c r="C345" s="5" t="s">
        <v>84</v>
      </c>
      <c r="D345" s="11">
        <v>0.69</v>
      </c>
      <c r="E345" s="11">
        <v>152.0</v>
      </c>
      <c r="F345" s="8"/>
      <c r="G345" s="11">
        <v>2600.0</v>
      </c>
      <c r="H345" s="11">
        <v>0.21</v>
      </c>
      <c r="I345" s="11">
        <v>0.463</v>
      </c>
      <c r="J345" s="9" t="s">
        <v>66</v>
      </c>
      <c r="K345" s="14" t="str">
        <f>IFERROR(__xludf.DUMMYFUNCTION("ARRAYFORMULA(VLOOKUP(A345,IMPORTRANGE(""https://docs.google.com/spreadsheets/d/1BuTWp7qHGjWhqrnf-OmePP568O4A5Am9ttzvVdP67zw/edit#gid=1603210130"", ""TOURISM!$A$2:$F$2692""), {2,3,4,5,6},0))"),"The Americas")</f>
        <v>The Americas</v>
      </c>
      <c r="L345" s="14">
        <f>IFERROR(__xludf.DUMMYFUNCTION("""COMPUTED_VALUE"""),4.168E9)</f>
        <v>4168000000</v>
      </c>
      <c r="M345" s="14" t="str">
        <f>IFERROR(__xludf.DUMMYFUNCTION("""COMPUTED_VALUE"""),"Brazil-The Americas")</f>
        <v>Brazil-The Americas</v>
      </c>
      <c r="N345" s="14" t="str">
        <f>IFERROR(__xludf.DUMMYFUNCTION("""COMPUTED_VALUE"""),"2005")</f>
        <v>2005</v>
      </c>
      <c r="O345" s="14">
        <f>IFERROR(__xludf.DUMMYFUNCTION("""COMPUTED_VALUE"""),5.905E9)</f>
        <v>5905000000</v>
      </c>
      <c r="P345" s="15">
        <f>IFERROR(__xludf.DUMMYFUNCTION("ARRAYFORMULA(VLOOKUP(A345,IMPORTRANGE(""https://docs.google.com/spreadsheets/d/1BuTWp7qHGjWhqrnf-OmePP568O4A5Am9ttzvVdP67zw/edit#gid=771602874"" ,""HUMAN RESOURCES!$A$2:$M$2692""), {2,3,4,5,6,7,8,9,10,11,12,13},0))"),0.018)</f>
        <v>0.018</v>
      </c>
      <c r="Q345" s="14">
        <f>IFERROR(__xludf.DUMMYFUNCTION("""COMPUTED_VALUE"""),0.02)</f>
        <v>0.02</v>
      </c>
      <c r="R345" s="14">
        <f>IFERROR(__xludf.DUMMYFUNCTION("""COMPUTED_VALUE"""),76.0)</f>
        <v>76</v>
      </c>
      <c r="S345" s="14">
        <f>IFERROR(__xludf.DUMMYFUNCTION("""COMPUTED_VALUE"""),68.0)</f>
        <v>68</v>
      </c>
      <c r="T345" s="14">
        <f>IFERROR(__xludf.DUMMYFUNCTION("""COMPUTED_VALUE"""),0.276)</f>
        <v>0.276</v>
      </c>
      <c r="U345" s="14">
        <f>IFERROR(__xludf.DUMMYFUNCTION("""COMPUTED_VALUE"""),0.663)</f>
        <v>0.663</v>
      </c>
      <c r="V345" s="14">
        <f>IFERROR(__xludf.DUMMYFUNCTION("""COMPUTED_VALUE"""),0.062)</f>
        <v>0.062</v>
      </c>
      <c r="W345" s="14">
        <f>IFERROR(__xludf.DUMMYFUNCTION("""COMPUTED_VALUE"""),1.86142403E8)</f>
        <v>186142403</v>
      </c>
      <c r="X345" s="14">
        <f>IFERROR(__xludf.DUMMYFUNCTION("""COMPUTED_VALUE"""),0.828)</f>
        <v>0.828</v>
      </c>
      <c r="Y345" s="14" t="str">
        <f>IFERROR(__xludf.DUMMYFUNCTION("""COMPUTED_VALUE"""),"Brazil-The Americas")</f>
        <v>Brazil-The Americas</v>
      </c>
      <c r="Z345" s="14" t="str">
        <f>IFERROR(__xludf.DUMMYFUNCTION("""COMPUTED_VALUE"""),"The Americas")</f>
        <v>The Americas</v>
      </c>
      <c r="AA345" s="14" t="str">
        <f>IFERROR(__xludf.DUMMYFUNCTION("""COMPUTED_VALUE"""),"2005")</f>
        <v>2005</v>
      </c>
      <c r="AB345" s="15" t="str">
        <f>IFERROR(__xludf.DUMMYFUNCTION("ARRAYFORMULA(VLOOKUP(A345,IMPORTRANGE(""https://docs.google.com/spreadsheets/d/1BuTWp7qHGjWhqrnf-OmePP568O4A5Am9ttzvVdP67zw/edit#gid=1931367683"" ,""ENERGY!$A$2:$F$2692""), {2,3,4,5,6},0))"),"The Americas")</f>
        <v>The Americas</v>
      </c>
      <c r="AC345" s="14" t="str">
        <f>IFERROR(__xludf.DUMMYFUNCTION("""COMPUTED_VALUE"""),"Brazil-The Americas")</f>
        <v>Brazil-The Americas</v>
      </c>
      <c r="AD345" s="14" t="str">
        <f>IFERROR(__xludf.DUMMYFUNCTION("""COMPUTED_VALUE"""),"2006")</f>
        <v>2006</v>
      </c>
      <c r="AE345" s="14">
        <f>IFERROR(__xludf.DUMMYFUNCTION("""COMPUTED_VALUE"""),235460.0)</f>
        <v>235460</v>
      </c>
      <c r="AF345" s="14">
        <f>IFERROR(__xludf.DUMMYFUNCTION("""COMPUTED_VALUE"""),363213.0)</f>
        <v>363213</v>
      </c>
    </row>
    <row r="346">
      <c r="A346" s="12">
        <v>345.0</v>
      </c>
      <c r="B346" s="12" t="s">
        <v>105</v>
      </c>
      <c r="C346" s="5" t="s">
        <v>84</v>
      </c>
      <c r="D346" s="11">
        <v>0.69</v>
      </c>
      <c r="E346" s="11">
        <v>149.0</v>
      </c>
      <c r="F346" s="8"/>
      <c r="G346" s="11">
        <v>2600.0</v>
      </c>
      <c r="H346" s="11">
        <v>0.282</v>
      </c>
      <c r="I346" s="11">
        <v>0.531</v>
      </c>
      <c r="J346" s="9" t="s">
        <v>67</v>
      </c>
      <c r="K346" s="14" t="str">
        <f>IFERROR(__xludf.DUMMYFUNCTION("ARRAYFORMULA(VLOOKUP(A346,IMPORTRANGE(""https://docs.google.com/spreadsheets/d/1BuTWp7qHGjWhqrnf-OmePP568O4A5Am9ttzvVdP67zw/edit#gid=1603210130"", ""TOURISM!$A$2:$F$2692""), {2,3,4,5,6},0))"),"The Americas")</f>
        <v>The Americas</v>
      </c>
      <c r="L346" s="14">
        <f>IFERROR(__xludf.DUMMYFUNCTION("""COMPUTED_VALUE"""),4.577E9)</f>
        <v>4577000000</v>
      </c>
      <c r="M346" s="14" t="str">
        <f>IFERROR(__xludf.DUMMYFUNCTION("""COMPUTED_VALUE"""),"Brazil-The Americas")</f>
        <v>Brazil-The Americas</v>
      </c>
      <c r="N346" s="14" t="str">
        <f>IFERROR(__xludf.DUMMYFUNCTION("""COMPUTED_VALUE"""),"2006")</f>
        <v>2006</v>
      </c>
      <c r="O346" s="14">
        <f>IFERROR(__xludf.DUMMYFUNCTION("""COMPUTED_VALUE"""),7.501E9)</f>
        <v>7501000000</v>
      </c>
      <c r="P346" s="15">
        <f>IFERROR(__xludf.DUMMYFUNCTION("ARRAYFORMULA(VLOOKUP(A346,IMPORTRANGE(""https://docs.google.com/spreadsheets/d/1BuTWp7qHGjWhqrnf-OmePP568O4A5Am9ttzvVdP67zw/edit#gid=771602874"" ,""HUMAN RESOURCES!$A$2:$M$2692""), {2,3,4,5,6,7,8,9,10,11,12,13},0))"),0.017)</f>
        <v>0.017</v>
      </c>
      <c r="Q346" s="14">
        <f>IFERROR(__xludf.DUMMYFUNCTION("""COMPUTED_VALUE"""),0.019)</f>
        <v>0.019</v>
      </c>
      <c r="R346" s="14">
        <f>IFERROR(__xludf.DUMMYFUNCTION("""COMPUTED_VALUE"""),76.0)</f>
        <v>76</v>
      </c>
      <c r="S346" s="14">
        <f>IFERROR(__xludf.DUMMYFUNCTION("""COMPUTED_VALUE"""),68.0)</f>
        <v>68</v>
      </c>
      <c r="T346" s="14">
        <f>IFERROR(__xludf.DUMMYFUNCTION("""COMPUTED_VALUE"""),0.272)</f>
        <v>0.272</v>
      </c>
      <c r="U346" s="14">
        <f>IFERROR(__xludf.DUMMYFUNCTION("""COMPUTED_VALUE"""),0.665)</f>
        <v>0.665</v>
      </c>
      <c r="V346" s="14">
        <f>IFERROR(__xludf.DUMMYFUNCTION("""COMPUTED_VALUE"""),0.063)</f>
        <v>0.063</v>
      </c>
      <c r="W346" s="14">
        <f>IFERROR(__xludf.DUMMYFUNCTION("""COMPUTED_VALUE"""),1.88134315E8)</f>
        <v>188134315</v>
      </c>
      <c r="X346" s="14">
        <f>IFERROR(__xludf.DUMMYFUNCTION("""COMPUTED_VALUE"""),0.831)</f>
        <v>0.831</v>
      </c>
      <c r="Y346" s="14" t="str">
        <f>IFERROR(__xludf.DUMMYFUNCTION("""COMPUTED_VALUE"""),"Brazil-The Americas")</f>
        <v>Brazil-The Americas</v>
      </c>
      <c r="Z346" s="14" t="str">
        <f>IFERROR(__xludf.DUMMYFUNCTION("""COMPUTED_VALUE"""),"The Americas")</f>
        <v>The Americas</v>
      </c>
      <c r="AA346" s="14" t="str">
        <f>IFERROR(__xludf.DUMMYFUNCTION("""COMPUTED_VALUE"""),"2006")</f>
        <v>2006</v>
      </c>
      <c r="AB346" s="15" t="str">
        <f>IFERROR(__xludf.DUMMYFUNCTION("ARRAYFORMULA(VLOOKUP(A346,IMPORTRANGE(""https://docs.google.com/spreadsheets/d/1BuTWp7qHGjWhqrnf-OmePP568O4A5Am9ttzvVdP67zw/edit#gid=1931367683"" ,""ENERGY!$A$2:$F$2692""), {2,3,4,5,6},0))"),"The Americas")</f>
        <v>The Americas</v>
      </c>
      <c r="AC346" s="14" t="str">
        <f>IFERROR(__xludf.DUMMYFUNCTION("""COMPUTED_VALUE"""),"Brazil-The Americas")</f>
        <v>Brazil-The Americas</v>
      </c>
      <c r="AD346" s="14" t="str">
        <f>IFERROR(__xludf.DUMMYFUNCTION("""COMPUTED_VALUE"""),"2010")</f>
        <v>2010</v>
      </c>
      <c r="AE346" s="14">
        <f>IFERROR(__xludf.DUMMYFUNCTION("""COMPUTED_VALUE"""),222818.0)</f>
        <v>222818</v>
      </c>
      <c r="AF346" s="14">
        <f>IFERROR(__xludf.DUMMYFUNCTION("""COMPUTED_VALUE"""),347668.0)</f>
        <v>347668</v>
      </c>
    </row>
    <row r="347">
      <c r="A347" s="12">
        <v>346.0</v>
      </c>
      <c r="B347" s="12" t="s">
        <v>105</v>
      </c>
      <c r="C347" s="5" t="s">
        <v>84</v>
      </c>
      <c r="D347" s="11">
        <v>0.69</v>
      </c>
      <c r="E347" s="11">
        <v>149.0</v>
      </c>
      <c r="F347" s="8"/>
      <c r="G347" s="11">
        <v>2600.0</v>
      </c>
      <c r="H347" s="11">
        <v>0.309</v>
      </c>
      <c r="I347" s="11">
        <v>0.637</v>
      </c>
      <c r="J347" s="9" t="s">
        <v>68</v>
      </c>
      <c r="K347" s="14" t="str">
        <f>IFERROR(__xludf.DUMMYFUNCTION("ARRAYFORMULA(VLOOKUP(A347,IMPORTRANGE(""https://docs.google.com/spreadsheets/d/1BuTWp7qHGjWhqrnf-OmePP568O4A5Am9ttzvVdP67zw/edit#gid=1603210130"", ""TOURISM!$A$2:$F$2692""), {2,3,4,5,6},0))"),"The Americas")</f>
        <v>The Americas</v>
      </c>
      <c r="L347" s="14">
        <f>IFERROR(__xludf.DUMMYFUNCTION("""COMPUTED_VALUE"""),5.284E9)</f>
        <v>5284000000</v>
      </c>
      <c r="M347" s="14" t="str">
        <f>IFERROR(__xludf.DUMMYFUNCTION("""COMPUTED_VALUE"""),"Brazil-The Americas")</f>
        <v>Brazil-The Americas</v>
      </c>
      <c r="N347" s="14" t="str">
        <f>IFERROR(__xludf.DUMMYFUNCTION("""COMPUTED_VALUE"""),"2007")</f>
        <v>2007</v>
      </c>
      <c r="O347" s="14">
        <f>IFERROR(__xludf.DUMMYFUNCTION("""COMPUTED_VALUE"""),1.0434E10)</f>
        <v>10434000000</v>
      </c>
      <c r="P347" s="15">
        <f>IFERROR(__xludf.DUMMYFUNCTION("ARRAYFORMULA(VLOOKUP(A347,IMPORTRANGE(""https://docs.google.com/spreadsheets/d/1BuTWp7qHGjWhqrnf-OmePP568O4A5Am9ttzvVdP67zw/edit#gid=771602874"" ,""HUMAN RESOURCES!$A$2:$M$2692""), {2,3,4,5,6,7,8,9,10,11,12,13},0))"),0.017)</f>
        <v>0.017</v>
      </c>
      <c r="Q347" s="14">
        <f>IFERROR(__xludf.DUMMYFUNCTION("""COMPUTED_VALUE"""),0.018)</f>
        <v>0.018</v>
      </c>
      <c r="R347" s="14">
        <f>IFERROR(__xludf.DUMMYFUNCTION("""COMPUTED_VALUE"""),76.0)</f>
        <v>76</v>
      </c>
      <c r="S347" s="14">
        <f>IFERROR(__xludf.DUMMYFUNCTION("""COMPUTED_VALUE"""),69.0)</f>
        <v>69</v>
      </c>
      <c r="T347" s="14">
        <f>IFERROR(__xludf.DUMMYFUNCTION("""COMPUTED_VALUE"""),0.268)</f>
        <v>0.268</v>
      </c>
      <c r="U347" s="14">
        <f>IFERROR(__xludf.DUMMYFUNCTION("""COMPUTED_VALUE"""),0.668)</f>
        <v>0.668</v>
      </c>
      <c r="V347" s="14">
        <f>IFERROR(__xludf.DUMMYFUNCTION("""COMPUTED_VALUE"""),0.064)</f>
        <v>0.064</v>
      </c>
      <c r="W347" s="14">
        <f>IFERROR(__xludf.DUMMYFUNCTION("""COMPUTED_VALUE"""),1.89996976E8)</f>
        <v>189996976</v>
      </c>
      <c r="X347" s="14">
        <f>IFERROR(__xludf.DUMMYFUNCTION("""COMPUTED_VALUE"""),0.834)</f>
        <v>0.834</v>
      </c>
      <c r="Y347" s="14" t="str">
        <f>IFERROR(__xludf.DUMMYFUNCTION("""COMPUTED_VALUE"""),"Brazil-The Americas")</f>
        <v>Brazil-The Americas</v>
      </c>
      <c r="Z347" s="14" t="str">
        <f>IFERROR(__xludf.DUMMYFUNCTION("""COMPUTED_VALUE"""),"The Americas")</f>
        <v>The Americas</v>
      </c>
      <c r="AA347" s="14" t="str">
        <f>IFERROR(__xludf.DUMMYFUNCTION("""COMPUTED_VALUE"""),"2007")</f>
        <v>2007</v>
      </c>
      <c r="AB347" s="15" t="str">
        <f>IFERROR(__xludf.DUMMYFUNCTION("ARRAYFORMULA(VLOOKUP(A347,IMPORTRANGE(""https://docs.google.com/spreadsheets/d/1BuTWp7qHGjWhqrnf-OmePP568O4A5Am9ttzvVdP67zw/edit#gid=1931367683"" ,""ENERGY!$A$2:$F$2692""), {2,3,4,5,6},0))"),"The Americas")</f>
        <v>The Americas</v>
      </c>
      <c r="AC347" s="14" t="str">
        <f>IFERROR(__xludf.DUMMYFUNCTION("""COMPUTED_VALUE"""),"Brazil-The Americas")</f>
        <v>Brazil-The Americas</v>
      </c>
      <c r="AD347" s="14" t="str">
        <f>IFERROR(__xludf.DUMMYFUNCTION("""COMPUTED_VALUE"""),"2006")</f>
        <v>2006</v>
      </c>
      <c r="AE347" s="14">
        <f>IFERROR(__xludf.DUMMYFUNCTION("""COMPUTED_VALUE"""),215332.0)</f>
        <v>215332</v>
      </c>
      <c r="AF347" s="14">
        <f>IFERROR(__xludf.DUMMYFUNCTION("""COMPUTED_VALUE"""),347309.0)</f>
        <v>347309</v>
      </c>
    </row>
    <row r="348">
      <c r="A348" s="12">
        <v>347.0</v>
      </c>
      <c r="B348" s="12" t="s">
        <v>105</v>
      </c>
      <c r="C348" s="5" t="s">
        <v>84</v>
      </c>
      <c r="D348" s="11">
        <v>0.684</v>
      </c>
      <c r="E348" s="11">
        <v>149.0</v>
      </c>
      <c r="F348" s="8"/>
      <c r="G348" s="11">
        <v>2600.0</v>
      </c>
      <c r="H348" s="11">
        <v>0.338</v>
      </c>
      <c r="I348" s="11">
        <v>0.786</v>
      </c>
      <c r="J348" s="9" t="s">
        <v>69</v>
      </c>
      <c r="K348" s="14" t="str">
        <f>IFERROR(__xludf.DUMMYFUNCTION("ARRAYFORMULA(VLOOKUP(A348,IMPORTRANGE(""https://docs.google.com/spreadsheets/d/1BuTWp7qHGjWhqrnf-OmePP568O4A5Am9ttzvVdP67zw/edit#gid=1603210130"", ""TOURISM!$A$2:$F$2692""), {2,3,4,5,6},0))"),"The Americas")</f>
        <v>The Americas</v>
      </c>
      <c r="L348" s="14">
        <f>IFERROR(__xludf.DUMMYFUNCTION("""COMPUTED_VALUE"""),6.109E9)</f>
        <v>6109000000</v>
      </c>
      <c r="M348" s="14" t="str">
        <f>IFERROR(__xludf.DUMMYFUNCTION("""COMPUTED_VALUE"""),"Brazil-The Americas")</f>
        <v>Brazil-The Americas</v>
      </c>
      <c r="N348" s="14" t="str">
        <f>IFERROR(__xludf.DUMMYFUNCTION("""COMPUTED_VALUE"""),"2008")</f>
        <v>2008</v>
      </c>
      <c r="O348" s="14">
        <f>IFERROR(__xludf.DUMMYFUNCTION("""COMPUTED_VALUE"""),1.3269E10)</f>
        <v>13269000000</v>
      </c>
      <c r="P348" s="15">
        <f>IFERROR(__xludf.DUMMYFUNCTION("ARRAYFORMULA(VLOOKUP(A348,IMPORTRANGE(""https://docs.google.com/spreadsheets/d/1BuTWp7qHGjWhqrnf-OmePP568O4A5Am9ttzvVdP67zw/edit#gid=771602874"" ,""HUMAN RESOURCES!$A$2:$M$2692""), {2,3,4,5,6,7,8,9,10,11,12,13},0))"),0.016)</f>
        <v>0.016</v>
      </c>
      <c r="Q348" s="14">
        <f>IFERROR(__xludf.DUMMYFUNCTION("""COMPUTED_VALUE"""),0.017)</f>
        <v>0.017</v>
      </c>
      <c r="R348" s="14">
        <f>IFERROR(__xludf.DUMMYFUNCTION("""COMPUTED_VALUE"""),76.0)</f>
        <v>76</v>
      </c>
      <c r="S348" s="14">
        <f>IFERROR(__xludf.DUMMYFUNCTION("""COMPUTED_VALUE"""),69.0)</f>
        <v>69</v>
      </c>
      <c r="T348" s="14">
        <f>IFERROR(__xludf.DUMMYFUNCTION("""COMPUTED_VALUE"""),0.264)</f>
        <v>0.264</v>
      </c>
      <c r="U348" s="14">
        <f>IFERROR(__xludf.DUMMYFUNCTION("""COMPUTED_VALUE"""),0.671)</f>
        <v>0.671</v>
      </c>
      <c r="V348" s="14">
        <f>IFERROR(__xludf.DUMMYFUNCTION("""COMPUTED_VALUE"""),0.066)</f>
        <v>0.066</v>
      </c>
      <c r="W348" s="14">
        <f>IFERROR(__xludf.DUMMYFUNCTION("""COMPUTED_VALUE"""),1.91765567E8)</f>
        <v>191765567</v>
      </c>
      <c r="X348" s="14">
        <f>IFERROR(__xludf.DUMMYFUNCTION("""COMPUTED_VALUE"""),0.837)</f>
        <v>0.837</v>
      </c>
      <c r="Y348" s="14" t="str">
        <f>IFERROR(__xludf.DUMMYFUNCTION("""COMPUTED_VALUE"""),"Brazil-The Americas")</f>
        <v>Brazil-The Americas</v>
      </c>
      <c r="Z348" s="14" t="str">
        <f>IFERROR(__xludf.DUMMYFUNCTION("""COMPUTED_VALUE"""),"The Americas")</f>
        <v>The Americas</v>
      </c>
      <c r="AA348" s="14" t="str">
        <f>IFERROR(__xludf.DUMMYFUNCTION("""COMPUTED_VALUE"""),"2008")</f>
        <v>2008</v>
      </c>
      <c r="AB348" s="15" t="str">
        <f>IFERROR(__xludf.DUMMYFUNCTION("ARRAYFORMULA(VLOOKUP(A348,IMPORTRANGE(""https://docs.google.com/spreadsheets/d/1BuTWp7qHGjWhqrnf-OmePP568O4A5Am9ttzvVdP67zw/edit#gid=1931367683"" ,""ENERGY!$A$2:$F$2692""), {2,3,4,5,6},0))"),"The Americas")</f>
        <v>The Americas</v>
      </c>
      <c r="AC348" s="14" t="str">
        <f>IFERROR(__xludf.DUMMYFUNCTION("""COMPUTED_VALUE"""),"Brazil-The Americas")</f>
        <v>Brazil-The Americas</v>
      </c>
      <c r="AD348" s="14" t="str">
        <f>IFERROR(__xludf.DUMMYFUNCTION("""COMPUTED_VALUE"""),"2012")</f>
        <v>2012</v>
      </c>
      <c r="AE348" s="14">
        <f>IFERROR(__xludf.DUMMYFUNCTION("""COMPUTED_VALUE"""),210042.0)</f>
        <v>210042</v>
      </c>
      <c r="AF348" s="14">
        <f>IFERROR(__xludf.DUMMYFUNCTION("""COMPUTED_VALUE"""),337826.0)</f>
        <v>337826</v>
      </c>
    </row>
    <row r="349">
      <c r="A349" s="12">
        <v>348.0</v>
      </c>
      <c r="B349" s="12" t="s">
        <v>105</v>
      </c>
      <c r="C349" s="5" t="s">
        <v>84</v>
      </c>
      <c r="D349" s="11">
        <v>0.656</v>
      </c>
      <c r="E349" s="11">
        <v>119.0</v>
      </c>
      <c r="F349" s="8"/>
      <c r="G349" s="11">
        <v>2600.0</v>
      </c>
      <c r="H349" s="11">
        <v>0.392</v>
      </c>
      <c r="I349" s="11">
        <v>0.875</v>
      </c>
      <c r="J349" s="9" t="s">
        <v>70</v>
      </c>
      <c r="K349" s="14" t="str">
        <f>IFERROR(__xludf.DUMMYFUNCTION("ARRAYFORMULA(VLOOKUP(A349,IMPORTRANGE(""https://docs.google.com/spreadsheets/d/1BuTWp7qHGjWhqrnf-OmePP568O4A5Am9ttzvVdP67zw/edit#gid=1603210130"", ""TOURISM!$A$2:$F$2692""), {2,3,4,5,6},0))"),"The Americas")</f>
        <v>The Americas</v>
      </c>
      <c r="L349" s="14">
        <f>IFERROR(__xludf.DUMMYFUNCTION("""COMPUTED_VALUE"""),5.635E9)</f>
        <v>5635000000</v>
      </c>
      <c r="M349" s="14" t="str">
        <f>IFERROR(__xludf.DUMMYFUNCTION("""COMPUTED_VALUE"""),"Brazil-The Americas")</f>
        <v>Brazil-The Americas</v>
      </c>
      <c r="N349" s="14" t="str">
        <f>IFERROR(__xludf.DUMMYFUNCTION("""COMPUTED_VALUE"""),"2009")</f>
        <v>2009</v>
      </c>
      <c r="O349" s="14">
        <f>IFERROR(__xludf.DUMMYFUNCTION("""COMPUTED_VALUE"""),1.2897E10)</f>
        <v>12897000000</v>
      </c>
      <c r="P349" s="15">
        <f>IFERROR(__xludf.DUMMYFUNCTION("ARRAYFORMULA(VLOOKUP(A349,IMPORTRANGE(""https://docs.google.com/spreadsheets/d/1BuTWp7qHGjWhqrnf-OmePP568O4A5Am9ttzvVdP67zw/edit#gid=771602874"" ,""HUMAN RESOURCES!$A$2:$M$2692""), {2,3,4,5,6,7,8,9,10,11,12,13},0))"),0.016)</f>
        <v>0.016</v>
      </c>
      <c r="Q349" s="14">
        <f>IFERROR(__xludf.DUMMYFUNCTION("""COMPUTED_VALUE"""),0.016)</f>
        <v>0.016</v>
      </c>
      <c r="R349" s="14">
        <f>IFERROR(__xludf.DUMMYFUNCTION("""COMPUTED_VALUE"""),77.0)</f>
        <v>77</v>
      </c>
      <c r="S349" s="14">
        <f>IFERROR(__xludf.DUMMYFUNCTION("""COMPUTED_VALUE"""),69.0)</f>
        <v>69</v>
      </c>
      <c r="T349" s="14">
        <f>IFERROR(__xludf.DUMMYFUNCTION("""COMPUTED_VALUE"""),0.259)</f>
        <v>0.259</v>
      </c>
      <c r="U349" s="14">
        <f>IFERROR(__xludf.DUMMYFUNCTION("""COMPUTED_VALUE"""),0.673)</f>
        <v>0.673</v>
      </c>
      <c r="V349" s="14">
        <f>IFERROR(__xludf.DUMMYFUNCTION("""COMPUTED_VALUE"""),0.067)</f>
        <v>0.067</v>
      </c>
      <c r="W349" s="14">
        <f>IFERROR(__xludf.DUMMYFUNCTION("""COMPUTED_VALUE"""),1.93490922E8)</f>
        <v>193490922</v>
      </c>
      <c r="X349" s="14">
        <f>IFERROR(__xludf.DUMMYFUNCTION("""COMPUTED_VALUE"""),0.84)</f>
        <v>0.84</v>
      </c>
      <c r="Y349" s="14" t="str">
        <f>IFERROR(__xludf.DUMMYFUNCTION("""COMPUTED_VALUE"""),"Brazil-The Americas")</f>
        <v>Brazil-The Americas</v>
      </c>
      <c r="Z349" s="14" t="str">
        <f>IFERROR(__xludf.DUMMYFUNCTION("""COMPUTED_VALUE"""),"The Americas")</f>
        <v>The Americas</v>
      </c>
      <c r="AA349" s="14" t="str">
        <f>IFERROR(__xludf.DUMMYFUNCTION("""COMPUTED_VALUE"""),"2009")</f>
        <v>2009</v>
      </c>
      <c r="AB349" s="15" t="str">
        <f>IFERROR(__xludf.DUMMYFUNCTION("ARRAYFORMULA(VLOOKUP(A349,IMPORTRANGE(""https://docs.google.com/spreadsheets/d/1BuTWp7qHGjWhqrnf-OmePP568O4A5Am9ttzvVdP67zw/edit#gid=1931367683"" ,""ENERGY!$A$2:$F$2692""), {2,3,4,5,6},0))"),"The Americas")</f>
        <v>The Americas</v>
      </c>
      <c r="AC349" s="14" t="str">
        <f>IFERROR(__xludf.DUMMYFUNCTION("""COMPUTED_VALUE"""),"Brazil-The Americas")</f>
        <v>Brazil-The Americas</v>
      </c>
      <c r="AD349" s="14" t="str">
        <f>IFERROR(__xludf.DUMMYFUNCTION("""COMPUTED_VALUE"""),"2009")</f>
        <v>2009</v>
      </c>
      <c r="AE349" s="14">
        <f>IFERROR(__xludf.DUMMYFUNCTION("""COMPUTED_VALUE"""),198976.0)</f>
        <v>198976</v>
      </c>
      <c r="AF349" s="14">
        <f>IFERROR(__xludf.DUMMYFUNCTION("""COMPUTED_VALUE"""),321622.0)</f>
        <v>321622</v>
      </c>
    </row>
    <row r="350">
      <c r="A350" s="12">
        <v>349.0</v>
      </c>
      <c r="B350" s="12" t="s">
        <v>105</v>
      </c>
      <c r="C350" s="5" t="s">
        <v>84</v>
      </c>
      <c r="D350" s="11">
        <v>0.663</v>
      </c>
      <c r="E350" s="11">
        <v>119.0</v>
      </c>
      <c r="F350" s="8"/>
      <c r="G350" s="11">
        <v>2600.0</v>
      </c>
      <c r="H350" s="11">
        <v>0.407</v>
      </c>
      <c r="I350" s="11">
        <v>1.009</v>
      </c>
      <c r="J350" s="9" t="s">
        <v>71</v>
      </c>
      <c r="K350" s="14" t="str">
        <f>IFERROR(__xludf.DUMMYFUNCTION("ARRAYFORMULA(VLOOKUP(A350,IMPORTRANGE(""https://docs.google.com/spreadsheets/d/1BuTWp7qHGjWhqrnf-OmePP568O4A5Am9ttzvVdP67zw/edit#gid=1603210130"", ""TOURISM!$A$2:$F$2692""), {2,3,4,5,6},0))"),"The Americas")</f>
        <v>The Americas</v>
      </c>
      <c r="L350" s="14">
        <f>IFERROR(__xludf.DUMMYFUNCTION("""COMPUTED_VALUE"""),6.18E9)</f>
        <v>6180000000</v>
      </c>
      <c r="M350" s="14" t="str">
        <f>IFERROR(__xludf.DUMMYFUNCTION("""COMPUTED_VALUE"""),"Brazil-The Americas")</f>
        <v>Brazil-The Americas</v>
      </c>
      <c r="N350" s="14" t="str">
        <f>IFERROR(__xludf.DUMMYFUNCTION("""COMPUTED_VALUE"""),"2010")</f>
        <v>2010</v>
      </c>
      <c r="O350" s="14">
        <f>IFERROR(__xludf.DUMMYFUNCTION("""COMPUTED_VALUE"""),1.934E10)</f>
        <v>19340000000</v>
      </c>
      <c r="P350" s="15">
        <f>IFERROR(__xludf.DUMMYFUNCTION("ARRAYFORMULA(VLOOKUP(A350,IMPORTRANGE(""https://docs.google.com/spreadsheets/d/1BuTWp7qHGjWhqrnf-OmePP568O4A5Am9ttzvVdP67zw/edit#gid=771602874"" ,""HUMAN RESOURCES!$A$2:$M$2692""), {2,3,4,5,6,7,8,9,10,11,12,13},0))"),0.016)</f>
        <v>0.016</v>
      </c>
      <c r="Q350" s="14">
        <f>IFERROR(__xludf.DUMMYFUNCTION("""COMPUTED_VALUE"""),0.015)</f>
        <v>0.015</v>
      </c>
      <c r="R350" s="14">
        <f>IFERROR(__xludf.DUMMYFUNCTION("""COMPUTED_VALUE"""),77.0)</f>
        <v>77</v>
      </c>
      <c r="S350" s="14">
        <f>IFERROR(__xludf.DUMMYFUNCTION("""COMPUTED_VALUE"""),70.0)</f>
        <v>70</v>
      </c>
      <c r="T350" s="14">
        <f>IFERROR(__xludf.DUMMYFUNCTION("""COMPUTED_VALUE"""),0.255)</f>
        <v>0.255</v>
      </c>
      <c r="U350" s="14">
        <f>IFERROR(__xludf.DUMMYFUNCTION("""COMPUTED_VALUE"""),0.676)</f>
        <v>0.676</v>
      </c>
      <c r="V350" s="14">
        <f>IFERROR(__xludf.DUMMYFUNCTION("""COMPUTED_VALUE"""),0.069)</f>
        <v>0.069</v>
      </c>
      <c r="W350" s="14">
        <f>IFERROR(__xludf.DUMMYFUNCTION("""COMPUTED_VALUE"""),1.95210154E8)</f>
        <v>195210154</v>
      </c>
      <c r="X350" s="14">
        <f>IFERROR(__xludf.DUMMYFUNCTION("""COMPUTED_VALUE"""),0.843)</f>
        <v>0.843</v>
      </c>
      <c r="Y350" s="14" t="str">
        <f>IFERROR(__xludf.DUMMYFUNCTION("""COMPUTED_VALUE"""),"Brazil-The Americas")</f>
        <v>Brazil-The Americas</v>
      </c>
      <c r="Z350" s="14" t="str">
        <f>IFERROR(__xludf.DUMMYFUNCTION("""COMPUTED_VALUE"""),"The Americas")</f>
        <v>The Americas</v>
      </c>
      <c r="AA350" s="14" t="str">
        <f>IFERROR(__xludf.DUMMYFUNCTION("""COMPUTED_VALUE"""),"2010")</f>
        <v>2010</v>
      </c>
      <c r="AB350" s="15" t="str">
        <f>IFERROR(__xludf.DUMMYFUNCTION("ARRAYFORMULA(VLOOKUP(A350,IMPORTRANGE(""https://docs.google.com/spreadsheets/d/1BuTWp7qHGjWhqrnf-OmePP568O4A5Am9ttzvVdP67zw/edit#gid=1931367683"" ,""ENERGY!$A$2:$F$2692""), {2,3,4,5,6},0))"),"The Americas")</f>
        <v>The Americas</v>
      </c>
      <c r="AC350" s="14" t="str">
        <f>IFERROR(__xludf.DUMMYFUNCTION("""COMPUTED_VALUE"""),"Brazil-The Americas")</f>
        <v>Brazil-The Americas</v>
      </c>
      <c r="AD350" s="14" t="str">
        <f>IFERROR(__xludf.DUMMYFUNCTION("""COMPUTED_VALUE"""),"2006")</f>
        <v>2006</v>
      </c>
      <c r="AE350" s="14">
        <f>IFERROR(__xludf.DUMMYFUNCTION("""COMPUTED_VALUE"""),195759.0)</f>
        <v>195759</v>
      </c>
      <c r="AF350" s="14">
        <f>IFERROR(__xludf.DUMMYFUNCTION("""COMPUTED_VALUE"""),332267.0)</f>
        <v>332267</v>
      </c>
    </row>
    <row r="351">
      <c r="A351" s="12">
        <v>350.0</v>
      </c>
      <c r="B351" s="12" t="s">
        <v>105</v>
      </c>
      <c r="C351" s="5" t="s">
        <v>84</v>
      </c>
      <c r="D351" s="11">
        <v>0.663</v>
      </c>
      <c r="E351" s="11">
        <v>119.0</v>
      </c>
      <c r="F351" s="8"/>
      <c r="G351" s="11">
        <v>2600.0</v>
      </c>
      <c r="H351" s="11">
        <v>0.457</v>
      </c>
      <c r="I351" s="11">
        <v>1.19</v>
      </c>
      <c r="J351" s="9" t="s">
        <v>72</v>
      </c>
      <c r="K351" s="14" t="str">
        <f>IFERROR(__xludf.DUMMYFUNCTION("ARRAYFORMULA(VLOOKUP(A351,IMPORTRANGE(""https://docs.google.com/spreadsheets/d/1BuTWp7qHGjWhqrnf-OmePP568O4A5Am9ttzvVdP67zw/edit#gid=1603210130"", ""TOURISM!$A$2:$F$2692""), {2,3,4,5,6},0))"),"The Americas")</f>
        <v>The Americas</v>
      </c>
      <c r="L351" s="14">
        <f>IFERROR(__xludf.DUMMYFUNCTION("""COMPUTED_VALUE"""),6.83E9)</f>
        <v>6830000000</v>
      </c>
      <c r="M351" s="14" t="str">
        <f>IFERROR(__xludf.DUMMYFUNCTION("""COMPUTED_VALUE"""),"Brazil-The Americas")</f>
        <v>Brazil-The Americas</v>
      </c>
      <c r="N351" s="14" t="str">
        <f>IFERROR(__xludf.DUMMYFUNCTION("""COMPUTED_VALUE"""),"2011")</f>
        <v>2011</v>
      </c>
      <c r="O351" s="14">
        <f>IFERROR(__xludf.DUMMYFUNCTION("""COMPUTED_VALUE"""),2.507E10)</f>
        <v>25070000000</v>
      </c>
      <c r="P351" s="15">
        <f>IFERROR(__xludf.DUMMYFUNCTION("ARRAYFORMULA(VLOOKUP(A351,IMPORTRANGE(""https://docs.google.com/spreadsheets/d/1BuTWp7qHGjWhqrnf-OmePP568O4A5Am9ttzvVdP67zw/edit#gid=771602874"" ,""HUMAN RESOURCES!$A$2:$M$2692""), {2,3,4,5,6,7,8,9,10,11,12,13},0))"),0.015)</f>
        <v>0.015</v>
      </c>
      <c r="Q351" s="14">
        <f>IFERROR(__xludf.DUMMYFUNCTION("""COMPUTED_VALUE"""),0.014)</f>
        <v>0.014</v>
      </c>
      <c r="R351" s="14">
        <f>IFERROR(__xludf.DUMMYFUNCTION("""COMPUTED_VALUE"""),77.0)</f>
        <v>77</v>
      </c>
      <c r="S351" s="14">
        <f>IFERROR(__xludf.DUMMYFUNCTION("""COMPUTED_VALUE"""),70.0)</f>
        <v>70</v>
      </c>
      <c r="T351" s="14">
        <f>IFERROR(__xludf.DUMMYFUNCTION("""COMPUTED_VALUE"""),0.25)</f>
        <v>0.25</v>
      </c>
      <c r="U351" s="14">
        <f>IFERROR(__xludf.DUMMYFUNCTION("""COMPUTED_VALUE"""),0.679)</f>
        <v>0.679</v>
      </c>
      <c r="V351" s="14">
        <f>IFERROR(__xludf.DUMMYFUNCTION("""COMPUTED_VALUE"""),0.071)</f>
        <v>0.071</v>
      </c>
      <c r="W351" s="14">
        <f>IFERROR(__xludf.DUMMYFUNCTION("""COMPUTED_VALUE"""),1.96935134E8)</f>
        <v>196935134</v>
      </c>
      <c r="X351" s="14">
        <f>IFERROR(__xludf.DUMMYFUNCTION("""COMPUTED_VALUE"""),0.846)</f>
        <v>0.846</v>
      </c>
      <c r="Y351" s="14" t="str">
        <f>IFERROR(__xludf.DUMMYFUNCTION("""COMPUTED_VALUE"""),"Brazil-The Americas")</f>
        <v>Brazil-The Americas</v>
      </c>
      <c r="Z351" s="14" t="str">
        <f>IFERROR(__xludf.DUMMYFUNCTION("""COMPUTED_VALUE"""),"The Americas")</f>
        <v>The Americas</v>
      </c>
      <c r="AA351" s="14" t="str">
        <f>IFERROR(__xludf.DUMMYFUNCTION("""COMPUTED_VALUE"""),"2011")</f>
        <v>2011</v>
      </c>
      <c r="AB351" s="15" t="str">
        <f>IFERROR(__xludf.DUMMYFUNCTION("ARRAYFORMULA(VLOOKUP(A351,IMPORTRANGE(""https://docs.google.com/spreadsheets/d/1BuTWp7qHGjWhqrnf-OmePP568O4A5Am9ttzvVdP67zw/edit#gid=1931367683"" ,""ENERGY!$A$2:$F$2692""), {2,3,4,5,6},0))"),"The Americas")</f>
        <v>The Americas</v>
      </c>
      <c r="AC351" s="14" t="str">
        <f>IFERROR(__xludf.DUMMYFUNCTION("""COMPUTED_VALUE"""),"Brazil-The Americas")</f>
        <v>Brazil-The Americas</v>
      </c>
      <c r="AD351" s="14" t="str">
        <f>IFERROR(__xludf.DUMMYFUNCTION("""COMPUTED_VALUE"""),"2012")</f>
        <v>2012</v>
      </c>
      <c r="AE351" s="14">
        <f>IFERROR(__xludf.DUMMYFUNCTION("""COMPUTED_VALUE"""),190712.0)</f>
        <v>190712</v>
      </c>
      <c r="AF351" s="14">
        <f>IFERROR(__xludf.DUMMYFUNCTION("""COMPUTED_VALUE"""),337434.0)</f>
        <v>337434</v>
      </c>
    </row>
    <row r="352">
      <c r="A352" s="12">
        <v>351.0</v>
      </c>
      <c r="B352" s="12" t="s">
        <v>105</v>
      </c>
      <c r="C352" s="5" t="s">
        <v>84</v>
      </c>
      <c r="D352" s="11">
        <v>0.685</v>
      </c>
      <c r="E352" s="11">
        <v>119.0</v>
      </c>
      <c r="F352" s="11">
        <v>118.0</v>
      </c>
      <c r="G352" s="11">
        <v>2600.0</v>
      </c>
      <c r="H352" s="11">
        <v>0.486</v>
      </c>
      <c r="I352" s="11">
        <v>1.25</v>
      </c>
      <c r="J352" s="9" t="s">
        <v>73</v>
      </c>
      <c r="K352" s="14" t="str">
        <f>IFERROR(__xludf.DUMMYFUNCTION("ARRAYFORMULA(VLOOKUP(A352,IMPORTRANGE(""https://docs.google.com/spreadsheets/d/1BuTWp7qHGjWhqrnf-OmePP568O4A5Am9ttzvVdP67zw/edit#gid=1603210130"", ""TOURISM!$A$2:$F$2692""), {2,3,4,5,6},0))"),"The Americas")</f>
        <v>The Americas</v>
      </c>
      <c r="L352" s="14">
        <f>IFERROR(__xludf.DUMMYFUNCTION("""COMPUTED_VALUE"""),6.89E9)</f>
        <v>6890000000</v>
      </c>
      <c r="M352" s="14" t="str">
        <f>IFERROR(__xludf.DUMMYFUNCTION("""COMPUTED_VALUE"""),"Brazil-The Americas")</f>
        <v>Brazil-The Americas</v>
      </c>
      <c r="N352" s="14" t="str">
        <f>IFERROR(__xludf.DUMMYFUNCTION("""COMPUTED_VALUE"""),"2012")</f>
        <v>2012</v>
      </c>
      <c r="O352" s="14">
        <f>IFERROR(__xludf.DUMMYFUNCTION("""COMPUTED_VALUE"""),2.6202E10)</f>
        <v>26202000000</v>
      </c>
      <c r="P352" s="15">
        <f>IFERROR(__xludf.DUMMYFUNCTION("ARRAYFORMULA(VLOOKUP(A352,IMPORTRANGE(""https://docs.google.com/spreadsheets/d/1BuTWp7qHGjWhqrnf-OmePP568O4A5Am9ttzvVdP67zw/edit#gid=771602874"" ,""HUMAN RESOURCES!$A$2:$M$2692""), {2,3,4,5,6,7,8,9,10,11,12,13},0))"),0.015)</f>
        <v>0.015</v>
      </c>
      <c r="Q352" s="14">
        <f>IFERROR(__xludf.DUMMYFUNCTION("""COMPUTED_VALUE"""),0.013)</f>
        <v>0.013</v>
      </c>
      <c r="R352" s="14">
        <f>IFERROR(__xludf.DUMMYFUNCTION("""COMPUTED_VALUE"""),77.0)</f>
        <v>77</v>
      </c>
      <c r="S352" s="14">
        <f>IFERROR(__xludf.DUMMYFUNCTION("""COMPUTED_VALUE"""),70.0)</f>
        <v>70</v>
      </c>
      <c r="T352" s="14">
        <f>IFERROR(__xludf.DUMMYFUNCTION("""COMPUTED_VALUE"""),0.246)</f>
        <v>0.246</v>
      </c>
      <c r="U352" s="14">
        <f>IFERROR(__xludf.DUMMYFUNCTION("""COMPUTED_VALUE"""),0.681)</f>
        <v>0.681</v>
      </c>
      <c r="V352" s="14">
        <f>IFERROR(__xludf.DUMMYFUNCTION("""COMPUTED_VALUE"""),0.073)</f>
        <v>0.073</v>
      </c>
      <c r="W352" s="14">
        <f>IFERROR(__xludf.DUMMYFUNCTION("""COMPUTED_VALUE"""),1.98656019E8)</f>
        <v>198656019</v>
      </c>
      <c r="X352" s="14">
        <f>IFERROR(__xludf.DUMMYFUNCTION("""COMPUTED_VALUE"""),0.849)</f>
        <v>0.849</v>
      </c>
      <c r="Y352" s="14" t="str">
        <f>IFERROR(__xludf.DUMMYFUNCTION("""COMPUTED_VALUE"""),"Brazil-The Americas")</f>
        <v>Brazil-The Americas</v>
      </c>
      <c r="Z352" s="14" t="str">
        <f>IFERROR(__xludf.DUMMYFUNCTION("""COMPUTED_VALUE"""),"The Americas")</f>
        <v>The Americas</v>
      </c>
      <c r="AA352" s="14" t="str">
        <f>IFERROR(__xludf.DUMMYFUNCTION("""COMPUTED_VALUE"""),"2012")</f>
        <v>2012</v>
      </c>
      <c r="AB352" s="15" t="str">
        <f>IFERROR(__xludf.DUMMYFUNCTION("ARRAYFORMULA(VLOOKUP(A352,IMPORTRANGE(""https://docs.google.com/spreadsheets/d/1BuTWp7qHGjWhqrnf-OmePP568O4A5Am9ttzvVdP67zw/edit#gid=1931367683"" ,""ENERGY!$A$2:$F$2692""), {2,3,4,5,6},0))"),"The Americas")</f>
        <v>The Americas</v>
      </c>
      <c r="AC352" s="14" t="str">
        <f>IFERROR(__xludf.DUMMYFUNCTION("""COMPUTED_VALUE"""),"Brazil-The Americas")</f>
        <v>Brazil-The Americas</v>
      </c>
      <c r="AD352" s="14" t="str">
        <f>IFERROR(__xludf.DUMMYFUNCTION("""COMPUTED_VALUE"""),"2008")</f>
        <v>2008</v>
      </c>
      <c r="AE352" s="14">
        <f>IFERROR(__xludf.DUMMYFUNCTION("""COMPUTED_VALUE"""),187442.0)</f>
        <v>187442</v>
      </c>
      <c r="AF352" s="14">
        <f>IFERROR(__xludf.DUMMYFUNCTION("""COMPUTED_VALUE"""),327984.0)</f>
        <v>327984</v>
      </c>
    </row>
    <row r="353">
      <c r="A353" s="12">
        <v>352.0</v>
      </c>
      <c r="B353" s="12" t="s">
        <v>106</v>
      </c>
      <c r="C353" s="5" t="s">
        <v>61</v>
      </c>
      <c r="D353" s="8"/>
      <c r="E353" s="8"/>
      <c r="F353" s="8"/>
      <c r="G353" s="8"/>
      <c r="H353" s="11">
        <v>0.09</v>
      </c>
      <c r="I353" s="11">
        <v>0.286</v>
      </c>
      <c r="J353" s="9" t="s">
        <v>60</v>
      </c>
      <c r="K353" s="14" t="str">
        <f>IFERROR(__xludf.DUMMYFUNCTION("ARRAYFORMULA(VLOOKUP(A353,IMPORTRANGE(""https://docs.google.com/spreadsheets/d/1BuTWp7qHGjWhqrnf-OmePP568O4A5Am9ttzvVdP67zw/edit#gid=1603210130"", ""TOURISM!$A$2:$F$2692""), {2,3,4,5,6},0))"),"Asia")</f>
        <v>Asia</v>
      </c>
      <c r="L353" s="14"/>
      <c r="M353" s="14" t="str">
        <f>IFERROR(__xludf.DUMMYFUNCTION("""COMPUTED_VALUE"""),"Brunei-Asia")</f>
        <v>Brunei-Asia</v>
      </c>
      <c r="N353" s="14" t="str">
        <f>IFERROR(__xludf.DUMMYFUNCTION("""COMPUTED_VALUE"""),"2000")</f>
        <v>2000</v>
      </c>
      <c r="O353" s="14"/>
      <c r="P353" s="15">
        <f>IFERROR(__xludf.DUMMYFUNCTION("ARRAYFORMULA(VLOOKUP(A353,IMPORTRANGE(""https://docs.google.com/spreadsheets/d/1BuTWp7qHGjWhqrnf-OmePP568O4A5Am9ttzvVdP67zw/edit#gid=771602874"" ,""HUMAN RESOURCES!$A$2:$M$2692""), {2,3,4,5,6,7,8,9,10,11,12,13},0))"),0.023)</f>
        <v>0.023</v>
      </c>
      <c r="Q353" s="14">
        <f>IFERROR(__xludf.DUMMYFUNCTION("""COMPUTED_VALUE"""),0.008)</f>
        <v>0.008</v>
      </c>
      <c r="R353" s="14">
        <f>IFERROR(__xludf.DUMMYFUNCTION("""COMPUTED_VALUE"""),78.0)</f>
        <v>78</v>
      </c>
      <c r="S353" s="14">
        <f>IFERROR(__xludf.DUMMYFUNCTION("""COMPUTED_VALUE"""),74.0)</f>
        <v>74</v>
      </c>
      <c r="T353" s="14">
        <f>IFERROR(__xludf.DUMMYFUNCTION("""COMPUTED_VALUE"""),0.304)</f>
        <v>0.304</v>
      </c>
      <c r="U353" s="14">
        <f>IFERROR(__xludf.DUMMYFUNCTION("""COMPUTED_VALUE"""),0.668)</f>
        <v>0.668</v>
      </c>
      <c r="V353" s="14">
        <f>IFERROR(__xludf.DUMMYFUNCTION("""COMPUTED_VALUE"""),0.028)</f>
        <v>0.028</v>
      </c>
      <c r="W353" s="14">
        <f>IFERROR(__xludf.DUMMYFUNCTION("""COMPUTED_VALUE"""),331801.0)</f>
        <v>331801</v>
      </c>
      <c r="X353" s="14">
        <f>IFERROR(__xludf.DUMMYFUNCTION("""COMPUTED_VALUE"""),0.712)</f>
        <v>0.712</v>
      </c>
      <c r="Y353" s="14" t="str">
        <f>IFERROR(__xludf.DUMMYFUNCTION("""COMPUTED_VALUE"""),"Brunei-Asia")</f>
        <v>Brunei-Asia</v>
      </c>
      <c r="Z353" s="14" t="str">
        <f>IFERROR(__xludf.DUMMYFUNCTION("""COMPUTED_VALUE"""),"Asia")</f>
        <v>Asia</v>
      </c>
      <c r="AA353" s="14" t="str">
        <f>IFERROR(__xludf.DUMMYFUNCTION("""COMPUTED_VALUE"""),"2000")</f>
        <v>2000</v>
      </c>
      <c r="AB353" s="15" t="str">
        <f>IFERROR(__xludf.DUMMYFUNCTION("ARRAYFORMULA(VLOOKUP(A353,IMPORTRANGE(""https://docs.google.com/spreadsheets/d/1BuTWp7qHGjWhqrnf-OmePP568O4A5Am9ttzvVdP67zw/edit#gid=1931367683"" ,""ENERGY!$A$2:$F$2692""), {2,3,4,5,6},0))"),"Asia")</f>
        <v>Asia</v>
      </c>
      <c r="AC353" s="14" t="str">
        <f>IFERROR(__xludf.DUMMYFUNCTION("""COMPUTED_VALUE"""),"Brunei-Asia")</f>
        <v>Brunei-Asia</v>
      </c>
      <c r="AD353" s="14" t="str">
        <f>IFERROR(__xludf.DUMMYFUNCTION("""COMPUTED_VALUE"""),"2000")</f>
        <v>2000</v>
      </c>
      <c r="AE353" s="14"/>
      <c r="AF353" s="14"/>
    </row>
    <row r="354">
      <c r="A354" s="12">
        <v>353.0</v>
      </c>
      <c r="B354" s="12" t="s">
        <v>106</v>
      </c>
      <c r="C354" s="5" t="s">
        <v>61</v>
      </c>
      <c r="D354" s="8"/>
      <c r="E354" s="8"/>
      <c r="F354" s="8"/>
      <c r="G354" s="8"/>
      <c r="H354" s="11">
        <v>0.129</v>
      </c>
      <c r="I354" s="11">
        <v>0.422</v>
      </c>
      <c r="J354" s="9" t="s">
        <v>62</v>
      </c>
      <c r="K354" s="14" t="str">
        <f>IFERROR(__xludf.DUMMYFUNCTION("ARRAYFORMULA(VLOOKUP(A354,IMPORTRANGE(""https://docs.google.com/spreadsheets/d/1BuTWp7qHGjWhqrnf-OmePP568O4A5Am9ttzvVdP67zw/edit#gid=1603210130"", ""TOURISM!$A$2:$F$2692""), {2,3,4,5,6},0))"),"Asia")</f>
        <v>Asia</v>
      </c>
      <c r="L354" s="14">
        <f>IFERROR(__xludf.DUMMYFUNCTION("""COMPUTED_VALUE"""),1.55E8)</f>
        <v>155000000</v>
      </c>
      <c r="M354" s="14" t="str">
        <f>IFERROR(__xludf.DUMMYFUNCTION("""COMPUTED_VALUE"""),"Brunei-Asia")</f>
        <v>Brunei-Asia</v>
      </c>
      <c r="N354" s="14" t="str">
        <f>IFERROR(__xludf.DUMMYFUNCTION("""COMPUTED_VALUE"""),"2001")</f>
        <v>2001</v>
      </c>
      <c r="O354" s="14">
        <f>IFERROR(__xludf.DUMMYFUNCTION("""COMPUTED_VALUE"""),4.56E8)</f>
        <v>456000000</v>
      </c>
      <c r="P354" s="15">
        <f>IFERROR(__xludf.DUMMYFUNCTION("ARRAYFORMULA(VLOOKUP(A354,IMPORTRANGE(""https://docs.google.com/spreadsheets/d/1BuTWp7qHGjWhqrnf-OmePP568O4A5Am9ttzvVdP67zw/edit#gid=771602874"" ,""HUMAN RESOURCES!$A$2:$M$2692""), {2,3,4,5,6,7,8,9,10,11,12,13},0))"),0.022)</f>
        <v>0.022</v>
      </c>
      <c r="Q354" s="14">
        <f>IFERROR(__xludf.DUMMYFUNCTION("""COMPUTED_VALUE"""),0.008)</f>
        <v>0.008</v>
      </c>
      <c r="R354" s="14">
        <f>IFERROR(__xludf.DUMMYFUNCTION("""COMPUTED_VALUE"""),78.0)</f>
        <v>78</v>
      </c>
      <c r="S354" s="14">
        <f>IFERROR(__xludf.DUMMYFUNCTION("""COMPUTED_VALUE"""),74.0)</f>
        <v>74</v>
      </c>
      <c r="T354" s="14">
        <f>IFERROR(__xludf.DUMMYFUNCTION("""COMPUTED_VALUE"""),0.301)</f>
        <v>0.301</v>
      </c>
      <c r="U354" s="14">
        <f>IFERROR(__xludf.DUMMYFUNCTION("""COMPUTED_VALUE"""),0.671)</f>
        <v>0.671</v>
      </c>
      <c r="V354" s="14">
        <f>IFERROR(__xludf.DUMMYFUNCTION("""COMPUTED_VALUE"""),0.028)</f>
        <v>0.028</v>
      </c>
      <c r="W354" s="14">
        <f>IFERROR(__xludf.DUMMYFUNCTION("""COMPUTED_VALUE"""),339114.0)</f>
        <v>339114</v>
      </c>
      <c r="X354" s="14">
        <f>IFERROR(__xludf.DUMMYFUNCTION("""COMPUTED_VALUE"""),0.717)</f>
        <v>0.717</v>
      </c>
      <c r="Y354" s="14" t="str">
        <f>IFERROR(__xludf.DUMMYFUNCTION("""COMPUTED_VALUE"""),"Brunei-Asia")</f>
        <v>Brunei-Asia</v>
      </c>
      <c r="Z354" s="14" t="str">
        <f>IFERROR(__xludf.DUMMYFUNCTION("""COMPUTED_VALUE"""),"Asia")</f>
        <v>Asia</v>
      </c>
      <c r="AA354" s="14" t="str">
        <f>IFERROR(__xludf.DUMMYFUNCTION("""COMPUTED_VALUE"""),"2001")</f>
        <v>2001</v>
      </c>
      <c r="AB354" s="15" t="str">
        <f>IFERROR(__xludf.DUMMYFUNCTION("ARRAYFORMULA(VLOOKUP(A354,IMPORTRANGE(""https://docs.google.com/spreadsheets/d/1BuTWp7qHGjWhqrnf-OmePP568O4A5Am9ttzvVdP67zw/edit#gid=1931367683"" ,""ENERGY!$A$2:$F$2692""), {2,3,4,5,6},0))"),"Asia")</f>
        <v>Asia</v>
      </c>
      <c r="AC354" s="14" t="str">
        <f>IFERROR(__xludf.DUMMYFUNCTION("""COMPUTED_VALUE"""),"Brunei-Asia")</f>
        <v>Brunei-Asia</v>
      </c>
      <c r="AD354" s="14" t="str">
        <f>IFERROR(__xludf.DUMMYFUNCTION("""COMPUTED_VALUE"""),"2001")</f>
        <v>2001</v>
      </c>
      <c r="AE354" s="14">
        <f>IFERROR(__xludf.DUMMYFUNCTION("""COMPUTED_VALUE"""),3832.0)</f>
        <v>3832</v>
      </c>
      <c r="AF354" s="14"/>
    </row>
    <row r="355">
      <c r="A355" s="12">
        <v>354.0</v>
      </c>
      <c r="B355" s="12" t="s">
        <v>106</v>
      </c>
      <c r="C355" s="5" t="s">
        <v>61</v>
      </c>
      <c r="D355" s="8"/>
      <c r="E355" s="8"/>
      <c r="F355" s="8"/>
      <c r="G355" s="8"/>
      <c r="H355" s="11">
        <v>0.153</v>
      </c>
      <c r="I355" s="11">
        <v>0.444</v>
      </c>
      <c r="J355" s="9" t="s">
        <v>63</v>
      </c>
      <c r="K355" s="14" t="str">
        <f>IFERROR(__xludf.DUMMYFUNCTION("ARRAYFORMULA(VLOOKUP(A355,IMPORTRANGE(""https://docs.google.com/spreadsheets/d/1BuTWp7qHGjWhqrnf-OmePP568O4A5Am9ttzvVdP67zw/edit#gid=1603210130"", ""TOURISM!$A$2:$F$2692""), {2,3,4,5,6},0))"),"Asia")</f>
        <v>Asia</v>
      </c>
      <c r="L355" s="14">
        <f>IFERROR(__xludf.DUMMYFUNCTION("""COMPUTED_VALUE"""),1.13E8)</f>
        <v>113000000</v>
      </c>
      <c r="M355" s="14" t="str">
        <f>IFERROR(__xludf.DUMMYFUNCTION("""COMPUTED_VALUE"""),"Brunei-Asia")</f>
        <v>Brunei-Asia</v>
      </c>
      <c r="N355" s="14" t="str">
        <f>IFERROR(__xludf.DUMMYFUNCTION("""COMPUTED_VALUE"""),"2002")</f>
        <v>2002</v>
      </c>
      <c r="O355" s="14">
        <f>IFERROR(__xludf.DUMMYFUNCTION("""COMPUTED_VALUE"""),3.98E8)</f>
        <v>398000000</v>
      </c>
      <c r="P355" s="15">
        <f>IFERROR(__xludf.DUMMYFUNCTION("ARRAYFORMULA(VLOOKUP(A355,IMPORTRANGE(""https://docs.google.com/spreadsheets/d/1BuTWp7qHGjWhqrnf-OmePP568O4A5Am9ttzvVdP67zw/edit#gid=771602874"" ,""HUMAN RESOURCES!$A$2:$M$2692""), {2,3,4,5,6,7,8,9,10,11,12,13},0))"),0.022)</f>
        <v>0.022</v>
      </c>
      <c r="Q355" s="14">
        <f>IFERROR(__xludf.DUMMYFUNCTION("""COMPUTED_VALUE"""),0.008)</f>
        <v>0.008</v>
      </c>
      <c r="R355" s="14">
        <f>IFERROR(__xludf.DUMMYFUNCTION("""COMPUTED_VALUE"""),78.0)</f>
        <v>78</v>
      </c>
      <c r="S355" s="14">
        <f>IFERROR(__xludf.DUMMYFUNCTION("""COMPUTED_VALUE"""),75.0)</f>
        <v>75</v>
      </c>
      <c r="T355" s="14">
        <f>IFERROR(__xludf.DUMMYFUNCTION("""COMPUTED_VALUE"""),0.298)</f>
        <v>0.298</v>
      </c>
      <c r="U355" s="14">
        <f>IFERROR(__xludf.DUMMYFUNCTION("""COMPUTED_VALUE"""),0.673)</f>
        <v>0.673</v>
      </c>
      <c r="V355" s="14">
        <f>IFERROR(__xludf.DUMMYFUNCTION("""COMPUTED_VALUE"""),0.029)</f>
        <v>0.029</v>
      </c>
      <c r="W355" s="14">
        <f>IFERROR(__xludf.DUMMYFUNCTION("""COMPUTED_VALUE"""),346407.0)</f>
        <v>346407</v>
      </c>
      <c r="X355" s="14">
        <f>IFERROR(__xludf.DUMMYFUNCTION("""COMPUTED_VALUE"""),0.721)</f>
        <v>0.721</v>
      </c>
      <c r="Y355" s="14" t="str">
        <f>IFERROR(__xludf.DUMMYFUNCTION("""COMPUTED_VALUE"""),"Brunei-Asia")</f>
        <v>Brunei-Asia</v>
      </c>
      <c r="Z355" s="14" t="str">
        <f>IFERROR(__xludf.DUMMYFUNCTION("""COMPUTED_VALUE"""),"Asia")</f>
        <v>Asia</v>
      </c>
      <c r="AA355" s="14" t="str">
        <f>IFERROR(__xludf.DUMMYFUNCTION("""COMPUTED_VALUE"""),"2002")</f>
        <v>2002</v>
      </c>
      <c r="AB355" s="15" t="str">
        <f>IFERROR(__xludf.DUMMYFUNCTION("ARRAYFORMULA(VLOOKUP(A355,IMPORTRANGE(""https://docs.google.com/spreadsheets/d/1BuTWp7qHGjWhqrnf-OmePP568O4A5Am9ttzvVdP67zw/edit#gid=1931367683"" ,""ENERGY!$A$2:$F$2692""), {2,3,4,5,6},0))"),"Asia")</f>
        <v>Asia</v>
      </c>
      <c r="AC355" s="14" t="str">
        <f>IFERROR(__xludf.DUMMYFUNCTION("""COMPUTED_VALUE"""),"Brunei-Asia")</f>
        <v>Brunei-Asia</v>
      </c>
      <c r="AD355" s="14" t="str">
        <f>IFERROR(__xludf.DUMMYFUNCTION("""COMPUTED_VALUE"""),"2002")</f>
        <v>2002</v>
      </c>
      <c r="AE355" s="14">
        <f>IFERROR(__xludf.DUMMYFUNCTION("""COMPUTED_VALUE"""),3240.0)</f>
        <v>3240</v>
      </c>
      <c r="AF355" s="14">
        <f>IFERROR(__xludf.DUMMYFUNCTION("""COMPUTED_VALUE"""),9160.0)</f>
        <v>9160</v>
      </c>
    </row>
    <row r="356">
      <c r="A356" s="12">
        <v>355.0</v>
      </c>
      <c r="B356" s="12" t="s">
        <v>106</v>
      </c>
      <c r="C356" s="5" t="s">
        <v>61</v>
      </c>
      <c r="D356" s="8"/>
      <c r="E356" s="8"/>
      <c r="F356" s="8"/>
      <c r="G356" s="8"/>
      <c r="H356" s="11">
        <v>0.196</v>
      </c>
      <c r="I356" s="11">
        <v>0.502</v>
      </c>
      <c r="J356" s="9" t="s">
        <v>64</v>
      </c>
      <c r="K356" s="14" t="str">
        <f>IFERROR(__xludf.DUMMYFUNCTION("ARRAYFORMULA(VLOOKUP(A356,IMPORTRANGE(""https://docs.google.com/spreadsheets/d/1BuTWp7qHGjWhqrnf-OmePP568O4A5Am9ttzvVdP67zw/edit#gid=1603210130"", ""TOURISM!$A$2:$F$2692""), {2,3,4,5,6},0))"),"Asia")</f>
        <v>Asia</v>
      </c>
      <c r="L356" s="14">
        <f>IFERROR(__xludf.DUMMYFUNCTION("""COMPUTED_VALUE"""),1.24E8)</f>
        <v>124000000</v>
      </c>
      <c r="M356" s="14" t="str">
        <f>IFERROR(__xludf.DUMMYFUNCTION("""COMPUTED_VALUE"""),"Brunei-Asia")</f>
        <v>Brunei-Asia</v>
      </c>
      <c r="N356" s="14" t="str">
        <f>IFERROR(__xludf.DUMMYFUNCTION("""COMPUTED_VALUE"""),"2003")</f>
        <v>2003</v>
      </c>
      <c r="O356" s="14">
        <f>IFERROR(__xludf.DUMMYFUNCTION("""COMPUTED_VALUE"""),4.69E8)</f>
        <v>469000000</v>
      </c>
      <c r="P356" s="15">
        <f>IFERROR(__xludf.DUMMYFUNCTION("ARRAYFORMULA(VLOOKUP(A356,IMPORTRANGE(""https://docs.google.com/spreadsheets/d/1BuTWp7qHGjWhqrnf-OmePP568O4A5Am9ttzvVdP67zw/edit#gid=771602874"" ,""HUMAN RESOURCES!$A$2:$M$2692""), {2,3,4,5,6,7,8,9,10,11,12,13},0))"),0.021)</f>
        <v>0.021</v>
      </c>
      <c r="Q356" s="14">
        <f>IFERROR(__xludf.DUMMYFUNCTION("""COMPUTED_VALUE"""),0.008)</f>
        <v>0.008</v>
      </c>
      <c r="R356" s="14">
        <f>IFERROR(__xludf.DUMMYFUNCTION("""COMPUTED_VALUE"""),79.0)</f>
        <v>79</v>
      </c>
      <c r="S356" s="14">
        <f>IFERROR(__xludf.DUMMYFUNCTION("""COMPUTED_VALUE"""),75.0)</f>
        <v>75</v>
      </c>
      <c r="T356" s="14">
        <f>IFERROR(__xludf.DUMMYFUNCTION("""COMPUTED_VALUE"""),0.295)</f>
        <v>0.295</v>
      </c>
      <c r="U356" s="14">
        <f>IFERROR(__xludf.DUMMYFUNCTION("""COMPUTED_VALUE"""),0.675)</f>
        <v>0.675</v>
      </c>
      <c r="V356" s="14">
        <f>IFERROR(__xludf.DUMMYFUNCTION("""COMPUTED_VALUE"""),0.03)</f>
        <v>0.03</v>
      </c>
      <c r="W356" s="14">
        <f>IFERROR(__xludf.DUMMYFUNCTION("""COMPUTED_VALUE"""),353649.0)</f>
        <v>353649</v>
      </c>
      <c r="X356" s="14">
        <f>IFERROR(__xludf.DUMMYFUNCTION("""COMPUTED_VALUE"""),0.726)</f>
        <v>0.726</v>
      </c>
      <c r="Y356" s="14" t="str">
        <f>IFERROR(__xludf.DUMMYFUNCTION("""COMPUTED_VALUE"""),"Brunei-Asia")</f>
        <v>Brunei-Asia</v>
      </c>
      <c r="Z356" s="14" t="str">
        <f>IFERROR(__xludf.DUMMYFUNCTION("""COMPUTED_VALUE"""),"Asia")</f>
        <v>Asia</v>
      </c>
      <c r="AA356" s="14" t="str">
        <f>IFERROR(__xludf.DUMMYFUNCTION("""COMPUTED_VALUE"""),"2003")</f>
        <v>2003</v>
      </c>
      <c r="AB356" s="15" t="str">
        <f>IFERROR(__xludf.DUMMYFUNCTION("ARRAYFORMULA(VLOOKUP(A356,IMPORTRANGE(""https://docs.google.com/spreadsheets/d/1BuTWp7qHGjWhqrnf-OmePP568O4A5Am9ttzvVdP67zw/edit#gid=1931367683"" ,""ENERGY!$A$2:$F$2692""), {2,3,4,5,6},0))"),"Asia")</f>
        <v>Asia</v>
      </c>
      <c r="AC356" s="14" t="str">
        <f>IFERROR(__xludf.DUMMYFUNCTION("""COMPUTED_VALUE"""),"Brunei-Asia")</f>
        <v>Brunei-Asia</v>
      </c>
      <c r="AD356" s="14" t="str">
        <f>IFERROR(__xludf.DUMMYFUNCTION("""COMPUTED_VALUE"""),"2003")</f>
        <v>2003</v>
      </c>
      <c r="AE356" s="14">
        <f>IFERROR(__xludf.DUMMYFUNCTION("""COMPUTED_VALUE"""),3043.0)</f>
        <v>3043</v>
      </c>
      <c r="AF356" s="14">
        <f>IFERROR(__xludf.DUMMYFUNCTION("""COMPUTED_VALUE"""),9094.0)</f>
        <v>9094</v>
      </c>
    </row>
    <row r="357">
      <c r="A357" s="12">
        <v>356.0</v>
      </c>
      <c r="B357" s="12" t="s">
        <v>106</v>
      </c>
      <c r="C357" s="5" t="s">
        <v>61</v>
      </c>
      <c r="D357" s="8"/>
      <c r="E357" s="8"/>
      <c r="F357" s="8"/>
      <c r="G357" s="8"/>
      <c r="H357" s="11">
        <v>0.297</v>
      </c>
      <c r="I357" s="11">
        <v>0.561</v>
      </c>
      <c r="J357" s="9" t="s">
        <v>65</v>
      </c>
      <c r="K357" s="14" t="str">
        <f>IFERROR(__xludf.DUMMYFUNCTION("ARRAYFORMULA(VLOOKUP(A357,IMPORTRANGE(""https://docs.google.com/spreadsheets/d/1BuTWp7qHGjWhqrnf-OmePP568O4A5Am9ttzvVdP67zw/edit#gid=1603210130"", ""TOURISM!$A$2:$F$2692""), {2,3,4,5,6},0))"),"Asia")</f>
        <v>Asia</v>
      </c>
      <c r="L357" s="14">
        <f>IFERROR(__xludf.DUMMYFUNCTION("""COMPUTED_VALUE"""),1.81E8)</f>
        <v>181000000</v>
      </c>
      <c r="M357" s="14" t="str">
        <f>IFERROR(__xludf.DUMMYFUNCTION("""COMPUTED_VALUE"""),"Brunei-Asia")</f>
        <v>Brunei-Asia</v>
      </c>
      <c r="N357" s="14" t="str">
        <f>IFERROR(__xludf.DUMMYFUNCTION("""COMPUTED_VALUE"""),"2004")</f>
        <v>2004</v>
      </c>
      <c r="O357" s="14">
        <f>IFERROR(__xludf.DUMMYFUNCTION("""COMPUTED_VALUE"""),3.82E8)</f>
        <v>382000000</v>
      </c>
      <c r="P357" s="15">
        <f>IFERROR(__xludf.DUMMYFUNCTION("ARRAYFORMULA(VLOOKUP(A357,IMPORTRANGE(""https://docs.google.com/spreadsheets/d/1BuTWp7qHGjWhqrnf-OmePP568O4A5Am9ttzvVdP67zw/edit#gid=771602874"" ,""HUMAN RESOURCES!$A$2:$M$2692""), {2,3,4,5,6,7,8,9,10,11,12,13},0))"),0.02)</f>
        <v>0.02</v>
      </c>
      <c r="Q357" s="14">
        <f>IFERROR(__xludf.DUMMYFUNCTION("""COMPUTED_VALUE"""),0.008)</f>
        <v>0.008</v>
      </c>
      <c r="R357" s="14">
        <f>IFERROR(__xludf.DUMMYFUNCTION("""COMPUTED_VALUE"""),79.0)</f>
        <v>79</v>
      </c>
      <c r="S357" s="14">
        <f>IFERROR(__xludf.DUMMYFUNCTION("""COMPUTED_VALUE"""),75.0)</f>
        <v>75</v>
      </c>
      <c r="T357" s="14">
        <f>IFERROR(__xludf.DUMMYFUNCTION("""COMPUTED_VALUE"""),0.292)</f>
        <v>0.292</v>
      </c>
      <c r="U357" s="14">
        <f>IFERROR(__xludf.DUMMYFUNCTION("""COMPUTED_VALUE"""),0.677)</f>
        <v>0.677</v>
      </c>
      <c r="V357" s="14">
        <f>IFERROR(__xludf.DUMMYFUNCTION("""COMPUTED_VALUE"""),0.031)</f>
        <v>0.031</v>
      </c>
      <c r="W357" s="14">
        <f>IFERROR(__xludf.DUMMYFUNCTION("""COMPUTED_VALUE"""),360797.0)</f>
        <v>360797</v>
      </c>
      <c r="X357" s="14">
        <f>IFERROR(__xludf.DUMMYFUNCTION("""COMPUTED_VALUE"""),0.731)</f>
        <v>0.731</v>
      </c>
      <c r="Y357" s="14" t="str">
        <f>IFERROR(__xludf.DUMMYFUNCTION("""COMPUTED_VALUE"""),"Brunei-Asia")</f>
        <v>Brunei-Asia</v>
      </c>
      <c r="Z357" s="14" t="str">
        <f>IFERROR(__xludf.DUMMYFUNCTION("""COMPUTED_VALUE"""),"Asia")</f>
        <v>Asia</v>
      </c>
      <c r="AA357" s="14" t="str">
        <f>IFERROR(__xludf.DUMMYFUNCTION("""COMPUTED_VALUE"""),"2004")</f>
        <v>2004</v>
      </c>
      <c r="AB357" s="15" t="str">
        <f>IFERROR(__xludf.DUMMYFUNCTION("ARRAYFORMULA(VLOOKUP(A357,IMPORTRANGE(""https://docs.google.com/spreadsheets/d/1BuTWp7qHGjWhqrnf-OmePP568O4A5Am9ttzvVdP67zw/edit#gid=1931367683"" ,""ENERGY!$A$2:$F$2692""), {2,3,4,5,6},0))"),"Asia")</f>
        <v>Asia</v>
      </c>
      <c r="AC357" s="14" t="str">
        <f>IFERROR(__xludf.DUMMYFUNCTION("""COMPUTED_VALUE"""),"Brunei-Asia")</f>
        <v>Brunei-Asia</v>
      </c>
      <c r="AD357" s="14" t="str">
        <f>IFERROR(__xludf.DUMMYFUNCTION("""COMPUTED_VALUE"""),"2004")</f>
        <v>2004</v>
      </c>
      <c r="AE357" s="14">
        <f>IFERROR(__xludf.DUMMYFUNCTION("""COMPUTED_VALUE"""),3542.0)</f>
        <v>3542</v>
      </c>
      <c r="AF357" s="14">
        <f>IFERROR(__xludf.DUMMYFUNCTION("""COMPUTED_VALUE"""),10583.0)</f>
        <v>10583</v>
      </c>
    </row>
    <row r="358">
      <c r="A358" s="12">
        <v>357.0</v>
      </c>
      <c r="B358" s="12" t="s">
        <v>106</v>
      </c>
      <c r="C358" s="5" t="s">
        <v>61</v>
      </c>
      <c r="D358" s="8"/>
      <c r="E358" s="8"/>
      <c r="F358" s="8"/>
      <c r="G358" s="8"/>
      <c r="H358" s="11">
        <v>0.365</v>
      </c>
      <c r="I358" s="11">
        <v>0.633</v>
      </c>
      <c r="J358" s="9" t="s">
        <v>66</v>
      </c>
      <c r="K358" s="14" t="str">
        <f>IFERROR(__xludf.DUMMYFUNCTION("ARRAYFORMULA(VLOOKUP(A358,IMPORTRANGE(""https://docs.google.com/spreadsheets/d/1BuTWp7qHGjWhqrnf-OmePP568O4A5Am9ttzvVdP67zw/edit#gid=1603210130"", ""TOURISM!$A$2:$F$2692""), {2,3,4,5,6},0))"),"Asia")</f>
        <v>Asia</v>
      </c>
      <c r="L358" s="14">
        <f>IFERROR(__xludf.DUMMYFUNCTION("""COMPUTED_VALUE"""),1.91E8)</f>
        <v>191000000</v>
      </c>
      <c r="M358" s="14" t="str">
        <f>IFERROR(__xludf.DUMMYFUNCTION("""COMPUTED_VALUE"""),"Brunei-Asia")</f>
        <v>Brunei-Asia</v>
      </c>
      <c r="N358" s="14" t="str">
        <f>IFERROR(__xludf.DUMMYFUNCTION("""COMPUTED_VALUE"""),"2005")</f>
        <v>2005</v>
      </c>
      <c r="O358" s="14">
        <f>IFERROR(__xludf.DUMMYFUNCTION("""COMPUTED_VALUE"""),3.74E8)</f>
        <v>374000000</v>
      </c>
      <c r="P358" s="15">
        <f>IFERROR(__xludf.DUMMYFUNCTION("ARRAYFORMULA(VLOOKUP(A358,IMPORTRANGE(""https://docs.google.com/spreadsheets/d/1BuTWp7qHGjWhqrnf-OmePP568O4A5Am9ttzvVdP67zw/edit#gid=771602874"" ,""HUMAN RESOURCES!$A$2:$M$2692""), {2,3,4,5,6,7,8,9,10,11,12,13},0))"),0.02)</f>
        <v>0.02</v>
      </c>
      <c r="Q358" s="14">
        <f>IFERROR(__xludf.DUMMYFUNCTION("""COMPUTED_VALUE"""),0.007)</f>
        <v>0.007</v>
      </c>
      <c r="R358" s="14">
        <f>IFERROR(__xludf.DUMMYFUNCTION("""COMPUTED_VALUE"""),79.0)</f>
        <v>79</v>
      </c>
      <c r="S358" s="14">
        <f>IFERROR(__xludf.DUMMYFUNCTION("""COMPUTED_VALUE"""),75.0)</f>
        <v>75</v>
      </c>
      <c r="T358" s="14">
        <f>IFERROR(__xludf.DUMMYFUNCTION("""COMPUTED_VALUE"""),0.289)</f>
        <v>0.289</v>
      </c>
      <c r="U358" s="14">
        <f>IFERROR(__xludf.DUMMYFUNCTION("""COMPUTED_VALUE"""),0.679)</f>
        <v>0.679</v>
      </c>
      <c r="V358" s="14">
        <f>IFERROR(__xludf.DUMMYFUNCTION("""COMPUTED_VALUE"""),0.032)</f>
        <v>0.032</v>
      </c>
      <c r="W358" s="14">
        <f>IFERROR(__xludf.DUMMYFUNCTION("""COMPUTED_VALUE"""),367815.0)</f>
        <v>367815</v>
      </c>
      <c r="X358" s="14">
        <f>IFERROR(__xludf.DUMMYFUNCTION("""COMPUTED_VALUE"""),0.735)</f>
        <v>0.735</v>
      </c>
      <c r="Y358" s="14" t="str">
        <f>IFERROR(__xludf.DUMMYFUNCTION("""COMPUTED_VALUE"""),"Brunei-Asia")</f>
        <v>Brunei-Asia</v>
      </c>
      <c r="Z358" s="14" t="str">
        <f>IFERROR(__xludf.DUMMYFUNCTION("""COMPUTED_VALUE"""),"Asia")</f>
        <v>Asia</v>
      </c>
      <c r="AA358" s="14" t="str">
        <f>IFERROR(__xludf.DUMMYFUNCTION("""COMPUTED_VALUE"""),"2005")</f>
        <v>2005</v>
      </c>
      <c r="AB358" s="15" t="str">
        <f>IFERROR(__xludf.DUMMYFUNCTION("ARRAYFORMULA(VLOOKUP(A358,IMPORTRANGE(""https://docs.google.com/spreadsheets/d/1BuTWp7qHGjWhqrnf-OmePP568O4A5Am9ttzvVdP67zw/edit#gid=1931367683"" ,""ENERGY!$A$2:$F$2692""), {2,3,4,5,6},0))"),"Asia")</f>
        <v>Asia</v>
      </c>
      <c r="AC358" s="14" t="str">
        <f>IFERROR(__xludf.DUMMYFUNCTION("""COMPUTED_VALUE"""),"Brunei-Asia")</f>
        <v>Brunei-Asia</v>
      </c>
      <c r="AD358" s="14" t="str">
        <f>IFERROR(__xludf.DUMMYFUNCTION("""COMPUTED_VALUE"""),"2006")</f>
        <v>2006</v>
      </c>
      <c r="AE358" s="14">
        <f>IFERROR(__xludf.DUMMYFUNCTION("""COMPUTED_VALUE"""),3227.0)</f>
        <v>3227</v>
      </c>
      <c r="AF358" s="14">
        <f>IFERROR(__xludf.DUMMYFUNCTION("""COMPUTED_VALUE"""),10176.0)</f>
        <v>10176</v>
      </c>
    </row>
    <row r="359">
      <c r="A359" s="12">
        <v>358.0</v>
      </c>
      <c r="B359" s="12" t="s">
        <v>106</v>
      </c>
      <c r="C359" s="5" t="s">
        <v>61</v>
      </c>
      <c r="D359" s="11">
        <v>0.374</v>
      </c>
      <c r="E359" s="11">
        <v>116.0</v>
      </c>
      <c r="F359" s="8"/>
      <c r="G359" s="11">
        <v>144.0</v>
      </c>
      <c r="H359" s="11">
        <v>0.422</v>
      </c>
      <c r="I359" s="11">
        <v>0.804</v>
      </c>
      <c r="J359" s="9" t="s">
        <v>67</v>
      </c>
      <c r="K359" s="14" t="str">
        <f>IFERROR(__xludf.DUMMYFUNCTION("ARRAYFORMULA(VLOOKUP(A359,IMPORTRANGE(""https://docs.google.com/spreadsheets/d/1BuTWp7qHGjWhqrnf-OmePP568O4A5Am9ttzvVdP67zw/edit#gid=1603210130"", ""TOURISM!$A$2:$F$2692""), {2,3,4,5,6},0))"),"Asia")</f>
        <v>Asia</v>
      </c>
      <c r="L359" s="14">
        <f>IFERROR(__xludf.DUMMYFUNCTION("""COMPUTED_VALUE"""),2.24E8)</f>
        <v>224000000</v>
      </c>
      <c r="M359" s="14" t="str">
        <f>IFERROR(__xludf.DUMMYFUNCTION("""COMPUTED_VALUE"""),"Brunei-Asia")</f>
        <v>Brunei-Asia</v>
      </c>
      <c r="N359" s="14" t="str">
        <f>IFERROR(__xludf.DUMMYFUNCTION("""COMPUTED_VALUE"""),"2006")</f>
        <v>2006</v>
      </c>
      <c r="O359" s="14">
        <f>IFERROR(__xludf.DUMMYFUNCTION("""COMPUTED_VALUE"""),4.08E8)</f>
        <v>408000000</v>
      </c>
      <c r="P359" s="15">
        <f>IFERROR(__xludf.DUMMYFUNCTION("ARRAYFORMULA(VLOOKUP(A359,IMPORTRANGE(""https://docs.google.com/spreadsheets/d/1BuTWp7qHGjWhqrnf-OmePP568O4A5Am9ttzvVdP67zw/edit#gid=771602874"" ,""HUMAN RESOURCES!$A$2:$M$2692""), {2,3,4,5,6,7,8,9,10,11,12,13},0))"),0.019)</f>
        <v>0.019</v>
      </c>
      <c r="Q359" s="14">
        <f>IFERROR(__xludf.DUMMYFUNCTION("""COMPUTED_VALUE"""),0.007)</f>
        <v>0.007</v>
      </c>
      <c r="R359" s="14">
        <f>IFERROR(__xludf.DUMMYFUNCTION("""COMPUTED_VALUE"""),79.0)</f>
        <v>79</v>
      </c>
      <c r="S359" s="14">
        <f>IFERROR(__xludf.DUMMYFUNCTION("""COMPUTED_VALUE"""),75.0)</f>
        <v>75</v>
      </c>
      <c r="T359" s="14">
        <f>IFERROR(__xludf.DUMMYFUNCTION("""COMPUTED_VALUE"""),0.285)</f>
        <v>0.285</v>
      </c>
      <c r="U359" s="14">
        <f>IFERROR(__xludf.DUMMYFUNCTION("""COMPUTED_VALUE"""),0.683)</f>
        <v>0.683</v>
      </c>
      <c r="V359" s="14">
        <f>IFERROR(__xludf.DUMMYFUNCTION("""COMPUTED_VALUE"""),0.033)</f>
        <v>0.033</v>
      </c>
      <c r="W359" s="14">
        <f>IFERROR(__xludf.DUMMYFUNCTION("""COMPUTED_VALUE"""),374697.0)</f>
        <v>374697</v>
      </c>
      <c r="X359" s="14">
        <f>IFERROR(__xludf.DUMMYFUNCTION("""COMPUTED_VALUE"""),0.739)</f>
        <v>0.739</v>
      </c>
      <c r="Y359" s="14" t="str">
        <f>IFERROR(__xludf.DUMMYFUNCTION("""COMPUTED_VALUE"""),"Brunei-Asia")</f>
        <v>Brunei-Asia</v>
      </c>
      <c r="Z359" s="14" t="str">
        <f>IFERROR(__xludf.DUMMYFUNCTION("""COMPUTED_VALUE"""),"Asia")</f>
        <v>Asia</v>
      </c>
      <c r="AA359" s="14" t="str">
        <f>IFERROR(__xludf.DUMMYFUNCTION("""COMPUTED_VALUE"""),"2006")</f>
        <v>2006</v>
      </c>
      <c r="AB359" s="15" t="str">
        <f>IFERROR(__xludf.DUMMYFUNCTION("ARRAYFORMULA(VLOOKUP(A359,IMPORTRANGE(""https://docs.google.com/spreadsheets/d/1BuTWp7qHGjWhqrnf-OmePP568O4A5Am9ttzvVdP67zw/edit#gid=1931367683"" ,""ENERGY!$A$2:$F$2692""), {2,3,4,5,6},0))"),"Asia")</f>
        <v>Asia</v>
      </c>
      <c r="AC359" s="14" t="str">
        <f>IFERROR(__xludf.DUMMYFUNCTION("""COMPUTED_VALUE"""),"Brunei-Asia")</f>
        <v>Brunei-Asia</v>
      </c>
      <c r="AD359" s="14" t="str">
        <f>IFERROR(__xludf.DUMMYFUNCTION("""COMPUTED_VALUE"""),"2010")</f>
        <v>2010</v>
      </c>
      <c r="AE359" s="14">
        <f>IFERROR(__xludf.DUMMYFUNCTION("""COMPUTED_VALUE"""),3152.0)</f>
        <v>3152</v>
      </c>
      <c r="AF359" s="14">
        <f>IFERROR(__xludf.DUMMYFUNCTION("""COMPUTED_VALUE"""),4822.0)</f>
        <v>4822</v>
      </c>
    </row>
    <row r="360">
      <c r="A360" s="12">
        <v>359.0</v>
      </c>
      <c r="B360" s="12" t="s">
        <v>106</v>
      </c>
      <c r="C360" s="5" t="s">
        <v>61</v>
      </c>
      <c r="D360" s="11">
        <v>0.374</v>
      </c>
      <c r="E360" s="11">
        <v>116.0</v>
      </c>
      <c r="F360" s="8"/>
      <c r="G360" s="11">
        <v>144.0</v>
      </c>
      <c r="H360" s="11">
        <v>0.447</v>
      </c>
      <c r="I360" s="11">
        <v>0.96</v>
      </c>
      <c r="J360" s="9" t="s">
        <v>68</v>
      </c>
      <c r="K360" s="14" t="str">
        <f>IFERROR(__xludf.DUMMYFUNCTION("ARRAYFORMULA(VLOOKUP(A360,IMPORTRANGE(""https://docs.google.com/spreadsheets/d/1BuTWp7qHGjWhqrnf-OmePP568O4A5Am9ttzvVdP67zw/edit#gid=1603210130"", ""TOURISM!$A$2:$F$2692""), {2,3,4,5,6},0))"),"Asia")</f>
        <v>Asia</v>
      </c>
      <c r="L360" s="14">
        <f>IFERROR(__xludf.DUMMYFUNCTION("""COMPUTED_VALUE"""),2.33E8)</f>
        <v>233000000</v>
      </c>
      <c r="M360" s="14" t="str">
        <f>IFERROR(__xludf.DUMMYFUNCTION("""COMPUTED_VALUE"""),"Brunei-Asia")</f>
        <v>Brunei-Asia</v>
      </c>
      <c r="N360" s="14" t="str">
        <f>IFERROR(__xludf.DUMMYFUNCTION("""COMPUTED_VALUE"""),"2007")</f>
        <v>2007</v>
      </c>
      <c r="O360" s="14">
        <f>IFERROR(__xludf.DUMMYFUNCTION("""COMPUTED_VALUE"""),4.3E8)</f>
        <v>430000000</v>
      </c>
      <c r="P360" s="15">
        <f>IFERROR(__xludf.DUMMYFUNCTION("ARRAYFORMULA(VLOOKUP(A360,IMPORTRANGE(""https://docs.google.com/spreadsheets/d/1BuTWp7qHGjWhqrnf-OmePP568O4A5Am9ttzvVdP67zw/edit#gid=771602874"" ,""HUMAN RESOURCES!$A$2:$M$2692""), {2,3,4,5,6,7,8,9,10,11,12,13},0))"),0.018)</f>
        <v>0.018</v>
      </c>
      <c r="Q360" s="14">
        <f>IFERROR(__xludf.DUMMYFUNCTION("""COMPUTED_VALUE"""),0.008)</f>
        <v>0.008</v>
      </c>
      <c r="R360" s="14">
        <f>IFERROR(__xludf.DUMMYFUNCTION("""COMPUTED_VALUE"""),79.0)</f>
        <v>79</v>
      </c>
      <c r="S360" s="14">
        <f>IFERROR(__xludf.DUMMYFUNCTION("""COMPUTED_VALUE"""),76.0)</f>
        <v>76</v>
      </c>
      <c r="T360" s="14">
        <f>IFERROR(__xludf.DUMMYFUNCTION("""COMPUTED_VALUE"""),0.28)</f>
        <v>0.28</v>
      </c>
      <c r="U360" s="14">
        <f>IFERROR(__xludf.DUMMYFUNCTION("""COMPUTED_VALUE"""),0.686)</f>
        <v>0.686</v>
      </c>
      <c r="V360" s="14">
        <f>IFERROR(__xludf.DUMMYFUNCTION("""COMPUTED_VALUE"""),0.033)</f>
        <v>0.033</v>
      </c>
      <c r="W360" s="14">
        <f>IFERROR(__xludf.DUMMYFUNCTION("""COMPUTED_VALUE"""),381440.0)</f>
        <v>381440</v>
      </c>
      <c r="X360" s="14">
        <f>IFERROR(__xludf.DUMMYFUNCTION("""COMPUTED_VALUE"""),0.743)</f>
        <v>0.743</v>
      </c>
      <c r="Y360" s="14" t="str">
        <f>IFERROR(__xludf.DUMMYFUNCTION("""COMPUTED_VALUE"""),"Brunei-Asia")</f>
        <v>Brunei-Asia</v>
      </c>
      <c r="Z360" s="14" t="str">
        <f>IFERROR(__xludf.DUMMYFUNCTION("""COMPUTED_VALUE"""),"Asia")</f>
        <v>Asia</v>
      </c>
      <c r="AA360" s="14" t="str">
        <f>IFERROR(__xludf.DUMMYFUNCTION("""COMPUTED_VALUE"""),"2007")</f>
        <v>2007</v>
      </c>
      <c r="AB360" s="15" t="str">
        <f>IFERROR(__xludf.DUMMYFUNCTION("ARRAYFORMULA(VLOOKUP(A360,IMPORTRANGE(""https://docs.google.com/spreadsheets/d/1BuTWp7qHGjWhqrnf-OmePP568O4A5Am9ttzvVdP67zw/edit#gid=1931367683"" ,""ENERGY!$A$2:$F$2692""), {2,3,4,5,6},0))"),"Asia")</f>
        <v>Asia</v>
      </c>
      <c r="AC360" s="14" t="str">
        <f>IFERROR(__xludf.DUMMYFUNCTION("""COMPUTED_VALUE"""),"Brunei-Asia")</f>
        <v>Brunei-Asia</v>
      </c>
      <c r="AD360" s="14" t="str">
        <f>IFERROR(__xludf.DUMMYFUNCTION("""COMPUTED_VALUE"""),"2006")</f>
        <v>2006</v>
      </c>
      <c r="AE360" s="14">
        <f>IFERROR(__xludf.DUMMYFUNCTION("""COMPUTED_VALUE"""),2217.0)</f>
        <v>2217</v>
      </c>
      <c r="AF360" s="14">
        <f>IFERROR(__xludf.DUMMYFUNCTION("""COMPUTED_VALUE"""),5126.0)</f>
        <v>5126</v>
      </c>
    </row>
    <row r="361">
      <c r="A361" s="12">
        <v>360.0</v>
      </c>
      <c r="B361" s="12" t="s">
        <v>106</v>
      </c>
      <c r="C361" s="5" t="s">
        <v>61</v>
      </c>
      <c r="D361" s="11">
        <v>0.374</v>
      </c>
      <c r="E361" s="11">
        <v>116.0</v>
      </c>
      <c r="F361" s="8"/>
      <c r="G361" s="11">
        <v>144.0</v>
      </c>
      <c r="H361" s="11">
        <v>0.46</v>
      </c>
      <c r="I361" s="11">
        <v>1.028</v>
      </c>
      <c r="J361" s="9" t="s">
        <v>69</v>
      </c>
      <c r="K361" s="14" t="str">
        <f>IFERROR(__xludf.DUMMYFUNCTION("ARRAYFORMULA(VLOOKUP(A361,IMPORTRANGE(""https://docs.google.com/spreadsheets/d/1BuTWp7qHGjWhqrnf-OmePP568O4A5Am9ttzvVdP67zw/edit#gid=1603210130"", ""TOURISM!$A$2:$F$2692""), {2,3,4,5,6},0))"),"Asia")</f>
        <v>Asia</v>
      </c>
      <c r="L361" s="14">
        <f>IFERROR(__xludf.DUMMYFUNCTION("""COMPUTED_VALUE"""),2.42E8)</f>
        <v>242000000</v>
      </c>
      <c r="M361" s="14" t="str">
        <f>IFERROR(__xludf.DUMMYFUNCTION("""COMPUTED_VALUE"""),"Brunei-Asia")</f>
        <v>Brunei-Asia</v>
      </c>
      <c r="N361" s="14" t="str">
        <f>IFERROR(__xludf.DUMMYFUNCTION("""COMPUTED_VALUE"""),"2008")</f>
        <v>2008</v>
      </c>
      <c r="O361" s="14">
        <f>IFERROR(__xludf.DUMMYFUNCTION("""COMPUTED_VALUE"""),4.59E8)</f>
        <v>459000000</v>
      </c>
      <c r="P361" s="15">
        <f>IFERROR(__xludf.DUMMYFUNCTION("ARRAYFORMULA(VLOOKUP(A361,IMPORTRANGE(""https://docs.google.com/spreadsheets/d/1BuTWp7qHGjWhqrnf-OmePP568O4A5Am9ttzvVdP67zw/edit#gid=771602874"" ,""HUMAN RESOURCES!$A$2:$M$2692""), {2,3,4,5,6,7,8,9,10,11,12,13},0))"),0.018)</f>
        <v>0.018</v>
      </c>
      <c r="Q361" s="14">
        <f>IFERROR(__xludf.DUMMYFUNCTION("""COMPUTED_VALUE"""),0.008)</f>
        <v>0.008</v>
      </c>
      <c r="R361" s="14">
        <f>IFERROR(__xludf.DUMMYFUNCTION("""COMPUTED_VALUE"""),80.0)</f>
        <v>80</v>
      </c>
      <c r="S361" s="14">
        <f>IFERROR(__xludf.DUMMYFUNCTION("""COMPUTED_VALUE"""),76.0)</f>
        <v>76</v>
      </c>
      <c r="T361" s="14">
        <f>IFERROR(__xludf.DUMMYFUNCTION("""COMPUTED_VALUE"""),0.275)</f>
        <v>0.275</v>
      </c>
      <c r="U361" s="14">
        <f>IFERROR(__xludf.DUMMYFUNCTION("""COMPUTED_VALUE"""),0.691)</f>
        <v>0.691</v>
      </c>
      <c r="V361" s="14">
        <f>IFERROR(__xludf.DUMMYFUNCTION("""COMPUTED_VALUE"""),0.034)</f>
        <v>0.034</v>
      </c>
      <c r="W361" s="14">
        <f>IFERROR(__xludf.DUMMYFUNCTION("""COMPUTED_VALUE"""),388017.0)</f>
        <v>388017</v>
      </c>
      <c r="X361" s="14">
        <f>IFERROR(__xludf.DUMMYFUNCTION("""COMPUTED_VALUE"""),0.747)</f>
        <v>0.747</v>
      </c>
      <c r="Y361" s="14" t="str">
        <f>IFERROR(__xludf.DUMMYFUNCTION("""COMPUTED_VALUE"""),"Brunei-Asia")</f>
        <v>Brunei-Asia</v>
      </c>
      <c r="Z361" s="14" t="str">
        <f>IFERROR(__xludf.DUMMYFUNCTION("""COMPUTED_VALUE"""),"Asia")</f>
        <v>Asia</v>
      </c>
      <c r="AA361" s="14" t="str">
        <f>IFERROR(__xludf.DUMMYFUNCTION("""COMPUTED_VALUE"""),"2008")</f>
        <v>2008</v>
      </c>
      <c r="AB361" s="15" t="str">
        <f>IFERROR(__xludf.DUMMYFUNCTION("ARRAYFORMULA(VLOOKUP(A361,IMPORTRANGE(""https://docs.google.com/spreadsheets/d/1BuTWp7qHGjWhqrnf-OmePP568O4A5Am9ttzvVdP67zw/edit#gid=1931367683"" ,""ENERGY!$A$2:$F$2692""), {2,3,4,5,6},0))"),"Asia")</f>
        <v>Asia</v>
      </c>
      <c r="AC361" s="14" t="str">
        <f>IFERROR(__xludf.DUMMYFUNCTION("""COMPUTED_VALUE"""),"Brunei-Asia")</f>
        <v>Brunei-Asia</v>
      </c>
      <c r="AD361" s="14" t="str">
        <f>IFERROR(__xludf.DUMMYFUNCTION("""COMPUTED_VALUE"""),"2012")</f>
        <v>2012</v>
      </c>
      <c r="AE361" s="14">
        <f>IFERROR(__xludf.DUMMYFUNCTION("""COMPUTED_VALUE"""),2296.0)</f>
        <v>2296</v>
      </c>
      <c r="AF361" s="14">
        <f>IFERROR(__xludf.DUMMYFUNCTION("""COMPUTED_VALUE"""),5361.0)</f>
        <v>5361</v>
      </c>
    </row>
    <row r="362">
      <c r="A362" s="12">
        <v>361.0</v>
      </c>
      <c r="B362" s="12" t="s">
        <v>106</v>
      </c>
      <c r="C362" s="5" t="s">
        <v>61</v>
      </c>
      <c r="D362" s="11">
        <v>0.303</v>
      </c>
      <c r="E362" s="11">
        <v>116.0</v>
      </c>
      <c r="F362" s="8"/>
      <c r="G362" s="11">
        <v>144.0</v>
      </c>
      <c r="H362" s="11">
        <v>0.49</v>
      </c>
      <c r="I362" s="11">
        <v>1.047</v>
      </c>
      <c r="J362" s="9" t="s">
        <v>70</v>
      </c>
      <c r="K362" s="14" t="str">
        <f>IFERROR(__xludf.DUMMYFUNCTION("ARRAYFORMULA(VLOOKUP(A362,IMPORTRANGE(""https://docs.google.com/spreadsheets/d/1BuTWp7qHGjWhqrnf-OmePP568O4A5Am9ttzvVdP67zw/edit#gid=1603210130"", ""TOURISM!$A$2:$F$2692""), {2,3,4,5,6},0))"),"Asia")</f>
        <v>Asia</v>
      </c>
      <c r="L362" s="14">
        <f>IFERROR(__xludf.DUMMYFUNCTION("""COMPUTED_VALUE"""),2.54E8)</f>
        <v>254000000</v>
      </c>
      <c r="M362" s="14" t="str">
        <f>IFERROR(__xludf.DUMMYFUNCTION("""COMPUTED_VALUE"""),"Brunei-Asia")</f>
        <v>Brunei-Asia</v>
      </c>
      <c r="N362" s="14" t="str">
        <f>IFERROR(__xludf.DUMMYFUNCTION("""COMPUTED_VALUE"""),"2009")</f>
        <v>2009</v>
      </c>
      <c r="O362" s="14">
        <f>IFERROR(__xludf.DUMMYFUNCTION("""COMPUTED_VALUE"""),4.77E8)</f>
        <v>477000000</v>
      </c>
      <c r="P362" s="15">
        <f>IFERROR(__xludf.DUMMYFUNCTION("ARRAYFORMULA(VLOOKUP(A362,IMPORTRANGE(""https://docs.google.com/spreadsheets/d/1BuTWp7qHGjWhqrnf-OmePP568O4A5Am9ttzvVdP67zw/edit#gid=771602874"" ,""HUMAN RESOURCES!$A$2:$M$2692""), {2,3,4,5,6,7,8,9,10,11,12,13},0))"),0.017)</f>
        <v>0.017</v>
      </c>
      <c r="Q362" s="14">
        <f>IFERROR(__xludf.DUMMYFUNCTION("""COMPUTED_VALUE"""),0.008)</f>
        <v>0.008</v>
      </c>
      <c r="R362" s="14">
        <f>IFERROR(__xludf.DUMMYFUNCTION("""COMPUTED_VALUE"""),80.0)</f>
        <v>80</v>
      </c>
      <c r="S362" s="14">
        <f>IFERROR(__xludf.DUMMYFUNCTION("""COMPUTED_VALUE"""),76.0)</f>
        <v>76</v>
      </c>
      <c r="T362" s="14">
        <f>IFERROR(__xludf.DUMMYFUNCTION("""COMPUTED_VALUE"""),0.271)</f>
        <v>0.271</v>
      </c>
      <c r="U362" s="14">
        <f>IFERROR(__xludf.DUMMYFUNCTION("""COMPUTED_VALUE"""),0.694)</f>
        <v>0.694</v>
      </c>
      <c r="V362" s="14">
        <f>IFERROR(__xludf.DUMMYFUNCTION("""COMPUTED_VALUE"""),0.035)</f>
        <v>0.035</v>
      </c>
      <c r="W362" s="14">
        <f>IFERROR(__xludf.DUMMYFUNCTION("""COMPUTED_VALUE"""),394400.0)</f>
        <v>394400</v>
      </c>
      <c r="X362" s="14">
        <f>IFERROR(__xludf.DUMMYFUNCTION("""COMPUTED_VALUE"""),0.751)</f>
        <v>0.751</v>
      </c>
      <c r="Y362" s="14" t="str">
        <f>IFERROR(__xludf.DUMMYFUNCTION("""COMPUTED_VALUE"""),"Brunei-Asia")</f>
        <v>Brunei-Asia</v>
      </c>
      <c r="Z362" s="14" t="str">
        <f>IFERROR(__xludf.DUMMYFUNCTION("""COMPUTED_VALUE"""),"Asia")</f>
        <v>Asia</v>
      </c>
      <c r="AA362" s="14" t="str">
        <f>IFERROR(__xludf.DUMMYFUNCTION("""COMPUTED_VALUE"""),"2009")</f>
        <v>2009</v>
      </c>
      <c r="AB362" s="15" t="str">
        <f>IFERROR(__xludf.DUMMYFUNCTION("ARRAYFORMULA(VLOOKUP(A362,IMPORTRANGE(""https://docs.google.com/spreadsheets/d/1BuTWp7qHGjWhqrnf-OmePP568O4A5Am9ttzvVdP67zw/edit#gid=1931367683"" ,""ENERGY!$A$2:$F$2692""), {2,3,4,5,6},0))"),"Asia")</f>
        <v>Asia</v>
      </c>
      <c r="AC362" s="14" t="str">
        <f>IFERROR(__xludf.DUMMYFUNCTION("""COMPUTED_VALUE"""),"Brunei-Asia")</f>
        <v>Brunei-Asia</v>
      </c>
      <c r="AD362" s="14" t="str">
        <f>IFERROR(__xludf.DUMMYFUNCTION("""COMPUTED_VALUE"""),"2009")</f>
        <v>2009</v>
      </c>
      <c r="AE362" s="14">
        <f>IFERROR(__xludf.DUMMYFUNCTION("""COMPUTED_VALUE"""),2505.0)</f>
        <v>2505</v>
      </c>
      <c r="AF362" s="14">
        <f>IFERROR(__xludf.DUMMYFUNCTION("""COMPUTED_VALUE"""),5357.0)</f>
        <v>5357</v>
      </c>
    </row>
    <row r="363">
      <c r="A363" s="12">
        <v>362.0</v>
      </c>
      <c r="B363" s="12" t="s">
        <v>106</v>
      </c>
      <c r="C363" s="5" t="s">
        <v>61</v>
      </c>
      <c r="D363" s="11">
        <v>0.173</v>
      </c>
      <c r="E363" s="11">
        <v>105.0</v>
      </c>
      <c r="F363" s="8"/>
      <c r="G363" s="11">
        <v>144.0</v>
      </c>
      <c r="H363" s="11">
        <v>0.53</v>
      </c>
      <c r="I363" s="11">
        <v>1.086</v>
      </c>
      <c r="J363" s="9" t="s">
        <v>71</v>
      </c>
      <c r="K363" s="14" t="str">
        <f>IFERROR(__xludf.DUMMYFUNCTION("ARRAYFORMULA(VLOOKUP(A363,IMPORTRANGE(""https://docs.google.com/spreadsheets/d/1BuTWp7qHGjWhqrnf-OmePP568O4A5Am9ttzvVdP67zw/edit#gid=1603210130"", ""TOURISM!$A$2:$F$2692""), {2,3,4,5,6},0))"),"Asia")</f>
        <v>Asia</v>
      </c>
      <c r="L363" s="14"/>
      <c r="M363" s="14" t="str">
        <f>IFERROR(__xludf.DUMMYFUNCTION("""COMPUTED_VALUE"""),"Brunei-Asia")</f>
        <v>Brunei-Asia</v>
      </c>
      <c r="N363" s="14" t="str">
        <f>IFERROR(__xludf.DUMMYFUNCTION("""COMPUTED_VALUE"""),"2010")</f>
        <v>2010</v>
      </c>
      <c r="O363" s="14"/>
      <c r="P363" s="15">
        <f>IFERROR(__xludf.DUMMYFUNCTION("ARRAYFORMULA(VLOOKUP(A363,IMPORTRANGE(""https://docs.google.com/spreadsheets/d/1BuTWp7qHGjWhqrnf-OmePP568O4A5Am9ttzvVdP67zw/edit#gid=771602874"" ,""HUMAN RESOURCES!$A$2:$M$2692""), {2,3,4,5,6,7,8,9,10,11,12,13},0))"),0.017)</f>
        <v>0.017</v>
      </c>
      <c r="Q363" s="14">
        <f>IFERROR(__xludf.DUMMYFUNCTION("""COMPUTED_VALUE"""),0.008)</f>
        <v>0.008</v>
      </c>
      <c r="R363" s="14">
        <f>IFERROR(__xludf.DUMMYFUNCTION("""COMPUTED_VALUE"""),80.0)</f>
        <v>80</v>
      </c>
      <c r="S363" s="14">
        <f>IFERROR(__xludf.DUMMYFUNCTION("""COMPUTED_VALUE"""),76.0)</f>
        <v>76</v>
      </c>
      <c r="T363" s="14">
        <f>IFERROR(__xludf.DUMMYFUNCTION("""COMPUTED_VALUE"""),0.266)</f>
        <v>0.266</v>
      </c>
      <c r="U363" s="14">
        <f>IFERROR(__xludf.DUMMYFUNCTION("""COMPUTED_VALUE"""),0.697)</f>
        <v>0.697</v>
      </c>
      <c r="V363" s="14">
        <f>IFERROR(__xludf.DUMMYFUNCTION("""COMPUTED_VALUE"""),0.037)</f>
        <v>0.037</v>
      </c>
      <c r="W363" s="14">
        <f>IFERROR(__xludf.DUMMYFUNCTION("""COMPUTED_VALUE"""),400569.0)</f>
        <v>400569</v>
      </c>
      <c r="X363" s="14">
        <f>IFERROR(__xludf.DUMMYFUNCTION("""COMPUTED_VALUE"""),0.755)</f>
        <v>0.755</v>
      </c>
      <c r="Y363" s="14" t="str">
        <f>IFERROR(__xludf.DUMMYFUNCTION("""COMPUTED_VALUE"""),"Brunei-Asia")</f>
        <v>Brunei-Asia</v>
      </c>
      <c r="Z363" s="14" t="str">
        <f>IFERROR(__xludf.DUMMYFUNCTION("""COMPUTED_VALUE"""),"Asia")</f>
        <v>Asia</v>
      </c>
      <c r="AA363" s="14" t="str">
        <f>IFERROR(__xludf.DUMMYFUNCTION("""COMPUTED_VALUE"""),"2010")</f>
        <v>2010</v>
      </c>
      <c r="AB363" s="15" t="str">
        <f>IFERROR(__xludf.DUMMYFUNCTION("ARRAYFORMULA(VLOOKUP(A363,IMPORTRANGE(""https://docs.google.com/spreadsheets/d/1BuTWp7qHGjWhqrnf-OmePP568O4A5Am9ttzvVdP67zw/edit#gid=1931367683"" ,""ENERGY!$A$2:$F$2692""), {2,3,4,5,6},0))"),"Asia")</f>
        <v>Asia</v>
      </c>
      <c r="AC363" s="14" t="str">
        <f>IFERROR(__xludf.DUMMYFUNCTION("""COMPUTED_VALUE"""),"Brunei-Asia")</f>
        <v>Brunei-Asia</v>
      </c>
      <c r="AD363" s="14" t="str">
        <f>IFERROR(__xludf.DUMMYFUNCTION("""COMPUTED_VALUE"""),"2006")</f>
        <v>2006</v>
      </c>
      <c r="AE363" s="14">
        <f>IFERROR(__xludf.DUMMYFUNCTION("""COMPUTED_VALUE"""),2157.0)</f>
        <v>2157</v>
      </c>
      <c r="AF363" s="14">
        <f>IFERROR(__xludf.DUMMYFUNCTION("""COMPUTED_VALUE"""),5321.0)</f>
        <v>5321</v>
      </c>
    </row>
    <row r="364">
      <c r="A364" s="12">
        <v>363.0</v>
      </c>
      <c r="B364" s="12" t="s">
        <v>106</v>
      </c>
      <c r="C364" s="5" t="s">
        <v>61</v>
      </c>
      <c r="D364" s="11">
        <v>0.168</v>
      </c>
      <c r="E364" s="11">
        <v>101.0</v>
      </c>
      <c r="F364" s="8"/>
      <c r="G364" s="11">
        <v>96.0</v>
      </c>
      <c r="H364" s="11">
        <v>0.56</v>
      </c>
      <c r="I364" s="11">
        <v>1.09</v>
      </c>
      <c r="J364" s="9" t="s">
        <v>72</v>
      </c>
      <c r="K364" s="14" t="str">
        <f>IFERROR(__xludf.DUMMYFUNCTION("ARRAYFORMULA(VLOOKUP(A364,IMPORTRANGE(""https://docs.google.com/spreadsheets/d/1BuTWp7qHGjWhqrnf-OmePP568O4A5Am9ttzvVdP67zw/edit#gid=1603210130"", ""TOURISM!$A$2:$F$2692""), {2,3,4,5,6},0))"),"Asia")</f>
        <v>Asia</v>
      </c>
      <c r="L364" s="14"/>
      <c r="M364" s="14" t="str">
        <f>IFERROR(__xludf.DUMMYFUNCTION("""COMPUTED_VALUE"""),"Brunei-Asia")</f>
        <v>Brunei-Asia</v>
      </c>
      <c r="N364" s="14" t="str">
        <f>IFERROR(__xludf.DUMMYFUNCTION("""COMPUTED_VALUE"""),"2011")</f>
        <v>2011</v>
      </c>
      <c r="O364" s="14"/>
      <c r="P364" s="15">
        <f>IFERROR(__xludf.DUMMYFUNCTION("ARRAYFORMULA(VLOOKUP(A364,IMPORTRANGE(""https://docs.google.com/spreadsheets/d/1BuTWp7qHGjWhqrnf-OmePP568O4A5Am9ttzvVdP67zw/edit#gid=771602874"" ,""HUMAN RESOURCES!$A$2:$M$2692""), {2,3,4,5,6,7,8,9,10,11,12,13},0))"),0.016)</f>
        <v>0.016</v>
      </c>
      <c r="Q364" s="14">
        <f>IFERROR(__xludf.DUMMYFUNCTION("""COMPUTED_VALUE"""),0.008)</f>
        <v>0.008</v>
      </c>
      <c r="R364" s="14">
        <f>IFERROR(__xludf.DUMMYFUNCTION("""COMPUTED_VALUE"""),80.0)</f>
        <v>80</v>
      </c>
      <c r="S364" s="14">
        <f>IFERROR(__xludf.DUMMYFUNCTION("""COMPUTED_VALUE"""),76.0)</f>
        <v>76</v>
      </c>
      <c r="T364" s="14">
        <f>IFERROR(__xludf.DUMMYFUNCTION("""COMPUTED_VALUE"""),0.262)</f>
        <v>0.262</v>
      </c>
      <c r="U364" s="14">
        <f>IFERROR(__xludf.DUMMYFUNCTION("""COMPUTED_VALUE"""),0.7)</f>
        <v>0.7</v>
      </c>
      <c r="V364" s="14">
        <f>IFERROR(__xludf.DUMMYFUNCTION("""COMPUTED_VALUE"""),0.038)</f>
        <v>0.038</v>
      </c>
      <c r="W364" s="14">
        <f>IFERROR(__xludf.DUMMYFUNCTION("""COMPUTED_VALUE"""),406512.0)</f>
        <v>406512</v>
      </c>
      <c r="X364" s="14">
        <f>IFERROR(__xludf.DUMMYFUNCTION("""COMPUTED_VALUE"""),0.759)</f>
        <v>0.759</v>
      </c>
      <c r="Y364" s="14" t="str">
        <f>IFERROR(__xludf.DUMMYFUNCTION("""COMPUTED_VALUE"""),"Brunei-Asia")</f>
        <v>Brunei-Asia</v>
      </c>
      <c r="Z364" s="14" t="str">
        <f>IFERROR(__xludf.DUMMYFUNCTION("""COMPUTED_VALUE"""),"Asia")</f>
        <v>Asia</v>
      </c>
      <c r="AA364" s="14" t="str">
        <f>IFERROR(__xludf.DUMMYFUNCTION("""COMPUTED_VALUE"""),"2011")</f>
        <v>2011</v>
      </c>
      <c r="AB364" s="15" t="str">
        <f>IFERROR(__xludf.DUMMYFUNCTION("ARRAYFORMULA(VLOOKUP(A364,IMPORTRANGE(""https://docs.google.com/spreadsheets/d/1BuTWp7qHGjWhqrnf-OmePP568O4A5Am9ttzvVdP67zw/edit#gid=1931367683"" ,""ENERGY!$A$2:$F$2692""), {2,3,4,5,6},0))"),"Asia")</f>
        <v>Asia</v>
      </c>
      <c r="AC364" s="14" t="str">
        <f>IFERROR(__xludf.DUMMYFUNCTION("""COMPUTED_VALUE"""),"Brunei-Asia")</f>
        <v>Brunei-Asia</v>
      </c>
      <c r="AD364" s="14" t="str">
        <f>IFERROR(__xludf.DUMMYFUNCTION("""COMPUTED_VALUE"""),"2004")</f>
        <v>2004</v>
      </c>
      <c r="AE364" s="14">
        <f>IFERROR(__xludf.DUMMYFUNCTION("""COMPUTED_VALUE"""),2208.0)</f>
        <v>2208</v>
      </c>
      <c r="AF364" s="14">
        <f>IFERROR(__xludf.DUMMYFUNCTION("""COMPUTED_VALUE"""),6197.0)</f>
        <v>6197</v>
      </c>
    </row>
    <row r="365">
      <c r="A365" s="12">
        <v>364.0</v>
      </c>
      <c r="B365" s="12" t="s">
        <v>106</v>
      </c>
      <c r="C365" s="5" t="s">
        <v>61</v>
      </c>
      <c r="D365" s="11">
        <v>0.168</v>
      </c>
      <c r="E365" s="11">
        <v>101.0</v>
      </c>
      <c r="F365" s="11">
        <v>79.0</v>
      </c>
      <c r="G365" s="11">
        <v>96.0</v>
      </c>
      <c r="H365" s="11">
        <v>0.603</v>
      </c>
      <c r="I365" s="11">
        <v>1.139</v>
      </c>
      <c r="J365" s="9" t="s">
        <v>73</v>
      </c>
      <c r="K365" s="14" t="str">
        <f>IFERROR(__xludf.DUMMYFUNCTION("ARRAYFORMULA(VLOOKUP(A365,IMPORTRANGE(""https://docs.google.com/spreadsheets/d/1BuTWp7qHGjWhqrnf-OmePP568O4A5Am9ttzvVdP67zw/edit#gid=1603210130"", ""TOURISM!$A$2:$F$2692""), {2,3,4,5,6},0))"),"Asia")</f>
        <v>Asia</v>
      </c>
      <c r="L365" s="14"/>
      <c r="M365" s="14" t="str">
        <f>IFERROR(__xludf.DUMMYFUNCTION("""COMPUTED_VALUE"""),"Brunei-Asia")</f>
        <v>Brunei-Asia</v>
      </c>
      <c r="N365" s="14" t="str">
        <f>IFERROR(__xludf.DUMMYFUNCTION("""COMPUTED_VALUE"""),"2012")</f>
        <v>2012</v>
      </c>
      <c r="O365" s="14"/>
      <c r="P365" s="15">
        <f>IFERROR(__xludf.DUMMYFUNCTION("ARRAYFORMULA(VLOOKUP(A365,IMPORTRANGE(""https://docs.google.com/spreadsheets/d/1BuTWp7qHGjWhqrnf-OmePP568O4A5Am9ttzvVdP67zw/edit#gid=771602874"" ,""HUMAN RESOURCES!$A$2:$M$2692""), {2,3,4,5,6,7,8,9,10,11,12,13},0))"),0.016)</f>
        <v>0.016</v>
      </c>
      <c r="Q365" s="14">
        <f>IFERROR(__xludf.DUMMYFUNCTION("""COMPUTED_VALUE"""),0.008)</f>
        <v>0.008</v>
      </c>
      <c r="R365" s="14">
        <f>IFERROR(__xludf.DUMMYFUNCTION("""COMPUTED_VALUE"""),80.0)</f>
        <v>80</v>
      </c>
      <c r="S365" s="14">
        <f>IFERROR(__xludf.DUMMYFUNCTION("""COMPUTED_VALUE"""),77.0)</f>
        <v>77</v>
      </c>
      <c r="T365" s="14">
        <f>IFERROR(__xludf.DUMMYFUNCTION("""COMPUTED_VALUE"""),0.258)</f>
        <v>0.258</v>
      </c>
      <c r="U365" s="14">
        <f>IFERROR(__xludf.DUMMYFUNCTION("""COMPUTED_VALUE"""),0.702)</f>
        <v>0.702</v>
      </c>
      <c r="V365" s="14">
        <f>IFERROR(__xludf.DUMMYFUNCTION("""COMPUTED_VALUE"""),0.04)</f>
        <v>0.04</v>
      </c>
      <c r="W365" s="14">
        <f>IFERROR(__xludf.DUMMYFUNCTION("""COMPUTED_VALUE"""),412238.0)</f>
        <v>412238</v>
      </c>
      <c r="X365" s="14">
        <f>IFERROR(__xludf.DUMMYFUNCTION("""COMPUTED_VALUE"""),0.762)</f>
        <v>0.762</v>
      </c>
      <c r="Y365" s="14" t="str">
        <f>IFERROR(__xludf.DUMMYFUNCTION("""COMPUTED_VALUE"""),"Brunei-Asia")</f>
        <v>Brunei-Asia</v>
      </c>
      <c r="Z365" s="14" t="str">
        <f>IFERROR(__xludf.DUMMYFUNCTION("""COMPUTED_VALUE"""),"Asia")</f>
        <v>Asia</v>
      </c>
      <c r="AA365" s="14" t="str">
        <f>IFERROR(__xludf.DUMMYFUNCTION("""COMPUTED_VALUE"""),"2012")</f>
        <v>2012</v>
      </c>
      <c r="AB365" s="15" t="str">
        <f>IFERROR(__xludf.DUMMYFUNCTION("ARRAYFORMULA(VLOOKUP(A365,IMPORTRANGE(""https://docs.google.com/spreadsheets/d/1BuTWp7qHGjWhqrnf-OmePP568O4A5Am9ttzvVdP67zw/edit#gid=1931367683"" ,""ENERGY!$A$2:$F$2692""), {2,3,4,5,6},0))"),"Asia")</f>
        <v>Asia</v>
      </c>
      <c r="AC365" s="14" t="str">
        <f>IFERROR(__xludf.DUMMYFUNCTION("""COMPUTED_VALUE"""),"Brunei-Asia")</f>
        <v>Brunei-Asia</v>
      </c>
      <c r="AD365" s="14" t="str">
        <f>IFERROR(__xludf.DUMMYFUNCTION("""COMPUTED_VALUE"""),"2008")</f>
        <v>2008</v>
      </c>
      <c r="AE365" s="14">
        <f>IFERROR(__xludf.DUMMYFUNCTION("""COMPUTED_VALUE"""),2385.0)</f>
        <v>2385</v>
      </c>
      <c r="AF365" s="14">
        <f>IFERROR(__xludf.DUMMYFUNCTION("""COMPUTED_VALUE"""),6527.0)</f>
        <v>6527</v>
      </c>
    </row>
    <row r="366">
      <c r="A366" s="12">
        <v>365.0</v>
      </c>
      <c r="B366" s="12" t="s">
        <v>107</v>
      </c>
      <c r="C366" s="5" t="s">
        <v>75</v>
      </c>
      <c r="D366" s="8"/>
      <c r="E366" s="8"/>
      <c r="F366" s="8"/>
      <c r="G366" s="8"/>
      <c r="H366" s="11">
        <v>0.054</v>
      </c>
      <c r="I366" s="11">
        <v>0.092</v>
      </c>
      <c r="J366" s="9" t="s">
        <v>60</v>
      </c>
      <c r="K366" s="14" t="str">
        <f>IFERROR(__xludf.DUMMYFUNCTION("ARRAYFORMULA(VLOOKUP(A366,IMPORTRANGE(""https://docs.google.com/spreadsheets/d/1BuTWp7qHGjWhqrnf-OmePP568O4A5Am9ttzvVdP67zw/edit#gid=1603210130"", ""TOURISM!$A$2:$F$2692""), {2,3,4,5,6},0))"),"Europe")</f>
        <v>Europe</v>
      </c>
      <c r="L366" s="14">
        <f>IFERROR(__xludf.DUMMYFUNCTION("""COMPUTED_VALUE"""),1.364E9)</f>
        <v>1364000000</v>
      </c>
      <c r="M366" s="14" t="str">
        <f>IFERROR(__xludf.DUMMYFUNCTION("""COMPUTED_VALUE"""),"Bulgaria-Europe")</f>
        <v>Bulgaria-Europe</v>
      </c>
      <c r="N366" s="14" t="str">
        <f>IFERROR(__xludf.DUMMYFUNCTION("""COMPUTED_VALUE"""),"2000")</f>
        <v>2000</v>
      </c>
      <c r="O366" s="14">
        <f>IFERROR(__xludf.DUMMYFUNCTION("""COMPUTED_VALUE"""),7.64E8)</f>
        <v>764000000</v>
      </c>
      <c r="P366" s="15">
        <f>IFERROR(__xludf.DUMMYFUNCTION("ARRAYFORMULA(VLOOKUP(A366,IMPORTRANGE(""https://docs.google.com/spreadsheets/d/1BuTWp7qHGjWhqrnf-OmePP568O4A5Am9ttzvVdP67zw/edit#gid=771602874"" ,""HUMAN RESOURCES!$A$2:$M$2692""), {2,3,4,5,6,7,8,9,10,11,12,13},0))"),0.009)</f>
        <v>0.009</v>
      </c>
      <c r="Q366" s="14">
        <f>IFERROR(__xludf.DUMMYFUNCTION("""COMPUTED_VALUE"""),0.018)</f>
        <v>0.018</v>
      </c>
      <c r="R366" s="14">
        <f>IFERROR(__xludf.DUMMYFUNCTION("""COMPUTED_VALUE"""),75.0)</f>
        <v>75</v>
      </c>
      <c r="S366" s="14">
        <f>IFERROR(__xludf.DUMMYFUNCTION("""COMPUTED_VALUE"""),68.0)</f>
        <v>68</v>
      </c>
      <c r="T366" s="14">
        <f>IFERROR(__xludf.DUMMYFUNCTION("""COMPUTED_VALUE"""),0.157)</f>
        <v>0.157</v>
      </c>
      <c r="U366" s="14">
        <f>IFERROR(__xludf.DUMMYFUNCTION("""COMPUTED_VALUE"""),0.677)</f>
        <v>0.677</v>
      </c>
      <c r="V366" s="14">
        <f>IFERROR(__xludf.DUMMYFUNCTION("""COMPUTED_VALUE"""),0.166)</f>
        <v>0.166</v>
      </c>
      <c r="W366" s="14">
        <f>IFERROR(__xludf.DUMMYFUNCTION("""COMPUTED_VALUE"""),8170172.0)</f>
        <v>8170172</v>
      </c>
      <c r="X366" s="14">
        <f>IFERROR(__xludf.DUMMYFUNCTION("""COMPUTED_VALUE"""),0.689)</f>
        <v>0.689</v>
      </c>
      <c r="Y366" s="14" t="str">
        <f>IFERROR(__xludf.DUMMYFUNCTION("""COMPUTED_VALUE"""),"Bulgaria-Europe")</f>
        <v>Bulgaria-Europe</v>
      </c>
      <c r="Z366" s="14" t="str">
        <f>IFERROR(__xludf.DUMMYFUNCTION("""COMPUTED_VALUE"""),"Europe")</f>
        <v>Europe</v>
      </c>
      <c r="AA366" s="14" t="str">
        <f>IFERROR(__xludf.DUMMYFUNCTION("""COMPUTED_VALUE"""),"2000")</f>
        <v>2000</v>
      </c>
      <c r="AB366" s="15" t="str">
        <f>IFERROR(__xludf.DUMMYFUNCTION("ARRAYFORMULA(VLOOKUP(A366,IMPORTRANGE(""https://docs.google.com/spreadsheets/d/1BuTWp7qHGjWhqrnf-OmePP568O4A5Am9ttzvVdP67zw/edit#gid=1931367683"" ,""ENERGY!$A$2:$F$2692""), {2,3,4,5,6},0))"),"Europe")</f>
        <v>Europe</v>
      </c>
      <c r="AC366" s="14" t="str">
        <f>IFERROR(__xludf.DUMMYFUNCTION("""COMPUTED_VALUE"""),"Bulgaria-Europe")</f>
        <v>Bulgaria-Europe</v>
      </c>
      <c r="AD366" s="14" t="str">
        <f>IFERROR(__xludf.DUMMYFUNCTION("""COMPUTED_VALUE"""),"2000")</f>
        <v>2000</v>
      </c>
      <c r="AE366" s="14"/>
      <c r="AF366" s="14"/>
    </row>
    <row r="367">
      <c r="A367" s="12">
        <v>366.0</v>
      </c>
      <c r="B367" s="12" t="s">
        <v>107</v>
      </c>
      <c r="C367" s="5" t="s">
        <v>75</v>
      </c>
      <c r="D367" s="8"/>
      <c r="E367" s="8"/>
      <c r="F367" s="8"/>
      <c r="G367" s="8"/>
      <c r="H367" s="11">
        <v>0.076</v>
      </c>
      <c r="I367" s="11">
        <v>0.195</v>
      </c>
      <c r="J367" s="9" t="s">
        <v>62</v>
      </c>
      <c r="K367" s="14" t="str">
        <f>IFERROR(__xludf.DUMMYFUNCTION("ARRAYFORMULA(VLOOKUP(A367,IMPORTRANGE(""https://docs.google.com/spreadsheets/d/1BuTWp7qHGjWhqrnf-OmePP568O4A5Am9ttzvVdP67zw/edit#gid=1603210130"", ""TOURISM!$A$2:$F$2692""), {2,3,4,5,6},0))"),"Europe")</f>
        <v>Europe</v>
      </c>
      <c r="L367" s="14">
        <f>IFERROR(__xludf.DUMMYFUNCTION("""COMPUTED_VALUE"""),1.262E9)</f>
        <v>1262000000</v>
      </c>
      <c r="M367" s="14" t="str">
        <f>IFERROR(__xludf.DUMMYFUNCTION("""COMPUTED_VALUE"""),"Bulgaria-Europe")</f>
        <v>Bulgaria-Europe</v>
      </c>
      <c r="N367" s="14" t="str">
        <f>IFERROR(__xludf.DUMMYFUNCTION("""COMPUTED_VALUE"""),"2001")</f>
        <v>2001</v>
      </c>
      <c r="O367" s="14">
        <f>IFERROR(__xludf.DUMMYFUNCTION("""COMPUTED_VALUE"""),8.36E8)</f>
        <v>836000000</v>
      </c>
      <c r="P367" s="15">
        <f>IFERROR(__xludf.DUMMYFUNCTION("ARRAYFORMULA(VLOOKUP(A367,IMPORTRANGE(""https://docs.google.com/spreadsheets/d/1BuTWp7qHGjWhqrnf-OmePP568O4A5Am9ttzvVdP67zw/edit#gid=771602874"" ,""HUMAN RESOURCES!$A$2:$M$2692""), {2,3,4,5,6,7,8,9,10,11,12,13},0))"),0.009)</f>
        <v>0.009</v>
      </c>
      <c r="Q367" s="14">
        <f>IFERROR(__xludf.DUMMYFUNCTION("""COMPUTED_VALUE"""),0.017)</f>
        <v>0.017</v>
      </c>
      <c r="R367" s="14">
        <f>IFERROR(__xludf.DUMMYFUNCTION("""COMPUTED_VALUE"""),75.0)</f>
        <v>75</v>
      </c>
      <c r="S367" s="14">
        <f>IFERROR(__xludf.DUMMYFUNCTION("""COMPUTED_VALUE"""),69.0)</f>
        <v>69</v>
      </c>
      <c r="T367" s="14">
        <f>IFERROR(__xludf.DUMMYFUNCTION("""COMPUTED_VALUE"""),0.152)</f>
        <v>0.152</v>
      </c>
      <c r="U367" s="14">
        <f>IFERROR(__xludf.DUMMYFUNCTION("""COMPUTED_VALUE"""),0.68)</f>
        <v>0.68</v>
      </c>
      <c r="V367" s="14">
        <f>IFERROR(__xludf.DUMMYFUNCTION("""COMPUTED_VALUE"""),0.168)</f>
        <v>0.168</v>
      </c>
      <c r="W367" s="14">
        <f>IFERROR(__xludf.DUMMYFUNCTION("""COMPUTED_VALUE"""),8020282.0)</f>
        <v>8020282</v>
      </c>
      <c r="X367" s="14">
        <f>IFERROR(__xludf.DUMMYFUNCTION("""COMPUTED_VALUE"""),0.692)</f>
        <v>0.692</v>
      </c>
      <c r="Y367" s="14" t="str">
        <f>IFERROR(__xludf.DUMMYFUNCTION("""COMPUTED_VALUE"""),"Bulgaria-Europe")</f>
        <v>Bulgaria-Europe</v>
      </c>
      <c r="Z367" s="14" t="str">
        <f>IFERROR(__xludf.DUMMYFUNCTION("""COMPUTED_VALUE"""),"Europe")</f>
        <v>Europe</v>
      </c>
      <c r="AA367" s="14" t="str">
        <f>IFERROR(__xludf.DUMMYFUNCTION("""COMPUTED_VALUE"""),"2001")</f>
        <v>2001</v>
      </c>
      <c r="AB367" s="15" t="str">
        <f>IFERROR(__xludf.DUMMYFUNCTION("ARRAYFORMULA(VLOOKUP(A367,IMPORTRANGE(""https://docs.google.com/spreadsheets/d/1BuTWp7qHGjWhqrnf-OmePP568O4A5Am9ttzvVdP67zw/edit#gid=1931367683"" ,""ENERGY!$A$2:$F$2692""), {2,3,4,5,6},0))"),"Europe")</f>
        <v>Europe</v>
      </c>
      <c r="AC367" s="14" t="str">
        <f>IFERROR(__xludf.DUMMYFUNCTION("""COMPUTED_VALUE"""),"Bulgaria-Europe")</f>
        <v>Bulgaria-Europe</v>
      </c>
      <c r="AD367" s="14" t="str">
        <f>IFERROR(__xludf.DUMMYFUNCTION("""COMPUTED_VALUE"""),"2001")</f>
        <v>2001</v>
      </c>
      <c r="AE367" s="14">
        <f>IFERROR(__xludf.DUMMYFUNCTION("""COMPUTED_VALUE"""),19216.0)</f>
        <v>19216</v>
      </c>
      <c r="AF367" s="14"/>
    </row>
    <row r="368">
      <c r="A368" s="12">
        <v>367.0</v>
      </c>
      <c r="B368" s="12" t="s">
        <v>107</v>
      </c>
      <c r="C368" s="5" t="s">
        <v>75</v>
      </c>
      <c r="D368" s="8"/>
      <c r="E368" s="8"/>
      <c r="F368" s="8"/>
      <c r="G368" s="8"/>
      <c r="H368" s="11">
        <v>0.091</v>
      </c>
      <c r="I368" s="11">
        <v>0.33</v>
      </c>
      <c r="J368" s="9" t="s">
        <v>63</v>
      </c>
      <c r="K368" s="14" t="str">
        <f>IFERROR(__xludf.DUMMYFUNCTION("ARRAYFORMULA(VLOOKUP(A368,IMPORTRANGE(""https://docs.google.com/spreadsheets/d/1BuTWp7qHGjWhqrnf-OmePP568O4A5Am9ttzvVdP67zw/edit#gid=1603210130"", ""TOURISM!$A$2:$F$2692""), {2,3,4,5,6},0))"),"Europe")</f>
        <v>Europe</v>
      </c>
      <c r="L368" s="14">
        <f>IFERROR(__xludf.DUMMYFUNCTION("""COMPUTED_VALUE"""),1.392E9)</f>
        <v>1392000000</v>
      </c>
      <c r="M368" s="14" t="str">
        <f>IFERROR(__xludf.DUMMYFUNCTION("""COMPUTED_VALUE"""),"Bulgaria-Europe")</f>
        <v>Bulgaria-Europe</v>
      </c>
      <c r="N368" s="14" t="str">
        <f>IFERROR(__xludf.DUMMYFUNCTION("""COMPUTED_VALUE"""),"2002")</f>
        <v>2002</v>
      </c>
      <c r="O368" s="14">
        <f>IFERROR(__xludf.DUMMYFUNCTION("""COMPUTED_VALUE"""),1.018E9)</f>
        <v>1018000000</v>
      </c>
      <c r="P368" s="15">
        <f>IFERROR(__xludf.DUMMYFUNCTION("ARRAYFORMULA(VLOOKUP(A368,IMPORTRANGE(""https://docs.google.com/spreadsheets/d/1BuTWp7qHGjWhqrnf-OmePP568O4A5Am9ttzvVdP67zw/edit#gid=771602874"" ,""HUMAN RESOURCES!$A$2:$M$2692""), {2,3,4,5,6,7,8,9,10,11,12,13},0))"),0.009)</f>
        <v>0.009</v>
      </c>
      <c r="Q368" s="14">
        <f>IFERROR(__xludf.DUMMYFUNCTION("""COMPUTED_VALUE"""),0.016)</f>
        <v>0.016</v>
      </c>
      <c r="R368" s="14">
        <f>IFERROR(__xludf.DUMMYFUNCTION("""COMPUTED_VALUE"""),75.0)</f>
        <v>75</v>
      </c>
      <c r="S368" s="14">
        <f>IFERROR(__xludf.DUMMYFUNCTION("""COMPUTED_VALUE"""),69.0)</f>
        <v>69</v>
      </c>
      <c r="T368" s="14">
        <f>IFERROR(__xludf.DUMMYFUNCTION("""COMPUTED_VALUE"""),0.148)</f>
        <v>0.148</v>
      </c>
      <c r="U368" s="14">
        <f>IFERROR(__xludf.DUMMYFUNCTION("""COMPUTED_VALUE"""),0.683)</f>
        <v>0.683</v>
      </c>
      <c r="V368" s="14">
        <f>IFERROR(__xludf.DUMMYFUNCTION("""COMPUTED_VALUE"""),0.17)</f>
        <v>0.17</v>
      </c>
      <c r="W368" s="14">
        <f>IFERROR(__xludf.DUMMYFUNCTION("""COMPUTED_VALUE"""),7868468.0)</f>
        <v>7868468</v>
      </c>
      <c r="X368" s="14">
        <f>IFERROR(__xludf.DUMMYFUNCTION("""COMPUTED_VALUE"""),0.695)</f>
        <v>0.695</v>
      </c>
      <c r="Y368" s="14" t="str">
        <f>IFERROR(__xludf.DUMMYFUNCTION("""COMPUTED_VALUE"""),"Bulgaria-Europe")</f>
        <v>Bulgaria-Europe</v>
      </c>
      <c r="Z368" s="14" t="str">
        <f>IFERROR(__xludf.DUMMYFUNCTION("""COMPUTED_VALUE"""),"Europe")</f>
        <v>Europe</v>
      </c>
      <c r="AA368" s="14" t="str">
        <f>IFERROR(__xludf.DUMMYFUNCTION("""COMPUTED_VALUE"""),"2002")</f>
        <v>2002</v>
      </c>
      <c r="AB368" s="15" t="str">
        <f>IFERROR(__xludf.DUMMYFUNCTION("ARRAYFORMULA(VLOOKUP(A368,IMPORTRANGE(""https://docs.google.com/spreadsheets/d/1BuTWp7qHGjWhqrnf-OmePP568O4A5Am9ttzvVdP67zw/edit#gid=1931367683"" ,""ENERGY!$A$2:$F$2692""), {2,3,4,5,6},0))"),"Europe")</f>
        <v>Europe</v>
      </c>
      <c r="AC368" s="14" t="str">
        <f>IFERROR(__xludf.DUMMYFUNCTION("""COMPUTED_VALUE"""),"Bulgaria-Europe")</f>
        <v>Bulgaria-Europe</v>
      </c>
      <c r="AD368" s="14" t="str">
        <f>IFERROR(__xludf.DUMMYFUNCTION("""COMPUTED_VALUE"""),"2002")</f>
        <v>2002</v>
      </c>
      <c r="AE368" s="14">
        <f>IFERROR(__xludf.DUMMYFUNCTION("""COMPUTED_VALUE"""),17897.0)</f>
        <v>17897</v>
      </c>
      <c r="AF368" s="14">
        <f>IFERROR(__xludf.DUMMYFUNCTION("""COMPUTED_VALUE"""),44679.0)</f>
        <v>44679</v>
      </c>
    </row>
    <row r="369">
      <c r="A369" s="12">
        <v>368.0</v>
      </c>
      <c r="B369" s="12" t="s">
        <v>107</v>
      </c>
      <c r="C369" s="5" t="s">
        <v>75</v>
      </c>
      <c r="D369" s="8"/>
      <c r="E369" s="11">
        <v>32.0</v>
      </c>
      <c r="F369" s="8"/>
      <c r="G369" s="8"/>
      <c r="H369" s="11">
        <v>0.12</v>
      </c>
      <c r="I369" s="11">
        <v>0.448</v>
      </c>
      <c r="J369" s="9" t="s">
        <v>64</v>
      </c>
      <c r="K369" s="14" t="str">
        <f>IFERROR(__xludf.DUMMYFUNCTION("ARRAYFORMULA(VLOOKUP(A369,IMPORTRANGE(""https://docs.google.com/spreadsheets/d/1BuTWp7qHGjWhqrnf-OmePP568O4A5Am9ttzvVdP67zw/edit#gid=1603210130"", ""TOURISM!$A$2:$F$2692""), {2,3,4,5,6},0))"),"Europe")</f>
        <v>Europe</v>
      </c>
      <c r="L369" s="14">
        <f>IFERROR(__xludf.DUMMYFUNCTION("""COMPUTED_VALUE"""),2.051E9)</f>
        <v>2051000000</v>
      </c>
      <c r="M369" s="14" t="str">
        <f>IFERROR(__xludf.DUMMYFUNCTION("""COMPUTED_VALUE"""),"Bulgaria-Europe")</f>
        <v>Bulgaria-Europe</v>
      </c>
      <c r="N369" s="14" t="str">
        <f>IFERROR(__xludf.DUMMYFUNCTION("""COMPUTED_VALUE"""),"2003")</f>
        <v>2003</v>
      </c>
      <c r="O369" s="14">
        <f>IFERROR(__xludf.DUMMYFUNCTION("""COMPUTED_VALUE"""),1.467E9)</f>
        <v>1467000000</v>
      </c>
      <c r="P369" s="15">
        <f>IFERROR(__xludf.DUMMYFUNCTION("ARRAYFORMULA(VLOOKUP(A369,IMPORTRANGE(""https://docs.google.com/spreadsheets/d/1BuTWp7qHGjWhqrnf-OmePP568O4A5Am9ttzvVdP67zw/edit#gid=771602874"" ,""HUMAN RESOURCES!$A$2:$M$2692""), {2,3,4,5,6,7,8,9,10,11,12,13},0))"),0.009)</f>
        <v>0.009</v>
      </c>
      <c r="Q369" s="14">
        <f>IFERROR(__xludf.DUMMYFUNCTION("""COMPUTED_VALUE"""),0.016)</f>
        <v>0.016</v>
      </c>
      <c r="R369" s="14">
        <f>IFERROR(__xludf.DUMMYFUNCTION("""COMPUTED_VALUE"""),76.0)</f>
        <v>76</v>
      </c>
      <c r="S369" s="14">
        <f>IFERROR(__xludf.DUMMYFUNCTION("""COMPUTED_VALUE"""),69.0)</f>
        <v>69</v>
      </c>
      <c r="T369" s="14">
        <f>IFERROR(__xludf.DUMMYFUNCTION("""COMPUTED_VALUE"""),0.143)</f>
        <v>0.143</v>
      </c>
      <c r="U369" s="14">
        <f>IFERROR(__xludf.DUMMYFUNCTION("""COMPUTED_VALUE"""),0.685)</f>
        <v>0.685</v>
      </c>
      <c r="V369" s="14">
        <f>IFERROR(__xludf.DUMMYFUNCTION("""COMPUTED_VALUE"""),0.171)</f>
        <v>0.171</v>
      </c>
      <c r="W369" s="14">
        <f>IFERROR(__xludf.DUMMYFUNCTION("""COMPUTED_VALUE"""),7823557.0)</f>
        <v>7823557</v>
      </c>
      <c r="X369" s="14">
        <f>IFERROR(__xludf.DUMMYFUNCTION("""COMPUTED_VALUE"""),0.699)</f>
        <v>0.699</v>
      </c>
      <c r="Y369" s="14" t="str">
        <f>IFERROR(__xludf.DUMMYFUNCTION("""COMPUTED_VALUE"""),"Bulgaria-Europe")</f>
        <v>Bulgaria-Europe</v>
      </c>
      <c r="Z369" s="14" t="str">
        <f>IFERROR(__xludf.DUMMYFUNCTION("""COMPUTED_VALUE"""),"Europe")</f>
        <v>Europe</v>
      </c>
      <c r="AA369" s="14" t="str">
        <f>IFERROR(__xludf.DUMMYFUNCTION("""COMPUTED_VALUE"""),"2003")</f>
        <v>2003</v>
      </c>
      <c r="AB369" s="15" t="str">
        <f>IFERROR(__xludf.DUMMYFUNCTION("ARRAYFORMULA(VLOOKUP(A369,IMPORTRANGE(""https://docs.google.com/spreadsheets/d/1BuTWp7qHGjWhqrnf-OmePP568O4A5Am9ttzvVdP67zw/edit#gid=1931367683"" ,""ENERGY!$A$2:$F$2692""), {2,3,4,5,6},0))"),"Europe")</f>
        <v>Europe</v>
      </c>
      <c r="AC369" s="14" t="str">
        <f>IFERROR(__xludf.DUMMYFUNCTION("""COMPUTED_VALUE"""),"Bulgaria-Europe")</f>
        <v>Bulgaria-Europe</v>
      </c>
      <c r="AD369" s="14" t="str">
        <f>IFERROR(__xludf.DUMMYFUNCTION("""COMPUTED_VALUE"""),"2003")</f>
        <v>2003</v>
      </c>
      <c r="AE369" s="14">
        <f>IFERROR(__xludf.DUMMYFUNCTION("""COMPUTED_VALUE"""),17512.0)</f>
        <v>17512</v>
      </c>
      <c r="AF369" s="14">
        <f>IFERROR(__xludf.DUMMYFUNCTION("""COMPUTED_VALUE"""),42805.0)</f>
        <v>42805</v>
      </c>
    </row>
    <row r="370">
      <c r="A370" s="12">
        <v>369.0</v>
      </c>
      <c r="B370" s="12" t="s">
        <v>107</v>
      </c>
      <c r="C370" s="5" t="s">
        <v>75</v>
      </c>
      <c r="D370" s="8"/>
      <c r="E370" s="11">
        <v>32.0</v>
      </c>
      <c r="F370" s="8"/>
      <c r="G370" s="8"/>
      <c r="H370" s="11">
        <v>0.181</v>
      </c>
      <c r="I370" s="11">
        <v>0.611</v>
      </c>
      <c r="J370" s="9" t="s">
        <v>65</v>
      </c>
      <c r="K370" s="14" t="str">
        <f>IFERROR(__xludf.DUMMYFUNCTION("ARRAYFORMULA(VLOOKUP(A370,IMPORTRANGE(""https://docs.google.com/spreadsheets/d/1BuTWp7qHGjWhqrnf-OmePP568O4A5Am9ttzvVdP67zw/edit#gid=1603210130"", ""TOURISM!$A$2:$F$2692""), {2,3,4,5,6},0))"),"Europe")</f>
        <v>Europe</v>
      </c>
      <c r="L370" s="14">
        <f>IFERROR(__xludf.DUMMYFUNCTION("""COMPUTED_VALUE"""),2.796E9)</f>
        <v>2796000000</v>
      </c>
      <c r="M370" s="14" t="str">
        <f>IFERROR(__xludf.DUMMYFUNCTION("""COMPUTED_VALUE"""),"Bulgaria-Europe")</f>
        <v>Bulgaria-Europe</v>
      </c>
      <c r="N370" s="14" t="str">
        <f>IFERROR(__xludf.DUMMYFUNCTION("""COMPUTED_VALUE"""),"2004")</f>
        <v>2004</v>
      </c>
      <c r="O370" s="14">
        <f>IFERROR(__xludf.DUMMYFUNCTION("""COMPUTED_VALUE"""),1.935E9)</f>
        <v>1935000000</v>
      </c>
      <c r="P370" s="15">
        <f>IFERROR(__xludf.DUMMYFUNCTION("ARRAYFORMULA(VLOOKUP(A370,IMPORTRANGE(""https://docs.google.com/spreadsheets/d/1BuTWp7qHGjWhqrnf-OmePP568O4A5Am9ttzvVdP67zw/edit#gid=771602874"" ,""HUMAN RESOURCES!$A$2:$M$2692""), {2,3,4,5,6,7,8,9,10,11,12,13},0))"),0.009)</f>
        <v>0.009</v>
      </c>
      <c r="Q370" s="14">
        <f>IFERROR(__xludf.DUMMYFUNCTION("""COMPUTED_VALUE"""),0.015)</f>
        <v>0.015</v>
      </c>
      <c r="R370" s="14">
        <f>IFERROR(__xludf.DUMMYFUNCTION("""COMPUTED_VALUE"""),76.0)</f>
        <v>76</v>
      </c>
      <c r="S370" s="14">
        <f>IFERROR(__xludf.DUMMYFUNCTION("""COMPUTED_VALUE"""),69.0)</f>
        <v>69</v>
      </c>
      <c r="T370" s="14">
        <f>IFERROR(__xludf.DUMMYFUNCTION("""COMPUTED_VALUE"""),0.14)</f>
        <v>0.14</v>
      </c>
      <c r="U370" s="14">
        <f>IFERROR(__xludf.DUMMYFUNCTION("""COMPUTED_VALUE"""),0.688)</f>
        <v>0.688</v>
      </c>
      <c r="V370" s="14">
        <f>IFERROR(__xludf.DUMMYFUNCTION("""COMPUTED_VALUE"""),0.173)</f>
        <v>0.173</v>
      </c>
      <c r="W370" s="14">
        <f>IFERROR(__xludf.DUMMYFUNCTION("""COMPUTED_VALUE"""),7781161.0)</f>
        <v>7781161</v>
      </c>
      <c r="X370" s="14">
        <f>IFERROR(__xludf.DUMMYFUNCTION("""COMPUTED_VALUE"""),0.702)</f>
        <v>0.702</v>
      </c>
      <c r="Y370" s="14" t="str">
        <f>IFERROR(__xludf.DUMMYFUNCTION("""COMPUTED_VALUE"""),"Bulgaria-Europe")</f>
        <v>Bulgaria-Europe</v>
      </c>
      <c r="Z370" s="14" t="str">
        <f>IFERROR(__xludf.DUMMYFUNCTION("""COMPUTED_VALUE"""),"Europe")</f>
        <v>Europe</v>
      </c>
      <c r="AA370" s="14" t="str">
        <f>IFERROR(__xludf.DUMMYFUNCTION("""COMPUTED_VALUE"""),"2004")</f>
        <v>2004</v>
      </c>
      <c r="AB370" s="15" t="str">
        <f>IFERROR(__xludf.DUMMYFUNCTION("ARRAYFORMULA(VLOOKUP(A370,IMPORTRANGE(""https://docs.google.com/spreadsheets/d/1BuTWp7qHGjWhqrnf-OmePP568O4A5Am9ttzvVdP67zw/edit#gid=1931367683"" ,""ENERGY!$A$2:$F$2692""), {2,3,4,5,6},0))"),"Europe")</f>
        <v>Europe</v>
      </c>
      <c r="AC370" s="14" t="str">
        <f>IFERROR(__xludf.DUMMYFUNCTION("""COMPUTED_VALUE"""),"Bulgaria-Europe")</f>
        <v>Bulgaria-Europe</v>
      </c>
      <c r="AD370" s="14" t="str">
        <f>IFERROR(__xludf.DUMMYFUNCTION("""COMPUTED_VALUE"""),"2004")</f>
        <v>2004</v>
      </c>
      <c r="AE370" s="14">
        <f>IFERROR(__xludf.DUMMYFUNCTION("""COMPUTED_VALUE"""),19815.0)</f>
        <v>19815</v>
      </c>
      <c r="AF370" s="14">
        <f>IFERROR(__xludf.DUMMYFUNCTION("""COMPUTED_VALUE"""),50792.0)</f>
        <v>50792</v>
      </c>
    </row>
    <row r="371">
      <c r="A371" s="12">
        <v>370.0</v>
      </c>
      <c r="B371" s="12" t="s">
        <v>107</v>
      </c>
      <c r="C371" s="5" t="s">
        <v>75</v>
      </c>
      <c r="D371" s="11">
        <v>0.452</v>
      </c>
      <c r="E371" s="11">
        <v>32.0</v>
      </c>
      <c r="F371" s="8"/>
      <c r="G371" s="11">
        <v>616.0</v>
      </c>
      <c r="H371" s="11">
        <v>0.2</v>
      </c>
      <c r="I371" s="11">
        <v>0.813</v>
      </c>
      <c r="J371" s="9" t="s">
        <v>66</v>
      </c>
      <c r="K371" s="14" t="str">
        <f>IFERROR(__xludf.DUMMYFUNCTION("ARRAYFORMULA(VLOOKUP(A371,IMPORTRANGE(""https://docs.google.com/spreadsheets/d/1BuTWp7qHGjWhqrnf-OmePP568O4A5Am9ttzvVdP67zw/edit#gid=1603210130"", ""TOURISM!$A$2:$F$2692""), {2,3,4,5,6},0))"),"Europe")</f>
        <v>Europe</v>
      </c>
      <c r="L371" s="14">
        <f>IFERROR(__xludf.DUMMYFUNCTION("""COMPUTED_VALUE"""),3.063E9)</f>
        <v>3063000000</v>
      </c>
      <c r="M371" s="14" t="str">
        <f>IFERROR(__xludf.DUMMYFUNCTION("""COMPUTED_VALUE"""),"Bulgaria-Europe")</f>
        <v>Bulgaria-Europe</v>
      </c>
      <c r="N371" s="14" t="str">
        <f>IFERROR(__xludf.DUMMYFUNCTION("""COMPUTED_VALUE"""),"2005")</f>
        <v>2005</v>
      </c>
      <c r="O371" s="14">
        <f>IFERROR(__xludf.DUMMYFUNCTION("""COMPUTED_VALUE"""),1.858E9)</f>
        <v>1858000000</v>
      </c>
      <c r="P371" s="15">
        <f>IFERROR(__xludf.DUMMYFUNCTION("ARRAYFORMULA(VLOOKUP(A371,IMPORTRANGE(""https://docs.google.com/spreadsheets/d/1BuTWp7qHGjWhqrnf-OmePP568O4A5Am9ttzvVdP67zw/edit#gid=771602874"" ,""HUMAN RESOURCES!$A$2:$M$2692""), {2,3,4,5,6,7,8,9,10,11,12,13},0))"),0.009)</f>
        <v>0.009</v>
      </c>
      <c r="Q371" s="14">
        <f>IFERROR(__xludf.DUMMYFUNCTION("""COMPUTED_VALUE"""),0.014)</f>
        <v>0.014</v>
      </c>
      <c r="R371" s="14">
        <f>IFERROR(__xludf.DUMMYFUNCTION("""COMPUTED_VALUE"""),76.0)</f>
        <v>76</v>
      </c>
      <c r="S371" s="14">
        <f>IFERROR(__xludf.DUMMYFUNCTION("""COMPUTED_VALUE"""),69.0)</f>
        <v>69</v>
      </c>
      <c r="T371" s="14">
        <f>IFERROR(__xludf.DUMMYFUNCTION("""COMPUTED_VALUE"""),0.137)</f>
        <v>0.137</v>
      </c>
      <c r="U371" s="14">
        <f>IFERROR(__xludf.DUMMYFUNCTION("""COMPUTED_VALUE"""),0.689)</f>
        <v>0.689</v>
      </c>
      <c r="V371" s="14">
        <f>IFERROR(__xludf.DUMMYFUNCTION("""COMPUTED_VALUE"""),0.174)</f>
        <v>0.174</v>
      </c>
      <c r="W371" s="14">
        <f>IFERROR(__xludf.DUMMYFUNCTION("""COMPUTED_VALUE"""),7739900.0)</f>
        <v>7739900</v>
      </c>
      <c r="X371" s="14">
        <f>IFERROR(__xludf.DUMMYFUNCTION("""COMPUTED_VALUE"""),0.706)</f>
        <v>0.706</v>
      </c>
      <c r="Y371" s="14" t="str">
        <f>IFERROR(__xludf.DUMMYFUNCTION("""COMPUTED_VALUE"""),"Bulgaria-Europe")</f>
        <v>Bulgaria-Europe</v>
      </c>
      <c r="Z371" s="14" t="str">
        <f>IFERROR(__xludf.DUMMYFUNCTION("""COMPUTED_VALUE"""),"Europe")</f>
        <v>Europe</v>
      </c>
      <c r="AA371" s="14" t="str">
        <f>IFERROR(__xludf.DUMMYFUNCTION("""COMPUTED_VALUE"""),"2005")</f>
        <v>2005</v>
      </c>
      <c r="AB371" s="15" t="str">
        <f>IFERROR(__xludf.DUMMYFUNCTION("ARRAYFORMULA(VLOOKUP(A371,IMPORTRANGE(""https://docs.google.com/spreadsheets/d/1BuTWp7qHGjWhqrnf-OmePP568O4A5Am9ttzvVdP67zw/edit#gid=1931367683"" ,""ENERGY!$A$2:$F$2692""), {2,3,4,5,6},0))"),"Europe")</f>
        <v>Europe</v>
      </c>
      <c r="AC371" s="14" t="str">
        <f>IFERROR(__xludf.DUMMYFUNCTION("""COMPUTED_VALUE"""),"Bulgaria-Europe")</f>
        <v>Bulgaria-Europe</v>
      </c>
      <c r="AD371" s="14" t="str">
        <f>IFERROR(__xludf.DUMMYFUNCTION("""COMPUTED_VALUE"""),"2006")</f>
        <v>2006</v>
      </c>
      <c r="AE371" s="14">
        <f>IFERROR(__xludf.DUMMYFUNCTION("""COMPUTED_VALUE"""),20117.0)</f>
        <v>20117</v>
      </c>
      <c r="AF371" s="14">
        <f>IFERROR(__xludf.DUMMYFUNCTION("""COMPUTED_VALUE"""),52812.0)</f>
        <v>52812</v>
      </c>
    </row>
    <row r="372">
      <c r="A372" s="12">
        <v>371.0</v>
      </c>
      <c r="B372" s="12" t="s">
        <v>107</v>
      </c>
      <c r="C372" s="5" t="s">
        <v>75</v>
      </c>
      <c r="D372" s="11">
        <v>0.416</v>
      </c>
      <c r="E372" s="11">
        <v>32.0</v>
      </c>
      <c r="F372" s="8"/>
      <c r="G372" s="11">
        <v>616.0</v>
      </c>
      <c r="H372" s="11">
        <v>0.271</v>
      </c>
      <c r="I372" s="11">
        <v>1.083</v>
      </c>
      <c r="J372" s="9" t="s">
        <v>67</v>
      </c>
      <c r="K372" s="14" t="str">
        <f>IFERROR(__xludf.DUMMYFUNCTION("ARRAYFORMULA(VLOOKUP(A372,IMPORTRANGE(""https://docs.google.com/spreadsheets/d/1BuTWp7qHGjWhqrnf-OmePP568O4A5Am9ttzvVdP67zw/edit#gid=1603210130"", ""TOURISM!$A$2:$F$2692""), {2,3,4,5,6},0))"),"Europe")</f>
        <v>Europe</v>
      </c>
      <c r="L372" s="14">
        <f>IFERROR(__xludf.DUMMYFUNCTION("""COMPUTED_VALUE"""),3.317E9)</f>
        <v>3317000000</v>
      </c>
      <c r="M372" s="14" t="str">
        <f>IFERROR(__xludf.DUMMYFUNCTION("""COMPUTED_VALUE"""),"Bulgaria-Europe")</f>
        <v>Bulgaria-Europe</v>
      </c>
      <c r="N372" s="14" t="str">
        <f>IFERROR(__xludf.DUMMYFUNCTION("""COMPUTED_VALUE"""),"2006")</f>
        <v>2006</v>
      </c>
      <c r="O372" s="14">
        <f>IFERROR(__xludf.DUMMYFUNCTION("""COMPUTED_VALUE"""),2.099E9)</f>
        <v>2099000000</v>
      </c>
      <c r="P372" s="15">
        <f>IFERROR(__xludf.DUMMYFUNCTION("ARRAYFORMULA(VLOOKUP(A372,IMPORTRANGE(""https://docs.google.com/spreadsheets/d/1BuTWp7qHGjWhqrnf-OmePP568O4A5Am9ttzvVdP67zw/edit#gid=771602874"" ,""HUMAN RESOURCES!$A$2:$M$2692""), {2,3,4,5,6,7,8,9,10,11,12,13},0))"),0.01)</f>
        <v>0.01</v>
      </c>
      <c r="Q372" s="14">
        <f>IFERROR(__xludf.DUMMYFUNCTION("""COMPUTED_VALUE"""),0.013)</f>
        <v>0.013</v>
      </c>
      <c r="R372" s="14">
        <f>IFERROR(__xludf.DUMMYFUNCTION("""COMPUTED_VALUE"""),76.0)</f>
        <v>76</v>
      </c>
      <c r="S372" s="14">
        <f>IFERROR(__xludf.DUMMYFUNCTION("""COMPUTED_VALUE"""),69.0)</f>
        <v>69</v>
      </c>
      <c r="T372" s="14">
        <f>IFERROR(__xludf.DUMMYFUNCTION("""COMPUTED_VALUE"""),0.135)</f>
        <v>0.135</v>
      </c>
      <c r="U372" s="14">
        <f>IFERROR(__xludf.DUMMYFUNCTION("""COMPUTED_VALUE"""),0.69)</f>
        <v>0.69</v>
      </c>
      <c r="V372" s="14">
        <f>IFERROR(__xludf.DUMMYFUNCTION("""COMPUTED_VALUE"""),0.176)</f>
        <v>0.176</v>
      </c>
      <c r="W372" s="14">
        <f>IFERROR(__xludf.DUMMYFUNCTION("""COMPUTED_VALUE"""),7699020.0)</f>
        <v>7699020</v>
      </c>
      <c r="X372" s="14">
        <f>IFERROR(__xludf.DUMMYFUNCTION("""COMPUTED_VALUE"""),0.709)</f>
        <v>0.709</v>
      </c>
      <c r="Y372" s="14" t="str">
        <f>IFERROR(__xludf.DUMMYFUNCTION("""COMPUTED_VALUE"""),"Bulgaria-Europe")</f>
        <v>Bulgaria-Europe</v>
      </c>
      <c r="Z372" s="14" t="str">
        <f>IFERROR(__xludf.DUMMYFUNCTION("""COMPUTED_VALUE"""),"Europe")</f>
        <v>Europe</v>
      </c>
      <c r="AA372" s="14" t="str">
        <f>IFERROR(__xludf.DUMMYFUNCTION("""COMPUTED_VALUE"""),"2006")</f>
        <v>2006</v>
      </c>
      <c r="AB372" s="15" t="str">
        <f>IFERROR(__xludf.DUMMYFUNCTION("ARRAYFORMULA(VLOOKUP(A372,IMPORTRANGE(""https://docs.google.com/spreadsheets/d/1BuTWp7qHGjWhqrnf-OmePP568O4A5Am9ttzvVdP67zw/edit#gid=1931367683"" ,""ENERGY!$A$2:$F$2692""), {2,3,4,5,6},0))"),"Europe")</f>
        <v>Europe</v>
      </c>
      <c r="AC372" s="14" t="str">
        <f>IFERROR(__xludf.DUMMYFUNCTION("""COMPUTED_VALUE"""),"Bulgaria-Europe")</f>
        <v>Bulgaria-Europe</v>
      </c>
      <c r="AD372" s="14" t="str">
        <f>IFERROR(__xludf.DUMMYFUNCTION("""COMPUTED_VALUE"""),"2010")</f>
        <v>2010</v>
      </c>
      <c r="AE372" s="14">
        <f>IFERROR(__xludf.DUMMYFUNCTION("""COMPUTED_VALUE"""),20459.0)</f>
        <v>20459</v>
      </c>
      <c r="AF372" s="14">
        <f>IFERROR(__xludf.DUMMYFUNCTION("""COMPUTED_VALUE"""),48943.0)</f>
        <v>48943</v>
      </c>
    </row>
    <row r="373">
      <c r="A373" s="12">
        <v>372.0</v>
      </c>
      <c r="B373" s="12" t="s">
        <v>107</v>
      </c>
      <c r="C373" s="5" t="s">
        <v>75</v>
      </c>
      <c r="D373" s="11">
        <v>0.358</v>
      </c>
      <c r="E373" s="11">
        <v>32.0</v>
      </c>
      <c r="F373" s="8"/>
      <c r="G373" s="11">
        <v>616.0</v>
      </c>
      <c r="H373" s="11">
        <v>0.336</v>
      </c>
      <c r="I373" s="11">
        <v>1.309</v>
      </c>
      <c r="J373" s="9" t="s">
        <v>68</v>
      </c>
      <c r="K373" s="14" t="str">
        <f>IFERROR(__xludf.DUMMYFUNCTION("ARRAYFORMULA(VLOOKUP(A373,IMPORTRANGE(""https://docs.google.com/spreadsheets/d/1BuTWp7qHGjWhqrnf-OmePP568O4A5Am9ttzvVdP67zw/edit#gid=1603210130"", ""TOURISM!$A$2:$F$2692""), {2,3,4,5,6},0))"),"Europe")</f>
        <v>Europe</v>
      </c>
      <c r="L373" s="14">
        <f>IFERROR(__xludf.DUMMYFUNCTION("""COMPUTED_VALUE"""),4.181E9)</f>
        <v>4181000000</v>
      </c>
      <c r="M373" s="14" t="str">
        <f>IFERROR(__xludf.DUMMYFUNCTION("""COMPUTED_VALUE"""),"Bulgaria-Europe")</f>
        <v>Bulgaria-Europe</v>
      </c>
      <c r="N373" s="14" t="str">
        <f>IFERROR(__xludf.DUMMYFUNCTION("""COMPUTED_VALUE"""),"2007")</f>
        <v>2007</v>
      </c>
      <c r="O373" s="14">
        <f>IFERROR(__xludf.DUMMYFUNCTION("""COMPUTED_VALUE"""),2.142E9)</f>
        <v>2142000000</v>
      </c>
      <c r="P373" s="15">
        <f>IFERROR(__xludf.DUMMYFUNCTION("ARRAYFORMULA(VLOOKUP(A373,IMPORTRANGE(""https://docs.google.com/spreadsheets/d/1BuTWp7qHGjWhqrnf-OmePP568O4A5Am9ttzvVdP67zw/edit#gid=771602874"" ,""HUMAN RESOURCES!$A$2:$M$2692""), {2,3,4,5,6,7,8,9,10,11,12,13},0))"),0.01)</f>
        <v>0.01</v>
      </c>
      <c r="Q373" s="14">
        <f>IFERROR(__xludf.DUMMYFUNCTION("""COMPUTED_VALUE"""),0.012)</f>
        <v>0.012</v>
      </c>
      <c r="R373" s="14">
        <f>IFERROR(__xludf.DUMMYFUNCTION("""COMPUTED_VALUE"""),76.0)</f>
        <v>76</v>
      </c>
      <c r="S373" s="14">
        <f>IFERROR(__xludf.DUMMYFUNCTION("""COMPUTED_VALUE"""),69.0)</f>
        <v>69</v>
      </c>
      <c r="T373" s="14">
        <f>IFERROR(__xludf.DUMMYFUNCTION("""COMPUTED_VALUE"""),0.133)</f>
        <v>0.133</v>
      </c>
      <c r="U373" s="14">
        <f>IFERROR(__xludf.DUMMYFUNCTION("""COMPUTED_VALUE"""),0.689)</f>
        <v>0.689</v>
      </c>
      <c r="V373" s="14">
        <f>IFERROR(__xludf.DUMMYFUNCTION("""COMPUTED_VALUE"""),0.177)</f>
        <v>0.177</v>
      </c>
      <c r="W373" s="14">
        <f>IFERROR(__xludf.DUMMYFUNCTION("""COMPUTED_VALUE"""),7545338.0)</f>
        <v>7545338</v>
      </c>
      <c r="X373" s="14">
        <f>IFERROR(__xludf.DUMMYFUNCTION("""COMPUTED_VALUE"""),0.713)</f>
        <v>0.713</v>
      </c>
      <c r="Y373" s="14" t="str">
        <f>IFERROR(__xludf.DUMMYFUNCTION("""COMPUTED_VALUE"""),"Bulgaria-Europe")</f>
        <v>Bulgaria-Europe</v>
      </c>
      <c r="Z373" s="14" t="str">
        <f>IFERROR(__xludf.DUMMYFUNCTION("""COMPUTED_VALUE"""),"Europe")</f>
        <v>Europe</v>
      </c>
      <c r="AA373" s="14" t="str">
        <f>IFERROR(__xludf.DUMMYFUNCTION("""COMPUTED_VALUE"""),"2007")</f>
        <v>2007</v>
      </c>
      <c r="AB373" s="15" t="str">
        <f>IFERROR(__xludf.DUMMYFUNCTION("ARRAYFORMULA(VLOOKUP(A373,IMPORTRANGE(""https://docs.google.com/spreadsheets/d/1BuTWp7qHGjWhqrnf-OmePP568O4A5Am9ttzvVdP67zw/edit#gid=1931367683"" ,""ENERGY!$A$2:$F$2692""), {2,3,4,5,6},0))"),"Europe")</f>
        <v>Europe</v>
      </c>
      <c r="AC373" s="14" t="str">
        <f>IFERROR(__xludf.DUMMYFUNCTION("""COMPUTED_VALUE"""),"Bulgaria-Europe")</f>
        <v>Bulgaria-Europe</v>
      </c>
      <c r="AD373" s="14" t="str">
        <f>IFERROR(__xludf.DUMMYFUNCTION("""COMPUTED_VALUE"""),"2006")</f>
        <v>2006</v>
      </c>
      <c r="AE373" s="14">
        <f>IFERROR(__xludf.DUMMYFUNCTION("""COMPUTED_VALUE"""),19898.0)</f>
        <v>19898</v>
      </c>
      <c r="AF373" s="14">
        <f>IFERROR(__xludf.DUMMYFUNCTION("""COMPUTED_VALUE"""),47909.0)</f>
        <v>47909</v>
      </c>
    </row>
    <row r="374">
      <c r="A374" s="12">
        <v>373.0</v>
      </c>
      <c r="B374" s="12" t="s">
        <v>107</v>
      </c>
      <c r="C374" s="5" t="s">
        <v>75</v>
      </c>
      <c r="D374" s="11">
        <v>0.339</v>
      </c>
      <c r="E374" s="11">
        <v>49.0</v>
      </c>
      <c r="F374" s="8"/>
      <c r="G374" s="11">
        <v>616.0</v>
      </c>
      <c r="H374" s="11">
        <v>0.397</v>
      </c>
      <c r="I374" s="11">
        <v>1.39</v>
      </c>
      <c r="J374" s="9" t="s">
        <v>69</v>
      </c>
      <c r="K374" s="14" t="str">
        <f>IFERROR(__xludf.DUMMYFUNCTION("ARRAYFORMULA(VLOOKUP(A374,IMPORTRANGE(""https://docs.google.com/spreadsheets/d/1BuTWp7qHGjWhqrnf-OmePP568O4A5Am9ttzvVdP67zw/edit#gid=1603210130"", ""TOURISM!$A$2:$F$2692""), {2,3,4,5,6},0))"),"Europe")</f>
        <v>Europe</v>
      </c>
      <c r="L374" s="14">
        <f>IFERROR(__xludf.DUMMYFUNCTION("""COMPUTED_VALUE"""),4.852E9)</f>
        <v>4852000000</v>
      </c>
      <c r="M374" s="14" t="str">
        <f>IFERROR(__xludf.DUMMYFUNCTION("""COMPUTED_VALUE"""),"Bulgaria-Europe")</f>
        <v>Bulgaria-Europe</v>
      </c>
      <c r="N374" s="14" t="str">
        <f>IFERROR(__xludf.DUMMYFUNCTION("""COMPUTED_VALUE"""),"2008")</f>
        <v>2008</v>
      </c>
      <c r="O374" s="14">
        <f>IFERROR(__xludf.DUMMYFUNCTION("""COMPUTED_VALUE"""),2.602E9)</f>
        <v>2602000000</v>
      </c>
      <c r="P374" s="15">
        <f>IFERROR(__xludf.DUMMYFUNCTION("ARRAYFORMULA(VLOOKUP(A374,IMPORTRANGE(""https://docs.google.com/spreadsheets/d/1BuTWp7qHGjWhqrnf-OmePP568O4A5Am9ttzvVdP67zw/edit#gid=771602874"" ,""HUMAN RESOURCES!$A$2:$M$2692""), {2,3,4,5,6,7,8,9,10,11,12,13},0))"),0.01)</f>
        <v>0.01</v>
      </c>
      <c r="Q374" s="14">
        <f>IFERROR(__xludf.DUMMYFUNCTION("""COMPUTED_VALUE"""),0.012)</f>
        <v>0.012</v>
      </c>
      <c r="R374" s="14">
        <f>IFERROR(__xludf.DUMMYFUNCTION("""COMPUTED_VALUE"""),77.0)</f>
        <v>77</v>
      </c>
      <c r="S374" s="14">
        <f>IFERROR(__xludf.DUMMYFUNCTION("""COMPUTED_VALUE"""),70.0)</f>
        <v>70</v>
      </c>
      <c r="T374" s="14">
        <f>IFERROR(__xludf.DUMMYFUNCTION("""COMPUTED_VALUE"""),0.133)</f>
        <v>0.133</v>
      </c>
      <c r="U374" s="14">
        <f>IFERROR(__xludf.DUMMYFUNCTION("""COMPUTED_VALUE"""),0.688)</f>
        <v>0.688</v>
      </c>
      <c r="V374" s="14">
        <f>IFERROR(__xludf.DUMMYFUNCTION("""COMPUTED_VALUE"""),0.179)</f>
        <v>0.179</v>
      </c>
      <c r="W374" s="14">
        <f>IFERROR(__xludf.DUMMYFUNCTION("""COMPUTED_VALUE"""),7492561.0)</f>
        <v>7492561</v>
      </c>
      <c r="X374" s="14">
        <f>IFERROR(__xludf.DUMMYFUNCTION("""COMPUTED_VALUE"""),0.716)</f>
        <v>0.716</v>
      </c>
      <c r="Y374" s="14" t="str">
        <f>IFERROR(__xludf.DUMMYFUNCTION("""COMPUTED_VALUE"""),"Bulgaria-Europe")</f>
        <v>Bulgaria-Europe</v>
      </c>
      <c r="Z374" s="14" t="str">
        <f>IFERROR(__xludf.DUMMYFUNCTION("""COMPUTED_VALUE"""),"Europe")</f>
        <v>Europe</v>
      </c>
      <c r="AA374" s="14" t="str">
        <f>IFERROR(__xludf.DUMMYFUNCTION("""COMPUTED_VALUE"""),"2008")</f>
        <v>2008</v>
      </c>
      <c r="AB374" s="15" t="str">
        <f>IFERROR(__xludf.DUMMYFUNCTION("ARRAYFORMULA(VLOOKUP(A374,IMPORTRANGE(""https://docs.google.com/spreadsheets/d/1BuTWp7qHGjWhqrnf-OmePP568O4A5Am9ttzvVdP67zw/edit#gid=1931367683"" ,""ENERGY!$A$2:$F$2692""), {2,3,4,5,6},0))"),"Europe")</f>
        <v>Europe</v>
      </c>
      <c r="AC374" s="14" t="str">
        <f>IFERROR(__xludf.DUMMYFUNCTION("""COMPUTED_VALUE"""),"Bulgaria-Europe")</f>
        <v>Bulgaria-Europe</v>
      </c>
      <c r="AD374" s="14" t="str">
        <f>IFERROR(__xludf.DUMMYFUNCTION("""COMPUTED_VALUE"""),"2012")</f>
        <v>2012</v>
      </c>
      <c r="AE374" s="14">
        <f>IFERROR(__xludf.DUMMYFUNCTION("""COMPUTED_VALUE"""),18833.0)</f>
        <v>18833</v>
      </c>
      <c r="AF374" s="14">
        <f>IFERROR(__xludf.DUMMYFUNCTION("""COMPUTED_VALUE"""),46787.0)</f>
        <v>46787</v>
      </c>
    </row>
    <row r="375">
      <c r="A375" s="12">
        <v>374.0</v>
      </c>
      <c r="B375" s="12" t="s">
        <v>107</v>
      </c>
      <c r="C375" s="5" t="s">
        <v>75</v>
      </c>
      <c r="D375" s="11">
        <v>0.304</v>
      </c>
      <c r="E375" s="11">
        <v>18.0</v>
      </c>
      <c r="F375" s="8"/>
      <c r="G375" s="11">
        <v>616.0</v>
      </c>
      <c r="H375" s="11">
        <v>0.45</v>
      </c>
      <c r="I375" s="11">
        <v>1.404</v>
      </c>
      <c r="J375" s="9" t="s">
        <v>70</v>
      </c>
      <c r="K375" s="14" t="str">
        <f>IFERROR(__xludf.DUMMYFUNCTION("ARRAYFORMULA(VLOOKUP(A375,IMPORTRANGE(""https://docs.google.com/spreadsheets/d/1BuTWp7qHGjWhqrnf-OmePP568O4A5Am9ttzvVdP67zw/edit#gid=1603210130"", ""TOURISM!$A$2:$F$2692""), {2,3,4,5,6},0))"),"Europe")</f>
        <v>Europe</v>
      </c>
      <c r="L375" s="14">
        <f>IFERROR(__xludf.DUMMYFUNCTION("""COMPUTED_VALUE"""),4.273E9)</f>
        <v>4273000000</v>
      </c>
      <c r="M375" s="14" t="str">
        <f>IFERROR(__xludf.DUMMYFUNCTION("""COMPUTED_VALUE"""),"Bulgaria-Europe")</f>
        <v>Bulgaria-Europe</v>
      </c>
      <c r="N375" s="14" t="str">
        <f>IFERROR(__xludf.DUMMYFUNCTION("""COMPUTED_VALUE"""),"2009")</f>
        <v>2009</v>
      </c>
      <c r="O375" s="14">
        <f>IFERROR(__xludf.DUMMYFUNCTION("""COMPUTED_VALUE"""),1.955E9)</f>
        <v>1955000000</v>
      </c>
      <c r="P375" s="15">
        <f>IFERROR(__xludf.DUMMYFUNCTION("ARRAYFORMULA(VLOOKUP(A375,IMPORTRANGE(""https://docs.google.com/spreadsheets/d/1BuTWp7qHGjWhqrnf-OmePP568O4A5Am9ttzvVdP67zw/edit#gid=771602874"" ,""HUMAN RESOURCES!$A$2:$M$2692""), {2,3,4,5,6,7,8,9,10,11,12,13},0))"),0.011)</f>
        <v>0.011</v>
      </c>
      <c r="Q375" s="14">
        <f>IFERROR(__xludf.DUMMYFUNCTION("""COMPUTED_VALUE"""),0.012)</f>
        <v>0.012</v>
      </c>
      <c r="R375" s="14">
        <f>IFERROR(__xludf.DUMMYFUNCTION("""COMPUTED_VALUE"""),77.0)</f>
        <v>77</v>
      </c>
      <c r="S375" s="14">
        <f>IFERROR(__xludf.DUMMYFUNCTION("""COMPUTED_VALUE"""),70.0)</f>
        <v>70</v>
      </c>
      <c r="T375" s="14">
        <f>IFERROR(__xludf.DUMMYFUNCTION("""COMPUTED_VALUE"""),0.133)</f>
        <v>0.133</v>
      </c>
      <c r="U375" s="14">
        <f>IFERROR(__xludf.DUMMYFUNCTION("""COMPUTED_VALUE"""),0.686)</f>
        <v>0.686</v>
      </c>
      <c r="V375" s="14">
        <f>IFERROR(__xludf.DUMMYFUNCTION("""COMPUTED_VALUE"""),0.181)</f>
        <v>0.181</v>
      </c>
      <c r="W375" s="14">
        <f>IFERROR(__xludf.DUMMYFUNCTION("""COMPUTED_VALUE"""),7444443.0)</f>
        <v>7444443</v>
      </c>
      <c r="X375" s="14">
        <f>IFERROR(__xludf.DUMMYFUNCTION("""COMPUTED_VALUE"""),0.72)</f>
        <v>0.72</v>
      </c>
      <c r="Y375" s="14" t="str">
        <f>IFERROR(__xludf.DUMMYFUNCTION("""COMPUTED_VALUE"""),"Bulgaria-Europe")</f>
        <v>Bulgaria-Europe</v>
      </c>
      <c r="Z375" s="14" t="str">
        <f>IFERROR(__xludf.DUMMYFUNCTION("""COMPUTED_VALUE"""),"Europe")</f>
        <v>Europe</v>
      </c>
      <c r="AA375" s="14" t="str">
        <f>IFERROR(__xludf.DUMMYFUNCTION("""COMPUTED_VALUE"""),"2009")</f>
        <v>2009</v>
      </c>
      <c r="AB375" s="15" t="str">
        <f>IFERROR(__xludf.DUMMYFUNCTION("ARRAYFORMULA(VLOOKUP(A375,IMPORTRANGE(""https://docs.google.com/spreadsheets/d/1BuTWp7qHGjWhqrnf-OmePP568O4A5Am9ttzvVdP67zw/edit#gid=1931367683"" ,""ENERGY!$A$2:$F$2692""), {2,3,4,5,6},0))"),"Europe")</f>
        <v>Europe</v>
      </c>
      <c r="AC375" s="14" t="str">
        <f>IFERROR(__xludf.DUMMYFUNCTION("""COMPUTED_VALUE"""),"Bulgaria-Europe")</f>
        <v>Bulgaria-Europe</v>
      </c>
      <c r="AD375" s="14" t="str">
        <f>IFERROR(__xludf.DUMMYFUNCTION("""COMPUTED_VALUE"""),"2009")</f>
        <v>2009</v>
      </c>
      <c r="AE375" s="14">
        <f>IFERROR(__xludf.DUMMYFUNCTION("""COMPUTED_VALUE"""),19399.0)</f>
        <v>19399</v>
      </c>
      <c r="AF375" s="14">
        <f>IFERROR(__xludf.DUMMYFUNCTION("""COMPUTED_VALUE"""),47308.0)</f>
        <v>47308</v>
      </c>
    </row>
    <row r="376">
      <c r="A376" s="12">
        <v>375.0</v>
      </c>
      <c r="B376" s="12" t="s">
        <v>107</v>
      </c>
      <c r="C376" s="5" t="s">
        <v>75</v>
      </c>
      <c r="D376" s="11">
        <v>0.28</v>
      </c>
      <c r="E376" s="11">
        <v>18.0</v>
      </c>
      <c r="F376" s="8"/>
      <c r="G376" s="11">
        <v>616.0</v>
      </c>
      <c r="H376" s="11">
        <v>0.462</v>
      </c>
      <c r="I376" s="11">
        <v>1.38</v>
      </c>
      <c r="J376" s="9" t="s">
        <v>71</v>
      </c>
      <c r="K376" s="14" t="str">
        <f>IFERROR(__xludf.DUMMYFUNCTION("ARRAYFORMULA(VLOOKUP(A376,IMPORTRANGE(""https://docs.google.com/spreadsheets/d/1BuTWp7qHGjWhqrnf-OmePP568O4A5Am9ttzvVdP67zw/edit#gid=1603210130"", ""TOURISM!$A$2:$F$2692""), {2,3,4,5,6},0))"),"Europe")</f>
        <v>Europe</v>
      </c>
      <c r="L376" s="14">
        <f>IFERROR(__xludf.DUMMYFUNCTION("""COMPUTED_VALUE"""),4.035E9)</f>
        <v>4035000000</v>
      </c>
      <c r="M376" s="14" t="str">
        <f>IFERROR(__xludf.DUMMYFUNCTION("""COMPUTED_VALUE"""),"Bulgaria-Europe")</f>
        <v>Bulgaria-Europe</v>
      </c>
      <c r="N376" s="14" t="str">
        <f>IFERROR(__xludf.DUMMYFUNCTION("""COMPUTED_VALUE"""),"2010")</f>
        <v>2010</v>
      </c>
      <c r="O376" s="14">
        <f>IFERROR(__xludf.DUMMYFUNCTION("""COMPUTED_VALUE"""),1.382E9)</f>
        <v>1382000000</v>
      </c>
      <c r="P376" s="15">
        <f>IFERROR(__xludf.DUMMYFUNCTION("ARRAYFORMULA(VLOOKUP(A376,IMPORTRANGE(""https://docs.google.com/spreadsheets/d/1BuTWp7qHGjWhqrnf-OmePP568O4A5Am9ttzvVdP67zw/edit#gid=771602874"" ,""HUMAN RESOURCES!$A$2:$M$2692""), {2,3,4,5,6,7,8,9,10,11,12,13},0))"),0.01)</f>
        <v>0.01</v>
      </c>
      <c r="Q376" s="14">
        <f>IFERROR(__xludf.DUMMYFUNCTION("""COMPUTED_VALUE"""),0.011)</f>
        <v>0.011</v>
      </c>
      <c r="R376" s="14">
        <f>IFERROR(__xludf.DUMMYFUNCTION("""COMPUTED_VALUE"""),77.0)</f>
        <v>77</v>
      </c>
      <c r="S376" s="14">
        <f>IFERROR(__xludf.DUMMYFUNCTION("""COMPUTED_VALUE"""),70.0)</f>
        <v>70</v>
      </c>
      <c r="T376" s="14">
        <f>IFERROR(__xludf.DUMMYFUNCTION("""COMPUTED_VALUE"""),0.133)</f>
        <v>0.133</v>
      </c>
      <c r="U376" s="14">
        <f>IFERROR(__xludf.DUMMYFUNCTION("""COMPUTED_VALUE"""),0.683)</f>
        <v>0.683</v>
      </c>
      <c r="V376" s="14">
        <f>IFERROR(__xludf.DUMMYFUNCTION("""COMPUTED_VALUE"""),0.183)</f>
        <v>0.183</v>
      </c>
      <c r="W376" s="14">
        <f>IFERROR(__xludf.DUMMYFUNCTION("""COMPUTED_VALUE"""),7395599.0)</f>
        <v>7395599</v>
      </c>
      <c r="X376" s="14">
        <f>IFERROR(__xludf.DUMMYFUNCTION("""COMPUTED_VALUE"""),0.723)</f>
        <v>0.723</v>
      </c>
      <c r="Y376" s="14" t="str">
        <f>IFERROR(__xludf.DUMMYFUNCTION("""COMPUTED_VALUE"""),"Bulgaria-Europe")</f>
        <v>Bulgaria-Europe</v>
      </c>
      <c r="Z376" s="14" t="str">
        <f>IFERROR(__xludf.DUMMYFUNCTION("""COMPUTED_VALUE"""),"Europe")</f>
        <v>Europe</v>
      </c>
      <c r="AA376" s="14" t="str">
        <f>IFERROR(__xludf.DUMMYFUNCTION("""COMPUTED_VALUE"""),"2010")</f>
        <v>2010</v>
      </c>
      <c r="AB376" s="15" t="str">
        <f>IFERROR(__xludf.DUMMYFUNCTION("ARRAYFORMULA(VLOOKUP(A376,IMPORTRANGE(""https://docs.google.com/spreadsheets/d/1BuTWp7qHGjWhqrnf-OmePP568O4A5Am9ttzvVdP67zw/edit#gid=1931367683"" ,""ENERGY!$A$2:$F$2692""), {2,3,4,5,6},0))"),"Europe")</f>
        <v>Europe</v>
      </c>
      <c r="AC376" s="14" t="str">
        <f>IFERROR(__xludf.DUMMYFUNCTION("""COMPUTED_VALUE"""),"Bulgaria-Europe")</f>
        <v>Bulgaria-Europe</v>
      </c>
      <c r="AD376" s="14" t="str">
        <f>IFERROR(__xludf.DUMMYFUNCTION("""COMPUTED_VALUE"""),"2006")</f>
        <v>2006</v>
      </c>
      <c r="AE376" s="14">
        <f>IFERROR(__xludf.DUMMYFUNCTION("""COMPUTED_VALUE"""),18861.0)</f>
        <v>18861</v>
      </c>
      <c r="AF376" s="14">
        <f>IFERROR(__xludf.DUMMYFUNCTION("""COMPUTED_VALUE"""),44635.0)</f>
        <v>44635</v>
      </c>
    </row>
    <row r="377">
      <c r="A377" s="12">
        <v>376.0</v>
      </c>
      <c r="B377" s="12" t="s">
        <v>107</v>
      </c>
      <c r="C377" s="5" t="s">
        <v>75</v>
      </c>
      <c r="D377" s="11">
        <v>0.272</v>
      </c>
      <c r="E377" s="11">
        <v>18.0</v>
      </c>
      <c r="F377" s="8"/>
      <c r="G377" s="11">
        <v>500.0</v>
      </c>
      <c r="H377" s="11">
        <v>0.48</v>
      </c>
      <c r="I377" s="11">
        <v>1.428</v>
      </c>
      <c r="J377" s="9" t="s">
        <v>72</v>
      </c>
      <c r="K377" s="14" t="str">
        <f>IFERROR(__xludf.DUMMYFUNCTION("ARRAYFORMULA(VLOOKUP(A377,IMPORTRANGE(""https://docs.google.com/spreadsheets/d/1BuTWp7qHGjWhqrnf-OmePP568O4A5Am9ttzvVdP67zw/edit#gid=1603210130"", ""TOURISM!$A$2:$F$2692""), {2,3,4,5,6},0))"),"Europe")</f>
        <v>Europe</v>
      </c>
      <c r="L377" s="14">
        <f>IFERROR(__xludf.DUMMYFUNCTION("""COMPUTED_VALUE"""),4.554E9)</f>
        <v>4554000000</v>
      </c>
      <c r="M377" s="14" t="str">
        <f>IFERROR(__xludf.DUMMYFUNCTION("""COMPUTED_VALUE"""),"Bulgaria-Europe")</f>
        <v>Bulgaria-Europe</v>
      </c>
      <c r="N377" s="14" t="str">
        <f>IFERROR(__xludf.DUMMYFUNCTION("""COMPUTED_VALUE"""),"2011")</f>
        <v>2011</v>
      </c>
      <c r="O377" s="14">
        <f>IFERROR(__xludf.DUMMYFUNCTION("""COMPUTED_VALUE"""),1.498E9)</f>
        <v>1498000000</v>
      </c>
      <c r="P377" s="15">
        <f>IFERROR(__xludf.DUMMYFUNCTION("ARRAYFORMULA(VLOOKUP(A377,IMPORTRANGE(""https://docs.google.com/spreadsheets/d/1BuTWp7qHGjWhqrnf-OmePP568O4A5Am9ttzvVdP67zw/edit#gid=771602874"" ,""HUMAN RESOURCES!$A$2:$M$2692""), {2,3,4,5,6,7,8,9,10,11,12,13},0))"),0.01)</f>
        <v>0.01</v>
      </c>
      <c r="Q377" s="14">
        <f>IFERROR(__xludf.DUMMYFUNCTION("""COMPUTED_VALUE"""),0.011)</f>
        <v>0.011</v>
      </c>
      <c r="R377" s="14">
        <f>IFERROR(__xludf.DUMMYFUNCTION("""COMPUTED_VALUE"""),78.0)</f>
        <v>78</v>
      </c>
      <c r="S377" s="14">
        <f>IFERROR(__xludf.DUMMYFUNCTION("""COMPUTED_VALUE"""),71.0)</f>
        <v>71</v>
      </c>
      <c r="T377" s="14">
        <f>IFERROR(__xludf.DUMMYFUNCTION("""COMPUTED_VALUE"""),0.134)</f>
        <v>0.134</v>
      </c>
      <c r="U377" s="14">
        <f>IFERROR(__xludf.DUMMYFUNCTION("""COMPUTED_VALUE"""),0.68)</f>
        <v>0.68</v>
      </c>
      <c r="V377" s="14">
        <f>IFERROR(__xludf.DUMMYFUNCTION("""COMPUTED_VALUE"""),0.186)</f>
        <v>0.186</v>
      </c>
      <c r="W377" s="14">
        <f>IFERROR(__xludf.DUMMYFUNCTION("""COMPUTED_VALUE"""),7348328.0)</f>
        <v>7348328</v>
      </c>
      <c r="X377" s="14">
        <f>IFERROR(__xludf.DUMMYFUNCTION("""COMPUTED_VALUE"""),0.726)</f>
        <v>0.726</v>
      </c>
      <c r="Y377" s="14" t="str">
        <f>IFERROR(__xludf.DUMMYFUNCTION("""COMPUTED_VALUE"""),"Bulgaria-Europe")</f>
        <v>Bulgaria-Europe</v>
      </c>
      <c r="Z377" s="14" t="str">
        <f>IFERROR(__xludf.DUMMYFUNCTION("""COMPUTED_VALUE"""),"Europe")</f>
        <v>Europe</v>
      </c>
      <c r="AA377" s="14" t="str">
        <f>IFERROR(__xludf.DUMMYFUNCTION("""COMPUTED_VALUE"""),"2011")</f>
        <v>2011</v>
      </c>
      <c r="AB377" s="15" t="str">
        <f>IFERROR(__xludf.DUMMYFUNCTION("ARRAYFORMULA(VLOOKUP(A377,IMPORTRANGE(""https://docs.google.com/spreadsheets/d/1BuTWp7qHGjWhqrnf-OmePP568O4A5Am9ttzvVdP67zw/edit#gid=1931367683"" ,""ENERGY!$A$2:$F$2692""), {2,3,4,5,6},0))"),"Europe")</f>
        <v>Europe</v>
      </c>
      <c r="AC377" s="14" t="str">
        <f>IFERROR(__xludf.DUMMYFUNCTION("""COMPUTED_VALUE"""),"Bulgaria-Europe")</f>
        <v>Bulgaria-Europe</v>
      </c>
      <c r="AD377" s="14" t="str">
        <f>IFERROR(__xludf.DUMMYFUNCTION("""COMPUTED_VALUE"""),"2004")</f>
        <v>2004</v>
      </c>
      <c r="AE377" s="14">
        <f>IFERROR(__xludf.DUMMYFUNCTION("""COMPUTED_VALUE"""),19416.0)</f>
        <v>19416</v>
      </c>
      <c r="AF377" s="14">
        <f>IFERROR(__xludf.DUMMYFUNCTION("""COMPUTED_VALUE"""),46454.0)</f>
        <v>46454</v>
      </c>
    </row>
    <row r="378">
      <c r="A378" s="12">
        <v>377.0</v>
      </c>
      <c r="B378" s="12" t="s">
        <v>107</v>
      </c>
      <c r="C378" s="5" t="s">
        <v>75</v>
      </c>
      <c r="D378" s="11">
        <v>0.277</v>
      </c>
      <c r="E378" s="11">
        <v>18.0</v>
      </c>
      <c r="F378" s="11">
        <v>57.0</v>
      </c>
      <c r="G378" s="11">
        <v>454.0</v>
      </c>
      <c r="H378" s="11">
        <v>0.519</v>
      </c>
      <c r="I378" s="11">
        <v>1.481</v>
      </c>
      <c r="J378" s="9" t="s">
        <v>73</v>
      </c>
      <c r="K378" s="14" t="str">
        <f>IFERROR(__xludf.DUMMYFUNCTION("ARRAYFORMULA(VLOOKUP(A378,IMPORTRANGE(""https://docs.google.com/spreadsheets/d/1BuTWp7qHGjWhqrnf-OmePP568O4A5Am9ttzvVdP67zw/edit#gid=1603210130"", ""TOURISM!$A$2:$F$2692""), {2,3,4,5,6},0))"),"Europe")</f>
        <v>Europe</v>
      </c>
      <c r="L378" s="14">
        <f>IFERROR(__xludf.DUMMYFUNCTION("""COMPUTED_VALUE"""),4.202E9)</f>
        <v>4202000000</v>
      </c>
      <c r="M378" s="14" t="str">
        <f>IFERROR(__xludf.DUMMYFUNCTION("""COMPUTED_VALUE"""),"Bulgaria-Europe")</f>
        <v>Bulgaria-Europe</v>
      </c>
      <c r="N378" s="14" t="str">
        <f>IFERROR(__xludf.DUMMYFUNCTION("""COMPUTED_VALUE"""),"2012")</f>
        <v>2012</v>
      </c>
      <c r="O378" s="14">
        <f>IFERROR(__xludf.DUMMYFUNCTION("""COMPUTED_VALUE"""),1.475E9)</f>
        <v>1475000000</v>
      </c>
      <c r="P378" s="15">
        <f>IFERROR(__xludf.DUMMYFUNCTION("ARRAYFORMULA(VLOOKUP(A378,IMPORTRANGE(""https://docs.google.com/spreadsheets/d/1BuTWp7qHGjWhqrnf-OmePP568O4A5Am9ttzvVdP67zw/edit#gid=771602874"" ,""HUMAN RESOURCES!$A$2:$M$2692""), {2,3,4,5,6,7,8,9,10,11,12,13},0))"),0.01)</f>
        <v>0.01</v>
      </c>
      <c r="Q378" s="14">
        <f>IFERROR(__xludf.DUMMYFUNCTION("""COMPUTED_VALUE"""),0.011)</f>
        <v>0.011</v>
      </c>
      <c r="R378" s="14">
        <f>IFERROR(__xludf.DUMMYFUNCTION("""COMPUTED_VALUE"""),78.0)</f>
        <v>78</v>
      </c>
      <c r="S378" s="14">
        <f>IFERROR(__xludf.DUMMYFUNCTION("""COMPUTED_VALUE"""),71.0)</f>
        <v>71</v>
      </c>
      <c r="T378" s="14">
        <f>IFERROR(__xludf.DUMMYFUNCTION("""COMPUTED_VALUE"""),0.135)</f>
        <v>0.135</v>
      </c>
      <c r="U378" s="14">
        <f>IFERROR(__xludf.DUMMYFUNCTION("""COMPUTED_VALUE"""),0.675)</f>
        <v>0.675</v>
      </c>
      <c r="V378" s="14">
        <f>IFERROR(__xludf.DUMMYFUNCTION("""COMPUTED_VALUE"""),0.189)</f>
        <v>0.189</v>
      </c>
      <c r="W378" s="14">
        <f>IFERROR(__xludf.DUMMYFUNCTION("""COMPUTED_VALUE"""),7305888.0)</f>
        <v>7305888</v>
      </c>
      <c r="X378" s="14">
        <f>IFERROR(__xludf.DUMMYFUNCTION("""COMPUTED_VALUE"""),0.73)</f>
        <v>0.73</v>
      </c>
      <c r="Y378" s="14" t="str">
        <f>IFERROR(__xludf.DUMMYFUNCTION("""COMPUTED_VALUE"""),"Bulgaria-Europe")</f>
        <v>Bulgaria-Europe</v>
      </c>
      <c r="Z378" s="14" t="str">
        <f>IFERROR(__xludf.DUMMYFUNCTION("""COMPUTED_VALUE"""),"Europe")</f>
        <v>Europe</v>
      </c>
      <c r="AA378" s="14" t="str">
        <f>IFERROR(__xludf.DUMMYFUNCTION("""COMPUTED_VALUE"""),"2012")</f>
        <v>2012</v>
      </c>
      <c r="AB378" s="15" t="str">
        <f>IFERROR(__xludf.DUMMYFUNCTION("ARRAYFORMULA(VLOOKUP(A378,IMPORTRANGE(""https://docs.google.com/spreadsheets/d/1BuTWp7qHGjWhqrnf-OmePP568O4A5Am9ttzvVdP67zw/edit#gid=1931367683"" ,""ENERGY!$A$2:$F$2692""), {2,3,4,5,6},0))"),"Europe")</f>
        <v>Europe</v>
      </c>
      <c r="AC378" s="14" t="str">
        <f>IFERROR(__xludf.DUMMYFUNCTION("""COMPUTED_VALUE"""),"Bulgaria-Europe")</f>
        <v>Bulgaria-Europe</v>
      </c>
      <c r="AD378" s="14" t="str">
        <f>IFERROR(__xludf.DUMMYFUNCTION("""COMPUTED_VALUE"""),"2008")</f>
        <v>2008</v>
      </c>
      <c r="AE378" s="14">
        <f>IFERROR(__xludf.DUMMYFUNCTION("""COMPUTED_VALUE"""),18688.0)</f>
        <v>18688</v>
      </c>
      <c r="AF378" s="14">
        <f>IFERROR(__xludf.DUMMYFUNCTION("""COMPUTED_VALUE"""),43531.0)</f>
        <v>43531</v>
      </c>
    </row>
    <row r="379">
      <c r="A379" s="12">
        <v>378.0</v>
      </c>
      <c r="B379" s="12" t="s">
        <v>108</v>
      </c>
      <c r="C379" s="5" t="s">
        <v>77</v>
      </c>
      <c r="D379" s="8"/>
      <c r="E379" s="8"/>
      <c r="F379" s="8"/>
      <c r="G379" s="8"/>
      <c r="H379" s="11">
        <v>0.001</v>
      </c>
      <c r="I379" s="11">
        <v>0.002</v>
      </c>
      <c r="J379" s="9" t="s">
        <v>60</v>
      </c>
      <c r="K379" s="14" t="str">
        <f>IFERROR(__xludf.DUMMYFUNCTION("ARRAYFORMULA(VLOOKUP(A379,IMPORTRANGE(""https://docs.google.com/spreadsheets/d/1BuTWp7qHGjWhqrnf-OmePP568O4A5Am9ttzvVdP67zw/edit#gid=1603210130"", ""TOURISM!$A$2:$F$2692""), {2,3,4,5,6},0))"),"Africa")</f>
        <v>Africa</v>
      </c>
      <c r="L379" s="14">
        <f>IFERROR(__xludf.DUMMYFUNCTION("""COMPUTED_VALUE"""),2.3E7)</f>
        <v>23000000</v>
      </c>
      <c r="M379" s="14" t="str">
        <f>IFERROR(__xludf.DUMMYFUNCTION("""COMPUTED_VALUE"""),"Burkina Faso-Africa")</f>
        <v>Burkina Faso-Africa</v>
      </c>
      <c r="N379" s="14" t="str">
        <f>IFERROR(__xludf.DUMMYFUNCTION("""COMPUTED_VALUE"""),"2000")</f>
        <v>2000</v>
      </c>
      <c r="O379" s="14">
        <f>IFERROR(__xludf.DUMMYFUNCTION("""COMPUTED_VALUE"""),3.0E7)</f>
        <v>30000000</v>
      </c>
      <c r="P379" s="15">
        <f>IFERROR(__xludf.DUMMYFUNCTION("ARRAYFORMULA(VLOOKUP(A379,IMPORTRANGE(""https://docs.google.com/spreadsheets/d/1BuTWp7qHGjWhqrnf-OmePP568O4A5Am9ttzvVdP67zw/edit#gid=771602874"" ,""HUMAN RESOURCES!$A$2:$M$2692""), {2,3,4,5,6,7,8,9,10,11,12,13},0))"),0.046)</f>
        <v>0.046</v>
      </c>
      <c r="Q379" s="14">
        <f>IFERROR(__xludf.DUMMYFUNCTION("""COMPUTED_VALUE"""),0.096)</f>
        <v>0.096</v>
      </c>
      <c r="R379" s="14">
        <f>IFERROR(__xludf.DUMMYFUNCTION("""COMPUTED_VALUE"""),52.0)</f>
        <v>52</v>
      </c>
      <c r="S379" s="14">
        <f>IFERROR(__xludf.DUMMYFUNCTION("""COMPUTED_VALUE"""),49.0)</f>
        <v>49</v>
      </c>
      <c r="T379" s="14">
        <f>IFERROR(__xludf.DUMMYFUNCTION("""COMPUTED_VALUE"""),0.468)</f>
        <v>0.468</v>
      </c>
      <c r="U379" s="14">
        <f>IFERROR(__xludf.DUMMYFUNCTION("""COMPUTED_VALUE"""),0.505)</f>
        <v>0.505</v>
      </c>
      <c r="V379" s="14">
        <f>IFERROR(__xludf.DUMMYFUNCTION("""COMPUTED_VALUE"""),0.028)</f>
        <v>0.028</v>
      </c>
      <c r="W379" s="14">
        <f>IFERROR(__xludf.DUMMYFUNCTION("""COMPUTED_VALUE"""),1.1607944E7)</f>
        <v>11607944</v>
      </c>
      <c r="X379" s="14">
        <f>IFERROR(__xludf.DUMMYFUNCTION("""COMPUTED_VALUE"""),0.178)</f>
        <v>0.178</v>
      </c>
      <c r="Y379" s="14" t="str">
        <f>IFERROR(__xludf.DUMMYFUNCTION("""COMPUTED_VALUE"""),"Burkina Faso-Africa")</f>
        <v>Burkina Faso-Africa</v>
      </c>
      <c r="Z379" s="14" t="str">
        <f>IFERROR(__xludf.DUMMYFUNCTION("""COMPUTED_VALUE"""),"Africa")</f>
        <v>Africa</v>
      </c>
      <c r="AA379" s="14" t="str">
        <f>IFERROR(__xludf.DUMMYFUNCTION("""COMPUTED_VALUE"""),"2000")</f>
        <v>2000</v>
      </c>
      <c r="AB379" s="15" t="str">
        <f>IFERROR(__xludf.DUMMYFUNCTION("ARRAYFORMULA(VLOOKUP(A379,IMPORTRANGE(""https://docs.google.com/spreadsheets/d/1BuTWp7qHGjWhqrnf-OmePP568O4A5Am9ttzvVdP67zw/edit#gid=1931367683"" ,""ENERGY!$A$2:$F$2692""), {2,3,4,5,6},0))"),"Africa")</f>
        <v>Africa</v>
      </c>
      <c r="AC379" s="14" t="str">
        <f>IFERROR(__xludf.DUMMYFUNCTION("""COMPUTED_VALUE"""),"Burkina Faso-Africa")</f>
        <v>Burkina Faso-Africa</v>
      </c>
      <c r="AD379" s="14" t="str">
        <f>IFERROR(__xludf.DUMMYFUNCTION("""COMPUTED_VALUE"""),"2000")</f>
        <v>2000</v>
      </c>
      <c r="AE379" s="14"/>
      <c r="AF379" s="14"/>
    </row>
    <row r="380">
      <c r="A380" s="12">
        <v>379.0</v>
      </c>
      <c r="B380" s="12" t="s">
        <v>108</v>
      </c>
      <c r="C380" s="5" t="s">
        <v>77</v>
      </c>
      <c r="D380" s="8"/>
      <c r="E380" s="8"/>
      <c r="F380" s="8"/>
      <c r="G380" s="8"/>
      <c r="H380" s="11">
        <v>0.002</v>
      </c>
      <c r="I380" s="11">
        <v>0.006</v>
      </c>
      <c r="J380" s="9" t="s">
        <v>62</v>
      </c>
      <c r="K380" s="14" t="str">
        <f>IFERROR(__xludf.DUMMYFUNCTION("ARRAYFORMULA(VLOOKUP(A380,IMPORTRANGE(""https://docs.google.com/spreadsheets/d/1BuTWp7qHGjWhqrnf-OmePP568O4A5Am9ttzvVdP67zw/edit#gid=1603210130"", ""TOURISM!$A$2:$F$2692""), {2,3,4,5,6},0))"),"Africa")</f>
        <v>Africa</v>
      </c>
      <c r="L380" s="14">
        <f>IFERROR(__xludf.DUMMYFUNCTION("""COMPUTED_VALUE"""),2.5E7)</f>
        <v>25000000</v>
      </c>
      <c r="M380" s="14" t="str">
        <f>IFERROR(__xludf.DUMMYFUNCTION("""COMPUTED_VALUE"""),"Burkina Faso-Africa")</f>
        <v>Burkina Faso-Africa</v>
      </c>
      <c r="N380" s="14" t="str">
        <f>IFERROR(__xludf.DUMMYFUNCTION("""COMPUTED_VALUE"""),"2001")</f>
        <v>2001</v>
      </c>
      <c r="O380" s="14">
        <f>IFERROR(__xludf.DUMMYFUNCTION("""COMPUTED_VALUE"""),3.5E7)</f>
        <v>35000000</v>
      </c>
      <c r="P380" s="15">
        <f>IFERROR(__xludf.DUMMYFUNCTION("ARRAYFORMULA(VLOOKUP(A380,IMPORTRANGE(""https://docs.google.com/spreadsheets/d/1BuTWp7qHGjWhqrnf-OmePP568O4A5Am9ttzvVdP67zw/edit#gid=771602874"" ,""HUMAN RESOURCES!$A$2:$M$2692""), {2,3,4,5,6,7,8,9,10,11,12,13},0))"),0.046)</f>
        <v>0.046</v>
      </c>
      <c r="Q380" s="14">
        <f>IFERROR(__xludf.DUMMYFUNCTION("""COMPUTED_VALUE"""),0.095)</f>
        <v>0.095</v>
      </c>
      <c r="R380" s="14">
        <f>IFERROR(__xludf.DUMMYFUNCTION("""COMPUTED_VALUE"""),52.0)</f>
        <v>52</v>
      </c>
      <c r="S380" s="14">
        <f>IFERROR(__xludf.DUMMYFUNCTION("""COMPUTED_VALUE"""),50.0)</f>
        <v>50</v>
      </c>
      <c r="T380" s="14">
        <f>IFERROR(__xludf.DUMMYFUNCTION("""COMPUTED_VALUE"""),0.467)</f>
        <v>0.467</v>
      </c>
      <c r="U380" s="14">
        <f>IFERROR(__xludf.DUMMYFUNCTION("""COMPUTED_VALUE"""),0.506)</f>
        <v>0.506</v>
      </c>
      <c r="V380" s="14">
        <f>IFERROR(__xludf.DUMMYFUNCTION("""COMPUTED_VALUE"""),0.027)</f>
        <v>0.027</v>
      </c>
      <c r="W380" s="14">
        <f>IFERROR(__xludf.DUMMYFUNCTION("""COMPUTED_VALUE"""),1.194608E7)</f>
        <v>11946080</v>
      </c>
      <c r="X380" s="14">
        <f>IFERROR(__xludf.DUMMYFUNCTION("""COMPUTED_VALUE"""),0.185)</f>
        <v>0.185</v>
      </c>
      <c r="Y380" s="14" t="str">
        <f>IFERROR(__xludf.DUMMYFUNCTION("""COMPUTED_VALUE"""),"Burkina Faso-Africa")</f>
        <v>Burkina Faso-Africa</v>
      </c>
      <c r="Z380" s="14" t="str">
        <f>IFERROR(__xludf.DUMMYFUNCTION("""COMPUTED_VALUE"""),"Africa")</f>
        <v>Africa</v>
      </c>
      <c r="AA380" s="14" t="str">
        <f>IFERROR(__xludf.DUMMYFUNCTION("""COMPUTED_VALUE"""),"2001")</f>
        <v>2001</v>
      </c>
      <c r="AB380" s="15" t="str">
        <f>IFERROR(__xludf.DUMMYFUNCTION("ARRAYFORMULA(VLOOKUP(A380,IMPORTRANGE(""https://docs.google.com/spreadsheets/d/1BuTWp7qHGjWhqrnf-OmePP568O4A5Am9ttzvVdP67zw/edit#gid=1931367683"" ,""ENERGY!$A$2:$F$2692""), {2,3,4,5,6},0))"),"Africa")</f>
        <v>Africa</v>
      </c>
      <c r="AC380" s="14" t="str">
        <f>IFERROR(__xludf.DUMMYFUNCTION("""COMPUTED_VALUE"""),"Burkina Faso-Africa")</f>
        <v>Burkina Faso-Africa</v>
      </c>
      <c r="AD380" s="14" t="str">
        <f>IFERROR(__xludf.DUMMYFUNCTION("""COMPUTED_VALUE"""),"2001")</f>
        <v>2001</v>
      </c>
      <c r="AE380" s="14"/>
      <c r="AF380" s="14"/>
    </row>
    <row r="381">
      <c r="A381" s="12">
        <v>380.0</v>
      </c>
      <c r="B381" s="12" t="s">
        <v>108</v>
      </c>
      <c r="C381" s="5" t="s">
        <v>77</v>
      </c>
      <c r="D381" s="8"/>
      <c r="E381" s="8"/>
      <c r="F381" s="8"/>
      <c r="G381" s="8"/>
      <c r="H381" s="11">
        <v>0.002</v>
      </c>
      <c r="I381" s="11">
        <v>0.009</v>
      </c>
      <c r="J381" s="9" t="s">
        <v>63</v>
      </c>
      <c r="K381" s="14" t="str">
        <f>IFERROR(__xludf.DUMMYFUNCTION("ARRAYFORMULA(VLOOKUP(A381,IMPORTRANGE(""https://docs.google.com/spreadsheets/d/1BuTWp7qHGjWhqrnf-OmePP568O4A5Am9ttzvVdP67zw/edit#gid=1603210130"", ""TOURISM!$A$2:$F$2692""), {2,3,4,5,6},0))"),"Africa")</f>
        <v>Africa</v>
      </c>
      <c r="L381" s="14">
        <f>IFERROR(__xludf.DUMMYFUNCTION("""COMPUTED_VALUE"""),3.7E7)</f>
        <v>37000000</v>
      </c>
      <c r="M381" s="14" t="str">
        <f>IFERROR(__xludf.DUMMYFUNCTION("""COMPUTED_VALUE"""),"Burkina Faso-Africa")</f>
        <v>Burkina Faso-Africa</v>
      </c>
      <c r="N381" s="14" t="str">
        <f>IFERROR(__xludf.DUMMYFUNCTION("""COMPUTED_VALUE"""),"2002")</f>
        <v>2002</v>
      </c>
      <c r="O381" s="14">
        <f>IFERROR(__xludf.DUMMYFUNCTION("""COMPUTED_VALUE"""),3.6E7)</f>
        <v>36000000</v>
      </c>
      <c r="P381" s="15">
        <f>IFERROR(__xludf.DUMMYFUNCTION("ARRAYFORMULA(VLOOKUP(A381,IMPORTRANGE(""https://docs.google.com/spreadsheets/d/1BuTWp7qHGjWhqrnf-OmePP568O4A5Am9ttzvVdP67zw/edit#gid=771602874"" ,""HUMAN RESOURCES!$A$2:$M$2692""), {2,3,4,5,6,7,8,9,10,11,12,13},0))"),0.046)</f>
        <v>0.046</v>
      </c>
      <c r="Q381" s="14">
        <f>IFERROR(__xludf.DUMMYFUNCTION("""COMPUTED_VALUE"""),0.094)</f>
        <v>0.094</v>
      </c>
      <c r="R381" s="14">
        <f>IFERROR(__xludf.DUMMYFUNCTION("""COMPUTED_VALUE"""),52.0)</f>
        <v>52</v>
      </c>
      <c r="S381" s="14">
        <f>IFERROR(__xludf.DUMMYFUNCTION("""COMPUTED_VALUE"""),50.0)</f>
        <v>50</v>
      </c>
      <c r="T381" s="14">
        <f>IFERROR(__xludf.DUMMYFUNCTION("""COMPUTED_VALUE"""),0.467)</f>
        <v>0.467</v>
      </c>
      <c r="U381" s="14">
        <f>IFERROR(__xludf.DUMMYFUNCTION("""COMPUTED_VALUE"""),0.507)</f>
        <v>0.507</v>
      </c>
      <c r="V381" s="14">
        <f>IFERROR(__xludf.DUMMYFUNCTION("""COMPUTED_VALUE"""),0.027)</f>
        <v>0.027</v>
      </c>
      <c r="W381" s="14">
        <f>IFERROR(__xludf.DUMMYFUNCTION("""COMPUTED_VALUE"""),1.2296399E7)</f>
        <v>12296399</v>
      </c>
      <c r="X381" s="14">
        <f>IFERROR(__xludf.DUMMYFUNCTION("""COMPUTED_VALUE"""),0.193)</f>
        <v>0.193</v>
      </c>
      <c r="Y381" s="14" t="str">
        <f>IFERROR(__xludf.DUMMYFUNCTION("""COMPUTED_VALUE"""),"Burkina Faso-Africa")</f>
        <v>Burkina Faso-Africa</v>
      </c>
      <c r="Z381" s="14" t="str">
        <f>IFERROR(__xludf.DUMMYFUNCTION("""COMPUTED_VALUE"""),"Africa")</f>
        <v>Africa</v>
      </c>
      <c r="AA381" s="14" t="str">
        <f>IFERROR(__xludf.DUMMYFUNCTION("""COMPUTED_VALUE"""),"2002")</f>
        <v>2002</v>
      </c>
      <c r="AB381" s="15" t="str">
        <f>IFERROR(__xludf.DUMMYFUNCTION("ARRAYFORMULA(VLOOKUP(A381,IMPORTRANGE(""https://docs.google.com/spreadsheets/d/1BuTWp7qHGjWhqrnf-OmePP568O4A5Am9ttzvVdP67zw/edit#gid=1931367683"" ,""ENERGY!$A$2:$F$2692""), {2,3,4,5,6},0))"),"Africa")</f>
        <v>Africa</v>
      </c>
      <c r="AC381" s="14" t="str">
        <f>IFERROR(__xludf.DUMMYFUNCTION("""COMPUTED_VALUE"""),"Burkina Faso-Africa")</f>
        <v>Burkina Faso-Africa</v>
      </c>
      <c r="AD381" s="14" t="str">
        <f>IFERROR(__xludf.DUMMYFUNCTION("""COMPUTED_VALUE"""),"2002")</f>
        <v>2002</v>
      </c>
      <c r="AE381" s="14"/>
      <c r="AF381" s="14">
        <f>IFERROR(__xludf.DUMMYFUNCTION("""COMPUTED_VALUE"""),1683.0)</f>
        <v>1683</v>
      </c>
    </row>
    <row r="382">
      <c r="A382" s="12">
        <v>381.0</v>
      </c>
      <c r="B382" s="12" t="s">
        <v>108</v>
      </c>
      <c r="C382" s="5" t="s">
        <v>77</v>
      </c>
      <c r="D382" s="8"/>
      <c r="E382" s="11">
        <v>40.0</v>
      </c>
      <c r="F382" s="8"/>
      <c r="G382" s="8"/>
      <c r="H382" s="11">
        <v>0.004</v>
      </c>
      <c r="I382" s="11">
        <v>0.019</v>
      </c>
      <c r="J382" s="9" t="s">
        <v>64</v>
      </c>
      <c r="K382" s="14" t="str">
        <f>IFERROR(__xludf.DUMMYFUNCTION("ARRAYFORMULA(VLOOKUP(A382,IMPORTRANGE(""https://docs.google.com/spreadsheets/d/1BuTWp7qHGjWhqrnf-OmePP568O4A5Am9ttzvVdP67zw/edit#gid=1603210130"", ""TOURISM!$A$2:$F$2692""), {2,3,4,5,6},0))"),"Africa")</f>
        <v>Africa</v>
      </c>
      <c r="L382" s="14">
        <f>IFERROR(__xludf.DUMMYFUNCTION("""COMPUTED_VALUE"""),3.8E7)</f>
        <v>38000000</v>
      </c>
      <c r="M382" s="14" t="str">
        <f>IFERROR(__xludf.DUMMYFUNCTION("""COMPUTED_VALUE"""),"Burkina Faso-Africa")</f>
        <v>Burkina Faso-Africa</v>
      </c>
      <c r="N382" s="14" t="str">
        <f>IFERROR(__xludf.DUMMYFUNCTION("""COMPUTED_VALUE"""),"2003")</f>
        <v>2003</v>
      </c>
      <c r="O382" s="14">
        <f>IFERROR(__xludf.DUMMYFUNCTION("""COMPUTED_VALUE"""),5.0E7)</f>
        <v>50000000</v>
      </c>
      <c r="P382" s="15">
        <f>IFERROR(__xludf.DUMMYFUNCTION("ARRAYFORMULA(VLOOKUP(A382,IMPORTRANGE(""https://docs.google.com/spreadsheets/d/1BuTWp7qHGjWhqrnf-OmePP568O4A5Am9ttzvVdP67zw/edit#gid=771602874"" ,""HUMAN RESOURCES!$A$2:$M$2692""), {2,3,4,5,6,7,8,9,10,11,12,13},0))"),0.045)</f>
        <v>0.045</v>
      </c>
      <c r="Q382" s="14">
        <f>IFERROR(__xludf.DUMMYFUNCTION("""COMPUTED_VALUE"""),0.091)</f>
        <v>0.091</v>
      </c>
      <c r="R382" s="14">
        <f>IFERROR(__xludf.DUMMYFUNCTION("""COMPUTED_VALUE"""),53.0)</f>
        <v>53</v>
      </c>
      <c r="S382" s="14">
        <f>IFERROR(__xludf.DUMMYFUNCTION("""COMPUTED_VALUE"""),51.0)</f>
        <v>51</v>
      </c>
      <c r="T382" s="14">
        <f>IFERROR(__xludf.DUMMYFUNCTION("""COMPUTED_VALUE"""),0.466)</f>
        <v>0.466</v>
      </c>
      <c r="U382" s="14">
        <f>IFERROR(__xludf.DUMMYFUNCTION("""COMPUTED_VALUE"""),0.508)</f>
        <v>0.508</v>
      </c>
      <c r="V382" s="14">
        <f>IFERROR(__xludf.DUMMYFUNCTION("""COMPUTED_VALUE"""),0.026)</f>
        <v>0.026</v>
      </c>
      <c r="W382" s="14">
        <f>IFERROR(__xludf.DUMMYFUNCTION("""COMPUTED_VALUE"""),1.2659086E7)</f>
        <v>12659086</v>
      </c>
      <c r="X382" s="14">
        <f>IFERROR(__xludf.DUMMYFUNCTION("""COMPUTED_VALUE"""),0.2)</f>
        <v>0.2</v>
      </c>
      <c r="Y382" s="14" t="str">
        <f>IFERROR(__xludf.DUMMYFUNCTION("""COMPUTED_VALUE"""),"Burkina Faso-Africa")</f>
        <v>Burkina Faso-Africa</v>
      </c>
      <c r="Z382" s="14" t="str">
        <f>IFERROR(__xludf.DUMMYFUNCTION("""COMPUTED_VALUE"""),"Africa")</f>
        <v>Africa</v>
      </c>
      <c r="AA382" s="14" t="str">
        <f>IFERROR(__xludf.DUMMYFUNCTION("""COMPUTED_VALUE"""),"2003")</f>
        <v>2003</v>
      </c>
      <c r="AB382" s="15" t="str">
        <f>IFERROR(__xludf.DUMMYFUNCTION("ARRAYFORMULA(VLOOKUP(A382,IMPORTRANGE(""https://docs.google.com/spreadsheets/d/1BuTWp7qHGjWhqrnf-OmePP568O4A5Am9ttzvVdP67zw/edit#gid=1931367683"" ,""ENERGY!$A$2:$F$2692""), {2,3,4,5,6},0))"),"Africa")</f>
        <v>Africa</v>
      </c>
      <c r="AC382" s="14" t="str">
        <f>IFERROR(__xludf.DUMMYFUNCTION("""COMPUTED_VALUE"""),"Burkina Faso-Africa")</f>
        <v>Burkina Faso-Africa</v>
      </c>
      <c r="AD382" s="14" t="str">
        <f>IFERROR(__xludf.DUMMYFUNCTION("""COMPUTED_VALUE"""),"2003")</f>
        <v>2003</v>
      </c>
      <c r="AE382" s="14"/>
      <c r="AF382" s="14">
        <f>IFERROR(__xludf.DUMMYFUNCTION("""COMPUTED_VALUE"""),1665.0)</f>
        <v>1665</v>
      </c>
    </row>
    <row r="383">
      <c r="A383" s="12">
        <v>382.0</v>
      </c>
      <c r="B383" s="12" t="s">
        <v>108</v>
      </c>
      <c r="C383" s="5" t="s">
        <v>77</v>
      </c>
      <c r="D383" s="8"/>
      <c r="E383" s="11">
        <v>40.0</v>
      </c>
      <c r="F383" s="8"/>
      <c r="G383" s="8"/>
      <c r="H383" s="11">
        <v>0.004</v>
      </c>
      <c r="I383" s="11">
        <v>0.03</v>
      </c>
      <c r="J383" s="9" t="s">
        <v>65</v>
      </c>
      <c r="K383" s="14" t="str">
        <f>IFERROR(__xludf.DUMMYFUNCTION("ARRAYFORMULA(VLOOKUP(A383,IMPORTRANGE(""https://docs.google.com/spreadsheets/d/1BuTWp7qHGjWhqrnf-OmePP568O4A5Am9ttzvVdP67zw/edit#gid=1603210130"", ""TOURISM!$A$2:$F$2692""), {2,3,4,5,6},0))"),"Africa")</f>
        <v>Africa</v>
      </c>
      <c r="L383" s="14">
        <f>IFERROR(__xludf.DUMMYFUNCTION("""COMPUTED_VALUE"""),5.2E7)</f>
        <v>52000000</v>
      </c>
      <c r="M383" s="14" t="str">
        <f>IFERROR(__xludf.DUMMYFUNCTION("""COMPUTED_VALUE"""),"Burkina Faso-Africa")</f>
        <v>Burkina Faso-Africa</v>
      </c>
      <c r="N383" s="14" t="str">
        <f>IFERROR(__xludf.DUMMYFUNCTION("""COMPUTED_VALUE"""),"2004")</f>
        <v>2004</v>
      </c>
      <c r="O383" s="14">
        <f>IFERROR(__xludf.DUMMYFUNCTION("""COMPUTED_VALUE"""),6.7E7)</f>
        <v>67000000</v>
      </c>
      <c r="P383" s="15">
        <f>IFERROR(__xludf.DUMMYFUNCTION("ARRAYFORMULA(VLOOKUP(A383,IMPORTRANGE(""https://docs.google.com/spreadsheets/d/1BuTWp7qHGjWhqrnf-OmePP568O4A5Am9ttzvVdP67zw/edit#gid=771602874"" ,""HUMAN RESOURCES!$A$2:$M$2692""), {2,3,4,5,6,7,8,9,10,11,12,13},0))"),0.045)</f>
        <v>0.045</v>
      </c>
      <c r="Q383" s="14">
        <f>IFERROR(__xludf.DUMMYFUNCTION("""COMPUTED_VALUE"""),0.089)</f>
        <v>0.089</v>
      </c>
      <c r="R383" s="14">
        <f>IFERROR(__xludf.DUMMYFUNCTION("""COMPUTED_VALUE"""),53.0)</f>
        <v>53</v>
      </c>
      <c r="S383" s="14">
        <f>IFERROR(__xludf.DUMMYFUNCTION("""COMPUTED_VALUE"""),51.0)</f>
        <v>51</v>
      </c>
      <c r="T383" s="14">
        <f>IFERROR(__xludf.DUMMYFUNCTION("""COMPUTED_VALUE"""),0.466)</f>
        <v>0.466</v>
      </c>
      <c r="U383" s="14">
        <f>IFERROR(__xludf.DUMMYFUNCTION("""COMPUTED_VALUE"""),0.508)</f>
        <v>0.508</v>
      </c>
      <c r="V383" s="14">
        <f>IFERROR(__xludf.DUMMYFUNCTION("""COMPUTED_VALUE"""),0.026)</f>
        <v>0.026</v>
      </c>
      <c r="W383" s="14">
        <f>IFERROR(__xludf.DUMMYFUNCTION("""COMPUTED_VALUE"""),1.3034258E7)</f>
        <v>13034258</v>
      </c>
      <c r="X383" s="14">
        <f>IFERROR(__xludf.DUMMYFUNCTION("""COMPUTED_VALUE"""),0.208)</f>
        <v>0.208</v>
      </c>
      <c r="Y383" s="14" t="str">
        <f>IFERROR(__xludf.DUMMYFUNCTION("""COMPUTED_VALUE"""),"Burkina Faso-Africa")</f>
        <v>Burkina Faso-Africa</v>
      </c>
      <c r="Z383" s="14" t="str">
        <f>IFERROR(__xludf.DUMMYFUNCTION("""COMPUTED_VALUE"""),"Africa")</f>
        <v>Africa</v>
      </c>
      <c r="AA383" s="14" t="str">
        <f>IFERROR(__xludf.DUMMYFUNCTION("""COMPUTED_VALUE"""),"2004")</f>
        <v>2004</v>
      </c>
      <c r="AB383" s="15" t="str">
        <f>IFERROR(__xludf.DUMMYFUNCTION("ARRAYFORMULA(VLOOKUP(A383,IMPORTRANGE(""https://docs.google.com/spreadsheets/d/1BuTWp7qHGjWhqrnf-OmePP568O4A5Am9ttzvVdP67zw/edit#gid=1931367683"" ,""ENERGY!$A$2:$F$2692""), {2,3,4,5,6},0))"),"Africa")</f>
        <v>Africa</v>
      </c>
      <c r="AC383" s="14" t="str">
        <f>IFERROR(__xludf.DUMMYFUNCTION("""COMPUTED_VALUE"""),"Burkina Faso-Africa")</f>
        <v>Burkina Faso-Africa</v>
      </c>
      <c r="AD383" s="14" t="str">
        <f>IFERROR(__xludf.DUMMYFUNCTION("""COMPUTED_VALUE"""),"2004")</f>
        <v>2004</v>
      </c>
      <c r="AE383" s="14"/>
      <c r="AF383" s="14">
        <f>IFERROR(__xludf.DUMMYFUNCTION("""COMPUTED_VALUE"""),1698.0)</f>
        <v>1698</v>
      </c>
    </row>
    <row r="384">
      <c r="A384" s="12">
        <v>383.0</v>
      </c>
      <c r="B384" s="12" t="s">
        <v>108</v>
      </c>
      <c r="C384" s="5" t="s">
        <v>77</v>
      </c>
      <c r="D384" s="11">
        <v>0.475</v>
      </c>
      <c r="E384" s="11">
        <v>40.0</v>
      </c>
      <c r="F384" s="8"/>
      <c r="G384" s="11">
        <v>270.0</v>
      </c>
      <c r="H384" s="11">
        <v>0.005</v>
      </c>
      <c r="I384" s="11">
        <v>0.047</v>
      </c>
      <c r="J384" s="9" t="s">
        <v>66</v>
      </c>
      <c r="K384" s="14" t="str">
        <f>IFERROR(__xludf.DUMMYFUNCTION("ARRAYFORMULA(VLOOKUP(A384,IMPORTRANGE(""https://docs.google.com/spreadsheets/d/1BuTWp7qHGjWhqrnf-OmePP568O4A5Am9ttzvVdP67zw/edit#gid=1603210130"", ""TOURISM!$A$2:$F$2692""), {2,3,4,5,6},0))"),"Africa")</f>
        <v>Africa</v>
      </c>
      <c r="L384" s="14">
        <f>IFERROR(__xludf.DUMMYFUNCTION("""COMPUTED_VALUE"""),4.6E7)</f>
        <v>46000000</v>
      </c>
      <c r="M384" s="14" t="str">
        <f>IFERROR(__xludf.DUMMYFUNCTION("""COMPUTED_VALUE"""),"Burkina Faso-Africa")</f>
        <v>Burkina Faso-Africa</v>
      </c>
      <c r="N384" s="14" t="str">
        <f>IFERROR(__xludf.DUMMYFUNCTION("""COMPUTED_VALUE"""),"2005")</f>
        <v>2005</v>
      </c>
      <c r="O384" s="14">
        <f>IFERROR(__xludf.DUMMYFUNCTION("""COMPUTED_VALUE"""),7.4E7)</f>
        <v>74000000</v>
      </c>
      <c r="P384" s="15">
        <f>IFERROR(__xludf.DUMMYFUNCTION("ARRAYFORMULA(VLOOKUP(A384,IMPORTRANGE(""https://docs.google.com/spreadsheets/d/1BuTWp7qHGjWhqrnf-OmePP568O4A5Am9ttzvVdP67zw/edit#gid=771602874"" ,""HUMAN RESOURCES!$A$2:$M$2692""), {2,3,4,5,6,7,8,9,10,11,12,13},0))"),0.045)</f>
        <v>0.045</v>
      </c>
      <c r="Q384" s="14">
        <f>IFERROR(__xludf.DUMMYFUNCTION("""COMPUTED_VALUE"""),0.086)</f>
        <v>0.086</v>
      </c>
      <c r="R384" s="14">
        <f>IFERROR(__xludf.DUMMYFUNCTION("""COMPUTED_VALUE"""),53.0)</f>
        <v>53</v>
      </c>
      <c r="S384" s="14">
        <f>IFERROR(__xludf.DUMMYFUNCTION("""COMPUTED_VALUE"""),52.0)</f>
        <v>52</v>
      </c>
      <c r="T384" s="14">
        <f>IFERROR(__xludf.DUMMYFUNCTION("""COMPUTED_VALUE"""),0.465)</f>
        <v>0.465</v>
      </c>
      <c r="U384" s="14">
        <f>IFERROR(__xludf.DUMMYFUNCTION("""COMPUTED_VALUE"""),0.509)</f>
        <v>0.509</v>
      </c>
      <c r="V384" s="14">
        <f>IFERROR(__xludf.DUMMYFUNCTION("""COMPUTED_VALUE"""),0.026)</f>
        <v>0.026</v>
      </c>
      <c r="W384" s="14">
        <f>IFERROR(__xludf.DUMMYFUNCTION("""COMPUTED_VALUE"""),1.3421929E7)</f>
        <v>13421929</v>
      </c>
      <c r="X384" s="14">
        <f>IFERROR(__xludf.DUMMYFUNCTION("""COMPUTED_VALUE"""),0.215)</f>
        <v>0.215</v>
      </c>
      <c r="Y384" s="14" t="str">
        <f>IFERROR(__xludf.DUMMYFUNCTION("""COMPUTED_VALUE"""),"Burkina Faso-Africa")</f>
        <v>Burkina Faso-Africa</v>
      </c>
      <c r="Z384" s="14" t="str">
        <f>IFERROR(__xludf.DUMMYFUNCTION("""COMPUTED_VALUE"""),"Africa")</f>
        <v>Africa</v>
      </c>
      <c r="AA384" s="14" t="str">
        <f>IFERROR(__xludf.DUMMYFUNCTION("""COMPUTED_VALUE"""),"2005")</f>
        <v>2005</v>
      </c>
      <c r="AB384" s="15" t="str">
        <f>IFERROR(__xludf.DUMMYFUNCTION("ARRAYFORMULA(VLOOKUP(A384,IMPORTRANGE(""https://docs.google.com/spreadsheets/d/1BuTWp7qHGjWhqrnf-OmePP568O4A5Am9ttzvVdP67zw/edit#gid=1931367683"" ,""ENERGY!$A$2:$F$2692""), {2,3,4,5,6},0))"),"Africa")</f>
        <v>Africa</v>
      </c>
      <c r="AC384" s="14" t="str">
        <f>IFERROR(__xludf.DUMMYFUNCTION("""COMPUTED_VALUE"""),"Burkina Faso-Africa")</f>
        <v>Burkina Faso-Africa</v>
      </c>
      <c r="AD384" s="14" t="str">
        <f>IFERROR(__xludf.DUMMYFUNCTION("""COMPUTED_VALUE"""),"2006")</f>
        <v>2006</v>
      </c>
      <c r="AE384" s="14"/>
      <c r="AF384" s="14">
        <f>IFERROR(__xludf.DUMMYFUNCTION("""COMPUTED_VALUE"""),1646.0)</f>
        <v>1646</v>
      </c>
    </row>
    <row r="385">
      <c r="A385" s="12">
        <v>384.0</v>
      </c>
      <c r="B385" s="12" t="s">
        <v>108</v>
      </c>
      <c r="C385" s="5" t="s">
        <v>77</v>
      </c>
      <c r="D385" s="11">
        <v>0.476</v>
      </c>
      <c r="E385" s="11">
        <v>34.0</v>
      </c>
      <c r="F385" s="8"/>
      <c r="G385" s="11">
        <v>270.0</v>
      </c>
      <c r="H385" s="11">
        <v>0.006</v>
      </c>
      <c r="I385" s="11">
        <v>0.074</v>
      </c>
      <c r="J385" s="9" t="s">
        <v>67</v>
      </c>
      <c r="K385" s="14" t="str">
        <f>IFERROR(__xludf.DUMMYFUNCTION("ARRAYFORMULA(VLOOKUP(A385,IMPORTRANGE(""https://docs.google.com/spreadsheets/d/1BuTWp7qHGjWhqrnf-OmePP568O4A5Am9ttzvVdP67zw/edit#gid=1603210130"", ""TOURISM!$A$2:$F$2692""), {2,3,4,5,6},0))"),"Africa")</f>
        <v>Africa</v>
      </c>
      <c r="L385" s="14">
        <f>IFERROR(__xludf.DUMMYFUNCTION("""COMPUTED_VALUE"""),5.5E7)</f>
        <v>55000000</v>
      </c>
      <c r="M385" s="14" t="str">
        <f>IFERROR(__xludf.DUMMYFUNCTION("""COMPUTED_VALUE"""),"Burkina Faso-Africa")</f>
        <v>Burkina Faso-Africa</v>
      </c>
      <c r="N385" s="14" t="str">
        <f>IFERROR(__xludf.DUMMYFUNCTION("""COMPUTED_VALUE"""),"2006")</f>
        <v>2006</v>
      </c>
      <c r="O385" s="14">
        <f>IFERROR(__xludf.DUMMYFUNCTION("""COMPUTED_VALUE"""),8.4E7)</f>
        <v>84000000</v>
      </c>
      <c r="P385" s="15">
        <f>IFERROR(__xludf.DUMMYFUNCTION("ARRAYFORMULA(VLOOKUP(A385,IMPORTRANGE(""https://docs.google.com/spreadsheets/d/1BuTWp7qHGjWhqrnf-OmePP568O4A5Am9ttzvVdP67zw/edit#gid=771602874"" ,""HUMAN RESOURCES!$A$2:$M$2692""), {2,3,4,5,6,7,8,9,10,11,12,13},0))"),0.044)</f>
        <v>0.044</v>
      </c>
      <c r="Q385" s="14">
        <f>IFERROR(__xludf.DUMMYFUNCTION("""COMPUTED_VALUE"""),0.083)</f>
        <v>0.083</v>
      </c>
      <c r="R385" s="14">
        <f>IFERROR(__xludf.DUMMYFUNCTION("""COMPUTED_VALUE"""),54.0)</f>
        <v>54</v>
      </c>
      <c r="S385" s="14">
        <f>IFERROR(__xludf.DUMMYFUNCTION("""COMPUTED_VALUE"""),52.0)</f>
        <v>52</v>
      </c>
      <c r="T385" s="14">
        <f>IFERROR(__xludf.DUMMYFUNCTION("""COMPUTED_VALUE"""),0.464)</f>
        <v>0.464</v>
      </c>
      <c r="U385" s="14">
        <f>IFERROR(__xludf.DUMMYFUNCTION("""COMPUTED_VALUE"""),0.51)</f>
        <v>0.51</v>
      </c>
      <c r="V385" s="14">
        <f>IFERROR(__xludf.DUMMYFUNCTION("""COMPUTED_VALUE"""),0.025)</f>
        <v>0.025</v>
      </c>
      <c r="W385" s="14">
        <f>IFERROR(__xludf.DUMMYFUNCTION("""COMPUTED_VALUE"""),1.3822257E7)</f>
        <v>13822257</v>
      </c>
      <c r="X385" s="14">
        <f>IFERROR(__xludf.DUMMYFUNCTION("""COMPUTED_VALUE"""),0.223)</f>
        <v>0.223</v>
      </c>
      <c r="Y385" s="14" t="str">
        <f>IFERROR(__xludf.DUMMYFUNCTION("""COMPUTED_VALUE"""),"Burkina Faso-Africa")</f>
        <v>Burkina Faso-Africa</v>
      </c>
      <c r="Z385" s="14" t="str">
        <f>IFERROR(__xludf.DUMMYFUNCTION("""COMPUTED_VALUE"""),"Africa")</f>
        <v>Africa</v>
      </c>
      <c r="AA385" s="14" t="str">
        <f>IFERROR(__xludf.DUMMYFUNCTION("""COMPUTED_VALUE"""),"2006")</f>
        <v>2006</v>
      </c>
      <c r="AB385" s="15" t="str">
        <f>IFERROR(__xludf.DUMMYFUNCTION("ARRAYFORMULA(VLOOKUP(A385,IMPORTRANGE(""https://docs.google.com/spreadsheets/d/1BuTWp7qHGjWhqrnf-OmePP568O4A5Am9ttzvVdP67zw/edit#gid=1931367683"" ,""ENERGY!$A$2:$F$2692""), {2,3,4,5,6},0))"),"Africa")</f>
        <v>Africa</v>
      </c>
      <c r="AC385" s="14" t="str">
        <f>IFERROR(__xludf.DUMMYFUNCTION("""COMPUTED_VALUE"""),"Burkina Faso-Africa")</f>
        <v>Burkina Faso-Africa</v>
      </c>
      <c r="AD385" s="14" t="str">
        <f>IFERROR(__xludf.DUMMYFUNCTION("""COMPUTED_VALUE"""),"2010")</f>
        <v>2010</v>
      </c>
      <c r="AE385" s="14"/>
      <c r="AF385" s="14">
        <f>IFERROR(__xludf.DUMMYFUNCTION("""COMPUTED_VALUE"""),1360.0)</f>
        <v>1360</v>
      </c>
    </row>
    <row r="386">
      <c r="A386" s="12">
        <v>385.0</v>
      </c>
      <c r="B386" s="12" t="s">
        <v>108</v>
      </c>
      <c r="C386" s="5" t="s">
        <v>77</v>
      </c>
      <c r="D386" s="11">
        <v>0.476</v>
      </c>
      <c r="E386" s="11">
        <v>18.0</v>
      </c>
      <c r="F386" s="8"/>
      <c r="G386" s="11">
        <v>270.0</v>
      </c>
      <c r="H386" s="11">
        <v>0.008</v>
      </c>
      <c r="I386" s="11">
        <v>0.131</v>
      </c>
      <c r="J386" s="9" t="s">
        <v>68</v>
      </c>
      <c r="K386" s="14" t="str">
        <f>IFERROR(__xludf.DUMMYFUNCTION("ARRAYFORMULA(VLOOKUP(A386,IMPORTRANGE(""https://docs.google.com/spreadsheets/d/1BuTWp7qHGjWhqrnf-OmePP568O4A5Am9ttzvVdP67zw/edit#gid=1603210130"", ""TOURISM!$A$2:$F$2692""), {2,3,4,5,6},0))"),"Africa")</f>
        <v>Africa</v>
      </c>
      <c r="L386" s="14">
        <f>IFERROR(__xludf.DUMMYFUNCTION("""COMPUTED_VALUE"""),6.1E7)</f>
        <v>61000000</v>
      </c>
      <c r="M386" s="14" t="str">
        <f>IFERROR(__xludf.DUMMYFUNCTION("""COMPUTED_VALUE"""),"Burkina Faso-Africa")</f>
        <v>Burkina Faso-Africa</v>
      </c>
      <c r="N386" s="14" t="str">
        <f>IFERROR(__xludf.DUMMYFUNCTION("""COMPUTED_VALUE"""),"2007")</f>
        <v>2007</v>
      </c>
      <c r="O386" s="14">
        <f>IFERROR(__xludf.DUMMYFUNCTION("""COMPUTED_VALUE"""),9.3E7)</f>
        <v>93000000</v>
      </c>
      <c r="P386" s="15">
        <f>IFERROR(__xludf.DUMMYFUNCTION("ARRAYFORMULA(VLOOKUP(A386,IMPORTRANGE(""https://docs.google.com/spreadsheets/d/1BuTWp7qHGjWhqrnf-OmePP568O4A5Am9ttzvVdP67zw/edit#gid=771602874"" ,""HUMAN RESOURCES!$A$2:$M$2692""), {2,3,4,5,6,7,8,9,10,11,12,13},0))"),0.044)</f>
        <v>0.044</v>
      </c>
      <c r="Q386" s="14">
        <f>IFERROR(__xludf.DUMMYFUNCTION("""COMPUTED_VALUE"""),0.079)</f>
        <v>0.079</v>
      </c>
      <c r="R386" s="14">
        <f>IFERROR(__xludf.DUMMYFUNCTION("""COMPUTED_VALUE"""),54.0)</f>
        <v>54</v>
      </c>
      <c r="S386" s="14">
        <f>IFERROR(__xludf.DUMMYFUNCTION("""COMPUTED_VALUE"""),53.0)</f>
        <v>53</v>
      </c>
      <c r="T386" s="14">
        <f>IFERROR(__xludf.DUMMYFUNCTION("""COMPUTED_VALUE"""),0.463)</f>
        <v>0.463</v>
      </c>
      <c r="U386" s="14">
        <f>IFERROR(__xludf.DUMMYFUNCTION("""COMPUTED_VALUE"""),0.511)</f>
        <v>0.511</v>
      </c>
      <c r="V386" s="14">
        <f>IFERROR(__xludf.DUMMYFUNCTION("""COMPUTED_VALUE"""),0.025)</f>
        <v>0.025</v>
      </c>
      <c r="W386" s="14">
        <f>IFERROR(__xludf.DUMMYFUNCTION("""COMPUTED_VALUE"""),1.4235075E7)</f>
        <v>14235075</v>
      </c>
      <c r="X386" s="14">
        <f>IFERROR(__xludf.DUMMYFUNCTION("""COMPUTED_VALUE"""),0.232)</f>
        <v>0.232</v>
      </c>
      <c r="Y386" s="14" t="str">
        <f>IFERROR(__xludf.DUMMYFUNCTION("""COMPUTED_VALUE"""),"Burkina Faso-Africa")</f>
        <v>Burkina Faso-Africa</v>
      </c>
      <c r="Z386" s="14" t="str">
        <f>IFERROR(__xludf.DUMMYFUNCTION("""COMPUTED_VALUE"""),"Africa")</f>
        <v>Africa</v>
      </c>
      <c r="AA386" s="14" t="str">
        <f>IFERROR(__xludf.DUMMYFUNCTION("""COMPUTED_VALUE"""),"2007")</f>
        <v>2007</v>
      </c>
      <c r="AB386" s="15" t="str">
        <f>IFERROR(__xludf.DUMMYFUNCTION("ARRAYFORMULA(VLOOKUP(A386,IMPORTRANGE(""https://docs.google.com/spreadsheets/d/1BuTWp7qHGjWhqrnf-OmePP568O4A5Am9ttzvVdP67zw/edit#gid=1931367683"" ,""ENERGY!$A$2:$F$2692""), {2,3,4,5,6},0))"),"Africa")</f>
        <v>Africa</v>
      </c>
      <c r="AC386" s="14" t="str">
        <f>IFERROR(__xludf.DUMMYFUNCTION("""COMPUTED_VALUE"""),"Burkina Faso-Africa")</f>
        <v>Burkina Faso-Africa</v>
      </c>
      <c r="AD386" s="14" t="str">
        <f>IFERROR(__xludf.DUMMYFUNCTION("""COMPUTED_VALUE"""),"2006")</f>
        <v>2006</v>
      </c>
      <c r="AE386" s="14"/>
      <c r="AF386" s="14">
        <f>IFERROR(__xludf.DUMMYFUNCTION("""COMPUTED_VALUE"""),1126.0)</f>
        <v>1126</v>
      </c>
    </row>
    <row r="387">
      <c r="A387" s="12">
        <v>386.0</v>
      </c>
      <c r="B387" s="12" t="s">
        <v>108</v>
      </c>
      <c r="C387" s="5" t="s">
        <v>77</v>
      </c>
      <c r="D387" s="11">
        <v>0.445</v>
      </c>
      <c r="E387" s="11">
        <v>16.0</v>
      </c>
      <c r="F387" s="8"/>
      <c r="G387" s="11">
        <v>270.0</v>
      </c>
      <c r="H387" s="11">
        <v>0.009</v>
      </c>
      <c r="I387" s="11">
        <v>0.206</v>
      </c>
      <c r="J387" s="9" t="s">
        <v>69</v>
      </c>
      <c r="K387" s="14" t="str">
        <f>IFERROR(__xludf.DUMMYFUNCTION("ARRAYFORMULA(VLOOKUP(A387,IMPORTRANGE(""https://docs.google.com/spreadsheets/d/1BuTWp7qHGjWhqrnf-OmePP568O4A5Am9ttzvVdP67zw/edit#gid=1603210130"", ""TOURISM!$A$2:$F$2692""), {2,3,4,5,6},0))"),"Africa")</f>
        <v>Africa</v>
      </c>
      <c r="L387" s="14">
        <f>IFERROR(__xludf.DUMMYFUNCTION("""COMPUTED_VALUE"""),8.2E7)</f>
        <v>82000000</v>
      </c>
      <c r="M387" s="14" t="str">
        <f>IFERROR(__xludf.DUMMYFUNCTION("""COMPUTED_VALUE"""),"Burkina Faso-Africa")</f>
        <v>Burkina Faso-Africa</v>
      </c>
      <c r="N387" s="14" t="str">
        <f>IFERROR(__xludf.DUMMYFUNCTION("""COMPUTED_VALUE"""),"2008")</f>
        <v>2008</v>
      </c>
      <c r="O387" s="14">
        <f>IFERROR(__xludf.DUMMYFUNCTION("""COMPUTED_VALUE"""),1.1E8)</f>
        <v>110000000</v>
      </c>
      <c r="P387" s="15">
        <f>IFERROR(__xludf.DUMMYFUNCTION("ARRAYFORMULA(VLOOKUP(A387,IMPORTRANGE(""https://docs.google.com/spreadsheets/d/1BuTWp7qHGjWhqrnf-OmePP568O4A5Am9ttzvVdP67zw/edit#gid=771602874"" ,""HUMAN RESOURCES!$A$2:$M$2692""), {2,3,4,5,6,7,8,9,10,11,12,13},0))"),0.044)</f>
        <v>0.044</v>
      </c>
      <c r="Q387" s="14">
        <f>IFERROR(__xludf.DUMMYFUNCTION("""COMPUTED_VALUE"""),0.076)</f>
        <v>0.076</v>
      </c>
      <c r="R387" s="14">
        <f>IFERROR(__xludf.DUMMYFUNCTION("""COMPUTED_VALUE"""),55.0)</f>
        <v>55</v>
      </c>
      <c r="S387" s="14">
        <f>IFERROR(__xludf.DUMMYFUNCTION("""COMPUTED_VALUE"""),54.0)</f>
        <v>54</v>
      </c>
      <c r="T387" s="14">
        <f>IFERROR(__xludf.DUMMYFUNCTION("""COMPUTED_VALUE"""),0.462)</f>
        <v>0.462</v>
      </c>
      <c r="U387" s="14">
        <f>IFERROR(__xludf.DUMMYFUNCTION("""COMPUTED_VALUE"""),0.512)</f>
        <v>0.512</v>
      </c>
      <c r="V387" s="14">
        <f>IFERROR(__xludf.DUMMYFUNCTION("""COMPUTED_VALUE"""),0.025)</f>
        <v>0.025</v>
      </c>
      <c r="W387" s="14">
        <f>IFERROR(__xludf.DUMMYFUNCTION("""COMPUTED_VALUE"""),1.4659646E7)</f>
        <v>14659646</v>
      </c>
      <c r="X387" s="14">
        <f>IFERROR(__xludf.DUMMYFUNCTION("""COMPUTED_VALUE"""),0.24)</f>
        <v>0.24</v>
      </c>
      <c r="Y387" s="14" t="str">
        <f>IFERROR(__xludf.DUMMYFUNCTION("""COMPUTED_VALUE"""),"Burkina Faso-Africa")</f>
        <v>Burkina Faso-Africa</v>
      </c>
      <c r="Z387" s="14" t="str">
        <f>IFERROR(__xludf.DUMMYFUNCTION("""COMPUTED_VALUE"""),"Africa")</f>
        <v>Africa</v>
      </c>
      <c r="AA387" s="14" t="str">
        <f>IFERROR(__xludf.DUMMYFUNCTION("""COMPUTED_VALUE"""),"2008")</f>
        <v>2008</v>
      </c>
      <c r="AB387" s="15" t="str">
        <f>IFERROR(__xludf.DUMMYFUNCTION("ARRAYFORMULA(VLOOKUP(A387,IMPORTRANGE(""https://docs.google.com/spreadsheets/d/1BuTWp7qHGjWhqrnf-OmePP568O4A5Am9ttzvVdP67zw/edit#gid=1931367683"" ,""ENERGY!$A$2:$F$2692""), {2,3,4,5,6},0))"),"Africa")</f>
        <v>Africa</v>
      </c>
      <c r="AC387" s="14" t="str">
        <f>IFERROR(__xludf.DUMMYFUNCTION("""COMPUTED_VALUE"""),"Burkina Faso-Africa")</f>
        <v>Burkina Faso-Africa</v>
      </c>
      <c r="AD387" s="14" t="str">
        <f>IFERROR(__xludf.DUMMYFUNCTION("""COMPUTED_VALUE"""),"2012")</f>
        <v>2012</v>
      </c>
      <c r="AE387" s="14"/>
      <c r="AF387" s="14">
        <f>IFERROR(__xludf.DUMMYFUNCTION("""COMPUTED_VALUE"""),1104.0)</f>
        <v>1104</v>
      </c>
    </row>
    <row r="388">
      <c r="A388" s="12">
        <v>387.0</v>
      </c>
      <c r="B388" s="12" t="s">
        <v>108</v>
      </c>
      <c r="C388" s="5" t="s">
        <v>77</v>
      </c>
      <c r="D388" s="11">
        <v>0.449</v>
      </c>
      <c r="E388" s="11">
        <v>14.0</v>
      </c>
      <c r="F388" s="8"/>
      <c r="G388" s="11">
        <v>270.0</v>
      </c>
      <c r="H388" s="11">
        <v>0.011</v>
      </c>
      <c r="I388" s="11">
        <v>0.253</v>
      </c>
      <c r="J388" s="9" t="s">
        <v>70</v>
      </c>
      <c r="K388" s="14" t="str">
        <f>IFERROR(__xludf.DUMMYFUNCTION("ARRAYFORMULA(VLOOKUP(A388,IMPORTRANGE(""https://docs.google.com/spreadsheets/d/1BuTWp7qHGjWhqrnf-OmePP568O4A5Am9ttzvVdP67zw/edit#gid=1603210130"", ""TOURISM!$A$2:$F$2692""), {2,3,4,5,6},0))"),"Africa")</f>
        <v>Africa</v>
      </c>
      <c r="L388" s="14">
        <f>IFERROR(__xludf.DUMMYFUNCTION("""COMPUTED_VALUE"""),9.9E7)</f>
        <v>99000000</v>
      </c>
      <c r="M388" s="14" t="str">
        <f>IFERROR(__xludf.DUMMYFUNCTION("""COMPUTED_VALUE"""),"Burkina Faso-Africa")</f>
        <v>Burkina Faso-Africa</v>
      </c>
      <c r="N388" s="14" t="str">
        <f>IFERROR(__xludf.DUMMYFUNCTION("""COMPUTED_VALUE"""),"2009")</f>
        <v>2009</v>
      </c>
      <c r="O388" s="14">
        <f>IFERROR(__xludf.DUMMYFUNCTION("""COMPUTED_VALUE"""),1.11E8)</f>
        <v>111000000</v>
      </c>
      <c r="P388" s="15">
        <f>IFERROR(__xludf.DUMMYFUNCTION("ARRAYFORMULA(VLOOKUP(A388,IMPORTRANGE(""https://docs.google.com/spreadsheets/d/1BuTWp7qHGjWhqrnf-OmePP568O4A5Am9ttzvVdP67zw/edit#gid=771602874"" ,""HUMAN RESOURCES!$A$2:$M$2692""), {2,3,4,5,6,7,8,9,10,11,12,13},0))"),0.043)</f>
        <v>0.043</v>
      </c>
      <c r="Q388" s="14">
        <f>IFERROR(__xludf.DUMMYFUNCTION("""COMPUTED_VALUE"""),0.073)</f>
        <v>0.073</v>
      </c>
      <c r="R388" s="14">
        <f>IFERROR(__xludf.DUMMYFUNCTION("""COMPUTED_VALUE"""),55.0)</f>
        <v>55</v>
      </c>
      <c r="S388" s="14">
        <f>IFERROR(__xludf.DUMMYFUNCTION("""COMPUTED_VALUE"""),54.0)</f>
        <v>54</v>
      </c>
      <c r="T388" s="14">
        <f>IFERROR(__xludf.DUMMYFUNCTION("""COMPUTED_VALUE"""),0.461)</f>
        <v>0.461</v>
      </c>
      <c r="U388" s="14">
        <f>IFERROR(__xludf.DUMMYFUNCTION("""COMPUTED_VALUE"""),0.514)</f>
        <v>0.514</v>
      </c>
      <c r="V388" s="14">
        <f>IFERROR(__xludf.DUMMYFUNCTION("""COMPUTED_VALUE"""),0.025)</f>
        <v>0.025</v>
      </c>
      <c r="W388" s="14">
        <f>IFERROR(__xludf.DUMMYFUNCTION("""COMPUTED_VALUE"""),1.5094967E7)</f>
        <v>15094967</v>
      </c>
      <c r="X388" s="14">
        <f>IFERROR(__xludf.DUMMYFUNCTION("""COMPUTED_VALUE"""),0.248)</f>
        <v>0.248</v>
      </c>
      <c r="Y388" s="14" t="str">
        <f>IFERROR(__xludf.DUMMYFUNCTION("""COMPUTED_VALUE"""),"Burkina Faso-Africa")</f>
        <v>Burkina Faso-Africa</v>
      </c>
      <c r="Z388" s="14" t="str">
        <f>IFERROR(__xludf.DUMMYFUNCTION("""COMPUTED_VALUE"""),"Africa")</f>
        <v>Africa</v>
      </c>
      <c r="AA388" s="14" t="str">
        <f>IFERROR(__xludf.DUMMYFUNCTION("""COMPUTED_VALUE"""),"2009")</f>
        <v>2009</v>
      </c>
      <c r="AB388" s="15" t="str">
        <f>IFERROR(__xludf.DUMMYFUNCTION("ARRAYFORMULA(VLOOKUP(A388,IMPORTRANGE(""https://docs.google.com/spreadsheets/d/1BuTWp7qHGjWhqrnf-OmePP568O4A5Am9ttzvVdP67zw/edit#gid=1931367683"" ,""ENERGY!$A$2:$F$2692""), {2,3,4,5,6},0))"),"Africa")</f>
        <v>Africa</v>
      </c>
      <c r="AC388" s="14" t="str">
        <f>IFERROR(__xludf.DUMMYFUNCTION("""COMPUTED_VALUE"""),"Burkina Faso-Africa")</f>
        <v>Burkina Faso-Africa</v>
      </c>
      <c r="AD388" s="14" t="str">
        <f>IFERROR(__xludf.DUMMYFUNCTION("""COMPUTED_VALUE"""),"2009")</f>
        <v>2009</v>
      </c>
      <c r="AE388" s="14"/>
      <c r="AF388" s="14">
        <f>IFERROR(__xludf.DUMMYFUNCTION("""COMPUTED_VALUE"""),1078.0)</f>
        <v>1078</v>
      </c>
    </row>
    <row r="389">
      <c r="A389" s="12">
        <v>388.0</v>
      </c>
      <c r="B389" s="12" t="s">
        <v>108</v>
      </c>
      <c r="C389" s="5" t="s">
        <v>77</v>
      </c>
      <c r="D389" s="11">
        <v>0.448</v>
      </c>
      <c r="E389" s="11">
        <v>14.0</v>
      </c>
      <c r="F389" s="8"/>
      <c r="G389" s="11">
        <v>270.0</v>
      </c>
      <c r="H389" s="11">
        <v>0.024</v>
      </c>
      <c r="I389" s="11">
        <v>0.367</v>
      </c>
      <c r="J389" s="9" t="s">
        <v>71</v>
      </c>
      <c r="K389" s="14" t="str">
        <f>IFERROR(__xludf.DUMMYFUNCTION("ARRAYFORMULA(VLOOKUP(A389,IMPORTRANGE(""https://docs.google.com/spreadsheets/d/1BuTWp7qHGjWhqrnf-OmePP568O4A5Am9ttzvVdP67zw/edit#gid=1603210130"", ""TOURISM!$A$2:$F$2692""), {2,3,4,5,6},0))"),"Africa")</f>
        <v>Africa</v>
      </c>
      <c r="L389" s="14">
        <f>IFERROR(__xludf.DUMMYFUNCTION("""COMPUTED_VALUE"""),1.05E8)</f>
        <v>105000000</v>
      </c>
      <c r="M389" s="14" t="str">
        <f>IFERROR(__xludf.DUMMYFUNCTION("""COMPUTED_VALUE"""),"Burkina Faso-Africa")</f>
        <v>Burkina Faso-Africa</v>
      </c>
      <c r="N389" s="14" t="str">
        <f>IFERROR(__xludf.DUMMYFUNCTION("""COMPUTED_VALUE"""),"2010")</f>
        <v>2010</v>
      </c>
      <c r="O389" s="14">
        <f>IFERROR(__xludf.DUMMYFUNCTION("""COMPUTED_VALUE"""),1.1E8)</f>
        <v>110000000</v>
      </c>
      <c r="P389" s="15">
        <f>IFERROR(__xludf.DUMMYFUNCTION("ARRAYFORMULA(VLOOKUP(A389,IMPORTRANGE(""https://docs.google.com/spreadsheets/d/1BuTWp7qHGjWhqrnf-OmePP568O4A5Am9ttzvVdP67zw/edit#gid=771602874"" ,""HUMAN RESOURCES!$A$2:$M$2692""), {2,3,4,5,6,7,8,9,10,11,12,13},0))"),0.043)</f>
        <v>0.043</v>
      </c>
      <c r="Q389" s="14">
        <f>IFERROR(__xludf.DUMMYFUNCTION("""COMPUTED_VALUE"""),0.07)</f>
        <v>0.07</v>
      </c>
      <c r="R389" s="14">
        <f>IFERROR(__xludf.DUMMYFUNCTION("""COMPUTED_VALUE"""),56.0)</f>
        <v>56</v>
      </c>
      <c r="S389" s="14">
        <f>IFERROR(__xludf.DUMMYFUNCTION("""COMPUTED_VALUE"""),54.0)</f>
        <v>54</v>
      </c>
      <c r="T389" s="14">
        <f>IFERROR(__xludf.DUMMYFUNCTION("""COMPUTED_VALUE"""),0.46)</f>
        <v>0.46</v>
      </c>
      <c r="U389" s="14">
        <f>IFERROR(__xludf.DUMMYFUNCTION("""COMPUTED_VALUE"""),0.515)</f>
        <v>0.515</v>
      </c>
      <c r="V389" s="14">
        <f>IFERROR(__xludf.DUMMYFUNCTION("""COMPUTED_VALUE"""),0.025)</f>
        <v>0.025</v>
      </c>
      <c r="W389" s="14">
        <f>IFERROR(__xludf.DUMMYFUNCTION("""COMPUTED_VALUE"""),1.5540284E7)</f>
        <v>15540284</v>
      </c>
      <c r="X389" s="14">
        <f>IFERROR(__xludf.DUMMYFUNCTION("""COMPUTED_VALUE"""),0.257)</f>
        <v>0.257</v>
      </c>
      <c r="Y389" s="14" t="str">
        <f>IFERROR(__xludf.DUMMYFUNCTION("""COMPUTED_VALUE"""),"Burkina Faso-Africa")</f>
        <v>Burkina Faso-Africa</v>
      </c>
      <c r="Z389" s="14" t="str">
        <f>IFERROR(__xludf.DUMMYFUNCTION("""COMPUTED_VALUE"""),"Africa")</f>
        <v>Africa</v>
      </c>
      <c r="AA389" s="14" t="str">
        <f>IFERROR(__xludf.DUMMYFUNCTION("""COMPUTED_VALUE"""),"2010")</f>
        <v>2010</v>
      </c>
      <c r="AB389" s="15" t="str">
        <f>IFERROR(__xludf.DUMMYFUNCTION("ARRAYFORMULA(VLOOKUP(A389,IMPORTRANGE(""https://docs.google.com/spreadsheets/d/1BuTWp7qHGjWhqrnf-OmePP568O4A5Am9ttzvVdP67zw/edit#gid=1931367683"" ,""ENERGY!$A$2:$F$2692""), {2,3,4,5,6},0))"),"Africa")</f>
        <v>Africa</v>
      </c>
      <c r="AC389" s="14" t="str">
        <f>IFERROR(__xludf.DUMMYFUNCTION("""COMPUTED_VALUE"""),"Burkina Faso-Africa")</f>
        <v>Burkina Faso-Africa</v>
      </c>
      <c r="AD389" s="14" t="str">
        <f>IFERROR(__xludf.DUMMYFUNCTION("""COMPUTED_VALUE"""),"2006")</f>
        <v>2006</v>
      </c>
      <c r="AE389" s="14"/>
      <c r="AF389" s="14">
        <f>IFERROR(__xludf.DUMMYFUNCTION("""COMPUTED_VALUE"""),1005.0)</f>
        <v>1005</v>
      </c>
    </row>
    <row r="390">
      <c r="A390" s="12">
        <v>389.0</v>
      </c>
      <c r="B390" s="12" t="s">
        <v>108</v>
      </c>
      <c r="C390" s="5" t="s">
        <v>77</v>
      </c>
      <c r="D390" s="11">
        <v>0.435</v>
      </c>
      <c r="E390" s="11">
        <v>13.0</v>
      </c>
      <c r="F390" s="8"/>
      <c r="G390" s="11">
        <v>270.0</v>
      </c>
      <c r="H390" s="11">
        <v>0.03</v>
      </c>
      <c r="I390" s="11">
        <v>0.48</v>
      </c>
      <c r="J390" s="9" t="s">
        <v>72</v>
      </c>
      <c r="K390" s="14" t="str">
        <f>IFERROR(__xludf.DUMMYFUNCTION("ARRAYFORMULA(VLOOKUP(A390,IMPORTRANGE(""https://docs.google.com/spreadsheets/d/1BuTWp7qHGjWhqrnf-OmePP568O4A5Am9ttzvVdP67zw/edit#gid=1603210130"", ""TOURISM!$A$2:$F$2692""), {2,3,4,5,6},0))"),"Africa")</f>
        <v>Africa</v>
      </c>
      <c r="L390" s="14"/>
      <c r="M390" s="14" t="str">
        <f>IFERROR(__xludf.DUMMYFUNCTION("""COMPUTED_VALUE"""),"Burkina Faso-Africa")</f>
        <v>Burkina Faso-Africa</v>
      </c>
      <c r="N390" s="14" t="str">
        <f>IFERROR(__xludf.DUMMYFUNCTION("""COMPUTED_VALUE"""),"2011")</f>
        <v>2011</v>
      </c>
      <c r="O390" s="14"/>
      <c r="P390" s="15">
        <f>IFERROR(__xludf.DUMMYFUNCTION("ARRAYFORMULA(VLOOKUP(A390,IMPORTRANGE(""https://docs.google.com/spreadsheets/d/1BuTWp7qHGjWhqrnf-OmePP568O4A5Am9ttzvVdP67zw/edit#gid=771602874"" ,""HUMAN RESOURCES!$A$2:$M$2692""), {2,3,4,5,6,7,8,9,10,11,12,13},0))"),0.042)</f>
        <v>0.042</v>
      </c>
      <c r="Q390" s="14">
        <f>IFERROR(__xludf.DUMMYFUNCTION("""COMPUTED_VALUE"""),0.068)</f>
        <v>0.068</v>
      </c>
      <c r="R390" s="14">
        <f>IFERROR(__xludf.DUMMYFUNCTION("""COMPUTED_VALUE"""),56.0)</f>
        <v>56</v>
      </c>
      <c r="S390" s="14">
        <f>IFERROR(__xludf.DUMMYFUNCTION("""COMPUTED_VALUE"""),55.0)</f>
        <v>55</v>
      </c>
      <c r="T390" s="14">
        <f>IFERROR(__xludf.DUMMYFUNCTION("""COMPUTED_VALUE"""),0.458)</f>
        <v>0.458</v>
      </c>
      <c r="U390" s="14">
        <f>IFERROR(__xludf.DUMMYFUNCTION("""COMPUTED_VALUE"""),0.517)</f>
        <v>0.517</v>
      </c>
      <c r="V390" s="14">
        <f>IFERROR(__xludf.DUMMYFUNCTION("""COMPUTED_VALUE"""),0.025)</f>
        <v>0.025</v>
      </c>
      <c r="W390" s="14">
        <f>IFERROR(__xludf.DUMMYFUNCTION("""COMPUTED_VALUE"""),1.5995313E7)</f>
        <v>15995313</v>
      </c>
      <c r="X390" s="14">
        <f>IFERROR(__xludf.DUMMYFUNCTION("""COMPUTED_VALUE"""),0.265)</f>
        <v>0.265</v>
      </c>
      <c r="Y390" s="14" t="str">
        <f>IFERROR(__xludf.DUMMYFUNCTION("""COMPUTED_VALUE"""),"Burkina Faso-Africa")</f>
        <v>Burkina Faso-Africa</v>
      </c>
      <c r="Z390" s="14" t="str">
        <f>IFERROR(__xludf.DUMMYFUNCTION("""COMPUTED_VALUE"""),"Africa")</f>
        <v>Africa</v>
      </c>
      <c r="AA390" s="14" t="str">
        <f>IFERROR(__xludf.DUMMYFUNCTION("""COMPUTED_VALUE"""),"2011")</f>
        <v>2011</v>
      </c>
      <c r="AB390" s="15" t="str">
        <f>IFERROR(__xludf.DUMMYFUNCTION("ARRAYFORMULA(VLOOKUP(A390,IMPORTRANGE(""https://docs.google.com/spreadsheets/d/1BuTWp7qHGjWhqrnf-OmePP568O4A5Am9ttzvVdP67zw/edit#gid=1931367683"" ,""ENERGY!$A$2:$F$2692""), {2,3,4,5,6},0))"),"Africa")</f>
        <v>Africa</v>
      </c>
      <c r="AC390" s="14" t="str">
        <f>IFERROR(__xludf.DUMMYFUNCTION("""COMPUTED_VALUE"""),"Burkina Faso-Africa")</f>
        <v>Burkina Faso-Africa</v>
      </c>
      <c r="AD390" s="14" t="str">
        <f>IFERROR(__xludf.DUMMYFUNCTION("""COMPUTED_VALUE"""),"2004")</f>
        <v>2004</v>
      </c>
      <c r="AE390" s="14"/>
      <c r="AF390" s="14">
        <f>IFERROR(__xludf.DUMMYFUNCTION("""COMPUTED_VALUE"""),997.0)</f>
        <v>997</v>
      </c>
    </row>
    <row r="391">
      <c r="A391" s="12">
        <v>390.0</v>
      </c>
      <c r="B391" s="12" t="s">
        <v>108</v>
      </c>
      <c r="C391" s="5" t="s">
        <v>77</v>
      </c>
      <c r="D391" s="11">
        <v>0.435</v>
      </c>
      <c r="E391" s="11">
        <v>13.0</v>
      </c>
      <c r="F391" s="11">
        <v>154.0</v>
      </c>
      <c r="G391" s="11">
        <v>270.0</v>
      </c>
      <c r="H391" s="11">
        <v>0.037</v>
      </c>
      <c r="I391" s="11">
        <v>0.606</v>
      </c>
      <c r="J391" s="9" t="s">
        <v>73</v>
      </c>
      <c r="K391" s="14" t="str">
        <f>IFERROR(__xludf.DUMMYFUNCTION("ARRAYFORMULA(VLOOKUP(A391,IMPORTRANGE(""https://docs.google.com/spreadsheets/d/1BuTWp7qHGjWhqrnf-OmePP568O4A5Am9ttzvVdP67zw/edit#gid=1603210130"", ""TOURISM!$A$2:$F$2692""), {2,3,4,5,6},0))"),"Africa")</f>
        <v>Africa</v>
      </c>
      <c r="L391" s="14"/>
      <c r="M391" s="14" t="str">
        <f>IFERROR(__xludf.DUMMYFUNCTION("""COMPUTED_VALUE"""),"Burkina Faso-Africa")</f>
        <v>Burkina Faso-Africa</v>
      </c>
      <c r="N391" s="14" t="str">
        <f>IFERROR(__xludf.DUMMYFUNCTION("""COMPUTED_VALUE"""),"2012")</f>
        <v>2012</v>
      </c>
      <c r="O391" s="14"/>
      <c r="P391" s="15">
        <f>IFERROR(__xludf.DUMMYFUNCTION("ARRAYFORMULA(VLOOKUP(A391,IMPORTRANGE(""https://docs.google.com/spreadsheets/d/1BuTWp7qHGjWhqrnf-OmePP568O4A5Am9ttzvVdP67zw/edit#gid=771602874"" ,""HUMAN RESOURCES!$A$2:$M$2692""), {2,3,4,5,6,7,8,9,10,11,12,13},0))"),0.041)</f>
        <v>0.041</v>
      </c>
      <c r="Q391" s="14">
        <f>IFERROR(__xludf.DUMMYFUNCTION("""COMPUTED_VALUE"""),0.066)</f>
        <v>0.066</v>
      </c>
      <c r="R391" s="14">
        <f>IFERROR(__xludf.DUMMYFUNCTION("""COMPUTED_VALUE"""),56.0)</f>
        <v>56</v>
      </c>
      <c r="S391" s="14">
        <f>IFERROR(__xludf.DUMMYFUNCTION("""COMPUTED_VALUE"""),55.0)</f>
        <v>55</v>
      </c>
      <c r="T391" s="14">
        <f>IFERROR(__xludf.DUMMYFUNCTION("""COMPUTED_VALUE"""),0.457)</f>
        <v>0.457</v>
      </c>
      <c r="U391" s="14">
        <f>IFERROR(__xludf.DUMMYFUNCTION("""COMPUTED_VALUE"""),0.519)</f>
        <v>0.519</v>
      </c>
      <c r="V391" s="14">
        <f>IFERROR(__xludf.DUMMYFUNCTION("""COMPUTED_VALUE"""),0.024)</f>
        <v>0.024</v>
      </c>
      <c r="W391" s="14">
        <f>IFERROR(__xludf.DUMMYFUNCTION("""COMPUTED_VALUE"""),1.6460141E7)</f>
        <v>16460141</v>
      </c>
      <c r="X391" s="14">
        <f>IFERROR(__xludf.DUMMYFUNCTION("""COMPUTED_VALUE"""),0.273)</f>
        <v>0.273</v>
      </c>
      <c r="Y391" s="14" t="str">
        <f>IFERROR(__xludf.DUMMYFUNCTION("""COMPUTED_VALUE"""),"Burkina Faso-Africa")</f>
        <v>Burkina Faso-Africa</v>
      </c>
      <c r="Z391" s="14" t="str">
        <f>IFERROR(__xludf.DUMMYFUNCTION("""COMPUTED_VALUE"""),"Africa")</f>
        <v>Africa</v>
      </c>
      <c r="AA391" s="14" t="str">
        <f>IFERROR(__xludf.DUMMYFUNCTION("""COMPUTED_VALUE"""),"2012")</f>
        <v>2012</v>
      </c>
      <c r="AB391" s="15" t="str">
        <f>IFERROR(__xludf.DUMMYFUNCTION("ARRAYFORMULA(VLOOKUP(A391,IMPORTRANGE(""https://docs.google.com/spreadsheets/d/1BuTWp7qHGjWhqrnf-OmePP568O4A5Am9ttzvVdP67zw/edit#gid=1931367683"" ,""ENERGY!$A$2:$F$2692""), {2,3,4,5,6},0))"),"Africa")</f>
        <v>Africa</v>
      </c>
      <c r="AC391" s="14" t="str">
        <f>IFERROR(__xludf.DUMMYFUNCTION("""COMPUTED_VALUE"""),"Burkina Faso-Africa")</f>
        <v>Burkina Faso-Africa</v>
      </c>
      <c r="AD391" s="14" t="str">
        <f>IFERROR(__xludf.DUMMYFUNCTION("""COMPUTED_VALUE"""),"2008")</f>
        <v>2008</v>
      </c>
      <c r="AE391" s="14"/>
      <c r="AF391" s="14">
        <f>IFERROR(__xludf.DUMMYFUNCTION("""COMPUTED_VALUE"""),1041.0)</f>
        <v>1041</v>
      </c>
    </row>
    <row r="392">
      <c r="A392" s="12">
        <v>391.0</v>
      </c>
      <c r="B392" s="12" t="s">
        <v>109</v>
      </c>
      <c r="C392" s="5" t="s">
        <v>77</v>
      </c>
      <c r="D392" s="8"/>
      <c r="E392" s="8"/>
      <c r="F392" s="8"/>
      <c r="G392" s="8"/>
      <c r="H392" s="11">
        <v>0.001</v>
      </c>
      <c r="I392" s="11">
        <v>0.002</v>
      </c>
      <c r="J392" s="9" t="s">
        <v>60</v>
      </c>
      <c r="K392" s="14" t="str">
        <f>IFERROR(__xludf.DUMMYFUNCTION("ARRAYFORMULA(VLOOKUP(A392,IMPORTRANGE(""https://docs.google.com/spreadsheets/d/1BuTWp7qHGjWhqrnf-OmePP568O4A5Am9ttzvVdP67zw/edit#gid=1603210130"", ""TOURISM!$A$2:$F$2692""), {2,3,4,5,6},0))"),"Africa")</f>
        <v>Africa</v>
      </c>
      <c r="L392" s="14">
        <f>IFERROR(__xludf.DUMMYFUNCTION("""COMPUTED_VALUE"""),1400000.0)</f>
        <v>1400000</v>
      </c>
      <c r="M392" s="14" t="str">
        <f>IFERROR(__xludf.DUMMYFUNCTION("""COMPUTED_VALUE"""),"Burundi-Africa")</f>
        <v>Burundi-Africa</v>
      </c>
      <c r="N392" s="14" t="str">
        <f>IFERROR(__xludf.DUMMYFUNCTION("""COMPUTED_VALUE"""),"2000")</f>
        <v>2000</v>
      </c>
      <c r="O392" s="14">
        <f>IFERROR(__xludf.DUMMYFUNCTION("""COMPUTED_VALUE"""),1.4E7)</f>
        <v>14000000</v>
      </c>
      <c r="P392" s="15">
        <f>IFERROR(__xludf.DUMMYFUNCTION("ARRAYFORMULA(VLOOKUP(A392,IMPORTRANGE(""https://docs.google.com/spreadsheets/d/1BuTWp7qHGjWhqrnf-OmePP568O4A5Am9ttzvVdP67zw/edit#gid=771602874"" ,""HUMAN RESOURCES!$A$2:$M$2692""), {2,3,4,5,6,7,8,9,10,11,12,13},0))"),0.042)</f>
        <v>0.042</v>
      </c>
      <c r="Q392" s="14">
        <f>IFERROR(__xludf.DUMMYFUNCTION("""COMPUTED_VALUE"""),0.092)</f>
        <v>0.092</v>
      </c>
      <c r="R392" s="14">
        <f>IFERROR(__xludf.DUMMYFUNCTION("""COMPUTED_VALUE"""),49.0)</f>
        <v>49</v>
      </c>
      <c r="S392" s="14">
        <f>IFERROR(__xludf.DUMMYFUNCTION("""COMPUTED_VALUE"""),47.0)</f>
        <v>47</v>
      </c>
      <c r="T392" s="14">
        <f>IFERROR(__xludf.DUMMYFUNCTION("""COMPUTED_VALUE"""),0.49)</f>
        <v>0.49</v>
      </c>
      <c r="U392" s="14">
        <f>IFERROR(__xludf.DUMMYFUNCTION("""COMPUTED_VALUE"""),0.481)</f>
        <v>0.481</v>
      </c>
      <c r="V392" s="14">
        <f>IFERROR(__xludf.DUMMYFUNCTION("""COMPUTED_VALUE"""),0.029)</f>
        <v>0.029</v>
      </c>
      <c r="W392" s="14">
        <f>IFERROR(__xludf.DUMMYFUNCTION("""COMPUTED_VALUE"""),6674286.0)</f>
        <v>6674286</v>
      </c>
      <c r="X392" s="14">
        <f>IFERROR(__xludf.DUMMYFUNCTION("""COMPUTED_VALUE"""),0.082)</f>
        <v>0.082</v>
      </c>
      <c r="Y392" s="14" t="str">
        <f>IFERROR(__xludf.DUMMYFUNCTION("""COMPUTED_VALUE"""),"Burundi-Africa")</f>
        <v>Burundi-Africa</v>
      </c>
      <c r="Z392" s="14" t="str">
        <f>IFERROR(__xludf.DUMMYFUNCTION("""COMPUTED_VALUE"""),"Africa")</f>
        <v>Africa</v>
      </c>
      <c r="AA392" s="14" t="str">
        <f>IFERROR(__xludf.DUMMYFUNCTION("""COMPUTED_VALUE"""),"2000")</f>
        <v>2000</v>
      </c>
      <c r="AB392" s="15" t="str">
        <f>IFERROR(__xludf.DUMMYFUNCTION("ARRAYFORMULA(VLOOKUP(A392,IMPORTRANGE(""https://docs.google.com/spreadsheets/d/1BuTWp7qHGjWhqrnf-OmePP568O4A5Am9ttzvVdP67zw/edit#gid=1931367683"" ,""ENERGY!$A$2:$F$2692""), {2,3,4,5,6},0))"),"Africa")</f>
        <v>Africa</v>
      </c>
      <c r="AC392" s="14" t="str">
        <f>IFERROR(__xludf.DUMMYFUNCTION("""COMPUTED_VALUE"""),"Burundi-Africa")</f>
        <v>Burundi-Africa</v>
      </c>
      <c r="AD392" s="14" t="str">
        <f>IFERROR(__xludf.DUMMYFUNCTION("""COMPUTED_VALUE"""),"2000")</f>
        <v>2000</v>
      </c>
      <c r="AE392" s="14"/>
      <c r="AF392" s="14"/>
    </row>
    <row r="393">
      <c r="A393" s="12">
        <v>392.0</v>
      </c>
      <c r="B393" s="12" t="s">
        <v>109</v>
      </c>
      <c r="C393" s="5" t="s">
        <v>77</v>
      </c>
      <c r="D393" s="8"/>
      <c r="E393" s="8"/>
      <c r="F393" s="8"/>
      <c r="G393" s="8"/>
      <c r="H393" s="11">
        <v>0.001</v>
      </c>
      <c r="I393" s="11">
        <v>0.005</v>
      </c>
      <c r="J393" s="9" t="s">
        <v>62</v>
      </c>
      <c r="K393" s="14" t="str">
        <f>IFERROR(__xludf.DUMMYFUNCTION("ARRAYFORMULA(VLOOKUP(A393,IMPORTRANGE(""https://docs.google.com/spreadsheets/d/1BuTWp7qHGjWhqrnf-OmePP568O4A5Am9ttzvVdP67zw/edit#gid=1603210130"", ""TOURISM!$A$2:$F$2692""), {2,3,4,5,6},0))"),"Africa")</f>
        <v>Africa</v>
      </c>
      <c r="L393" s="14">
        <f>IFERROR(__xludf.DUMMYFUNCTION("""COMPUTED_VALUE"""),900000.0)</f>
        <v>900000</v>
      </c>
      <c r="M393" s="14" t="str">
        <f>IFERROR(__xludf.DUMMYFUNCTION("""COMPUTED_VALUE"""),"Burundi-Africa")</f>
        <v>Burundi-Africa</v>
      </c>
      <c r="N393" s="14" t="str">
        <f>IFERROR(__xludf.DUMMYFUNCTION("""COMPUTED_VALUE"""),"2001")</f>
        <v>2001</v>
      </c>
      <c r="O393" s="14">
        <f>IFERROR(__xludf.DUMMYFUNCTION("""COMPUTED_VALUE"""),1.2E7)</f>
        <v>12000000</v>
      </c>
      <c r="P393" s="15">
        <f>IFERROR(__xludf.DUMMYFUNCTION("ARRAYFORMULA(VLOOKUP(A393,IMPORTRANGE(""https://docs.google.com/spreadsheets/d/1BuTWp7qHGjWhqrnf-OmePP568O4A5Am9ttzvVdP67zw/edit#gid=771602874"" ,""HUMAN RESOURCES!$A$2:$M$2692""), {2,3,4,5,6,7,8,9,10,11,12,13},0))"),0.042)</f>
        <v>0.042</v>
      </c>
      <c r="Q393" s="14">
        <f>IFERROR(__xludf.DUMMYFUNCTION("""COMPUTED_VALUE"""),0.089)</f>
        <v>0.089</v>
      </c>
      <c r="R393" s="14">
        <f>IFERROR(__xludf.DUMMYFUNCTION("""COMPUTED_VALUE"""),50.0)</f>
        <v>50</v>
      </c>
      <c r="S393" s="14">
        <f>IFERROR(__xludf.DUMMYFUNCTION("""COMPUTED_VALUE"""),47.0)</f>
        <v>47</v>
      </c>
      <c r="T393" s="14">
        <f>IFERROR(__xludf.DUMMYFUNCTION("""COMPUTED_VALUE"""),0.484)</f>
        <v>0.484</v>
      </c>
      <c r="U393" s="14">
        <f>IFERROR(__xludf.DUMMYFUNCTION("""COMPUTED_VALUE"""),0.487)</f>
        <v>0.487</v>
      </c>
      <c r="V393" s="14">
        <f>IFERROR(__xludf.DUMMYFUNCTION("""COMPUTED_VALUE"""),0.029)</f>
        <v>0.029</v>
      </c>
      <c r="W393" s="14">
        <f>IFERROR(__xludf.DUMMYFUNCTION("""COMPUTED_VALUE"""),6839376.0)</f>
        <v>6839376</v>
      </c>
      <c r="X393" s="14">
        <f>IFERROR(__xludf.DUMMYFUNCTION("""COMPUTED_VALUE"""),0.085)</f>
        <v>0.085</v>
      </c>
      <c r="Y393" s="14" t="str">
        <f>IFERROR(__xludf.DUMMYFUNCTION("""COMPUTED_VALUE"""),"Burundi-Africa")</f>
        <v>Burundi-Africa</v>
      </c>
      <c r="Z393" s="14" t="str">
        <f>IFERROR(__xludf.DUMMYFUNCTION("""COMPUTED_VALUE"""),"Africa")</f>
        <v>Africa</v>
      </c>
      <c r="AA393" s="14" t="str">
        <f>IFERROR(__xludf.DUMMYFUNCTION("""COMPUTED_VALUE"""),"2001")</f>
        <v>2001</v>
      </c>
      <c r="AB393" s="15" t="str">
        <f>IFERROR(__xludf.DUMMYFUNCTION("ARRAYFORMULA(VLOOKUP(A393,IMPORTRANGE(""https://docs.google.com/spreadsheets/d/1BuTWp7qHGjWhqrnf-OmePP568O4A5Am9ttzvVdP67zw/edit#gid=1931367683"" ,""ENERGY!$A$2:$F$2692""), {2,3,4,5,6},0))"),"Africa")</f>
        <v>Africa</v>
      </c>
      <c r="AC393" s="14" t="str">
        <f>IFERROR(__xludf.DUMMYFUNCTION("""COMPUTED_VALUE"""),"Burundi-Africa")</f>
        <v>Burundi-Africa</v>
      </c>
      <c r="AD393" s="14" t="str">
        <f>IFERROR(__xludf.DUMMYFUNCTION("""COMPUTED_VALUE"""),"2001")</f>
        <v>2001</v>
      </c>
      <c r="AE393" s="14"/>
      <c r="AF393" s="14"/>
    </row>
    <row r="394">
      <c r="A394" s="12">
        <v>393.0</v>
      </c>
      <c r="B394" s="12" t="s">
        <v>109</v>
      </c>
      <c r="C394" s="5" t="s">
        <v>77</v>
      </c>
      <c r="D394" s="8"/>
      <c r="E394" s="8"/>
      <c r="F394" s="8"/>
      <c r="G394" s="8"/>
      <c r="H394" s="11">
        <v>0.001</v>
      </c>
      <c r="I394" s="11">
        <v>0.007</v>
      </c>
      <c r="J394" s="9" t="s">
        <v>63</v>
      </c>
      <c r="K394" s="14" t="str">
        <f>IFERROR(__xludf.DUMMYFUNCTION("ARRAYFORMULA(VLOOKUP(A394,IMPORTRANGE(""https://docs.google.com/spreadsheets/d/1BuTWp7qHGjWhqrnf-OmePP568O4A5Am9ttzvVdP67zw/edit#gid=1603210130"", ""TOURISM!$A$2:$F$2692""), {2,3,4,5,6},0))"),"Africa")</f>
        <v>Africa</v>
      </c>
      <c r="L394" s="14">
        <f>IFERROR(__xludf.DUMMYFUNCTION("""COMPUTED_VALUE"""),1600000.0)</f>
        <v>1600000</v>
      </c>
      <c r="M394" s="14" t="str">
        <f>IFERROR(__xludf.DUMMYFUNCTION("""COMPUTED_VALUE"""),"Burundi-Africa")</f>
        <v>Burundi-Africa</v>
      </c>
      <c r="N394" s="14" t="str">
        <f>IFERROR(__xludf.DUMMYFUNCTION("""COMPUTED_VALUE"""),"2002")</f>
        <v>2002</v>
      </c>
      <c r="O394" s="14">
        <f>IFERROR(__xludf.DUMMYFUNCTION("""COMPUTED_VALUE"""),1.4E7)</f>
        <v>14000000</v>
      </c>
      <c r="P394" s="15">
        <f>IFERROR(__xludf.DUMMYFUNCTION("ARRAYFORMULA(VLOOKUP(A394,IMPORTRANGE(""https://docs.google.com/spreadsheets/d/1BuTWp7qHGjWhqrnf-OmePP568O4A5Am9ttzvVdP67zw/edit#gid=771602874"" ,""HUMAN RESOURCES!$A$2:$M$2692""), {2,3,4,5,6,7,8,9,10,11,12,13},0))"),0.043)</f>
        <v>0.043</v>
      </c>
      <c r="Q394" s="14">
        <f>IFERROR(__xludf.DUMMYFUNCTION("""COMPUTED_VALUE"""),0.086)</f>
        <v>0.086</v>
      </c>
      <c r="R394" s="14">
        <f>IFERROR(__xludf.DUMMYFUNCTION("""COMPUTED_VALUE"""),50.0)</f>
        <v>50</v>
      </c>
      <c r="S394" s="14">
        <f>IFERROR(__xludf.DUMMYFUNCTION("""COMPUTED_VALUE"""),48.0)</f>
        <v>48</v>
      </c>
      <c r="T394" s="14">
        <f>IFERROR(__xludf.DUMMYFUNCTION("""COMPUTED_VALUE"""),0.476)</f>
        <v>0.476</v>
      </c>
      <c r="U394" s="14">
        <f>IFERROR(__xludf.DUMMYFUNCTION("""COMPUTED_VALUE"""),0.495)</f>
        <v>0.495</v>
      </c>
      <c r="V394" s="14">
        <f>IFERROR(__xludf.DUMMYFUNCTION("""COMPUTED_VALUE"""),0.028)</f>
        <v>0.028</v>
      </c>
      <c r="W394" s="14">
        <f>IFERROR(__xludf.DUMMYFUNCTION("""COMPUTED_VALUE"""),7037727.0)</f>
        <v>7037727</v>
      </c>
      <c r="X394" s="14">
        <f>IFERROR(__xludf.DUMMYFUNCTION("""COMPUTED_VALUE"""),0.087)</f>
        <v>0.087</v>
      </c>
      <c r="Y394" s="14" t="str">
        <f>IFERROR(__xludf.DUMMYFUNCTION("""COMPUTED_VALUE"""),"Burundi-Africa")</f>
        <v>Burundi-Africa</v>
      </c>
      <c r="Z394" s="14" t="str">
        <f>IFERROR(__xludf.DUMMYFUNCTION("""COMPUTED_VALUE"""),"Africa")</f>
        <v>Africa</v>
      </c>
      <c r="AA394" s="14" t="str">
        <f>IFERROR(__xludf.DUMMYFUNCTION("""COMPUTED_VALUE"""),"2002")</f>
        <v>2002</v>
      </c>
      <c r="AB394" s="15" t="str">
        <f>IFERROR(__xludf.DUMMYFUNCTION("ARRAYFORMULA(VLOOKUP(A394,IMPORTRANGE(""https://docs.google.com/spreadsheets/d/1BuTWp7qHGjWhqrnf-OmePP568O4A5Am9ttzvVdP67zw/edit#gid=1931367683"" ,""ENERGY!$A$2:$F$2692""), {2,3,4,5,6},0))"),"Africa")</f>
        <v>Africa</v>
      </c>
      <c r="AC394" s="14" t="str">
        <f>IFERROR(__xludf.DUMMYFUNCTION("""COMPUTED_VALUE"""),"Burundi-Africa")</f>
        <v>Burundi-Africa</v>
      </c>
      <c r="AD394" s="14" t="str">
        <f>IFERROR(__xludf.DUMMYFUNCTION("""COMPUTED_VALUE"""),"2002")</f>
        <v>2002</v>
      </c>
      <c r="AE394" s="14"/>
      <c r="AF394" s="14">
        <f>IFERROR(__xludf.DUMMYFUNCTION("""COMPUTED_VALUE"""),308.0)</f>
        <v>308</v>
      </c>
    </row>
    <row r="395">
      <c r="A395" s="12">
        <v>394.0</v>
      </c>
      <c r="B395" s="12" t="s">
        <v>109</v>
      </c>
      <c r="C395" s="5" t="s">
        <v>77</v>
      </c>
      <c r="D395" s="8"/>
      <c r="E395" s="11">
        <v>13.0</v>
      </c>
      <c r="F395" s="8"/>
      <c r="G395" s="8"/>
      <c r="H395" s="11">
        <v>0.002</v>
      </c>
      <c r="I395" s="11">
        <v>0.009</v>
      </c>
      <c r="J395" s="9" t="s">
        <v>64</v>
      </c>
      <c r="K395" s="14" t="str">
        <f>IFERROR(__xludf.DUMMYFUNCTION("ARRAYFORMULA(VLOOKUP(A395,IMPORTRANGE(""https://docs.google.com/spreadsheets/d/1BuTWp7qHGjWhqrnf-OmePP568O4A5Am9ttzvVdP67zw/edit#gid=1603210130"", ""TOURISM!$A$2:$F$2692""), {2,3,4,5,6},0))"),"Africa")</f>
        <v>Africa</v>
      </c>
      <c r="L395" s="14">
        <f>IFERROR(__xludf.DUMMYFUNCTION("""COMPUTED_VALUE"""),1200000.0)</f>
        <v>1200000</v>
      </c>
      <c r="M395" s="14" t="str">
        <f>IFERROR(__xludf.DUMMYFUNCTION("""COMPUTED_VALUE"""),"Burundi-Africa")</f>
        <v>Burundi-Africa</v>
      </c>
      <c r="N395" s="14" t="str">
        <f>IFERROR(__xludf.DUMMYFUNCTION("""COMPUTED_VALUE"""),"2003")</f>
        <v>2003</v>
      </c>
      <c r="O395" s="14">
        <f>IFERROR(__xludf.DUMMYFUNCTION("""COMPUTED_VALUE"""),1.5E7)</f>
        <v>15000000</v>
      </c>
      <c r="P395" s="15">
        <f>IFERROR(__xludf.DUMMYFUNCTION("ARRAYFORMULA(VLOOKUP(A395,IMPORTRANGE(""https://docs.google.com/spreadsheets/d/1BuTWp7qHGjWhqrnf-OmePP568O4A5Am9ttzvVdP67zw/edit#gid=771602874"" ,""HUMAN RESOURCES!$A$2:$M$2692""), {2,3,4,5,6,7,8,9,10,11,12,13},0))"),0.043)</f>
        <v>0.043</v>
      </c>
      <c r="Q395" s="14">
        <f>IFERROR(__xludf.DUMMYFUNCTION("""COMPUTED_VALUE"""),0.082)</f>
        <v>0.082</v>
      </c>
      <c r="R395" s="14">
        <f>IFERROR(__xludf.DUMMYFUNCTION("""COMPUTED_VALUE"""),50.0)</f>
        <v>50</v>
      </c>
      <c r="S395" s="14">
        <f>IFERROR(__xludf.DUMMYFUNCTION("""COMPUTED_VALUE"""),48.0)</f>
        <v>48</v>
      </c>
      <c r="T395" s="14">
        <f>IFERROR(__xludf.DUMMYFUNCTION("""COMPUTED_VALUE"""),0.468)</f>
        <v>0.468</v>
      </c>
      <c r="U395" s="14">
        <f>IFERROR(__xludf.DUMMYFUNCTION("""COMPUTED_VALUE"""),0.504)</f>
        <v>0.504</v>
      </c>
      <c r="V395" s="14">
        <f>IFERROR(__xludf.DUMMYFUNCTION("""COMPUTED_VALUE"""),0.028)</f>
        <v>0.028</v>
      </c>
      <c r="W395" s="14">
        <f>IFERROR(__xludf.DUMMYFUNCTION("""COMPUTED_VALUE"""),7264340.0)</f>
        <v>7264340</v>
      </c>
      <c r="X395" s="14">
        <f>IFERROR(__xludf.DUMMYFUNCTION("""COMPUTED_VALUE"""),0.089)</f>
        <v>0.089</v>
      </c>
      <c r="Y395" s="14" t="str">
        <f>IFERROR(__xludf.DUMMYFUNCTION("""COMPUTED_VALUE"""),"Burundi-Africa")</f>
        <v>Burundi-Africa</v>
      </c>
      <c r="Z395" s="14" t="str">
        <f>IFERROR(__xludf.DUMMYFUNCTION("""COMPUTED_VALUE"""),"Africa")</f>
        <v>Africa</v>
      </c>
      <c r="AA395" s="14" t="str">
        <f>IFERROR(__xludf.DUMMYFUNCTION("""COMPUTED_VALUE"""),"2003")</f>
        <v>2003</v>
      </c>
      <c r="AB395" s="15" t="str">
        <f>IFERROR(__xludf.DUMMYFUNCTION("ARRAYFORMULA(VLOOKUP(A395,IMPORTRANGE(""https://docs.google.com/spreadsheets/d/1BuTWp7qHGjWhqrnf-OmePP568O4A5Am9ttzvVdP67zw/edit#gid=1931367683"" ,""ENERGY!$A$2:$F$2692""), {2,3,4,5,6},0))"),"Africa")</f>
        <v>Africa</v>
      </c>
      <c r="AC395" s="14" t="str">
        <f>IFERROR(__xludf.DUMMYFUNCTION("""COMPUTED_VALUE"""),"Burundi-Africa")</f>
        <v>Burundi-Africa</v>
      </c>
      <c r="AD395" s="14" t="str">
        <f>IFERROR(__xludf.DUMMYFUNCTION("""COMPUTED_VALUE"""),"2003")</f>
        <v>2003</v>
      </c>
      <c r="AE395" s="14"/>
      <c r="AF395" s="14">
        <f>IFERROR(__xludf.DUMMYFUNCTION("""COMPUTED_VALUE"""),180.0)</f>
        <v>180</v>
      </c>
    </row>
    <row r="396">
      <c r="A396" s="12">
        <v>395.0</v>
      </c>
      <c r="B396" s="12" t="s">
        <v>109</v>
      </c>
      <c r="C396" s="5" t="s">
        <v>77</v>
      </c>
      <c r="D396" s="8"/>
      <c r="E396" s="11">
        <v>13.0</v>
      </c>
      <c r="F396" s="8"/>
      <c r="G396" s="8"/>
      <c r="H396" s="11">
        <v>0.003</v>
      </c>
      <c r="I396" s="11">
        <v>0.013</v>
      </c>
      <c r="J396" s="9" t="s">
        <v>65</v>
      </c>
      <c r="K396" s="14" t="str">
        <f>IFERROR(__xludf.DUMMYFUNCTION("ARRAYFORMULA(VLOOKUP(A396,IMPORTRANGE(""https://docs.google.com/spreadsheets/d/1BuTWp7qHGjWhqrnf-OmePP568O4A5Am9ttzvVdP67zw/edit#gid=1603210130"", ""TOURISM!$A$2:$F$2692""), {2,3,4,5,6},0))"),"Africa")</f>
        <v>Africa</v>
      </c>
      <c r="L396" s="14">
        <f>IFERROR(__xludf.DUMMYFUNCTION("""COMPUTED_VALUE"""),1800000.0)</f>
        <v>1800000</v>
      </c>
      <c r="M396" s="14" t="str">
        <f>IFERROR(__xludf.DUMMYFUNCTION("""COMPUTED_VALUE"""),"Burundi-Africa")</f>
        <v>Burundi-Africa</v>
      </c>
      <c r="N396" s="14" t="str">
        <f>IFERROR(__xludf.DUMMYFUNCTION("""COMPUTED_VALUE"""),"2004")</f>
        <v>2004</v>
      </c>
      <c r="O396" s="14">
        <f>IFERROR(__xludf.DUMMYFUNCTION("""COMPUTED_VALUE"""),2.9E7)</f>
        <v>29000000</v>
      </c>
      <c r="P396" s="15">
        <f>IFERROR(__xludf.DUMMYFUNCTION("ARRAYFORMULA(VLOOKUP(A396,IMPORTRANGE(""https://docs.google.com/spreadsheets/d/1BuTWp7qHGjWhqrnf-OmePP568O4A5Am9ttzvVdP67zw/edit#gid=771602874"" ,""HUMAN RESOURCES!$A$2:$M$2692""), {2,3,4,5,6,7,8,9,10,11,12,13},0))"),0.043)</f>
        <v>0.043</v>
      </c>
      <c r="Q396" s="14">
        <f>IFERROR(__xludf.DUMMYFUNCTION("""COMPUTED_VALUE"""),0.079)</f>
        <v>0.079</v>
      </c>
      <c r="R396" s="14">
        <f>IFERROR(__xludf.DUMMYFUNCTION("""COMPUTED_VALUE"""),51.0)</f>
        <v>51</v>
      </c>
      <c r="S396" s="14">
        <f>IFERROR(__xludf.DUMMYFUNCTION("""COMPUTED_VALUE"""),48.0)</f>
        <v>48</v>
      </c>
      <c r="T396" s="14">
        <f>IFERROR(__xludf.DUMMYFUNCTION("""COMPUTED_VALUE"""),0.461)</f>
        <v>0.461</v>
      </c>
      <c r="U396" s="14">
        <f>IFERROR(__xludf.DUMMYFUNCTION("""COMPUTED_VALUE"""),0.512)</f>
        <v>0.512</v>
      </c>
      <c r="V396" s="14">
        <f>IFERROR(__xludf.DUMMYFUNCTION("""COMPUTED_VALUE"""),0.028)</f>
        <v>0.028</v>
      </c>
      <c r="W396" s="14">
        <f>IFERROR(__xludf.DUMMYFUNCTION("""COMPUTED_VALUE"""),7510771.0)</f>
        <v>7510771</v>
      </c>
      <c r="X396" s="14">
        <f>IFERROR(__xludf.DUMMYFUNCTION("""COMPUTED_VALUE"""),0.091)</f>
        <v>0.091</v>
      </c>
      <c r="Y396" s="14" t="str">
        <f>IFERROR(__xludf.DUMMYFUNCTION("""COMPUTED_VALUE"""),"Burundi-Africa")</f>
        <v>Burundi-Africa</v>
      </c>
      <c r="Z396" s="14" t="str">
        <f>IFERROR(__xludf.DUMMYFUNCTION("""COMPUTED_VALUE"""),"Africa")</f>
        <v>Africa</v>
      </c>
      <c r="AA396" s="14" t="str">
        <f>IFERROR(__xludf.DUMMYFUNCTION("""COMPUTED_VALUE"""),"2004")</f>
        <v>2004</v>
      </c>
      <c r="AB396" s="15" t="str">
        <f>IFERROR(__xludf.DUMMYFUNCTION("ARRAYFORMULA(VLOOKUP(A396,IMPORTRANGE(""https://docs.google.com/spreadsheets/d/1BuTWp7qHGjWhqrnf-OmePP568O4A5Am9ttzvVdP67zw/edit#gid=1931367683"" ,""ENERGY!$A$2:$F$2692""), {2,3,4,5,6},0))"),"Africa")</f>
        <v>Africa</v>
      </c>
      <c r="AC396" s="14" t="str">
        <f>IFERROR(__xludf.DUMMYFUNCTION("""COMPUTED_VALUE"""),"Burundi-Africa")</f>
        <v>Burundi-Africa</v>
      </c>
      <c r="AD396" s="14" t="str">
        <f>IFERROR(__xludf.DUMMYFUNCTION("""COMPUTED_VALUE"""),"2004")</f>
        <v>2004</v>
      </c>
      <c r="AE396" s="14"/>
      <c r="AF396" s="14">
        <f>IFERROR(__xludf.DUMMYFUNCTION("""COMPUTED_VALUE"""),249.0)</f>
        <v>249</v>
      </c>
    </row>
    <row r="397">
      <c r="A397" s="12">
        <v>396.0</v>
      </c>
      <c r="B397" s="12" t="s">
        <v>109</v>
      </c>
      <c r="C397" s="5" t="s">
        <v>77</v>
      </c>
      <c r="D397" s="11">
        <v>2.797</v>
      </c>
      <c r="E397" s="11">
        <v>13.0</v>
      </c>
      <c r="F397" s="8"/>
      <c r="G397" s="11">
        <v>140.0</v>
      </c>
      <c r="H397" s="11">
        <v>0.005</v>
      </c>
      <c r="I397" s="11">
        <v>0.02</v>
      </c>
      <c r="J397" s="9" t="s">
        <v>66</v>
      </c>
      <c r="K397" s="14" t="str">
        <f>IFERROR(__xludf.DUMMYFUNCTION("ARRAYFORMULA(VLOOKUP(A397,IMPORTRANGE(""https://docs.google.com/spreadsheets/d/1BuTWp7qHGjWhqrnf-OmePP568O4A5Am9ttzvVdP67zw/edit#gid=1603210130"", ""TOURISM!$A$2:$F$2692""), {2,3,4,5,6},0))"),"Africa")</f>
        <v>Africa</v>
      </c>
      <c r="L397" s="14">
        <f>IFERROR(__xludf.DUMMYFUNCTION("""COMPUTED_VALUE"""),1900000.0)</f>
        <v>1900000</v>
      </c>
      <c r="M397" s="14" t="str">
        <f>IFERROR(__xludf.DUMMYFUNCTION("""COMPUTED_VALUE"""),"Burundi-Africa")</f>
        <v>Burundi-Africa</v>
      </c>
      <c r="N397" s="14" t="str">
        <f>IFERROR(__xludf.DUMMYFUNCTION("""COMPUTED_VALUE"""),"2005")</f>
        <v>2005</v>
      </c>
      <c r="O397" s="14">
        <f>IFERROR(__xludf.DUMMYFUNCTION("""COMPUTED_VALUE"""),6.2E7)</f>
        <v>62000000</v>
      </c>
      <c r="P397" s="15">
        <f>IFERROR(__xludf.DUMMYFUNCTION("ARRAYFORMULA(VLOOKUP(A397,IMPORTRANGE(""https://docs.google.com/spreadsheets/d/1BuTWp7qHGjWhqrnf-OmePP568O4A5Am9ttzvVdP67zw/edit#gid=771602874"" ,""HUMAN RESOURCES!$A$2:$M$2692""), {2,3,4,5,6,7,8,9,10,11,12,13},0))"),0.044)</f>
        <v>0.044</v>
      </c>
      <c r="Q397" s="14">
        <f>IFERROR(__xludf.DUMMYFUNCTION("""COMPUTED_VALUE"""),0.075)</f>
        <v>0.075</v>
      </c>
      <c r="R397" s="14">
        <f>IFERROR(__xludf.DUMMYFUNCTION("""COMPUTED_VALUE"""),51.0)</f>
        <v>51</v>
      </c>
      <c r="S397" s="14">
        <f>IFERROR(__xludf.DUMMYFUNCTION("""COMPUTED_VALUE"""),49.0)</f>
        <v>49</v>
      </c>
      <c r="T397" s="14">
        <f>IFERROR(__xludf.DUMMYFUNCTION("""COMPUTED_VALUE"""),0.454)</f>
        <v>0.454</v>
      </c>
      <c r="U397" s="14">
        <f>IFERROR(__xludf.DUMMYFUNCTION("""COMPUTED_VALUE"""),0.519)</f>
        <v>0.519</v>
      </c>
      <c r="V397" s="14">
        <f>IFERROR(__xludf.DUMMYFUNCTION("""COMPUTED_VALUE"""),0.027)</f>
        <v>0.027</v>
      </c>
      <c r="W397" s="14">
        <f>IFERROR(__xludf.DUMMYFUNCTION("""COMPUTED_VALUE"""),7770392.0)</f>
        <v>7770392</v>
      </c>
      <c r="X397" s="14">
        <f>IFERROR(__xludf.DUMMYFUNCTION("""COMPUTED_VALUE"""),0.094)</f>
        <v>0.094</v>
      </c>
      <c r="Y397" s="14" t="str">
        <f>IFERROR(__xludf.DUMMYFUNCTION("""COMPUTED_VALUE"""),"Burundi-Africa")</f>
        <v>Burundi-Africa</v>
      </c>
      <c r="Z397" s="14" t="str">
        <f>IFERROR(__xludf.DUMMYFUNCTION("""COMPUTED_VALUE"""),"Africa")</f>
        <v>Africa</v>
      </c>
      <c r="AA397" s="14" t="str">
        <f>IFERROR(__xludf.DUMMYFUNCTION("""COMPUTED_VALUE"""),"2005")</f>
        <v>2005</v>
      </c>
      <c r="AB397" s="15" t="str">
        <f>IFERROR(__xludf.DUMMYFUNCTION("ARRAYFORMULA(VLOOKUP(A397,IMPORTRANGE(""https://docs.google.com/spreadsheets/d/1BuTWp7qHGjWhqrnf-OmePP568O4A5Am9ttzvVdP67zw/edit#gid=1931367683"" ,""ENERGY!$A$2:$F$2692""), {2,3,4,5,6},0))"),"Africa")</f>
        <v>Africa</v>
      </c>
      <c r="AC397" s="14" t="str">
        <f>IFERROR(__xludf.DUMMYFUNCTION("""COMPUTED_VALUE"""),"Burundi-Africa")</f>
        <v>Burundi-Africa</v>
      </c>
      <c r="AD397" s="14" t="str">
        <f>IFERROR(__xludf.DUMMYFUNCTION("""COMPUTED_VALUE"""),"2006")</f>
        <v>2006</v>
      </c>
      <c r="AE397" s="14"/>
      <c r="AF397" s="14">
        <f>IFERROR(__xludf.DUMMYFUNCTION("""COMPUTED_VALUE"""),191.0)</f>
        <v>191</v>
      </c>
    </row>
    <row r="398">
      <c r="A398" s="12">
        <v>397.0</v>
      </c>
      <c r="B398" s="12" t="s">
        <v>109</v>
      </c>
      <c r="C398" s="5" t="s">
        <v>77</v>
      </c>
      <c r="D398" s="11">
        <v>2.797</v>
      </c>
      <c r="E398" s="11">
        <v>13.0</v>
      </c>
      <c r="F398" s="8"/>
      <c r="G398" s="11">
        <v>140.0</v>
      </c>
      <c r="H398" s="11">
        <v>0.007</v>
      </c>
      <c r="I398" s="11">
        <v>0.025</v>
      </c>
      <c r="J398" s="9" t="s">
        <v>67</v>
      </c>
      <c r="K398" s="14" t="str">
        <f>IFERROR(__xludf.DUMMYFUNCTION("ARRAYFORMULA(VLOOKUP(A398,IMPORTRANGE(""https://docs.google.com/spreadsheets/d/1BuTWp7qHGjWhqrnf-OmePP568O4A5Am9ttzvVdP67zw/edit#gid=1603210130"", ""TOURISM!$A$2:$F$2692""), {2,3,4,5,6},0))"),"Africa")</f>
        <v>Africa</v>
      </c>
      <c r="L398" s="14">
        <f>IFERROR(__xludf.DUMMYFUNCTION("""COMPUTED_VALUE"""),1600000.0)</f>
        <v>1600000</v>
      </c>
      <c r="M398" s="14" t="str">
        <f>IFERROR(__xludf.DUMMYFUNCTION("""COMPUTED_VALUE"""),"Burundi-Africa")</f>
        <v>Burundi-Africa</v>
      </c>
      <c r="N398" s="14" t="str">
        <f>IFERROR(__xludf.DUMMYFUNCTION("""COMPUTED_VALUE"""),"2006")</f>
        <v>2006</v>
      </c>
      <c r="O398" s="14">
        <f>IFERROR(__xludf.DUMMYFUNCTION("""COMPUTED_VALUE"""),1.26E8)</f>
        <v>126000000</v>
      </c>
      <c r="P398" s="15">
        <f>IFERROR(__xludf.DUMMYFUNCTION("ARRAYFORMULA(VLOOKUP(A398,IMPORTRANGE(""https://docs.google.com/spreadsheets/d/1BuTWp7qHGjWhqrnf-OmePP568O4A5Am9ttzvVdP67zw/edit#gid=771602874"" ,""HUMAN RESOURCES!$A$2:$M$2692""), {2,3,4,5,6,7,8,9,10,11,12,13},0))"),0.044)</f>
        <v>0.044</v>
      </c>
      <c r="Q398" s="14">
        <f>IFERROR(__xludf.DUMMYFUNCTION("""COMPUTED_VALUE"""),0.072)</f>
        <v>0.072</v>
      </c>
      <c r="R398" s="14">
        <f>IFERROR(__xludf.DUMMYFUNCTION("""COMPUTED_VALUE"""),52.0)</f>
        <v>52</v>
      </c>
      <c r="S398" s="14">
        <f>IFERROR(__xludf.DUMMYFUNCTION("""COMPUTED_VALUE"""),49.0)</f>
        <v>49</v>
      </c>
      <c r="T398" s="14">
        <f>IFERROR(__xludf.DUMMYFUNCTION("""COMPUTED_VALUE"""),0.449)</f>
        <v>0.449</v>
      </c>
      <c r="U398" s="14">
        <f>IFERROR(__xludf.DUMMYFUNCTION("""COMPUTED_VALUE"""),0.524)</f>
        <v>0.524</v>
      </c>
      <c r="V398" s="14">
        <f>IFERROR(__xludf.DUMMYFUNCTION("""COMPUTED_VALUE"""),0.027)</f>
        <v>0.027</v>
      </c>
      <c r="W398" s="14">
        <f>IFERROR(__xludf.DUMMYFUNCTION("""COMPUTED_VALUE"""),8042579.0)</f>
        <v>8042579</v>
      </c>
      <c r="X398" s="14">
        <f>IFERROR(__xludf.DUMMYFUNCTION("""COMPUTED_VALUE"""),0.096)</f>
        <v>0.096</v>
      </c>
      <c r="Y398" s="14" t="str">
        <f>IFERROR(__xludf.DUMMYFUNCTION("""COMPUTED_VALUE"""),"Burundi-Africa")</f>
        <v>Burundi-Africa</v>
      </c>
      <c r="Z398" s="14" t="str">
        <f>IFERROR(__xludf.DUMMYFUNCTION("""COMPUTED_VALUE"""),"Africa")</f>
        <v>Africa</v>
      </c>
      <c r="AA398" s="14" t="str">
        <f>IFERROR(__xludf.DUMMYFUNCTION("""COMPUTED_VALUE"""),"2006")</f>
        <v>2006</v>
      </c>
      <c r="AB398" s="15" t="str">
        <f>IFERROR(__xludf.DUMMYFUNCTION("ARRAYFORMULA(VLOOKUP(A398,IMPORTRANGE(""https://docs.google.com/spreadsheets/d/1BuTWp7qHGjWhqrnf-OmePP568O4A5Am9ttzvVdP67zw/edit#gid=1931367683"" ,""ENERGY!$A$2:$F$2692""), {2,3,4,5,6},0))"),"Africa")</f>
        <v>Africa</v>
      </c>
      <c r="AC398" s="14" t="str">
        <f>IFERROR(__xludf.DUMMYFUNCTION("""COMPUTED_VALUE"""),"Burundi-Africa")</f>
        <v>Burundi-Africa</v>
      </c>
      <c r="AD398" s="14" t="str">
        <f>IFERROR(__xludf.DUMMYFUNCTION("""COMPUTED_VALUE"""),"2010")</f>
        <v>2010</v>
      </c>
      <c r="AE398" s="14"/>
      <c r="AF398" s="14">
        <f>IFERROR(__xludf.DUMMYFUNCTION("""COMPUTED_VALUE"""),187.0)</f>
        <v>187</v>
      </c>
    </row>
    <row r="399">
      <c r="A399" s="12">
        <v>398.0</v>
      </c>
      <c r="B399" s="12" t="s">
        <v>109</v>
      </c>
      <c r="C399" s="5" t="s">
        <v>77</v>
      </c>
      <c r="D399" s="11">
        <v>2.797</v>
      </c>
      <c r="E399" s="11">
        <v>13.0</v>
      </c>
      <c r="F399" s="8"/>
      <c r="G399" s="11">
        <v>140.0</v>
      </c>
      <c r="H399" s="11">
        <v>0.007</v>
      </c>
      <c r="I399" s="11">
        <v>0.032</v>
      </c>
      <c r="J399" s="9" t="s">
        <v>68</v>
      </c>
      <c r="K399" s="14" t="str">
        <f>IFERROR(__xludf.DUMMYFUNCTION("ARRAYFORMULA(VLOOKUP(A399,IMPORTRANGE(""https://docs.google.com/spreadsheets/d/1BuTWp7qHGjWhqrnf-OmePP568O4A5Am9ttzvVdP67zw/edit#gid=1603210130"", ""TOURISM!$A$2:$F$2692""), {2,3,4,5,6},0))"),"Africa")</f>
        <v>Africa</v>
      </c>
      <c r="L399" s="14">
        <f>IFERROR(__xludf.DUMMYFUNCTION("""COMPUTED_VALUE"""),2300000.0)</f>
        <v>2300000</v>
      </c>
      <c r="M399" s="14" t="str">
        <f>IFERROR(__xludf.DUMMYFUNCTION("""COMPUTED_VALUE"""),"Burundi-Africa")</f>
        <v>Burundi-Africa</v>
      </c>
      <c r="N399" s="14" t="str">
        <f>IFERROR(__xludf.DUMMYFUNCTION("""COMPUTED_VALUE"""),"2007")</f>
        <v>2007</v>
      </c>
      <c r="O399" s="14">
        <f>IFERROR(__xludf.DUMMYFUNCTION("""COMPUTED_VALUE"""),1.06E8)</f>
        <v>106000000</v>
      </c>
      <c r="P399" s="15">
        <f>IFERROR(__xludf.DUMMYFUNCTION("ARRAYFORMULA(VLOOKUP(A399,IMPORTRANGE(""https://docs.google.com/spreadsheets/d/1BuTWp7qHGjWhqrnf-OmePP568O4A5Am9ttzvVdP67zw/edit#gid=771602874"" ,""HUMAN RESOURCES!$A$2:$M$2692""), {2,3,4,5,6,7,8,9,10,11,12,13},0))"),0.044)</f>
        <v>0.044</v>
      </c>
      <c r="Q399" s="14">
        <f>IFERROR(__xludf.DUMMYFUNCTION("""COMPUTED_VALUE"""),0.069)</f>
        <v>0.069</v>
      </c>
      <c r="R399" s="14">
        <f>IFERROR(__xludf.DUMMYFUNCTION("""COMPUTED_VALUE"""),53.0)</f>
        <v>53</v>
      </c>
      <c r="S399" s="14">
        <f>IFERROR(__xludf.DUMMYFUNCTION("""COMPUTED_VALUE"""),50.0)</f>
        <v>50</v>
      </c>
      <c r="T399" s="14">
        <f>IFERROR(__xludf.DUMMYFUNCTION("""COMPUTED_VALUE"""),0.445)</f>
        <v>0.445</v>
      </c>
      <c r="U399" s="14">
        <f>IFERROR(__xludf.DUMMYFUNCTION("""COMPUTED_VALUE"""),0.529)</f>
        <v>0.529</v>
      </c>
      <c r="V399" s="14">
        <f>IFERROR(__xludf.DUMMYFUNCTION("""COMPUTED_VALUE"""),0.026)</f>
        <v>0.026</v>
      </c>
      <c r="W399" s="14">
        <f>IFERROR(__xludf.DUMMYFUNCTION("""COMPUTED_VALUE"""),8328312.0)</f>
        <v>8328312</v>
      </c>
      <c r="X399" s="14">
        <f>IFERROR(__xludf.DUMMYFUNCTION("""COMPUTED_VALUE"""),0.099)</f>
        <v>0.099</v>
      </c>
      <c r="Y399" s="14" t="str">
        <f>IFERROR(__xludf.DUMMYFUNCTION("""COMPUTED_VALUE"""),"Burundi-Africa")</f>
        <v>Burundi-Africa</v>
      </c>
      <c r="Z399" s="14" t="str">
        <f>IFERROR(__xludf.DUMMYFUNCTION("""COMPUTED_VALUE"""),"Africa")</f>
        <v>Africa</v>
      </c>
      <c r="AA399" s="14" t="str">
        <f>IFERROR(__xludf.DUMMYFUNCTION("""COMPUTED_VALUE"""),"2007")</f>
        <v>2007</v>
      </c>
      <c r="AB399" s="15" t="str">
        <f>IFERROR(__xludf.DUMMYFUNCTION("ARRAYFORMULA(VLOOKUP(A399,IMPORTRANGE(""https://docs.google.com/spreadsheets/d/1BuTWp7qHGjWhqrnf-OmePP568O4A5Am9ttzvVdP67zw/edit#gid=1931367683"" ,""ENERGY!$A$2:$F$2692""), {2,3,4,5,6},0))"),"Africa")</f>
        <v>Africa</v>
      </c>
      <c r="AC399" s="14" t="str">
        <f>IFERROR(__xludf.DUMMYFUNCTION("""COMPUTED_VALUE"""),"Burundi-Africa")</f>
        <v>Burundi-Africa</v>
      </c>
      <c r="AD399" s="14" t="str">
        <f>IFERROR(__xludf.DUMMYFUNCTION("""COMPUTED_VALUE"""),"2006")</f>
        <v>2006</v>
      </c>
      <c r="AE399" s="14"/>
      <c r="AF399" s="14">
        <f>IFERROR(__xludf.DUMMYFUNCTION("""COMPUTED_VALUE"""),154.0)</f>
        <v>154</v>
      </c>
    </row>
    <row r="400">
      <c r="A400" s="12">
        <v>399.0</v>
      </c>
      <c r="B400" s="12" t="s">
        <v>109</v>
      </c>
      <c r="C400" s="5" t="s">
        <v>77</v>
      </c>
      <c r="D400" s="11">
        <v>2.797</v>
      </c>
      <c r="E400" s="11">
        <v>13.0</v>
      </c>
      <c r="F400" s="8"/>
      <c r="G400" s="11">
        <v>140.0</v>
      </c>
      <c r="H400" s="11">
        <v>0.008</v>
      </c>
      <c r="I400" s="11">
        <v>0.056</v>
      </c>
      <c r="J400" s="9" t="s">
        <v>69</v>
      </c>
      <c r="K400" s="14" t="str">
        <f>IFERROR(__xludf.DUMMYFUNCTION("ARRAYFORMULA(VLOOKUP(A400,IMPORTRANGE(""https://docs.google.com/spreadsheets/d/1BuTWp7qHGjWhqrnf-OmePP568O4A5Am9ttzvVdP67zw/edit#gid=1603210130"", ""TOURISM!$A$2:$F$2692""), {2,3,4,5,6},0))"),"Africa")</f>
        <v>Africa</v>
      </c>
      <c r="L400" s="14">
        <f>IFERROR(__xludf.DUMMYFUNCTION("""COMPUTED_VALUE"""),1600000.0)</f>
        <v>1600000</v>
      </c>
      <c r="M400" s="14" t="str">
        <f>IFERROR(__xludf.DUMMYFUNCTION("""COMPUTED_VALUE"""),"Burundi-Africa")</f>
        <v>Burundi-Africa</v>
      </c>
      <c r="N400" s="14" t="str">
        <f>IFERROR(__xludf.DUMMYFUNCTION("""COMPUTED_VALUE"""),"2008")</f>
        <v>2008</v>
      </c>
      <c r="O400" s="14">
        <f>IFERROR(__xludf.DUMMYFUNCTION("""COMPUTED_VALUE"""),1.51E8)</f>
        <v>151000000</v>
      </c>
      <c r="P400" s="15">
        <f>IFERROR(__xludf.DUMMYFUNCTION("ARRAYFORMULA(VLOOKUP(A400,IMPORTRANGE(""https://docs.google.com/spreadsheets/d/1BuTWp7qHGjWhqrnf-OmePP568O4A5Am9ttzvVdP67zw/edit#gid=771602874"" ,""HUMAN RESOURCES!$A$2:$M$2692""), {2,3,4,5,6,7,8,9,10,11,12,13},0))"),0.045)</f>
        <v>0.045</v>
      </c>
      <c r="Q400" s="14">
        <f>IFERROR(__xludf.DUMMYFUNCTION("""COMPUTED_VALUE"""),0.066)</f>
        <v>0.066</v>
      </c>
      <c r="R400" s="14">
        <f>IFERROR(__xludf.DUMMYFUNCTION("""COMPUTED_VALUE"""),53.0)</f>
        <v>53</v>
      </c>
      <c r="S400" s="14">
        <f>IFERROR(__xludf.DUMMYFUNCTION("""COMPUTED_VALUE"""),50.0)</f>
        <v>50</v>
      </c>
      <c r="T400" s="14">
        <f>IFERROR(__xludf.DUMMYFUNCTION("""COMPUTED_VALUE"""),0.442)</f>
        <v>0.442</v>
      </c>
      <c r="U400" s="14">
        <f>IFERROR(__xludf.DUMMYFUNCTION("""COMPUTED_VALUE"""),0.532)</f>
        <v>0.532</v>
      </c>
      <c r="V400" s="14">
        <f>IFERROR(__xludf.DUMMYFUNCTION("""COMPUTED_VALUE"""),0.026)</f>
        <v>0.026</v>
      </c>
      <c r="W400" s="14">
        <f>IFERROR(__xludf.DUMMYFUNCTION("""COMPUTED_VALUE"""),8624280.0)</f>
        <v>8624280</v>
      </c>
      <c r="X400" s="14">
        <f>IFERROR(__xludf.DUMMYFUNCTION("""COMPUTED_VALUE"""),0.101)</f>
        <v>0.101</v>
      </c>
      <c r="Y400" s="14" t="str">
        <f>IFERROR(__xludf.DUMMYFUNCTION("""COMPUTED_VALUE"""),"Burundi-Africa")</f>
        <v>Burundi-Africa</v>
      </c>
      <c r="Z400" s="14" t="str">
        <f>IFERROR(__xludf.DUMMYFUNCTION("""COMPUTED_VALUE"""),"Africa")</f>
        <v>Africa</v>
      </c>
      <c r="AA400" s="14" t="str">
        <f>IFERROR(__xludf.DUMMYFUNCTION("""COMPUTED_VALUE"""),"2008")</f>
        <v>2008</v>
      </c>
      <c r="AB400" s="15" t="str">
        <f>IFERROR(__xludf.DUMMYFUNCTION("ARRAYFORMULA(VLOOKUP(A400,IMPORTRANGE(""https://docs.google.com/spreadsheets/d/1BuTWp7qHGjWhqrnf-OmePP568O4A5Am9ttzvVdP67zw/edit#gid=1931367683"" ,""ENERGY!$A$2:$F$2692""), {2,3,4,5,6},0))"),"Africa")</f>
        <v>Africa</v>
      </c>
      <c r="AC400" s="14" t="str">
        <f>IFERROR(__xludf.DUMMYFUNCTION("""COMPUTED_VALUE"""),"Burundi-Africa")</f>
        <v>Burundi-Africa</v>
      </c>
      <c r="AD400" s="14" t="str">
        <f>IFERROR(__xludf.DUMMYFUNCTION("""COMPUTED_VALUE"""),"2012")</f>
        <v>2012</v>
      </c>
      <c r="AE400" s="14"/>
      <c r="AF400" s="14">
        <f>IFERROR(__xludf.DUMMYFUNCTION("""COMPUTED_VALUE"""),198.0)</f>
        <v>198</v>
      </c>
    </row>
    <row r="401">
      <c r="A401" s="12">
        <v>400.0</v>
      </c>
      <c r="B401" s="12" t="s">
        <v>109</v>
      </c>
      <c r="C401" s="5" t="s">
        <v>77</v>
      </c>
      <c r="D401" s="11">
        <v>2.797</v>
      </c>
      <c r="E401" s="11">
        <v>13.0</v>
      </c>
      <c r="F401" s="8"/>
      <c r="G401" s="11">
        <v>140.0</v>
      </c>
      <c r="H401" s="11">
        <v>0.009</v>
      </c>
      <c r="I401" s="11">
        <v>0.103</v>
      </c>
      <c r="J401" s="9" t="s">
        <v>70</v>
      </c>
      <c r="K401" s="14" t="str">
        <f>IFERROR(__xludf.DUMMYFUNCTION("ARRAYFORMULA(VLOOKUP(A401,IMPORTRANGE(""https://docs.google.com/spreadsheets/d/1BuTWp7qHGjWhqrnf-OmePP568O4A5Am9ttzvVdP67zw/edit#gid=1603210130"", ""TOURISM!$A$2:$F$2692""), {2,3,4,5,6},0))"),"Africa")</f>
        <v>Africa</v>
      </c>
      <c r="L401" s="14">
        <f>IFERROR(__xludf.DUMMYFUNCTION("""COMPUTED_VALUE"""),1700000.0)</f>
        <v>1700000</v>
      </c>
      <c r="M401" s="14" t="str">
        <f>IFERROR(__xludf.DUMMYFUNCTION("""COMPUTED_VALUE"""),"Burundi-Africa")</f>
        <v>Burundi-Africa</v>
      </c>
      <c r="N401" s="14" t="str">
        <f>IFERROR(__xludf.DUMMYFUNCTION("""COMPUTED_VALUE"""),"2009")</f>
        <v>2009</v>
      </c>
      <c r="O401" s="14">
        <f>IFERROR(__xludf.DUMMYFUNCTION("""COMPUTED_VALUE"""),7.1E7)</f>
        <v>71000000</v>
      </c>
      <c r="P401" s="15">
        <f>IFERROR(__xludf.DUMMYFUNCTION("ARRAYFORMULA(VLOOKUP(A401,IMPORTRANGE(""https://docs.google.com/spreadsheets/d/1BuTWp7qHGjWhqrnf-OmePP568O4A5Am9ttzvVdP67zw/edit#gid=771602874"" ,""HUMAN RESOURCES!$A$2:$M$2692""), {2,3,4,5,6,7,8,9,10,11,12,13},0))"),0.045)</f>
        <v>0.045</v>
      </c>
      <c r="Q401" s="14">
        <f>IFERROR(__xludf.DUMMYFUNCTION("""COMPUTED_VALUE"""),0.063)</f>
        <v>0.063</v>
      </c>
      <c r="R401" s="14">
        <f>IFERROR(__xludf.DUMMYFUNCTION("""COMPUTED_VALUE"""),54.0)</f>
        <v>54</v>
      </c>
      <c r="S401" s="14">
        <f>IFERROR(__xludf.DUMMYFUNCTION("""COMPUTED_VALUE"""),51.0)</f>
        <v>51</v>
      </c>
      <c r="T401" s="14">
        <f>IFERROR(__xludf.DUMMYFUNCTION("""COMPUTED_VALUE"""),0.44)</f>
        <v>0.44</v>
      </c>
      <c r="U401" s="14">
        <f>IFERROR(__xludf.DUMMYFUNCTION("""COMPUTED_VALUE"""),0.535)</f>
        <v>0.535</v>
      </c>
      <c r="V401" s="14">
        <f>IFERROR(__xludf.DUMMYFUNCTION("""COMPUTED_VALUE"""),0.026)</f>
        <v>0.026</v>
      </c>
      <c r="W401" s="14">
        <f>IFERROR(__xludf.DUMMYFUNCTION("""COMPUTED_VALUE"""),8926687.0)</f>
        <v>8926687</v>
      </c>
      <c r="X401" s="14">
        <f>IFERROR(__xludf.DUMMYFUNCTION("""COMPUTED_VALUE"""),0.104)</f>
        <v>0.104</v>
      </c>
      <c r="Y401" s="14" t="str">
        <f>IFERROR(__xludf.DUMMYFUNCTION("""COMPUTED_VALUE"""),"Burundi-Africa")</f>
        <v>Burundi-Africa</v>
      </c>
      <c r="Z401" s="14" t="str">
        <f>IFERROR(__xludf.DUMMYFUNCTION("""COMPUTED_VALUE"""),"Africa")</f>
        <v>Africa</v>
      </c>
      <c r="AA401" s="14" t="str">
        <f>IFERROR(__xludf.DUMMYFUNCTION("""COMPUTED_VALUE"""),"2009")</f>
        <v>2009</v>
      </c>
      <c r="AB401" s="15" t="str">
        <f>IFERROR(__xludf.DUMMYFUNCTION("ARRAYFORMULA(VLOOKUP(A401,IMPORTRANGE(""https://docs.google.com/spreadsheets/d/1BuTWp7qHGjWhqrnf-OmePP568O4A5Am9ttzvVdP67zw/edit#gid=1931367683"" ,""ENERGY!$A$2:$F$2692""), {2,3,4,5,6},0))"),"Africa")</f>
        <v>Africa</v>
      </c>
      <c r="AC401" s="14" t="str">
        <f>IFERROR(__xludf.DUMMYFUNCTION("""COMPUTED_VALUE"""),"Burundi-Africa")</f>
        <v>Burundi-Africa</v>
      </c>
      <c r="AD401" s="14" t="str">
        <f>IFERROR(__xludf.DUMMYFUNCTION("""COMPUTED_VALUE"""),"2009")</f>
        <v>2009</v>
      </c>
      <c r="AE401" s="14"/>
      <c r="AF401" s="14">
        <f>IFERROR(__xludf.DUMMYFUNCTION("""COMPUTED_VALUE"""),165.0)</f>
        <v>165</v>
      </c>
    </row>
    <row r="402">
      <c r="A402" s="12">
        <v>401.0</v>
      </c>
      <c r="B402" s="12" t="s">
        <v>109</v>
      </c>
      <c r="C402" s="5" t="s">
        <v>77</v>
      </c>
      <c r="D402" s="11">
        <v>1.545</v>
      </c>
      <c r="E402" s="11">
        <v>13.0</v>
      </c>
      <c r="F402" s="8"/>
      <c r="G402" s="11">
        <v>211.0</v>
      </c>
      <c r="H402" s="11">
        <v>0.01</v>
      </c>
      <c r="I402" s="11">
        <v>0.182</v>
      </c>
      <c r="J402" s="9" t="s">
        <v>71</v>
      </c>
      <c r="K402" s="14" t="str">
        <f>IFERROR(__xludf.DUMMYFUNCTION("ARRAYFORMULA(VLOOKUP(A402,IMPORTRANGE(""https://docs.google.com/spreadsheets/d/1BuTWp7qHGjWhqrnf-OmePP568O4A5Am9ttzvVdP67zw/edit#gid=1603210130"", ""TOURISM!$A$2:$F$2692""), {2,3,4,5,6},0))"),"Africa")</f>
        <v>Africa</v>
      </c>
      <c r="L402" s="14">
        <f>IFERROR(__xludf.DUMMYFUNCTION("""COMPUTED_VALUE"""),2100000.0)</f>
        <v>2100000</v>
      </c>
      <c r="M402" s="14" t="str">
        <f>IFERROR(__xludf.DUMMYFUNCTION("""COMPUTED_VALUE"""),"Burundi-Africa")</f>
        <v>Burundi-Africa</v>
      </c>
      <c r="N402" s="14" t="str">
        <f>IFERROR(__xludf.DUMMYFUNCTION("""COMPUTED_VALUE"""),"2010")</f>
        <v>2010</v>
      </c>
      <c r="O402" s="14">
        <f>IFERROR(__xludf.DUMMYFUNCTION("""COMPUTED_VALUE"""),3.5E7)</f>
        <v>35000000</v>
      </c>
      <c r="P402" s="15">
        <f>IFERROR(__xludf.DUMMYFUNCTION("ARRAYFORMULA(VLOOKUP(A402,IMPORTRANGE(""https://docs.google.com/spreadsheets/d/1BuTWp7qHGjWhqrnf-OmePP568O4A5Am9ttzvVdP67zw/edit#gid=771602874"" ,""HUMAN RESOURCES!$A$2:$M$2692""), {2,3,4,5,6,7,8,9,10,11,12,13},0))"),0.045)</f>
        <v>0.045</v>
      </c>
      <c r="Q402" s="14">
        <f>IFERROR(__xludf.DUMMYFUNCTION("""COMPUTED_VALUE"""),0.061)</f>
        <v>0.061</v>
      </c>
      <c r="R402" s="14">
        <f>IFERROR(__xludf.DUMMYFUNCTION("""COMPUTED_VALUE"""),54.0)</f>
        <v>54</v>
      </c>
      <c r="S402" s="14">
        <f>IFERROR(__xludf.DUMMYFUNCTION("""COMPUTED_VALUE"""),51.0)</f>
        <v>51</v>
      </c>
      <c r="T402" s="14">
        <f>IFERROR(__xludf.DUMMYFUNCTION("""COMPUTED_VALUE"""),0.439)</f>
        <v>0.439</v>
      </c>
      <c r="U402" s="14">
        <f>IFERROR(__xludf.DUMMYFUNCTION("""COMPUTED_VALUE"""),0.535)</f>
        <v>0.535</v>
      </c>
      <c r="V402" s="14">
        <f>IFERROR(__xludf.DUMMYFUNCTION("""COMPUTED_VALUE"""),0.025)</f>
        <v>0.025</v>
      </c>
      <c r="W402" s="14">
        <f>IFERROR(__xludf.DUMMYFUNCTION("""COMPUTED_VALUE"""),9232753.0)</f>
        <v>9232753</v>
      </c>
      <c r="X402" s="14">
        <f>IFERROR(__xludf.DUMMYFUNCTION("""COMPUTED_VALUE"""),0.106)</f>
        <v>0.106</v>
      </c>
      <c r="Y402" s="14" t="str">
        <f>IFERROR(__xludf.DUMMYFUNCTION("""COMPUTED_VALUE"""),"Burundi-Africa")</f>
        <v>Burundi-Africa</v>
      </c>
      <c r="Z402" s="14" t="str">
        <f>IFERROR(__xludf.DUMMYFUNCTION("""COMPUTED_VALUE"""),"Africa")</f>
        <v>Africa</v>
      </c>
      <c r="AA402" s="14" t="str">
        <f>IFERROR(__xludf.DUMMYFUNCTION("""COMPUTED_VALUE"""),"2010")</f>
        <v>2010</v>
      </c>
      <c r="AB402" s="15" t="str">
        <f>IFERROR(__xludf.DUMMYFUNCTION("ARRAYFORMULA(VLOOKUP(A402,IMPORTRANGE(""https://docs.google.com/spreadsheets/d/1BuTWp7qHGjWhqrnf-OmePP568O4A5Am9ttzvVdP67zw/edit#gid=1931367683"" ,""ENERGY!$A$2:$F$2692""), {2,3,4,5,6},0))"),"Africa")</f>
        <v>Africa</v>
      </c>
      <c r="AC402" s="14" t="str">
        <f>IFERROR(__xludf.DUMMYFUNCTION("""COMPUTED_VALUE"""),"Burundi-Africa")</f>
        <v>Burundi-Africa</v>
      </c>
      <c r="AD402" s="14" t="str">
        <f>IFERROR(__xludf.DUMMYFUNCTION("""COMPUTED_VALUE"""),"2006")</f>
        <v>2006</v>
      </c>
      <c r="AE402" s="14"/>
      <c r="AF402" s="14">
        <f>IFERROR(__xludf.DUMMYFUNCTION("""COMPUTED_VALUE"""),220.0)</f>
        <v>220</v>
      </c>
    </row>
    <row r="403">
      <c r="A403" s="12">
        <v>402.0</v>
      </c>
      <c r="B403" s="12" t="s">
        <v>109</v>
      </c>
      <c r="C403" s="5" t="s">
        <v>77</v>
      </c>
      <c r="D403" s="11">
        <v>0.516</v>
      </c>
      <c r="E403" s="11">
        <v>13.0</v>
      </c>
      <c r="F403" s="8"/>
      <c r="G403" s="11">
        <v>274.0</v>
      </c>
      <c r="H403" s="11">
        <v>0.011</v>
      </c>
      <c r="I403" s="11">
        <v>0.201</v>
      </c>
      <c r="J403" s="9" t="s">
        <v>72</v>
      </c>
      <c r="K403" s="14" t="str">
        <f>IFERROR(__xludf.DUMMYFUNCTION("ARRAYFORMULA(VLOOKUP(A403,IMPORTRANGE(""https://docs.google.com/spreadsheets/d/1BuTWp7qHGjWhqrnf-OmePP568O4A5Am9ttzvVdP67zw/edit#gid=1603210130"", ""TOURISM!$A$2:$F$2692""), {2,3,4,5,6},0))"),"Africa")</f>
        <v>Africa</v>
      </c>
      <c r="L403" s="14">
        <f>IFERROR(__xludf.DUMMYFUNCTION("""COMPUTED_VALUE"""),3700000.0)</f>
        <v>3700000</v>
      </c>
      <c r="M403" s="14" t="str">
        <f>IFERROR(__xludf.DUMMYFUNCTION("""COMPUTED_VALUE"""),"Burundi-Africa")</f>
        <v>Burundi-Africa</v>
      </c>
      <c r="N403" s="14" t="str">
        <f>IFERROR(__xludf.DUMMYFUNCTION("""COMPUTED_VALUE"""),"2011")</f>
        <v>2011</v>
      </c>
      <c r="O403" s="14">
        <f>IFERROR(__xludf.DUMMYFUNCTION("""COMPUTED_VALUE"""),4.9E7)</f>
        <v>49000000</v>
      </c>
      <c r="P403" s="15">
        <f>IFERROR(__xludf.DUMMYFUNCTION("ARRAYFORMULA(VLOOKUP(A403,IMPORTRANGE(""https://docs.google.com/spreadsheets/d/1BuTWp7qHGjWhqrnf-OmePP568O4A5Am9ttzvVdP67zw/edit#gid=771602874"" ,""HUMAN RESOURCES!$A$2:$M$2692""), {2,3,4,5,6,7,8,9,10,11,12,13},0))"),0.045)</f>
        <v>0.045</v>
      </c>
      <c r="Q403" s="14">
        <f>IFERROR(__xludf.DUMMYFUNCTION("""COMPUTED_VALUE"""),0.059)</f>
        <v>0.059</v>
      </c>
      <c r="R403" s="14">
        <f>IFERROR(__xludf.DUMMYFUNCTION("""COMPUTED_VALUE"""),55.0)</f>
        <v>55</v>
      </c>
      <c r="S403" s="14">
        <f>IFERROR(__xludf.DUMMYFUNCTION("""COMPUTED_VALUE"""),51.0)</f>
        <v>51</v>
      </c>
      <c r="T403" s="14">
        <f>IFERROR(__xludf.DUMMYFUNCTION("""COMPUTED_VALUE"""),0.44)</f>
        <v>0.44</v>
      </c>
      <c r="U403" s="14">
        <f>IFERROR(__xludf.DUMMYFUNCTION("""COMPUTED_VALUE"""),0.535)</f>
        <v>0.535</v>
      </c>
      <c r="V403" s="14">
        <f>IFERROR(__xludf.DUMMYFUNCTION("""COMPUTED_VALUE"""),0.025)</f>
        <v>0.025</v>
      </c>
      <c r="W403" s="14">
        <f>IFERROR(__xludf.DUMMYFUNCTION("""COMPUTED_VALUE"""),9540362.0)</f>
        <v>9540362</v>
      </c>
      <c r="X403" s="14">
        <f>IFERROR(__xludf.DUMMYFUNCTION("""COMPUTED_VALUE"""),0.109)</f>
        <v>0.109</v>
      </c>
      <c r="Y403" s="14" t="str">
        <f>IFERROR(__xludf.DUMMYFUNCTION("""COMPUTED_VALUE"""),"Burundi-Africa")</f>
        <v>Burundi-Africa</v>
      </c>
      <c r="Z403" s="14" t="str">
        <f>IFERROR(__xludf.DUMMYFUNCTION("""COMPUTED_VALUE"""),"Africa")</f>
        <v>Africa</v>
      </c>
      <c r="AA403" s="14" t="str">
        <f>IFERROR(__xludf.DUMMYFUNCTION("""COMPUTED_VALUE"""),"2011")</f>
        <v>2011</v>
      </c>
      <c r="AB403" s="15" t="str">
        <f>IFERROR(__xludf.DUMMYFUNCTION("ARRAYFORMULA(VLOOKUP(A403,IMPORTRANGE(""https://docs.google.com/spreadsheets/d/1BuTWp7qHGjWhqrnf-OmePP568O4A5Am9ttzvVdP67zw/edit#gid=1931367683"" ,""ENERGY!$A$2:$F$2692""), {2,3,4,5,6},0))"),"Africa")</f>
        <v>Africa</v>
      </c>
      <c r="AC403" s="14" t="str">
        <f>IFERROR(__xludf.DUMMYFUNCTION("""COMPUTED_VALUE"""),"Burundi-Africa")</f>
        <v>Burundi-Africa</v>
      </c>
      <c r="AD403" s="14" t="str">
        <f>IFERROR(__xludf.DUMMYFUNCTION("""COMPUTED_VALUE"""),"2004")</f>
        <v>2004</v>
      </c>
      <c r="AE403" s="14"/>
      <c r="AF403" s="14">
        <f>IFERROR(__xludf.DUMMYFUNCTION("""COMPUTED_VALUE"""),216.0)</f>
        <v>216</v>
      </c>
    </row>
    <row r="404">
      <c r="A404" s="12">
        <v>403.0</v>
      </c>
      <c r="B404" s="12" t="s">
        <v>109</v>
      </c>
      <c r="C404" s="5" t="s">
        <v>77</v>
      </c>
      <c r="D404" s="11">
        <v>0.516</v>
      </c>
      <c r="E404" s="11">
        <v>8.0</v>
      </c>
      <c r="F404" s="11">
        <v>157.0</v>
      </c>
      <c r="G404" s="11">
        <v>274.0</v>
      </c>
      <c r="H404" s="11">
        <v>0.012</v>
      </c>
      <c r="I404" s="11">
        <v>0.228</v>
      </c>
      <c r="J404" s="9" t="s">
        <v>73</v>
      </c>
      <c r="K404" s="14" t="str">
        <f>IFERROR(__xludf.DUMMYFUNCTION("ARRAYFORMULA(VLOOKUP(A404,IMPORTRANGE(""https://docs.google.com/spreadsheets/d/1BuTWp7qHGjWhqrnf-OmePP568O4A5Am9ttzvVdP67zw/edit#gid=1603210130"", ""TOURISM!$A$2:$F$2692""), {2,3,4,5,6},0))"),"Africa")</f>
        <v>Africa</v>
      </c>
      <c r="L404" s="14">
        <f>IFERROR(__xludf.DUMMYFUNCTION("""COMPUTED_VALUE"""),2700000.0)</f>
        <v>2700000</v>
      </c>
      <c r="M404" s="14" t="str">
        <f>IFERROR(__xludf.DUMMYFUNCTION("""COMPUTED_VALUE"""),"Burundi-Africa")</f>
        <v>Burundi-Africa</v>
      </c>
      <c r="N404" s="14" t="str">
        <f>IFERROR(__xludf.DUMMYFUNCTION("""COMPUTED_VALUE"""),"2012")</f>
        <v>2012</v>
      </c>
      <c r="O404" s="14">
        <f>IFERROR(__xludf.DUMMYFUNCTION("""COMPUTED_VALUE"""),4.1E7)</f>
        <v>41000000</v>
      </c>
      <c r="P404" s="15">
        <f>IFERROR(__xludf.DUMMYFUNCTION("ARRAYFORMULA(VLOOKUP(A404,IMPORTRANGE(""https://docs.google.com/spreadsheets/d/1BuTWp7qHGjWhqrnf-OmePP568O4A5Am9ttzvVdP67zw/edit#gid=771602874"" ,""HUMAN RESOURCES!$A$2:$M$2692""), {2,3,4,5,6,7,8,9,10,11,12,13},0))"),0.045)</f>
        <v>0.045</v>
      </c>
      <c r="Q404" s="14">
        <f>IFERROR(__xludf.DUMMYFUNCTION("""COMPUTED_VALUE"""),0.057)</f>
        <v>0.057</v>
      </c>
      <c r="R404" s="14">
        <f>IFERROR(__xludf.DUMMYFUNCTION("""COMPUTED_VALUE"""),56.0)</f>
        <v>56</v>
      </c>
      <c r="S404" s="14">
        <f>IFERROR(__xludf.DUMMYFUNCTION("""COMPUTED_VALUE"""),52.0)</f>
        <v>52</v>
      </c>
      <c r="T404" s="14">
        <f>IFERROR(__xludf.DUMMYFUNCTION("""COMPUTED_VALUE"""),0.442)</f>
        <v>0.442</v>
      </c>
      <c r="U404" s="14">
        <f>IFERROR(__xludf.DUMMYFUNCTION("""COMPUTED_VALUE"""),0.534)</f>
        <v>0.534</v>
      </c>
      <c r="V404" s="14">
        <f>IFERROR(__xludf.DUMMYFUNCTION("""COMPUTED_VALUE"""),0.024)</f>
        <v>0.024</v>
      </c>
      <c r="W404" s="14">
        <f>IFERROR(__xludf.DUMMYFUNCTION("""COMPUTED_VALUE"""),9849569.0)</f>
        <v>9849569</v>
      </c>
      <c r="X404" s="14">
        <f>IFERROR(__xludf.DUMMYFUNCTION("""COMPUTED_VALUE"""),0.112)</f>
        <v>0.112</v>
      </c>
      <c r="Y404" s="14" t="str">
        <f>IFERROR(__xludf.DUMMYFUNCTION("""COMPUTED_VALUE"""),"Burundi-Africa")</f>
        <v>Burundi-Africa</v>
      </c>
      <c r="Z404" s="14" t="str">
        <f>IFERROR(__xludf.DUMMYFUNCTION("""COMPUTED_VALUE"""),"Africa")</f>
        <v>Africa</v>
      </c>
      <c r="AA404" s="14" t="str">
        <f>IFERROR(__xludf.DUMMYFUNCTION("""COMPUTED_VALUE"""),"2012")</f>
        <v>2012</v>
      </c>
      <c r="AB404" s="15" t="str">
        <f>IFERROR(__xludf.DUMMYFUNCTION("ARRAYFORMULA(VLOOKUP(A404,IMPORTRANGE(""https://docs.google.com/spreadsheets/d/1BuTWp7qHGjWhqrnf-OmePP568O4A5Am9ttzvVdP67zw/edit#gid=1931367683"" ,""ENERGY!$A$2:$F$2692""), {2,3,4,5,6},0))"),"Africa")</f>
        <v>Africa</v>
      </c>
      <c r="AC404" s="14" t="str">
        <f>IFERROR(__xludf.DUMMYFUNCTION("""COMPUTED_VALUE"""),"Burundi-Africa")</f>
        <v>Burundi-Africa</v>
      </c>
      <c r="AD404" s="14" t="str">
        <f>IFERROR(__xludf.DUMMYFUNCTION("""COMPUTED_VALUE"""),"2008")</f>
        <v>2008</v>
      </c>
      <c r="AE404" s="14"/>
      <c r="AF404" s="14">
        <f>IFERROR(__xludf.DUMMYFUNCTION("""COMPUTED_VALUE"""),301.0)</f>
        <v>301</v>
      </c>
    </row>
    <row r="405">
      <c r="A405" s="12">
        <v>404.0</v>
      </c>
      <c r="B405" s="12" t="s">
        <v>110</v>
      </c>
      <c r="C405" s="5" t="s">
        <v>61</v>
      </c>
      <c r="D405" s="8"/>
      <c r="E405" s="8"/>
      <c r="F405" s="8"/>
      <c r="G405" s="8"/>
      <c r="H405" s="11">
        <v>0.0</v>
      </c>
      <c r="I405" s="11">
        <v>0.011</v>
      </c>
      <c r="J405" s="9" t="s">
        <v>60</v>
      </c>
      <c r="K405" s="14" t="str">
        <f>IFERROR(__xludf.DUMMYFUNCTION("ARRAYFORMULA(VLOOKUP(A405,IMPORTRANGE(""https://docs.google.com/spreadsheets/d/1BuTWp7qHGjWhqrnf-OmePP568O4A5Am9ttzvVdP67zw/edit#gid=1603210130"", ""TOURISM!$A$2:$F$2692""), {2,3,4,5,6},0))"),"Asia")</f>
        <v>Asia</v>
      </c>
      <c r="L405" s="14">
        <f>IFERROR(__xludf.DUMMYFUNCTION("""COMPUTED_VALUE"""),3.45E8)</f>
        <v>345000000</v>
      </c>
      <c r="M405" s="14" t="str">
        <f>IFERROR(__xludf.DUMMYFUNCTION("""COMPUTED_VALUE"""),"Cambodia-Asia")</f>
        <v>Cambodia-Asia</v>
      </c>
      <c r="N405" s="14" t="str">
        <f>IFERROR(__xludf.DUMMYFUNCTION("""COMPUTED_VALUE"""),"2000")</f>
        <v>2000</v>
      </c>
      <c r="O405" s="14">
        <f>IFERROR(__xludf.DUMMYFUNCTION("""COMPUTED_VALUE"""),5.2E7)</f>
        <v>52000000</v>
      </c>
      <c r="P405" s="15">
        <f>IFERROR(__xludf.DUMMYFUNCTION("ARRAYFORMULA(VLOOKUP(A405,IMPORTRANGE(""https://docs.google.com/spreadsheets/d/1BuTWp7qHGjWhqrnf-OmePP568O4A5Am9ttzvVdP67zw/edit#gid=771602874"" ,""HUMAN RESOURCES!$A$2:$M$2692""), {2,3,4,5,6,7,8,9,10,11,12,13},0))"),0.028)</f>
        <v>0.028</v>
      </c>
      <c r="Q405" s="14">
        <f>IFERROR(__xludf.DUMMYFUNCTION("""COMPUTED_VALUE"""),0.082)</f>
        <v>0.082</v>
      </c>
      <c r="R405" s="14">
        <f>IFERROR(__xludf.DUMMYFUNCTION("""COMPUTED_VALUE"""),65.0)</f>
        <v>65</v>
      </c>
      <c r="S405" s="14">
        <f>IFERROR(__xludf.DUMMYFUNCTION("""COMPUTED_VALUE"""),59.0)</f>
        <v>59</v>
      </c>
      <c r="T405" s="14">
        <f>IFERROR(__xludf.DUMMYFUNCTION("""COMPUTED_VALUE"""),0.408)</f>
        <v>0.408</v>
      </c>
      <c r="U405" s="14">
        <f>IFERROR(__xludf.DUMMYFUNCTION("""COMPUTED_VALUE"""),0.554)</f>
        <v>0.554</v>
      </c>
      <c r="V405" s="14">
        <f>IFERROR(__xludf.DUMMYFUNCTION("""COMPUTED_VALUE"""),0.038)</f>
        <v>0.038</v>
      </c>
      <c r="W405" s="14">
        <f>IFERROR(__xludf.DUMMYFUNCTION("""COMPUTED_VALUE"""),1.2222871E7)</f>
        <v>12222871</v>
      </c>
      <c r="X405" s="14">
        <f>IFERROR(__xludf.DUMMYFUNCTION("""COMPUTED_VALUE"""),0.186)</f>
        <v>0.186</v>
      </c>
      <c r="Y405" s="14" t="str">
        <f>IFERROR(__xludf.DUMMYFUNCTION("""COMPUTED_VALUE"""),"Cambodia-Asia")</f>
        <v>Cambodia-Asia</v>
      </c>
      <c r="Z405" s="14" t="str">
        <f>IFERROR(__xludf.DUMMYFUNCTION("""COMPUTED_VALUE"""),"Asia")</f>
        <v>Asia</v>
      </c>
      <c r="AA405" s="14" t="str">
        <f>IFERROR(__xludf.DUMMYFUNCTION("""COMPUTED_VALUE"""),"2000")</f>
        <v>2000</v>
      </c>
      <c r="AB405" s="15" t="str">
        <f>IFERROR(__xludf.DUMMYFUNCTION("ARRAYFORMULA(VLOOKUP(A405,IMPORTRANGE(""https://docs.google.com/spreadsheets/d/1BuTWp7qHGjWhqrnf-OmePP568O4A5Am9ttzvVdP67zw/edit#gid=1931367683"" ,""ENERGY!$A$2:$F$2692""), {2,3,4,5,6},0))"),"Asia")</f>
        <v>Asia</v>
      </c>
      <c r="AC405" s="14" t="str">
        <f>IFERROR(__xludf.DUMMYFUNCTION("""COMPUTED_VALUE"""),"Cambodia-Asia")</f>
        <v>Cambodia-Asia</v>
      </c>
      <c r="AD405" s="14" t="str">
        <f>IFERROR(__xludf.DUMMYFUNCTION("""COMPUTED_VALUE"""),"2000")</f>
        <v>2000</v>
      </c>
      <c r="AE405" s="14"/>
      <c r="AF405" s="14"/>
    </row>
    <row r="406">
      <c r="A406" s="12">
        <v>405.0</v>
      </c>
      <c r="B406" s="12" t="s">
        <v>110</v>
      </c>
      <c r="C406" s="5" t="s">
        <v>61</v>
      </c>
      <c r="D406" s="8"/>
      <c r="E406" s="8"/>
      <c r="F406" s="8"/>
      <c r="G406" s="8"/>
      <c r="H406" s="11">
        <v>0.001</v>
      </c>
      <c r="I406" s="11">
        <v>0.018</v>
      </c>
      <c r="J406" s="9" t="s">
        <v>62</v>
      </c>
      <c r="K406" s="14" t="str">
        <f>IFERROR(__xludf.DUMMYFUNCTION("ARRAYFORMULA(VLOOKUP(A406,IMPORTRANGE(""https://docs.google.com/spreadsheets/d/1BuTWp7qHGjWhqrnf-OmePP568O4A5Am9ttzvVdP67zw/edit#gid=1603210130"", ""TOURISM!$A$2:$F$2692""), {2,3,4,5,6},0))"),"Asia")</f>
        <v>Asia</v>
      </c>
      <c r="L406" s="14">
        <f>IFERROR(__xludf.DUMMYFUNCTION("""COMPUTED_VALUE"""),4.29E8)</f>
        <v>429000000</v>
      </c>
      <c r="M406" s="14" t="str">
        <f>IFERROR(__xludf.DUMMYFUNCTION("""COMPUTED_VALUE"""),"Cambodia-Asia")</f>
        <v>Cambodia-Asia</v>
      </c>
      <c r="N406" s="14" t="str">
        <f>IFERROR(__xludf.DUMMYFUNCTION("""COMPUTED_VALUE"""),"2001")</f>
        <v>2001</v>
      </c>
      <c r="O406" s="14">
        <f>IFERROR(__xludf.DUMMYFUNCTION("""COMPUTED_VALUE"""),5.9E7)</f>
        <v>59000000</v>
      </c>
      <c r="P406" s="15">
        <f>IFERROR(__xludf.DUMMYFUNCTION("ARRAYFORMULA(VLOOKUP(A406,IMPORTRANGE(""https://docs.google.com/spreadsheets/d/1BuTWp7qHGjWhqrnf-OmePP568O4A5Am9ttzvVdP67zw/edit#gid=771602874"" ,""HUMAN RESOURCES!$A$2:$M$2692""), {2,3,4,5,6,7,8,9,10,11,12,13},0))"),0.027)</f>
        <v>0.027</v>
      </c>
      <c r="Q406" s="14">
        <f>IFERROR(__xludf.DUMMYFUNCTION("""COMPUTED_VALUE"""),0.076)</f>
        <v>0.076</v>
      </c>
      <c r="R406" s="14">
        <f>IFERROR(__xludf.DUMMYFUNCTION("""COMPUTED_VALUE"""),66.0)</f>
        <v>66</v>
      </c>
      <c r="S406" s="14">
        <f>IFERROR(__xludf.DUMMYFUNCTION("""COMPUTED_VALUE"""),60.0)</f>
        <v>60</v>
      </c>
      <c r="T406" s="14">
        <f>IFERROR(__xludf.DUMMYFUNCTION("""COMPUTED_VALUE"""),0.397)</f>
        <v>0.397</v>
      </c>
      <c r="U406" s="14">
        <f>IFERROR(__xludf.DUMMYFUNCTION("""COMPUTED_VALUE"""),0.564)</f>
        <v>0.564</v>
      </c>
      <c r="V406" s="14">
        <f>IFERROR(__xludf.DUMMYFUNCTION("""COMPUTED_VALUE"""),0.039)</f>
        <v>0.039</v>
      </c>
      <c r="W406" s="14">
        <f>IFERROR(__xludf.DUMMYFUNCTION("""COMPUTED_VALUE"""),1.2472586E7)</f>
        <v>12472586</v>
      </c>
      <c r="X406" s="14">
        <f>IFERROR(__xludf.DUMMYFUNCTION("""COMPUTED_VALUE"""),0.187)</f>
        <v>0.187</v>
      </c>
      <c r="Y406" s="14" t="str">
        <f>IFERROR(__xludf.DUMMYFUNCTION("""COMPUTED_VALUE"""),"Cambodia-Asia")</f>
        <v>Cambodia-Asia</v>
      </c>
      <c r="Z406" s="14" t="str">
        <f>IFERROR(__xludf.DUMMYFUNCTION("""COMPUTED_VALUE"""),"Asia")</f>
        <v>Asia</v>
      </c>
      <c r="AA406" s="14" t="str">
        <f>IFERROR(__xludf.DUMMYFUNCTION("""COMPUTED_VALUE"""),"2001")</f>
        <v>2001</v>
      </c>
      <c r="AB406" s="15" t="str">
        <f>IFERROR(__xludf.DUMMYFUNCTION("ARRAYFORMULA(VLOOKUP(A406,IMPORTRANGE(""https://docs.google.com/spreadsheets/d/1BuTWp7qHGjWhqrnf-OmePP568O4A5Am9ttzvVdP67zw/edit#gid=1931367683"" ,""ENERGY!$A$2:$F$2692""), {2,3,4,5,6},0))"),"Asia")</f>
        <v>Asia</v>
      </c>
      <c r="AC406" s="14" t="str">
        <f>IFERROR(__xludf.DUMMYFUNCTION("""COMPUTED_VALUE"""),"Cambodia-Asia")</f>
        <v>Cambodia-Asia</v>
      </c>
      <c r="AD406" s="14" t="str">
        <f>IFERROR(__xludf.DUMMYFUNCTION("""COMPUTED_VALUE"""),"2001")</f>
        <v>2001</v>
      </c>
      <c r="AE406" s="14">
        <f>IFERROR(__xludf.DUMMYFUNCTION("""COMPUTED_VALUE"""),5333.0)</f>
        <v>5333</v>
      </c>
      <c r="AF406" s="14"/>
    </row>
    <row r="407">
      <c r="A407" s="12">
        <v>406.0</v>
      </c>
      <c r="B407" s="12" t="s">
        <v>110</v>
      </c>
      <c r="C407" s="5" t="s">
        <v>61</v>
      </c>
      <c r="D407" s="8"/>
      <c r="E407" s="8"/>
      <c r="F407" s="8"/>
      <c r="G407" s="8"/>
      <c r="H407" s="11">
        <v>0.002</v>
      </c>
      <c r="I407" s="11">
        <v>0.03</v>
      </c>
      <c r="J407" s="9" t="s">
        <v>63</v>
      </c>
      <c r="K407" s="14" t="str">
        <f>IFERROR(__xludf.DUMMYFUNCTION("ARRAYFORMULA(VLOOKUP(A407,IMPORTRANGE(""https://docs.google.com/spreadsheets/d/1BuTWp7qHGjWhqrnf-OmePP568O4A5Am9ttzvVdP67zw/edit#gid=1603210130"", ""TOURISM!$A$2:$F$2692""), {2,3,4,5,6},0))"),"Asia")</f>
        <v>Asia</v>
      </c>
      <c r="L407" s="14">
        <f>IFERROR(__xludf.DUMMYFUNCTION("""COMPUTED_VALUE"""),5.09E8)</f>
        <v>509000000</v>
      </c>
      <c r="M407" s="14" t="str">
        <f>IFERROR(__xludf.DUMMYFUNCTION("""COMPUTED_VALUE"""),"Cambodia-Asia")</f>
        <v>Cambodia-Asia</v>
      </c>
      <c r="N407" s="14" t="str">
        <f>IFERROR(__xludf.DUMMYFUNCTION("""COMPUTED_VALUE"""),"2002")</f>
        <v>2002</v>
      </c>
      <c r="O407" s="14">
        <f>IFERROR(__xludf.DUMMYFUNCTION("""COMPUTED_VALUE"""),6.4E7)</f>
        <v>64000000</v>
      </c>
      <c r="P407" s="15">
        <f>IFERROR(__xludf.DUMMYFUNCTION("ARRAYFORMULA(VLOOKUP(A407,IMPORTRANGE(""https://docs.google.com/spreadsheets/d/1BuTWp7qHGjWhqrnf-OmePP568O4A5Am9ttzvVdP67zw/edit#gid=771602874"" ,""HUMAN RESOURCES!$A$2:$M$2692""), {2,3,4,5,6,7,8,9,10,11,12,13},0))"),0.027)</f>
        <v>0.027</v>
      </c>
      <c r="Q407" s="14">
        <f>IFERROR(__xludf.DUMMYFUNCTION("""COMPUTED_VALUE"""),0.069)</f>
        <v>0.069</v>
      </c>
      <c r="R407" s="14">
        <f>IFERROR(__xludf.DUMMYFUNCTION("""COMPUTED_VALUE"""),67.0)</f>
        <v>67</v>
      </c>
      <c r="S407" s="14">
        <f>IFERROR(__xludf.DUMMYFUNCTION("""COMPUTED_VALUE"""),61.0)</f>
        <v>61</v>
      </c>
      <c r="T407" s="14">
        <f>IFERROR(__xludf.DUMMYFUNCTION("""COMPUTED_VALUE"""),0.388)</f>
        <v>0.388</v>
      </c>
      <c r="U407" s="14">
        <f>IFERROR(__xludf.DUMMYFUNCTION("""COMPUTED_VALUE"""),0.572)</f>
        <v>0.572</v>
      </c>
      <c r="V407" s="14">
        <f>IFERROR(__xludf.DUMMYFUNCTION("""COMPUTED_VALUE"""),0.04)</f>
        <v>0.04</v>
      </c>
      <c r="W407" s="14">
        <f>IFERROR(__xludf.DUMMYFUNCTION("""COMPUTED_VALUE"""),1.2709336E7)</f>
        <v>12709336</v>
      </c>
      <c r="X407" s="14">
        <f>IFERROR(__xludf.DUMMYFUNCTION("""COMPUTED_VALUE"""),0.188)</f>
        <v>0.188</v>
      </c>
      <c r="Y407" s="14" t="str">
        <f>IFERROR(__xludf.DUMMYFUNCTION("""COMPUTED_VALUE"""),"Cambodia-Asia")</f>
        <v>Cambodia-Asia</v>
      </c>
      <c r="Z407" s="14" t="str">
        <f>IFERROR(__xludf.DUMMYFUNCTION("""COMPUTED_VALUE"""),"Asia")</f>
        <v>Asia</v>
      </c>
      <c r="AA407" s="14" t="str">
        <f>IFERROR(__xludf.DUMMYFUNCTION("""COMPUTED_VALUE"""),"2002")</f>
        <v>2002</v>
      </c>
      <c r="AB407" s="15" t="str">
        <f>IFERROR(__xludf.DUMMYFUNCTION("ARRAYFORMULA(VLOOKUP(A407,IMPORTRANGE(""https://docs.google.com/spreadsheets/d/1BuTWp7qHGjWhqrnf-OmePP568O4A5Am9ttzvVdP67zw/edit#gid=1931367683"" ,""ENERGY!$A$2:$F$2692""), {2,3,4,5,6},0))"),"Asia")</f>
        <v>Asia</v>
      </c>
      <c r="AC407" s="14" t="str">
        <f>IFERROR(__xludf.DUMMYFUNCTION("""COMPUTED_VALUE"""),"Cambodia-Asia")</f>
        <v>Cambodia-Asia</v>
      </c>
      <c r="AD407" s="14" t="str">
        <f>IFERROR(__xludf.DUMMYFUNCTION("""COMPUTED_VALUE"""),"2002")</f>
        <v>2002</v>
      </c>
      <c r="AE407" s="14">
        <f>IFERROR(__xludf.DUMMYFUNCTION("""COMPUTED_VALUE"""),5024.0)</f>
        <v>5024</v>
      </c>
      <c r="AF407" s="14">
        <f>IFERROR(__xludf.DUMMYFUNCTION("""COMPUTED_VALUE"""),4180.0)</f>
        <v>4180</v>
      </c>
    </row>
    <row r="408">
      <c r="A408" s="12">
        <v>407.0</v>
      </c>
      <c r="B408" s="12" t="s">
        <v>110</v>
      </c>
      <c r="C408" s="5" t="s">
        <v>61</v>
      </c>
      <c r="D408" s="8"/>
      <c r="E408" s="11">
        <v>94.0</v>
      </c>
      <c r="F408" s="8"/>
      <c r="G408" s="8"/>
      <c r="H408" s="11">
        <v>0.003</v>
      </c>
      <c r="I408" s="11">
        <v>0.039</v>
      </c>
      <c r="J408" s="9" t="s">
        <v>64</v>
      </c>
      <c r="K408" s="14" t="str">
        <f>IFERROR(__xludf.DUMMYFUNCTION("ARRAYFORMULA(VLOOKUP(A408,IMPORTRANGE(""https://docs.google.com/spreadsheets/d/1BuTWp7qHGjWhqrnf-OmePP568O4A5Am9ttzvVdP67zw/edit#gid=1603210130"", ""TOURISM!$A$2:$F$2692""), {2,3,4,5,6},0))"),"Asia")</f>
        <v>Asia</v>
      </c>
      <c r="L408" s="14">
        <f>IFERROR(__xludf.DUMMYFUNCTION("""COMPUTED_VALUE"""),4.41E8)</f>
        <v>441000000</v>
      </c>
      <c r="M408" s="14" t="str">
        <f>IFERROR(__xludf.DUMMYFUNCTION("""COMPUTED_VALUE"""),"Cambodia-Asia")</f>
        <v>Cambodia-Asia</v>
      </c>
      <c r="N408" s="14" t="str">
        <f>IFERROR(__xludf.DUMMYFUNCTION("""COMPUTED_VALUE"""),"2003")</f>
        <v>2003</v>
      </c>
      <c r="O408" s="14">
        <f>IFERROR(__xludf.DUMMYFUNCTION("""COMPUTED_VALUE"""),6.0E7)</f>
        <v>60000000</v>
      </c>
      <c r="P408" s="15">
        <f>IFERROR(__xludf.DUMMYFUNCTION("ARRAYFORMULA(VLOOKUP(A408,IMPORTRANGE(""https://docs.google.com/spreadsheets/d/1BuTWp7qHGjWhqrnf-OmePP568O4A5Am9ttzvVdP67zw/edit#gid=771602874"" ,""HUMAN RESOURCES!$A$2:$M$2692""), {2,3,4,5,6,7,8,9,10,11,12,13},0))"),0.026)</f>
        <v>0.026</v>
      </c>
      <c r="Q408" s="14">
        <f>IFERROR(__xludf.DUMMYFUNCTION("""COMPUTED_VALUE"""),0.063)</f>
        <v>0.063</v>
      </c>
      <c r="R408" s="14">
        <f>IFERROR(__xludf.DUMMYFUNCTION("""COMPUTED_VALUE"""),68.0)</f>
        <v>68</v>
      </c>
      <c r="S408" s="14">
        <f>IFERROR(__xludf.DUMMYFUNCTION("""COMPUTED_VALUE"""),62.0)</f>
        <v>62</v>
      </c>
      <c r="T408" s="14">
        <f>IFERROR(__xludf.DUMMYFUNCTION("""COMPUTED_VALUE"""),0.379)</f>
        <v>0.379</v>
      </c>
      <c r="U408" s="14">
        <f>IFERROR(__xludf.DUMMYFUNCTION("""COMPUTED_VALUE"""),0.58)</f>
        <v>0.58</v>
      </c>
      <c r="V408" s="14">
        <f>IFERROR(__xludf.DUMMYFUNCTION("""COMPUTED_VALUE"""),0.041)</f>
        <v>0.041</v>
      </c>
      <c r="W408" s="14">
        <f>IFERROR(__xludf.DUMMYFUNCTION("""COMPUTED_VALUE"""),1.2934369E7)</f>
        <v>12934369</v>
      </c>
      <c r="X408" s="14">
        <f>IFERROR(__xludf.DUMMYFUNCTION("""COMPUTED_VALUE"""),0.189)</f>
        <v>0.189</v>
      </c>
      <c r="Y408" s="14" t="str">
        <f>IFERROR(__xludf.DUMMYFUNCTION("""COMPUTED_VALUE"""),"Cambodia-Asia")</f>
        <v>Cambodia-Asia</v>
      </c>
      <c r="Z408" s="14" t="str">
        <f>IFERROR(__xludf.DUMMYFUNCTION("""COMPUTED_VALUE"""),"Asia")</f>
        <v>Asia</v>
      </c>
      <c r="AA408" s="14" t="str">
        <f>IFERROR(__xludf.DUMMYFUNCTION("""COMPUTED_VALUE"""),"2003")</f>
        <v>2003</v>
      </c>
      <c r="AB408" s="15" t="str">
        <f>IFERROR(__xludf.DUMMYFUNCTION("ARRAYFORMULA(VLOOKUP(A408,IMPORTRANGE(""https://docs.google.com/spreadsheets/d/1BuTWp7qHGjWhqrnf-OmePP568O4A5Am9ttzvVdP67zw/edit#gid=1931367683"" ,""ENERGY!$A$2:$F$2692""), {2,3,4,5,6},0))"),"Asia")</f>
        <v>Asia</v>
      </c>
      <c r="AC408" s="14" t="str">
        <f>IFERROR(__xludf.DUMMYFUNCTION("""COMPUTED_VALUE"""),"Cambodia-Asia")</f>
        <v>Cambodia-Asia</v>
      </c>
      <c r="AD408" s="14" t="str">
        <f>IFERROR(__xludf.DUMMYFUNCTION("""COMPUTED_VALUE"""),"2003")</f>
        <v>2003</v>
      </c>
      <c r="AE408" s="14">
        <f>IFERROR(__xludf.DUMMYFUNCTION("""COMPUTED_VALUE"""),4907.0)</f>
        <v>4907</v>
      </c>
      <c r="AF408" s="14">
        <f>IFERROR(__xludf.DUMMYFUNCTION("""COMPUTED_VALUE"""),4052.0)</f>
        <v>4052</v>
      </c>
    </row>
    <row r="409">
      <c r="A409" s="12">
        <v>408.0</v>
      </c>
      <c r="B409" s="12" t="s">
        <v>110</v>
      </c>
      <c r="C409" s="5" t="s">
        <v>61</v>
      </c>
      <c r="D409" s="8"/>
      <c r="E409" s="11">
        <v>94.0</v>
      </c>
      <c r="F409" s="8"/>
      <c r="G409" s="8"/>
      <c r="H409" s="11">
        <v>0.003</v>
      </c>
      <c r="I409" s="11">
        <v>0.066</v>
      </c>
      <c r="J409" s="9" t="s">
        <v>65</v>
      </c>
      <c r="K409" s="14" t="str">
        <f>IFERROR(__xludf.DUMMYFUNCTION("ARRAYFORMULA(VLOOKUP(A409,IMPORTRANGE(""https://docs.google.com/spreadsheets/d/1BuTWp7qHGjWhqrnf-OmePP568O4A5Am9ttzvVdP67zw/edit#gid=1603210130"", ""TOURISM!$A$2:$F$2692""), {2,3,4,5,6},0))"),"Asia")</f>
        <v>Asia</v>
      </c>
      <c r="L409" s="14">
        <f>IFERROR(__xludf.DUMMYFUNCTION("""COMPUTED_VALUE"""),6.73E8)</f>
        <v>673000000</v>
      </c>
      <c r="M409" s="14" t="str">
        <f>IFERROR(__xludf.DUMMYFUNCTION("""COMPUTED_VALUE"""),"Cambodia-Asia")</f>
        <v>Cambodia-Asia</v>
      </c>
      <c r="N409" s="14" t="str">
        <f>IFERROR(__xludf.DUMMYFUNCTION("""COMPUTED_VALUE"""),"2004")</f>
        <v>2004</v>
      </c>
      <c r="O409" s="14">
        <f>IFERROR(__xludf.DUMMYFUNCTION("""COMPUTED_VALUE"""),8.0E7)</f>
        <v>80000000</v>
      </c>
      <c r="P409" s="15">
        <f>IFERROR(__xludf.DUMMYFUNCTION("ARRAYFORMULA(VLOOKUP(A409,IMPORTRANGE(""https://docs.google.com/spreadsheets/d/1BuTWp7qHGjWhqrnf-OmePP568O4A5Am9ttzvVdP67zw/edit#gid=771602874"" ,""HUMAN RESOURCES!$A$2:$M$2692""), {2,3,4,5,6,7,8,9,10,11,12,13},0))"),0.026)</f>
        <v>0.026</v>
      </c>
      <c r="Q409" s="14">
        <f>IFERROR(__xludf.DUMMYFUNCTION("""COMPUTED_VALUE"""),0.057)</f>
        <v>0.057</v>
      </c>
      <c r="R409" s="14">
        <f>IFERROR(__xludf.DUMMYFUNCTION("""COMPUTED_VALUE"""),69.0)</f>
        <v>69</v>
      </c>
      <c r="S409" s="14">
        <f>IFERROR(__xludf.DUMMYFUNCTION("""COMPUTED_VALUE"""),63.0)</f>
        <v>63</v>
      </c>
      <c r="T409" s="14">
        <f>IFERROR(__xludf.DUMMYFUNCTION("""COMPUTED_VALUE"""),0.37)</f>
        <v>0.37</v>
      </c>
      <c r="U409" s="14">
        <f>IFERROR(__xludf.DUMMYFUNCTION("""COMPUTED_VALUE"""),0.588)</f>
        <v>0.588</v>
      </c>
      <c r="V409" s="14">
        <f>IFERROR(__xludf.DUMMYFUNCTION("""COMPUTED_VALUE"""),0.043)</f>
        <v>0.043</v>
      </c>
      <c r="W409" s="14">
        <f>IFERROR(__xludf.DUMMYFUNCTION("""COMPUTED_VALUE"""),1.3149386E7)</f>
        <v>13149386</v>
      </c>
      <c r="X409" s="14">
        <f>IFERROR(__xludf.DUMMYFUNCTION("""COMPUTED_VALUE"""),0.191)</f>
        <v>0.191</v>
      </c>
      <c r="Y409" s="14" t="str">
        <f>IFERROR(__xludf.DUMMYFUNCTION("""COMPUTED_VALUE"""),"Cambodia-Asia")</f>
        <v>Cambodia-Asia</v>
      </c>
      <c r="Z409" s="14" t="str">
        <f>IFERROR(__xludf.DUMMYFUNCTION("""COMPUTED_VALUE"""),"Asia")</f>
        <v>Asia</v>
      </c>
      <c r="AA409" s="14" t="str">
        <f>IFERROR(__xludf.DUMMYFUNCTION("""COMPUTED_VALUE"""),"2004")</f>
        <v>2004</v>
      </c>
      <c r="AB409" s="15" t="str">
        <f>IFERROR(__xludf.DUMMYFUNCTION("ARRAYFORMULA(VLOOKUP(A409,IMPORTRANGE(""https://docs.google.com/spreadsheets/d/1BuTWp7qHGjWhqrnf-OmePP568O4A5Am9ttzvVdP67zw/edit#gid=1931367683"" ,""ENERGY!$A$2:$F$2692""), {2,3,4,5,6},0))"),"Asia")</f>
        <v>Asia</v>
      </c>
      <c r="AC409" s="14" t="str">
        <f>IFERROR(__xludf.DUMMYFUNCTION("""COMPUTED_VALUE"""),"Cambodia-Asia")</f>
        <v>Cambodia-Asia</v>
      </c>
      <c r="AD409" s="14" t="str">
        <f>IFERROR(__xludf.DUMMYFUNCTION("""COMPUTED_VALUE"""),"2004")</f>
        <v>2004</v>
      </c>
      <c r="AE409" s="14">
        <f>IFERROR(__xludf.DUMMYFUNCTION("""COMPUTED_VALUE"""),3514.0)</f>
        <v>3514</v>
      </c>
      <c r="AF409" s="14">
        <f>IFERROR(__xludf.DUMMYFUNCTION("""COMPUTED_VALUE"""),3975.0)</f>
        <v>3975</v>
      </c>
    </row>
    <row r="410">
      <c r="A410" s="12">
        <v>409.0</v>
      </c>
      <c r="B410" s="12" t="s">
        <v>110</v>
      </c>
      <c r="C410" s="5" t="s">
        <v>61</v>
      </c>
      <c r="D410" s="11">
        <v>0.215</v>
      </c>
      <c r="E410" s="11">
        <v>86.0</v>
      </c>
      <c r="F410" s="8"/>
      <c r="G410" s="11">
        <v>137.0</v>
      </c>
      <c r="H410" s="11">
        <v>0.003</v>
      </c>
      <c r="I410" s="11">
        <v>0.08</v>
      </c>
      <c r="J410" s="9" t="s">
        <v>66</v>
      </c>
      <c r="K410" s="14" t="str">
        <f>IFERROR(__xludf.DUMMYFUNCTION("ARRAYFORMULA(VLOOKUP(A410,IMPORTRANGE(""https://docs.google.com/spreadsheets/d/1BuTWp7qHGjWhqrnf-OmePP568O4A5Am9ttzvVdP67zw/edit#gid=1603210130"", ""TOURISM!$A$2:$F$2692""), {2,3,4,5,6},0))"),"Asia")</f>
        <v>Asia</v>
      </c>
      <c r="L410" s="14">
        <f>IFERROR(__xludf.DUMMYFUNCTION("""COMPUTED_VALUE"""),9.29E8)</f>
        <v>929000000</v>
      </c>
      <c r="M410" s="14" t="str">
        <f>IFERROR(__xludf.DUMMYFUNCTION("""COMPUTED_VALUE"""),"Cambodia-Asia")</f>
        <v>Cambodia-Asia</v>
      </c>
      <c r="N410" s="14" t="str">
        <f>IFERROR(__xludf.DUMMYFUNCTION("""COMPUTED_VALUE"""),"2005")</f>
        <v>2005</v>
      </c>
      <c r="O410" s="14">
        <f>IFERROR(__xludf.DUMMYFUNCTION("""COMPUTED_VALUE"""),1.37E8)</f>
        <v>137000000</v>
      </c>
      <c r="P410" s="15">
        <f>IFERROR(__xludf.DUMMYFUNCTION("ARRAYFORMULA(VLOOKUP(A410,IMPORTRANGE(""https://docs.google.com/spreadsheets/d/1BuTWp7qHGjWhqrnf-OmePP568O4A5Am9ttzvVdP67zw/edit#gid=771602874"" ,""HUMAN RESOURCES!$A$2:$M$2692""), {2,3,4,5,6,7,8,9,10,11,12,13},0))"),0.026)</f>
        <v>0.026</v>
      </c>
      <c r="Q410" s="14">
        <f>IFERROR(__xludf.DUMMYFUNCTION("""COMPUTED_VALUE"""),0.052)</f>
        <v>0.052</v>
      </c>
      <c r="R410" s="14">
        <f>IFERROR(__xludf.DUMMYFUNCTION("""COMPUTED_VALUE"""),70.0)</f>
        <v>70</v>
      </c>
      <c r="S410" s="14">
        <f>IFERROR(__xludf.DUMMYFUNCTION("""COMPUTED_VALUE"""),65.0)</f>
        <v>65</v>
      </c>
      <c r="T410" s="14">
        <f>IFERROR(__xludf.DUMMYFUNCTION("""COMPUTED_VALUE"""),0.361)</f>
        <v>0.361</v>
      </c>
      <c r="U410" s="14">
        <f>IFERROR(__xludf.DUMMYFUNCTION("""COMPUTED_VALUE"""),0.595)</f>
        <v>0.595</v>
      </c>
      <c r="V410" s="14">
        <f>IFERROR(__xludf.DUMMYFUNCTION("""COMPUTED_VALUE"""),0.044)</f>
        <v>0.044</v>
      </c>
      <c r="W410" s="14">
        <f>IFERROR(__xludf.DUMMYFUNCTION("""COMPUTED_VALUE"""),1.3356424E7)</f>
        <v>13356424</v>
      </c>
      <c r="X410" s="14">
        <f>IFERROR(__xludf.DUMMYFUNCTION("""COMPUTED_VALUE"""),0.192)</f>
        <v>0.192</v>
      </c>
      <c r="Y410" s="14" t="str">
        <f>IFERROR(__xludf.DUMMYFUNCTION("""COMPUTED_VALUE"""),"Cambodia-Asia")</f>
        <v>Cambodia-Asia</v>
      </c>
      <c r="Z410" s="14" t="str">
        <f>IFERROR(__xludf.DUMMYFUNCTION("""COMPUTED_VALUE"""),"Asia")</f>
        <v>Asia</v>
      </c>
      <c r="AA410" s="14" t="str">
        <f>IFERROR(__xludf.DUMMYFUNCTION("""COMPUTED_VALUE"""),"2005")</f>
        <v>2005</v>
      </c>
      <c r="AB410" s="15" t="str">
        <f>IFERROR(__xludf.DUMMYFUNCTION("ARRAYFORMULA(VLOOKUP(A410,IMPORTRANGE(""https://docs.google.com/spreadsheets/d/1BuTWp7qHGjWhqrnf-OmePP568O4A5Am9ttzvVdP67zw/edit#gid=1931367683"" ,""ENERGY!$A$2:$F$2692""), {2,3,4,5,6},0))"),"Asia")</f>
        <v>Asia</v>
      </c>
      <c r="AC410" s="14" t="str">
        <f>IFERROR(__xludf.DUMMYFUNCTION("""COMPUTED_VALUE"""),"Cambodia-Asia")</f>
        <v>Cambodia-Asia</v>
      </c>
      <c r="AD410" s="14" t="str">
        <f>IFERROR(__xludf.DUMMYFUNCTION("""COMPUTED_VALUE"""),"2006")</f>
        <v>2006</v>
      </c>
      <c r="AE410" s="14">
        <f>IFERROR(__xludf.DUMMYFUNCTION("""COMPUTED_VALUE"""),3482.0)</f>
        <v>3482</v>
      </c>
      <c r="AF410" s="14">
        <f>IFERROR(__xludf.DUMMYFUNCTION("""COMPUTED_VALUE"""),3484.0)</f>
        <v>3484</v>
      </c>
    </row>
    <row r="411">
      <c r="A411" s="12">
        <v>410.0</v>
      </c>
      <c r="B411" s="12" t="s">
        <v>110</v>
      </c>
      <c r="C411" s="5" t="s">
        <v>61</v>
      </c>
      <c r="D411" s="11">
        <v>0.215</v>
      </c>
      <c r="E411" s="11">
        <v>86.0</v>
      </c>
      <c r="F411" s="8"/>
      <c r="G411" s="11">
        <v>137.0</v>
      </c>
      <c r="H411" s="11">
        <v>0.005</v>
      </c>
      <c r="I411" s="11">
        <v>0.127</v>
      </c>
      <c r="J411" s="9" t="s">
        <v>67</v>
      </c>
      <c r="K411" s="14" t="str">
        <f>IFERROR(__xludf.DUMMYFUNCTION("ARRAYFORMULA(VLOOKUP(A411,IMPORTRANGE(""https://docs.google.com/spreadsheets/d/1BuTWp7qHGjWhqrnf-OmePP568O4A5Am9ttzvVdP67zw/edit#gid=1603210130"", ""TOURISM!$A$2:$F$2692""), {2,3,4,5,6},0))"),"Asia")</f>
        <v>Asia</v>
      </c>
      <c r="L411" s="14">
        <f>IFERROR(__xludf.DUMMYFUNCTION("""COMPUTED_VALUE"""),1.109E9)</f>
        <v>1109000000</v>
      </c>
      <c r="M411" s="14" t="str">
        <f>IFERROR(__xludf.DUMMYFUNCTION("""COMPUTED_VALUE"""),"Cambodia-Asia")</f>
        <v>Cambodia-Asia</v>
      </c>
      <c r="N411" s="14" t="str">
        <f>IFERROR(__xludf.DUMMYFUNCTION("""COMPUTED_VALUE"""),"2006")</f>
        <v>2006</v>
      </c>
      <c r="O411" s="14">
        <f>IFERROR(__xludf.DUMMYFUNCTION("""COMPUTED_VALUE"""),1.76E8)</f>
        <v>176000000</v>
      </c>
      <c r="P411" s="15">
        <f>IFERROR(__xludf.DUMMYFUNCTION("ARRAYFORMULA(VLOOKUP(A411,IMPORTRANGE(""https://docs.google.com/spreadsheets/d/1BuTWp7qHGjWhqrnf-OmePP568O4A5Am9ttzvVdP67zw/edit#gid=771602874"" ,""HUMAN RESOURCES!$A$2:$M$2692""), {2,3,4,5,6,7,8,9,10,11,12,13},0))"),0.026)</f>
        <v>0.026</v>
      </c>
      <c r="Q411" s="14">
        <f>IFERROR(__xludf.DUMMYFUNCTION("""COMPUTED_VALUE"""),0.048)</f>
        <v>0.048</v>
      </c>
      <c r="R411" s="14">
        <f>IFERROR(__xludf.DUMMYFUNCTION("""COMPUTED_VALUE"""),71.0)</f>
        <v>71</v>
      </c>
      <c r="S411" s="14">
        <f>IFERROR(__xludf.DUMMYFUNCTION("""COMPUTED_VALUE"""),65.0)</f>
        <v>65</v>
      </c>
      <c r="T411" s="14">
        <f>IFERROR(__xludf.DUMMYFUNCTION("""COMPUTED_VALUE"""),0.351)</f>
        <v>0.351</v>
      </c>
      <c r="U411" s="14">
        <f>IFERROR(__xludf.DUMMYFUNCTION("""COMPUTED_VALUE"""),0.604)</f>
        <v>0.604</v>
      </c>
      <c r="V411" s="14">
        <f>IFERROR(__xludf.DUMMYFUNCTION("""COMPUTED_VALUE"""),0.045)</f>
        <v>0.045</v>
      </c>
      <c r="W411" s="14">
        <f>IFERROR(__xludf.DUMMYFUNCTION("""COMPUTED_VALUE"""),1.3555054E7)</f>
        <v>13555054</v>
      </c>
      <c r="X411" s="14">
        <f>IFERROR(__xludf.DUMMYFUNCTION("""COMPUTED_VALUE"""),0.193)</f>
        <v>0.193</v>
      </c>
      <c r="Y411" s="14" t="str">
        <f>IFERROR(__xludf.DUMMYFUNCTION("""COMPUTED_VALUE"""),"Cambodia-Asia")</f>
        <v>Cambodia-Asia</v>
      </c>
      <c r="Z411" s="14" t="str">
        <f>IFERROR(__xludf.DUMMYFUNCTION("""COMPUTED_VALUE"""),"Asia")</f>
        <v>Asia</v>
      </c>
      <c r="AA411" s="14" t="str">
        <f>IFERROR(__xludf.DUMMYFUNCTION("""COMPUTED_VALUE"""),"2006")</f>
        <v>2006</v>
      </c>
      <c r="AB411" s="15" t="str">
        <f>IFERROR(__xludf.DUMMYFUNCTION("ARRAYFORMULA(VLOOKUP(A411,IMPORTRANGE(""https://docs.google.com/spreadsheets/d/1BuTWp7qHGjWhqrnf-OmePP568O4A5Am9ttzvVdP67zw/edit#gid=1931367683"" ,""ENERGY!$A$2:$F$2692""), {2,3,4,5,6},0))"),"Asia")</f>
        <v>Asia</v>
      </c>
      <c r="AC411" s="14" t="str">
        <f>IFERROR(__xludf.DUMMYFUNCTION("""COMPUTED_VALUE"""),"Cambodia-Asia")</f>
        <v>Cambodia-Asia</v>
      </c>
      <c r="AD411" s="14" t="str">
        <f>IFERROR(__xludf.DUMMYFUNCTION("""COMPUTED_VALUE"""),"2010")</f>
        <v>2010</v>
      </c>
      <c r="AE411" s="14">
        <f>IFERROR(__xludf.DUMMYFUNCTION("""COMPUTED_VALUE"""),3429.0)</f>
        <v>3429</v>
      </c>
      <c r="AF411" s="14">
        <f>IFERROR(__xludf.DUMMYFUNCTION("""COMPUTED_VALUE"""),3000.0)</f>
        <v>3000</v>
      </c>
    </row>
    <row r="412">
      <c r="A412" s="12">
        <v>411.0</v>
      </c>
      <c r="B412" s="12" t="s">
        <v>110</v>
      </c>
      <c r="C412" s="5" t="s">
        <v>61</v>
      </c>
      <c r="D412" s="11">
        <v>0.215</v>
      </c>
      <c r="E412" s="11">
        <v>86.0</v>
      </c>
      <c r="F412" s="8"/>
      <c r="G412" s="11">
        <v>137.0</v>
      </c>
      <c r="H412" s="11">
        <v>0.005</v>
      </c>
      <c r="I412" s="11">
        <v>0.188</v>
      </c>
      <c r="J412" s="9" t="s">
        <v>68</v>
      </c>
      <c r="K412" s="14" t="str">
        <f>IFERROR(__xludf.DUMMYFUNCTION("ARRAYFORMULA(VLOOKUP(A412,IMPORTRANGE(""https://docs.google.com/spreadsheets/d/1BuTWp7qHGjWhqrnf-OmePP568O4A5Am9ttzvVdP67zw/edit#gid=1603210130"", ""TOURISM!$A$2:$F$2692""), {2,3,4,5,6},0))"),"Asia")</f>
        <v>Asia</v>
      </c>
      <c r="L412" s="14">
        <f>IFERROR(__xludf.DUMMYFUNCTION("""COMPUTED_VALUE"""),1.169E9)</f>
        <v>1169000000</v>
      </c>
      <c r="M412" s="14" t="str">
        <f>IFERROR(__xludf.DUMMYFUNCTION("""COMPUTED_VALUE"""),"Cambodia-Asia")</f>
        <v>Cambodia-Asia</v>
      </c>
      <c r="N412" s="14" t="str">
        <f>IFERROR(__xludf.DUMMYFUNCTION("""COMPUTED_VALUE"""),"2007")</f>
        <v>2007</v>
      </c>
      <c r="O412" s="14">
        <f>IFERROR(__xludf.DUMMYFUNCTION("""COMPUTED_VALUE"""),1.94E8)</f>
        <v>194000000</v>
      </c>
      <c r="P412" s="15">
        <f>IFERROR(__xludf.DUMMYFUNCTION("ARRAYFORMULA(VLOOKUP(A412,IMPORTRANGE(""https://docs.google.com/spreadsheets/d/1BuTWp7qHGjWhqrnf-OmePP568O4A5Am9ttzvVdP67zw/edit#gid=771602874"" ,""HUMAN RESOURCES!$A$2:$M$2692""), {2,3,4,5,6,7,8,9,10,11,12,13},0))"),0.026)</f>
        <v>0.026</v>
      </c>
      <c r="Q412" s="14">
        <f>IFERROR(__xludf.DUMMYFUNCTION("""COMPUTED_VALUE"""),0.045)</f>
        <v>0.045</v>
      </c>
      <c r="R412" s="14">
        <f>IFERROR(__xludf.DUMMYFUNCTION("""COMPUTED_VALUE"""),72.0)</f>
        <v>72</v>
      </c>
      <c r="S412" s="14">
        <f>IFERROR(__xludf.DUMMYFUNCTION("""COMPUTED_VALUE"""),66.0)</f>
        <v>66</v>
      </c>
      <c r="T412" s="14">
        <f>IFERROR(__xludf.DUMMYFUNCTION("""COMPUTED_VALUE"""),0.341)</f>
        <v>0.341</v>
      </c>
      <c r="U412" s="14">
        <f>IFERROR(__xludf.DUMMYFUNCTION("""COMPUTED_VALUE"""),0.612)</f>
        <v>0.612</v>
      </c>
      <c r="V412" s="14">
        <f>IFERROR(__xludf.DUMMYFUNCTION("""COMPUTED_VALUE"""),0.046)</f>
        <v>0.046</v>
      </c>
      <c r="W412" s="14">
        <f>IFERROR(__xludf.DUMMYFUNCTION("""COMPUTED_VALUE"""),1.3747288E7)</f>
        <v>13747288</v>
      </c>
      <c r="X412" s="14">
        <f>IFERROR(__xludf.DUMMYFUNCTION("""COMPUTED_VALUE"""),0.194)</f>
        <v>0.194</v>
      </c>
      <c r="Y412" s="14" t="str">
        <f>IFERROR(__xludf.DUMMYFUNCTION("""COMPUTED_VALUE"""),"Cambodia-Asia")</f>
        <v>Cambodia-Asia</v>
      </c>
      <c r="Z412" s="14" t="str">
        <f>IFERROR(__xludf.DUMMYFUNCTION("""COMPUTED_VALUE"""),"Asia")</f>
        <v>Asia</v>
      </c>
      <c r="AA412" s="14" t="str">
        <f>IFERROR(__xludf.DUMMYFUNCTION("""COMPUTED_VALUE"""),"2007")</f>
        <v>2007</v>
      </c>
      <c r="AB412" s="15" t="str">
        <f>IFERROR(__xludf.DUMMYFUNCTION("ARRAYFORMULA(VLOOKUP(A412,IMPORTRANGE(""https://docs.google.com/spreadsheets/d/1BuTWp7qHGjWhqrnf-OmePP568O4A5Am9ttzvVdP67zw/edit#gid=1931367683"" ,""ENERGY!$A$2:$F$2692""), {2,3,4,5,6},0))"),"Asia")</f>
        <v>Asia</v>
      </c>
      <c r="AC412" s="14" t="str">
        <f>IFERROR(__xludf.DUMMYFUNCTION("""COMPUTED_VALUE"""),"Cambodia-Asia")</f>
        <v>Cambodia-Asia</v>
      </c>
      <c r="AD412" s="14" t="str">
        <f>IFERROR(__xludf.DUMMYFUNCTION("""COMPUTED_VALUE"""),"2006")</f>
        <v>2006</v>
      </c>
      <c r="AE412" s="14">
        <f>IFERROR(__xludf.DUMMYFUNCTION("""COMPUTED_VALUE"""),3436.0)</f>
        <v>3436</v>
      </c>
      <c r="AF412" s="14">
        <f>IFERROR(__xludf.DUMMYFUNCTION("""COMPUTED_VALUE"""),2776.0)</f>
        <v>2776</v>
      </c>
    </row>
    <row r="413">
      <c r="A413" s="12">
        <v>412.0</v>
      </c>
      <c r="B413" s="12" t="s">
        <v>110</v>
      </c>
      <c r="C413" s="5" t="s">
        <v>61</v>
      </c>
      <c r="D413" s="11">
        <v>0.215</v>
      </c>
      <c r="E413" s="11">
        <v>102.0</v>
      </c>
      <c r="F413" s="8"/>
      <c r="G413" s="11">
        <v>137.0</v>
      </c>
      <c r="H413" s="11">
        <v>0.005</v>
      </c>
      <c r="I413" s="11">
        <v>0.304</v>
      </c>
      <c r="J413" s="9" t="s">
        <v>69</v>
      </c>
      <c r="K413" s="14" t="str">
        <f>IFERROR(__xludf.DUMMYFUNCTION("ARRAYFORMULA(VLOOKUP(A413,IMPORTRANGE(""https://docs.google.com/spreadsheets/d/1BuTWp7qHGjWhqrnf-OmePP568O4A5Am9ttzvVdP67zw/edit#gid=1603210130"", ""TOURISM!$A$2:$F$2692""), {2,3,4,5,6},0))"),"Asia")</f>
        <v>Asia</v>
      </c>
      <c r="L413" s="14">
        <f>IFERROR(__xludf.DUMMYFUNCTION("""COMPUTED_VALUE"""),1.28E9)</f>
        <v>1280000000</v>
      </c>
      <c r="M413" s="14" t="str">
        <f>IFERROR(__xludf.DUMMYFUNCTION("""COMPUTED_VALUE"""),"Cambodia-Asia")</f>
        <v>Cambodia-Asia</v>
      </c>
      <c r="N413" s="14" t="str">
        <f>IFERROR(__xludf.DUMMYFUNCTION("""COMPUTED_VALUE"""),"2008")</f>
        <v>2008</v>
      </c>
      <c r="O413" s="14">
        <f>IFERROR(__xludf.DUMMYFUNCTION("""COMPUTED_VALUE"""),1.8E8)</f>
        <v>180000000</v>
      </c>
      <c r="P413" s="15">
        <f>IFERROR(__xludf.DUMMYFUNCTION("ARRAYFORMULA(VLOOKUP(A413,IMPORTRANGE(""https://docs.google.com/spreadsheets/d/1BuTWp7qHGjWhqrnf-OmePP568O4A5Am9ttzvVdP67zw/edit#gid=771602874"" ,""HUMAN RESOURCES!$A$2:$M$2692""), {2,3,4,5,6,7,8,9,10,11,12,13},0))"),0.026)</f>
        <v>0.026</v>
      </c>
      <c r="Q413" s="14">
        <f>IFERROR(__xludf.DUMMYFUNCTION("""COMPUTED_VALUE"""),0.042)</f>
        <v>0.042</v>
      </c>
      <c r="R413" s="14">
        <f>IFERROR(__xludf.DUMMYFUNCTION("""COMPUTED_VALUE"""),72.0)</f>
        <v>72</v>
      </c>
      <c r="S413" s="14">
        <f>IFERROR(__xludf.DUMMYFUNCTION("""COMPUTED_VALUE"""),67.0)</f>
        <v>67</v>
      </c>
      <c r="T413" s="14">
        <f>IFERROR(__xludf.DUMMYFUNCTION("""COMPUTED_VALUE"""),0.332)</f>
        <v>0.332</v>
      </c>
      <c r="U413" s="14">
        <f>IFERROR(__xludf.DUMMYFUNCTION("""COMPUTED_VALUE"""),0.62)</f>
        <v>0.62</v>
      </c>
      <c r="V413" s="14">
        <f>IFERROR(__xludf.DUMMYFUNCTION("""COMPUTED_VALUE"""),0.048)</f>
        <v>0.048</v>
      </c>
      <c r="W413" s="14">
        <f>IFERROR(__xludf.DUMMYFUNCTION("""COMPUTED_VALUE"""),1.3940518E7)</f>
        <v>13940518</v>
      </c>
      <c r="X413" s="14">
        <f>IFERROR(__xludf.DUMMYFUNCTION("""COMPUTED_VALUE"""),0.195)</f>
        <v>0.195</v>
      </c>
      <c r="Y413" s="14" t="str">
        <f>IFERROR(__xludf.DUMMYFUNCTION("""COMPUTED_VALUE"""),"Cambodia-Asia")</f>
        <v>Cambodia-Asia</v>
      </c>
      <c r="Z413" s="14" t="str">
        <f>IFERROR(__xludf.DUMMYFUNCTION("""COMPUTED_VALUE"""),"Asia")</f>
        <v>Asia</v>
      </c>
      <c r="AA413" s="14" t="str">
        <f>IFERROR(__xludf.DUMMYFUNCTION("""COMPUTED_VALUE"""),"2008")</f>
        <v>2008</v>
      </c>
      <c r="AB413" s="15" t="str">
        <f>IFERROR(__xludf.DUMMYFUNCTION("ARRAYFORMULA(VLOOKUP(A413,IMPORTRANGE(""https://docs.google.com/spreadsheets/d/1BuTWp7qHGjWhqrnf-OmePP568O4A5Am9ttzvVdP67zw/edit#gid=1931367683"" ,""ENERGY!$A$2:$F$2692""), {2,3,4,5,6},0))"),"Asia")</f>
        <v>Asia</v>
      </c>
      <c r="AC413" s="14" t="str">
        <f>IFERROR(__xludf.DUMMYFUNCTION("""COMPUTED_VALUE"""),"Cambodia-Asia")</f>
        <v>Cambodia-Asia</v>
      </c>
      <c r="AD413" s="14" t="str">
        <f>IFERROR(__xludf.DUMMYFUNCTION("""COMPUTED_VALUE"""),"2012")</f>
        <v>2012</v>
      </c>
      <c r="AE413" s="14">
        <f>IFERROR(__xludf.DUMMYFUNCTION("""COMPUTED_VALUE"""),3389.0)</f>
        <v>3389</v>
      </c>
      <c r="AF413" s="14">
        <f>IFERROR(__xludf.DUMMYFUNCTION("""COMPUTED_VALUE"""),2446.0)</f>
        <v>2446</v>
      </c>
    </row>
    <row r="414">
      <c r="A414" s="12">
        <v>413.0</v>
      </c>
      <c r="B414" s="12" t="s">
        <v>110</v>
      </c>
      <c r="C414" s="5" t="s">
        <v>61</v>
      </c>
      <c r="D414" s="11">
        <v>0.217</v>
      </c>
      <c r="E414" s="11">
        <v>102.0</v>
      </c>
      <c r="F414" s="8"/>
      <c r="G414" s="11">
        <v>173.0</v>
      </c>
      <c r="H414" s="11">
        <v>0.005</v>
      </c>
      <c r="I414" s="11">
        <v>0.443</v>
      </c>
      <c r="J414" s="9" t="s">
        <v>70</v>
      </c>
      <c r="K414" s="14" t="str">
        <f>IFERROR(__xludf.DUMMYFUNCTION("ARRAYFORMULA(VLOOKUP(A414,IMPORTRANGE(""https://docs.google.com/spreadsheets/d/1BuTWp7qHGjWhqrnf-OmePP568O4A5Am9ttzvVdP67zw/edit#gid=1603210130"", ""TOURISM!$A$2:$F$2692""), {2,3,4,5,6},0))"),"Asia")</f>
        <v>Asia</v>
      </c>
      <c r="L414" s="14">
        <f>IFERROR(__xludf.DUMMYFUNCTION("""COMPUTED_VALUE"""),1.208E9)</f>
        <v>1208000000</v>
      </c>
      <c r="M414" s="14" t="str">
        <f>IFERROR(__xludf.DUMMYFUNCTION("""COMPUTED_VALUE"""),"Cambodia-Asia")</f>
        <v>Cambodia-Asia</v>
      </c>
      <c r="N414" s="14" t="str">
        <f>IFERROR(__xludf.DUMMYFUNCTION("""COMPUTED_VALUE"""),"2009")</f>
        <v>2009</v>
      </c>
      <c r="O414" s="14">
        <f>IFERROR(__xludf.DUMMYFUNCTION("""COMPUTED_VALUE"""),1.63E8)</f>
        <v>163000000</v>
      </c>
      <c r="P414" s="15">
        <f>IFERROR(__xludf.DUMMYFUNCTION("ARRAYFORMULA(VLOOKUP(A414,IMPORTRANGE(""https://docs.google.com/spreadsheets/d/1BuTWp7qHGjWhqrnf-OmePP568O4A5Am9ttzvVdP67zw/edit#gid=771602874"" ,""HUMAN RESOURCES!$A$2:$M$2692""), {2,3,4,5,6,7,8,9,10,11,12,13},0))"),0.026)</f>
        <v>0.026</v>
      </c>
      <c r="Q414" s="14">
        <f>IFERROR(__xludf.DUMMYFUNCTION("""COMPUTED_VALUE"""),0.039)</f>
        <v>0.039</v>
      </c>
      <c r="R414" s="14">
        <f>IFERROR(__xludf.DUMMYFUNCTION("""COMPUTED_VALUE"""),73.0)</f>
        <v>73</v>
      </c>
      <c r="S414" s="14">
        <f>IFERROR(__xludf.DUMMYFUNCTION("""COMPUTED_VALUE"""),68.0)</f>
        <v>68</v>
      </c>
      <c r="T414" s="14">
        <f>IFERROR(__xludf.DUMMYFUNCTION("""COMPUTED_VALUE"""),0.324)</f>
        <v>0.324</v>
      </c>
      <c r="U414" s="14">
        <f>IFERROR(__xludf.DUMMYFUNCTION("""COMPUTED_VALUE"""),0.627)</f>
        <v>0.627</v>
      </c>
      <c r="V414" s="14">
        <f>IFERROR(__xludf.DUMMYFUNCTION("""COMPUTED_VALUE"""),0.049)</f>
        <v>0.049</v>
      </c>
      <c r="W414" s="14">
        <f>IFERROR(__xludf.DUMMYFUNCTION("""COMPUTED_VALUE"""),1.4144225E7)</f>
        <v>14144225</v>
      </c>
      <c r="X414" s="14">
        <f>IFERROR(__xludf.DUMMYFUNCTION("""COMPUTED_VALUE"""),0.197)</f>
        <v>0.197</v>
      </c>
      <c r="Y414" s="14" t="str">
        <f>IFERROR(__xludf.DUMMYFUNCTION("""COMPUTED_VALUE"""),"Cambodia-Asia")</f>
        <v>Cambodia-Asia</v>
      </c>
      <c r="Z414" s="14" t="str">
        <f>IFERROR(__xludf.DUMMYFUNCTION("""COMPUTED_VALUE"""),"Asia")</f>
        <v>Asia</v>
      </c>
      <c r="AA414" s="14" t="str">
        <f>IFERROR(__xludf.DUMMYFUNCTION("""COMPUTED_VALUE"""),"2009")</f>
        <v>2009</v>
      </c>
      <c r="AB414" s="15" t="str">
        <f>IFERROR(__xludf.DUMMYFUNCTION("ARRAYFORMULA(VLOOKUP(A414,IMPORTRANGE(""https://docs.google.com/spreadsheets/d/1BuTWp7qHGjWhqrnf-OmePP568O4A5Am9ttzvVdP67zw/edit#gid=1931367683"" ,""ENERGY!$A$2:$F$2692""), {2,3,4,5,6},0))"),"Asia")</f>
        <v>Asia</v>
      </c>
      <c r="AC414" s="14" t="str">
        <f>IFERROR(__xludf.DUMMYFUNCTION("""COMPUTED_VALUE"""),"Cambodia-Asia")</f>
        <v>Cambodia-Asia</v>
      </c>
      <c r="AD414" s="14" t="str">
        <f>IFERROR(__xludf.DUMMYFUNCTION("""COMPUTED_VALUE"""),"2009")</f>
        <v>2009</v>
      </c>
      <c r="AE414" s="14">
        <f>IFERROR(__xludf.DUMMYFUNCTION("""COMPUTED_VALUE"""),4115.0)</f>
        <v>4115</v>
      </c>
      <c r="AF414" s="14">
        <f>IFERROR(__xludf.DUMMYFUNCTION("""COMPUTED_VALUE"""),2380.0)</f>
        <v>2380</v>
      </c>
    </row>
    <row r="415">
      <c r="A415" s="12">
        <v>414.0</v>
      </c>
      <c r="B415" s="12" t="s">
        <v>110</v>
      </c>
      <c r="C415" s="5" t="s">
        <v>61</v>
      </c>
      <c r="D415" s="11">
        <v>0.214</v>
      </c>
      <c r="E415" s="11">
        <v>102.0</v>
      </c>
      <c r="F415" s="8"/>
      <c r="G415" s="11">
        <v>173.0</v>
      </c>
      <c r="H415" s="11">
        <v>0.013</v>
      </c>
      <c r="I415" s="11">
        <v>0.567</v>
      </c>
      <c r="J415" s="9" t="s">
        <v>71</v>
      </c>
      <c r="K415" s="14" t="str">
        <f>IFERROR(__xludf.DUMMYFUNCTION("ARRAYFORMULA(VLOOKUP(A415,IMPORTRANGE(""https://docs.google.com/spreadsheets/d/1BuTWp7qHGjWhqrnf-OmePP568O4A5Am9ttzvVdP67zw/edit#gid=1603210130"", ""TOURISM!$A$2:$F$2692""), {2,3,4,5,6},0))"),"Asia")</f>
        <v>Asia</v>
      </c>
      <c r="L415" s="14">
        <f>IFERROR(__xludf.DUMMYFUNCTION("""COMPUTED_VALUE"""),1.332E9)</f>
        <v>1332000000</v>
      </c>
      <c r="M415" s="14" t="str">
        <f>IFERROR(__xludf.DUMMYFUNCTION("""COMPUTED_VALUE"""),"Cambodia-Asia")</f>
        <v>Cambodia-Asia</v>
      </c>
      <c r="N415" s="14" t="str">
        <f>IFERROR(__xludf.DUMMYFUNCTION("""COMPUTED_VALUE"""),"2010")</f>
        <v>2010</v>
      </c>
      <c r="O415" s="14">
        <f>IFERROR(__xludf.DUMMYFUNCTION("""COMPUTED_VALUE"""),2.68E8)</f>
        <v>268000000</v>
      </c>
      <c r="P415" s="15">
        <f>IFERROR(__xludf.DUMMYFUNCTION("ARRAYFORMULA(VLOOKUP(A415,IMPORTRANGE(""https://docs.google.com/spreadsheets/d/1BuTWp7qHGjWhqrnf-OmePP568O4A5Am9ttzvVdP67zw/edit#gid=771602874"" ,""HUMAN RESOURCES!$A$2:$M$2692""), {2,3,4,5,6,7,8,9,10,11,12,13},0))"),0.026)</f>
        <v>0.026</v>
      </c>
      <c r="Q415" s="14">
        <f>IFERROR(__xludf.DUMMYFUNCTION("""COMPUTED_VALUE"""),0.037)</f>
        <v>0.037</v>
      </c>
      <c r="R415" s="14">
        <f>IFERROR(__xludf.DUMMYFUNCTION("""COMPUTED_VALUE"""),73.0)</f>
        <v>73</v>
      </c>
      <c r="S415" s="14">
        <f>IFERROR(__xludf.DUMMYFUNCTION("""COMPUTED_VALUE"""),68.0)</f>
        <v>68</v>
      </c>
      <c r="T415" s="14">
        <f>IFERROR(__xludf.DUMMYFUNCTION("""COMPUTED_VALUE"""),0.318)</f>
        <v>0.318</v>
      </c>
      <c r="U415" s="14">
        <f>IFERROR(__xludf.DUMMYFUNCTION("""COMPUTED_VALUE"""),0.631)</f>
        <v>0.631</v>
      </c>
      <c r="V415" s="14">
        <f>IFERROR(__xludf.DUMMYFUNCTION("""COMPUTED_VALUE"""),0.05)</f>
        <v>0.05</v>
      </c>
      <c r="W415" s="14">
        <f>IFERROR(__xludf.DUMMYFUNCTION("""COMPUTED_VALUE"""),1.4364931E7)</f>
        <v>14364931</v>
      </c>
      <c r="X415" s="14">
        <f>IFERROR(__xludf.DUMMYFUNCTION("""COMPUTED_VALUE"""),0.198)</f>
        <v>0.198</v>
      </c>
      <c r="Y415" s="14" t="str">
        <f>IFERROR(__xludf.DUMMYFUNCTION("""COMPUTED_VALUE"""),"Cambodia-Asia")</f>
        <v>Cambodia-Asia</v>
      </c>
      <c r="Z415" s="14" t="str">
        <f>IFERROR(__xludf.DUMMYFUNCTION("""COMPUTED_VALUE"""),"Asia")</f>
        <v>Asia</v>
      </c>
      <c r="AA415" s="14" t="str">
        <f>IFERROR(__xludf.DUMMYFUNCTION("""COMPUTED_VALUE"""),"2010")</f>
        <v>2010</v>
      </c>
      <c r="AB415" s="15" t="str">
        <f>IFERROR(__xludf.DUMMYFUNCTION("ARRAYFORMULA(VLOOKUP(A415,IMPORTRANGE(""https://docs.google.com/spreadsheets/d/1BuTWp7qHGjWhqrnf-OmePP568O4A5Am9ttzvVdP67zw/edit#gid=1931367683"" ,""ENERGY!$A$2:$F$2692""), {2,3,4,5,6},0))"),"Asia")</f>
        <v>Asia</v>
      </c>
      <c r="AC415" s="14" t="str">
        <f>IFERROR(__xludf.DUMMYFUNCTION("""COMPUTED_VALUE"""),"Cambodia-Asia")</f>
        <v>Cambodia-Asia</v>
      </c>
      <c r="AD415" s="14" t="str">
        <f>IFERROR(__xludf.DUMMYFUNCTION("""COMPUTED_VALUE"""),"2006")</f>
        <v>2006</v>
      </c>
      <c r="AE415" s="14">
        <f>IFERROR(__xludf.DUMMYFUNCTION("""COMPUTED_VALUE"""),3994.0)</f>
        <v>3994</v>
      </c>
      <c r="AF415" s="14">
        <f>IFERROR(__xludf.DUMMYFUNCTION("""COMPUTED_VALUE"""),2208.0)</f>
        <v>2208</v>
      </c>
    </row>
    <row r="416">
      <c r="A416" s="12">
        <v>415.0</v>
      </c>
      <c r="B416" s="12" t="s">
        <v>110</v>
      </c>
      <c r="C416" s="5" t="s">
        <v>61</v>
      </c>
      <c r="D416" s="11">
        <v>0.214</v>
      </c>
      <c r="E416" s="11">
        <v>102.0</v>
      </c>
      <c r="F416" s="8"/>
      <c r="G416" s="11">
        <v>173.0</v>
      </c>
      <c r="H416" s="11">
        <v>0.031</v>
      </c>
      <c r="I416" s="11">
        <v>0.942</v>
      </c>
      <c r="J416" s="9" t="s">
        <v>72</v>
      </c>
      <c r="K416" s="14" t="str">
        <f>IFERROR(__xludf.DUMMYFUNCTION("ARRAYFORMULA(VLOOKUP(A416,IMPORTRANGE(""https://docs.google.com/spreadsheets/d/1BuTWp7qHGjWhqrnf-OmePP568O4A5Am9ttzvVdP67zw/edit#gid=1603210130"", ""TOURISM!$A$2:$F$2692""), {2,3,4,5,6},0))"),"Asia")</f>
        <v>Asia</v>
      </c>
      <c r="L416" s="14">
        <f>IFERROR(__xludf.DUMMYFUNCTION("""COMPUTED_VALUE"""),1.79E9)</f>
        <v>1790000000</v>
      </c>
      <c r="M416" s="14" t="str">
        <f>IFERROR(__xludf.DUMMYFUNCTION("""COMPUTED_VALUE"""),"Cambodia-Asia")</f>
        <v>Cambodia-Asia</v>
      </c>
      <c r="N416" s="14" t="str">
        <f>IFERROR(__xludf.DUMMYFUNCTION("""COMPUTED_VALUE"""),"2011")</f>
        <v>2011</v>
      </c>
      <c r="O416" s="14">
        <f>IFERROR(__xludf.DUMMYFUNCTION("""COMPUTED_VALUE"""),3.33E8)</f>
        <v>333000000</v>
      </c>
      <c r="P416" s="15">
        <f>IFERROR(__xludf.DUMMYFUNCTION("ARRAYFORMULA(VLOOKUP(A416,IMPORTRANGE(""https://docs.google.com/spreadsheets/d/1BuTWp7qHGjWhqrnf-OmePP568O4A5Am9ttzvVdP67zw/edit#gid=771602874"" ,""HUMAN RESOURCES!$A$2:$M$2692""), {2,3,4,5,6,7,8,9,10,11,12,13},0))"),0.026)</f>
        <v>0.026</v>
      </c>
      <c r="Q416" s="14">
        <f>IFERROR(__xludf.DUMMYFUNCTION("""COMPUTED_VALUE"""),0.036)</f>
        <v>0.036</v>
      </c>
      <c r="R416" s="14">
        <f>IFERROR(__xludf.DUMMYFUNCTION("""COMPUTED_VALUE"""),74.0)</f>
        <v>74</v>
      </c>
      <c r="S416" s="14">
        <f>IFERROR(__xludf.DUMMYFUNCTION("""COMPUTED_VALUE"""),68.0)</f>
        <v>68</v>
      </c>
      <c r="T416" s="14">
        <f>IFERROR(__xludf.DUMMYFUNCTION("""COMPUTED_VALUE"""),0.314)</f>
        <v>0.314</v>
      </c>
      <c r="U416" s="14">
        <f>IFERROR(__xludf.DUMMYFUNCTION("""COMPUTED_VALUE"""),0.634)</f>
        <v>0.634</v>
      </c>
      <c r="V416" s="14">
        <f>IFERROR(__xludf.DUMMYFUNCTION("""COMPUTED_VALUE"""),0.051)</f>
        <v>0.051</v>
      </c>
      <c r="W416" s="14">
        <f>IFERROR(__xludf.DUMMYFUNCTION("""COMPUTED_VALUE"""),1.4605862E7)</f>
        <v>14605862</v>
      </c>
      <c r="X416" s="14">
        <f>IFERROR(__xludf.DUMMYFUNCTION("""COMPUTED_VALUE"""),0.2)</f>
        <v>0.2</v>
      </c>
      <c r="Y416" s="14" t="str">
        <f>IFERROR(__xludf.DUMMYFUNCTION("""COMPUTED_VALUE"""),"Cambodia-Asia")</f>
        <v>Cambodia-Asia</v>
      </c>
      <c r="Z416" s="14" t="str">
        <f>IFERROR(__xludf.DUMMYFUNCTION("""COMPUTED_VALUE"""),"Asia")</f>
        <v>Asia</v>
      </c>
      <c r="AA416" s="14" t="str">
        <f>IFERROR(__xludf.DUMMYFUNCTION("""COMPUTED_VALUE"""),"2011")</f>
        <v>2011</v>
      </c>
      <c r="AB416" s="15" t="str">
        <f>IFERROR(__xludf.DUMMYFUNCTION("ARRAYFORMULA(VLOOKUP(A416,IMPORTRANGE(""https://docs.google.com/spreadsheets/d/1BuTWp7qHGjWhqrnf-OmePP568O4A5Am9ttzvVdP67zw/edit#gid=1931367683"" ,""ENERGY!$A$2:$F$2692""), {2,3,4,5,6},0))"),"Asia")</f>
        <v>Asia</v>
      </c>
      <c r="AC416" s="14" t="str">
        <f>IFERROR(__xludf.DUMMYFUNCTION("""COMPUTED_VALUE"""),"Cambodia-Asia")</f>
        <v>Cambodia-Asia</v>
      </c>
      <c r="AD416" s="14" t="str">
        <f>IFERROR(__xludf.DUMMYFUNCTION("""COMPUTED_VALUE"""),"2004")</f>
        <v>2004</v>
      </c>
      <c r="AE416" s="14">
        <f>IFERROR(__xludf.DUMMYFUNCTION("""COMPUTED_VALUE"""),3430.0)</f>
        <v>3430</v>
      </c>
      <c r="AF416" s="14">
        <f>IFERROR(__xludf.DUMMYFUNCTION("""COMPUTED_VALUE"""),2252.0)</f>
        <v>2252</v>
      </c>
    </row>
    <row r="417">
      <c r="A417" s="12">
        <v>416.0</v>
      </c>
      <c r="B417" s="12" t="s">
        <v>110</v>
      </c>
      <c r="C417" s="5" t="s">
        <v>61</v>
      </c>
      <c r="D417" s="11">
        <v>0.214</v>
      </c>
      <c r="E417" s="11">
        <v>102.0</v>
      </c>
      <c r="F417" s="11">
        <v>135.0</v>
      </c>
      <c r="G417" s="11">
        <v>173.0</v>
      </c>
      <c r="H417" s="11">
        <v>0.049</v>
      </c>
      <c r="I417" s="11">
        <v>1.285</v>
      </c>
      <c r="J417" s="9" t="s">
        <v>73</v>
      </c>
      <c r="K417" s="14" t="str">
        <f>IFERROR(__xludf.DUMMYFUNCTION("ARRAYFORMULA(VLOOKUP(A417,IMPORTRANGE(""https://docs.google.com/spreadsheets/d/1BuTWp7qHGjWhqrnf-OmePP568O4A5Am9ttzvVdP67zw/edit#gid=1603210130"", ""TOURISM!$A$2:$F$2692""), {2,3,4,5,6},0))"),"Asia")</f>
        <v>Asia</v>
      </c>
      <c r="L417" s="14">
        <f>IFERROR(__xludf.DUMMYFUNCTION("""COMPUTED_VALUE"""),2.0E9)</f>
        <v>2000000000</v>
      </c>
      <c r="M417" s="14" t="str">
        <f>IFERROR(__xludf.DUMMYFUNCTION("""COMPUTED_VALUE"""),"Cambodia-Asia")</f>
        <v>Cambodia-Asia</v>
      </c>
      <c r="N417" s="14" t="str">
        <f>IFERROR(__xludf.DUMMYFUNCTION("""COMPUTED_VALUE"""),"2012")</f>
        <v>2012</v>
      </c>
      <c r="O417" s="14">
        <f>IFERROR(__xludf.DUMMYFUNCTION("""COMPUTED_VALUE"""),3.82E8)</f>
        <v>382000000</v>
      </c>
      <c r="P417" s="15">
        <f>IFERROR(__xludf.DUMMYFUNCTION("ARRAYFORMULA(VLOOKUP(A417,IMPORTRANGE(""https://docs.google.com/spreadsheets/d/1BuTWp7qHGjWhqrnf-OmePP568O4A5Am9ttzvVdP67zw/edit#gid=771602874"" ,""HUMAN RESOURCES!$A$2:$M$2692""), {2,3,4,5,6,7,8,9,10,11,12,13},0))"),0.026)</f>
        <v>0.026</v>
      </c>
      <c r="Q417" s="14">
        <f>IFERROR(__xludf.DUMMYFUNCTION("""COMPUTED_VALUE"""),0.034)</f>
        <v>0.034</v>
      </c>
      <c r="R417" s="14">
        <f>IFERROR(__xludf.DUMMYFUNCTION("""COMPUTED_VALUE"""),74.0)</f>
        <v>74</v>
      </c>
      <c r="S417" s="14">
        <f>IFERROR(__xludf.DUMMYFUNCTION("""COMPUTED_VALUE"""),69.0)</f>
        <v>69</v>
      </c>
      <c r="T417" s="14">
        <f>IFERROR(__xludf.DUMMYFUNCTION("""COMPUTED_VALUE"""),0.312)</f>
        <v>0.312</v>
      </c>
      <c r="U417" s="14">
        <f>IFERROR(__xludf.DUMMYFUNCTION("""COMPUTED_VALUE"""),0.635)</f>
        <v>0.635</v>
      </c>
      <c r="V417" s="14">
        <f>IFERROR(__xludf.DUMMYFUNCTION("""COMPUTED_VALUE"""),0.053)</f>
        <v>0.053</v>
      </c>
      <c r="W417" s="14">
        <f>IFERROR(__xludf.DUMMYFUNCTION("""COMPUTED_VALUE"""),1.4864646E7)</f>
        <v>14864646</v>
      </c>
      <c r="X417" s="14">
        <f>IFERROR(__xludf.DUMMYFUNCTION("""COMPUTED_VALUE"""),0.201)</f>
        <v>0.201</v>
      </c>
      <c r="Y417" s="14" t="str">
        <f>IFERROR(__xludf.DUMMYFUNCTION("""COMPUTED_VALUE"""),"Cambodia-Asia")</f>
        <v>Cambodia-Asia</v>
      </c>
      <c r="Z417" s="14" t="str">
        <f>IFERROR(__xludf.DUMMYFUNCTION("""COMPUTED_VALUE"""),"Asia")</f>
        <v>Asia</v>
      </c>
      <c r="AA417" s="14" t="str">
        <f>IFERROR(__xludf.DUMMYFUNCTION("""COMPUTED_VALUE"""),"2012")</f>
        <v>2012</v>
      </c>
      <c r="AB417" s="15" t="str">
        <f>IFERROR(__xludf.DUMMYFUNCTION("ARRAYFORMULA(VLOOKUP(A417,IMPORTRANGE(""https://docs.google.com/spreadsheets/d/1BuTWp7qHGjWhqrnf-OmePP568O4A5Am9ttzvVdP67zw/edit#gid=1931367683"" ,""ENERGY!$A$2:$F$2692""), {2,3,4,5,6},0))"),"Asia")</f>
        <v>Asia</v>
      </c>
      <c r="AC417" s="14" t="str">
        <f>IFERROR(__xludf.DUMMYFUNCTION("""COMPUTED_VALUE"""),"Cambodia-Asia")</f>
        <v>Cambodia-Asia</v>
      </c>
      <c r="AD417" s="14" t="str">
        <f>IFERROR(__xludf.DUMMYFUNCTION("""COMPUTED_VALUE"""),"2009")</f>
        <v>2009</v>
      </c>
      <c r="AE417" s="14">
        <f>IFERROR(__xludf.DUMMYFUNCTION("""COMPUTED_VALUE"""),3412.0)</f>
        <v>3412</v>
      </c>
      <c r="AF417" s="14">
        <f>IFERROR(__xludf.DUMMYFUNCTION("""COMPUTED_VALUE"""),1977.0)</f>
        <v>1977</v>
      </c>
    </row>
    <row r="418">
      <c r="A418" s="12">
        <v>417.0</v>
      </c>
      <c r="B418" s="12" t="s">
        <v>111</v>
      </c>
      <c r="C418" s="5" t="s">
        <v>77</v>
      </c>
      <c r="D418" s="8"/>
      <c r="E418" s="8"/>
      <c r="F418" s="8"/>
      <c r="G418" s="8"/>
      <c r="H418" s="11">
        <v>0.003</v>
      </c>
      <c r="I418" s="11">
        <v>0.006</v>
      </c>
      <c r="J418" s="9" t="s">
        <v>60</v>
      </c>
      <c r="K418" s="14" t="str">
        <f>IFERROR(__xludf.DUMMYFUNCTION("ARRAYFORMULA(VLOOKUP(A418,IMPORTRANGE(""https://docs.google.com/spreadsheets/d/1BuTWp7qHGjWhqrnf-OmePP568O4A5Am9ttzvVdP67zw/edit#gid=1603210130"", ""TOURISM!$A$2:$F$2692""), {2,3,4,5,6},0))"),"Africa")</f>
        <v>Africa</v>
      </c>
      <c r="L418" s="14">
        <f>IFERROR(__xludf.DUMMYFUNCTION("""COMPUTED_VALUE"""),1.32E8)</f>
        <v>132000000</v>
      </c>
      <c r="M418" s="14" t="str">
        <f>IFERROR(__xludf.DUMMYFUNCTION("""COMPUTED_VALUE"""),"Cameroon-Africa")</f>
        <v>Cameroon-Africa</v>
      </c>
      <c r="N418" s="14" t="str">
        <f>IFERROR(__xludf.DUMMYFUNCTION("""COMPUTED_VALUE"""),"2000")</f>
        <v>2000</v>
      </c>
      <c r="O418" s="14">
        <f>IFERROR(__xludf.DUMMYFUNCTION("""COMPUTED_VALUE"""),2.41E8)</f>
        <v>241000000</v>
      </c>
      <c r="P418" s="15">
        <f>IFERROR(__xludf.DUMMYFUNCTION("ARRAYFORMULA(VLOOKUP(A418,IMPORTRANGE(""https://docs.google.com/spreadsheets/d/1BuTWp7qHGjWhqrnf-OmePP568O4A5Am9ttzvVdP67zw/edit#gid=771602874"" ,""HUMAN RESOURCES!$A$2:$M$2692""), {2,3,4,5,6,7,8,9,10,11,12,13},0))"),0.041)</f>
        <v>0.041</v>
      </c>
      <c r="Q418" s="14">
        <f>IFERROR(__xludf.DUMMYFUNCTION("""COMPUTED_VALUE"""),0.093)</f>
        <v>0.093</v>
      </c>
      <c r="R418" s="14">
        <f>IFERROR(__xludf.DUMMYFUNCTION("""COMPUTED_VALUE"""),53.0)</f>
        <v>53</v>
      </c>
      <c r="S418" s="14">
        <f>IFERROR(__xludf.DUMMYFUNCTION("""COMPUTED_VALUE"""),51.0)</f>
        <v>51</v>
      </c>
      <c r="T418" s="14">
        <f>IFERROR(__xludf.DUMMYFUNCTION("""COMPUTED_VALUE"""),0.453)</f>
        <v>0.453</v>
      </c>
      <c r="U418" s="14">
        <f>IFERROR(__xludf.DUMMYFUNCTION("""COMPUTED_VALUE"""),0.513)</f>
        <v>0.513</v>
      </c>
      <c r="V418" s="14">
        <f>IFERROR(__xludf.DUMMYFUNCTION("""COMPUTED_VALUE"""),0.034)</f>
        <v>0.034</v>
      </c>
      <c r="W418" s="14">
        <f>IFERROR(__xludf.DUMMYFUNCTION("""COMPUTED_VALUE"""),1.5927713E7)</f>
        <v>15927713</v>
      </c>
      <c r="X418" s="14">
        <f>IFERROR(__xludf.DUMMYFUNCTION("""COMPUTED_VALUE"""),0.455)</f>
        <v>0.455</v>
      </c>
      <c r="Y418" s="14" t="str">
        <f>IFERROR(__xludf.DUMMYFUNCTION("""COMPUTED_VALUE"""),"Cameroon-Africa")</f>
        <v>Cameroon-Africa</v>
      </c>
      <c r="Z418" s="14" t="str">
        <f>IFERROR(__xludf.DUMMYFUNCTION("""COMPUTED_VALUE"""),"Africa")</f>
        <v>Africa</v>
      </c>
      <c r="AA418" s="14" t="str">
        <f>IFERROR(__xludf.DUMMYFUNCTION("""COMPUTED_VALUE"""),"2000")</f>
        <v>2000</v>
      </c>
      <c r="AB418" s="15" t="str">
        <f>IFERROR(__xludf.DUMMYFUNCTION("ARRAYFORMULA(VLOOKUP(A418,IMPORTRANGE(""https://docs.google.com/spreadsheets/d/1BuTWp7qHGjWhqrnf-OmePP568O4A5Am9ttzvVdP67zw/edit#gid=1931367683"" ,""ENERGY!$A$2:$F$2692""), {2,3,4,5,6},0))"),"Africa")</f>
        <v>Africa</v>
      </c>
      <c r="AC418" s="14" t="str">
        <f>IFERROR(__xludf.DUMMYFUNCTION("""COMPUTED_VALUE"""),"Cameroon-Africa")</f>
        <v>Cameroon-Africa</v>
      </c>
      <c r="AD418" s="14" t="str">
        <f>IFERROR(__xludf.DUMMYFUNCTION("""COMPUTED_VALUE"""),"2000")</f>
        <v>2000</v>
      </c>
      <c r="AE418" s="14"/>
      <c r="AF418" s="14"/>
    </row>
    <row r="419">
      <c r="A419" s="12">
        <v>418.0</v>
      </c>
      <c r="B419" s="12" t="s">
        <v>111</v>
      </c>
      <c r="C419" s="5" t="s">
        <v>77</v>
      </c>
      <c r="D419" s="8"/>
      <c r="E419" s="8"/>
      <c r="F419" s="8"/>
      <c r="G419" s="8"/>
      <c r="H419" s="11">
        <v>0.003</v>
      </c>
      <c r="I419" s="11">
        <v>0.026</v>
      </c>
      <c r="J419" s="9" t="s">
        <v>62</v>
      </c>
      <c r="K419" s="14" t="str">
        <f>IFERROR(__xludf.DUMMYFUNCTION("ARRAYFORMULA(VLOOKUP(A419,IMPORTRANGE(""https://docs.google.com/spreadsheets/d/1BuTWp7qHGjWhqrnf-OmePP568O4A5Am9ttzvVdP67zw/edit#gid=1603210130"", ""TOURISM!$A$2:$F$2692""), {2,3,4,5,6},0))"),"Africa")</f>
        <v>Africa</v>
      </c>
      <c r="L419" s="14">
        <f>IFERROR(__xludf.DUMMYFUNCTION("""COMPUTED_VALUE"""),1.82E8)</f>
        <v>182000000</v>
      </c>
      <c r="M419" s="14" t="str">
        <f>IFERROR(__xludf.DUMMYFUNCTION("""COMPUTED_VALUE"""),"Cameroon-Africa")</f>
        <v>Cameroon-Africa</v>
      </c>
      <c r="N419" s="14" t="str">
        <f>IFERROR(__xludf.DUMMYFUNCTION("""COMPUTED_VALUE"""),"2001")</f>
        <v>2001</v>
      </c>
      <c r="O419" s="14">
        <f>IFERROR(__xludf.DUMMYFUNCTION("""COMPUTED_VALUE"""),1.99E8)</f>
        <v>199000000</v>
      </c>
      <c r="P419" s="15">
        <f>IFERROR(__xludf.DUMMYFUNCTION("ARRAYFORMULA(VLOOKUP(A419,IMPORTRANGE(""https://docs.google.com/spreadsheets/d/1BuTWp7qHGjWhqrnf-OmePP568O4A5Am9ttzvVdP67zw/edit#gid=771602874"" ,""HUMAN RESOURCES!$A$2:$M$2692""), {2,3,4,5,6,7,8,9,10,11,12,13},0))"),0.041)</f>
        <v>0.041</v>
      </c>
      <c r="Q419" s="14">
        <f>IFERROR(__xludf.DUMMYFUNCTION("""COMPUTED_VALUE"""),0.09)</f>
        <v>0.09</v>
      </c>
      <c r="R419" s="14">
        <f>IFERROR(__xludf.DUMMYFUNCTION("""COMPUTED_VALUE"""),53.0)</f>
        <v>53</v>
      </c>
      <c r="S419" s="14">
        <f>IFERROR(__xludf.DUMMYFUNCTION("""COMPUTED_VALUE"""),51.0)</f>
        <v>51</v>
      </c>
      <c r="T419" s="14">
        <f>IFERROR(__xludf.DUMMYFUNCTION("""COMPUTED_VALUE"""),0.451)</f>
        <v>0.451</v>
      </c>
      <c r="U419" s="14">
        <f>IFERROR(__xludf.DUMMYFUNCTION("""COMPUTED_VALUE"""),0.515)</f>
        <v>0.515</v>
      </c>
      <c r="V419" s="14">
        <f>IFERROR(__xludf.DUMMYFUNCTION("""COMPUTED_VALUE"""),0.034)</f>
        <v>0.034</v>
      </c>
      <c r="W419" s="14">
        <f>IFERROR(__xludf.DUMMYFUNCTION("""COMPUTED_VALUE"""),1.635044E7)</f>
        <v>16350440</v>
      </c>
      <c r="X419" s="14">
        <f>IFERROR(__xludf.DUMMYFUNCTION("""COMPUTED_VALUE"""),0.461)</f>
        <v>0.461</v>
      </c>
      <c r="Y419" s="14" t="str">
        <f>IFERROR(__xludf.DUMMYFUNCTION("""COMPUTED_VALUE"""),"Cameroon-Africa")</f>
        <v>Cameroon-Africa</v>
      </c>
      <c r="Z419" s="14" t="str">
        <f>IFERROR(__xludf.DUMMYFUNCTION("""COMPUTED_VALUE"""),"Africa")</f>
        <v>Africa</v>
      </c>
      <c r="AA419" s="14" t="str">
        <f>IFERROR(__xludf.DUMMYFUNCTION("""COMPUTED_VALUE"""),"2001")</f>
        <v>2001</v>
      </c>
      <c r="AB419" s="15" t="str">
        <f>IFERROR(__xludf.DUMMYFUNCTION("ARRAYFORMULA(VLOOKUP(A419,IMPORTRANGE(""https://docs.google.com/spreadsheets/d/1BuTWp7qHGjWhqrnf-OmePP568O4A5Am9ttzvVdP67zw/edit#gid=1931367683"" ,""ENERGY!$A$2:$F$2692""), {2,3,4,5,6},0))"),"Africa")</f>
        <v>Africa</v>
      </c>
      <c r="AC419" s="14" t="str">
        <f>IFERROR(__xludf.DUMMYFUNCTION("""COMPUTED_VALUE"""),"Cameroon-Africa")</f>
        <v>Cameroon-Africa</v>
      </c>
      <c r="AD419" s="14" t="str">
        <f>IFERROR(__xludf.DUMMYFUNCTION("""COMPUTED_VALUE"""),"2001")</f>
        <v>2001</v>
      </c>
      <c r="AE419" s="14">
        <f>IFERROR(__xludf.DUMMYFUNCTION("""COMPUTED_VALUE"""),6720.0)</f>
        <v>6720</v>
      </c>
      <c r="AF419" s="14"/>
    </row>
    <row r="420">
      <c r="A420" s="12">
        <v>419.0</v>
      </c>
      <c r="B420" s="12" t="s">
        <v>111</v>
      </c>
      <c r="C420" s="5" t="s">
        <v>77</v>
      </c>
      <c r="D420" s="8"/>
      <c r="E420" s="8"/>
      <c r="F420" s="8"/>
      <c r="G420" s="8"/>
      <c r="H420" s="11">
        <v>0.004</v>
      </c>
      <c r="I420" s="11">
        <v>0.042</v>
      </c>
      <c r="J420" s="9" t="s">
        <v>63</v>
      </c>
      <c r="K420" s="14" t="str">
        <f>IFERROR(__xludf.DUMMYFUNCTION("ARRAYFORMULA(VLOOKUP(A420,IMPORTRANGE(""https://docs.google.com/spreadsheets/d/1BuTWp7qHGjWhqrnf-OmePP568O4A5Am9ttzvVdP67zw/edit#gid=1603210130"", ""TOURISM!$A$2:$F$2692""), {2,3,4,5,6},0))"),"Africa")</f>
        <v>Africa</v>
      </c>
      <c r="L420" s="14">
        <f>IFERROR(__xludf.DUMMYFUNCTION("""COMPUTED_VALUE"""),1.24E8)</f>
        <v>124000000</v>
      </c>
      <c r="M420" s="14" t="str">
        <f>IFERROR(__xludf.DUMMYFUNCTION("""COMPUTED_VALUE"""),"Cameroon-Africa")</f>
        <v>Cameroon-Africa</v>
      </c>
      <c r="N420" s="14" t="str">
        <f>IFERROR(__xludf.DUMMYFUNCTION("""COMPUTED_VALUE"""),"2002")</f>
        <v>2002</v>
      </c>
      <c r="O420" s="14">
        <f>IFERROR(__xludf.DUMMYFUNCTION("""COMPUTED_VALUE"""),2.05E8)</f>
        <v>205000000</v>
      </c>
      <c r="P420" s="15">
        <f>IFERROR(__xludf.DUMMYFUNCTION("ARRAYFORMULA(VLOOKUP(A420,IMPORTRANGE(""https://docs.google.com/spreadsheets/d/1BuTWp7qHGjWhqrnf-OmePP568O4A5Am9ttzvVdP67zw/edit#gid=771602874"" ,""HUMAN RESOURCES!$A$2:$M$2692""), {2,3,4,5,6,7,8,9,10,11,12,13},0))"),0.041)</f>
        <v>0.041</v>
      </c>
      <c r="Q420" s="14">
        <f>IFERROR(__xludf.DUMMYFUNCTION("""COMPUTED_VALUE"""),0.087)</f>
        <v>0.087</v>
      </c>
      <c r="R420" s="14">
        <f>IFERROR(__xludf.DUMMYFUNCTION("""COMPUTED_VALUE"""),53.0)</f>
        <v>53</v>
      </c>
      <c r="S420" s="14">
        <f>IFERROR(__xludf.DUMMYFUNCTION("""COMPUTED_VALUE"""),51.0)</f>
        <v>51</v>
      </c>
      <c r="T420" s="14">
        <f>IFERROR(__xludf.DUMMYFUNCTION("""COMPUTED_VALUE"""),0.449)</f>
        <v>0.449</v>
      </c>
      <c r="U420" s="14">
        <f>IFERROR(__xludf.DUMMYFUNCTION("""COMPUTED_VALUE"""),0.518)</f>
        <v>0.518</v>
      </c>
      <c r="V420" s="14">
        <f>IFERROR(__xludf.DUMMYFUNCTION("""COMPUTED_VALUE"""),0.034)</f>
        <v>0.034</v>
      </c>
      <c r="W420" s="14">
        <f>IFERROR(__xludf.DUMMYFUNCTION("""COMPUTED_VALUE"""),1.6782044E7)</f>
        <v>16782044</v>
      </c>
      <c r="X420" s="14">
        <f>IFERROR(__xludf.DUMMYFUNCTION("""COMPUTED_VALUE"""),0.467)</f>
        <v>0.467</v>
      </c>
      <c r="Y420" s="14" t="str">
        <f>IFERROR(__xludf.DUMMYFUNCTION("""COMPUTED_VALUE"""),"Cameroon-Africa")</f>
        <v>Cameroon-Africa</v>
      </c>
      <c r="Z420" s="14" t="str">
        <f>IFERROR(__xludf.DUMMYFUNCTION("""COMPUTED_VALUE"""),"Africa")</f>
        <v>Africa</v>
      </c>
      <c r="AA420" s="14" t="str">
        <f>IFERROR(__xludf.DUMMYFUNCTION("""COMPUTED_VALUE"""),"2002")</f>
        <v>2002</v>
      </c>
      <c r="AB420" s="15" t="str">
        <f>IFERROR(__xludf.DUMMYFUNCTION("ARRAYFORMULA(VLOOKUP(A420,IMPORTRANGE(""https://docs.google.com/spreadsheets/d/1BuTWp7qHGjWhqrnf-OmePP568O4A5Am9ttzvVdP67zw/edit#gid=1931367683"" ,""ENERGY!$A$2:$F$2692""), {2,3,4,5,6},0))"),"Africa")</f>
        <v>Africa</v>
      </c>
      <c r="AC420" s="14" t="str">
        <f>IFERROR(__xludf.DUMMYFUNCTION("""COMPUTED_VALUE"""),"Cameroon-Africa")</f>
        <v>Cameroon-Africa</v>
      </c>
      <c r="AD420" s="14" t="str">
        <f>IFERROR(__xludf.DUMMYFUNCTION("""COMPUTED_VALUE"""),"2002")</f>
        <v>2002</v>
      </c>
      <c r="AE420" s="14">
        <f>IFERROR(__xludf.DUMMYFUNCTION("""COMPUTED_VALUE"""),6944.0)</f>
        <v>6944</v>
      </c>
      <c r="AF420" s="14">
        <f>IFERROR(__xludf.DUMMYFUNCTION("""COMPUTED_VALUE"""),7235.0)</f>
        <v>7235</v>
      </c>
    </row>
    <row r="421">
      <c r="A421" s="12">
        <v>420.0</v>
      </c>
      <c r="B421" s="12" t="s">
        <v>111</v>
      </c>
      <c r="C421" s="5" t="s">
        <v>77</v>
      </c>
      <c r="D421" s="8"/>
      <c r="E421" s="11">
        <v>45.0</v>
      </c>
      <c r="F421" s="8"/>
      <c r="G421" s="8"/>
      <c r="H421" s="11">
        <v>0.006</v>
      </c>
      <c r="I421" s="11">
        <v>0.063</v>
      </c>
      <c r="J421" s="9" t="s">
        <v>64</v>
      </c>
      <c r="K421" s="14" t="str">
        <f>IFERROR(__xludf.DUMMYFUNCTION("ARRAYFORMULA(VLOOKUP(A421,IMPORTRANGE(""https://docs.google.com/spreadsheets/d/1BuTWp7qHGjWhqrnf-OmePP568O4A5Am9ttzvVdP67zw/edit#gid=1603210130"", ""TOURISM!$A$2:$F$2692""), {2,3,4,5,6},0))"),"Africa")</f>
        <v>Africa</v>
      </c>
      <c r="L421" s="14">
        <f>IFERROR(__xludf.DUMMYFUNCTION("""COMPUTED_VALUE"""),2.66E8)</f>
        <v>266000000</v>
      </c>
      <c r="M421" s="14" t="str">
        <f>IFERROR(__xludf.DUMMYFUNCTION("""COMPUTED_VALUE"""),"Cameroon-Africa")</f>
        <v>Cameroon-Africa</v>
      </c>
      <c r="N421" s="14" t="str">
        <f>IFERROR(__xludf.DUMMYFUNCTION("""COMPUTED_VALUE"""),"2003")</f>
        <v>2003</v>
      </c>
      <c r="O421" s="14">
        <f>IFERROR(__xludf.DUMMYFUNCTION("""COMPUTED_VALUE"""),2.72E8)</f>
        <v>272000000</v>
      </c>
      <c r="P421" s="15">
        <f>IFERROR(__xludf.DUMMYFUNCTION("ARRAYFORMULA(VLOOKUP(A421,IMPORTRANGE(""https://docs.google.com/spreadsheets/d/1BuTWp7qHGjWhqrnf-OmePP568O4A5Am9ttzvVdP67zw/edit#gid=771602874"" ,""HUMAN RESOURCES!$A$2:$M$2692""), {2,3,4,5,6,7,8,9,10,11,12,13},0))"),0.041)</f>
        <v>0.041</v>
      </c>
      <c r="Q421" s="14">
        <f>IFERROR(__xludf.DUMMYFUNCTION("""COMPUTED_VALUE"""),0.084)</f>
        <v>0.084</v>
      </c>
      <c r="R421" s="14">
        <f>IFERROR(__xludf.DUMMYFUNCTION("""COMPUTED_VALUE"""),53.0)</f>
        <v>53</v>
      </c>
      <c r="S421" s="14">
        <f>IFERROR(__xludf.DUMMYFUNCTION("""COMPUTED_VALUE"""),51.0)</f>
        <v>51</v>
      </c>
      <c r="T421" s="14">
        <f>IFERROR(__xludf.DUMMYFUNCTION("""COMPUTED_VALUE"""),0.447)</f>
        <v>0.447</v>
      </c>
      <c r="U421" s="14">
        <f>IFERROR(__xludf.DUMMYFUNCTION("""COMPUTED_VALUE"""),0.52)</f>
        <v>0.52</v>
      </c>
      <c r="V421" s="14">
        <f>IFERROR(__xludf.DUMMYFUNCTION("""COMPUTED_VALUE"""),0.033)</f>
        <v>0.033</v>
      </c>
      <c r="W421" s="14">
        <f>IFERROR(__xludf.DUMMYFUNCTION("""COMPUTED_VALUE"""),1.7223277E7)</f>
        <v>17223277</v>
      </c>
      <c r="X421" s="14">
        <f>IFERROR(__xludf.DUMMYFUNCTION("""COMPUTED_VALUE"""),0.473)</f>
        <v>0.473</v>
      </c>
      <c r="Y421" s="14" t="str">
        <f>IFERROR(__xludf.DUMMYFUNCTION("""COMPUTED_VALUE"""),"Cameroon-Africa")</f>
        <v>Cameroon-Africa</v>
      </c>
      <c r="Z421" s="14" t="str">
        <f>IFERROR(__xludf.DUMMYFUNCTION("""COMPUTED_VALUE"""),"Africa")</f>
        <v>Africa</v>
      </c>
      <c r="AA421" s="14" t="str">
        <f>IFERROR(__xludf.DUMMYFUNCTION("""COMPUTED_VALUE"""),"2003")</f>
        <v>2003</v>
      </c>
      <c r="AB421" s="15" t="str">
        <f>IFERROR(__xludf.DUMMYFUNCTION("ARRAYFORMULA(VLOOKUP(A421,IMPORTRANGE(""https://docs.google.com/spreadsheets/d/1BuTWp7qHGjWhqrnf-OmePP568O4A5Am9ttzvVdP67zw/edit#gid=1931367683"" ,""ENERGY!$A$2:$F$2692""), {2,3,4,5,6},0))"),"Africa")</f>
        <v>Africa</v>
      </c>
      <c r="AC421" s="14" t="str">
        <f>IFERROR(__xludf.DUMMYFUNCTION("""COMPUTED_VALUE"""),"Cameroon-Africa")</f>
        <v>Cameroon-Africa</v>
      </c>
      <c r="AD421" s="14" t="str">
        <f>IFERROR(__xludf.DUMMYFUNCTION("""COMPUTED_VALUE"""),"2003")</f>
        <v>2003</v>
      </c>
      <c r="AE421" s="14">
        <f>IFERROR(__xludf.DUMMYFUNCTION("""COMPUTED_VALUE"""),6914.0)</f>
        <v>6914</v>
      </c>
      <c r="AF421" s="14">
        <f>IFERROR(__xludf.DUMMYFUNCTION("""COMPUTED_VALUE"""),6674.0)</f>
        <v>6674</v>
      </c>
    </row>
    <row r="422">
      <c r="A422" s="12">
        <v>421.0</v>
      </c>
      <c r="B422" s="12" t="s">
        <v>111</v>
      </c>
      <c r="C422" s="5" t="s">
        <v>77</v>
      </c>
      <c r="D422" s="8"/>
      <c r="E422" s="11">
        <v>45.0</v>
      </c>
      <c r="F422" s="8"/>
      <c r="G422" s="8"/>
      <c r="H422" s="11">
        <v>0.01</v>
      </c>
      <c r="I422" s="11">
        <v>0.087</v>
      </c>
      <c r="J422" s="9" t="s">
        <v>65</v>
      </c>
      <c r="K422" s="14" t="str">
        <f>IFERROR(__xludf.DUMMYFUNCTION("ARRAYFORMULA(VLOOKUP(A422,IMPORTRANGE(""https://docs.google.com/spreadsheets/d/1BuTWp7qHGjWhqrnf-OmePP568O4A5Am9ttzvVdP67zw/edit#gid=1603210130"", ""TOURISM!$A$2:$F$2692""), {2,3,4,5,6},0))"),"Africa")</f>
        <v>Africa</v>
      </c>
      <c r="L422" s="14">
        <f>IFERROR(__xludf.DUMMYFUNCTION("""COMPUTED_VALUE"""),2.12E8)</f>
        <v>212000000</v>
      </c>
      <c r="M422" s="14" t="str">
        <f>IFERROR(__xludf.DUMMYFUNCTION("""COMPUTED_VALUE"""),"Cameroon-Africa")</f>
        <v>Cameroon-Africa</v>
      </c>
      <c r="N422" s="14" t="str">
        <f>IFERROR(__xludf.DUMMYFUNCTION("""COMPUTED_VALUE"""),"2004")</f>
        <v>2004</v>
      </c>
      <c r="O422" s="14">
        <f>IFERROR(__xludf.DUMMYFUNCTION("""COMPUTED_VALUE"""),3.94E8)</f>
        <v>394000000</v>
      </c>
      <c r="P422" s="15">
        <f>IFERROR(__xludf.DUMMYFUNCTION("ARRAYFORMULA(VLOOKUP(A422,IMPORTRANGE(""https://docs.google.com/spreadsheets/d/1BuTWp7qHGjWhqrnf-OmePP568O4A5Am9ttzvVdP67zw/edit#gid=771602874"" ,""HUMAN RESOURCES!$A$2:$M$2692""), {2,3,4,5,6,7,8,9,10,11,12,13},0))"),0.041)</f>
        <v>0.041</v>
      </c>
      <c r="Q422" s="14">
        <f>IFERROR(__xludf.DUMMYFUNCTION("""COMPUTED_VALUE"""),0.081)</f>
        <v>0.081</v>
      </c>
      <c r="R422" s="14">
        <f>IFERROR(__xludf.DUMMYFUNCTION("""COMPUTED_VALUE"""),53.0)</f>
        <v>53</v>
      </c>
      <c r="S422" s="14">
        <f>IFERROR(__xludf.DUMMYFUNCTION("""COMPUTED_VALUE"""),51.0)</f>
        <v>51</v>
      </c>
      <c r="T422" s="14">
        <f>IFERROR(__xludf.DUMMYFUNCTION("""COMPUTED_VALUE"""),0.445)</f>
        <v>0.445</v>
      </c>
      <c r="U422" s="14">
        <f>IFERROR(__xludf.DUMMYFUNCTION("""COMPUTED_VALUE"""),0.522)</f>
        <v>0.522</v>
      </c>
      <c r="V422" s="14">
        <f>IFERROR(__xludf.DUMMYFUNCTION("""COMPUTED_VALUE"""),0.033)</f>
        <v>0.033</v>
      </c>
      <c r="W422" s="14">
        <f>IFERROR(__xludf.DUMMYFUNCTION("""COMPUTED_VALUE"""),1.767496E7)</f>
        <v>17674960</v>
      </c>
      <c r="X422" s="14">
        <f>IFERROR(__xludf.DUMMYFUNCTION("""COMPUTED_VALUE"""),0.479)</f>
        <v>0.479</v>
      </c>
      <c r="Y422" s="14" t="str">
        <f>IFERROR(__xludf.DUMMYFUNCTION("""COMPUTED_VALUE"""),"Cameroon-Africa")</f>
        <v>Cameroon-Africa</v>
      </c>
      <c r="Z422" s="14" t="str">
        <f>IFERROR(__xludf.DUMMYFUNCTION("""COMPUTED_VALUE"""),"Africa")</f>
        <v>Africa</v>
      </c>
      <c r="AA422" s="14" t="str">
        <f>IFERROR(__xludf.DUMMYFUNCTION("""COMPUTED_VALUE"""),"2004")</f>
        <v>2004</v>
      </c>
      <c r="AB422" s="15" t="str">
        <f>IFERROR(__xludf.DUMMYFUNCTION("ARRAYFORMULA(VLOOKUP(A422,IMPORTRANGE(""https://docs.google.com/spreadsheets/d/1BuTWp7qHGjWhqrnf-OmePP568O4A5Am9ttzvVdP67zw/edit#gid=1931367683"" ,""ENERGY!$A$2:$F$2692""), {2,3,4,5,6},0))"),"Africa")</f>
        <v>Africa</v>
      </c>
      <c r="AC422" s="14" t="str">
        <f>IFERROR(__xludf.DUMMYFUNCTION("""COMPUTED_VALUE"""),"Cameroon-Africa")</f>
        <v>Cameroon-Africa</v>
      </c>
      <c r="AD422" s="14" t="str">
        <f>IFERROR(__xludf.DUMMYFUNCTION("""COMPUTED_VALUE"""),"2004")</f>
        <v>2004</v>
      </c>
      <c r="AE422" s="14">
        <f>IFERROR(__xludf.DUMMYFUNCTION("""COMPUTED_VALUE"""),6395.0)</f>
        <v>6395</v>
      </c>
      <c r="AF422" s="14">
        <f>IFERROR(__xludf.DUMMYFUNCTION("""COMPUTED_VALUE"""),5545.0)</f>
        <v>5545</v>
      </c>
    </row>
    <row r="423">
      <c r="A423" s="12">
        <v>422.0</v>
      </c>
      <c r="B423" s="12" t="s">
        <v>111</v>
      </c>
      <c r="C423" s="5" t="s">
        <v>77</v>
      </c>
      <c r="D423" s="11">
        <v>0.506</v>
      </c>
      <c r="E423" s="11">
        <v>45.0</v>
      </c>
      <c r="F423" s="8"/>
      <c r="G423" s="11">
        <v>654.0</v>
      </c>
      <c r="H423" s="11">
        <v>0.014</v>
      </c>
      <c r="I423" s="11">
        <v>0.124</v>
      </c>
      <c r="J423" s="9" t="s">
        <v>66</v>
      </c>
      <c r="K423" s="14" t="str">
        <f>IFERROR(__xludf.DUMMYFUNCTION("ARRAYFORMULA(VLOOKUP(A423,IMPORTRANGE(""https://docs.google.com/spreadsheets/d/1BuTWp7qHGjWhqrnf-OmePP568O4A5Am9ttzvVdP67zw/edit#gid=1603210130"", ""TOURISM!$A$2:$F$2692""), {2,3,4,5,6},0))"),"Africa")</f>
        <v>Africa</v>
      </c>
      <c r="L423" s="14">
        <f>IFERROR(__xludf.DUMMYFUNCTION("""COMPUTED_VALUE"""),2.29E8)</f>
        <v>229000000</v>
      </c>
      <c r="M423" s="14" t="str">
        <f>IFERROR(__xludf.DUMMYFUNCTION("""COMPUTED_VALUE"""),"Cameroon-Africa")</f>
        <v>Cameroon-Africa</v>
      </c>
      <c r="N423" s="14" t="str">
        <f>IFERROR(__xludf.DUMMYFUNCTION("""COMPUTED_VALUE"""),"2005")</f>
        <v>2005</v>
      </c>
      <c r="O423" s="14">
        <f>IFERROR(__xludf.DUMMYFUNCTION("""COMPUTED_VALUE"""),4.8E8)</f>
        <v>480000000</v>
      </c>
      <c r="P423" s="15">
        <f>IFERROR(__xludf.DUMMYFUNCTION("ARRAYFORMULA(VLOOKUP(A423,IMPORTRANGE(""https://docs.google.com/spreadsheets/d/1BuTWp7qHGjWhqrnf-OmePP568O4A5Am9ttzvVdP67zw/edit#gid=771602874"" ,""HUMAN RESOURCES!$A$2:$M$2692""), {2,3,4,5,6,7,8,9,10,11,12,13},0))"),0.04)</f>
        <v>0.04</v>
      </c>
      <c r="Q423" s="14">
        <f>IFERROR(__xludf.DUMMYFUNCTION("""COMPUTED_VALUE"""),0.078)</f>
        <v>0.078</v>
      </c>
      <c r="R423" s="14">
        <f>IFERROR(__xludf.DUMMYFUNCTION("""COMPUTED_VALUE"""),53.0)</f>
        <v>53</v>
      </c>
      <c r="S423" s="14">
        <f>IFERROR(__xludf.DUMMYFUNCTION("""COMPUTED_VALUE"""),51.0)</f>
        <v>51</v>
      </c>
      <c r="T423" s="14">
        <f>IFERROR(__xludf.DUMMYFUNCTION("""COMPUTED_VALUE"""),0.443)</f>
        <v>0.443</v>
      </c>
      <c r="U423" s="14">
        <f>IFERROR(__xludf.DUMMYFUNCTION("""COMPUTED_VALUE"""),0.524)</f>
        <v>0.524</v>
      </c>
      <c r="V423" s="14">
        <f>IFERROR(__xludf.DUMMYFUNCTION("""COMPUTED_VALUE"""),0.033)</f>
        <v>0.033</v>
      </c>
      <c r="W423" s="14">
        <f>IFERROR(__xludf.DUMMYFUNCTION("""COMPUTED_VALUE"""),1.8137734E7)</f>
        <v>18137734</v>
      </c>
      <c r="X423" s="14">
        <f>IFERROR(__xludf.DUMMYFUNCTION("""COMPUTED_VALUE"""),0.485)</f>
        <v>0.485</v>
      </c>
      <c r="Y423" s="14" t="str">
        <f>IFERROR(__xludf.DUMMYFUNCTION("""COMPUTED_VALUE"""),"Cameroon-Africa")</f>
        <v>Cameroon-Africa</v>
      </c>
      <c r="Z423" s="14" t="str">
        <f>IFERROR(__xludf.DUMMYFUNCTION("""COMPUTED_VALUE"""),"Africa")</f>
        <v>Africa</v>
      </c>
      <c r="AA423" s="14" t="str">
        <f>IFERROR(__xludf.DUMMYFUNCTION("""COMPUTED_VALUE"""),"2005")</f>
        <v>2005</v>
      </c>
      <c r="AB423" s="15" t="str">
        <f>IFERROR(__xludf.DUMMYFUNCTION("ARRAYFORMULA(VLOOKUP(A423,IMPORTRANGE(""https://docs.google.com/spreadsheets/d/1BuTWp7qHGjWhqrnf-OmePP568O4A5Am9ttzvVdP67zw/edit#gid=1931367683"" ,""ENERGY!$A$2:$F$2692""), {2,3,4,5,6},0))"),"Africa")</f>
        <v>Africa</v>
      </c>
      <c r="AC423" s="14" t="str">
        <f>IFERROR(__xludf.DUMMYFUNCTION("""COMPUTED_VALUE"""),"Cameroon-Africa")</f>
        <v>Cameroon-Africa</v>
      </c>
      <c r="AD423" s="14" t="str">
        <f>IFERROR(__xludf.DUMMYFUNCTION("""COMPUTED_VALUE"""),"2006")</f>
        <v>2006</v>
      </c>
      <c r="AE423" s="14">
        <f>IFERROR(__xludf.DUMMYFUNCTION("""COMPUTED_VALUE"""),6340.0)</f>
        <v>6340</v>
      </c>
      <c r="AF423" s="14">
        <f>IFERROR(__xludf.DUMMYFUNCTION("""COMPUTED_VALUE"""),5834.0)</f>
        <v>5834</v>
      </c>
    </row>
    <row r="424">
      <c r="A424" s="12">
        <v>423.0</v>
      </c>
      <c r="B424" s="12" t="s">
        <v>111</v>
      </c>
      <c r="C424" s="5" t="s">
        <v>77</v>
      </c>
      <c r="D424" s="11">
        <v>0.508</v>
      </c>
      <c r="E424" s="11">
        <v>45.0</v>
      </c>
      <c r="F424" s="8"/>
      <c r="G424" s="11">
        <v>654.0</v>
      </c>
      <c r="H424" s="11">
        <v>0.02</v>
      </c>
      <c r="I424" s="11">
        <v>0.168</v>
      </c>
      <c r="J424" s="9" t="s">
        <v>67</v>
      </c>
      <c r="K424" s="14" t="str">
        <f>IFERROR(__xludf.DUMMYFUNCTION("ARRAYFORMULA(VLOOKUP(A424,IMPORTRANGE(""https://docs.google.com/spreadsheets/d/1BuTWp7qHGjWhqrnf-OmePP568O4A5Am9ttzvVdP67zw/edit#gid=1603210130"", ""TOURISM!$A$2:$F$2692""), {2,3,4,5,6},0))"),"Africa")</f>
        <v>Africa</v>
      </c>
      <c r="L424" s="14">
        <f>IFERROR(__xludf.DUMMYFUNCTION("""COMPUTED_VALUE"""),2.31E8)</f>
        <v>231000000</v>
      </c>
      <c r="M424" s="14" t="str">
        <f>IFERROR(__xludf.DUMMYFUNCTION("""COMPUTED_VALUE"""),"Cameroon-Africa")</f>
        <v>Cameroon-Africa</v>
      </c>
      <c r="N424" s="14" t="str">
        <f>IFERROR(__xludf.DUMMYFUNCTION("""COMPUTED_VALUE"""),"2006")</f>
        <v>2006</v>
      </c>
      <c r="O424" s="14">
        <f>IFERROR(__xludf.DUMMYFUNCTION("""COMPUTED_VALUE"""),5.21E8)</f>
        <v>521000000</v>
      </c>
      <c r="P424" s="15">
        <f>IFERROR(__xludf.DUMMYFUNCTION("ARRAYFORMULA(VLOOKUP(A424,IMPORTRANGE(""https://docs.google.com/spreadsheets/d/1BuTWp7qHGjWhqrnf-OmePP568O4A5Am9ttzvVdP67zw/edit#gid=771602874"" ,""HUMAN RESOURCES!$A$2:$M$2692""), {2,3,4,5,6,7,8,9,10,11,12,13},0))"),0.04)</f>
        <v>0.04</v>
      </c>
      <c r="Q424" s="14">
        <f>IFERROR(__xludf.DUMMYFUNCTION("""COMPUTED_VALUE"""),0.076)</f>
        <v>0.076</v>
      </c>
      <c r="R424" s="14">
        <f>IFERROR(__xludf.DUMMYFUNCTION("""COMPUTED_VALUE"""),53.0)</f>
        <v>53</v>
      </c>
      <c r="S424" s="14">
        <f>IFERROR(__xludf.DUMMYFUNCTION("""COMPUTED_VALUE"""),51.0)</f>
        <v>51</v>
      </c>
      <c r="T424" s="14">
        <f>IFERROR(__xludf.DUMMYFUNCTION("""COMPUTED_VALUE"""),0.441)</f>
        <v>0.441</v>
      </c>
      <c r="U424" s="14">
        <f>IFERROR(__xludf.DUMMYFUNCTION("""COMPUTED_VALUE"""),0.526)</f>
        <v>0.526</v>
      </c>
      <c r="V424" s="14">
        <f>IFERROR(__xludf.DUMMYFUNCTION("""COMPUTED_VALUE"""),0.033)</f>
        <v>0.033</v>
      </c>
      <c r="W424" s="14">
        <f>IFERROR(__xludf.DUMMYFUNCTION("""COMPUTED_VALUE"""),1.8611937E7)</f>
        <v>18611937</v>
      </c>
      <c r="X424" s="14">
        <f>IFERROR(__xludf.DUMMYFUNCTION("""COMPUTED_VALUE"""),0.491)</f>
        <v>0.491</v>
      </c>
      <c r="Y424" s="14" t="str">
        <f>IFERROR(__xludf.DUMMYFUNCTION("""COMPUTED_VALUE"""),"Cameroon-Africa")</f>
        <v>Cameroon-Africa</v>
      </c>
      <c r="Z424" s="14" t="str">
        <f>IFERROR(__xludf.DUMMYFUNCTION("""COMPUTED_VALUE"""),"Africa")</f>
        <v>Africa</v>
      </c>
      <c r="AA424" s="14" t="str">
        <f>IFERROR(__xludf.DUMMYFUNCTION("""COMPUTED_VALUE"""),"2006")</f>
        <v>2006</v>
      </c>
      <c r="AB424" s="15" t="str">
        <f>IFERROR(__xludf.DUMMYFUNCTION("ARRAYFORMULA(VLOOKUP(A424,IMPORTRANGE(""https://docs.google.com/spreadsheets/d/1BuTWp7qHGjWhqrnf-OmePP568O4A5Am9ttzvVdP67zw/edit#gid=1931367683"" ,""ENERGY!$A$2:$F$2692""), {2,3,4,5,6},0))"),"Africa")</f>
        <v>Africa</v>
      </c>
      <c r="AC424" s="14" t="str">
        <f>IFERROR(__xludf.DUMMYFUNCTION("""COMPUTED_VALUE"""),"Cameroon-Africa")</f>
        <v>Cameroon-Africa</v>
      </c>
      <c r="AD424" s="14" t="str">
        <f>IFERROR(__xludf.DUMMYFUNCTION("""COMPUTED_VALUE"""),"2010")</f>
        <v>2010</v>
      </c>
      <c r="AE424" s="14">
        <f>IFERROR(__xludf.DUMMYFUNCTION("""COMPUTED_VALUE"""),6723.0)</f>
        <v>6723</v>
      </c>
      <c r="AF424" s="14">
        <f>IFERROR(__xludf.DUMMYFUNCTION("""COMPUTED_VALUE"""),3828.0)</f>
        <v>3828</v>
      </c>
    </row>
    <row r="425">
      <c r="A425" s="12">
        <v>424.0</v>
      </c>
      <c r="B425" s="12" t="s">
        <v>111</v>
      </c>
      <c r="C425" s="5" t="s">
        <v>77</v>
      </c>
      <c r="D425" s="11">
        <v>0.508</v>
      </c>
      <c r="E425" s="11">
        <v>38.0</v>
      </c>
      <c r="F425" s="8"/>
      <c r="G425" s="11">
        <v>654.0</v>
      </c>
      <c r="H425" s="11">
        <v>0.029</v>
      </c>
      <c r="I425" s="11">
        <v>0.238</v>
      </c>
      <c r="J425" s="9" t="s">
        <v>68</v>
      </c>
      <c r="K425" s="14" t="str">
        <f>IFERROR(__xludf.DUMMYFUNCTION("ARRAYFORMULA(VLOOKUP(A425,IMPORTRANGE(""https://docs.google.com/spreadsheets/d/1BuTWp7qHGjWhqrnf-OmePP568O4A5Am9ttzvVdP67zw/edit#gid=1603210130"", ""TOURISM!$A$2:$F$2692""), {2,3,4,5,6},0))"),"Africa")</f>
        <v>Africa</v>
      </c>
      <c r="L425" s="14">
        <f>IFERROR(__xludf.DUMMYFUNCTION("""COMPUTED_VALUE"""),2.54E8)</f>
        <v>254000000</v>
      </c>
      <c r="M425" s="14" t="str">
        <f>IFERROR(__xludf.DUMMYFUNCTION("""COMPUTED_VALUE"""),"Cameroon-Africa")</f>
        <v>Cameroon-Africa</v>
      </c>
      <c r="N425" s="14" t="str">
        <f>IFERROR(__xludf.DUMMYFUNCTION("""COMPUTED_VALUE"""),"2007")</f>
        <v>2007</v>
      </c>
      <c r="O425" s="14">
        <f>IFERROR(__xludf.DUMMYFUNCTION("""COMPUTED_VALUE"""),4.66E8)</f>
        <v>466000000</v>
      </c>
      <c r="P425" s="15">
        <f>IFERROR(__xludf.DUMMYFUNCTION("ARRAYFORMULA(VLOOKUP(A425,IMPORTRANGE(""https://docs.google.com/spreadsheets/d/1BuTWp7qHGjWhqrnf-OmePP568O4A5Am9ttzvVdP67zw/edit#gid=771602874"" ,""HUMAN RESOURCES!$A$2:$M$2692""), {2,3,4,5,6,7,8,9,10,11,12,13},0))"),0.04)</f>
        <v>0.04</v>
      </c>
      <c r="Q425" s="14">
        <f>IFERROR(__xludf.DUMMYFUNCTION("""COMPUTED_VALUE"""),0.073)</f>
        <v>0.073</v>
      </c>
      <c r="R425" s="14">
        <f>IFERROR(__xludf.DUMMYFUNCTION("""COMPUTED_VALUE"""),53.0)</f>
        <v>53</v>
      </c>
      <c r="S425" s="14">
        <f>IFERROR(__xludf.DUMMYFUNCTION("""COMPUTED_VALUE"""),52.0)</f>
        <v>52</v>
      </c>
      <c r="T425" s="14">
        <f>IFERROR(__xludf.DUMMYFUNCTION("""COMPUTED_VALUE"""),0.439)</f>
        <v>0.439</v>
      </c>
      <c r="U425" s="14">
        <f>IFERROR(__xludf.DUMMYFUNCTION("""COMPUTED_VALUE"""),0.528)</f>
        <v>0.528</v>
      </c>
      <c r="V425" s="14">
        <f>IFERROR(__xludf.DUMMYFUNCTION("""COMPUTED_VALUE"""),0.033)</f>
        <v>0.033</v>
      </c>
      <c r="W425" s="14">
        <f>IFERROR(__xludf.DUMMYFUNCTION("""COMPUTED_VALUE"""),1.9097676E7)</f>
        <v>19097676</v>
      </c>
      <c r="X425" s="14">
        <f>IFERROR(__xludf.DUMMYFUNCTION("""COMPUTED_VALUE"""),0.497)</f>
        <v>0.497</v>
      </c>
      <c r="Y425" s="14" t="str">
        <f>IFERROR(__xludf.DUMMYFUNCTION("""COMPUTED_VALUE"""),"Cameroon-Africa")</f>
        <v>Cameroon-Africa</v>
      </c>
      <c r="Z425" s="14" t="str">
        <f>IFERROR(__xludf.DUMMYFUNCTION("""COMPUTED_VALUE"""),"Africa")</f>
        <v>Africa</v>
      </c>
      <c r="AA425" s="14" t="str">
        <f>IFERROR(__xludf.DUMMYFUNCTION("""COMPUTED_VALUE"""),"2007")</f>
        <v>2007</v>
      </c>
      <c r="AB425" s="15" t="str">
        <f>IFERROR(__xludf.DUMMYFUNCTION("ARRAYFORMULA(VLOOKUP(A425,IMPORTRANGE(""https://docs.google.com/spreadsheets/d/1BuTWp7qHGjWhqrnf-OmePP568O4A5Am9ttzvVdP67zw/edit#gid=1931367683"" ,""ENERGY!$A$2:$F$2692""), {2,3,4,5,6},0))"),"Africa")</f>
        <v>Africa</v>
      </c>
      <c r="AC425" s="14" t="str">
        <f>IFERROR(__xludf.DUMMYFUNCTION("""COMPUTED_VALUE"""),"Cameroon-Africa")</f>
        <v>Cameroon-Africa</v>
      </c>
      <c r="AD425" s="14" t="str">
        <f>IFERROR(__xludf.DUMMYFUNCTION("""COMPUTED_VALUE"""),"2006")</f>
        <v>2006</v>
      </c>
      <c r="AE425" s="14">
        <f>IFERROR(__xludf.DUMMYFUNCTION("""COMPUTED_VALUE"""),6981.0)</f>
        <v>6981</v>
      </c>
      <c r="AF425" s="14">
        <f>IFERROR(__xludf.DUMMYFUNCTION("""COMPUTED_VALUE"""),3696.0)</f>
        <v>3696</v>
      </c>
    </row>
    <row r="426">
      <c r="A426" s="12">
        <v>425.0</v>
      </c>
      <c r="B426" s="12" t="s">
        <v>111</v>
      </c>
      <c r="C426" s="5" t="s">
        <v>77</v>
      </c>
      <c r="D426" s="11">
        <v>0.504</v>
      </c>
      <c r="E426" s="11">
        <v>38.0</v>
      </c>
      <c r="F426" s="8"/>
      <c r="G426" s="11">
        <v>654.0</v>
      </c>
      <c r="H426" s="11">
        <v>0.034</v>
      </c>
      <c r="I426" s="11">
        <v>0.314</v>
      </c>
      <c r="J426" s="9" t="s">
        <v>69</v>
      </c>
      <c r="K426" s="14" t="str">
        <f>IFERROR(__xludf.DUMMYFUNCTION("ARRAYFORMULA(VLOOKUP(A426,IMPORTRANGE(""https://docs.google.com/spreadsheets/d/1BuTWp7qHGjWhqrnf-OmePP568O4A5Am9ttzvVdP67zw/edit#gid=1603210130"", ""TOURISM!$A$2:$F$2692""), {2,3,4,5,6},0))"),"Africa")</f>
        <v>Africa</v>
      </c>
      <c r="L426" s="14">
        <f>IFERROR(__xludf.DUMMYFUNCTION("""COMPUTED_VALUE"""),1.67E8)</f>
        <v>167000000</v>
      </c>
      <c r="M426" s="14" t="str">
        <f>IFERROR(__xludf.DUMMYFUNCTION("""COMPUTED_VALUE"""),"Cameroon-Africa")</f>
        <v>Cameroon-Africa</v>
      </c>
      <c r="N426" s="14" t="str">
        <f>IFERROR(__xludf.DUMMYFUNCTION("""COMPUTED_VALUE"""),"2008")</f>
        <v>2008</v>
      </c>
      <c r="O426" s="14">
        <f>IFERROR(__xludf.DUMMYFUNCTION("""COMPUTED_VALUE"""),5.63E8)</f>
        <v>563000000</v>
      </c>
      <c r="P426" s="15">
        <f>IFERROR(__xludf.DUMMYFUNCTION("ARRAYFORMULA(VLOOKUP(A426,IMPORTRANGE(""https://docs.google.com/spreadsheets/d/1BuTWp7qHGjWhqrnf-OmePP568O4A5Am9ttzvVdP67zw/edit#gid=771602874"" ,""HUMAN RESOURCES!$A$2:$M$2692""), {2,3,4,5,6,7,8,9,10,11,12,13},0))"),0.039)</f>
        <v>0.039</v>
      </c>
      <c r="Q426" s="14">
        <f>IFERROR(__xludf.DUMMYFUNCTION("""COMPUTED_VALUE"""),0.071)</f>
        <v>0.071</v>
      </c>
      <c r="R426" s="14">
        <f>IFERROR(__xludf.DUMMYFUNCTION("""COMPUTED_VALUE"""),54.0)</f>
        <v>54</v>
      </c>
      <c r="S426" s="14">
        <f>IFERROR(__xludf.DUMMYFUNCTION("""COMPUTED_VALUE"""),52.0)</f>
        <v>52</v>
      </c>
      <c r="T426" s="14">
        <f>IFERROR(__xludf.DUMMYFUNCTION("""COMPUTED_VALUE"""),0.438)</f>
        <v>0.438</v>
      </c>
      <c r="U426" s="14">
        <f>IFERROR(__xludf.DUMMYFUNCTION("""COMPUTED_VALUE"""),0.53)</f>
        <v>0.53</v>
      </c>
      <c r="V426" s="14">
        <f>IFERROR(__xludf.DUMMYFUNCTION("""COMPUTED_VALUE"""),0.033)</f>
        <v>0.033</v>
      </c>
      <c r="W426" s="14">
        <f>IFERROR(__xludf.DUMMYFUNCTION("""COMPUTED_VALUE"""),1.9595026E7)</f>
        <v>19595026</v>
      </c>
      <c r="X426" s="14">
        <f>IFERROR(__xludf.DUMMYFUNCTION("""COMPUTED_VALUE"""),0.503)</f>
        <v>0.503</v>
      </c>
      <c r="Y426" s="14" t="str">
        <f>IFERROR(__xludf.DUMMYFUNCTION("""COMPUTED_VALUE"""),"Cameroon-Africa")</f>
        <v>Cameroon-Africa</v>
      </c>
      <c r="Z426" s="14" t="str">
        <f>IFERROR(__xludf.DUMMYFUNCTION("""COMPUTED_VALUE"""),"Africa")</f>
        <v>Africa</v>
      </c>
      <c r="AA426" s="14" t="str">
        <f>IFERROR(__xludf.DUMMYFUNCTION("""COMPUTED_VALUE"""),"2008")</f>
        <v>2008</v>
      </c>
      <c r="AB426" s="15" t="str">
        <f>IFERROR(__xludf.DUMMYFUNCTION("ARRAYFORMULA(VLOOKUP(A426,IMPORTRANGE(""https://docs.google.com/spreadsheets/d/1BuTWp7qHGjWhqrnf-OmePP568O4A5Am9ttzvVdP67zw/edit#gid=1931367683"" ,""ENERGY!$A$2:$F$2692""), {2,3,4,5,6},0))"),"Africa")</f>
        <v>Africa</v>
      </c>
      <c r="AC426" s="14" t="str">
        <f>IFERROR(__xludf.DUMMYFUNCTION("""COMPUTED_VALUE"""),"Cameroon-Africa")</f>
        <v>Cameroon-Africa</v>
      </c>
      <c r="AD426" s="14" t="str">
        <f>IFERROR(__xludf.DUMMYFUNCTION("""COMPUTED_VALUE"""),"2012")</f>
        <v>2012</v>
      </c>
      <c r="AE426" s="14">
        <f>IFERROR(__xludf.DUMMYFUNCTION("""COMPUTED_VALUE"""),6959.0)</f>
        <v>6959</v>
      </c>
      <c r="AF426" s="14">
        <f>IFERROR(__xludf.DUMMYFUNCTION("""COMPUTED_VALUE"""),3957.0)</f>
        <v>3957</v>
      </c>
    </row>
    <row r="427">
      <c r="A427" s="12">
        <v>426.0</v>
      </c>
      <c r="B427" s="12" t="s">
        <v>111</v>
      </c>
      <c r="C427" s="5" t="s">
        <v>77</v>
      </c>
      <c r="D427" s="11">
        <v>0.488</v>
      </c>
      <c r="E427" s="11">
        <v>35.0</v>
      </c>
      <c r="F427" s="8"/>
      <c r="G427" s="11">
        <v>654.0</v>
      </c>
      <c r="H427" s="11">
        <v>0.038</v>
      </c>
      <c r="I427" s="11">
        <v>0.398</v>
      </c>
      <c r="J427" s="9" t="s">
        <v>70</v>
      </c>
      <c r="K427" s="14" t="str">
        <f>IFERROR(__xludf.DUMMYFUNCTION("ARRAYFORMULA(VLOOKUP(A427,IMPORTRANGE(""https://docs.google.com/spreadsheets/d/1BuTWp7qHGjWhqrnf-OmePP568O4A5Am9ttzvVdP67zw/edit#gid=1603210130"", ""TOURISM!$A$2:$F$2692""), {2,3,4,5,6},0))"),"Africa")</f>
        <v>Africa</v>
      </c>
      <c r="L427" s="14">
        <f>IFERROR(__xludf.DUMMYFUNCTION("""COMPUTED_VALUE"""),2.71E8)</f>
        <v>271000000</v>
      </c>
      <c r="M427" s="14" t="str">
        <f>IFERROR(__xludf.DUMMYFUNCTION("""COMPUTED_VALUE"""),"Cameroon-Africa")</f>
        <v>Cameroon-Africa</v>
      </c>
      <c r="N427" s="14" t="str">
        <f>IFERROR(__xludf.DUMMYFUNCTION("""COMPUTED_VALUE"""),"2009")</f>
        <v>2009</v>
      </c>
      <c r="O427" s="14">
        <f>IFERROR(__xludf.DUMMYFUNCTION("""COMPUTED_VALUE"""),4.76E8)</f>
        <v>476000000</v>
      </c>
      <c r="P427" s="15">
        <f>IFERROR(__xludf.DUMMYFUNCTION("ARRAYFORMULA(VLOOKUP(A427,IMPORTRANGE(""https://docs.google.com/spreadsheets/d/1BuTWp7qHGjWhqrnf-OmePP568O4A5Am9ttzvVdP67zw/edit#gid=771602874"" ,""HUMAN RESOURCES!$A$2:$M$2692""), {2,3,4,5,6,7,8,9,10,11,12,13},0))"),0.039)</f>
        <v>0.039</v>
      </c>
      <c r="Q427" s="14">
        <f>IFERROR(__xludf.DUMMYFUNCTION("""COMPUTED_VALUE"""),0.069)</f>
        <v>0.069</v>
      </c>
      <c r="R427" s="14">
        <f>IFERROR(__xludf.DUMMYFUNCTION("""COMPUTED_VALUE"""),54.0)</f>
        <v>54</v>
      </c>
      <c r="S427" s="14">
        <f>IFERROR(__xludf.DUMMYFUNCTION("""COMPUTED_VALUE"""),52.0)</f>
        <v>52</v>
      </c>
      <c r="T427" s="14">
        <f>IFERROR(__xludf.DUMMYFUNCTION("""COMPUTED_VALUE"""),0.436)</f>
        <v>0.436</v>
      </c>
      <c r="U427" s="14">
        <f>IFERROR(__xludf.DUMMYFUNCTION("""COMPUTED_VALUE"""),0.532)</f>
        <v>0.532</v>
      </c>
      <c r="V427" s="14">
        <f>IFERROR(__xludf.DUMMYFUNCTION("""COMPUTED_VALUE"""),0.033)</f>
        <v>0.033</v>
      </c>
      <c r="W427" s="14">
        <f>IFERROR(__xludf.DUMMYFUNCTION("""COMPUTED_VALUE"""),2.0103945E7)</f>
        <v>20103945</v>
      </c>
      <c r="X427" s="14">
        <f>IFERROR(__xludf.DUMMYFUNCTION("""COMPUTED_VALUE"""),0.509)</f>
        <v>0.509</v>
      </c>
      <c r="Y427" s="14" t="str">
        <f>IFERROR(__xludf.DUMMYFUNCTION("""COMPUTED_VALUE"""),"Cameroon-Africa")</f>
        <v>Cameroon-Africa</v>
      </c>
      <c r="Z427" s="14" t="str">
        <f>IFERROR(__xludf.DUMMYFUNCTION("""COMPUTED_VALUE"""),"Africa")</f>
        <v>Africa</v>
      </c>
      <c r="AA427" s="14" t="str">
        <f>IFERROR(__xludf.DUMMYFUNCTION("""COMPUTED_VALUE"""),"2009")</f>
        <v>2009</v>
      </c>
      <c r="AB427" s="15" t="str">
        <f>IFERROR(__xludf.DUMMYFUNCTION("ARRAYFORMULA(VLOOKUP(A427,IMPORTRANGE(""https://docs.google.com/spreadsheets/d/1BuTWp7qHGjWhqrnf-OmePP568O4A5Am9ttzvVdP67zw/edit#gid=1931367683"" ,""ENERGY!$A$2:$F$2692""), {2,3,4,5,6},0))"),"Africa")</f>
        <v>Africa</v>
      </c>
      <c r="AC427" s="14" t="str">
        <f>IFERROR(__xludf.DUMMYFUNCTION("""COMPUTED_VALUE"""),"Cameroon-Africa")</f>
        <v>Cameroon-Africa</v>
      </c>
      <c r="AD427" s="14" t="str">
        <f>IFERROR(__xludf.DUMMYFUNCTION("""COMPUTED_VALUE"""),"2009")</f>
        <v>2009</v>
      </c>
      <c r="AE427" s="14">
        <f>IFERROR(__xludf.DUMMYFUNCTION("""COMPUTED_VALUE"""),6766.0)</f>
        <v>6766</v>
      </c>
      <c r="AF427" s="14">
        <f>IFERROR(__xludf.DUMMYFUNCTION("""COMPUTED_VALUE"""),3795.0)</f>
        <v>3795</v>
      </c>
    </row>
    <row r="428">
      <c r="A428" s="12">
        <v>427.0</v>
      </c>
      <c r="B428" s="12" t="s">
        <v>111</v>
      </c>
      <c r="C428" s="5" t="s">
        <v>77</v>
      </c>
      <c r="D428" s="11">
        <v>0.488</v>
      </c>
      <c r="E428" s="11">
        <v>19.0</v>
      </c>
      <c r="F428" s="8"/>
      <c r="G428" s="11">
        <v>654.0</v>
      </c>
      <c r="H428" s="11">
        <v>0.043</v>
      </c>
      <c r="I428" s="11">
        <v>0.419</v>
      </c>
      <c r="J428" s="9" t="s">
        <v>71</v>
      </c>
      <c r="K428" s="14" t="str">
        <f>IFERROR(__xludf.DUMMYFUNCTION("ARRAYFORMULA(VLOOKUP(A428,IMPORTRANGE(""https://docs.google.com/spreadsheets/d/1BuTWp7qHGjWhqrnf-OmePP568O4A5Am9ttzvVdP67zw/edit#gid=1603210130"", ""TOURISM!$A$2:$F$2692""), {2,3,4,5,6},0))"),"Africa")</f>
        <v>Africa</v>
      </c>
      <c r="L428" s="14">
        <f>IFERROR(__xludf.DUMMYFUNCTION("""COMPUTED_VALUE"""),1.71E8)</f>
        <v>171000000</v>
      </c>
      <c r="M428" s="14" t="str">
        <f>IFERROR(__xludf.DUMMYFUNCTION("""COMPUTED_VALUE"""),"Cameroon-Africa")</f>
        <v>Cameroon-Africa</v>
      </c>
      <c r="N428" s="14" t="str">
        <f>IFERROR(__xludf.DUMMYFUNCTION("""COMPUTED_VALUE"""),"2010")</f>
        <v>2010</v>
      </c>
      <c r="O428" s="14">
        <f>IFERROR(__xludf.DUMMYFUNCTION("""COMPUTED_VALUE"""),2.65E8)</f>
        <v>265000000</v>
      </c>
      <c r="P428" s="15">
        <f>IFERROR(__xludf.DUMMYFUNCTION("ARRAYFORMULA(VLOOKUP(A428,IMPORTRANGE(""https://docs.google.com/spreadsheets/d/1BuTWp7qHGjWhqrnf-OmePP568O4A5Am9ttzvVdP67zw/edit#gid=771602874"" ,""HUMAN RESOURCES!$A$2:$M$2692""), {2,3,4,5,6,7,8,9,10,11,12,13},0))"),0.039)</f>
        <v>0.039</v>
      </c>
      <c r="Q428" s="14">
        <f>IFERROR(__xludf.DUMMYFUNCTION("""COMPUTED_VALUE"""),0.066)</f>
        <v>0.066</v>
      </c>
      <c r="R428" s="14">
        <f>IFERROR(__xludf.DUMMYFUNCTION("""COMPUTED_VALUE"""),55.0)</f>
        <v>55</v>
      </c>
      <c r="S428" s="14">
        <f>IFERROR(__xludf.DUMMYFUNCTION("""COMPUTED_VALUE"""),53.0)</f>
        <v>53</v>
      </c>
      <c r="T428" s="14">
        <f>IFERROR(__xludf.DUMMYFUNCTION("""COMPUTED_VALUE"""),0.434)</f>
        <v>0.434</v>
      </c>
      <c r="U428" s="14">
        <f>IFERROR(__xludf.DUMMYFUNCTION("""COMPUTED_VALUE"""),0.533)</f>
        <v>0.533</v>
      </c>
      <c r="V428" s="14">
        <f>IFERROR(__xludf.DUMMYFUNCTION("""COMPUTED_VALUE"""),0.032)</f>
        <v>0.032</v>
      </c>
      <c r="W428" s="14">
        <f>IFERROR(__xludf.DUMMYFUNCTION("""COMPUTED_VALUE"""),2.0624343E7)</f>
        <v>20624343</v>
      </c>
      <c r="X428" s="14">
        <f>IFERROR(__xludf.DUMMYFUNCTION("""COMPUTED_VALUE"""),0.515)</f>
        <v>0.515</v>
      </c>
      <c r="Y428" s="14" t="str">
        <f>IFERROR(__xludf.DUMMYFUNCTION("""COMPUTED_VALUE"""),"Cameroon-Africa")</f>
        <v>Cameroon-Africa</v>
      </c>
      <c r="Z428" s="14" t="str">
        <f>IFERROR(__xludf.DUMMYFUNCTION("""COMPUTED_VALUE"""),"Africa")</f>
        <v>Africa</v>
      </c>
      <c r="AA428" s="14" t="str">
        <f>IFERROR(__xludf.DUMMYFUNCTION("""COMPUTED_VALUE"""),"2010")</f>
        <v>2010</v>
      </c>
      <c r="AB428" s="15" t="str">
        <f>IFERROR(__xludf.DUMMYFUNCTION("ARRAYFORMULA(VLOOKUP(A428,IMPORTRANGE(""https://docs.google.com/spreadsheets/d/1BuTWp7qHGjWhqrnf-OmePP568O4A5Am9ttzvVdP67zw/edit#gid=1931367683"" ,""ENERGY!$A$2:$F$2692""), {2,3,4,5,6},0))"),"Africa")</f>
        <v>Africa</v>
      </c>
      <c r="AC428" s="14" t="str">
        <f>IFERROR(__xludf.DUMMYFUNCTION("""COMPUTED_VALUE"""),"Cameroon-Africa")</f>
        <v>Cameroon-Africa</v>
      </c>
      <c r="AD428" s="14" t="str">
        <f>IFERROR(__xludf.DUMMYFUNCTION("""COMPUTED_VALUE"""),"2006")</f>
        <v>2006</v>
      </c>
      <c r="AE428" s="14">
        <f>IFERROR(__xludf.DUMMYFUNCTION("""COMPUTED_VALUE"""),6518.0)</f>
        <v>6518</v>
      </c>
      <c r="AF428" s="14">
        <f>IFERROR(__xludf.DUMMYFUNCTION("""COMPUTED_VALUE"""),3418.0)</f>
        <v>3418</v>
      </c>
    </row>
    <row r="429">
      <c r="A429" s="12">
        <v>428.0</v>
      </c>
      <c r="B429" s="12" t="s">
        <v>111</v>
      </c>
      <c r="C429" s="5" t="s">
        <v>77</v>
      </c>
      <c r="D429" s="11">
        <v>0.488</v>
      </c>
      <c r="E429" s="11">
        <v>15.0</v>
      </c>
      <c r="F429" s="8"/>
      <c r="G429" s="11">
        <v>654.0</v>
      </c>
      <c r="H429" s="11">
        <v>0.05</v>
      </c>
      <c r="I429" s="11">
        <v>0.496</v>
      </c>
      <c r="J429" s="9" t="s">
        <v>72</v>
      </c>
      <c r="K429" s="14" t="str">
        <f>IFERROR(__xludf.DUMMYFUNCTION("ARRAYFORMULA(VLOOKUP(A429,IMPORTRANGE(""https://docs.google.com/spreadsheets/d/1BuTWp7qHGjWhqrnf-OmePP568O4A5Am9ttzvVdP67zw/edit#gid=1603210130"", ""TOURISM!$A$2:$F$2692""), {2,3,4,5,6},0))"),"Africa")</f>
        <v>Africa</v>
      </c>
      <c r="L429" s="14">
        <f>IFERROR(__xludf.DUMMYFUNCTION("""COMPUTED_VALUE"""),4.23E8)</f>
        <v>423000000</v>
      </c>
      <c r="M429" s="14" t="str">
        <f>IFERROR(__xludf.DUMMYFUNCTION("""COMPUTED_VALUE"""),"Cameroon-Africa")</f>
        <v>Cameroon-Africa</v>
      </c>
      <c r="N429" s="14" t="str">
        <f>IFERROR(__xludf.DUMMYFUNCTION("""COMPUTED_VALUE"""),"2011")</f>
        <v>2011</v>
      </c>
      <c r="O429" s="14">
        <f>IFERROR(__xludf.DUMMYFUNCTION("""COMPUTED_VALUE"""),6.22E8)</f>
        <v>622000000</v>
      </c>
      <c r="P429" s="15">
        <f>IFERROR(__xludf.DUMMYFUNCTION("ARRAYFORMULA(VLOOKUP(A429,IMPORTRANGE(""https://docs.google.com/spreadsheets/d/1BuTWp7qHGjWhqrnf-OmePP568O4A5Am9ttzvVdP67zw/edit#gid=771602874"" ,""HUMAN RESOURCES!$A$2:$M$2692""), {2,3,4,5,6,7,8,9,10,11,12,13},0))"),0.038)</f>
        <v>0.038</v>
      </c>
      <c r="Q429" s="14">
        <f>IFERROR(__xludf.DUMMYFUNCTION("""COMPUTED_VALUE"""),0.064)</f>
        <v>0.064</v>
      </c>
      <c r="R429" s="14">
        <f>IFERROR(__xludf.DUMMYFUNCTION("""COMPUTED_VALUE"""),55.0)</f>
        <v>55</v>
      </c>
      <c r="S429" s="14">
        <f>IFERROR(__xludf.DUMMYFUNCTION("""COMPUTED_VALUE"""),53.0)</f>
        <v>53</v>
      </c>
      <c r="T429" s="14">
        <f>IFERROR(__xludf.DUMMYFUNCTION("""COMPUTED_VALUE"""),0.432)</f>
        <v>0.432</v>
      </c>
      <c r="U429" s="14">
        <f>IFERROR(__xludf.DUMMYFUNCTION("""COMPUTED_VALUE"""),0.535)</f>
        <v>0.535</v>
      </c>
      <c r="V429" s="14">
        <f>IFERROR(__xludf.DUMMYFUNCTION("""COMPUTED_VALUE"""),0.032)</f>
        <v>0.032</v>
      </c>
      <c r="W429" s="14">
        <f>IFERROR(__xludf.DUMMYFUNCTION("""COMPUTED_VALUE"""),2.1156272E7)</f>
        <v>21156272</v>
      </c>
      <c r="X429" s="14">
        <f>IFERROR(__xludf.DUMMYFUNCTION("""COMPUTED_VALUE"""),0.521)</f>
        <v>0.521</v>
      </c>
      <c r="Y429" s="14" t="str">
        <f>IFERROR(__xludf.DUMMYFUNCTION("""COMPUTED_VALUE"""),"Cameroon-Africa")</f>
        <v>Cameroon-Africa</v>
      </c>
      <c r="Z429" s="14" t="str">
        <f>IFERROR(__xludf.DUMMYFUNCTION("""COMPUTED_VALUE"""),"Africa")</f>
        <v>Africa</v>
      </c>
      <c r="AA429" s="14" t="str">
        <f>IFERROR(__xludf.DUMMYFUNCTION("""COMPUTED_VALUE"""),"2011")</f>
        <v>2011</v>
      </c>
      <c r="AB429" s="15" t="str">
        <f>IFERROR(__xludf.DUMMYFUNCTION("ARRAYFORMULA(VLOOKUP(A429,IMPORTRANGE(""https://docs.google.com/spreadsheets/d/1BuTWp7qHGjWhqrnf-OmePP568O4A5Am9ttzvVdP67zw/edit#gid=1931367683"" ,""ENERGY!$A$2:$F$2692""), {2,3,4,5,6},0))"),"Africa")</f>
        <v>Africa</v>
      </c>
      <c r="AC429" s="14" t="str">
        <f>IFERROR(__xludf.DUMMYFUNCTION("""COMPUTED_VALUE"""),"Cameroon-Africa")</f>
        <v>Cameroon-Africa</v>
      </c>
      <c r="AD429" s="14" t="str">
        <f>IFERROR(__xludf.DUMMYFUNCTION("""COMPUTED_VALUE"""),"2004")</f>
        <v>2004</v>
      </c>
      <c r="AE429" s="14">
        <f>IFERROR(__xludf.DUMMYFUNCTION("""COMPUTED_VALUE"""),6384.0)</f>
        <v>6384</v>
      </c>
      <c r="AF429" s="14">
        <f>IFERROR(__xludf.DUMMYFUNCTION("""COMPUTED_VALUE"""),3421.0)</f>
        <v>3421</v>
      </c>
    </row>
    <row r="430">
      <c r="A430" s="12">
        <v>429.0</v>
      </c>
      <c r="B430" s="12" t="s">
        <v>111</v>
      </c>
      <c r="C430" s="5" t="s">
        <v>77</v>
      </c>
      <c r="D430" s="11">
        <v>0.488</v>
      </c>
      <c r="E430" s="11">
        <v>15.0</v>
      </c>
      <c r="F430" s="11">
        <v>162.0</v>
      </c>
      <c r="G430" s="11">
        <v>654.0</v>
      </c>
      <c r="H430" s="11">
        <v>0.057</v>
      </c>
      <c r="I430" s="11">
        <v>0.604</v>
      </c>
      <c r="J430" s="9" t="s">
        <v>73</v>
      </c>
      <c r="K430" s="14" t="str">
        <f>IFERROR(__xludf.DUMMYFUNCTION("ARRAYFORMULA(VLOOKUP(A430,IMPORTRANGE(""https://docs.google.com/spreadsheets/d/1BuTWp7qHGjWhqrnf-OmePP568O4A5Am9ttzvVdP67zw/edit#gid=1603210130"", ""TOURISM!$A$2:$F$2692""), {2,3,4,5,6},0))"),"Africa")</f>
        <v>Africa</v>
      </c>
      <c r="L430" s="14">
        <f>IFERROR(__xludf.DUMMYFUNCTION("""COMPUTED_VALUE"""),3.77E8)</f>
        <v>377000000</v>
      </c>
      <c r="M430" s="14" t="str">
        <f>IFERROR(__xludf.DUMMYFUNCTION("""COMPUTED_VALUE"""),"Cameroon-Africa")</f>
        <v>Cameroon-Africa</v>
      </c>
      <c r="N430" s="14" t="str">
        <f>IFERROR(__xludf.DUMMYFUNCTION("""COMPUTED_VALUE"""),"2012")</f>
        <v>2012</v>
      </c>
      <c r="O430" s="14">
        <f>IFERROR(__xludf.DUMMYFUNCTION("""COMPUTED_VALUE"""),6.68E8)</f>
        <v>668000000</v>
      </c>
      <c r="P430" s="15">
        <f>IFERROR(__xludf.DUMMYFUNCTION("ARRAYFORMULA(VLOOKUP(A430,IMPORTRANGE(""https://docs.google.com/spreadsheets/d/1BuTWp7qHGjWhqrnf-OmePP568O4A5Am9ttzvVdP67zw/edit#gid=771602874"" ,""HUMAN RESOURCES!$A$2:$M$2692""), {2,3,4,5,6,7,8,9,10,11,12,13},0))"),0.038)</f>
        <v>0.038</v>
      </c>
      <c r="Q430" s="14">
        <f>IFERROR(__xludf.DUMMYFUNCTION("""COMPUTED_VALUE"""),0.062)</f>
        <v>0.062</v>
      </c>
      <c r="R430" s="14">
        <f>IFERROR(__xludf.DUMMYFUNCTION("""COMPUTED_VALUE"""),56.0)</f>
        <v>56</v>
      </c>
      <c r="S430" s="14">
        <f>IFERROR(__xludf.DUMMYFUNCTION("""COMPUTED_VALUE"""),54.0)</f>
        <v>54</v>
      </c>
      <c r="T430" s="14">
        <f>IFERROR(__xludf.DUMMYFUNCTION("""COMPUTED_VALUE"""),0.431)</f>
        <v>0.431</v>
      </c>
      <c r="U430" s="14">
        <f>IFERROR(__xludf.DUMMYFUNCTION("""COMPUTED_VALUE"""),0.537)</f>
        <v>0.537</v>
      </c>
      <c r="V430" s="14">
        <f>IFERROR(__xludf.DUMMYFUNCTION("""COMPUTED_VALUE"""),0.032)</f>
        <v>0.032</v>
      </c>
      <c r="W430" s="14">
        <f>IFERROR(__xludf.DUMMYFUNCTION("""COMPUTED_VALUE"""),2.1699631E7)</f>
        <v>21699631</v>
      </c>
      <c r="X430" s="14">
        <f>IFERROR(__xludf.DUMMYFUNCTION("""COMPUTED_VALUE"""),0.527)</f>
        <v>0.527</v>
      </c>
      <c r="Y430" s="14" t="str">
        <f>IFERROR(__xludf.DUMMYFUNCTION("""COMPUTED_VALUE"""),"Cameroon-Africa")</f>
        <v>Cameroon-Africa</v>
      </c>
      <c r="Z430" s="14" t="str">
        <f>IFERROR(__xludf.DUMMYFUNCTION("""COMPUTED_VALUE"""),"Africa")</f>
        <v>Africa</v>
      </c>
      <c r="AA430" s="14" t="str">
        <f>IFERROR(__xludf.DUMMYFUNCTION("""COMPUTED_VALUE"""),"2012")</f>
        <v>2012</v>
      </c>
      <c r="AB430" s="15" t="str">
        <f>IFERROR(__xludf.DUMMYFUNCTION("ARRAYFORMULA(VLOOKUP(A430,IMPORTRANGE(""https://docs.google.com/spreadsheets/d/1BuTWp7qHGjWhqrnf-OmePP568O4A5Am9ttzvVdP67zw/edit#gid=1931367683"" ,""ENERGY!$A$2:$F$2692""), {2,3,4,5,6},0))"),"Africa")</f>
        <v>Africa</v>
      </c>
      <c r="AC430" s="14" t="str">
        <f>IFERROR(__xludf.DUMMYFUNCTION("""COMPUTED_VALUE"""),"Cameroon-Africa")</f>
        <v>Cameroon-Africa</v>
      </c>
      <c r="AD430" s="14" t="str">
        <f>IFERROR(__xludf.DUMMYFUNCTION("""COMPUTED_VALUE"""),"2009")</f>
        <v>2009</v>
      </c>
      <c r="AE430" s="14">
        <f>IFERROR(__xludf.DUMMYFUNCTION("""COMPUTED_VALUE"""),6310.0)</f>
        <v>6310</v>
      </c>
      <c r="AF430" s="14">
        <f>IFERROR(__xludf.DUMMYFUNCTION("""COMPUTED_VALUE"""),3432.0)</f>
        <v>3432</v>
      </c>
    </row>
    <row r="431">
      <c r="A431" s="12">
        <v>430.0</v>
      </c>
      <c r="B431" s="12" t="s">
        <v>112</v>
      </c>
      <c r="C431" s="5" t="s">
        <v>84</v>
      </c>
      <c r="D431" s="8"/>
      <c r="E431" s="8"/>
      <c r="F431" s="8"/>
      <c r="G431" s="8"/>
      <c r="H431" s="11">
        <v>0.513</v>
      </c>
      <c r="I431" s="11">
        <v>0.284</v>
      </c>
      <c r="J431" s="9" t="s">
        <v>60</v>
      </c>
      <c r="K431" s="14" t="str">
        <f>IFERROR(__xludf.DUMMYFUNCTION("ARRAYFORMULA(VLOOKUP(A431,IMPORTRANGE(""https://docs.google.com/spreadsheets/d/1BuTWp7qHGjWhqrnf-OmePP568O4A5Am9ttzvVdP67zw/edit#gid=1603210130"", ""TOURISM!$A$2:$F$2692""), {2,3,4,5,6},0))"),"The Americas")</f>
        <v>The Americas</v>
      </c>
      <c r="L431" s="14">
        <f>IFERROR(__xludf.DUMMYFUNCTION("""COMPUTED_VALUE"""),1.3035E10)</f>
        <v>13035000000</v>
      </c>
      <c r="M431" s="14" t="str">
        <f>IFERROR(__xludf.DUMMYFUNCTION("""COMPUTED_VALUE"""),"Canada-The Americas")</f>
        <v>Canada-The Americas</v>
      </c>
      <c r="N431" s="14" t="str">
        <f>IFERROR(__xludf.DUMMYFUNCTION("""COMPUTED_VALUE"""),"2000")</f>
        <v>2000</v>
      </c>
      <c r="O431" s="14">
        <f>IFERROR(__xludf.DUMMYFUNCTION("""COMPUTED_VALUE"""),1.5125E10)</f>
        <v>15125000000</v>
      </c>
      <c r="P431" s="15">
        <f>IFERROR(__xludf.DUMMYFUNCTION("ARRAYFORMULA(VLOOKUP(A431,IMPORTRANGE(""https://docs.google.com/spreadsheets/d/1BuTWp7qHGjWhqrnf-OmePP568O4A5Am9ttzvVdP67zw/edit#gid=771602874"" ,""HUMAN RESOURCES!$A$2:$M$2692""), {2,3,4,5,6,7,8,9,10,11,12,13},0))"),0.011)</f>
        <v>0.011</v>
      </c>
      <c r="Q431" s="14">
        <f>IFERROR(__xludf.DUMMYFUNCTION("""COMPUTED_VALUE"""),0.005)</f>
        <v>0.005</v>
      </c>
      <c r="R431" s="14">
        <f>IFERROR(__xludf.DUMMYFUNCTION("""COMPUTED_VALUE"""),82.0)</f>
        <v>82</v>
      </c>
      <c r="S431" s="14">
        <f>IFERROR(__xludf.DUMMYFUNCTION("""COMPUTED_VALUE"""),77.0)</f>
        <v>77</v>
      </c>
      <c r="T431" s="14">
        <f>IFERROR(__xludf.DUMMYFUNCTION("""COMPUTED_VALUE"""),0.192)</f>
        <v>0.192</v>
      </c>
      <c r="U431" s="14">
        <f>IFERROR(__xludf.DUMMYFUNCTION("""COMPUTED_VALUE"""),0.683)</f>
        <v>0.683</v>
      </c>
      <c r="V431" s="14">
        <f>IFERROR(__xludf.DUMMYFUNCTION("""COMPUTED_VALUE"""),0.125)</f>
        <v>0.125</v>
      </c>
      <c r="W431" s="14">
        <f>IFERROR(__xludf.DUMMYFUNCTION("""COMPUTED_VALUE"""),3.07697E7)</f>
        <v>30769700</v>
      </c>
      <c r="X431" s="14">
        <f>IFERROR(__xludf.DUMMYFUNCTION("""COMPUTED_VALUE"""),0.795)</f>
        <v>0.795</v>
      </c>
      <c r="Y431" s="14" t="str">
        <f>IFERROR(__xludf.DUMMYFUNCTION("""COMPUTED_VALUE"""),"Canada-The Americas")</f>
        <v>Canada-The Americas</v>
      </c>
      <c r="Z431" s="14" t="str">
        <f>IFERROR(__xludf.DUMMYFUNCTION("""COMPUTED_VALUE"""),"The Americas")</f>
        <v>The Americas</v>
      </c>
      <c r="AA431" s="14" t="str">
        <f>IFERROR(__xludf.DUMMYFUNCTION("""COMPUTED_VALUE"""),"2000")</f>
        <v>2000</v>
      </c>
      <c r="AB431" s="15" t="str">
        <f>IFERROR(__xludf.DUMMYFUNCTION("ARRAYFORMULA(VLOOKUP(A431,IMPORTRANGE(""https://docs.google.com/spreadsheets/d/1BuTWp7qHGjWhqrnf-OmePP568O4A5Am9ttzvVdP67zw/edit#gid=1931367683"" ,""ENERGY!$A$2:$F$2692""), {2,3,4,5,6},0))"),"The Americas")</f>
        <v>The Americas</v>
      </c>
      <c r="AC431" s="14" t="str">
        <f>IFERROR(__xludf.DUMMYFUNCTION("""COMPUTED_VALUE"""),"Canada-The Americas")</f>
        <v>Canada-The Americas</v>
      </c>
      <c r="AD431" s="14" t="str">
        <f>IFERROR(__xludf.DUMMYFUNCTION("""COMPUTED_VALUE"""),"2000")</f>
        <v>2000</v>
      </c>
      <c r="AE431" s="14">
        <f>IFERROR(__xludf.DUMMYFUNCTION("""COMPUTED_VALUE"""),252651.0)</f>
        <v>252651</v>
      </c>
      <c r="AF431" s="14"/>
    </row>
    <row r="432">
      <c r="A432" s="12">
        <v>431.0</v>
      </c>
      <c r="B432" s="12" t="s">
        <v>112</v>
      </c>
      <c r="C432" s="5" t="s">
        <v>84</v>
      </c>
      <c r="D432" s="8"/>
      <c r="E432" s="8"/>
      <c r="F432" s="8"/>
      <c r="G432" s="8"/>
      <c r="H432" s="11">
        <v>0.602</v>
      </c>
      <c r="I432" s="11">
        <v>0.344</v>
      </c>
      <c r="J432" s="9" t="s">
        <v>62</v>
      </c>
      <c r="K432" s="14" t="str">
        <f>IFERROR(__xludf.DUMMYFUNCTION("ARRAYFORMULA(VLOOKUP(A432,IMPORTRANGE(""https://docs.google.com/spreadsheets/d/1BuTWp7qHGjWhqrnf-OmePP568O4A5Am9ttzvVdP67zw/edit#gid=1603210130"", ""TOURISM!$A$2:$F$2692""), {2,3,4,5,6},0))"),"The Americas")</f>
        <v>The Americas</v>
      </c>
      <c r="L432" s="14">
        <f>IFERROR(__xludf.DUMMYFUNCTION("""COMPUTED_VALUE"""),1.268E10)</f>
        <v>12680000000</v>
      </c>
      <c r="M432" s="14" t="str">
        <f>IFERROR(__xludf.DUMMYFUNCTION("""COMPUTED_VALUE"""),"Canada-The Americas")</f>
        <v>Canada-The Americas</v>
      </c>
      <c r="N432" s="14" t="str">
        <f>IFERROR(__xludf.DUMMYFUNCTION("""COMPUTED_VALUE"""),"2001")</f>
        <v>2001</v>
      </c>
      <c r="O432" s="14">
        <f>IFERROR(__xludf.DUMMYFUNCTION("""COMPUTED_VALUE"""),1.4634E10)</f>
        <v>14634000000</v>
      </c>
      <c r="P432" s="15">
        <f>IFERROR(__xludf.DUMMYFUNCTION("ARRAYFORMULA(VLOOKUP(A432,IMPORTRANGE(""https://docs.google.com/spreadsheets/d/1BuTWp7qHGjWhqrnf-OmePP568O4A5Am9ttzvVdP67zw/edit#gid=771602874"" ,""HUMAN RESOURCES!$A$2:$M$2692""), {2,3,4,5,6,7,8,9,10,11,12,13},0))"),0.011)</f>
        <v>0.011</v>
      </c>
      <c r="Q432" s="14">
        <f>IFERROR(__xludf.DUMMYFUNCTION("""COMPUTED_VALUE"""),0.005)</f>
        <v>0.005</v>
      </c>
      <c r="R432" s="14">
        <f>IFERROR(__xludf.DUMMYFUNCTION("""COMPUTED_VALUE"""),82.0)</f>
        <v>82</v>
      </c>
      <c r="S432" s="14">
        <f>IFERROR(__xludf.DUMMYFUNCTION("""COMPUTED_VALUE"""),77.0)</f>
        <v>77</v>
      </c>
      <c r="T432" s="14">
        <f>IFERROR(__xludf.DUMMYFUNCTION("""COMPUTED_VALUE"""),0.189)</f>
        <v>0.189</v>
      </c>
      <c r="U432" s="14">
        <f>IFERROR(__xludf.DUMMYFUNCTION("""COMPUTED_VALUE"""),0.685)</f>
        <v>0.685</v>
      </c>
      <c r="V432" s="14">
        <f>IFERROR(__xludf.DUMMYFUNCTION("""COMPUTED_VALUE"""),0.127)</f>
        <v>0.127</v>
      </c>
      <c r="W432" s="14">
        <f>IFERROR(__xludf.DUMMYFUNCTION("""COMPUTED_VALUE"""),3.10819E7)</f>
        <v>31081900</v>
      </c>
      <c r="X432" s="14">
        <f>IFERROR(__xludf.DUMMYFUNCTION("""COMPUTED_VALUE"""),0.798)</f>
        <v>0.798</v>
      </c>
      <c r="Y432" s="14" t="str">
        <f>IFERROR(__xludf.DUMMYFUNCTION("""COMPUTED_VALUE"""),"Canada-The Americas")</f>
        <v>Canada-The Americas</v>
      </c>
      <c r="Z432" s="14" t="str">
        <f>IFERROR(__xludf.DUMMYFUNCTION("""COMPUTED_VALUE"""),"The Americas")</f>
        <v>The Americas</v>
      </c>
      <c r="AA432" s="14" t="str">
        <f>IFERROR(__xludf.DUMMYFUNCTION("""COMPUTED_VALUE"""),"2001")</f>
        <v>2001</v>
      </c>
      <c r="AB432" s="15" t="str">
        <f>IFERROR(__xludf.DUMMYFUNCTION("ARRAYFORMULA(VLOOKUP(A432,IMPORTRANGE(""https://docs.google.com/spreadsheets/d/1BuTWp7qHGjWhqrnf-OmePP568O4A5Am9ttzvVdP67zw/edit#gid=1931367683"" ,""ENERGY!$A$2:$F$2692""), {2,3,4,5,6},0))"),"The Americas")</f>
        <v>The Americas</v>
      </c>
      <c r="AC432" s="14" t="str">
        <f>IFERROR(__xludf.DUMMYFUNCTION("""COMPUTED_VALUE"""),"Canada-The Americas")</f>
        <v>Canada-The Americas</v>
      </c>
      <c r="AD432" s="14" t="str">
        <f>IFERROR(__xludf.DUMMYFUNCTION("""COMPUTED_VALUE"""),"2001")</f>
        <v>2001</v>
      </c>
      <c r="AE432" s="14">
        <f>IFERROR(__xludf.DUMMYFUNCTION("""COMPUTED_VALUE"""),251845.0)</f>
        <v>251845</v>
      </c>
      <c r="AF432" s="14"/>
    </row>
    <row r="433">
      <c r="A433" s="12">
        <v>432.0</v>
      </c>
      <c r="B433" s="12" t="s">
        <v>112</v>
      </c>
      <c r="C433" s="5" t="s">
        <v>84</v>
      </c>
      <c r="D433" s="8"/>
      <c r="E433" s="8"/>
      <c r="F433" s="8"/>
      <c r="G433" s="8"/>
      <c r="H433" s="11">
        <v>0.616</v>
      </c>
      <c r="I433" s="11">
        <v>0.379</v>
      </c>
      <c r="J433" s="9" t="s">
        <v>63</v>
      </c>
      <c r="K433" s="14" t="str">
        <f>IFERROR(__xludf.DUMMYFUNCTION("ARRAYFORMULA(VLOOKUP(A433,IMPORTRANGE(""https://docs.google.com/spreadsheets/d/1BuTWp7qHGjWhqrnf-OmePP568O4A5Am9ttzvVdP67zw/edit#gid=1603210130"", ""TOURISM!$A$2:$F$2692""), {2,3,4,5,6},0))"),"The Americas")</f>
        <v>The Americas</v>
      </c>
      <c r="L433" s="14">
        <f>IFERROR(__xludf.DUMMYFUNCTION("""COMPUTED_VALUE"""),1.2744E10)</f>
        <v>12744000000</v>
      </c>
      <c r="M433" s="14" t="str">
        <f>IFERROR(__xludf.DUMMYFUNCTION("""COMPUTED_VALUE"""),"Canada-The Americas")</f>
        <v>Canada-The Americas</v>
      </c>
      <c r="N433" s="14" t="str">
        <f>IFERROR(__xludf.DUMMYFUNCTION("""COMPUTED_VALUE"""),"2002")</f>
        <v>2002</v>
      </c>
      <c r="O433" s="14">
        <f>IFERROR(__xludf.DUMMYFUNCTION("""COMPUTED_VALUE"""),1.4257E10)</f>
        <v>14257000000</v>
      </c>
      <c r="P433" s="15">
        <f>IFERROR(__xludf.DUMMYFUNCTION("ARRAYFORMULA(VLOOKUP(A433,IMPORTRANGE(""https://docs.google.com/spreadsheets/d/1BuTWp7qHGjWhqrnf-OmePP568O4A5Am9ttzvVdP67zw/edit#gid=771602874"" ,""HUMAN RESOURCES!$A$2:$M$2692""), {2,3,4,5,6,7,8,9,10,11,12,13},0))"),0.011)</f>
        <v>0.011</v>
      </c>
      <c r="Q433" s="14">
        <f>IFERROR(__xludf.DUMMYFUNCTION("""COMPUTED_VALUE"""),0.005)</f>
        <v>0.005</v>
      </c>
      <c r="R433" s="14">
        <f>IFERROR(__xludf.DUMMYFUNCTION("""COMPUTED_VALUE"""),82.0)</f>
        <v>82</v>
      </c>
      <c r="S433" s="14">
        <f>IFERROR(__xludf.DUMMYFUNCTION("""COMPUTED_VALUE"""),77.0)</f>
        <v>77</v>
      </c>
      <c r="T433" s="14">
        <f>IFERROR(__xludf.DUMMYFUNCTION("""COMPUTED_VALUE"""),0.186)</f>
        <v>0.186</v>
      </c>
      <c r="U433" s="14">
        <f>IFERROR(__xludf.DUMMYFUNCTION("""COMPUTED_VALUE"""),0.687)</f>
        <v>0.687</v>
      </c>
      <c r="V433" s="14">
        <f>IFERROR(__xludf.DUMMYFUNCTION("""COMPUTED_VALUE"""),0.128)</f>
        <v>0.128</v>
      </c>
      <c r="W433" s="14">
        <f>IFERROR(__xludf.DUMMYFUNCTION("""COMPUTED_VALUE"""),3.1362E7)</f>
        <v>31362000</v>
      </c>
      <c r="X433" s="14">
        <f>IFERROR(__xludf.DUMMYFUNCTION("""COMPUTED_VALUE"""),0.799)</f>
        <v>0.799</v>
      </c>
      <c r="Y433" s="14" t="str">
        <f>IFERROR(__xludf.DUMMYFUNCTION("""COMPUTED_VALUE"""),"Canada-The Americas")</f>
        <v>Canada-The Americas</v>
      </c>
      <c r="Z433" s="14" t="str">
        <f>IFERROR(__xludf.DUMMYFUNCTION("""COMPUTED_VALUE"""),"The Americas")</f>
        <v>The Americas</v>
      </c>
      <c r="AA433" s="14" t="str">
        <f>IFERROR(__xludf.DUMMYFUNCTION("""COMPUTED_VALUE"""),"2002")</f>
        <v>2002</v>
      </c>
      <c r="AB433" s="15" t="str">
        <f>IFERROR(__xludf.DUMMYFUNCTION("ARRAYFORMULA(VLOOKUP(A433,IMPORTRANGE(""https://docs.google.com/spreadsheets/d/1BuTWp7qHGjWhqrnf-OmePP568O4A5Am9ttzvVdP67zw/edit#gid=1931367683"" ,""ENERGY!$A$2:$F$2692""), {2,3,4,5,6},0))"),"The Americas")</f>
        <v>The Americas</v>
      </c>
      <c r="AC433" s="14" t="str">
        <f>IFERROR(__xludf.DUMMYFUNCTION("""COMPUTED_VALUE"""),"Canada-The Americas")</f>
        <v>Canada-The Americas</v>
      </c>
      <c r="AD433" s="14" t="str">
        <f>IFERROR(__xludf.DUMMYFUNCTION("""COMPUTED_VALUE"""),"2002")</f>
        <v>2002</v>
      </c>
      <c r="AE433" s="14">
        <f>IFERROR(__xludf.DUMMYFUNCTION("""COMPUTED_VALUE"""),250992.0)</f>
        <v>250992</v>
      </c>
      <c r="AF433" s="14">
        <f>IFERROR(__xludf.DUMMYFUNCTION("""COMPUTED_VALUE"""),499137.0)</f>
        <v>499137</v>
      </c>
    </row>
    <row r="434">
      <c r="A434" s="12">
        <v>433.0</v>
      </c>
      <c r="B434" s="12" t="s">
        <v>112</v>
      </c>
      <c r="C434" s="5" t="s">
        <v>84</v>
      </c>
      <c r="D434" s="8"/>
      <c r="E434" s="11">
        <v>3.0</v>
      </c>
      <c r="F434" s="8"/>
      <c r="G434" s="8"/>
      <c r="H434" s="11">
        <v>0.642</v>
      </c>
      <c r="I434" s="11">
        <v>0.421</v>
      </c>
      <c r="J434" s="9" t="s">
        <v>64</v>
      </c>
      <c r="K434" s="14" t="str">
        <f>IFERROR(__xludf.DUMMYFUNCTION("ARRAYFORMULA(VLOOKUP(A434,IMPORTRANGE(""https://docs.google.com/spreadsheets/d/1BuTWp7qHGjWhqrnf-OmePP568O4A5Am9ttzvVdP67zw/edit#gid=1603210130"", ""TOURISM!$A$2:$F$2692""), {2,3,4,5,6},0))"),"The Americas")</f>
        <v>The Americas</v>
      </c>
      <c r="L434" s="14">
        <f>IFERROR(__xludf.DUMMYFUNCTION("""COMPUTED_VALUE"""),1.2236E10)</f>
        <v>12236000000</v>
      </c>
      <c r="M434" s="14" t="str">
        <f>IFERROR(__xludf.DUMMYFUNCTION("""COMPUTED_VALUE"""),"Canada-The Americas")</f>
        <v>Canada-The Americas</v>
      </c>
      <c r="N434" s="14" t="str">
        <f>IFERROR(__xludf.DUMMYFUNCTION("""COMPUTED_VALUE"""),"2003")</f>
        <v>2003</v>
      </c>
      <c r="O434" s="14">
        <f>IFERROR(__xludf.DUMMYFUNCTION("""COMPUTED_VALUE"""),1.6309E10)</f>
        <v>16309000000</v>
      </c>
      <c r="P434" s="15">
        <f>IFERROR(__xludf.DUMMYFUNCTION("ARRAYFORMULA(VLOOKUP(A434,IMPORTRANGE(""https://docs.google.com/spreadsheets/d/1BuTWp7qHGjWhqrnf-OmePP568O4A5Am9ttzvVdP67zw/edit#gid=771602874"" ,""HUMAN RESOURCES!$A$2:$M$2692""), {2,3,4,5,6,7,8,9,10,11,12,13},0))"),0.011)</f>
        <v>0.011</v>
      </c>
      <c r="Q434" s="14">
        <f>IFERROR(__xludf.DUMMYFUNCTION("""COMPUTED_VALUE"""),0.005)</f>
        <v>0.005</v>
      </c>
      <c r="R434" s="14">
        <f>IFERROR(__xludf.DUMMYFUNCTION("""COMPUTED_VALUE"""),82.0)</f>
        <v>82</v>
      </c>
      <c r="S434" s="14">
        <f>IFERROR(__xludf.DUMMYFUNCTION("""COMPUTED_VALUE"""),77.0)</f>
        <v>77</v>
      </c>
      <c r="T434" s="14">
        <f>IFERROR(__xludf.DUMMYFUNCTION("""COMPUTED_VALUE"""),0.183)</f>
        <v>0.183</v>
      </c>
      <c r="U434" s="14">
        <f>IFERROR(__xludf.DUMMYFUNCTION("""COMPUTED_VALUE"""),0.689)</f>
        <v>0.689</v>
      </c>
      <c r="V434" s="14">
        <f>IFERROR(__xludf.DUMMYFUNCTION("""COMPUTED_VALUE"""),0.129)</f>
        <v>0.129</v>
      </c>
      <c r="W434" s="14">
        <f>IFERROR(__xludf.DUMMYFUNCTION("""COMPUTED_VALUE"""),3.1676E7)</f>
        <v>31676000</v>
      </c>
      <c r="X434" s="14">
        <f>IFERROR(__xludf.DUMMYFUNCTION("""COMPUTED_VALUE"""),0.8)</f>
        <v>0.8</v>
      </c>
      <c r="Y434" s="14" t="str">
        <f>IFERROR(__xludf.DUMMYFUNCTION("""COMPUTED_VALUE"""),"Canada-The Americas")</f>
        <v>Canada-The Americas</v>
      </c>
      <c r="Z434" s="14" t="str">
        <f>IFERROR(__xludf.DUMMYFUNCTION("""COMPUTED_VALUE"""),"The Americas")</f>
        <v>The Americas</v>
      </c>
      <c r="AA434" s="14" t="str">
        <f>IFERROR(__xludf.DUMMYFUNCTION("""COMPUTED_VALUE"""),"2003")</f>
        <v>2003</v>
      </c>
      <c r="AB434" s="15" t="str">
        <f>IFERROR(__xludf.DUMMYFUNCTION("ARRAYFORMULA(VLOOKUP(A434,IMPORTRANGE(""https://docs.google.com/spreadsheets/d/1BuTWp7qHGjWhqrnf-OmePP568O4A5Am9ttzvVdP67zw/edit#gid=1931367683"" ,""ENERGY!$A$2:$F$2692""), {2,3,4,5,6},0))"),"The Americas")</f>
        <v>The Americas</v>
      </c>
      <c r="AC434" s="14" t="str">
        <f>IFERROR(__xludf.DUMMYFUNCTION("""COMPUTED_VALUE"""),"Canada-The Americas")</f>
        <v>Canada-The Americas</v>
      </c>
      <c r="AD434" s="14" t="str">
        <f>IFERROR(__xludf.DUMMYFUNCTION("""COMPUTED_VALUE"""),"2003")</f>
        <v>2003</v>
      </c>
      <c r="AE434" s="14">
        <f>IFERROR(__xludf.DUMMYFUNCTION("""COMPUTED_VALUE"""),251326.0)</f>
        <v>251326</v>
      </c>
      <c r="AF434" s="14">
        <f>IFERROR(__xludf.DUMMYFUNCTION("""COMPUTED_VALUE"""),513937.0)</f>
        <v>513937</v>
      </c>
    </row>
    <row r="435">
      <c r="A435" s="12">
        <v>434.0</v>
      </c>
      <c r="B435" s="12" t="s">
        <v>112</v>
      </c>
      <c r="C435" s="5" t="s">
        <v>84</v>
      </c>
      <c r="D435" s="8"/>
      <c r="E435" s="11">
        <v>3.0</v>
      </c>
      <c r="F435" s="8"/>
      <c r="G435" s="8"/>
      <c r="H435" s="11">
        <v>0.66</v>
      </c>
      <c r="I435" s="11">
        <v>0.471</v>
      </c>
      <c r="J435" s="9" t="s">
        <v>65</v>
      </c>
      <c r="K435" s="14" t="str">
        <f>IFERROR(__xludf.DUMMYFUNCTION("ARRAYFORMULA(VLOOKUP(A435,IMPORTRANGE(""https://docs.google.com/spreadsheets/d/1BuTWp7qHGjWhqrnf-OmePP568O4A5Am9ttzvVdP67zw/edit#gid=1603210130"", ""TOURISM!$A$2:$F$2692""), {2,3,4,5,6},0))"),"The Americas")</f>
        <v>The Americas</v>
      </c>
      <c r="L435" s="14">
        <f>IFERROR(__xludf.DUMMYFUNCTION("""COMPUTED_VALUE"""),1.5135E10)</f>
        <v>15135000000</v>
      </c>
      <c r="M435" s="14" t="str">
        <f>IFERROR(__xludf.DUMMYFUNCTION("""COMPUTED_VALUE"""),"Canada-The Americas")</f>
        <v>Canada-The Americas</v>
      </c>
      <c r="N435" s="14" t="str">
        <f>IFERROR(__xludf.DUMMYFUNCTION("""COMPUTED_VALUE"""),"2004")</f>
        <v>2004</v>
      </c>
      <c r="O435" s="14">
        <f>IFERROR(__xludf.DUMMYFUNCTION("""COMPUTED_VALUE"""),1.9267E10)</f>
        <v>19267000000</v>
      </c>
      <c r="P435" s="15">
        <f>IFERROR(__xludf.DUMMYFUNCTION("ARRAYFORMULA(VLOOKUP(A435,IMPORTRANGE(""https://docs.google.com/spreadsheets/d/1BuTWp7qHGjWhqrnf-OmePP568O4A5Am9ttzvVdP67zw/edit#gid=771602874"" ,""HUMAN RESOURCES!$A$2:$M$2692""), {2,3,4,5,6,7,8,9,10,11,12,13},0))"),0.011)</f>
        <v>0.011</v>
      </c>
      <c r="Q435" s="14">
        <f>IFERROR(__xludf.DUMMYFUNCTION("""COMPUTED_VALUE"""),0.005)</f>
        <v>0.005</v>
      </c>
      <c r="R435" s="14">
        <f>IFERROR(__xludf.DUMMYFUNCTION("""COMPUTED_VALUE"""),83.0)</f>
        <v>83</v>
      </c>
      <c r="S435" s="14">
        <f>IFERROR(__xludf.DUMMYFUNCTION("""COMPUTED_VALUE"""),78.0)</f>
        <v>78</v>
      </c>
      <c r="T435" s="14">
        <f>IFERROR(__xludf.DUMMYFUNCTION("""COMPUTED_VALUE"""),0.18)</f>
        <v>0.18</v>
      </c>
      <c r="U435" s="14">
        <f>IFERROR(__xludf.DUMMYFUNCTION("""COMPUTED_VALUE"""),0.691)</f>
        <v>0.691</v>
      </c>
      <c r="V435" s="14">
        <f>IFERROR(__xludf.DUMMYFUNCTION("""COMPUTED_VALUE"""),0.13)</f>
        <v>0.13</v>
      </c>
      <c r="W435" s="14">
        <f>IFERROR(__xludf.DUMMYFUNCTION("""COMPUTED_VALUE"""),3.1995E7)</f>
        <v>31995000</v>
      </c>
      <c r="X435" s="14">
        <f>IFERROR(__xludf.DUMMYFUNCTION("""COMPUTED_VALUE"""),0.8)</f>
        <v>0.8</v>
      </c>
      <c r="Y435" s="14" t="str">
        <f>IFERROR(__xludf.DUMMYFUNCTION("""COMPUTED_VALUE"""),"Canada-The Americas")</f>
        <v>Canada-The Americas</v>
      </c>
      <c r="Z435" s="14" t="str">
        <f>IFERROR(__xludf.DUMMYFUNCTION("""COMPUTED_VALUE"""),"The Americas")</f>
        <v>The Americas</v>
      </c>
      <c r="AA435" s="14" t="str">
        <f>IFERROR(__xludf.DUMMYFUNCTION("""COMPUTED_VALUE"""),"2004")</f>
        <v>2004</v>
      </c>
      <c r="AB435" s="15" t="str">
        <f>IFERROR(__xludf.DUMMYFUNCTION("ARRAYFORMULA(VLOOKUP(A435,IMPORTRANGE(""https://docs.google.com/spreadsheets/d/1BuTWp7qHGjWhqrnf-OmePP568O4A5Am9ttzvVdP67zw/edit#gid=1931367683"" ,""ENERGY!$A$2:$F$2692""), {2,3,4,5,6},0))"),"The Americas")</f>
        <v>The Americas</v>
      </c>
      <c r="AC435" s="14" t="str">
        <f>IFERROR(__xludf.DUMMYFUNCTION("""COMPUTED_VALUE"""),"Canada-The Americas")</f>
        <v>Canada-The Americas</v>
      </c>
      <c r="AD435" s="14" t="str">
        <f>IFERROR(__xludf.DUMMYFUNCTION("""COMPUTED_VALUE"""),"2004")</f>
        <v>2004</v>
      </c>
      <c r="AE435" s="14">
        <f>IFERROR(__xludf.DUMMYFUNCTION("""COMPUTED_VALUE"""),264724.0)</f>
        <v>264724</v>
      </c>
      <c r="AF435" s="14">
        <f>IFERROR(__xludf.DUMMYFUNCTION("""COMPUTED_VALUE"""),544975.0)</f>
        <v>544975</v>
      </c>
    </row>
    <row r="436">
      <c r="A436" s="12">
        <v>435.0</v>
      </c>
      <c r="B436" s="12" t="s">
        <v>112</v>
      </c>
      <c r="C436" s="5" t="s">
        <v>84</v>
      </c>
      <c r="D436" s="11">
        <v>0.475</v>
      </c>
      <c r="E436" s="11">
        <v>3.0</v>
      </c>
      <c r="F436" s="8"/>
      <c r="G436" s="11">
        <v>119.0</v>
      </c>
      <c r="H436" s="11">
        <v>0.717</v>
      </c>
      <c r="I436" s="11">
        <v>0.528</v>
      </c>
      <c r="J436" s="9" t="s">
        <v>66</v>
      </c>
      <c r="K436" s="14" t="str">
        <f>IFERROR(__xludf.DUMMYFUNCTION("ARRAYFORMULA(VLOOKUP(A436,IMPORTRANGE(""https://docs.google.com/spreadsheets/d/1BuTWp7qHGjWhqrnf-OmePP568O4A5Am9ttzvVdP67zw/edit#gid=1603210130"", ""TOURISM!$A$2:$F$2692""), {2,3,4,5,6},0))"),"The Americas")</f>
        <v>The Americas</v>
      </c>
      <c r="L436" s="14">
        <f>IFERROR(__xludf.DUMMYFUNCTION("""COMPUTED_VALUE"""),1.5887E10)</f>
        <v>15887000000</v>
      </c>
      <c r="M436" s="14" t="str">
        <f>IFERROR(__xludf.DUMMYFUNCTION("""COMPUTED_VALUE"""),"Canada-The Americas")</f>
        <v>Canada-The Americas</v>
      </c>
      <c r="N436" s="14" t="str">
        <f>IFERROR(__xludf.DUMMYFUNCTION("""COMPUTED_VALUE"""),"2005")</f>
        <v>2005</v>
      </c>
      <c r="O436" s="14">
        <f>IFERROR(__xludf.DUMMYFUNCTION("""COMPUTED_VALUE"""),2.2739E10)</f>
        <v>22739000000</v>
      </c>
      <c r="P436" s="15">
        <f>IFERROR(__xludf.DUMMYFUNCTION("ARRAYFORMULA(VLOOKUP(A436,IMPORTRANGE(""https://docs.google.com/spreadsheets/d/1BuTWp7qHGjWhqrnf-OmePP568O4A5Am9ttzvVdP67zw/edit#gid=771602874"" ,""HUMAN RESOURCES!$A$2:$M$2692""), {2,3,4,5,6,7,8,9,10,11,12,13},0))"),0.011)</f>
        <v>0.011</v>
      </c>
      <c r="Q436" s="14">
        <f>IFERROR(__xludf.DUMMYFUNCTION("""COMPUTED_VALUE"""),0.005)</f>
        <v>0.005</v>
      </c>
      <c r="R436" s="14">
        <f>IFERROR(__xludf.DUMMYFUNCTION("""COMPUTED_VALUE"""),83.0)</f>
        <v>83</v>
      </c>
      <c r="S436" s="14">
        <f>IFERROR(__xludf.DUMMYFUNCTION("""COMPUTED_VALUE"""),78.0)</f>
        <v>78</v>
      </c>
      <c r="T436" s="14">
        <f>IFERROR(__xludf.DUMMYFUNCTION("""COMPUTED_VALUE"""),0.177)</f>
        <v>0.177</v>
      </c>
      <c r="U436" s="14">
        <f>IFERROR(__xludf.DUMMYFUNCTION("""COMPUTED_VALUE"""),0.692)</f>
        <v>0.692</v>
      </c>
      <c r="V436" s="14">
        <f>IFERROR(__xludf.DUMMYFUNCTION("""COMPUTED_VALUE"""),0.131)</f>
        <v>0.131</v>
      </c>
      <c r="W436" s="14">
        <f>IFERROR(__xludf.DUMMYFUNCTION("""COMPUTED_VALUE"""),3.2312E7)</f>
        <v>32312000</v>
      </c>
      <c r="X436" s="14">
        <f>IFERROR(__xludf.DUMMYFUNCTION("""COMPUTED_VALUE"""),0.801)</f>
        <v>0.801</v>
      </c>
      <c r="Y436" s="14" t="str">
        <f>IFERROR(__xludf.DUMMYFUNCTION("""COMPUTED_VALUE"""),"Canada-The Americas")</f>
        <v>Canada-The Americas</v>
      </c>
      <c r="Z436" s="14" t="str">
        <f>IFERROR(__xludf.DUMMYFUNCTION("""COMPUTED_VALUE"""),"The Americas")</f>
        <v>The Americas</v>
      </c>
      <c r="AA436" s="14" t="str">
        <f>IFERROR(__xludf.DUMMYFUNCTION("""COMPUTED_VALUE"""),"2005")</f>
        <v>2005</v>
      </c>
      <c r="AB436" s="15" t="str">
        <f>IFERROR(__xludf.DUMMYFUNCTION("ARRAYFORMULA(VLOOKUP(A436,IMPORTRANGE(""https://docs.google.com/spreadsheets/d/1BuTWp7qHGjWhqrnf-OmePP568O4A5Am9ttzvVdP67zw/edit#gid=1931367683"" ,""ENERGY!$A$2:$F$2692""), {2,3,4,5,6},0))"),"The Americas")</f>
        <v>The Americas</v>
      </c>
      <c r="AC436" s="14" t="str">
        <f>IFERROR(__xludf.DUMMYFUNCTION("""COMPUTED_VALUE"""),"Canada-The Americas")</f>
        <v>Canada-The Americas</v>
      </c>
      <c r="AD436" s="14" t="str">
        <f>IFERROR(__xludf.DUMMYFUNCTION("""COMPUTED_VALUE"""),"2006")</f>
        <v>2006</v>
      </c>
      <c r="AE436" s="14">
        <f>IFERROR(__xludf.DUMMYFUNCTION("""COMPUTED_VALUE"""),271728.0)</f>
        <v>271728</v>
      </c>
      <c r="AF436" s="14">
        <f>IFERROR(__xludf.DUMMYFUNCTION("""COMPUTED_VALUE"""),560802.0)</f>
        <v>560802</v>
      </c>
    </row>
    <row r="437">
      <c r="A437" s="12">
        <v>436.0</v>
      </c>
      <c r="B437" s="12" t="s">
        <v>112</v>
      </c>
      <c r="C437" s="5" t="s">
        <v>84</v>
      </c>
      <c r="D437" s="11">
        <v>0.45</v>
      </c>
      <c r="E437" s="11">
        <v>3.0</v>
      </c>
      <c r="F437" s="8"/>
      <c r="G437" s="11">
        <v>119.0</v>
      </c>
      <c r="H437" s="11">
        <v>0.724</v>
      </c>
      <c r="I437" s="11">
        <v>0.575</v>
      </c>
      <c r="J437" s="9" t="s">
        <v>67</v>
      </c>
      <c r="K437" s="14" t="str">
        <f>IFERROR(__xludf.DUMMYFUNCTION("ARRAYFORMULA(VLOOKUP(A437,IMPORTRANGE(""https://docs.google.com/spreadsheets/d/1BuTWp7qHGjWhqrnf-OmePP568O4A5Am9ttzvVdP67zw/edit#gid=1603210130"", ""TOURISM!$A$2:$F$2692""), {2,3,4,5,6},0))"),"The Americas")</f>
        <v>The Americas</v>
      </c>
      <c r="L437" s="14">
        <f>IFERROR(__xludf.DUMMYFUNCTION("""COMPUTED_VALUE"""),1.6837E10)</f>
        <v>16837000000</v>
      </c>
      <c r="M437" s="14" t="str">
        <f>IFERROR(__xludf.DUMMYFUNCTION("""COMPUTED_VALUE"""),"Canada-The Americas")</f>
        <v>Canada-The Americas</v>
      </c>
      <c r="N437" s="14" t="str">
        <f>IFERROR(__xludf.DUMMYFUNCTION("""COMPUTED_VALUE"""),"2006")</f>
        <v>2006</v>
      </c>
      <c r="O437" s="14">
        <f>IFERROR(__xludf.DUMMYFUNCTION("""COMPUTED_VALUE"""),2.6067E10)</f>
        <v>26067000000</v>
      </c>
      <c r="P437" s="15">
        <f>IFERROR(__xludf.DUMMYFUNCTION("ARRAYFORMULA(VLOOKUP(A437,IMPORTRANGE(""https://docs.google.com/spreadsheets/d/1BuTWp7qHGjWhqrnf-OmePP568O4A5Am9ttzvVdP67zw/edit#gid=771602874"" ,""HUMAN RESOURCES!$A$2:$M$2692""), {2,3,4,5,6,7,8,9,10,11,12,13},0))"),0.011)</f>
        <v>0.011</v>
      </c>
      <c r="Q437" s="14">
        <f>IFERROR(__xludf.DUMMYFUNCTION("""COMPUTED_VALUE"""),0.005)</f>
        <v>0.005</v>
      </c>
      <c r="R437" s="14">
        <f>IFERROR(__xludf.DUMMYFUNCTION("""COMPUTED_VALUE"""),83.0)</f>
        <v>83</v>
      </c>
      <c r="S437" s="14">
        <f>IFERROR(__xludf.DUMMYFUNCTION("""COMPUTED_VALUE"""),78.0)</f>
        <v>78</v>
      </c>
      <c r="T437" s="14">
        <f>IFERROR(__xludf.DUMMYFUNCTION("""COMPUTED_VALUE"""),0.174)</f>
        <v>0.174</v>
      </c>
      <c r="U437" s="14">
        <f>IFERROR(__xludf.DUMMYFUNCTION("""COMPUTED_VALUE"""),0.694)</f>
        <v>0.694</v>
      </c>
      <c r="V437" s="14">
        <f>IFERROR(__xludf.DUMMYFUNCTION("""COMPUTED_VALUE"""),0.133)</f>
        <v>0.133</v>
      </c>
      <c r="W437" s="14">
        <f>IFERROR(__xludf.DUMMYFUNCTION("""COMPUTED_VALUE"""),3.2570505E7)</f>
        <v>32570505</v>
      </c>
      <c r="X437" s="14">
        <f>IFERROR(__xludf.DUMMYFUNCTION("""COMPUTED_VALUE"""),0.802)</f>
        <v>0.802</v>
      </c>
      <c r="Y437" s="14" t="str">
        <f>IFERROR(__xludf.DUMMYFUNCTION("""COMPUTED_VALUE"""),"Canada-The Americas")</f>
        <v>Canada-The Americas</v>
      </c>
      <c r="Z437" s="14" t="str">
        <f>IFERROR(__xludf.DUMMYFUNCTION("""COMPUTED_VALUE"""),"The Americas")</f>
        <v>The Americas</v>
      </c>
      <c r="AA437" s="14" t="str">
        <f>IFERROR(__xludf.DUMMYFUNCTION("""COMPUTED_VALUE"""),"2006")</f>
        <v>2006</v>
      </c>
      <c r="AB437" s="15" t="str">
        <f>IFERROR(__xludf.DUMMYFUNCTION("ARRAYFORMULA(VLOOKUP(A437,IMPORTRANGE(""https://docs.google.com/spreadsheets/d/1BuTWp7qHGjWhqrnf-OmePP568O4A5Am9ttzvVdP67zw/edit#gid=1931367683"" ,""ENERGY!$A$2:$F$2692""), {2,3,4,5,6},0))"),"The Americas")</f>
        <v>The Americas</v>
      </c>
      <c r="AC437" s="14" t="str">
        <f>IFERROR(__xludf.DUMMYFUNCTION("""COMPUTED_VALUE"""),"Canada-The Americas")</f>
        <v>Canada-The Americas</v>
      </c>
      <c r="AD437" s="14" t="str">
        <f>IFERROR(__xludf.DUMMYFUNCTION("""COMPUTED_VALUE"""),"2010")</f>
        <v>2010</v>
      </c>
      <c r="AE437" s="14">
        <f>IFERROR(__xludf.DUMMYFUNCTION("""COMPUTED_VALUE"""),268302.0)</f>
        <v>268302</v>
      </c>
      <c r="AF437" s="14">
        <f>IFERROR(__xludf.DUMMYFUNCTION("""COMPUTED_VALUE"""),550233.0)</f>
        <v>550233</v>
      </c>
    </row>
    <row r="438">
      <c r="A438" s="12">
        <v>437.0</v>
      </c>
      <c r="B438" s="12" t="s">
        <v>112</v>
      </c>
      <c r="C438" s="5" t="s">
        <v>84</v>
      </c>
      <c r="D438" s="11">
        <v>0.443</v>
      </c>
      <c r="E438" s="11">
        <v>3.0</v>
      </c>
      <c r="F438" s="8"/>
      <c r="G438" s="11">
        <v>119.0</v>
      </c>
      <c r="H438" s="11">
        <v>0.732</v>
      </c>
      <c r="I438" s="11">
        <v>0.615</v>
      </c>
      <c r="J438" s="9" t="s">
        <v>68</v>
      </c>
      <c r="K438" s="14" t="str">
        <f>IFERROR(__xludf.DUMMYFUNCTION("ARRAYFORMULA(VLOOKUP(A438,IMPORTRANGE(""https://docs.google.com/spreadsheets/d/1BuTWp7qHGjWhqrnf-OmePP568O4A5Am9ttzvVdP67zw/edit#gid=1603210130"", ""TOURISM!$A$2:$F$2692""), {2,3,4,5,6},0))"),"The Americas")</f>
        <v>The Americas</v>
      </c>
      <c r="L438" s="14">
        <f>IFERROR(__xludf.DUMMYFUNCTION("""COMPUTED_VALUE"""),1.7961E10)</f>
        <v>17961000000</v>
      </c>
      <c r="M438" s="14" t="str">
        <f>IFERROR(__xludf.DUMMYFUNCTION("""COMPUTED_VALUE"""),"Canada-The Americas")</f>
        <v>Canada-The Americas</v>
      </c>
      <c r="N438" s="14" t="str">
        <f>IFERROR(__xludf.DUMMYFUNCTION("""COMPUTED_VALUE"""),"2007")</f>
        <v>2007</v>
      </c>
      <c r="O438" s="14">
        <f>IFERROR(__xludf.DUMMYFUNCTION("""COMPUTED_VALUE"""),3.1099E10)</f>
        <v>31099000000</v>
      </c>
      <c r="P438" s="15">
        <f>IFERROR(__xludf.DUMMYFUNCTION("ARRAYFORMULA(VLOOKUP(A438,IMPORTRANGE(""https://docs.google.com/spreadsheets/d/1BuTWp7qHGjWhqrnf-OmePP568O4A5Am9ttzvVdP67zw/edit#gid=771602874"" ,""HUMAN RESOURCES!$A$2:$M$2692""), {2,3,4,5,6,7,8,9,10,11,12,13},0))"),0.011)</f>
        <v>0.011</v>
      </c>
      <c r="Q438" s="14">
        <f>IFERROR(__xludf.DUMMYFUNCTION("""COMPUTED_VALUE"""),0.005)</f>
        <v>0.005</v>
      </c>
      <c r="R438" s="14">
        <f>IFERROR(__xludf.DUMMYFUNCTION("""COMPUTED_VALUE"""),83.0)</f>
        <v>83</v>
      </c>
      <c r="S438" s="14">
        <f>IFERROR(__xludf.DUMMYFUNCTION("""COMPUTED_VALUE"""),78.0)</f>
        <v>78</v>
      </c>
      <c r="T438" s="14">
        <f>IFERROR(__xludf.DUMMYFUNCTION("""COMPUTED_VALUE"""),0.171)</f>
        <v>0.171</v>
      </c>
      <c r="U438" s="14">
        <f>IFERROR(__xludf.DUMMYFUNCTION("""COMPUTED_VALUE"""),0.695)</f>
        <v>0.695</v>
      </c>
      <c r="V438" s="14">
        <f>IFERROR(__xludf.DUMMYFUNCTION("""COMPUTED_VALUE"""),0.134)</f>
        <v>0.134</v>
      </c>
      <c r="W438" s="14">
        <f>IFERROR(__xludf.DUMMYFUNCTION("""COMPUTED_VALUE"""),3.2887928E7)</f>
        <v>32887928</v>
      </c>
      <c r="X438" s="14">
        <f>IFERROR(__xludf.DUMMYFUNCTION("""COMPUTED_VALUE"""),0.804)</f>
        <v>0.804</v>
      </c>
      <c r="Y438" s="14" t="str">
        <f>IFERROR(__xludf.DUMMYFUNCTION("""COMPUTED_VALUE"""),"Canada-The Americas")</f>
        <v>Canada-The Americas</v>
      </c>
      <c r="Z438" s="14" t="str">
        <f>IFERROR(__xludf.DUMMYFUNCTION("""COMPUTED_VALUE"""),"The Americas")</f>
        <v>The Americas</v>
      </c>
      <c r="AA438" s="14" t="str">
        <f>IFERROR(__xludf.DUMMYFUNCTION("""COMPUTED_VALUE"""),"2007")</f>
        <v>2007</v>
      </c>
      <c r="AB438" s="15" t="str">
        <f>IFERROR(__xludf.DUMMYFUNCTION("ARRAYFORMULA(VLOOKUP(A438,IMPORTRANGE(""https://docs.google.com/spreadsheets/d/1BuTWp7qHGjWhqrnf-OmePP568O4A5Am9ttzvVdP67zw/edit#gid=1931367683"" ,""ENERGY!$A$2:$F$2692""), {2,3,4,5,6},0))"),"The Americas")</f>
        <v>The Americas</v>
      </c>
      <c r="AC438" s="14" t="str">
        <f>IFERROR(__xludf.DUMMYFUNCTION("""COMPUTED_VALUE"""),"Canada-The Americas")</f>
        <v>Canada-The Americas</v>
      </c>
      <c r="AD438" s="14" t="str">
        <f>IFERROR(__xludf.DUMMYFUNCTION("""COMPUTED_VALUE"""),"2006")</f>
        <v>2006</v>
      </c>
      <c r="AE438" s="14">
        <f>IFERROR(__xludf.DUMMYFUNCTION("""COMPUTED_VALUE"""),272206.0)</f>
        <v>272206</v>
      </c>
      <c r="AF438" s="14">
        <f>IFERROR(__xludf.DUMMYFUNCTION("""COMPUTED_VALUE"""),563072.0)</f>
        <v>563072</v>
      </c>
    </row>
    <row r="439">
      <c r="A439" s="12">
        <v>438.0</v>
      </c>
      <c r="B439" s="12" t="s">
        <v>112</v>
      </c>
      <c r="C439" s="5" t="s">
        <v>84</v>
      </c>
      <c r="D439" s="11">
        <v>0.441</v>
      </c>
      <c r="E439" s="11">
        <v>5.0</v>
      </c>
      <c r="F439" s="8"/>
      <c r="G439" s="11">
        <v>119.0</v>
      </c>
      <c r="H439" s="11">
        <v>0.767</v>
      </c>
      <c r="I439" s="11">
        <v>0.662</v>
      </c>
      <c r="J439" s="9" t="s">
        <v>69</v>
      </c>
      <c r="K439" s="14" t="str">
        <f>IFERROR(__xludf.DUMMYFUNCTION("ARRAYFORMULA(VLOOKUP(A439,IMPORTRANGE(""https://docs.google.com/spreadsheets/d/1BuTWp7qHGjWhqrnf-OmePP568O4A5Am9ttzvVdP67zw/edit#gid=1603210130"", ""TOURISM!$A$2:$F$2692""), {2,3,4,5,6},0))"),"The Americas")</f>
        <v>The Americas</v>
      </c>
      <c r="L439" s="14">
        <f>IFERROR(__xludf.DUMMYFUNCTION("""COMPUTED_VALUE"""),1.8191E10)</f>
        <v>18191000000</v>
      </c>
      <c r="M439" s="14" t="str">
        <f>IFERROR(__xludf.DUMMYFUNCTION("""COMPUTED_VALUE"""),"Canada-The Americas")</f>
        <v>Canada-The Americas</v>
      </c>
      <c r="N439" s="14" t="str">
        <f>IFERROR(__xludf.DUMMYFUNCTION("""COMPUTED_VALUE"""),"2008")</f>
        <v>2008</v>
      </c>
      <c r="O439" s="14">
        <f>IFERROR(__xludf.DUMMYFUNCTION("""COMPUTED_VALUE"""),3.3844E10)</f>
        <v>33844000000</v>
      </c>
      <c r="P439" s="15">
        <f>IFERROR(__xludf.DUMMYFUNCTION("ARRAYFORMULA(VLOOKUP(A439,IMPORTRANGE(""https://docs.google.com/spreadsheets/d/1BuTWp7qHGjWhqrnf-OmePP568O4A5Am9ttzvVdP67zw/edit#gid=771602874"" ,""HUMAN RESOURCES!$A$2:$M$2692""), {2,3,4,5,6,7,8,9,10,11,12,13},0))"),0.011)</f>
        <v>0.011</v>
      </c>
      <c r="Q439" s="14">
        <f>IFERROR(__xludf.DUMMYFUNCTION("""COMPUTED_VALUE"""),0.005)</f>
        <v>0.005</v>
      </c>
      <c r="R439" s="14">
        <f>IFERROR(__xludf.DUMMYFUNCTION("""COMPUTED_VALUE"""),83.0)</f>
        <v>83</v>
      </c>
      <c r="S439" s="14">
        <f>IFERROR(__xludf.DUMMYFUNCTION("""COMPUTED_VALUE"""),78.0)</f>
        <v>78</v>
      </c>
      <c r="T439" s="14">
        <f>IFERROR(__xludf.DUMMYFUNCTION("""COMPUTED_VALUE"""),0.168)</f>
        <v>0.168</v>
      </c>
      <c r="U439" s="14">
        <f>IFERROR(__xludf.DUMMYFUNCTION("""COMPUTED_VALUE"""),0.695)</f>
        <v>0.695</v>
      </c>
      <c r="V439" s="14">
        <f>IFERROR(__xludf.DUMMYFUNCTION("""COMPUTED_VALUE"""),0.136)</f>
        <v>0.136</v>
      </c>
      <c r="W439" s="14">
        <f>IFERROR(__xludf.DUMMYFUNCTION("""COMPUTED_VALUE"""),3.3245773E7)</f>
        <v>33245773</v>
      </c>
      <c r="X439" s="14">
        <f>IFERROR(__xludf.DUMMYFUNCTION("""COMPUTED_VALUE"""),0.806)</f>
        <v>0.806</v>
      </c>
      <c r="Y439" s="14" t="str">
        <f>IFERROR(__xludf.DUMMYFUNCTION("""COMPUTED_VALUE"""),"Canada-The Americas")</f>
        <v>Canada-The Americas</v>
      </c>
      <c r="Z439" s="14" t="str">
        <f>IFERROR(__xludf.DUMMYFUNCTION("""COMPUTED_VALUE"""),"The Americas")</f>
        <v>The Americas</v>
      </c>
      <c r="AA439" s="14" t="str">
        <f>IFERROR(__xludf.DUMMYFUNCTION("""COMPUTED_VALUE"""),"2008")</f>
        <v>2008</v>
      </c>
      <c r="AB439" s="15" t="str">
        <f>IFERROR(__xludf.DUMMYFUNCTION("ARRAYFORMULA(VLOOKUP(A439,IMPORTRANGE(""https://docs.google.com/spreadsheets/d/1BuTWp7qHGjWhqrnf-OmePP568O4A5Am9ttzvVdP67zw/edit#gid=1931367683"" ,""ENERGY!$A$2:$F$2692""), {2,3,4,5,6},0))"),"The Americas")</f>
        <v>The Americas</v>
      </c>
      <c r="AC439" s="14" t="str">
        <f>IFERROR(__xludf.DUMMYFUNCTION("""COMPUTED_VALUE"""),"Canada-The Americas")</f>
        <v>Canada-The Americas</v>
      </c>
      <c r="AD439" s="14" t="str">
        <f>IFERROR(__xludf.DUMMYFUNCTION("""COMPUTED_VALUE"""),"2012")</f>
        <v>2012</v>
      </c>
      <c r="AE439" s="14">
        <f>IFERROR(__xludf.DUMMYFUNCTION("""COMPUTED_VALUE"""),267619.0)</f>
        <v>267619</v>
      </c>
      <c r="AF439" s="14">
        <f>IFERROR(__xludf.DUMMYFUNCTION("""COMPUTED_VALUE"""),552349.0)</f>
        <v>552349</v>
      </c>
    </row>
    <row r="440">
      <c r="A440" s="12">
        <v>439.0</v>
      </c>
      <c r="B440" s="12" t="s">
        <v>112</v>
      </c>
      <c r="C440" s="5" t="s">
        <v>84</v>
      </c>
      <c r="D440" s="11">
        <v>0.423</v>
      </c>
      <c r="E440" s="11">
        <v>5.0</v>
      </c>
      <c r="F440" s="8"/>
      <c r="G440" s="11">
        <v>119.0</v>
      </c>
      <c r="H440" s="11">
        <v>0.803</v>
      </c>
      <c r="I440" s="11">
        <v>0.705</v>
      </c>
      <c r="J440" s="9" t="s">
        <v>70</v>
      </c>
      <c r="K440" s="14" t="str">
        <f>IFERROR(__xludf.DUMMYFUNCTION("ARRAYFORMULA(VLOOKUP(A440,IMPORTRANGE(""https://docs.google.com/spreadsheets/d/1BuTWp7qHGjWhqrnf-OmePP568O4A5Am9ttzvVdP67zw/edit#gid=1603210130"", ""TOURISM!$A$2:$F$2692""), {2,3,4,5,6},0))"),"The Americas")</f>
        <v>The Americas</v>
      </c>
      <c r="L440" s="14">
        <f>IFERROR(__xludf.DUMMYFUNCTION("""COMPUTED_VALUE"""),1.5568E10)</f>
        <v>15568000000</v>
      </c>
      <c r="M440" s="14" t="str">
        <f>IFERROR(__xludf.DUMMYFUNCTION("""COMPUTED_VALUE"""),"Canada-The Americas")</f>
        <v>Canada-The Americas</v>
      </c>
      <c r="N440" s="14" t="str">
        <f>IFERROR(__xludf.DUMMYFUNCTION("""COMPUTED_VALUE"""),"2009")</f>
        <v>2009</v>
      </c>
      <c r="O440" s="14">
        <f>IFERROR(__xludf.DUMMYFUNCTION("""COMPUTED_VALUE"""),3.0065E10)</f>
        <v>30065000000</v>
      </c>
      <c r="P440" s="15">
        <f>IFERROR(__xludf.DUMMYFUNCTION("ARRAYFORMULA(VLOOKUP(A440,IMPORTRANGE(""https://docs.google.com/spreadsheets/d/1BuTWp7qHGjWhqrnf-OmePP568O4A5Am9ttzvVdP67zw/edit#gid=771602874"" ,""HUMAN RESOURCES!$A$2:$M$2692""), {2,3,4,5,6,7,8,9,10,11,12,13},0))"),0.011)</f>
        <v>0.011</v>
      </c>
      <c r="Q440" s="14">
        <f>IFERROR(__xludf.DUMMYFUNCTION("""COMPUTED_VALUE"""),0.005)</f>
        <v>0.005</v>
      </c>
      <c r="R440" s="14">
        <f>IFERROR(__xludf.DUMMYFUNCTION("""COMPUTED_VALUE"""),83.0)</f>
        <v>83</v>
      </c>
      <c r="S440" s="14">
        <f>IFERROR(__xludf.DUMMYFUNCTION("""COMPUTED_VALUE"""),79.0)</f>
        <v>79</v>
      </c>
      <c r="T440" s="14">
        <f>IFERROR(__xludf.DUMMYFUNCTION("""COMPUTED_VALUE"""),0.166)</f>
        <v>0.166</v>
      </c>
      <c r="U440" s="14">
        <f>IFERROR(__xludf.DUMMYFUNCTION("""COMPUTED_VALUE"""),0.695)</f>
        <v>0.695</v>
      </c>
      <c r="V440" s="14">
        <f>IFERROR(__xludf.DUMMYFUNCTION("""COMPUTED_VALUE"""),0.139)</f>
        <v>0.139</v>
      </c>
      <c r="W440" s="14">
        <f>IFERROR(__xludf.DUMMYFUNCTION("""COMPUTED_VALUE"""),3.3628571E7)</f>
        <v>33628571</v>
      </c>
      <c r="X440" s="14">
        <f>IFERROR(__xludf.DUMMYFUNCTION("""COMPUTED_VALUE"""),0.808)</f>
        <v>0.808</v>
      </c>
      <c r="Y440" s="14" t="str">
        <f>IFERROR(__xludf.DUMMYFUNCTION("""COMPUTED_VALUE"""),"Canada-The Americas")</f>
        <v>Canada-The Americas</v>
      </c>
      <c r="Z440" s="14" t="str">
        <f>IFERROR(__xludf.DUMMYFUNCTION("""COMPUTED_VALUE"""),"The Americas")</f>
        <v>The Americas</v>
      </c>
      <c r="AA440" s="14" t="str">
        <f>IFERROR(__xludf.DUMMYFUNCTION("""COMPUTED_VALUE"""),"2009")</f>
        <v>2009</v>
      </c>
      <c r="AB440" s="15" t="str">
        <f>IFERROR(__xludf.DUMMYFUNCTION("ARRAYFORMULA(VLOOKUP(A440,IMPORTRANGE(""https://docs.google.com/spreadsheets/d/1BuTWp7qHGjWhqrnf-OmePP568O4A5Am9ttzvVdP67zw/edit#gid=1931367683"" ,""ENERGY!$A$2:$F$2692""), {2,3,4,5,6},0))"),"The Americas")</f>
        <v>The Americas</v>
      </c>
      <c r="AC440" s="14" t="str">
        <f>IFERROR(__xludf.DUMMYFUNCTION("""COMPUTED_VALUE"""),"Canada-The Americas")</f>
        <v>Canada-The Americas</v>
      </c>
      <c r="AD440" s="14" t="str">
        <f>IFERROR(__xludf.DUMMYFUNCTION("""COMPUTED_VALUE"""),"2009")</f>
        <v>2009</v>
      </c>
      <c r="AE440" s="14">
        <f>IFERROR(__xludf.DUMMYFUNCTION("""COMPUTED_VALUE"""),262038.0)</f>
        <v>262038</v>
      </c>
      <c r="AF440" s="14">
        <f>IFERROR(__xludf.DUMMYFUNCTION("""COMPUTED_VALUE"""),553185.0)</f>
        <v>553185</v>
      </c>
    </row>
    <row r="441">
      <c r="A441" s="12">
        <v>440.0</v>
      </c>
      <c r="B441" s="12" t="s">
        <v>112</v>
      </c>
      <c r="C441" s="5" t="s">
        <v>84</v>
      </c>
      <c r="D441" s="11">
        <v>0.277</v>
      </c>
      <c r="E441" s="11">
        <v>5.0</v>
      </c>
      <c r="F441" s="8"/>
      <c r="G441" s="11">
        <v>131.0</v>
      </c>
      <c r="H441" s="11">
        <v>0.803</v>
      </c>
      <c r="I441" s="11">
        <v>0.757</v>
      </c>
      <c r="J441" s="9" t="s">
        <v>71</v>
      </c>
      <c r="K441" s="14" t="str">
        <f>IFERROR(__xludf.DUMMYFUNCTION("ARRAYFORMULA(VLOOKUP(A441,IMPORTRANGE(""https://docs.google.com/spreadsheets/d/1BuTWp7qHGjWhqrnf-OmePP568O4A5Am9ttzvVdP67zw/edit#gid=1603210130"", ""TOURISM!$A$2:$F$2692""), {2,3,4,5,6},0))"),"The Americas")</f>
        <v>The Americas</v>
      </c>
      <c r="L441" s="14">
        <f>IFERROR(__xludf.DUMMYFUNCTION("""COMPUTED_VALUE"""),1.8438E10)</f>
        <v>18438000000</v>
      </c>
      <c r="M441" s="14" t="str">
        <f>IFERROR(__xludf.DUMMYFUNCTION("""COMPUTED_VALUE"""),"Canada-The Americas")</f>
        <v>Canada-The Americas</v>
      </c>
      <c r="N441" s="14" t="str">
        <f>IFERROR(__xludf.DUMMYFUNCTION("""COMPUTED_VALUE"""),"2010")</f>
        <v>2010</v>
      </c>
      <c r="O441" s="14">
        <f>IFERROR(__xludf.DUMMYFUNCTION("""COMPUTED_VALUE"""),3.6975E10)</f>
        <v>36975000000</v>
      </c>
      <c r="P441" s="15">
        <f>IFERROR(__xludf.DUMMYFUNCTION("ARRAYFORMULA(VLOOKUP(A441,IMPORTRANGE(""https://docs.google.com/spreadsheets/d/1BuTWp7qHGjWhqrnf-OmePP568O4A5Am9ttzvVdP67zw/edit#gid=771602874"" ,""HUMAN RESOURCES!$A$2:$M$2692""), {2,3,4,5,6,7,8,9,10,11,12,13},0))"),0.011)</f>
        <v>0.011</v>
      </c>
      <c r="Q441" s="14">
        <f>IFERROR(__xludf.DUMMYFUNCTION("""COMPUTED_VALUE"""),0.005)</f>
        <v>0.005</v>
      </c>
      <c r="R441" s="14">
        <f>IFERROR(__xludf.DUMMYFUNCTION("""COMPUTED_VALUE"""),83.0)</f>
        <v>83</v>
      </c>
      <c r="S441" s="14">
        <f>IFERROR(__xludf.DUMMYFUNCTION("""COMPUTED_VALUE"""),79.0)</f>
        <v>79</v>
      </c>
      <c r="T441" s="14">
        <f>IFERROR(__xludf.DUMMYFUNCTION("""COMPUTED_VALUE"""),0.165)</f>
        <v>0.165</v>
      </c>
      <c r="U441" s="14">
        <f>IFERROR(__xludf.DUMMYFUNCTION("""COMPUTED_VALUE"""),0.694)</f>
        <v>0.694</v>
      </c>
      <c r="V441" s="14">
        <f>IFERROR(__xludf.DUMMYFUNCTION("""COMPUTED_VALUE"""),0.142)</f>
        <v>0.142</v>
      </c>
      <c r="W441" s="14">
        <f>IFERROR(__xludf.DUMMYFUNCTION("""COMPUTED_VALUE"""),3.4005274E7)</f>
        <v>34005274</v>
      </c>
      <c r="X441" s="14">
        <f>IFERROR(__xludf.DUMMYFUNCTION("""COMPUTED_VALUE"""),0.809)</f>
        <v>0.809</v>
      </c>
      <c r="Y441" s="14" t="str">
        <f>IFERROR(__xludf.DUMMYFUNCTION("""COMPUTED_VALUE"""),"Canada-The Americas")</f>
        <v>Canada-The Americas</v>
      </c>
      <c r="Z441" s="14" t="str">
        <f>IFERROR(__xludf.DUMMYFUNCTION("""COMPUTED_VALUE"""),"The Americas")</f>
        <v>The Americas</v>
      </c>
      <c r="AA441" s="14" t="str">
        <f>IFERROR(__xludf.DUMMYFUNCTION("""COMPUTED_VALUE"""),"2010")</f>
        <v>2010</v>
      </c>
      <c r="AB441" s="15" t="str">
        <f>IFERROR(__xludf.DUMMYFUNCTION("ARRAYFORMULA(VLOOKUP(A441,IMPORTRANGE(""https://docs.google.com/spreadsheets/d/1BuTWp7qHGjWhqrnf-OmePP568O4A5Am9ttzvVdP67zw/edit#gid=1931367683"" ,""ENERGY!$A$2:$F$2692""), {2,3,4,5,6},0))"),"The Americas")</f>
        <v>The Americas</v>
      </c>
      <c r="AC441" s="14" t="str">
        <f>IFERROR(__xludf.DUMMYFUNCTION("""COMPUTED_VALUE"""),"Canada-The Americas")</f>
        <v>Canada-The Americas</v>
      </c>
      <c r="AD441" s="14" t="str">
        <f>IFERROR(__xludf.DUMMYFUNCTION("""COMPUTED_VALUE"""),"2006")</f>
        <v>2006</v>
      </c>
      <c r="AE441" s="14">
        <f>IFERROR(__xludf.DUMMYFUNCTION("""COMPUTED_VALUE"""),248220.0)</f>
        <v>248220</v>
      </c>
      <c r="AF441" s="14">
        <f>IFERROR(__xludf.DUMMYFUNCTION("""COMPUTED_VALUE"""),519163.0)</f>
        <v>519163</v>
      </c>
    </row>
    <row r="442">
      <c r="A442" s="12">
        <v>441.0</v>
      </c>
      <c r="B442" s="12" t="s">
        <v>112</v>
      </c>
      <c r="C442" s="5" t="s">
        <v>84</v>
      </c>
      <c r="D442" s="11">
        <v>0.261</v>
      </c>
      <c r="E442" s="11">
        <v>5.0</v>
      </c>
      <c r="F442" s="8"/>
      <c r="G442" s="11">
        <v>131.0</v>
      </c>
      <c r="H442" s="11">
        <v>0.83</v>
      </c>
      <c r="I442" s="11">
        <v>0.794</v>
      </c>
      <c r="J442" s="9" t="s">
        <v>72</v>
      </c>
      <c r="K442" s="14" t="str">
        <f>IFERROR(__xludf.DUMMYFUNCTION("ARRAYFORMULA(VLOOKUP(A442,IMPORTRANGE(""https://docs.google.com/spreadsheets/d/1BuTWp7qHGjWhqrnf-OmePP568O4A5Am9ttzvVdP67zw/edit#gid=1603210130"", ""TOURISM!$A$2:$F$2692""), {2,3,4,5,6},0))"),"The Americas")</f>
        <v>The Americas</v>
      </c>
      <c r="L442" s="14">
        <f>IFERROR(__xludf.DUMMYFUNCTION("""COMPUTED_VALUE"""),1.9989E10)</f>
        <v>19989000000</v>
      </c>
      <c r="M442" s="14" t="str">
        <f>IFERROR(__xludf.DUMMYFUNCTION("""COMPUTED_VALUE"""),"Canada-The Americas")</f>
        <v>Canada-The Americas</v>
      </c>
      <c r="N442" s="14" t="str">
        <f>IFERROR(__xludf.DUMMYFUNCTION("""COMPUTED_VALUE"""),"2011")</f>
        <v>2011</v>
      </c>
      <c r="O442" s="14">
        <f>IFERROR(__xludf.DUMMYFUNCTION("""COMPUTED_VALUE"""),4.1234E10)</f>
        <v>41234000000</v>
      </c>
      <c r="P442" s="15">
        <f>IFERROR(__xludf.DUMMYFUNCTION("ARRAYFORMULA(VLOOKUP(A442,IMPORTRANGE(""https://docs.google.com/spreadsheets/d/1BuTWp7qHGjWhqrnf-OmePP568O4A5Am9ttzvVdP67zw/edit#gid=771602874"" ,""HUMAN RESOURCES!$A$2:$M$2692""), {2,3,4,5,6,7,8,9,10,11,12,13},0))"),0.011)</f>
        <v>0.011</v>
      </c>
      <c r="Q442" s="14">
        <f>IFERROR(__xludf.DUMMYFUNCTION("""COMPUTED_VALUE"""),0.005)</f>
        <v>0.005</v>
      </c>
      <c r="R442" s="14">
        <f>IFERROR(__xludf.DUMMYFUNCTION("""COMPUTED_VALUE"""),83.0)</f>
        <v>83</v>
      </c>
      <c r="S442" s="14">
        <f>IFERROR(__xludf.DUMMYFUNCTION("""COMPUTED_VALUE"""),79.0)</f>
        <v>79</v>
      </c>
      <c r="T442" s="14">
        <f>IFERROR(__xludf.DUMMYFUNCTION("""COMPUTED_VALUE"""),0.164)</f>
        <v>0.164</v>
      </c>
      <c r="U442" s="14">
        <f>IFERROR(__xludf.DUMMYFUNCTION("""COMPUTED_VALUE"""),0.691)</f>
        <v>0.691</v>
      </c>
      <c r="V442" s="14">
        <f>IFERROR(__xludf.DUMMYFUNCTION("""COMPUTED_VALUE"""),0.145)</f>
        <v>0.145</v>
      </c>
      <c r="W442" s="14">
        <f>IFERROR(__xludf.DUMMYFUNCTION("""COMPUTED_VALUE"""),3.434278E7)</f>
        <v>34342780</v>
      </c>
      <c r="X442" s="14">
        <f>IFERROR(__xludf.DUMMYFUNCTION("""COMPUTED_VALUE"""),0.811)</f>
        <v>0.811</v>
      </c>
      <c r="Y442" s="14" t="str">
        <f>IFERROR(__xludf.DUMMYFUNCTION("""COMPUTED_VALUE"""),"Canada-The Americas")</f>
        <v>Canada-The Americas</v>
      </c>
      <c r="Z442" s="14" t="str">
        <f>IFERROR(__xludf.DUMMYFUNCTION("""COMPUTED_VALUE"""),"The Americas")</f>
        <v>The Americas</v>
      </c>
      <c r="AA442" s="14" t="str">
        <f>IFERROR(__xludf.DUMMYFUNCTION("""COMPUTED_VALUE"""),"2011")</f>
        <v>2011</v>
      </c>
      <c r="AB442" s="15" t="str">
        <f>IFERROR(__xludf.DUMMYFUNCTION("ARRAYFORMULA(VLOOKUP(A442,IMPORTRANGE(""https://docs.google.com/spreadsheets/d/1BuTWp7qHGjWhqrnf-OmePP568O4A5Am9ttzvVdP67zw/edit#gid=1931367683"" ,""ENERGY!$A$2:$F$2692""), {2,3,4,5,6},0))"),"The Americas")</f>
        <v>The Americas</v>
      </c>
      <c r="AC442" s="14" t="str">
        <f>IFERROR(__xludf.DUMMYFUNCTION("""COMPUTED_VALUE"""),"Canada-The Americas")</f>
        <v>Canada-The Americas</v>
      </c>
      <c r="AD442" s="14" t="str">
        <f>IFERROR(__xludf.DUMMYFUNCTION("""COMPUTED_VALUE"""),"2004")</f>
        <v>2004</v>
      </c>
      <c r="AE442" s="14">
        <f>IFERROR(__xludf.DUMMYFUNCTION("""COMPUTED_VALUE"""),247878.0)</f>
        <v>247878</v>
      </c>
      <c r="AF442" s="14">
        <f>IFERROR(__xludf.DUMMYFUNCTION("""COMPUTED_VALUE"""),525690.0)</f>
        <v>525690</v>
      </c>
    </row>
    <row r="443">
      <c r="A443" s="12">
        <v>442.0</v>
      </c>
      <c r="B443" s="12" t="s">
        <v>112</v>
      </c>
      <c r="C443" s="5" t="s">
        <v>84</v>
      </c>
      <c r="D443" s="11">
        <v>0.246</v>
      </c>
      <c r="E443" s="11">
        <v>5.0</v>
      </c>
      <c r="F443" s="11">
        <v>17.0</v>
      </c>
      <c r="G443" s="11">
        <v>131.0</v>
      </c>
      <c r="H443" s="11">
        <v>0.83</v>
      </c>
      <c r="I443" s="11">
        <v>0.801</v>
      </c>
      <c r="J443" s="9" t="s">
        <v>73</v>
      </c>
      <c r="K443" s="14" t="str">
        <f>IFERROR(__xludf.DUMMYFUNCTION("ARRAYFORMULA(VLOOKUP(A443,IMPORTRANGE(""https://docs.google.com/spreadsheets/d/1BuTWp7qHGjWhqrnf-OmePP568O4A5Am9ttzvVdP67zw/edit#gid=1603210130"", ""TOURISM!$A$2:$F$2692""), {2,3,4,5,6},0))"),"The Americas")</f>
        <v>The Americas</v>
      </c>
      <c r="L443" s="14">
        <f>IFERROR(__xludf.DUMMYFUNCTION("""COMPUTED_VALUE"""),2.0696E10)</f>
        <v>20696000000</v>
      </c>
      <c r="M443" s="14" t="str">
        <f>IFERROR(__xludf.DUMMYFUNCTION("""COMPUTED_VALUE"""),"Canada-The Americas")</f>
        <v>Canada-The Americas</v>
      </c>
      <c r="N443" s="14" t="str">
        <f>IFERROR(__xludf.DUMMYFUNCTION("""COMPUTED_VALUE"""),"2012")</f>
        <v>2012</v>
      </c>
      <c r="O443" s="14">
        <f>IFERROR(__xludf.DUMMYFUNCTION("""COMPUTED_VALUE"""),4.301E10)</f>
        <v>43010000000</v>
      </c>
      <c r="P443" s="15">
        <f>IFERROR(__xludf.DUMMYFUNCTION("ARRAYFORMULA(VLOOKUP(A443,IMPORTRANGE(""https://docs.google.com/spreadsheets/d/1BuTWp7qHGjWhqrnf-OmePP568O4A5Am9ttzvVdP67zw/edit#gid=771602874"" ,""HUMAN RESOURCES!$A$2:$M$2692""), {2,3,4,5,6,7,8,9,10,11,12,13},0))"),0.011)</f>
        <v>0.011</v>
      </c>
      <c r="Q443" s="14">
        <f>IFERROR(__xludf.DUMMYFUNCTION("""COMPUTED_VALUE"""),0.005)</f>
        <v>0.005</v>
      </c>
      <c r="R443" s="14">
        <f>IFERROR(__xludf.DUMMYFUNCTION("""COMPUTED_VALUE"""),83.0)</f>
        <v>83</v>
      </c>
      <c r="S443" s="14">
        <f>IFERROR(__xludf.DUMMYFUNCTION("""COMPUTED_VALUE"""),79.0)</f>
        <v>79</v>
      </c>
      <c r="T443" s="14">
        <f>IFERROR(__xludf.DUMMYFUNCTION("""COMPUTED_VALUE"""),0.164)</f>
        <v>0.164</v>
      </c>
      <c r="U443" s="14">
        <f>IFERROR(__xludf.DUMMYFUNCTION("""COMPUTED_VALUE"""),0.688)</f>
        <v>0.688</v>
      </c>
      <c r="V443" s="14">
        <f>IFERROR(__xludf.DUMMYFUNCTION("""COMPUTED_VALUE"""),0.148)</f>
        <v>0.148</v>
      </c>
      <c r="W443" s="14">
        <f>IFERROR(__xludf.DUMMYFUNCTION("""COMPUTED_VALUE"""),3.4754312E7)</f>
        <v>34754312</v>
      </c>
      <c r="X443" s="14">
        <f>IFERROR(__xludf.DUMMYFUNCTION("""COMPUTED_VALUE"""),0.813)</f>
        <v>0.813</v>
      </c>
      <c r="Y443" s="14" t="str">
        <f>IFERROR(__xludf.DUMMYFUNCTION("""COMPUTED_VALUE"""),"Canada-The Americas")</f>
        <v>Canada-The Americas</v>
      </c>
      <c r="Z443" s="14" t="str">
        <f>IFERROR(__xludf.DUMMYFUNCTION("""COMPUTED_VALUE"""),"The Americas")</f>
        <v>The Americas</v>
      </c>
      <c r="AA443" s="14" t="str">
        <f>IFERROR(__xludf.DUMMYFUNCTION("""COMPUTED_VALUE"""),"2012")</f>
        <v>2012</v>
      </c>
      <c r="AB443" s="15" t="str">
        <f>IFERROR(__xludf.DUMMYFUNCTION("ARRAYFORMULA(VLOOKUP(A443,IMPORTRANGE(""https://docs.google.com/spreadsheets/d/1BuTWp7qHGjWhqrnf-OmePP568O4A5Am9ttzvVdP67zw/edit#gid=1931367683"" ,""ENERGY!$A$2:$F$2692""), {2,3,4,5,6},0))"),"The Americas")</f>
        <v>The Americas</v>
      </c>
      <c r="AC443" s="14" t="str">
        <f>IFERROR(__xludf.DUMMYFUNCTION("""COMPUTED_VALUE"""),"Canada-The Americas")</f>
        <v>Canada-The Americas</v>
      </c>
      <c r="AD443" s="14" t="str">
        <f>IFERROR(__xludf.DUMMYFUNCTION("""COMPUTED_VALUE"""),"2009")</f>
        <v>2009</v>
      </c>
      <c r="AE443" s="14">
        <f>IFERROR(__xludf.DUMMYFUNCTION("""COMPUTED_VALUE"""),251450.0)</f>
        <v>251450</v>
      </c>
      <c r="AF443" s="14">
        <f>IFERROR(__xludf.DUMMYFUNCTION("""COMPUTED_VALUE"""),534484.0)</f>
        <v>534484</v>
      </c>
    </row>
    <row r="444">
      <c r="A444" s="12">
        <v>443.0</v>
      </c>
      <c r="B444" s="12" t="s">
        <v>113</v>
      </c>
      <c r="C444" s="5" t="s">
        <v>84</v>
      </c>
      <c r="D444" s="8"/>
      <c r="E444" s="8"/>
      <c r="F444" s="8"/>
      <c r="G444" s="8"/>
      <c r="H444" s="8"/>
      <c r="I444" s="11">
        <v>0.257</v>
      </c>
      <c r="J444" s="9" t="s">
        <v>60</v>
      </c>
      <c r="K444" s="14" t="str">
        <f>IFERROR(__xludf.DUMMYFUNCTION("ARRAYFORMULA(VLOOKUP(A444,IMPORTRANGE(""https://docs.google.com/spreadsheets/d/1BuTWp7qHGjWhqrnf-OmePP568O4A5Am9ttzvVdP67zw/edit#gid=1603210130"", ""TOURISM!$A$2:$F$2692""), {2,3,4,5,6},0))"),"The Americas")</f>
        <v>The Americas</v>
      </c>
      <c r="L444" s="14">
        <f>IFERROR(__xludf.DUMMYFUNCTION("""COMPUTED_VALUE"""),5.59E8)</f>
        <v>559000000</v>
      </c>
      <c r="M444" s="14" t="str">
        <f>IFERROR(__xludf.DUMMYFUNCTION("""COMPUTED_VALUE"""),"Cayman Islands-The Americas")</f>
        <v>Cayman Islands-The Americas</v>
      </c>
      <c r="N444" s="14" t="str">
        <f>IFERROR(__xludf.DUMMYFUNCTION("""COMPUTED_VALUE"""),"2000")</f>
        <v>2000</v>
      </c>
      <c r="O444" s="14"/>
      <c r="P444" s="15" t="str">
        <f>IFERROR(__xludf.DUMMYFUNCTION("ARRAYFORMULA(VLOOKUP(A444,IMPORTRANGE(""https://docs.google.com/spreadsheets/d/1BuTWp7qHGjWhqrnf-OmePP568O4A5Am9ttzvVdP67zw/edit#gid=771602874"" ,""HUMAN RESOURCES!$A$2:$M$2692""), {2,3,4,5,6,7,8,9,10,11,12,13},0))"),"")</f>
        <v/>
      </c>
      <c r="Q444" s="14"/>
      <c r="R444" s="14"/>
      <c r="S444" s="14"/>
      <c r="T444" s="14"/>
      <c r="U444" s="14"/>
      <c r="V444" s="14"/>
      <c r="W444" s="14">
        <f>IFERROR(__xludf.DUMMYFUNCTION("""COMPUTED_VALUE"""),41685.0)</f>
        <v>41685</v>
      </c>
      <c r="X444" s="14">
        <f>IFERROR(__xludf.DUMMYFUNCTION("""COMPUTED_VALUE"""),1.0)</f>
        <v>1</v>
      </c>
      <c r="Y444" s="14" t="str">
        <f>IFERROR(__xludf.DUMMYFUNCTION("""COMPUTED_VALUE"""),"Cayman Islands-The Americas")</f>
        <v>Cayman Islands-The Americas</v>
      </c>
      <c r="Z444" s="14" t="str">
        <f>IFERROR(__xludf.DUMMYFUNCTION("""COMPUTED_VALUE"""),"The Americas")</f>
        <v>The Americas</v>
      </c>
      <c r="AA444" s="14" t="str">
        <f>IFERROR(__xludf.DUMMYFUNCTION("""COMPUTED_VALUE"""),"2000")</f>
        <v>2000</v>
      </c>
      <c r="AB444" s="15" t="str">
        <f>IFERROR(__xludf.DUMMYFUNCTION("ARRAYFORMULA(VLOOKUP(A444,IMPORTRANGE(""https://docs.google.com/spreadsheets/d/1BuTWp7qHGjWhqrnf-OmePP568O4A5Am9ttzvVdP67zw/edit#gid=1931367683"" ,""ENERGY!$A$2:$F$2692""), {2,3,4,5,6},0))"),"The Americas")</f>
        <v>The Americas</v>
      </c>
      <c r="AC444" s="14" t="str">
        <f>IFERROR(__xludf.DUMMYFUNCTION("""COMPUTED_VALUE"""),"Cayman Islands-The Americas")</f>
        <v>Cayman Islands-The Americas</v>
      </c>
      <c r="AD444" s="14" t="str">
        <f>IFERROR(__xludf.DUMMYFUNCTION("""COMPUTED_VALUE"""),"2000")</f>
        <v>2000</v>
      </c>
      <c r="AE444" s="14"/>
      <c r="AF444" s="14"/>
    </row>
    <row r="445">
      <c r="A445" s="12">
        <v>444.0</v>
      </c>
      <c r="B445" s="12" t="s">
        <v>113</v>
      </c>
      <c r="C445" s="5" t="s">
        <v>84</v>
      </c>
      <c r="D445" s="8"/>
      <c r="E445" s="8"/>
      <c r="F445" s="8"/>
      <c r="G445" s="8"/>
      <c r="H445" s="8"/>
      <c r="I445" s="11">
        <v>0.392</v>
      </c>
      <c r="J445" s="9" t="s">
        <v>62</v>
      </c>
      <c r="K445" s="14" t="str">
        <f>IFERROR(__xludf.DUMMYFUNCTION("ARRAYFORMULA(VLOOKUP(A445,IMPORTRANGE(""https://docs.google.com/spreadsheets/d/1BuTWp7qHGjWhqrnf-OmePP568O4A5Am9ttzvVdP67zw/edit#gid=1603210130"", ""TOURISM!$A$2:$F$2692""), {2,3,4,5,6},0))"),"The Americas")</f>
        <v>The Americas</v>
      </c>
      <c r="L445" s="14">
        <f>IFERROR(__xludf.DUMMYFUNCTION("""COMPUTED_VALUE"""),5.85E8)</f>
        <v>585000000</v>
      </c>
      <c r="M445" s="14" t="str">
        <f>IFERROR(__xludf.DUMMYFUNCTION("""COMPUTED_VALUE"""),"Cayman Islands-The Americas")</f>
        <v>Cayman Islands-The Americas</v>
      </c>
      <c r="N445" s="14" t="str">
        <f>IFERROR(__xludf.DUMMYFUNCTION("""COMPUTED_VALUE"""),"2001")</f>
        <v>2001</v>
      </c>
      <c r="O445" s="14"/>
      <c r="P445" s="15" t="str">
        <f>IFERROR(__xludf.DUMMYFUNCTION("ARRAYFORMULA(VLOOKUP(A445,IMPORTRANGE(""https://docs.google.com/spreadsheets/d/1BuTWp7qHGjWhqrnf-OmePP568O4A5Am9ttzvVdP67zw/edit#gid=771602874"" ,""HUMAN RESOURCES!$A$2:$M$2692""), {2,3,4,5,6,7,8,9,10,11,12,13},0))"),"")</f>
        <v/>
      </c>
      <c r="Q445" s="14"/>
      <c r="R445" s="14"/>
      <c r="S445" s="14"/>
      <c r="T445" s="14"/>
      <c r="U445" s="14"/>
      <c r="V445" s="14"/>
      <c r="W445" s="14">
        <f>IFERROR(__xludf.DUMMYFUNCTION("""COMPUTED_VALUE"""),43317.0)</f>
        <v>43317</v>
      </c>
      <c r="X445" s="14">
        <f>IFERROR(__xludf.DUMMYFUNCTION("""COMPUTED_VALUE"""),1.0)</f>
        <v>1</v>
      </c>
      <c r="Y445" s="14" t="str">
        <f>IFERROR(__xludf.DUMMYFUNCTION("""COMPUTED_VALUE"""),"Cayman Islands-The Americas")</f>
        <v>Cayman Islands-The Americas</v>
      </c>
      <c r="Z445" s="14" t="str">
        <f>IFERROR(__xludf.DUMMYFUNCTION("""COMPUTED_VALUE"""),"The Americas")</f>
        <v>The Americas</v>
      </c>
      <c r="AA445" s="14" t="str">
        <f>IFERROR(__xludf.DUMMYFUNCTION("""COMPUTED_VALUE"""),"2001")</f>
        <v>2001</v>
      </c>
      <c r="AB445" s="15" t="str">
        <f>IFERROR(__xludf.DUMMYFUNCTION("ARRAYFORMULA(VLOOKUP(A445,IMPORTRANGE(""https://docs.google.com/spreadsheets/d/1BuTWp7qHGjWhqrnf-OmePP568O4A5Am9ttzvVdP67zw/edit#gid=1931367683"" ,""ENERGY!$A$2:$F$2692""), {2,3,4,5,6},0))"),"The Americas")</f>
        <v>The Americas</v>
      </c>
      <c r="AC445" s="14" t="str">
        <f>IFERROR(__xludf.DUMMYFUNCTION("""COMPUTED_VALUE"""),"Cayman Islands-The Americas")</f>
        <v>Cayman Islands-The Americas</v>
      </c>
      <c r="AD445" s="14" t="str">
        <f>IFERROR(__xludf.DUMMYFUNCTION("""COMPUTED_VALUE"""),"2001")</f>
        <v>2001</v>
      </c>
      <c r="AE445" s="14"/>
      <c r="AF445" s="14"/>
    </row>
    <row r="446">
      <c r="A446" s="12">
        <v>445.0</v>
      </c>
      <c r="B446" s="12" t="s">
        <v>113</v>
      </c>
      <c r="C446" s="5" t="s">
        <v>84</v>
      </c>
      <c r="D446" s="8"/>
      <c r="E446" s="8"/>
      <c r="F446" s="8"/>
      <c r="G446" s="8"/>
      <c r="H446" s="8"/>
      <c r="I446" s="11">
        <v>0.425</v>
      </c>
      <c r="J446" s="9" t="s">
        <v>63</v>
      </c>
      <c r="K446" s="14" t="str">
        <f>IFERROR(__xludf.DUMMYFUNCTION("ARRAYFORMULA(VLOOKUP(A446,IMPORTRANGE(""https://docs.google.com/spreadsheets/d/1BuTWp7qHGjWhqrnf-OmePP568O4A5Am9ttzvVdP67zw/edit#gid=1603210130"", ""TOURISM!$A$2:$F$2692""), {2,3,4,5,6},0))"),"The Americas")</f>
        <v>The Americas</v>
      </c>
      <c r="L446" s="14">
        <f>IFERROR(__xludf.DUMMYFUNCTION("""COMPUTED_VALUE"""),6.07E8)</f>
        <v>607000000</v>
      </c>
      <c r="M446" s="14" t="str">
        <f>IFERROR(__xludf.DUMMYFUNCTION("""COMPUTED_VALUE"""),"Cayman Islands-The Americas")</f>
        <v>Cayman Islands-The Americas</v>
      </c>
      <c r="N446" s="14" t="str">
        <f>IFERROR(__xludf.DUMMYFUNCTION("""COMPUTED_VALUE"""),"2002")</f>
        <v>2002</v>
      </c>
      <c r="O446" s="14"/>
      <c r="P446" s="15" t="str">
        <f>IFERROR(__xludf.DUMMYFUNCTION("ARRAYFORMULA(VLOOKUP(A446,IMPORTRANGE(""https://docs.google.com/spreadsheets/d/1BuTWp7qHGjWhqrnf-OmePP568O4A5Am9ttzvVdP67zw/edit#gid=771602874"" ,""HUMAN RESOURCES!$A$2:$M$2692""), {2,3,4,5,6,7,8,9,10,11,12,13},0))"),"")</f>
        <v/>
      </c>
      <c r="Q446" s="14"/>
      <c r="R446" s="14"/>
      <c r="S446" s="14"/>
      <c r="T446" s="14"/>
      <c r="U446" s="14"/>
      <c r="V446" s="14"/>
      <c r="W446" s="14">
        <f>IFERROR(__xludf.DUMMYFUNCTION("""COMPUTED_VALUE"""),44742.0)</f>
        <v>44742</v>
      </c>
      <c r="X446" s="14">
        <f>IFERROR(__xludf.DUMMYFUNCTION("""COMPUTED_VALUE"""),1.0)</f>
        <v>1</v>
      </c>
      <c r="Y446" s="14" t="str">
        <f>IFERROR(__xludf.DUMMYFUNCTION("""COMPUTED_VALUE"""),"Cayman Islands-The Americas")</f>
        <v>Cayman Islands-The Americas</v>
      </c>
      <c r="Z446" s="14" t="str">
        <f>IFERROR(__xludf.DUMMYFUNCTION("""COMPUTED_VALUE"""),"The Americas")</f>
        <v>The Americas</v>
      </c>
      <c r="AA446" s="14" t="str">
        <f>IFERROR(__xludf.DUMMYFUNCTION("""COMPUTED_VALUE"""),"2002")</f>
        <v>2002</v>
      </c>
      <c r="AB446" s="15" t="str">
        <f>IFERROR(__xludf.DUMMYFUNCTION("ARRAYFORMULA(VLOOKUP(A446,IMPORTRANGE(""https://docs.google.com/spreadsheets/d/1BuTWp7qHGjWhqrnf-OmePP568O4A5Am9ttzvVdP67zw/edit#gid=1931367683"" ,""ENERGY!$A$2:$F$2692""), {2,3,4,5,6},0))"),"The Americas")</f>
        <v>The Americas</v>
      </c>
      <c r="AC446" s="14" t="str">
        <f>IFERROR(__xludf.DUMMYFUNCTION("""COMPUTED_VALUE"""),"Cayman Islands-The Americas")</f>
        <v>Cayman Islands-The Americas</v>
      </c>
      <c r="AD446" s="14" t="str">
        <f>IFERROR(__xludf.DUMMYFUNCTION("""COMPUTED_VALUE"""),"2002")</f>
        <v>2002</v>
      </c>
      <c r="AE446" s="14"/>
      <c r="AF446" s="14">
        <f>IFERROR(__xludf.DUMMYFUNCTION("""COMPUTED_VALUE"""),590.0)</f>
        <v>590</v>
      </c>
    </row>
    <row r="447">
      <c r="A447" s="12">
        <v>446.0</v>
      </c>
      <c r="B447" s="12" t="s">
        <v>113</v>
      </c>
      <c r="C447" s="5" t="s">
        <v>84</v>
      </c>
      <c r="D447" s="8"/>
      <c r="E447" s="8"/>
      <c r="F447" s="8"/>
      <c r="G447" s="8"/>
      <c r="H447" s="8"/>
      <c r="I447" s="11">
        <v>0.457</v>
      </c>
      <c r="J447" s="9" t="s">
        <v>64</v>
      </c>
      <c r="K447" s="14" t="str">
        <f>IFERROR(__xludf.DUMMYFUNCTION("ARRAYFORMULA(VLOOKUP(A447,IMPORTRANGE(""https://docs.google.com/spreadsheets/d/1BuTWp7qHGjWhqrnf-OmePP568O4A5Am9ttzvVdP67zw/edit#gid=1603210130"", ""TOURISM!$A$2:$F$2692""), {2,3,4,5,6},0))"),"The Americas")</f>
        <v>The Americas</v>
      </c>
      <c r="L447" s="14">
        <f>IFERROR(__xludf.DUMMYFUNCTION("""COMPUTED_VALUE"""),5.18E8)</f>
        <v>518000000</v>
      </c>
      <c r="M447" s="14" t="str">
        <f>IFERROR(__xludf.DUMMYFUNCTION("""COMPUTED_VALUE"""),"Cayman Islands-The Americas")</f>
        <v>Cayman Islands-The Americas</v>
      </c>
      <c r="N447" s="14" t="str">
        <f>IFERROR(__xludf.DUMMYFUNCTION("""COMPUTED_VALUE"""),"2003")</f>
        <v>2003</v>
      </c>
      <c r="O447" s="14"/>
      <c r="P447" s="15" t="str">
        <f>IFERROR(__xludf.DUMMYFUNCTION("ARRAYFORMULA(VLOOKUP(A447,IMPORTRANGE(""https://docs.google.com/spreadsheets/d/1BuTWp7qHGjWhqrnf-OmePP568O4A5Am9ttzvVdP67zw/edit#gid=771602874"" ,""HUMAN RESOURCES!$A$2:$M$2692""), {2,3,4,5,6,7,8,9,10,11,12,13},0))"),"")</f>
        <v/>
      </c>
      <c r="Q447" s="14"/>
      <c r="R447" s="14"/>
      <c r="S447" s="14"/>
      <c r="T447" s="14"/>
      <c r="U447" s="14"/>
      <c r="V447" s="14"/>
      <c r="W447" s="14">
        <f>IFERROR(__xludf.DUMMYFUNCTION("""COMPUTED_VALUE"""),46032.0)</f>
        <v>46032</v>
      </c>
      <c r="X447" s="14">
        <f>IFERROR(__xludf.DUMMYFUNCTION("""COMPUTED_VALUE"""),1.0)</f>
        <v>1</v>
      </c>
      <c r="Y447" s="14" t="str">
        <f>IFERROR(__xludf.DUMMYFUNCTION("""COMPUTED_VALUE"""),"Cayman Islands-The Americas")</f>
        <v>Cayman Islands-The Americas</v>
      </c>
      <c r="Z447" s="14" t="str">
        <f>IFERROR(__xludf.DUMMYFUNCTION("""COMPUTED_VALUE"""),"The Americas")</f>
        <v>The Americas</v>
      </c>
      <c r="AA447" s="14" t="str">
        <f>IFERROR(__xludf.DUMMYFUNCTION("""COMPUTED_VALUE"""),"2003")</f>
        <v>2003</v>
      </c>
      <c r="AB447" s="15" t="str">
        <f>IFERROR(__xludf.DUMMYFUNCTION("ARRAYFORMULA(VLOOKUP(A447,IMPORTRANGE(""https://docs.google.com/spreadsheets/d/1BuTWp7qHGjWhqrnf-OmePP568O4A5Am9ttzvVdP67zw/edit#gid=1931367683"" ,""ENERGY!$A$2:$F$2692""), {2,3,4,5,6},0))"),"The Americas")</f>
        <v>The Americas</v>
      </c>
      <c r="AC447" s="14" t="str">
        <f>IFERROR(__xludf.DUMMYFUNCTION("""COMPUTED_VALUE"""),"Cayman Islands-The Americas")</f>
        <v>Cayman Islands-The Americas</v>
      </c>
      <c r="AD447" s="14" t="str">
        <f>IFERROR(__xludf.DUMMYFUNCTION("""COMPUTED_VALUE"""),"2003")</f>
        <v>2003</v>
      </c>
      <c r="AE447" s="14"/>
      <c r="AF447" s="14">
        <f>IFERROR(__xludf.DUMMYFUNCTION("""COMPUTED_VALUE"""),587.0)</f>
        <v>587</v>
      </c>
    </row>
    <row r="448">
      <c r="A448" s="12">
        <v>447.0</v>
      </c>
      <c r="B448" s="12" t="s">
        <v>113</v>
      </c>
      <c r="C448" s="5" t="s">
        <v>84</v>
      </c>
      <c r="D448" s="8"/>
      <c r="E448" s="8"/>
      <c r="F448" s="8"/>
      <c r="G448" s="8"/>
      <c r="H448" s="8"/>
      <c r="I448" s="11">
        <v>0.715</v>
      </c>
      <c r="J448" s="9" t="s">
        <v>65</v>
      </c>
      <c r="K448" s="14" t="str">
        <f>IFERROR(__xludf.DUMMYFUNCTION("ARRAYFORMULA(VLOOKUP(A448,IMPORTRANGE(""https://docs.google.com/spreadsheets/d/1BuTWp7qHGjWhqrnf-OmePP568O4A5Am9ttzvVdP67zw/edit#gid=1603210130"", ""TOURISM!$A$2:$F$2692""), {2,3,4,5,6},0))"),"The Americas")</f>
        <v>The Americas</v>
      </c>
      <c r="L448" s="14">
        <f>IFERROR(__xludf.DUMMYFUNCTION("""COMPUTED_VALUE"""),5.23E8)</f>
        <v>523000000</v>
      </c>
      <c r="M448" s="14" t="str">
        <f>IFERROR(__xludf.DUMMYFUNCTION("""COMPUTED_VALUE"""),"Cayman Islands-The Americas")</f>
        <v>Cayman Islands-The Americas</v>
      </c>
      <c r="N448" s="14" t="str">
        <f>IFERROR(__xludf.DUMMYFUNCTION("""COMPUTED_VALUE"""),"2004")</f>
        <v>2004</v>
      </c>
      <c r="O448" s="14"/>
      <c r="P448" s="15" t="str">
        <f>IFERROR(__xludf.DUMMYFUNCTION("ARRAYFORMULA(VLOOKUP(A448,IMPORTRANGE(""https://docs.google.com/spreadsheets/d/1BuTWp7qHGjWhqrnf-OmePP568O4A5Am9ttzvVdP67zw/edit#gid=771602874"" ,""HUMAN RESOURCES!$A$2:$M$2692""), {2,3,4,5,6,7,8,9,10,11,12,13},0))"),"")</f>
        <v/>
      </c>
      <c r="Q448" s="14"/>
      <c r="R448" s="14"/>
      <c r="S448" s="14"/>
      <c r="T448" s="14"/>
      <c r="U448" s="14"/>
      <c r="V448" s="14"/>
      <c r="W448" s="14">
        <f>IFERROR(__xludf.DUMMYFUNCTION("""COMPUTED_VALUE"""),47299.0)</f>
        <v>47299</v>
      </c>
      <c r="X448" s="14">
        <f>IFERROR(__xludf.DUMMYFUNCTION("""COMPUTED_VALUE"""),1.0)</f>
        <v>1</v>
      </c>
      <c r="Y448" s="14" t="str">
        <f>IFERROR(__xludf.DUMMYFUNCTION("""COMPUTED_VALUE"""),"Cayman Islands-The Americas")</f>
        <v>Cayman Islands-The Americas</v>
      </c>
      <c r="Z448" s="14" t="str">
        <f>IFERROR(__xludf.DUMMYFUNCTION("""COMPUTED_VALUE"""),"The Americas")</f>
        <v>The Americas</v>
      </c>
      <c r="AA448" s="14" t="str">
        <f>IFERROR(__xludf.DUMMYFUNCTION("""COMPUTED_VALUE"""),"2004")</f>
        <v>2004</v>
      </c>
      <c r="AB448" s="15" t="str">
        <f>IFERROR(__xludf.DUMMYFUNCTION("ARRAYFORMULA(VLOOKUP(A448,IMPORTRANGE(""https://docs.google.com/spreadsheets/d/1BuTWp7qHGjWhqrnf-OmePP568O4A5Am9ttzvVdP67zw/edit#gid=1931367683"" ,""ENERGY!$A$2:$F$2692""), {2,3,4,5,6},0))"),"The Americas")</f>
        <v>The Americas</v>
      </c>
      <c r="AC448" s="14" t="str">
        <f>IFERROR(__xludf.DUMMYFUNCTION("""COMPUTED_VALUE"""),"Cayman Islands-The Americas")</f>
        <v>Cayman Islands-The Americas</v>
      </c>
      <c r="AD448" s="14" t="str">
        <f>IFERROR(__xludf.DUMMYFUNCTION("""COMPUTED_VALUE"""),"2004")</f>
        <v>2004</v>
      </c>
      <c r="AE448" s="14"/>
      <c r="AF448" s="14">
        <f>IFERROR(__xludf.DUMMYFUNCTION("""COMPUTED_VALUE"""),631.0)</f>
        <v>631</v>
      </c>
    </row>
    <row r="449">
      <c r="A449" s="12">
        <v>448.0</v>
      </c>
      <c r="B449" s="12" t="s">
        <v>113</v>
      </c>
      <c r="C449" s="5" t="s">
        <v>84</v>
      </c>
      <c r="D449" s="8"/>
      <c r="E449" s="8"/>
      <c r="F449" s="8"/>
      <c r="G449" s="8"/>
      <c r="H449" s="11">
        <v>0.38</v>
      </c>
      <c r="I449" s="11">
        <v>1.665</v>
      </c>
      <c r="J449" s="9" t="s">
        <v>66</v>
      </c>
      <c r="K449" s="14" t="str">
        <f>IFERROR(__xludf.DUMMYFUNCTION("ARRAYFORMULA(VLOOKUP(A449,IMPORTRANGE(""https://docs.google.com/spreadsheets/d/1BuTWp7qHGjWhqrnf-OmePP568O4A5Am9ttzvVdP67zw/edit#gid=1603210130"", ""TOURISM!$A$2:$F$2692""), {2,3,4,5,6},0))"),"The Americas")</f>
        <v>The Americas</v>
      </c>
      <c r="L449" s="14">
        <f>IFERROR(__xludf.DUMMYFUNCTION("""COMPUTED_VALUE"""),3.56E8)</f>
        <v>356000000</v>
      </c>
      <c r="M449" s="14" t="str">
        <f>IFERROR(__xludf.DUMMYFUNCTION("""COMPUTED_VALUE"""),"Cayman Islands-The Americas")</f>
        <v>Cayman Islands-The Americas</v>
      </c>
      <c r="N449" s="14" t="str">
        <f>IFERROR(__xludf.DUMMYFUNCTION("""COMPUTED_VALUE"""),"2005")</f>
        <v>2005</v>
      </c>
      <c r="O449" s="14"/>
      <c r="P449" s="15" t="str">
        <f>IFERROR(__xludf.DUMMYFUNCTION("ARRAYFORMULA(VLOOKUP(A449,IMPORTRANGE(""https://docs.google.com/spreadsheets/d/1BuTWp7qHGjWhqrnf-OmePP568O4A5Am9ttzvVdP67zw/edit#gid=771602874"" ,""HUMAN RESOURCES!$A$2:$M$2692""), {2,3,4,5,6,7,8,9,10,11,12,13},0))"),"")</f>
        <v/>
      </c>
      <c r="Q449" s="14"/>
      <c r="R449" s="14"/>
      <c r="S449" s="14"/>
      <c r="T449" s="14"/>
      <c r="U449" s="14"/>
      <c r="V449" s="14"/>
      <c r="W449" s="14">
        <f>IFERROR(__xludf.DUMMYFUNCTION("""COMPUTED_VALUE"""),48623.0)</f>
        <v>48623</v>
      </c>
      <c r="X449" s="14">
        <f>IFERROR(__xludf.DUMMYFUNCTION("""COMPUTED_VALUE"""),1.0)</f>
        <v>1</v>
      </c>
      <c r="Y449" s="14" t="str">
        <f>IFERROR(__xludf.DUMMYFUNCTION("""COMPUTED_VALUE"""),"Cayman Islands-The Americas")</f>
        <v>Cayman Islands-The Americas</v>
      </c>
      <c r="Z449" s="14" t="str">
        <f>IFERROR(__xludf.DUMMYFUNCTION("""COMPUTED_VALUE"""),"The Americas")</f>
        <v>The Americas</v>
      </c>
      <c r="AA449" s="14" t="str">
        <f>IFERROR(__xludf.DUMMYFUNCTION("""COMPUTED_VALUE"""),"2005")</f>
        <v>2005</v>
      </c>
      <c r="AB449" s="15" t="str">
        <f>IFERROR(__xludf.DUMMYFUNCTION("ARRAYFORMULA(VLOOKUP(A449,IMPORTRANGE(""https://docs.google.com/spreadsheets/d/1BuTWp7qHGjWhqrnf-OmePP568O4A5Am9ttzvVdP67zw/edit#gid=1931367683"" ,""ENERGY!$A$2:$F$2692""), {2,3,4,5,6},0))"),"The Americas")</f>
        <v>The Americas</v>
      </c>
      <c r="AC449" s="14" t="str">
        <f>IFERROR(__xludf.DUMMYFUNCTION("""COMPUTED_VALUE"""),"Cayman Islands-The Americas")</f>
        <v>Cayman Islands-The Americas</v>
      </c>
      <c r="AD449" s="14" t="str">
        <f>IFERROR(__xludf.DUMMYFUNCTION("""COMPUTED_VALUE"""),"2006")</f>
        <v>2006</v>
      </c>
      <c r="AE449" s="14"/>
      <c r="AF449" s="14">
        <f>IFERROR(__xludf.DUMMYFUNCTION("""COMPUTED_VALUE"""),612.0)</f>
        <v>612</v>
      </c>
    </row>
    <row r="450">
      <c r="A450" s="12">
        <v>449.0</v>
      </c>
      <c r="B450" s="12" t="s">
        <v>113</v>
      </c>
      <c r="C450" s="5" t="s">
        <v>84</v>
      </c>
      <c r="D450" s="8"/>
      <c r="E450" s="8"/>
      <c r="F450" s="8"/>
      <c r="G450" s="8"/>
      <c r="H450" s="11">
        <v>0.445</v>
      </c>
      <c r="I450" s="11">
        <v>1.85</v>
      </c>
      <c r="J450" s="9" t="s">
        <v>67</v>
      </c>
      <c r="K450" s="14" t="str">
        <f>IFERROR(__xludf.DUMMYFUNCTION("ARRAYFORMULA(VLOOKUP(A450,IMPORTRANGE(""https://docs.google.com/spreadsheets/d/1BuTWp7qHGjWhqrnf-OmePP568O4A5Am9ttzvVdP67zw/edit#gid=1603210130"", ""TOURISM!$A$2:$F$2692""), {2,3,4,5,6},0))"),"The Americas")</f>
        <v>The Americas</v>
      </c>
      <c r="L450" s="14">
        <f>IFERROR(__xludf.DUMMYFUNCTION("""COMPUTED_VALUE"""),5.09E8)</f>
        <v>509000000</v>
      </c>
      <c r="M450" s="14" t="str">
        <f>IFERROR(__xludf.DUMMYFUNCTION("""COMPUTED_VALUE"""),"Cayman Islands-The Americas")</f>
        <v>Cayman Islands-The Americas</v>
      </c>
      <c r="N450" s="14" t="str">
        <f>IFERROR(__xludf.DUMMYFUNCTION("""COMPUTED_VALUE"""),"2006")</f>
        <v>2006</v>
      </c>
      <c r="O450" s="14">
        <f>IFERROR(__xludf.DUMMYFUNCTION("""COMPUTED_VALUE"""),1.64E8)</f>
        <v>164000000</v>
      </c>
      <c r="P450" s="15" t="str">
        <f>IFERROR(__xludf.DUMMYFUNCTION("ARRAYFORMULA(VLOOKUP(A450,IMPORTRANGE(""https://docs.google.com/spreadsheets/d/1BuTWp7qHGjWhqrnf-OmePP568O4A5Am9ttzvVdP67zw/edit#gid=771602874"" ,""HUMAN RESOURCES!$A$2:$M$2692""), {2,3,4,5,6,7,8,9,10,11,12,13},0))"),"")</f>
        <v/>
      </c>
      <c r="Q450" s="14"/>
      <c r="R450" s="14"/>
      <c r="S450" s="14"/>
      <c r="T450" s="14"/>
      <c r="U450" s="14"/>
      <c r="V450" s="14"/>
      <c r="W450" s="14">
        <f>IFERROR(__xludf.DUMMYFUNCTION("""COMPUTED_VALUE"""),50026.0)</f>
        <v>50026</v>
      </c>
      <c r="X450" s="14">
        <f>IFERROR(__xludf.DUMMYFUNCTION("""COMPUTED_VALUE"""),1.0)</f>
        <v>1</v>
      </c>
      <c r="Y450" s="14" t="str">
        <f>IFERROR(__xludf.DUMMYFUNCTION("""COMPUTED_VALUE"""),"Cayman Islands-The Americas")</f>
        <v>Cayman Islands-The Americas</v>
      </c>
      <c r="Z450" s="14" t="str">
        <f>IFERROR(__xludf.DUMMYFUNCTION("""COMPUTED_VALUE"""),"The Americas")</f>
        <v>The Americas</v>
      </c>
      <c r="AA450" s="14" t="str">
        <f>IFERROR(__xludf.DUMMYFUNCTION("""COMPUTED_VALUE"""),"2006")</f>
        <v>2006</v>
      </c>
      <c r="AB450" s="15" t="str">
        <f>IFERROR(__xludf.DUMMYFUNCTION("ARRAYFORMULA(VLOOKUP(A450,IMPORTRANGE(""https://docs.google.com/spreadsheets/d/1BuTWp7qHGjWhqrnf-OmePP568O4A5Am9ttzvVdP67zw/edit#gid=1931367683"" ,""ENERGY!$A$2:$F$2692""), {2,3,4,5,6},0))"),"The Americas")</f>
        <v>The Americas</v>
      </c>
      <c r="AC450" s="14" t="str">
        <f>IFERROR(__xludf.DUMMYFUNCTION("""COMPUTED_VALUE"""),"Cayman Islands-The Americas")</f>
        <v>Cayman Islands-The Americas</v>
      </c>
      <c r="AD450" s="14" t="str">
        <f>IFERROR(__xludf.DUMMYFUNCTION("""COMPUTED_VALUE"""),"2010")</f>
        <v>2010</v>
      </c>
      <c r="AE450" s="14"/>
      <c r="AF450" s="14">
        <f>IFERROR(__xludf.DUMMYFUNCTION("""COMPUTED_VALUE"""),517.0)</f>
        <v>517</v>
      </c>
    </row>
    <row r="451">
      <c r="A451" s="12">
        <v>450.0</v>
      </c>
      <c r="B451" s="12" t="s">
        <v>113</v>
      </c>
      <c r="C451" s="5" t="s">
        <v>84</v>
      </c>
      <c r="D451" s="8"/>
      <c r="E451" s="8"/>
      <c r="F451" s="8"/>
      <c r="G451" s="8"/>
      <c r="H451" s="11">
        <v>0.52</v>
      </c>
      <c r="I451" s="11">
        <v>1.972</v>
      </c>
      <c r="J451" s="9" t="s">
        <v>68</v>
      </c>
      <c r="K451" s="14" t="str">
        <f>IFERROR(__xludf.DUMMYFUNCTION("ARRAYFORMULA(VLOOKUP(A451,IMPORTRANGE(""https://docs.google.com/spreadsheets/d/1BuTWp7qHGjWhqrnf-OmePP568O4A5Am9ttzvVdP67zw/edit#gid=1603210130"", ""TOURISM!$A$2:$F$2692""), {2,3,4,5,6},0))"),"The Americas")</f>
        <v>The Americas</v>
      </c>
      <c r="L451" s="14">
        <f>IFERROR(__xludf.DUMMYFUNCTION("""COMPUTED_VALUE"""),4.81E8)</f>
        <v>481000000</v>
      </c>
      <c r="M451" s="14" t="str">
        <f>IFERROR(__xludf.DUMMYFUNCTION("""COMPUTED_VALUE"""),"Cayman Islands-The Americas")</f>
        <v>Cayman Islands-The Americas</v>
      </c>
      <c r="N451" s="14" t="str">
        <f>IFERROR(__xludf.DUMMYFUNCTION("""COMPUTED_VALUE"""),"2007")</f>
        <v>2007</v>
      </c>
      <c r="O451" s="14">
        <f>IFERROR(__xludf.DUMMYFUNCTION("""COMPUTED_VALUE"""),1.32E8)</f>
        <v>132000000</v>
      </c>
      <c r="P451" s="15">
        <f>IFERROR(__xludf.DUMMYFUNCTION("ARRAYFORMULA(VLOOKUP(A451,IMPORTRANGE(""https://docs.google.com/spreadsheets/d/1BuTWp7qHGjWhqrnf-OmePP568O4A5Am9ttzvVdP67zw/edit#gid=771602874"" ,""HUMAN RESOURCES!$A$2:$M$2692""), {2,3,4,5,6,7,8,9,10,11,12,13},0))"),0.014)</f>
        <v>0.014</v>
      </c>
      <c r="Q451" s="14"/>
      <c r="R451" s="14"/>
      <c r="S451" s="14"/>
      <c r="T451" s="14"/>
      <c r="U451" s="14"/>
      <c r="V451" s="14"/>
      <c r="W451" s="14">
        <f>IFERROR(__xludf.DUMMYFUNCTION("""COMPUTED_VALUE"""),51472.0)</f>
        <v>51472</v>
      </c>
      <c r="X451" s="14">
        <f>IFERROR(__xludf.DUMMYFUNCTION("""COMPUTED_VALUE"""),1.0)</f>
        <v>1</v>
      </c>
      <c r="Y451" s="14" t="str">
        <f>IFERROR(__xludf.DUMMYFUNCTION("""COMPUTED_VALUE"""),"Cayman Islands-The Americas")</f>
        <v>Cayman Islands-The Americas</v>
      </c>
      <c r="Z451" s="14" t="str">
        <f>IFERROR(__xludf.DUMMYFUNCTION("""COMPUTED_VALUE"""),"The Americas")</f>
        <v>The Americas</v>
      </c>
      <c r="AA451" s="14" t="str">
        <f>IFERROR(__xludf.DUMMYFUNCTION("""COMPUTED_VALUE"""),"2007")</f>
        <v>2007</v>
      </c>
      <c r="AB451" s="15" t="str">
        <f>IFERROR(__xludf.DUMMYFUNCTION("ARRAYFORMULA(VLOOKUP(A451,IMPORTRANGE(""https://docs.google.com/spreadsheets/d/1BuTWp7qHGjWhqrnf-OmePP568O4A5Am9ttzvVdP67zw/edit#gid=1931367683"" ,""ENERGY!$A$2:$F$2692""), {2,3,4,5,6},0))"),"The Americas")</f>
        <v>The Americas</v>
      </c>
      <c r="AC451" s="14" t="str">
        <f>IFERROR(__xludf.DUMMYFUNCTION("""COMPUTED_VALUE"""),"Cayman Islands-The Americas")</f>
        <v>Cayman Islands-The Americas</v>
      </c>
      <c r="AD451" s="14" t="str">
        <f>IFERROR(__xludf.DUMMYFUNCTION("""COMPUTED_VALUE"""),"2006")</f>
        <v>2006</v>
      </c>
      <c r="AE451" s="14"/>
      <c r="AF451" s="14">
        <f>IFERROR(__xludf.DUMMYFUNCTION("""COMPUTED_VALUE"""),513.0)</f>
        <v>513</v>
      </c>
    </row>
    <row r="452">
      <c r="A452" s="12">
        <v>451.0</v>
      </c>
      <c r="B452" s="12" t="s">
        <v>113</v>
      </c>
      <c r="C452" s="5" t="s">
        <v>84</v>
      </c>
      <c r="D452" s="8"/>
      <c r="E452" s="8"/>
      <c r="F452" s="8"/>
      <c r="G452" s="8"/>
      <c r="H452" s="11">
        <v>0.61</v>
      </c>
      <c r="I452" s="11">
        <v>1.858</v>
      </c>
      <c r="J452" s="9" t="s">
        <v>69</v>
      </c>
      <c r="K452" s="14" t="str">
        <f>IFERROR(__xludf.DUMMYFUNCTION("ARRAYFORMULA(VLOOKUP(A452,IMPORTRANGE(""https://docs.google.com/spreadsheets/d/1BuTWp7qHGjWhqrnf-OmePP568O4A5Am9ttzvVdP67zw/edit#gid=1603210130"", ""TOURISM!$A$2:$F$2692""), {2,3,4,5,6},0))"),"The Americas")</f>
        <v>The Americas</v>
      </c>
      <c r="L452" s="14">
        <f>IFERROR(__xludf.DUMMYFUNCTION("""COMPUTED_VALUE"""),5.18E8)</f>
        <v>518000000</v>
      </c>
      <c r="M452" s="14" t="str">
        <f>IFERROR(__xludf.DUMMYFUNCTION("""COMPUTED_VALUE"""),"Cayman Islands-The Americas")</f>
        <v>Cayman Islands-The Americas</v>
      </c>
      <c r="N452" s="14" t="str">
        <f>IFERROR(__xludf.DUMMYFUNCTION("""COMPUTED_VALUE"""),"2008")</f>
        <v>2008</v>
      </c>
      <c r="O452" s="14">
        <f>IFERROR(__xludf.DUMMYFUNCTION("""COMPUTED_VALUE"""),1.3E8)</f>
        <v>130000000</v>
      </c>
      <c r="P452" s="15" t="str">
        <f>IFERROR(__xludf.DUMMYFUNCTION("ARRAYFORMULA(VLOOKUP(A452,IMPORTRANGE(""https://docs.google.com/spreadsheets/d/1BuTWp7qHGjWhqrnf-OmePP568O4A5Am9ttzvVdP67zw/edit#gid=771602874"" ,""HUMAN RESOURCES!$A$2:$M$2692""), {2,3,4,5,6,7,8,9,10,11,12,13},0))"),"")</f>
        <v/>
      </c>
      <c r="Q452" s="14"/>
      <c r="R452" s="14"/>
      <c r="S452" s="14"/>
      <c r="T452" s="14"/>
      <c r="U452" s="14"/>
      <c r="V452" s="14"/>
      <c r="W452" s="14">
        <f>IFERROR(__xludf.DUMMYFUNCTION("""COMPUTED_VALUE"""),52912.0)</f>
        <v>52912</v>
      </c>
      <c r="X452" s="14">
        <f>IFERROR(__xludf.DUMMYFUNCTION("""COMPUTED_VALUE"""),1.0)</f>
        <v>1</v>
      </c>
      <c r="Y452" s="14" t="str">
        <f>IFERROR(__xludf.DUMMYFUNCTION("""COMPUTED_VALUE"""),"Cayman Islands-The Americas")</f>
        <v>Cayman Islands-The Americas</v>
      </c>
      <c r="Z452" s="14" t="str">
        <f>IFERROR(__xludf.DUMMYFUNCTION("""COMPUTED_VALUE"""),"The Americas")</f>
        <v>The Americas</v>
      </c>
      <c r="AA452" s="14" t="str">
        <f>IFERROR(__xludf.DUMMYFUNCTION("""COMPUTED_VALUE"""),"2008")</f>
        <v>2008</v>
      </c>
      <c r="AB452" s="15" t="str">
        <f>IFERROR(__xludf.DUMMYFUNCTION("ARRAYFORMULA(VLOOKUP(A452,IMPORTRANGE(""https://docs.google.com/spreadsheets/d/1BuTWp7qHGjWhqrnf-OmePP568O4A5Am9ttzvVdP67zw/edit#gid=1931367683"" ,""ENERGY!$A$2:$F$2692""), {2,3,4,5,6},0))"),"The Americas")</f>
        <v>The Americas</v>
      </c>
      <c r="AC452" s="14" t="str">
        <f>IFERROR(__xludf.DUMMYFUNCTION("""COMPUTED_VALUE"""),"Cayman Islands-The Americas")</f>
        <v>Cayman Islands-The Americas</v>
      </c>
      <c r="AD452" s="14" t="str">
        <f>IFERROR(__xludf.DUMMYFUNCTION("""COMPUTED_VALUE"""),"2012")</f>
        <v>2012</v>
      </c>
      <c r="AE452" s="14"/>
      <c r="AF452" s="14">
        <f>IFERROR(__xludf.DUMMYFUNCTION("""COMPUTED_VALUE"""),499.0)</f>
        <v>499</v>
      </c>
    </row>
    <row r="453">
      <c r="A453" s="12">
        <v>452.0</v>
      </c>
      <c r="B453" s="12" t="s">
        <v>113</v>
      </c>
      <c r="C453" s="5" t="s">
        <v>84</v>
      </c>
      <c r="D453" s="8"/>
      <c r="E453" s="8"/>
      <c r="F453" s="8"/>
      <c r="G453" s="8"/>
      <c r="H453" s="11">
        <v>0.645</v>
      </c>
      <c r="I453" s="11">
        <v>2.003</v>
      </c>
      <c r="J453" s="9" t="s">
        <v>70</v>
      </c>
      <c r="K453" s="14" t="str">
        <f>IFERROR(__xludf.DUMMYFUNCTION("ARRAYFORMULA(VLOOKUP(A453,IMPORTRANGE(""https://docs.google.com/spreadsheets/d/1BuTWp7qHGjWhqrnf-OmePP568O4A5Am9ttzvVdP67zw/edit#gid=1603210130"", ""TOURISM!$A$2:$F$2692""), {2,3,4,5,6},0))"),"The Americas")</f>
        <v>The Americas</v>
      </c>
      <c r="L453" s="14">
        <f>IFERROR(__xludf.DUMMYFUNCTION("""COMPUTED_VALUE"""),4.58E8)</f>
        <v>458000000</v>
      </c>
      <c r="M453" s="14" t="str">
        <f>IFERROR(__xludf.DUMMYFUNCTION("""COMPUTED_VALUE"""),"Cayman Islands-The Americas")</f>
        <v>Cayman Islands-The Americas</v>
      </c>
      <c r="N453" s="14" t="str">
        <f>IFERROR(__xludf.DUMMYFUNCTION("""COMPUTED_VALUE"""),"2009")</f>
        <v>2009</v>
      </c>
      <c r="O453" s="14">
        <f>IFERROR(__xludf.DUMMYFUNCTION("""COMPUTED_VALUE"""),1.2E8)</f>
        <v>120000000</v>
      </c>
      <c r="P453" s="15">
        <f>IFERROR(__xludf.DUMMYFUNCTION("ARRAYFORMULA(VLOOKUP(A453,IMPORTRANGE(""https://docs.google.com/spreadsheets/d/1BuTWp7qHGjWhqrnf-OmePP568O4A5Am9ttzvVdP67zw/edit#gid=771602874"" ,""HUMAN RESOURCES!$A$2:$M$2692""), {2,3,4,5,6,7,8,9,10,11,12,13},0))"),0.016)</f>
        <v>0.016</v>
      </c>
      <c r="Q453" s="14"/>
      <c r="R453" s="14"/>
      <c r="S453" s="14"/>
      <c r="T453" s="14"/>
      <c r="U453" s="14"/>
      <c r="V453" s="14"/>
      <c r="W453" s="14">
        <f>IFERROR(__xludf.DUMMYFUNCTION("""COMPUTED_VALUE"""),54275.0)</f>
        <v>54275</v>
      </c>
      <c r="X453" s="14">
        <f>IFERROR(__xludf.DUMMYFUNCTION("""COMPUTED_VALUE"""),1.0)</f>
        <v>1</v>
      </c>
      <c r="Y453" s="14" t="str">
        <f>IFERROR(__xludf.DUMMYFUNCTION("""COMPUTED_VALUE"""),"Cayman Islands-The Americas")</f>
        <v>Cayman Islands-The Americas</v>
      </c>
      <c r="Z453" s="14" t="str">
        <f>IFERROR(__xludf.DUMMYFUNCTION("""COMPUTED_VALUE"""),"The Americas")</f>
        <v>The Americas</v>
      </c>
      <c r="AA453" s="14" t="str">
        <f>IFERROR(__xludf.DUMMYFUNCTION("""COMPUTED_VALUE"""),"2009")</f>
        <v>2009</v>
      </c>
      <c r="AB453" s="15" t="str">
        <f>IFERROR(__xludf.DUMMYFUNCTION("ARRAYFORMULA(VLOOKUP(A453,IMPORTRANGE(""https://docs.google.com/spreadsheets/d/1BuTWp7qHGjWhqrnf-OmePP568O4A5Am9ttzvVdP67zw/edit#gid=1931367683"" ,""ENERGY!$A$2:$F$2692""), {2,3,4,5,6},0))"),"The Americas")</f>
        <v>The Americas</v>
      </c>
      <c r="AC453" s="14" t="str">
        <f>IFERROR(__xludf.DUMMYFUNCTION("""COMPUTED_VALUE"""),"Cayman Islands-The Americas")</f>
        <v>Cayman Islands-The Americas</v>
      </c>
      <c r="AD453" s="14" t="str">
        <f>IFERROR(__xludf.DUMMYFUNCTION("""COMPUTED_VALUE"""),"2009")</f>
        <v>2009</v>
      </c>
      <c r="AE453" s="14"/>
      <c r="AF453" s="14">
        <f>IFERROR(__xludf.DUMMYFUNCTION("""COMPUTED_VALUE"""),480.0)</f>
        <v>480</v>
      </c>
    </row>
    <row r="454">
      <c r="A454" s="12">
        <v>453.0</v>
      </c>
      <c r="B454" s="12" t="s">
        <v>113</v>
      </c>
      <c r="C454" s="5" t="s">
        <v>84</v>
      </c>
      <c r="D454" s="8"/>
      <c r="E454" s="8"/>
      <c r="F454" s="8"/>
      <c r="G454" s="8"/>
      <c r="H454" s="11">
        <v>0.66</v>
      </c>
      <c r="I454" s="11">
        <v>1.812</v>
      </c>
      <c r="J454" s="9" t="s">
        <v>71</v>
      </c>
      <c r="K454" s="14" t="str">
        <f>IFERROR(__xludf.DUMMYFUNCTION("ARRAYFORMULA(VLOOKUP(A454,IMPORTRANGE(""https://docs.google.com/spreadsheets/d/1BuTWp7qHGjWhqrnf-OmePP568O4A5Am9ttzvVdP67zw/edit#gid=1603210130"", ""TOURISM!$A$2:$F$2692""), {2,3,4,5,6},0))"),"The Americas")</f>
        <v>The Americas</v>
      </c>
      <c r="L454" s="14">
        <f>IFERROR(__xludf.DUMMYFUNCTION("""COMPUTED_VALUE"""),4.65E8)</f>
        <v>465000000</v>
      </c>
      <c r="M454" s="14" t="str">
        <f>IFERROR(__xludf.DUMMYFUNCTION("""COMPUTED_VALUE"""),"Cayman Islands-The Americas")</f>
        <v>Cayman Islands-The Americas</v>
      </c>
      <c r="N454" s="14" t="str">
        <f>IFERROR(__xludf.DUMMYFUNCTION("""COMPUTED_VALUE"""),"2010")</f>
        <v>2010</v>
      </c>
      <c r="O454" s="14">
        <f>IFERROR(__xludf.DUMMYFUNCTION("""COMPUTED_VALUE"""),1.29E8)</f>
        <v>129000000</v>
      </c>
      <c r="P454" s="15">
        <f>IFERROR(__xludf.DUMMYFUNCTION("ARRAYFORMULA(VLOOKUP(A454,IMPORTRANGE(""https://docs.google.com/spreadsheets/d/1BuTWp7qHGjWhqrnf-OmePP568O4A5Am9ttzvVdP67zw/edit#gid=771602874"" ,""HUMAN RESOURCES!$A$2:$M$2692""), {2,3,4,5,6,7,8,9,10,11,12,13},0))"),0.015)</f>
        <v>0.015</v>
      </c>
      <c r="Q454" s="14"/>
      <c r="R454" s="14"/>
      <c r="S454" s="14"/>
      <c r="T454" s="14"/>
      <c r="U454" s="14"/>
      <c r="V454" s="14"/>
      <c r="W454" s="14">
        <f>IFERROR(__xludf.DUMMYFUNCTION("""COMPUTED_VALUE"""),55509.0)</f>
        <v>55509</v>
      </c>
      <c r="X454" s="14">
        <f>IFERROR(__xludf.DUMMYFUNCTION("""COMPUTED_VALUE"""),1.0)</f>
        <v>1</v>
      </c>
      <c r="Y454" s="14" t="str">
        <f>IFERROR(__xludf.DUMMYFUNCTION("""COMPUTED_VALUE"""),"Cayman Islands-The Americas")</f>
        <v>Cayman Islands-The Americas</v>
      </c>
      <c r="Z454" s="14" t="str">
        <f>IFERROR(__xludf.DUMMYFUNCTION("""COMPUTED_VALUE"""),"The Americas")</f>
        <v>The Americas</v>
      </c>
      <c r="AA454" s="14" t="str">
        <f>IFERROR(__xludf.DUMMYFUNCTION("""COMPUTED_VALUE"""),"2010")</f>
        <v>2010</v>
      </c>
      <c r="AB454" s="15" t="str">
        <f>IFERROR(__xludf.DUMMYFUNCTION("ARRAYFORMULA(VLOOKUP(A454,IMPORTRANGE(""https://docs.google.com/spreadsheets/d/1BuTWp7qHGjWhqrnf-OmePP568O4A5Am9ttzvVdP67zw/edit#gid=1931367683"" ,""ENERGY!$A$2:$F$2692""), {2,3,4,5,6},0))"),"The Americas")</f>
        <v>The Americas</v>
      </c>
      <c r="AC454" s="14" t="str">
        <f>IFERROR(__xludf.DUMMYFUNCTION("""COMPUTED_VALUE"""),"Cayman Islands-The Americas")</f>
        <v>Cayman Islands-The Americas</v>
      </c>
      <c r="AD454" s="14" t="str">
        <f>IFERROR(__xludf.DUMMYFUNCTION("""COMPUTED_VALUE"""),"2006")</f>
        <v>2006</v>
      </c>
      <c r="AE454" s="14"/>
      <c r="AF454" s="14">
        <f>IFERROR(__xludf.DUMMYFUNCTION("""COMPUTED_VALUE"""),469.0)</f>
        <v>469</v>
      </c>
    </row>
    <row r="455">
      <c r="A455" s="12">
        <v>454.0</v>
      </c>
      <c r="B455" s="12" t="s">
        <v>113</v>
      </c>
      <c r="C455" s="5" t="s">
        <v>84</v>
      </c>
      <c r="D455" s="8"/>
      <c r="E455" s="8"/>
      <c r="F455" s="8"/>
      <c r="G455" s="8"/>
      <c r="H455" s="11">
        <v>0.695</v>
      </c>
      <c r="I455" s="11">
        <v>1.71</v>
      </c>
      <c r="J455" s="9" t="s">
        <v>72</v>
      </c>
      <c r="K455" s="14" t="str">
        <f>IFERROR(__xludf.DUMMYFUNCTION("ARRAYFORMULA(VLOOKUP(A455,IMPORTRANGE(""https://docs.google.com/spreadsheets/d/1BuTWp7qHGjWhqrnf-OmePP568O4A5Am9ttzvVdP67zw/edit#gid=1603210130"", ""TOURISM!$A$2:$F$2692""), {2,3,4,5,6},0))"),"The Americas")</f>
        <v>The Americas</v>
      </c>
      <c r="L455" s="14">
        <f>IFERROR(__xludf.DUMMYFUNCTION("""COMPUTED_VALUE"""),4.72E8)</f>
        <v>472000000</v>
      </c>
      <c r="M455" s="14" t="str">
        <f>IFERROR(__xludf.DUMMYFUNCTION("""COMPUTED_VALUE"""),"Cayman Islands-The Americas")</f>
        <v>Cayman Islands-The Americas</v>
      </c>
      <c r="N455" s="14" t="str">
        <f>IFERROR(__xludf.DUMMYFUNCTION("""COMPUTED_VALUE"""),"2011")</f>
        <v>2011</v>
      </c>
      <c r="O455" s="14">
        <f>IFERROR(__xludf.DUMMYFUNCTION("""COMPUTED_VALUE"""),1.45E8)</f>
        <v>145000000</v>
      </c>
      <c r="P455" s="15">
        <f>IFERROR(__xludf.DUMMYFUNCTION("ARRAYFORMULA(VLOOKUP(A455,IMPORTRANGE(""https://docs.google.com/spreadsheets/d/1BuTWp7qHGjWhqrnf-OmePP568O4A5Am9ttzvVdP67zw/edit#gid=771602874"" ,""HUMAN RESOURCES!$A$2:$M$2692""), {2,3,4,5,6,7,8,9,10,11,12,13},0))"),0.015)</f>
        <v>0.015</v>
      </c>
      <c r="Q455" s="14"/>
      <c r="R455" s="14"/>
      <c r="S455" s="14"/>
      <c r="T455" s="14"/>
      <c r="U455" s="14"/>
      <c r="V455" s="14"/>
      <c r="W455" s="14">
        <f>IFERROR(__xludf.DUMMYFUNCTION("""COMPUTED_VALUE"""),56601.0)</f>
        <v>56601</v>
      </c>
      <c r="X455" s="14">
        <f>IFERROR(__xludf.DUMMYFUNCTION("""COMPUTED_VALUE"""),1.0)</f>
        <v>1</v>
      </c>
      <c r="Y455" s="14" t="str">
        <f>IFERROR(__xludf.DUMMYFUNCTION("""COMPUTED_VALUE"""),"Cayman Islands-The Americas")</f>
        <v>Cayman Islands-The Americas</v>
      </c>
      <c r="Z455" s="14" t="str">
        <f>IFERROR(__xludf.DUMMYFUNCTION("""COMPUTED_VALUE"""),"The Americas")</f>
        <v>The Americas</v>
      </c>
      <c r="AA455" s="14" t="str">
        <f>IFERROR(__xludf.DUMMYFUNCTION("""COMPUTED_VALUE"""),"2011")</f>
        <v>2011</v>
      </c>
      <c r="AB455" s="15" t="str">
        <f>IFERROR(__xludf.DUMMYFUNCTION("ARRAYFORMULA(VLOOKUP(A455,IMPORTRANGE(""https://docs.google.com/spreadsheets/d/1BuTWp7qHGjWhqrnf-OmePP568O4A5Am9ttzvVdP67zw/edit#gid=1931367683"" ,""ENERGY!$A$2:$F$2692""), {2,3,4,5,6},0))"),"The Americas")</f>
        <v>The Americas</v>
      </c>
      <c r="AC455" s="14" t="str">
        <f>IFERROR(__xludf.DUMMYFUNCTION("""COMPUTED_VALUE"""),"Cayman Islands-The Americas")</f>
        <v>Cayman Islands-The Americas</v>
      </c>
      <c r="AD455" s="14" t="str">
        <f>IFERROR(__xludf.DUMMYFUNCTION("""COMPUTED_VALUE"""),"2004")</f>
        <v>2004</v>
      </c>
      <c r="AE455" s="14"/>
      <c r="AF455" s="14">
        <f>IFERROR(__xludf.DUMMYFUNCTION("""COMPUTED_VALUE"""),455.0)</f>
        <v>455</v>
      </c>
    </row>
    <row r="456">
      <c r="A456" s="12">
        <v>455.0</v>
      </c>
      <c r="B456" s="12" t="s">
        <v>113</v>
      </c>
      <c r="C456" s="5" t="s">
        <v>84</v>
      </c>
      <c r="D456" s="8"/>
      <c r="E456" s="8"/>
      <c r="F456" s="8"/>
      <c r="G456" s="8"/>
      <c r="H456" s="11">
        <v>0.741</v>
      </c>
      <c r="I456" s="11">
        <v>1.717</v>
      </c>
      <c r="J456" s="9" t="s">
        <v>73</v>
      </c>
      <c r="K456" s="14" t="str">
        <f>IFERROR(__xludf.DUMMYFUNCTION("ARRAYFORMULA(VLOOKUP(A456,IMPORTRANGE(""https://docs.google.com/spreadsheets/d/1BuTWp7qHGjWhqrnf-OmePP568O4A5Am9ttzvVdP67zw/edit#gid=1603210130"", ""TOURISM!$A$2:$F$2692""), {2,3,4,5,6},0))"),"The Americas")</f>
        <v>The Americas</v>
      </c>
      <c r="L456" s="14"/>
      <c r="M456" s="14" t="str">
        <f>IFERROR(__xludf.DUMMYFUNCTION("""COMPUTED_VALUE"""),"Cayman Islands-The Americas")</f>
        <v>Cayman Islands-The Americas</v>
      </c>
      <c r="N456" s="14" t="str">
        <f>IFERROR(__xludf.DUMMYFUNCTION("""COMPUTED_VALUE"""),"2012")</f>
        <v>2012</v>
      </c>
      <c r="O456" s="14"/>
      <c r="P456" s="15">
        <f>IFERROR(__xludf.DUMMYFUNCTION("ARRAYFORMULA(VLOOKUP(A456,IMPORTRANGE(""https://docs.google.com/spreadsheets/d/1BuTWp7qHGjWhqrnf-OmePP568O4A5Am9ttzvVdP67zw/edit#gid=771602874"" ,""HUMAN RESOURCES!$A$2:$M$2692""), {2,3,4,5,6,7,8,9,10,11,12,13},0))"),0.013)</f>
        <v>0.013</v>
      </c>
      <c r="Q456" s="14"/>
      <c r="R456" s="14"/>
      <c r="S456" s="14"/>
      <c r="T456" s="14"/>
      <c r="U456" s="14"/>
      <c r="V456" s="14"/>
      <c r="W456" s="14">
        <f>IFERROR(__xludf.DUMMYFUNCTION("""COMPUTED_VALUE"""),57570.0)</f>
        <v>57570</v>
      </c>
      <c r="X456" s="14">
        <f>IFERROR(__xludf.DUMMYFUNCTION("""COMPUTED_VALUE"""),1.0)</f>
        <v>1</v>
      </c>
      <c r="Y456" s="14" t="str">
        <f>IFERROR(__xludf.DUMMYFUNCTION("""COMPUTED_VALUE"""),"Cayman Islands-The Americas")</f>
        <v>Cayman Islands-The Americas</v>
      </c>
      <c r="Z456" s="14" t="str">
        <f>IFERROR(__xludf.DUMMYFUNCTION("""COMPUTED_VALUE"""),"The Americas")</f>
        <v>The Americas</v>
      </c>
      <c r="AA456" s="14" t="str">
        <f>IFERROR(__xludf.DUMMYFUNCTION("""COMPUTED_VALUE"""),"2012")</f>
        <v>2012</v>
      </c>
      <c r="AB456" s="15" t="str">
        <f>IFERROR(__xludf.DUMMYFUNCTION("ARRAYFORMULA(VLOOKUP(A456,IMPORTRANGE(""https://docs.google.com/spreadsheets/d/1BuTWp7qHGjWhqrnf-OmePP568O4A5Am9ttzvVdP67zw/edit#gid=1931367683"" ,""ENERGY!$A$2:$F$2692""), {2,3,4,5,6},0))"),"The Americas")</f>
        <v>The Americas</v>
      </c>
      <c r="AC456" s="14" t="str">
        <f>IFERROR(__xludf.DUMMYFUNCTION("""COMPUTED_VALUE"""),"Cayman Islands-The Americas")</f>
        <v>Cayman Islands-The Americas</v>
      </c>
      <c r="AD456" s="14" t="str">
        <f>IFERROR(__xludf.DUMMYFUNCTION("""COMPUTED_VALUE"""),"2009")</f>
        <v>2009</v>
      </c>
      <c r="AE456" s="14"/>
      <c r="AF456" s="14">
        <f>IFERROR(__xludf.DUMMYFUNCTION("""COMPUTED_VALUE"""),455.0)</f>
        <v>455</v>
      </c>
    </row>
    <row r="457">
      <c r="A457" s="12">
        <v>456.0</v>
      </c>
      <c r="B457" s="12" t="s">
        <v>114</v>
      </c>
      <c r="C457" s="5" t="s">
        <v>77</v>
      </c>
      <c r="D457" s="8"/>
      <c r="E457" s="8"/>
      <c r="F457" s="8"/>
      <c r="G457" s="8"/>
      <c r="H457" s="11">
        <v>0.001</v>
      </c>
      <c r="I457" s="11">
        <v>0.001</v>
      </c>
      <c r="J457" s="9" t="s">
        <v>60</v>
      </c>
      <c r="K457" s="14" t="str">
        <f>IFERROR(__xludf.DUMMYFUNCTION("ARRAYFORMULA(VLOOKUP(A457,IMPORTRANGE(""https://docs.google.com/spreadsheets/d/1BuTWp7qHGjWhqrnf-OmePP568O4A5Am9ttzvVdP67zw/edit#gid=1603210130"", ""TOURISM!$A$2:$F$2692""), {2,3,4,5,6},0))"),"Africa")</f>
        <v>Africa</v>
      </c>
      <c r="L457" s="14">
        <f>IFERROR(__xludf.DUMMYFUNCTION("""COMPUTED_VALUE"""),5000000.0)</f>
        <v>5000000</v>
      </c>
      <c r="M457" s="14" t="str">
        <f>IFERROR(__xludf.DUMMYFUNCTION("""COMPUTED_VALUE"""),"Central African Republic-Africa")</f>
        <v>Central African Republic-Africa</v>
      </c>
      <c r="N457" s="14" t="str">
        <f>IFERROR(__xludf.DUMMYFUNCTION("""COMPUTED_VALUE"""),"2000")</f>
        <v>2000</v>
      </c>
      <c r="O457" s="14">
        <f>IFERROR(__xludf.DUMMYFUNCTION("""COMPUTED_VALUE"""),3.3E7)</f>
        <v>33000000</v>
      </c>
      <c r="P457" s="15">
        <f>IFERROR(__xludf.DUMMYFUNCTION("ARRAYFORMULA(VLOOKUP(A457,IMPORTRANGE(""https://docs.google.com/spreadsheets/d/1BuTWp7qHGjWhqrnf-OmePP568O4A5Am9ttzvVdP67zw/edit#gid=771602874"" ,""HUMAN RESOURCES!$A$2:$M$2692""), {2,3,4,5,6,7,8,9,10,11,12,13},0))"),0.039)</f>
        <v>0.039</v>
      </c>
      <c r="Q457" s="14">
        <f>IFERROR(__xludf.DUMMYFUNCTION("""COMPUTED_VALUE"""),0.113)</f>
        <v>0.113</v>
      </c>
      <c r="R457" s="14">
        <f>IFERROR(__xludf.DUMMYFUNCTION("""COMPUTED_VALUE"""),45.0)</f>
        <v>45</v>
      </c>
      <c r="S457" s="14">
        <f>IFERROR(__xludf.DUMMYFUNCTION("""COMPUTED_VALUE"""),42.0)</f>
        <v>42</v>
      </c>
      <c r="T457" s="14">
        <f>IFERROR(__xludf.DUMMYFUNCTION("""COMPUTED_VALUE"""),0.423)</f>
        <v>0.423</v>
      </c>
      <c r="U457" s="14">
        <f>IFERROR(__xludf.DUMMYFUNCTION("""COMPUTED_VALUE"""),0.537)</f>
        <v>0.537</v>
      </c>
      <c r="V457" s="14">
        <f>IFERROR(__xludf.DUMMYFUNCTION("""COMPUTED_VALUE"""),0.04)</f>
        <v>0.04</v>
      </c>
      <c r="W457" s="14">
        <f>IFERROR(__xludf.DUMMYFUNCTION("""COMPUTED_VALUE"""),3638316.0)</f>
        <v>3638316</v>
      </c>
      <c r="X457" s="14">
        <f>IFERROR(__xludf.DUMMYFUNCTION("""COMPUTED_VALUE"""),0.376)</f>
        <v>0.376</v>
      </c>
      <c r="Y457" s="14" t="str">
        <f>IFERROR(__xludf.DUMMYFUNCTION("""COMPUTED_VALUE"""),"Central African Republic-Africa")</f>
        <v>Central African Republic-Africa</v>
      </c>
      <c r="Z457" s="14" t="str">
        <f>IFERROR(__xludf.DUMMYFUNCTION("""COMPUTED_VALUE"""),"Africa")</f>
        <v>Africa</v>
      </c>
      <c r="AA457" s="14" t="str">
        <f>IFERROR(__xludf.DUMMYFUNCTION("""COMPUTED_VALUE"""),"2000")</f>
        <v>2000</v>
      </c>
      <c r="AB457" s="15" t="str">
        <f>IFERROR(__xludf.DUMMYFUNCTION("ARRAYFORMULA(VLOOKUP(A457,IMPORTRANGE(""https://docs.google.com/spreadsheets/d/1BuTWp7qHGjWhqrnf-OmePP568O4A5Am9ttzvVdP67zw/edit#gid=1931367683"" ,""ENERGY!$A$2:$F$2692""), {2,3,4,5,6},0))"),"Africa")</f>
        <v>Africa</v>
      </c>
      <c r="AC457" s="14" t="str">
        <f>IFERROR(__xludf.DUMMYFUNCTION("""COMPUTED_VALUE"""),"Central African Republic-Africa")</f>
        <v>Central African Republic-Africa</v>
      </c>
      <c r="AD457" s="14" t="str">
        <f>IFERROR(__xludf.DUMMYFUNCTION("""COMPUTED_VALUE"""),"2000")</f>
        <v>2000</v>
      </c>
      <c r="AE457" s="14"/>
      <c r="AF457" s="14"/>
    </row>
    <row r="458">
      <c r="A458" s="12">
        <v>457.0</v>
      </c>
      <c r="B458" s="12" t="s">
        <v>114</v>
      </c>
      <c r="C458" s="5" t="s">
        <v>77</v>
      </c>
      <c r="D458" s="8"/>
      <c r="E458" s="8"/>
      <c r="F458" s="8"/>
      <c r="G458" s="8"/>
      <c r="H458" s="11">
        <v>0.001</v>
      </c>
      <c r="I458" s="11">
        <v>0.003</v>
      </c>
      <c r="J458" s="9" t="s">
        <v>62</v>
      </c>
      <c r="K458" s="14" t="str">
        <f>IFERROR(__xludf.DUMMYFUNCTION("ARRAYFORMULA(VLOOKUP(A458,IMPORTRANGE(""https://docs.google.com/spreadsheets/d/1BuTWp7qHGjWhqrnf-OmePP568O4A5Am9ttzvVdP67zw/edit#gid=1603210130"", ""TOURISM!$A$2:$F$2692""), {2,3,4,5,6},0))"),"Africa")</f>
        <v>Africa</v>
      </c>
      <c r="L458" s="14">
        <f>IFERROR(__xludf.DUMMYFUNCTION("""COMPUTED_VALUE"""),5000000.0)</f>
        <v>5000000</v>
      </c>
      <c r="M458" s="14" t="str">
        <f>IFERROR(__xludf.DUMMYFUNCTION("""COMPUTED_VALUE"""),"Central African Republic-Africa")</f>
        <v>Central African Republic-Africa</v>
      </c>
      <c r="N458" s="14" t="str">
        <f>IFERROR(__xludf.DUMMYFUNCTION("""COMPUTED_VALUE"""),"2001")</f>
        <v>2001</v>
      </c>
      <c r="O458" s="14">
        <f>IFERROR(__xludf.DUMMYFUNCTION("""COMPUTED_VALUE"""),2.9E7)</f>
        <v>29000000</v>
      </c>
      <c r="P458" s="15">
        <f>IFERROR(__xludf.DUMMYFUNCTION("ARRAYFORMULA(VLOOKUP(A458,IMPORTRANGE(""https://docs.google.com/spreadsheets/d/1BuTWp7qHGjWhqrnf-OmePP568O4A5Am9ttzvVdP67zw/edit#gid=771602874"" ,""HUMAN RESOURCES!$A$2:$M$2692""), {2,3,4,5,6,7,8,9,10,11,12,13},0))"),0.039)</f>
        <v>0.039</v>
      </c>
      <c r="Q458" s="14">
        <f>IFERROR(__xludf.DUMMYFUNCTION("""COMPUTED_VALUE"""),0.113)</f>
        <v>0.113</v>
      </c>
      <c r="R458" s="14">
        <f>IFERROR(__xludf.DUMMYFUNCTION("""COMPUTED_VALUE"""),45.0)</f>
        <v>45</v>
      </c>
      <c r="S458" s="14">
        <f>IFERROR(__xludf.DUMMYFUNCTION("""COMPUTED_VALUE"""),42.0)</f>
        <v>42</v>
      </c>
      <c r="T458" s="14">
        <f>IFERROR(__xludf.DUMMYFUNCTION("""COMPUTED_VALUE"""),0.422)</f>
        <v>0.422</v>
      </c>
      <c r="U458" s="14">
        <f>IFERROR(__xludf.DUMMYFUNCTION("""COMPUTED_VALUE"""),0.538)</f>
        <v>0.538</v>
      </c>
      <c r="V458" s="14">
        <f>IFERROR(__xludf.DUMMYFUNCTION("""COMPUTED_VALUE"""),0.04)</f>
        <v>0.04</v>
      </c>
      <c r="W458" s="14">
        <f>IFERROR(__xludf.DUMMYFUNCTION("""COMPUTED_VALUE"""),3704045.0)</f>
        <v>3704045</v>
      </c>
      <c r="X458" s="14">
        <f>IFERROR(__xludf.DUMMYFUNCTION("""COMPUTED_VALUE"""),0.377)</f>
        <v>0.377</v>
      </c>
      <c r="Y458" s="14" t="str">
        <f>IFERROR(__xludf.DUMMYFUNCTION("""COMPUTED_VALUE"""),"Central African Republic-Africa")</f>
        <v>Central African Republic-Africa</v>
      </c>
      <c r="Z458" s="14" t="str">
        <f>IFERROR(__xludf.DUMMYFUNCTION("""COMPUTED_VALUE"""),"Africa")</f>
        <v>Africa</v>
      </c>
      <c r="AA458" s="14" t="str">
        <f>IFERROR(__xludf.DUMMYFUNCTION("""COMPUTED_VALUE"""),"2001")</f>
        <v>2001</v>
      </c>
      <c r="AB458" s="15" t="str">
        <f>IFERROR(__xludf.DUMMYFUNCTION("ARRAYFORMULA(VLOOKUP(A458,IMPORTRANGE(""https://docs.google.com/spreadsheets/d/1BuTWp7qHGjWhqrnf-OmePP568O4A5Am9ttzvVdP67zw/edit#gid=1931367683"" ,""ENERGY!$A$2:$F$2692""), {2,3,4,5,6},0))"),"Africa")</f>
        <v>Africa</v>
      </c>
      <c r="AC458" s="14" t="str">
        <f>IFERROR(__xludf.DUMMYFUNCTION("""COMPUTED_VALUE"""),"Central African Republic-Africa")</f>
        <v>Central African Republic-Africa</v>
      </c>
      <c r="AD458" s="14" t="str">
        <f>IFERROR(__xludf.DUMMYFUNCTION("""COMPUTED_VALUE"""),"2001")</f>
        <v>2001</v>
      </c>
      <c r="AE458" s="14"/>
      <c r="AF458" s="14"/>
    </row>
    <row r="459">
      <c r="A459" s="12">
        <v>458.0</v>
      </c>
      <c r="B459" s="12" t="s">
        <v>114</v>
      </c>
      <c r="C459" s="5" t="s">
        <v>77</v>
      </c>
      <c r="D459" s="8"/>
      <c r="E459" s="8"/>
      <c r="F459" s="8"/>
      <c r="G459" s="8"/>
      <c r="H459" s="11">
        <v>0.001</v>
      </c>
      <c r="I459" s="11">
        <v>0.003</v>
      </c>
      <c r="J459" s="9" t="s">
        <v>63</v>
      </c>
      <c r="K459" s="14" t="str">
        <f>IFERROR(__xludf.DUMMYFUNCTION("ARRAYFORMULA(VLOOKUP(A459,IMPORTRANGE(""https://docs.google.com/spreadsheets/d/1BuTWp7qHGjWhqrnf-OmePP568O4A5Am9ttzvVdP67zw/edit#gid=1603210130"", ""TOURISM!$A$2:$F$2692""), {2,3,4,5,6},0))"),"Africa")</f>
        <v>Africa</v>
      </c>
      <c r="L459" s="14">
        <f>IFERROR(__xludf.DUMMYFUNCTION("""COMPUTED_VALUE"""),3000000.0)</f>
        <v>3000000</v>
      </c>
      <c r="M459" s="14" t="str">
        <f>IFERROR(__xludf.DUMMYFUNCTION("""COMPUTED_VALUE"""),"Central African Republic-Africa")</f>
        <v>Central African Republic-Africa</v>
      </c>
      <c r="N459" s="14" t="str">
        <f>IFERROR(__xludf.DUMMYFUNCTION("""COMPUTED_VALUE"""),"2002")</f>
        <v>2002</v>
      </c>
      <c r="O459" s="14">
        <f>IFERROR(__xludf.DUMMYFUNCTION("""COMPUTED_VALUE"""),2.9E7)</f>
        <v>29000000</v>
      </c>
      <c r="P459" s="15">
        <f>IFERROR(__xludf.DUMMYFUNCTION("ARRAYFORMULA(VLOOKUP(A459,IMPORTRANGE(""https://docs.google.com/spreadsheets/d/1BuTWp7qHGjWhqrnf-OmePP568O4A5Am9ttzvVdP67zw/edit#gid=771602874"" ,""HUMAN RESOURCES!$A$2:$M$2692""), {2,3,4,5,6,7,8,9,10,11,12,13},0))"),0.039)</f>
        <v>0.039</v>
      </c>
      <c r="Q459" s="14">
        <f>IFERROR(__xludf.DUMMYFUNCTION("""COMPUTED_VALUE"""),0.113)</f>
        <v>0.113</v>
      </c>
      <c r="R459" s="14">
        <f>IFERROR(__xludf.DUMMYFUNCTION("""COMPUTED_VALUE"""),46.0)</f>
        <v>46</v>
      </c>
      <c r="S459" s="14">
        <f>IFERROR(__xludf.DUMMYFUNCTION("""COMPUTED_VALUE"""),42.0)</f>
        <v>42</v>
      </c>
      <c r="T459" s="14">
        <f>IFERROR(__xludf.DUMMYFUNCTION("""COMPUTED_VALUE"""),0.422)</f>
        <v>0.422</v>
      </c>
      <c r="U459" s="14">
        <f>IFERROR(__xludf.DUMMYFUNCTION("""COMPUTED_VALUE"""),0.539)</f>
        <v>0.539</v>
      </c>
      <c r="V459" s="14">
        <f>IFERROR(__xludf.DUMMYFUNCTION("""COMPUTED_VALUE"""),0.04)</f>
        <v>0.04</v>
      </c>
      <c r="W459" s="14">
        <f>IFERROR(__xludf.DUMMYFUNCTION("""COMPUTED_VALUE"""),3767248.0)</f>
        <v>3767248</v>
      </c>
      <c r="X459" s="14">
        <f>IFERROR(__xludf.DUMMYFUNCTION("""COMPUTED_VALUE"""),0.378)</f>
        <v>0.378</v>
      </c>
      <c r="Y459" s="14" t="str">
        <f>IFERROR(__xludf.DUMMYFUNCTION("""COMPUTED_VALUE"""),"Central African Republic-Africa")</f>
        <v>Central African Republic-Africa</v>
      </c>
      <c r="Z459" s="14" t="str">
        <f>IFERROR(__xludf.DUMMYFUNCTION("""COMPUTED_VALUE"""),"Africa")</f>
        <v>Africa</v>
      </c>
      <c r="AA459" s="14" t="str">
        <f>IFERROR(__xludf.DUMMYFUNCTION("""COMPUTED_VALUE"""),"2002")</f>
        <v>2002</v>
      </c>
      <c r="AB459" s="15" t="str">
        <f>IFERROR(__xludf.DUMMYFUNCTION("ARRAYFORMULA(VLOOKUP(A459,IMPORTRANGE(""https://docs.google.com/spreadsheets/d/1BuTWp7qHGjWhqrnf-OmePP568O4A5Am9ttzvVdP67zw/edit#gid=1931367683"" ,""ENERGY!$A$2:$F$2692""), {2,3,4,5,6},0))"),"Africa")</f>
        <v>Africa</v>
      </c>
      <c r="AC459" s="14" t="str">
        <f>IFERROR(__xludf.DUMMYFUNCTION("""COMPUTED_VALUE"""),"Central African Republic-Africa")</f>
        <v>Central African Republic-Africa</v>
      </c>
      <c r="AD459" s="14" t="str">
        <f>IFERROR(__xludf.DUMMYFUNCTION("""COMPUTED_VALUE"""),"2002")</f>
        <v>2002</v>
      </c>
      <c r="AE459" s="14"/>
      <c r="AF459" s="14">
        <f>IFERROR(__xludf.DUMMYFUNCTION("""COMPUTED_VALUE"""),264.0)</f>
        <v>264</v>
      </c>
    </row>
    <row r="460">
      <c r="A460" s="12">
        <v>459.0</v>
      </c>
      <c r="B460" s="12" t="s">
        <v>114</v>
      </c>
      <c r="C460" s="5" t="s">
        <v>77</v>
      </c>
      <c r="D460" s="8"/>
      <c r="E460" s="11">
        <v>22.0</v>
      </c>
      <c r="F460" s="8"/>
      <c r="G460" s="8"/>
      <c r="H460" s="11">
        <v>0.002</v>
      </c>
      <c r="I460" s="11">
        <v>0.01</v>
      </c>
      <c r="J460" s="9" t="s">
        <v>64</v>
      </c>
      <c r="K460" s="14" t="str">
        <f>IFERROR(__xludf.DUMMYFUNCTION("ARRAYFORMULA(VLOOKUP(A460,IMPORTRANGE(""https://docs.google.com/spreadsheets/d/1BuTWp7qHGjWhqrnf-OmePP568O4A5Am9ttzvVdP67zw/edit#gid=1603210130"", ""TOURISM!$A$2:$F$2692""), {2,3,4,5,6},0))"),"Africa")</f>
        <v>Africa</v>
      </c>
      <c r="L460" s="14">
        <f>IFERROR(__xludf.DUMMYFUNCTION("""COMPUTED_VALUE"""),4000000.0)</f>
        <v>4000000</v>
      </c>
      <c r="M460" s="14" t="str">
        <f>IFERROR(__xludf.DUMMYFUNCTION("""COMPUTED_VALUE"""),"Central African Republic-Africa")</f>
        <v>Central African Republic-Africa</v>
      </c>
      <c r="N460" s="14" t="str">
        <f>IFERROR(__xludf.DUMMYFUNCTION("""COMPUTED_VALUE"""),"2003")</f>
        <v>2003</v>
      </c>
      <c r="O460" s="14">
        <f>IFERROR(__xludf.DUMMYFUNCTION("""COMPUTED_VALUE"""),3.1E7)</f>
        <v>31000000</v>
      </c>
      <c r="P460" s="15">
        <f>IFERROR(__xludf.DUMMYFUNCTION("ARRAYFORMULA(VLOOKUP(A460,IMPORTRANGE(""https://docs.google.com/spreadsheets/d/1BuTWp7qHGjWhqrnf-OmePP568O4A5Am9ttzvVdP67zw/edit#gid=771602874"" ,""HUMAN RESOURCES!$A$2:$M$2692""), {2,3,4,5,6,7,8,9,10,11,12,13},0))"),0.038)</f>
        <v>0.038</v>
      </c>
      <c r="Q460" s="14">
        <f>IFERROR(__xludf.DUMMYFUNCTION("""COMPUTED_VALUE"""),0.112)</f>
        <v>0.112</v>
      </c>
      <c r="R460" s="14">
        <f>IFERROR(__xludf.DUMMYFUNCTION("""COMPUTED_VALUE"""),46.0)</f>
        <v>46</v>
      </c>
      <c r="S460" s="14">
        <f>IFERROR(__xludf.DUMMYFUNCTION("""COMPUTED_VALUE"""),43.0)</f>
        <v>43</v>
      </c>
      <c r="T460" s="14">
        <f>IFERROR(__xludf.DUMMYFUNCTION("""COMPUTED_VALUE"""),0.421)</f>
        <v>0.421</v>
      </c>
      <c r="U460" s="14">
        <f>IFERROR(__xludf.DUMMYFUNCTION("""COMPUTED_VALUE"""),0.539)</f>
        <v>0.539</v>
      </c>
      <c r="V460" s="14">
        <f>IFERROR(__xludf.DUMMYFUNCTION("""COMPUTED_VALUE"""),0.04)</f>
        <v>0.04</v>
      </c>
      <c r="W460" s="14">
        <f>IFERROR(__xludf.DUMMYFUNCTION("""COMPUTED_VALUE"""),3829636.0)</f>
        <v>3829636</v>
      </c>
      <c r="X460" s="14">
        <f>IFERROR(__xludf.DUMMYFUNCTION("""COMPUTED_VALUE"""),0.379)</f>
        <v>0.379</v>
      </c>
      <c r="Y460" s="14" t="str">
        <f>IFERROR(__xludf.DUMMYFUNCTION("""COMPUTED_VALUE"""),"Central African Republic-Africa")</f>
        <v>Central African Republic-Africa</v>
      </c>
      <c r="Z460" s="14" t="str">
        <f>IFERROR(__xludf.DUMMYFUNCTION("""COMPUTED_VALUE"""),"Africa")</f>
        <v>Africa</v>
      </c>
      <c r="AA460" s="14" t="str">
        <f>IFERROR(__xludf.DUMMYFUNCTION("""COMPUTED_VALUE"""),"2003")</f>
        <v>2003</v>
      </c>
      <c r="AB460" s="15" t="str">
        <f>IFERROR(__xludf.DUMMYFUNCTION("ARRAYFORMULA(VLOOKUP(A460,IMPORTRANGE(""https://docs.google.com/spreadsheets/d/1BuTWp7qHGjWhqrnf-OmePP568O4A5Am9ttzvVdP67zw/edit#gid=1931367683"" ,""ENERGY!$A$2:$F$2692""), {2,3,4,5,6},0))"),"Africa")</f>
        <v>Africa</v>
      </c>
      <c r="AC460" s="14" t="str">
        <f>IFERROR(__xludf.DUMMYFUNCTION("""COMPUTED_VALUE"""),"Central African Republic-Africa")</f>
        <v>Central African Republic-Africa</v>
      </c>
      <c r="AD460" s="14" t="str">
        <f>IFERROR(__xludf.DUMMYFUNCTION("""COMPUTED_VALUE"""),"2003")</f>
        <v>2003</v>
      </c>
      <c r="AE460" s="14"/>
      <c r="AF460" s="14">
        <f>IFERROR(__xludf.DUMMYFUNCTION("""COMPUTED_VALUE"""),235.0)</f>
        <v>235</v>
      </c>
    </row>
    <row r="461">
      <c r="A461" s="12">
        <v>460.0</v>
      </c>
      <c r="B461" s="12" t="s">
        <v>114</v>
      </c>
      <c r="C461" s="5" t="s">
        <v>77</v>
      </c>
      <c r="D461" s="8"/>
      <c r="E461" s="11">
        <v>22.0</v>
      </c>
      <c r="F461" s="8"/>
      <c r="G461" s="8"/>
      <c r="H461" s="11">
        <v>0.002</v>
      </c>
      <c r="I461" s="11">
        <v>0.015</v>
      </c>
      <c r="J461" s="9" t="s">
        <v>65</v>
      </c>
      <c r="K461" s="14" t="str">
        <f>IFERROR(__xludf.DUMMYFUNCTION("ARRAYFORMULA(VLOOKUP(A461,IMPORTRANGE(""https://docs.google.com/spreadsheets/d/1BuTWp7qHGjWhqrnf-OmePP568O4A5Am9ttzvVdP67zw/edit#gid=1603210130"", ""TOURISM!$A$2:$F$2692""), {2,3,4,5,6},0))"),"Africa")</f>
        <v>Africa</v>
      </c>
      <c r="L461" s="14">
        <f>IFERROR(__xludf.DUMMYFUNCTION("""COMPUTED_VALUE"""),7800000.0)</f>
        <v>7800000</v>
      </c>
      <c r="M461" s="14" t="str">
        <f>IFERROR(__xludf.DUMMYFUNCTION("""COMPUTED_VALUE"""),"Central African Republic-Africa")</f>
        <v>Central African Republic-Africa</v>
      </c>
      <c r="N461" s="14" t="str">
        <f>IFERROR(__xludf.DUMMYFUNCTION("""COMPUTED_VALUE"""),"2004")</f>
        <v>2004</v>
      </c>
      <c r="O461" s="14">
        <f>IFERROR(__xludf.DUMMYFUNCTION("""COMPUTED_VALUE"""),3.2E7)</f>
        <v>32000000</v>
      </c>
      <c r="P461" s="15">
        <f>IFERROR(__xludf.DUMMYFUNCTION("ARRAYFORMULA(VLOOKUP(A461,IMPORTRANGE(""https://docs.google.com/spreadsheets/d/1BuTWp7qHGjWhqrnf-OmePP568O4A5Am9ttzvVdP67zw/edit#gid=771602874"" ,""HUMAN RESOURCES!$A$2:$M$2692""), {2,3,4,5,6,7,8,9,10,11,12,13},0))"),0.038)</f>
        <v>0.038</v>
      </c>
      <c r="Q461" s="14">
        <f>IFERROR(__xludf.DUMMYFUNCTION("""COMPUTED_VALUE"""),0.111)</f>
        <v>0.111</v>
      </c>
      <c r="R461" s="14">
        <f>IFERROR(__xludf.DUMMYFUNCTION("""COMPUTED_VALUE"""),46.0)</f>
        <v>46</v>
      </c>
      <c r="S461" s="14">
        <f>IFERROR(__xludf.DUMMYFUNCTION("""COMPUTED_VALUE"""),43.0)</f>
        <v>43</v>
      </c>
      <c r="T461" s="14">
        <f>IFERROR(__xludf.DUMMYFUNCTION("""COMPUTED_VALUE"""),0.42)</f>
        <v>0.42</v>
      </c>
      <c r="U461" s="14">
        <f>IFERROR(__xludf.DUMMYFUNCTION("""COMPUTED_VALUE"""),0.54)</f>
        <v>0.54</v>
      </c>
      <c r="V461" s="14">
        <f>IFERROR(__xludf.DUMMYFUNCTION("""COMPUTED_VALUE"""),0.04)</f>
        <v>0.04</v>
      </c>
      <c r="W461" s="14">
        <f>IFERROR(__xludf.DUMMYFUNCTION("""COMPUTED_VALUE"""),3893595.0)</f>
        <v>3893595</v>
      </c>
      <c r="X461" s="14">
        <f>IFERROR(__xludf.DUMMYFUNCTION("""COMPUTED_VALUE"""),0.38)</f>
        <v>0.38</v>
      </c>
      <c r="Y461" s="14" t="str">
        <f>IFERROR(__xludf.DUMMYFUNCTION("""COMPUTED_VALUE"""),"Central African Republic-Africa")</f>
        <v>Central African Republic-Africa</v>
      </c>
      <c r="Z461" s="14" t="str">
        <f>IFERROR(__xludf.DUMMYFUNCTION("""COMPUTED_VALUE"""),"Africa")</f>
        <v>Africa</v>
      </c>
      <c r="AA461" s="14" t="str">
        <f>IFERROR(__xludf.DUMMYFUNCTION("""COMPUTED_VALUE"""),"2004")</f>
        <v>2004</v>
      </c>
      <c r="AB461" s="15" t="str">
        <f>IFERROR(__xludf.DUMMYFUNCTION("ARRAYFORMULA(VLOOKUP(A461,IMPORTRANGE(""https://docs.google.com/spreadsheets/d/1BuTWp7qHGjWhqrnf-OmePP568O4A5Am9ttzvVdP67zw/edit#gid=1931367683"" ,""ENERGY!$A$2:$F$2692""), {2,3,4,5,6},0))"),"Africa")</f>
        <v>Africa</v>
      </c>
      <c r="AC461" s="14" t="str">
        <f>IFERROR(__xludf.DUMMYFUNCTION("""COMPUTED_VALUE"""),"Central African Republic-Africa")</f>
        <v>Central African Republic-Africa</v>
      </c>
      <c r="AD461" s="14" t="str">
        <f>IFERROR(__xludf.DUMMYFUNCTION("""COMPUTED_VALUE"""),"2004")</f>
        <v>2004</v>
      </c>
      <c r="AE461" s="14"/>
      <c r="AF461" s="14">
        <f>IFERROR(__xludf.DUMMYFUNCTION("""COMPUTED_VALUE"""),235.0)</f>
        <v>235</v>
      </c>
    </row>
    <row r="462">
      <c r="A462" s="12">
        <v>461.0</v>
      </c>
      <c r="B462" s="12" t="s">
        <v>114</v>
      </c>
      <c r="C462" s="5" t="s">
        <v>77</v>
      </c>
      <c r="D462" s="11">
        <v>0.657</v>
      </c>
      <c r="E462" s="11">
        <v>22.0</v>
      </c>
      <c r="F462" s="8"/>
      <c r="G462" s="11">
        <v>504.0</v>
      </c>
      <c r="H462" s="11">
        <v>0.003</v>
      </c>
      <c r="I462" s="11">
        <v>0.025</v>
      </c>
      <c r="J462" s="9" t="s">
        <v>66</v>
      </c>
      <c r="K462" s="14" t="str">
        <f>IFERROR(__xludf.DUMMYFUNCTION("ARRAYFORMULA(VLOOKUP(A462,IMPORTRANGE(""https://docs.google.com/spreadsheets/d/1BuTWp7qHGjWhqrnf-OmePP568O4A5Am9ttzvVdP67zw/edit#gid=1603210130"", ""TOURISM!$A$2:$F$2692""), {2,3,4,5,6},0))"),"Africa")</f>
        <v>Africa</v>
      </c>
      <c r="L462" s="14">
        <f>IFERROR(__xludf.DUMMYFUNCTION("""COMPUTED_VALUE"""),7200000.0)</f>
        <v>7200000</v>
      </c>
      <c r="M462" s="14" t="str">
        <f>IFERROR(__xludf.DUMMYFUNCTION("""COMPUTED_VALUE"""),"Central African Republic-Africa")</f>
        <v>Central African Republic-Africa</v>
      </c>
      <c r="N462" s="14" t="str">
        <f>IFERROR(__xludf.DUMMYFUNCTION("""COMPUTED_VALUE"""),"2005")</f>
        <v>2005</v>
      </c>
      <c r="O462" s="14">
        <f>IFERROR(__xludf.DUMMYFUNCTION("""COMPUTED_VALUE"""),4.6E7)</f>
        <v>46000000</v>
      </c>
      <c r="P462" s="15">
        <f>IFERROR(__xludf.DUMMYFUNCTION("ARRAYFORMULA(VLOOKUP(A462,IMPORTRANGE(""https://docs.google.com/spreadsheets/d/1BuTWp7qHGjWhqrnf-OmePP568O4A5Am9ttzvVdP67zw/edit#gid=771602874"" ,""HUMAN RESOURCES!$A$2:$M$2692""), {2,3,4,5,6,7,8,9,10,11,12,13},0))"),0.037)</f>
        <v>0.037</v>
      </c>
      <c r="Q462" s="14">
        <f>IFERROR(__xludf.DUMMYFUNCTION("""COMPUTED_VALUE"""),0.111)</f>
        <v>0.111</v>
      </c>
      <c r="R462" s="14">
        <f>IFERROR(__xludf.DUMMYFUNCTION("""COMPUTED_VALUE"""),47.0)</f>
        <v>47</v>
      </c>
      <c r="S462" s="14">
        <f>IFERROR(__xludf.DUMMYFUNCTION("""COMPUTED_VALUE"""),43.0)</f>
        <v>43</v>
      </c>
      <c r="T462" s="14">
        <f>IFERROR(__xludf.DUMMYFUNCTION("""COMPUTED_VALUE"""),0.419)</f>
        <v>0.419</v>
      </c>
      <c r="U462" s="14">
        <f>IFERROR(__xludf.DUMMYFUNCTION("""COMPUTED_VALUE"""),0.542)</f>
        <v>0.542</v>
      </c>
      <c r="V462" s="14">
        <f>IFERROR(__xludf.DUMMYFUNCTION("""COMPUTED_VALUE"""),0.04)</f>
        <v>0.04</v>
      </c>
      <c r="W462" s="14">
        <f>IFERROR(__xludf.DUMMYFUNCTION("""COMPUTED_VALUE"""),3960897.0)</f>
        <v>3960897</v>
      </c>
      <c r="X462" s="14">
        <f>IFERROR(__xludf.DUMMYFUNCTION("""COMPUTED_VALUE"""),0.381)</f>
        <v>0.381</v>
      </c>
      <c r="Y462" s="14" t="str">
        <f>IFERROR(__xludf.DUMMYFUNCTION("""COMPUTED_VALUE"""),"Central African Republic-Africa")</f>
        <v>Central African Republic-Africa</v>
      </c>
      <c r="Z462" s="14" t="str">
        <f>IFERROR(__xludf.DUMMYFUNCTION("""COMPUTED_VALUE"""),"Africa")</f>
        <v>Africa</v>
      </c>
      <c r="AA462" s="14" t="str">
        <f>IFERROR(__xludf.DUMMYFUNCTION("""COMPUTED_VALUE"""),"2005")</f>
        <v>2005</v>
      </c>
      <c r="AB462" s="15" t="str">
        <f>IFERROR(__xludf.DUMMYFUNCTION("ARRAYFORMULA(VLOOKUP(A462,IMPORTRANGE(""https://docs.google.com/spreadsheets/d/1BuTWp7qHGjWhqrnf-OmePP568O4A5Am9ttzvVdP67zw/edit#gid=1931367683"" ,""ENERGY!$A$2:$F$2692""), {2,3,4,5,6},0))"),"Africa")</f>
        <v>Africa</v>
      </c>
      <c r="AC462" s="14" t="str">
        <f>IFERROR(__xludf.DUMMYFUNCTION("""COMPUTED_VALUE"""),"Central African Republic-Africa")</f>
        <v>Central African Republic-Africa</v>
      </c>
      <c r="AD462" s="14" t="str">
        <f>IFERROR(__xludf.DUMMYFUNCTION("""COMPUTED_VALUE"""),"2006")</f>
        <v>2006</v>
      </c>
      <c r="AE462" s="14"/>
      <c r="AF462" s="14">
        <f>IFERROR(__xludf.DUMMYFUNCTION("""COMPUTED_VALUE"""),235.0)</f>
        <v>235</v>
      </c>
    </row>
    <row r="463">
      <c r="A463" s="12">
        <v>462.0</v>
      </c>
      <c r="B463" s="12" t="s">
        <v>114</v>
      </c>
      <c r="C463" s="5" t="s">
        <v>77</v>
      </c>
      <c r="D463" s="11">
        <v>2.038</v>
      </c>
      <c r="E463" s="11">
        <v>22.0</v>
      </c>
      <c r="F463" s="8"/>
      <c r="G463" s="11">
        <v>504.0</v>
      </c>
      <c r="H463" s="11">
        <v>0.003</v>
      </c>
      <c r="I463" s="11">
        <v>0.027</v>
      </c>
      <c r="J463" s="9" t="s">
        <v>67</v>
      </c>
      <c r="K463" s="14" t="str">
        <f>IFERROR(__xludf.DUMMYFUNCTION("ARRAYFORMULA(VLOOKUP(A463,IMPORTRANGE(""https://docs.google.com/spreadsheets/d/1BuTWp7qHGjWhqrnf-OmePP568O4A5Am9ttzvVdP67zw/edit#gid=1603210130"", ""TOURISM!$A$2:$F$2692""), {2,3,4,5,6},0))"),"Africa")</f>
        <v>Africa</v>
      </c>
      <c r="L463" s="14">
        <f>IFERROR(__xludf.DUMMYFUNCTION("""COMPUTED_VALUE"""),1.02E7)</f>
        <v>10200000</v>
      </c>
      <c r="M463" s="14" t="str">
        <f>IFERROR(__xludf.DUMMYFUNCTION("""COMPUTED_VALUE"""),"Central African Republic-Africa")</f>
        <v>Central African Republic-Africa</v>
      </c>
      <c r="N463" s="14" t="str">
        <f>IFERROR(__xludf.DUMMYFUNCTION("""COMPUTED_VALUE"""),"2006")</f>
        <v>2006</v>
      </c>
      <c r="O463" s="14">
        <f>IFERROR(__xludf.DUMMYFUNCTION("""COMPUTED_VALUE"""),4.7E7)</f>
        <v>47000000</v>
      </c>
      <c r="P463" s="15">
        <f>IFERROR(__xludf.DUMMYFUNCTION("ARRAYFORMULA(VLOOKUP(A463,IMPORTRANGE(""https://docs.google.com/spreadsheets/d/1BuTWp7qHGjWhqrnf-OmePP568O4A5Am9ttzvVdP67zw/edit#gid=771602874"" ,""HUMAN RESOURCES!$A$2:$M$2692""), {2,3,4,5,6,7,8,9,10,11,12,13},0))"),0.037)</f>
        <v>0.037</v>
      </c>
      <c r="Q463" s="14">
        <f>IFERROR(__xludf.DUMMYFUNCTION("""COMPUTED_VALUE"""),0.109)</f>
        <v>0.109</v>
      </c>
      <c r="R463" s="14">
        <f>IFERROR(__xludf.DUMMYFUNCTION("""COMPUTED_VALUE"""),47.0)</f>
        <v>47</v>
      </c>
      <c r="S463" s="14">
        <f>IFERROR(__xludf.DUMMYFUNCTION("""COMPUTED_VALUE"""),44.0)</f>
        <v>44</v>
      </c>
      <c r="T463" s="14">
        <f>IFERROR(__xludf.DUMMYFUNCTION("""COMPUTED_VALUE"""),0.417)</f>
        <v>0.417</v>
      </c>
      <c r="U463" s="14">
        <f>IFERROR(__xludf.DUMMYFUNCTION("""COMPUTED_VALUE"""),0.544)</f>
        <v>0.544</v>
      </c>
      <c r="V463" s="14">
        <f>IFERROR(__xludf.DUMMYFUNCTION("""COMPUTED_VALUE"""),0.04)</f>
        <v>0.04</v>
      </c>
      <c r="W463" s="14">
        <f>IFERROR(__xludf.DUMMYFUNCTION("""COMPUTED_VALUE"""),4032102.0)</f>
        <v>4032102</v>
      </c>
      <c r="X463" s="14">
        <f>IFERROR(__xludf.DUMMYFUNCTION("""COMPUTED_VALUE"""),0.382)</f>
        <v>0.382</v>
      </c>
      <c r="Y463" s="14" t="str">
        <f>IFERROR(__xludf.DUMMYFUNCTION("""COMPUTED_VALUE"""),"Central African Republic-Africa")</f>
        <v>Central African Republic-Africa</v>
      </c>
      <c r="Z463" s="14" t="str">
        <f>IFERROR(__xludf.DUMMYFUNCTION("""COMPUTED_VALUE"""),"Africa")</f>
        <v>Africa</v>
      </c>
      <c r="AA463" s="14" t="str">
        <f>IFERROR(__xludf.DUMMYFUNCTION("""COMPUTED_VALUE"""),"2006")</f>
        <v>2006</v>
      </c>
      <c r="AB463" s="15" t="str">
        <f>IFERROR(__xludf.DUMMYFUNCTION("ARRAYFORMULA(VLOOKUP(A463,IMPORTRANGE(""https://docs.google.com/spreadsheets/d/1BuTWp7qHGjWhqrnf-OmePP568O4A5Am9ttzvVdP67zw/edit#gid=1931367683"" ,""ENERGY!$A$2:$F$2692""), {2,3,4,5,6},0))"),"Africa")</f>
        <v>Africa</v>
      </c>
      <c r="AC463" s="14" t="str">
        <f>IFERROR(__xludf.DUMMYFUNCTION("""COMPUTED_VALUE"""),"Central African Republic-Africa")</f>
        <v>Central African Republic-Africa</v>
      </c>
      <c r="AD463" s="14" t="str">
        <f>IFERROR(__xludf.DUMMYFUNCTION("""COMPUTED_VALUE"""),"2010")</f>
        <v>2010</v>
      </c>
      <c r="AE463" s="14"/>
      <c r="AF463" s="14">
        <f>IFERROR(__xludf.DUMMYFUNCTION("""COMPUTED_VALUE"""),227.0)</f>
        <v>227</v>
      </c>
    </row>
    <row r="464">
      <c r="A464" s="12">
        <v>463.0</v>
      </c>
      <c r="B464" s="12" t="s">
        <v>114</v>
      </c>
      <c r="C464" s="5" t="s">
        <v>77</v>
      </c>
      <c r="D464" s="11">
        <v>2.038</v>
      </c>
      <c r="E464" s="11">
        <v>22.0</v>
      </c>
      <c r="F464" s="8"/>
      <c r="G464" s="11">
        <v>504.0</v>
      </c>
      <c r="H464" s="11">
        <v>0.004</v>
      </c>
      <c r="I464" s="11">
        <v>0.083</v>
      </c>
      <c r="J464" s="9" t="s">
        <v>68</v>
      </c>
      <c r="K464" s="14" t="str">
        <f>IFERROR(__xludf.DUMMYFUNCTION("ARRAYFORMULA(VLOOKUP(A464,IMPORTRANGE(""https://docs.google.com/spreadsheets/d/1BuTWp7qHGjWhqrnf-OmePP568O4A5Am9ttzvVdP67zw/edit#gid=1603210130"", ""TOURISM!$A$2:$F$2692""), {2,3,4,5,6},0))"),"Africa")</f>
        <v>Africa</v>
      </c>
      <c r="L464" s="14">
        <f>IFERROR(__xludf.DUMMYFUNCTION("""COMPUTED_VALUE"""),1.08E7)</f>
        <v>10800000</v>
      </c>
      <c r="M464" s="14" t="str">
        <f>IFERROR(__xludf.DUMMYFUNCTION("""COMPUTED_VALUE"""),"Central African Republic-Africa")</f>
        <v>Central African Republic-Africa</v>
      </c>
      <c r="N464" s="14" t="str">
        <f>IFERROR(__xludf.DUMMYFUNCTION("""COMPUTED_VALUE"""),"2007")</f>
        <v>2007</v>
      </c>
      <c r="O464" s="14">
        <f>IFERROR(__xludf.DUMMYFUNCTION("""COMPUTED_VALUE"""),5.4E7)</f>
        <v>54000000</v>
      </c>
      <c r="P464" s="15">
        <f>IFERROR(__xludf.DUMMYFUNCTION("ARRAYFORMULA(VLOOKUP(A464,IMPORTRANGE(""https://docs.google.com/spreadsheets/d/1BuTWp7qHGjWhqrnf-OmePP568O4A5Am9ttzvVdP67zw/edit#gid=771602874"" ,""HUMAN RESOURCES!$A$2:$M$2692""), {2,3,4,5,6,7,8,9,10,11,12,13},0))"),0.036)</f>
        <v>0.036</v>
      </c>
      <c r="Q464" s="14">
        <f>IFERROR(__xludf.DUMMYFUNCTION("""COMPUTED_VALUE"""),0.108)</f>
        <v>0.108</v>
      </c>
      <c r="R464" s="14">
        <f>IFERROR(__xludf.DUMMYFUNCTION("""COMPUTED_VALUE"""),48.0)</f>
        <v>48</v>
      </c>
      <c r="S464" s="14">
        <f>IFERROR(__xludf.DUMMYFUNCTION("""COMPUTED_VALUE"""),45.0)</f>
        <v>45</v>
      </c>
      <c r="T464" s="14">
        <f>IFERROR(__xludf.DUMMYFUNCTION("""COMPUTED_VALUE"""),0.415)</f>
        <v>0.415</v>
      </c>
      <c r="U464" s="14">
        <f>IFERROR(__xludf.DUMMYFUNCTION("""COMPUTED_VALUE"""),0.546)</f>
        <v>0.546</v>
      </c>
      <c r="V464" s="14">
        <f>IFERROR(__xludf.DUMMYFUNCTION("""COMPUTED_VALUE"""),0.039)</f>
        <v>0.039</v>
      </c>
      <c r="W464" s="14">
        <f>IFERROR(__xludf.DUMMYFUNCTION("""COMPUTED_VALUE"""),4106897.0)</f>
        <v>4106897</v>
      </c>
      <c r="X464" s="14">
        <f>IFERROR(__xludf.DUMMYFUNCTION("""COMPUTED_VALUE"""),0.383)</f>
        <v>0.383</v>
      </c>
      <c r="Y464" s="14" t="str">
        <f>IFERROR(__xludf.DUMMYFUNCTION("""COMPUTED_VALUE"""),"Central African Republic-Africa")</f>
        <v>Central African Republic-Africa</v>
      </c>
      <c r="Z464" s="14" t="str">
        <f>IFERROR(__xludf.DUMMYFUNCTION("""COMPUTED_VALUE"""),"Africa")</f>
        <v>Africa</v>
      </c>
      <c r="AA464" s="14" t="str">
        <f>IFERROR(__xludf.DUMMYFUNCTION("""COMPUTED_VALUE"""),"2007")</f>
        <v>2007</v>
      </c>
      <c r="AB464" s="15" t="str">
        <f>IFERROR(__xludf.DUMMYFUNCTION("ARRAYFORMULA(VLOOKUP(A464,IMPORTRANGE(""https://docs.google.com/spreadsheets/d/1BuTWp7qHGjWhqrnf-OmePP568O4A5Am9ttzvVdP67zw/edit#gid=1931367683"" ,""ENERGY!$A$2:$F$2692""), {2,3,4,5,6},0))"),"Africa")</f>
        <v>Africa</v>
      </c>
      <c r="AC464" s="14" t="str">
        <f>IFERROR(__xludf.DUMMYFUNCTION("""COMPUTED_VALUE"""),"Central African Republic-Africa")</f>
        <v>Central African Republic-Africa</v>
      </c>
      <c r="AD464" s="14" t="str">
        <f>IFERROR(__xludf.DUMMYFUNCTION("""COMPUTED_VALUE"""),"2006")</f>
        <v>2006</v>
      </c>
      <c r="AE464" s="14"/>
      <c r="AF464" s="14">
        <f>IFERROR(__xludf.DUMMYFUNCTION("""COMPUTED_VALUE"""),213.0)</f>
        <v>213</v>
      </c>
    </row>
    <row r="465">
      <c r="A465" s="12">
        <v>464.0</v>
      </c>
      <c r="B465" s="12" t="s">
        <v>114</v>
      </c>
      <c r="C465" s="5" t="s">
        <v>77</v>
      </c>
      <c r="D465" s="11">
        <v>2.038</v>
      </c>
      <c r="E465" s="11">
        <v>22.0</v>
      </c>
      <c r="F465" s="8"/>
      <c r="G465" s="11">
        <v>504.0</v>
      </c>
      <c r="H465" s="11">
        <v>0.01</v>
      </c>
      <c r="I465" s="11">
        <v>0.136</v>
      </c>
      <c r="J465" s="9" t="s">
        <v>69</v>
      </c>
      <c r="K465" s="14" t="str">
        <f>IFERROR(__xludf.DUMMYFUNCTION("ARRAYFORMULA(VLOOKUP(A465,IMPORTRANGE(""https://docs.google.com/spreadsheets/d/1BuTWp7qHGjWhqrnf-OmePP568O4A5Am9ttzvVdP67zw/edit#gid=1603210130"", ""TOURISM!$A$2:$F$2692""), {2,3,4,5,6},0))"),"Africa")</f>
        <v>Africa</v>
      </c>
      <c r="L465" s="14">
        <f>IFERROR(__xludf.DUMMYFUNCTION("""COMPUTED_VALUE"""),1.18E7)</f>
        <v>11800000</v>
      </c>
      <c r="M465" s="14" t="str">
        <f>IFERROR(__xludf.DUMMYFUNCTION("""COMPUTED_VALUE"""),"Central African Republic-Africa")</f>
        <v>Central African Republic-Africa</v>
      </c>
      <c r="N465" s="14" t="str">
        <f>IFERROR(__xludf.DUMMYFUNCTION("""COMPUTED_VALUE"""),"2008")</f>
        <v>2008</v>
      </c>
      <c r="O465" s="14">
        <f>IFERROR(__xludf.DUMMYFUNCTION("""COMPUTED_VALUE"""),5.6E7)</f>
        <v>56000000</v>
      </c>
      <c r="P465" s="15">
        <f>IFERROR(__xludf.DUMMYFUNCTION("ARRAYFORMULA(VLOOKUP(A465,IMPORTRANGE(""https://docs.google.com/spreadsheets/d/1BuTWp7qHGjWhqrnf-OmePP568O4A5Am9ttzvVdP67zw/edit#gid=771602874"" ,""HUMAN RESOURCES!$A$2:$M$2692""), {2,3,4,5,6,7,8,9,10,11,12,13},0))"),0.036)</f>
        <v>0.036</v>
      </c>
      <c r="Q465" s="14">
        <f>IFERROR(__xludf.DUMMYFUNCTION("""COMPUTED_VALUE"""),0.107)</f>
        <v>0.107</v>
      </c>
      <c r="R465" s="14">
        <f>IFERROR(__xludf.DUMMYFUNCTION("""COMPUTED_VALUE"""),48.0)</f>
        <v>48</v>
      </c>
      <c r="S465" s="14">
        <f>IFERROR(__xludf.DUMMYFUNCTION("""COMPUTED_VALUE"""),45.0)</f>
        <v>45</v>
      </c>
      <c r="T465" s="14">
        <f>IFERROR(__xludf.DUMMYFUNCTION("""COMPUTED_VALUE"""),0.412)</f>
        <v>0.412</v>
      </c>
      <c r="U465" s="14">
        <f>IFERROR(__xludf.DUMMYFUNCTION("""COMPUTED_VALUE"""),0.549)</f>
        <v>0.549</v>
      </c>
      <c r="V465" s="14">
        <f>IFERROR(__xludf.DUMMYFUNCTION("""COMPUTED_VALUE"""),0.039)</f>
        <v>0.039</v>
      </c>
      <c r="W465" s="14">
        <f>IFERROR(__xludf.DUMMYFUNCTION("""COMPUTED_VALUE"""),4185106.0)</f>
        <v>4185106</v>
      </c>
      <c r="X465" s="14">
        <f>IFERROR(__xludf.DUMMYFUNCTION("""COMPUTED_VALUE"""),0.385)</f>
        <v>0.385</v>
      </c>
      <c r="Y465" s="14" t="str">
        <f>IFERROR(__xludf.DUMMYFUNCTION("""COMPUTED_VALUE"""),"Central African Republic-Africa")</f>
        <v>Central African Republic-Africa</v>
      </c>
      <c r="Z465" s="14" t="str">
        <f>IFERROR(__xludf.DUMMYFUNCTION("""COMPUTED_VALUE"""),"Africa")</f>
        <v>Africa</v>
      </c>
      <c r="AA465" s="14" t="str">
        <f>IFERROR(__xludf.DUMMYFUNCTION("""COMPUTED_VALUE"""),"2008")</f>
        <v>2008</v>
      </c>
      <c r="AB465" s="15" t="str">
        <f>IFERROR(__xludf.DUMMYFUNCTION("ARRAYFORMULA(VLOOKUP(A465,IMPORTRANGE(""https://docs.google.com/spreadsheets/d/1BuTWp7qHGjWhqrnf-OmePP568O4A5Am9ttzvVdP67zw/edit#gid=1931367683"" ,""ENERGY!$A$2:$F$2692""), {2,3,4,5,6},0))"),"Africa")</f>
        <v>Africa</v>
      </c>
      <c r="AC465" s="14" t="str">
        <f>IFERROR(__xludf.DUMMYFUNCTION("""COMPUTED_VALUE"""),"Central African Republic-Africa")</f>
        <v>Central African Republic-Africa</v>
      </c>
      <c r="AD465" s="14" t="str">
        <f>IFERROR(__xludf.DUMMYFUNCTION("""COMPUTED_VALUE"""),"2012")</f>
        <v>2012</v>
      </c>
      <c r="AE465" s="14"/>
      <c r="AF465" s="14">
        <f>IFERROR(__xludf.DUMMYFUNCTION("""COMPUTED_VALUE"""),213.0)</f>
        <v>213</v>
      </c>
    </row>
    <row r="466">
      <c r="A466" s="12">
        <v>465.0</v>
      </c>
      <c r="B466" s="12" t="s">
        <v>114</v>
      </c>
      <c r="C466" s="5" t="s">
        <v>77</v>
      </c>
      <c r="D466" s="11">
        <v>2.038</v>
      </c>
      <c r="E466" s="11">
        <v>23.0</v>
      </c>
      <c r="F466" s="8"/>
      <c r="G466" s="11">
        <v>504.0</v>
      </c>
      <c r="H466" s="11">
        <v>0.018</v>
      </c>
      <c r="I466" s="11">
        <v>0.202</v>
      </c>
      <c r="J466" s="9" t="s">
        <v>70</v>
      </c>
      <c r="K466" s="14" t="str">
        <f>IFERROR(__xludf.DUMMYFUNCTION("ARRAYFORMULA(VLOOKUP(A466,IMPORTRANGE(""https://docs.google.com/spreadsheets/d/1BuTWp7qHGjWhqrnf-OmePP568O4A5Am9ttzvVdP67zw/edit#gid=1603210130"", ""TOURISM!$A$2:$F$2692""), {2,3,4,5,6},0))"),"Africa")</f>
        <v>Africa</v>
      </c>
      <c r="L466" s="14">
        <f>IFERROR(__xludf.DUMMYFUNCTION("""COMPUTED_VALUE"""),6000000.0)</f>
        <v>6000000</v>
      </c>
      <c r="M466" s="14" t="str">
        <f>IFERROR(__xludf.DUMMYFUNCTION("""COMPUTED_VALUE"""),"Central African Republic-Africa")</f>
        <v>Central African Republic-Africa</v>
      </c>
      <c r="N466" s="14" t="str">
        <f>IFERROR(__xludf.DUMMYFUNCTION("""COMPUTED_VALUE"""),"2009")</f>
        <v>2009</v>
      </c>
      <c r="O466" s="14">
        <f>IFERROR(__xludf.DUMMYFUNCTION("""COMPUTED_VALUE"""),6.1E7)</f>
        <v>61000000</v>
      </c>
      <c r="P466" s="15">
        <f>IFERROR(__xludf.DUMMYFUNCTION("ARRAYFORMULA(VLOOKUP(A466,IMPORTRANGE(""https://docs.google.com/spreadsheets/d/1BuTWp7qHGjWhqrnf-OmePP568O4A5Am9ttzvVdP67zw/edit#gid=771602874"" ,""HUMAN RESOURCES!$A$2:$M$2692""), {2,3,4,5,6,7,8,9,10,11,12,13},0))"),0.035)</f>
        <v>0.035</v>
      </c>
      <c r="Q466" s="14">
        <f>IFERROR(__xludf.DUMMYFUNCTION("""COMPUTED_VALUE"""),0.105)</f>
        <v>0.105</v>
      </c>
      <c r="R466" s="14">
        <f>IFERROR(__xludf.DUMMYFUNCTION("""COMPUTED_VALUE"""),49.0)</f>
        <v>49</v>
      </c>
      <c r="S466" s="14">
        <f>IFERROR(__xludf.DUMMYFUNCTION("""COMPUTED_VALUE"""),46.0)</f>
        <v>46</v>
      </c>
      <c r="T466" s="14">
        <f>IFERROR(__xludf.DUMMYFUNCTION("""COMPUTED_VALUE"""),0.409)</f>
        <v>0.409</v>
      </c>
      <c r="U466" s="14">
        <f>IFERROR(__xludf.DUMMYFUNCTION("""COMPUTED_VALUE"""),0.552)</f>
        <v>0.552</v>
      </c>
      <c r="V466" s="14">
        <f>IFERROR(__xludf.DUMMYFUNCTION("""COMPUTED_VALUE"""),0.039)</f>
        <v>0.039</v>
      </c>
      <c r="W466" s="14">
        <f>IFERROR(__xludf.DUMMYFUNCTION("""COMPUTED_VALUE"""),4266247.0)</f>
        <v>4266247</v>
      </c>
      <c r="X466" s="14">
        <f>IFERROR(__xludf.DUMMYFUNCTION("""COMPUTED_VALUE"""),0.386)</f>
        <v>0.386</v>
      </c>
      <c r="Y466" s="14" t="str">
        <f>IFERROR(__xludf.DUMMYFUNCTION("""COMPUTED_VALUE"""),"Central African Republic-Africa")</f>
        <v>Central African Republic-Africa</v>
      </c>
      <c r="Z466" s="14" t="str">
        <f>IFERROR(__xludf.DUMMYFUNCTION("""COMPUTED_VALUE"""),"Africa")</f>
        <v>Africa</v>
      </c>
      <c r="AA466" s="14" t="str">
        <f>IFERROR(__xludf.DUMMYFUNCTION("""COMPUTED_VALUE"""),"2009")</f>
        <v>2009</v>
      </c>
      <c r="AB466" s="15" t="str">
        <f>IFERROR(__xludf.DUMMYFUNCTION("ARRAYFORMULA(VLOOKUP(A466,IMPORTRANGE(""https://docs.google.com/spreadsheets/d/1BuTWp7qHGjWhqrnf-OmePP568O4A5Am9ttzvVdP67zw/edit#gid=1931367683"" ,""ENERGY!$A$2:$F$2692""), {2,3,4,5,6},0))"),"Africa")</f>
        <v>Africa</v>
      </c>
      <c r="AC466" s="14" t="str">
        <f>IFERROR(__xludf.DUMMYFUNCTION("""COMPUTED_VALUE"""),"Central African Republic-Africa")</f>
        <v>Central African Republic-Africa</v>
      </c>
      <c r="AD466" s="14" t="str">
        <f>IFERROR(__xludf.DUMMYFUNCTION("""COMPUTED_VALUE"""),"2009")</f>
        <v>2009</v>
      </c>
      <c r="AE466" s="14"/>
      <c r="AF466" s="14">
        <f>IFERROR(__xludf.DUMMYFUNCTION("""COMPUTED_VALUE"""),235.0)</f>
        <v>235</v>
      </c>
    </row>
    <row r="467">
      <c r="A467" s="12">
        <v>466.0</v>
      </c>
      <c r="B467" s="12" t="s">
        <v>114</v>
      </c>
      <c r="C467" s="5" t="s">
        <v>77</v>
      </c>
      <c r="D467" s="11">
        <v>2.038</v>
      </c>
      <c r="E467" s="11">
        <v>23.0</v>
      </c>
      <c r="F467" s="8"/>
      <c r="G467" s="11">
        <v>504.0</v>
      </c>
      <c r="H467" s="11">
        <v>0.02</v>
      </c>
      <c r="I467" s="11">
        <v>0.225</v>
      </c>
      <c r="J467" s="9" t="s">
        <v>71</v>
      </c>
      <c r="K467" s="14" t="str">
        <f>IFERROR(__xludf.DUMMYFUNCTION("ARRAYFORMULA(VLOOKUP(A467,IMPORTRANGE(""https://docs.google.com/spreadsheets/d/1BuTWp7qHGjWhqrnf-OmePP568O4A5Am9ttzvVdP67zw/edit#gid=1603210130"", ""TOURISM!$A$2:$F$2692""), {2,3,4,5,6},0))"),"Africa")</f>
        <v>Africa</v>
      </c>
      <c r="L467" s="14">
        <f>IFERROR(__xludf.DUMMYFUNCTION("""COMPUTED_VALUE"""),7200000.0)</f>
        <v>7200000</v>
      </c>
      <c r="M467" s="14" t="str">
        <f>IFERROR(__xludf.DUMMYFUNCTION("""COMPUTED_VALUE"""),"Central African Republic-Africa")</f>
        <v>Central African Republic-Africa</v>
      </c>
      <c r="N467" s="14" t="str">
        <f>IFERROR(__xludf.DUMMYFUNCTION("""COMPUTED_VALUE"""),"2010")</f>
        <v>2010</v>
      </c>
      <c r="O467" s="14">
        <f>IFERROR(__xludf.DUMMYFUNCTION("""COMPUTED_VALUE"""),6.1E7)</f>
        <v>61000000</v>
      </c>
      <c r="P467" s="15">
        <f>IFERROR(__xludf.DUMMYFUNCTION("ARRAYFORMULA(VLOOKUP(A467,IMPORTRANGE(""https://docs.google.com/spreadsheets/d/1BuTWp7qHGjWhqrnf-OmePP568O4A5Am9ttzvVdP67zw/edit#gid=771602874"" ,""HUMAN RESOURCES!$A$2:$M$2692""), {2,3,4,5,6,7,8,9,10,11,12,13},0))"),0.035)</f>
        <v>0.035</v>
      </c>
      <c r="Q467" s="14">
        <f>IFERROR(__xludf.DUMMYFUNCTION("""COMPUTED_VALUE"""),0.103)</f>
        <v>0.103</v>
      </c>
      <c r="R467" s="14">
        <f>IFERROR(__xludf.DUMMYFUNCTION("""COMPUTED_VALUE"""),50.0)</f>
        <v>50</v>
      </c>
      <c r="S467" s="14">
        <f>IFERROR(__xludf.DUMMYFUNCTION("""COMPUTED_VALUE"""),46.0)</f>
        <v>46</v>
      </c>
      <c r="T467" s="14">
        <f>IFERROR(__xludf.DUMMYFUNCTION("""COMPUTED_VALUE"""),0.406)</f>
        <v>0.406</v>
      </c>
      <c r="U467" s="14">
        <f>IFERROR(__xludf.DUMMYFUNCTION("""COMPUTED_VALUE"""),0.555)</f>
        <v>0.555</v>
      </c>
      <c r="V467" s="14">
        <f>IFERROR(__xludf.DUMMYFUNCTION("""COMPUTED_VALUE"""),0.039)</f>
        <v>0.039</v>
      </c>
      <c r="W467" s="14">
        <f>IFERROR(__xludf.DUMMYFUNCTION("""COMPUTED_VALUE"""),4349921.0)</f>
        <v>4349921</v>
      </c>
      <c r="X467" s="14">
        <f>IFERROR(__xludf.DUMMYFUNCTION("""COMPUTED_VALUE"""),0.388)</f>
        <v>0.388</v>
      </c>
      <c r="Y467" s="14" t="str">
        <f>IFERROR(__xludf.DUMMYFUNCTION("""COMPUTED_VALUE"""),"Central African Republic-Africa")</f>
        <v>Central African Republic-Africa</v>
      </c>
      <c r="Z467" s="14" t="str">
        <f>IFERROR(__xludf.DUMMYFUNCTION("""COMPUTED_VALUE"""),"Africa")</f>
        <v>Africa</v>
      </c>
      <c r="AA467" s="14" t="str">
        <f>IFERROR(__xludf.DUMMYFUNCTION("""COMPUTED_VALUE"""),"2010")</f>
        <v>2010</v>
      </c>
      <c r="AB467" s="15" t="str">
        <f>IFERROR(__xludf.DUMMYFUNCTION("ARRAYFORMULA(VLOOKUP(A467,IMPORTRANGE(""https://docs.google.com/spreadsheets/d/1BuTWp7qHGjWhqrnf-OmePP568O4A5Am9ttzvVdP67zw/edit#gid=1931367683"" ,""ENERGY!$A$2:$F$2692""), {2,3,4,5,6},0))"),"Africa")</f>
        <v>Africa</v>
      </c>
      <c r="AC467" s="14" t="str">
        <f>IFERROR(__xludf.DUMMYFUNCTION("""COMPUTED_VALUE"""),"Central African Republic-Africa")</f>
        <v>Central African Republic-Africa</v>
      </c>
      <c r="AD467" s="14" t="str">
        <f>IFERROR(__xludf.DUMMYFUNCTION("""COMPUTED_VALUE"""),"2006")</f>
        <v>2006</v>
      </c>
      <c r="AE467" s="14"/>
      <c r="AF467" s="14">
        <f>IFERROR(__xludf.DUMMYFUNCTION("""COMPUTED_VALUE"""),246.0)</f>
        <v>246</v>
      </c>
    </row>
    <row r="468">
      <c r="A468" s="12">
        <v>467.0</v>
      </c>
      <c r="B468" s="12" t="s">
        <v>114</v>
      </c>
      <c r="C468" s="5" t="s">
        <v>77</v>
      </c>
      <c r="D468" s="11">
        <v>0.546</v>
      </c>
      <c r="E468" s="11">
        <v>22.0</v>
      </c>
      <c r="F468" s="8"/>
      <c r="G468" s="11">
        <v>504.0</v>
      </c>
      <c r="H468" s="11">
        <v>0.022</v>
      </c>
      <c r="I468" s="11">
        <v>0.224</v>
      </c>
      <c r="J468" s="9" t="s">
        <v>72</v>
      </c>
      <c r="K468" s="14" t="str">
        <f>IFERROR(__xludf.DUMMYFUNCTION("ARRAYFORMULA(VLOOKUP(A468,IMPORTRANGE(""https://docs.google.com/spreadsheets/d/1BuTWp7qHGjWhqrnf-OmePP568O4A5Am9ttzvVdP67zw/edit#gid=1603210130"", ""TOURISM!$A$2:$F$2692""), {2,3,4,5,6},0))"),"Africa")</f>
        <v>Africa</v>
      </c>
      <c r="L468" s="14"/>
      <c r="M468" s="14" t="str">
        <f>IFERROR(__xludf.DUMMYFUNCTION("""COMPUTED_VALUE"""),"Central African Republic-Africa")</f>
        <v>Central African Republic-Africa</v>
      </c>
      <c r="N468" s="14" t="str">
        <f>IFERROR(__xludf.DUMMYFUNCTION("""COMPUTED_VALUE"""),"2011")</f>
        <v>2011</v>
      </c>
      <c r="O468" s="14"/>
      <c r="P468" s="15">
        <f>IFERROR(__xludf.DUMMYFUNCTION("ARRAYFORMULA(VLOOKUP(A468,IMPORTRANGE(""https://docs.google.com/spreadsheets/d/1BuTWp7qHGjWhqrnf-OmePP568O4A5Am9ttzvVdP67zw/edit#gid=771602874"" ,""HUMAN RESOURCES!$A$2:$M$2692""), {2,3,4,5,6,7,8,9,10,11,12,13},0))"),0.035)</f>
        <v>0.035</v>
      </c>
      <c r="Q468" s="14">
        <f>IFERROR(__xludf.DUMMYFUNCTION("""COMPUTED_VALUE"""),0.1)</f>
        <v>0.1</v>
      </c>
      <c r="R468" s="14">
        <f>IFERROR(__xludf.DUMMYFUNCTION("""COMPUTED_VALUE"""),51.0)</f>
        <v>51</v>
      </c>
      <c r="S468" s="14">
        <f>IFERROR(__xludf.DUMMYFUNCTION("""COMPUTED_VALUE"""),47.0)</f>
        <v>47</v>
      </c>
      <c r="T468" s="14">
        <f>IFERROR(__xludf.DUMMYFUNCTION("""COMPUTED_VALUE"""),0.404)</f>
        <v>0.404</v>
      </c>
      <c r="U468" s="14">
        <f>IFERROR(__xludf.DUMMYFUNCTION("""COMPUTED_VALUE"""),0.558)</f>
        <v>0.558</v>
      </c>
      <c r="V468" s="14">
        <f>IFERROR(__xludf.DUMMYFUNCTION("""COMPUTED_VALUE"""),0.039)</f>
        <v>0.039</v>
      </c>
      <c r="W468" s="14">
        <f>IFERROR(__xludf.DUMMYFUNCTION("""COMPUTED_VALUE"""),4436217.0)</f>
        <v>4436217</v>
      </c>
      <c r="X468" s="14">
        <f>IFERROR(__xludf.DUMMYFUNCTION("""COMPUTED_VALUE"""),0.39)</f>
        <v>0.39</v>
      </c>
      <c r="Y468" s="14" t="str">
        <f>IFERROR(__xludf.DUMMYFUNCTION("""COMPUTED_VALUE"""),"Central African Republic-Africa")</f>
        <v>Central African Republic-Africa</v>
      </c>
      <c r="Z468" s="14" t="str">
        <f>IFERROR(__xludf.DUMMYFUNCTION("""COMPUTED_VALUE"""),"Africa")</f>
        <v>Africa</v>
      </c>
      <c r="AA468" s="14" t="str">
        <f>IFERROR(__xludf.DUMMYFUNCTION("""COMPUTED_VALUE"""),"2011")</f>
        <v>2011</v>
      </c>
      <c r="AB468" s="15" t="str">
        <f>IFERROR(__xludf.DUMMYFUNCTION("ARRAYFORMULA(VLOOKUP(A468,IMPORTRANGE(""https://docs.google.com/spreadsheets/d/1BuTWp7qHGjWhqrnf-OmePP568O4A5Am9ttzvVdP67zw/edit#gid=1931367683"" ,""ENERGY!$A$2:$F$2692""), {2,3,4,5,6},0))"),"Africa")</f>
        <v>Africa</v>
      </c>
      <c r="AC468" s="14" t="str">
        <f>IFERROR(__xludf.DUMMYFUNCTION("""COMPUTED_VALUE"""),"Central African Republic-Africa")</f>
        <v>Central African Republic-Africa</v>
      </c>
      <c r="AD468" s="14" t="str">
        <f>IFERROR(__xludf.DUMMYFUNCTION("""COMPUTED_VALUE"""),"2004")</f>
        <v>2004</v>
      </c>
      <c r="AE468" s="14"/>
      <c r="AF468" s="14">
        <f>IFERROR(__xludf.DUMMYFUNCTION("""COMPUTED_VALUE"""),246.0)</f>
        <v>246</v>
      </c>
    </row>
    <row r="469">
      <c r="A469" s="12">
        <v>468.0</v>
      </c>
      <c r="B469" s="12" t="s">
        <v>114</v>
      </c>
      <c r="C469" s="5" t="s">
        <v>77</v>
      </c>
      <c r="D469" s="11">
        <v>0.674</v>
      </c>
      <c r="E469" s="11">
        <v>22.0</v>
      </c>
      <c r="F469" s="11">
        <v>187.0</v>
      </c>
      <c r="G469" s="11">
        <v>483.0</v>
      </c>
      <c r="H469" s="11">
        <v>0.03</v>
      </c>
      <c r="I469" s="11">
        <v>0.253</v>
      </c>
      <c r="J469" s="9" t="s">
        <v>73</v>
      </c>
      <c r="K469" s="14" t="str">
        <f>IFERROR(__xludf.DUMMYFUNCTION("ARRAYFORMULA(VLOOKUP(A469,IMPORTRANGE(""https://docs.google.com/spreadsheets/d/1BuTWp7qHGjWhqrnf-OmePP568O4A5Am9ttzvVdP67zw/edit#gid=1603210130"", ""TOURISM!$A$2:$F$2692""), {2,3,4,5,6},0))"),"Africa")</f>
        <v>Africa</v>
      </c>
      <c r="L469" s="14"/>
      <c r="M469" s="14" t="str">
        <f>IFERROR(__xludf.DUMMYFUNCTION("""COMPUTED_VALUE"""),"Central African Republic-Africa")</f>
        <v>Central African Republic-Africa</v>
      </c>
      <c r="N469" s="14" t="str">
        <f>IFERROR(__xludf.DUMMYFUNCTION("""COMPUTED_VALUE"""),"2012")</f>
        <v>2012</v>
      </c>
      <c r="O469" s="14"/>
      <c r="P469" s="15">
        <f>IFERROR(__xludf.DUMMYFUNCTION("ARRAYFORMULA(VLOOKUP(A469,IMPORTRANGE(""https://docs.google.com/spreadsheets/d/1BuTWp7qHGjWhqrnf-OmePP568O4A5Am9ttzvVdP67zw/edit#gid=771602874"" ,""HUMAN RESOURCES!$A$2:$M$2692""), {2,3,4,5,6,7,8,9,10,11,12,13},0))"),0.034)</f>
        <v>0.034</v>
      </c>
      <c r="Q469" s="14">
        <f>IFERROR(__xludf.DUMMYFUNCTION("""COMPUTED_VALUE"""),0.098)</f>
        <v>0.098</v>
      </c>
      <c r="R469" s="14">
        <f>IFERROR(__xludf.DUMMYFUNCTION("""COMPUTED_VALUE"""),51.0)</f>
        <v>51</v>
      </c>
      <c r="S469" s="14">
        <f>IFERROR(__xludf.DUMMYFUNCTION("""COMPUTED_VALUE"""),48.0)</f>
        <v>48</v>
      </c>
      <c r="T469" s="14">
        <f>IFERROR(__xludf.DUMMYFUNCTION("""COMPUTED_VALUE"""),0.401)</f>
        <v>0.401</v>
      </c>
      <c r="U469" s="14">
        <f>IFERROR(__xludf.DUMMYFUNCTION("""COMPUTED_VALUE"""),0.561)</f>
        <v>0.561</v>
      </c>
      <c r="V469" s="14">
        <f>IFERROR(__xludf.DUMMYFUNCTION("""COMPUTED_VALUE"""),0.039)</f>
        <v>0.039</v>
      </c>
      <c r="W469" s="14">
        <f>IFERROR(__xludf.DUMMYFUNCTION("""COMPUTED_VALUE"""),4525209.0)</f>
        <v>4525209</v>
      </c>
      <c r="X469" s="14">
        <f>IFERROR(__xludf.DUMMYFUNCTION("""COMPUTED_VALUE"""),0.393)</f>
        <v>0.393</v>
      </c>
      <c r="Y469" s="14" t="str">
        <f>IFERROR(__xludf.DUMMYFUNCTION("""COMPUTED_VALUE"""),"Central African Republic-Africa")</f>
        <v>Central African Republic-Africa</v>
      </c>
      <c r="Z469" s="14" t="str">
        <f>IFERROR(__xludf.DUMMYFUNCTION("""COMPUTED_VALUE"""),"Africa")</f>
        <v>Africa</v>
      </c>
      <c r="AA469" s="14" t="str">
        <f>IFERROR(__xludf.DUMMYFUNCTION("""COMPUTED_VALUE"""),"2012")</f>
        <v>2012</v>
      </c>
      <c r="AB469" s="15" t="str">
        <f>IFERROR(__xludf.DUMMYFUNCTION("ARRAYFORMULA(VLOOKUP(A469,IMPORTRANGE(""https://docs.google.com/spreadsheets/d/1BuTWp7qHGjWhqrnf-OmePP568O4A5Am9ttzvVdP67zw/edit#gid=1931367683"" ,""ENERGY!$A$2:$F$2692""), {2,3,4,5,6},0))"),"Africa")</f>
        <v>Africa</v>
      </c>
      <c r="AC469" s="14" t="str">
        <f>IFERROR(__xludf.DUMMYFUNCTION("""COMPUTED_VALUE"""),"Central African Republic-Africa")</f>
        <v>Central African Republic-Africa</v>
      </c>
      <c r="AD469" s="14" t="str">
        <f>IFERROR(__xludf.DUMMYFUNCTION("""COMPUTED_VALUE"""),"2009")</f>
        <v>2009</v>
      </c>
      <c r="AE469" s="14"/>
      <c r="AF469" s="14">
        <f>IFERROR(__xludf.DUMMYFUNCTION("""COMPUTED_VALUE"""),268.0)</f>
        <v>268</v>
      </c>
    </row>
    <row r="470">
      <c r="A470" s="12">
        <v>469.0</v>
      </c>
      <c r="B470" s="12" t="s">
        <v>115</v>
      </c>
      <c r="C470" s="5" t="s">
        <v>77</v>
      </c>
      <c r="D470" s="8"/>
      <c r="E470" s="8"/>
      <c r="F470" s="8"/>
      <c r="G470" s="8"/>
      <c r="H470" s="11">
        <v>0.0</v>
      </c>
      <c r="I470" s="11">
        <v>0.001</v>
      </c>
      <c r="J470" s="9" t="s">
        <v>60</v>
      </c>
      <c r="K470" s="14" t="str">
        <f>IFERROR(__xludf.DUMMYFUNCTION("ARRAYFORMULA(VLOOKUP(A470,IMPORTRANGE(""https://docs.google.com/spreadsheets/d/1BuTWp7qHGjWhqrnf-OmePP568O4A5Am9ttzvVdP67zw/edit#gid=1603210130"", ""TOURISM!$A$2:$F$2692""), {2,3,4,5,6},0))"),"Africa")</f>
        <v>Africa</v>
      </c>
      <c r="L470" s="14">
        <f>IFERROR(__xludf.DUMMYFUNCTION("""COMPUTED_VALUE"""),1.4E7)</f>
        <v>14000000</v>
      </c>
      <c r="M470" s="14" t="str">
        <f>IFERROR(__xludf.DUMMYFUNCTION("""COMPUTED_VALUE"""),"Chad-Africa")</f>
        <v>Chad-Africa</v>
      </c>
      <c r="N470" s="14" t="str">
        <f>IFERROR(__xludf.DUMMYFUNCTION("""COMPUTED_VALUE"""),"2000")</f>
        <v>2000</v>
      </c>
      <c r="O470" s="14">
        <f>IFERROR(__xludf.DUMMYFUNCTION("""COMPUTED_VALUE"""),5.6E7)</f>
        <v>56000000</v>
      </c>
      <c r="P470" s="15">
        <f>IFERROR(__xludf.DUMMYFUNCTION("ARRAYFORMULA(VLOOKUP(A470,IMPORTRANGE(""https://docs.google.com/spreadsheets/d/1BuTWp7qHGjWhqrnf-OmePP568O4A5Am9ttzvVdP67zw/edit#gid=771602874"" ,""HUMAN RESOURCES!$A$2:$M$2692""), {2,3,4,5,6,7,8,9,10,11,12,13},0))"),0.051)</f>
        <v>0.051</v>
      </c>
      <c r="Q470" s="14">
        <f>IFERROR(__xludf.DUMMYFUNCTION("""COMPUTED_VALUE"""),0.106)</f>
        <v>0.106</v>
      </c>
      <c r="R470" s="14">
        <f>IFERROR(__xludf.DUMMYFUNCTION("""COMPUTED_VALUE"""),48.0)</f>
        <v>48</v>
      </c>
      <c r="S470" s="14">
        <f>IFERROR(__xludf.DUMMYFUNCTION("""COMPUTED_VALUE"""),46.0)</f>
        <v>46</v>
      </c>
      <c r="T470" s="14">
        <f>IFERROR(__xludf.DUMMYFUNCTION("""COMPUTED_VALUE"""),0.49)</f>
        <v>0.49</v>
      </c>
      <c r="U470" s="14">
        <f>IFERROR(__xludf.DUMMYFUNCTION("""COMPUTED_VALUE"""),0.482)</f>
        <v>0.482</v>
      </c>
      <c r="V470" s="14">
        <f>IFERROR(__xludf.DUMMYFUNCTION("""COMPUTED_VALUE"""),0.028)</f>
        <v>0.028</v>
      </c>
      <c r="W470" s="14">
        <f>IFERROR(__xludf.DUMMYFUNCTION("""COMPUTED_VALUE"""),8301151.0)</f>
        <v>8301151</v>
      </c>
      <c r="X470" s="14">
        <f>IFERROR(__xludf.DUMMYFUNCTION("""COMPUTED_VALUE"""),0.216)</f>
        <v>0.216</v>
      </c>
      <c r="Y470" s="14" t="str">
        <f>IFERROR(__xludf.DUMMYFUNCTION("""COMPUTED_VALUE"""),"Chad-Africa")</f>
        <v>Chad-Africa</v>
      </c>
      <c r="Z470" s="14" t="str">
        <f>IFERROR(__xludf.DUMMYFUNCTION("""COMPUTED_VALUE"""),"Africa")</f>
        <v>Africa</v>
      </c>
      <c r="AA470" s="14" t="str">
        <f>IFERROR(__xludf.DUMMYFUNCTION("""COMPUTED_VALUE"""),"2000")</f>
        <v>2000</v>
      </c>
      <c r="AB470" s="15" t="str">
        <f>IFERROR(__xludf.DUMMYFUNCTION("ARRAYFORMULA(VLOOKUP(A470,IMPORTRANGE(""https://docs.google.com/spreadsheets/d/1BuTWp7qHGjWhqrnf-OmePP568O4A5Am9ttzvVdP67zw/edit#gid=1931367683"" ,""ENERGY!$A$2:$F$2692""), {2,3,4,5,6},0))"),"Africa")</f>
        <v>Africa</v>
      </c>
      <c r="AC470" s="14" t="str">
        <f>IFERROR(__xludf.DUMMYFUNCTION("""COMPUTED_VALUE"""),"Chad-Africa")</f>
        <v>Chad-Africa</v>
      </c>
      <c r="AD470" s="14" t="str">
        <f>IFERROR(__xludf.DUMMYFUNCTION("""COMPUTED_VALUE"""),"2000")</f>
        <v>2000</v>
      </c>
      <c r="AE470" s="14"/>
      <c r="AF470" s="14"/>
    </row>
    <row r="471">
      <c r="A471" s="12">
        <v>470.0</v>
      </c>
      <c r="B471" s="12" t="s">
        <v>115</v>
      </c>
      <c r="C471" s="5" t="s">
        <v>77</v>
      </c>
      <c r="D471" s="8"/>
      <c r="E471" s="8"/>
      <c r="F471" s="8"/>
      <c r="G471" s="8"/>
      <c r="H471" s="11">
        <v>0.0</v>
      </c>
      <c r="I471" s="11">
        <v>0.003</v>
      </c>
      <c r="J471" s="9" t="s">
        <v>62</v>
      </c>
      <c r="K471" s="14" t="str">
        <f>IFERROR(__xludf.DUMMYFUNCTION("ARRAYFORMULA(VLOOKUP(A471,IMPORTRANGE(""https://docs.google.com/spreadsheets/d/1BuTWp7qHGjWhqrnf-OmePP568O4A5Am9ttzvVdP67zw/edit#gid=1603210130"", ""TOURISM!$A$2:$F$2692""), {2,3,4,5,6},0))"),"Africa")</f>
        <v>Africa</v>
      </c>
      <c r="L471" s="14">
        <f>IFERROR(__xludf.DUMMYFUNCTION("""COMPUTED_VALUE"""),2.3E7)</f>
        <v>23000000</v>
      </c>
      <c r="M471" s="14" t="str">
        <f>IFERROR(__xludf.DUMMYFUNCTION("""COMPUTED_VALUE"""),"Chad-Africa")</f>
        <v>Chad-Africa</v>
      </c>
      <c r="N471" s="14" t="str">
        <f>IFERROR(__xludf.DUMMYFUNCTION("""COMPUTED_VALUE"""),"2001")</f>
        <v>2001</v>
      </c>
      <c r="O471" s="14">
        <f>IFERROR(__xludf.DUMMYFUNCTION("""COMPUTED_VALUE"""),5.6E7)</f>
        <v>56000000</v>
      </c>
      <c r="P471" s="15">
        <f>IFERROR(__xludf.DUMMYFUNCTION("ARRAYFORMULA(VLOOKUP(A471,IMPORTRANGE(""https://docs.google.com/spreadsheets/d/1BuTWp7qHGjWhqrnf-OmePP568O4A5Am9ttzvVdP67zw/edit#gid=771602874"" ,""HUMAN RESOURCES!$A$2:$M$2692""), {2,3,4,5,6,7,8,9,10,11,12,13},0))"),0.051)</f>
        <v>0.051</v>
      </c>
      <c r="Q471" s="14">
        <f>IFERROR(__xludf.DUMMYFUNCTION("""COMPUTED_VALUE"""),0.105)</f>
        <v>0.105</v>
      </c>
      <c r="R471" s="14">
        <f>IFERROR(__xludf.DUMMYFUNCTION("""COMPUTED_VALUE"""),48.0)</f>
        <v>48</v>
      </c>
      <c r="S471" s="14">
        <f>IFERROR(__xludf.DUMMYFUNCTION("""COMPUTED_VALUE"""),46.0)</f>
        <v>46</v>
      </c>
      <c r="T471" s="14">
        <f>IFERROR(__xludf.DUMMYFUNCTION("""COMPUTED_VALUE"""),0.491)</f>
        <v>0.491</v>
      </c>
      <c r="U471" s="14">
        <f>IFERROR(__xludf.DUMMYFUNCTION("""COMPUTED_VALUE"""),0.481)</f>
        <v>0.481</v>
      </c>
      <c r="V471" s="14">
        <f>IFERROR(__xludf.DUMMYFUNCTION("""COMPUTED_VALUE"""),0.028)</f>
        <v>0.028</v>
      </c>
      <c r="W471" s="14">
        <f>IFERROR(__xludf.DUMMYFUNCTION("""COMPUTED_VALUE"""),8620917.0)</f>
        <v>8620917</v>
      </c>
      <c r="X471" s="14">
        <f>IFERROR(__xludf.DUMMYFUNCTION("""COMPUTED_VALUE"""),0.217)</f>
        <v>0.217</v>
      </c>
      <c r="Y471" s="14" t="str">
        <f>IFERROR(__xludf.DUMMYFUNCTION("""COMPUTED_VALUE"""),"Chad-Africa")</f>
        <v>Chad-Africa</v>
      </c>
      <c r="Z471" s="14" t="str">
        <f>IFERROR(__xludf.DUMMYFUNCTION("""COMPUTED_VALUE"""),"Africa")</f>
        <v>Africa</v>
      </c>
      <c r="AA471" s="14" t="str">
        <f>IFERROR(__xludf.DUMMYFUNCTION("""COMPUTED_VALUE"""),"2001")</f>
        <v>2001</v>
      </c>
      <c r="AB471" s="15" t="str">
        <f>IFERROR(__xludf.DUMMYFUNCTION("ARRAYFORMULA(VLOOKUP(A471,IMPORTRANGE(""https://docs.google.com/spreadsheets/d/1BuTWp7qHGjWhqrnf-OmePP568O4A5Am9ttzvVdP67zw/edit#gid=1931367683"" ,""ENERGY!$A$2:$F$2692""), {2,3,4,5,6},0))"),"Africa")</f>
        <v>Africa</v>
      </c>
      <c r="AC471" s="14" t="str">
        <f>IFERROR(__xludf.DUMMYFUNCTION("""COMPUTED_VALUE"""),"Chad-Africa")</f>
        <v>Chad-Africa</v>
      </c>
      <c r="AD471" s="14" t="str">
        <f>IFERROR(__xludf.DUMMYFUNCTION("""COMPUTED_VALUE"""),"2001")</f>
        <v>2001</v>
      </c>
      <c r="AE471" s="14"/>
      <c r="AF471" s="14"/>
    </row>
    <row r="472">
      <c r="A472" s="12">
        <v>471.0</v>
      </c>
      <c r="B472" s="12" t="s">
        <v>115</v>
      </c>
      <c r="C472" s="5" t="s">
        <v>77</v>
      </c>
      <c r="D472" s="8"/>
      <c r="E472" s="8"/>
      <c r="F472" s="8"/>
      <c r="G472" s="8"/>
      <c r="H472" s="11">
        <v>0.002</v>
      </c>
      <c r="I472" s="11">
        <v>0.004</v>
      </c>
      <c r="J472" s="9" t="s">
        <v>63</v>
      </c>
      <c r="K472" s="14" t="str">
        <f>IFERROR(__xludf.DUMMYFUNCTION("ARRAYFORMULA(VLOOKUP(A472,IMPORTRANGE(""https://docs.google.com/spreadsheets/d/1BuTWp7qHGjWhqrnf-OmePP568O4A5Am9ttzvVdP67zw/edit#gid=1603210130"", ""TOURISM!$A$2:$F$2692""), {2,3,4,5,6},0))"),"Africa")</f>
        <v>Africa</v>
      </c>
      <c r="L472" s="14">
        <f>IFERROR(__xludf.DUMMYFUNCTION("""COMPUTED_VALUE"""),2.5E7)</f>
        <v>25000000</v>
      </c>
      <c r="M472" s="14" t="str">
        <f>IFERROR(__xludf.DUMMYFUNCTION("""COMPUTED_VALUE"""),"Chad-Africa")</f>
        <v>Chad-Africa</v>
      </c>
      <c r="N472" s="14" t="str">
        <f>IFERROR(__xludf.DUMMYFUNCTION("""COMPUTED_VALUE"""),"2002")</f>
        <v>2002</v>
      </c>
      <c r="O472" s="14">
        <f>IFERROR(__xludf.DUMMYFUNCTION("""COMPUTED_VALUE"""),8.0E7)</f>
        <v>80000000</v>
      </c>
      <c r="P472" s="15">
        <f>IFERROR(__xludf.DUMMYFUNCTION("ARRAYFORMULA(VLOOKUP(A472,IMPORTRANGE(""https://docs.google.com/spreadsheets/d/1BuTWp7qHGjWhqrnf-OmePP568O4A5Am9ttzvVdP67zw/edit#gid=771602874"" ,""HUMAN RESOURCES!$A$2:$M$2692""), {2,3,4,5,6,7,8,9,10,11,12,13},0))"),0.051)</f>
        <v>0.051</v>
      </c>
      <c r="Q472" s="14">
        <f>IFERROR(__xludf.DUMMYFUNCTION("""COMPUTED_VALUE"""),0.104)</f>
        <v>0.104</v>
      </c>
      <c r="R472" s="14">
        <f>IFERROR(__xludf.DUMMYFUNCTION("""COMPUTED_VALUE"""),48.0)</f>
        <v>48</v>
      </c>
      <c r="S472" s="14">
        <f>IFERROR(__xludf.DUMMYFUNCTION("""COMPUTED_VALUE"""),46.0)</f>
        <v>46</v>
      </c>
      <c r="T472" s="14">
        <f>IFERROR(__xludf.DUMMYFUNCTION("""COMPUTED_VALUE"""),0.491)</f>
        <v>0.491</v>
      </c>
      <c r="U472" s="14">
        <f>IFERROR(__xludf.DUMMYFUNCTION("""COMPUTED_VALUE"""),0.481)</f>
        <v>0.481</v>
      </c>
      <c r="V472" s="14">
        <f>IFERROR(__xludf.DUMMYFUNCTION("""COMPUTED_VALUE"""),0.028)</f>
        <v>0.028</v>
      </c>
      <c r="W472" s="14">
        <f>IFERROR(__xludf.DUMMYFUNCTION("""COMPUTED_VALUE"""),8959964.0)</f>
        <v>8959964</v>
      </c>
      <c r="X472" s="14">
        <f>IFERROR(__xludf.DUMMYFUNCTION("""COMPUTED_VALUE"""),0.217)</f>
        <v>0.217</v>
      </c>
      <c r="Y472" s="14" t="str">
        <f>IFERROR(__xludf.DUMMYFUNCTION("""COMPUTED_VALUE"""),"Chad-Africa")</f>
        <v>Chad-Africa</v>
      </c>
      <c r="Z472" s="14" t="str">
        <f>IFERROR(__xludf.DUMMYFUNCTION("""COMPUTED_VALUE"""),"Africa")</f>
        <v>Africa</v>
      </c>
      <c r="AA472" s="14" t="str">
        <f>IFERROR(__xludf.DUMMYFUNCTION("""COMPUTED_VALUE"""),"2002")</f>
        <v>2002</v>
      </c>
      <c r="AB472" s="15" t="str">
        <f>IFERROR(__xludf.DUMMYFUNCTION("ARRAYFORMULA(VLOOKUP(A472,IMPORTRANGE(""https://docs.google.com/spreadsheets/d/1BuTWp7qHGjWhqrnf-OmePP568O4A5Am9ttzvVdP67zw/edit#gid=1931367683"" ,""ENERGY!$A$2:$F$2692""), {2,3,4,5,6},0))"),"Africa")</f>
        <v>Africa</v>
      </c>
      <c r="AC472" s="14" t="str">
        <f>IFERROR(__xludf.DUMMYFUNCTION("""COMPUTED_VALUE"""),"Chad-Africa")</f>
        <v>Chad-Africa</v>
      </c>
      <c r="AD472" s="14" t="str">
        <f>IFERROR(__xludf.DUMMYFUNCTION("""COMPUTED_VALUE"""),"2002")</f>
        <v>2002</v>
      </c>
      <c r="AE472" s="14"/>
      <c r="AF472" s="14">
        <f>IFERROR(__xludf.DUMMYFUNCTION("""COMPUTED_VALUE"""),469.0)</f>
        <v>469</v>
      </c>
    </row>
    <row r="473">
      <c r="A473" s="12">
        <v>472.0</v>
      </c>
      <c r="B473" s="12" t="s">
        <v>115</v>
      </c>
      <c r="C473" s="5" t="s">
        <v>77</v>
      </c>
      <c r="D473" s="8"/>
      <c r="E473" s="11">
        <v>64.0</v>
      </c>
      <c r="F473" s="8"/>
      <c r="G473" s="8"/>
      <c r="H473" s="11">
        <v>0.003</v>
      </c>
      <c r="I473" s="11">
        <v>0.007</v>
      </c>
      <c r="J473" s="9" t="s">
        <v>64</v>
      </c>
      <c r="K473" s="14" t="str">
        <f>IFERROR(__xludf.DUMMYFUNCTION("ARRAYFORMULA(VLOOKUP(A473,IMPORTRANGE(""https://docs.google.com/spreadsheets/d/1BuTWp7qHGjWhqrnf-OmePP568O4A5Am9ttzvVdP67zw/edit#gid=1603210130"", ""TOURISM!$A$2:$F$2692""), {2,3,4,5,6},0))"),"Africa")</f>
        <v>Africa</v>
      </c>
      <c r="L473" s="14"/>
      <c r="M473" s="14" t="str">
        <f>IFERROR(__xludf.DUMMYFUNCTION("""COMPUTED_VALUE"""),"Chad-Africa")</f>
        <v>Chad-Africa</v>
      </c>
      <c r="N473" s="14" t="str">
        <f>IFERROR(__xludf.DUMMYFUNCTION("""COMPUTED_VALUE"""),"2003")</f>
        <v>2003</v>
      </c>
      <c r="O473" s="14"/>
      <c r="P473" s="15">
        <f>IFERROR(__xludf.DUMMYFUNCTION("ARRAYFORMULA(VLOOKUP(A473,IMPORTRANGE(""https://docs.google.com/spreadsheets/d/1BuTWp7qHGjWhqrnf-OmePP568O4A5Am9ttzvVdP67zw/edit#gid=771602874"" ,""HUMAN RESOURCES!$A$2:$M$2692""), {2,3,4,5,6,7,8,9,10,11,12,13},0))"),0.05)</f>
        <v>0.05</v>
      </c>
      <c r="Q473" s="14">
        <f>IFERROR(__xludf.DUMMYFUNCTION("""COMPUTED_VALUE"""),0.103)</f>
        <v>0.103</v>
      </c>
      <c r="R473" s="14">
        <f>IFERROR(__xludf.DUMMYFUNCTION("""COMPUTED_VALUE"""),48.0)</f>
        <v>48</v>
      </c>
      <c r="S473" s="14">
        <f>IFERROR(__xludf.DUMMYFUNCTION("""COMPUTED_VALUE"""),46.0)</f>
        <v>46</v>
      </c>
      <c r="T473" s="14">
        <f>IFERROR(__xludf.DUMMYFUNCTION("""COMPUTED_VALUE"""),0.492)</f>
        <v>0.492</v>
      </c>
      <c r="U473" s="14">
        <f>IFERROR(__xludf.DUMMYFUNCTION("""COMPUTED_VALUE"""),0.481)</f>
        <v>0.481</v>
      </c>
      <c r="V473" s="14">
        <f>IFERROR(__xludf.DUMMYFUNCTION("""COMPUTED_VALUE"""),0.027)</f>
        <v>0.027</v>
      </c>
      <c r="W473" s="14">
        <f>IFERROR(__xludf.DUMMYFUNCTION("""COMPUTED_VALUE"""),9311234.0)</f>
        <v>9311234</v>
      </c>
      <c r="X473" s="14">
        <f>IFERROR(__xludf.DUMMYFUNCTION("""COMPUTED_VALUE"""),0.217)</f>
        <v>0.217</v>
      </c>
      <c r="Y473" s="14" t="str">
        <f>IFERROR(__xludf.DUMMYFUNCTION("""COMPUTED_VALUE"""),"Chad-Africa")</f>
        <v>Chad-Africa</v>
      </c>
      <c r="Z473" s="14" t="str">
        <f>IFERROR(__xludf.DUMMYFUNCTION("""COMPUTED_VALUE"""),"Africa")</f>
        <v>Africa</v>
      </c>
      <c r="AA473" s="14" t="str">
        <f>IFERROR(__xludf.DUMMYFUNCTION("""COMPUTED_VALUE"""),"2003")</f>
        <v>2003</v>
      </c>
      <c r="AB473" s="15" t="str">
        <f>IFERROR(__xludf.DUMMYFUNCTION("ARRAYFORMULA(VLOOKUP(A473,IMPORTRANGE(""https://docs.google.com/spreadsheets/d/1BuTWp7qHGjWhqrnf-OmePP568O4A5Am9ttzvVdP67zw/edit#gid=1931367683"" ,""ENERGY!$A$2:$F$2692""), {2,3,4,5,6},0))"),"Africa")</f>
        <v>Africa</v>
      </c>
      <c r="AC473" s="14" t="str">
        <f>IFERROR(__xludf.DUMMYFUNCTION("""COMPUTED_VALUE"""),"Chad-Africa")</f>
        <v>Chad-Africa</v>
      </c>
      <c r="AD473" s="14" t="str">
        <f>IFERROR(__xludf.DUMMYFUNCTION("""COMPUTED_VALUE"""),"2003")</f>
        <v>2003</v>
      </c>
      <c r="AE473" s="14"/>
      <c r="AF473" s="14">
        <f>IFERROR(__xludf.DUMMYFUNCTION("""COMPUTED_VALUE"""),444.0)</f>
        <v>444</v>
      </c>
    </row>
    <row r="474">
      <c r="A474" s="12">
        <v>473.0</v>
      </c>
      <c r="B474" s="12" t="s">
        <v>115</v>
      </c>
      <c r="C474" s="5" t="s">
        <v>77</v>
      </c>
      <c r="D474" s="8"/>
      <c r="E474" s="11">
        <v>64.0</v>
      </c>
      <c r="F474" s="8"/>
      <c r="G474" s="8"/>
      <c r="H474" s="11">
        <v>0.004</v>
      </c>
      <c r="I474" s="11">
        <v>0.013</v>
      </c>
      <c r="J474" s="9" t="s">
        <v>65</v>
      </c>
      <c r="K474" s="14" t="str">
        <f>IFERROR(__xludf.DUMMYFUNCTION("ARRAYFORMULA(VLOOKUP(A474,IMPORTRANGE(""https://docs.google.com/spreadsheets/d/1BuTWp7qHGjWhqrnf-OmePP568O4A5Am9ttzvVdP67zw/edit#gid=1603210130"", ""TOURISM!$A$2:$F$2692""), {2,3,4,5,6},0))"),"Africa")</f>
        <v>Africa</v>
      </c>
      <c r="L474" s="14"/>
      <c r="M474" s="14" t="str">
        <f>IFERROR(__xludf.DUMMYFUNCTION("""COMPUTED_VALUE"""),"Chad-Africa")</f>
        <v>Chad-Africa</v>
      </c>
      <c r="N474" s="14" t="str">
        <f>IFERROR(__xludf.DUMMYFUNCTION("""COMPUTED_VALUE"""),"2004")</f>
        <v>2004</v>
      </c>
      <c r="O474" s="14"/>
      <c r="P474" s="15">
        <f>IFERROR(__xludf.DUMMYFUNCTION("ARRAYFORMULA(VLOOKUP(A474,IMPORTRANGE(""https://docs.google.com/spreadsheets/d/1BuTWp7qHGjWhqrnf-OmePP568O4A5Am9ttzvVdP67zw/edit#gid=771602874"" ,""HUMAN RESOURCES!$A$2:$M$2692""), {2,3,4,5,6,7,8,9,10,11,12,13},0))"),0.05)</f>
        <v>0.05</v>
      </c>
      <c r="Q474" s="14">
        <f>IFERROR(__xludf.DUMMYFUNCTION("""COMPUTED_VALUE"""),0.102)</f>
        <v>0.102</v>
      </c>
      <c r="R474" s="14">
        <f>IFERROR(__xludf.DUMMYFUNCTION("""COMPUTED_VALUE"""),48.0)</f>
        <v>48</v>
      </c>
      <c r="S474" s="14">
        <f>IFERROR(__xludf.DUMMYFUNCTION("""COMPUTED_VALUE"""),47.0)</f>
        <v>47</v>
      </c>
      <c r="T474" s="14">
        <f>IFERROR(__xludf.DUMMYFUNCTION("""COMPUTED_VALUE"""),0.492)</f>
        <v>0.492</v>
      </c>
      <c r="U474" s="14">
        <f>IFERROR(__xludf.DUMMYFUNCTION("""COMPUTED_VALUE"""),0.481)</f>
        <v>0.481</v>
      </c>
      <c r="V474" s="14">
        <f>IFERROR(__xludf.DUMMYFUNCTION("""COMPUTED_VALUE"""),0.027)</f>
        <v>0.027</v>
      </c>
      <c r="W474" s="14">
        <f>IFERROR(__xludf.DUMMYFUNCTION("""COMPUTED_VALUE"""),9665024.0)</f>
        <v>9665024</v>
      </c>
      <c r="X474" s="14">
        <f>IFERROR(__xludf.DUMMYFUNCTION("""COMPUTED_VALUE"""),0.218)</f>
        <v>0.218</v>
      </c>
      <c r="Y474" s="14" t="str">
        <f>IFERROR(__xludf.DUMMYFUNCTION("""COMPUTED_VALUE"""),"Chad-Africa")</f>
        <v>Chad-Africa</v>
      </c>
      <c r="Z474" s="14" t="str">
        <f>IFERROR(__xludf.DUMMYFUNCTION("""COMPUTED_VALUE"""),"Africa")</f>
        <v>Africa</v>
      </c>
      <c r="AA474" s="14" t="str">
        <f>IFERROR(__xludf.DUMMYFUNCTION("""COMPUTED_VALUE"""),"2004")</f>
        <v>2004</v>
      </c>
      <c r="AB474" s="15" t="str">
        <f>IFERROR(__xludf.DUMMYFUNCTION("ARRAYFORMULA(VLOOKUP(A474,IMPORTRANGE(""https://docs.google.com/spreadsheets/d/1BuTWp7qHGjWhqrnf-OmePP568O4A5Am9ttzvVdP67zw/edit#gid=1931367683"" ,""ENERGY!$A$2:$F$2692""), {2,3,4,5,6},0))"),"Africa")</f>
        <v>Africa</v>
      </c>
      <c r="AC474" s="14" t="str">
        <f>IFERROR(__xludf.DUMMYFUNCTION("""COMPUTED_VALUE"""),"Chad-Africa")</f>
        <v>Chad-Africa</v>
      </c>
      <c r="AD474" s="14" t="str">
        <f>IFERROR(__xludf.DUMMYFUNCTION("""COMPUTED_VALUE"""),"2004")</f>
        <v>2004</v>
      </c>
      <c r="AE474" s="14"/>
      <c r="AF474" s="14">
        <f>IFERROR(__xludf.DUMMYFUNCTION("""COMPUTED_VALUE"""),510.0)</f>
        <v>510</v>
      </c>
    </row>
    <row r="475">
      <c r="A475" s="12">
        <v>474.0</v>
      </c>
      <c r="B475" s="12" t="s">
        <v>115</v>
      </c>
      <c r="C475" s="5" t="s">
        <v>77</v>
      </c>
      <c r="D475" s="11">
        <v>0.74</v>
      </c>
      <c r="E475" s="11">
        <v>64.0</v>
      </c>
      <c r="F475" s="8"/>
      <c r="G475" s="11">
        <v>732.0</v>
      </c>
      <c r="H475" s="11">
        <v>0.004</v>
      </c>
      <c r="I475" s="11">
        <v>0.021</v>
      </c>
      <c r="J475" s="9" t="s">
        <v>66</v>
      </c>
      <c r="K475" s="14" t="str">
        <f>IFERROR(__xludf.DUMMYFUNCTION("ARRAYFORMULA(VLOOKUP(A475,IMPORTRANGE(""https://docs.google.com/spreadsheets/d/1BuTWp7qHGjWhqrnf-OmePP568O4A5Am9ttzvVdP67zw/edit#gid=1603210130"", ""TOURISM!$A$2:$F$2692""), {2,3,4,5,6},0))"),"Africa")</f>
        <v>Africa</v>
      </c>
      <c r="L475" s="14"/>
      <c r="M475" s="14" t="str">
        <f>IFERROR(__xludf.DUMMYFUNCTION("""COMPUTED_VALUE"""),"Chad-Africa")</f>
        <v>Chad-Africa</v>
      </c>
      <c r="N475" s="14" t="str">
        <f>IFERROR(__xludf.DUMMYFUNCTION("""COMPUTED_VALUE"""),"2005")</f>
        <v>2005</v>
      </c>
      <c r="O475" s="14"/>
      <c r="P475" s="15">
        <f>IFERROR(__xludf.DUMMYFUNCTION("ARRAYFORMULA(VLOOKUP(A475,IMPORTRANGE(""https://docs.google.com/spreadsheets/d/1BuTWp7qHGjWhqrnf-OmePP568O4A5Am9ttzvVdP67zw/edit#gid=771602874"" ,""HUMAN RESOURCES!$A$2:$M$2692""), {2,3,4,5,6,7,8,9,10,11,12,13},0))"),0.05)</f>
        <v>0.05</v>
      </c>
      <c r="Q475" s="14">
        <f>IFERROR(__xludf.DUMMYFUNCTION("""COMPUTED_VALUE"""),0.101)</f>
        <v>0.101</v>
      </c>
      <c r="R475" s="14">
        <f>IFERROR(__xludf.DUMMYFUNCTION("""COMPUTED_VALUE"""),48.0)</f>
        <v>48</v>
      </c>
      <c r="S475" s="14">
        <f>IFERROR(__xludf.DUMMYFUNCTION("""COMPUTED_VALUE"""),47.0)</f>
        <v>47</v>
      </c>
      <c r="T475" s="14">
        <f>IFERROR(__xludf.DUMMYFUNCTION("""COMPUTED_VALUE"""),0.492)</f>
        <v>0.492</v>
      </c>
      <c r="U475" s="14">
        <f>IFERROR(__xludf.DUMMYFUNCTION("""COMPUTED_VALUE"""),0.481)</f>
        <v>0.481</v>
      </c>
      <c r="V475" s="14">
        <f>IFERROR(__xludf.DUMMYFUNCTION("""COMPUTED_VALUE"""),0.027)</f>
        <v>0.027</v>
      </c>
      <c r="W475" s="14">
        <f>IFERROR(__xludf.DUMMYFUNCTION("""COMPUTED_VALUE"""),1.0014413E7)</f>
        <v>10014413</v>
      </c>
      <c r="X475" s="14">
        <f>IFERROR(__xludf.DUMMYFUNCTION("""COMPUTED_VALUE"""),0.218)</f>
        <v>0.218</v>
      </c>
      <c r="Y475" s="14" t="str">
        <f>IFERROR(__xludf.DUMMYFUNCTION("""COMPUTED_VALUE"""),"Chad-Africa")</f>
        <v>Chad-Africa</v>
      </c>
      <c r="Z475" s="14" t="str">
        <f>IFERROR(__xludf.DUMMYFUNCTION("""COMPUTED_VALUE"""),"Africa")</f>
        <v>Africa</v>
      </c>
      <c r="AA475" s="14" t="str">
        <f>IFERROR(__xludf.DUMMYFUNCTION("""COMPUTED_VALUE"""),"2005")</f>
        <v>2005</v>
      </c>
      <c r="AB475" s="15" t="str">
        <f>IFERROR(__xludf.DUMMYFUNCTION("ARRAYFORMULA(VLOOKUP(A475,IMPORTRANGE(""https://docs.google.com/spreadsheets/d/1BuTWp7qHGjWhqrnf-OmePP568O4A5Am9ttzvVdP67zw/edit#gid=1931367683"" ,""ENERGY!$A$2:$F$2692""), {2,3,4,5,6},0))"),"Africa")</f>
        <v>Africa</v>
      </c>
      <c r="AC475" s="14" t="str">
        <f>IFERROR(__xludf.DUMMYFUNCTION("""COMPUTED_VALUE"""),"Chad-Africa")</f>
        <v>Chad-Africa</v>
      </c>
      <c r="AD475" s="14" t="str">
        <f>IFERROR(__xludf.DUMMYFUNCTION("""COMPUTED_VALUE"""),"2006")</f>
        <v>2006</v>
      </c>
      <c r="AE475" s="14"/>
      <c r="AF475" s="14">
        <f>IFERROR(__xludf.DUMMYFUNCTION("""COMPUTED_VALUE"""),462.0)</f>
        <v>462</v>
      </c>
    </row>
    <row r="476">
      <c r="A476" s="12">
        <v>475.0</v>
      </c>
      <c r="B476" s="12" t="s">
        <v>115</v>
      </c>
      <c r="C476" s="5" t="s">
        <v>77</v>
      </c>
      <c r="D476" s="11">
        <v>0.74</v>
      </c>
      <c r="E476" s="11">
        <v>64.0</v>
      </c>
      <c r="F476" s="8"/>
      <c r="G476" s="11">
        <v>732.0</v>
      </c>
      <c r="H476" s="11">
        <v>0.006</v>
      </c>
      <c r="I476" s="11">
        <v>0.045</v>
      </c>
      <c r="J476" s="9" t="s">
        <v>67</v>
      </c>
      <c r="K476" s="14" t="str">
        <f>IFERROR(__xludf.DUMMYFUNCTION("ARRAYFORMULA(VLOOKUP(A476,IMPORTRANGE(""https://docs.google.com/spreadsheets/d/1BuTWp7qHGjWhqrnf-OmePP568O4A5Am9ttzvVdP67zw/edit#gid=1603210130"", ""TOURISM!$A$2:$F$2692""), {2,3,4,5,6},0))"),"Africa")</f>
        <v>Africa</v>
      </c>
      <c r="L476" s="14"/>
      <c r="M476" s="14" t="str">
        <f>IFERROR(__xludf.DUMMYFUNCTION("""COMPUTED_VALUE"""),"Chad-Africa")</f>
        <v>Chad-Africa</v>
      </c>
      <c r="N476" s="14" t="str">
        <f>IFERROR(__xludf.DUMMYFUNCTION("""COMPUTED_VALUE"""),"2006")</f>
        <v>2006</v>
      </c>
      <c r="O476" s="14"/>
      <c r="P476" s="15">
        <f>IFERROR(__xludf.DUMMYFUNCTION("ARRAYFORMULA(VLOOKUP(A476,IMPORTRANGE(""https://docs.google.com/spreadsheets/d/1BuTWp7qHGjWhqrnf-OmePP568O4A5Am9ttzvVdP67zw/edit#gid=771602874"" ,""HUMAN RESOURCES!$A$2:$M$2692""), {2,3,4,5,6,7,8,9,10,11,12,13},0))"),0.049)</f>
        <v>0.049</v>
      </c>
      <c r="Q476" s="14">
        <f>IFERROR(__xludf.DUMMYFUNCTION("""COMPUTED_VALUE"""),0.1)</f>
        <v>0.1</v>
      </c>
      <c r="R476" s="14">
        <f>IFERROR(__xludf.DUMMYFUNCTION("""COMPUTED_VALUE"""),49.0)</f>
        <v>49</v>
      </c>
      <c r="S476" s="14">
        <f>IFERROR(__xludf.DUMMYFUNCTION("""COMPUTED_VALUE"""),47.0)</f>
        <v>47</v>
      </c>
      <c r="T476" s="14">
        <f>IFERROR(__xludf.DUMMYFUNCTION("""COMPUTED_VALUE"""),0.492)</f>
        <v>0.492</v>
      </c>
      <c r="U476" s="14">
        <f>IFERROR(__xludf.DUMMYFUNCTION("""COMPUTED_VALUE"""),0.482)</f>
        <v>0.482</v>
      </c>
      <c r="V476" s="14">
        <f>IFERROR(__xludf.DUMMYFUNCTION("""COMPUTED_VALUE"""),0.026)</f>
        <v>0.026</v>
      </c>
      <c r="W476" s="14">
        <f>IFERROR(__xludf.DUMMYFUNCTION("""COMPUTED_VALUE"""),1.0356822E7)</f>
        <v>10356822</v>
      </c>
      <c r="X476" s="14">
        <f>IFERROR(__xludf.DUMMYFUNCTION("""COMPUTED_VALUE"""),0.218)</f>
        <v>0.218</v>
      </c>
      <c r="Y476" s="14" t="str">
        <f>IFERROR(__xludf.DUMMYFUNCTION("""COMPUTED_VALUE"""),"Chad-Africa")</f>
        <v>Chad-Africa</v>
      </c>
      <c r="Z476" s="14" t="str">
        <f>IFERROR(__xludf.DUMMYFUNCTION("""COMPUTED_VALUE"""),"Africa")</f>
        <v>Africa</v>
      </c>
      <c r="AA476" s="14" t="str">
        <f>IFERROR(__xludf.DUMMYFUNCTION("""COMPUTED_VALUE"""),"2006")</f>
        <v>2006</v>
      </c>
      <c r="AB476" s="15" t="str">
        <f>IFERROR(__xludf.DUMMYFUNCTION("ARRAYFORMULA(VLOOKUP(A476,IMPORTRANGE(""https://docs.google.com/spreadsheets/d/1BuTWp7qHGjWhqrnf-OmePP568O4A5Am9ttzvVdP67zw/edit#gid=1931367683"" ,""ENERGY!$A$2:$F$2692""), {2,3,4,5,6},0))"),"Africa")</f>
        <v>Africa</v>
      </c>
      <c r="AC476" s="14" t="str">
        <f>IFERROR(__xludf.DUMMYFUNCTION("""COMPUTED_VALUE"""),"Chad-Africa")</f>
        <v>Chad-Africa</v>
      </c>
      <c r="AD476" s="14" t="str">
        <f>IFERROR(__xludf.DUMMYFUNCTION("""COMPUTED_VALUE"""),"2010")</f>
        <v>2010</v>
      </c>
      <c r="AE476" s="14"/>
      <c r="AF476" s="14">
        <f>IFERROR(__xludf.DUMMYFUNCTION("""COMPUTED_VALUE"""),407.0)</f>
        <v>407</v>
      </c>
    </row>
    <row r="477">
      <c r="A477" s="12">
        <v>476.0</v>
      </c>
      <c r="B477" s="12" t="s">
        <v>115</v>
      </c>
      <c r="C477" s="5" t="s">
        <v>77</v>
      </c>
      <c r="D477" s="11">
        <v>0.74</v>
      </c>
      <c r="E477" s="11">
        <v>64.0</v>
      </c>
      <c r="F477" s="8"/>
      <c r="G477" s="11">
        <v>732.0</v>
      </c>
      <c r="H477" s="11">
        <v>0.008</v>
      </c>
      <c r="I477" s="11">
        <v>0.086</v>
      </c>
      <c r="J477" s="9" t="s">
        <v>68</v>
      </c>
      <c r="K477" s="14" t="str">
        <f>IFERROR(__xludf.DUMMYFUNCTION("ARRAYFORMULA(VLOOKUP(A477,IMPORTRANGE(""https://docs.google.com/spreadsheets/d/1BuTWp7qHGjWhqrnf-OmePP568O4A5Am9ttzvVdP67zw/edit#gid=1603210130"", ""TOURISM!$A$2:$F$2692""), {2,3,4,5,6},0))"),"Africa")</f>
        <v>Africa</v>
      </c>
      <c r="L477" s="14"/>
      <c r="M477" s="14" t="str">
        <f>IFERROR(__xludf.DUMMYFUNCTION("""COMPUTED_VALUE"""),"Chad-Africa")</f>
        <v>Chad-Africa</v>
      </c>
      <c r="N477" s="14" t="str">
        <f>IFERROR(__xludf.DUMMYFUNCTION("""COMPUTED_VALUE"""),"2007")</f>
        <v>2007</v>
      </c>
      <c r="O477" s="14"/>
      <c r="P477" s="15">
        <f>IFERROR(__xludf.DUMMYFUNCTION("ARRAYFORMULA(VLOOKUP(A477,IMPORTRANGE(""https://docs.google.com/spreadsheets/d/1BuTWp7qHGjWhqrnf-OmePP568O4A5Am9ttzvVdP67zw/edit#gid=771602874"" ,""HUMAN RESOURCES!$A$2:$M$2692""), {2,3,4,5,6,7,8,9,10,11,12,13},0))"),0.049)</f>
        <v>0.049</v>
      </c>
      <c r="Q477" s="14">
        <f>IFERROR(__xludf.DUMMYFUNCTION("""COMPUTED_VALUE"""),0.099)</f>
        <v>0.099</v>
      </c>
      <c r="R477" s="14">
        <f>IFERROR(__xludf.DUMMYFUNCTION("""COMPUTED_VALUE"""),49.0)</f>
        <v>49</v>
      </c>
      <c r="S477" s="14">
        <f>IFERROR(__xludf.DUMMYFUNCTION("""COMPUTED_VALUE"""),48.0)</f>
        <v>48</v>
      </c>
      <c r="T477" s="14">
        <f>IFERROR(__xludf.DUMMYFUNCTION("""COMPUTED_VALUE"""),0.492)</f>
        <v>0.492</v>
      </c>
      <c r="U477" s="14">
        <f>IFERROR(__xludf.DUMMYFUNCTION("""COMPUTED_VALUE"""),0.482)</f>
        <v>0.482</v>
      </c>
      <c r="V477" s="14">
        <f>IFERROR(__xludf.DUMMYFUNCTION("""COMPUTED_VALUE"""),0.026)</f>
        <v>0.026</v>
      </c>
      <c r="W477" s="14">
        <f>IFERROR(__xludf.DUMMYFUNCTION("""COMPUTED_VALUE"""),1.0694366E7)</f>
        <v>10694366</v>
      </c>
      <c r="X477" s="14">
        <f>IFERROR(__xludf.DUMMYFUNCTION("""COMPUTED_VALUE"""),0.219)</f>
        <v>0.219</v>
      </c>
      <c r="Y477" s="14" t="str">
        <f>IFERROR(__xludf.DUMMYFUNCTION("""COMPUTED_VALUE"""),"Chad-Africa")</f>
        <v>Chad-Africa</v>
      </c>
      <c r="Z477" s="14" t="str">
        <f>IFERROR(__xludf.DUMMYFUNCTION("""COMPUTED_VALUE"""),"Africa")</f>
        <v>Africa</v>
      </c>
      <c r="AA477" s="14" t="str">
        <f>IFERROR(__xludf.DUMMYFUNCTION("""COMPUTED_VALUE"""),"2007")</f>
        <v>2007</v>
      </c>
      <c r="AB477" s="15" t="str">
        <f>IFERROR(__xludf.DUMMYFUNCTION("ARRAYFORMULA(VLOOKUP(A477,IMPORTRANGE(""https://docs.google.com/spreadsheets/d/1BuTWp7qHGjWhqrnf-OmePP568O4A5Am9ttzvVdP67zw/edit#gid=1931367683"" ,""ENERGY!$A$2:$F$2692""), {2,3,4,5,6},0))"),"Africa")</f>
        <v>Africa</v>
      </c>
      <c r="AC477" s="14" t="str">
        <f>IFERROR(__xludf.DUMMYFUNCTION("""COMPUTED_VALUE"""),"Chad-Africa")</f>
        <v>Chad-Africa</v>
      </c>
      <c r="AD477" s="14" t="str">
        <f>IFERROR(__xludf.DUMMYFUNCTION("""COMPUTED_VALUE"""),"2006")</f>
        <v>2006</v>
      </c>
      <c r="AE477" s="14"/>
      <c r="AF477" s="14">
        <f>IFERROR(__xludf.DUMMYFUNCTION("""COMPUTED_VALUE"""),400.0)</f>
        <v>400</v>
      </c>
    </row>
    <row r="478">
      <c r="A478" s="12">
        <v>477.0</v>
      </c>
      <c r="B478" s="12" t="s">
        <v>115</v>
      </c>
      <c r="C478" s="5" t="s">
        <v>77</v>
      </c>
      <c r="D478" s="11">
        <v>0.713</v>
      </c>
      <c r="E478" s="11">
        <v>64.0</v>
      </c>
      <c r="F478" s="8"/>
      <c r="G478" s="11">
        <v>732.0</v>
      </c>
      <c r="H478" s="11">
        <v>0.012</v>
      </c>
      <c r="I478" s="11">
        <v>0.145</v>
      </c>
      <c r="J478" s="9" t="s">
        <v>69</v>
      </c>
      <c r="K478" s="14" t="str">
        <f>IFERROR(__xludf.DUMMYFUNCTION("ARRAYFORMULA(VLOOKUP(A478,IMPORTRANGE(""https://docs.google.com/spreadsheets/d/1BuTWp7qHGjWhqrnf-OmePP568O4A5Am9ttzvVdP67zw/edit#gid=1603210130"", ""TOURISM!$A$2:$F$2692""), {2,3,4,5,6},0))"),"Africa")</f>
        <v>Africa</v>
      </c>
      <c r="L478" s="14"/>
      <c r="M478" s="14" t="str">
        <f>IFERROR(__xludf.DUMMYFUNCTION("""COMPUTED_VALUE"""),"Chad-Africa")</f>
        <v>Chad-Africa</v>
      </c>
      <c r="N478" s="14" t="str">
        <f>IFERROR(__xludf.DUMMYFUNCTION("""COMPUTED_VALUE"""),"2008")</f>
        <v>2008</v>
      </c>
      <c r="O478" s="14"/>
      <c r="P478" s="15">
        <f>IFERROR(__xludf.DUMMYFUNCTION("ARRAYFORMULA(VLOOKUP(A478,IMPORTRANGE(""https://docs.google.com/spreadsheets/d/1BuTWp7qHGjWhqrnf-OmePP568O4A5Am9ttzvVdP67zw/edit#gid=771602874"" ,""HUMAN RESOURCES!$A$2:$M$2692""), {2,3,4,5,6,7,8,9,10,11,12,13},0))"),0.048)</f>
        <v>0.048</v>
      </c>
      <c r="Q478" s="14">
        <f>IFERROR(__xludf.DUMMYFUNCTION("""COMPUTED_VALUE"""),0.097)</f>
        <v>0.097</v>
      </c>
      <c r="R478" s="14">
        <f>IFERROR(__xludf.DUMMYFUNCTION("""COMPUTED_VALUE"""),50.0)</f>
        <v>50</v>
      </c>
      <c r="S478" s="14">
        <f>IFERROR(__xludf.DUMMYFUNCTION("""COMPUTED_VALUE"""),48.0)</f>
        <v>48</v>
      </c>
      <c r="T478" s="14">
        <f>IFERROR(__xludf.DUMMYFUNCTION("""COMPUTED_VALUE"""),0.491)</f>
        <v>0.491</v>
      </c>
      <c r="U478" s="14">
        <f>IFERROR(__xludf.DUMMYFUNCTION("""COMPUTED_VALUE"""),0.484)</f>
        <v>0.484</v>
      </c>
      <c r="V478" s="14">
        <f>IFERROR(__xludf.DUMMYFUNCTION("""COMPUTED_VALUE"""),0.026)</f>
        <v>0.026</v>
      </c>
      <c r="W478" s="14">
        <f>IFERROR(__xludf.DUMMYFUNCTION("""COMPUTED_VALUE"""),1.1030628E7)</f>
        <v>11030628</v>
      </c>
      <c r="X478" s="14">
        <f>IFERROR(__xludf.DUMMYFUNCTION("""COMPUTED_VALUE"""),0.219)</f>
        <v>0.219</v>
      </c>
      <c r="Y478" s="14" t="str">
        <f>IFERROR(__xludf.DUMMYFUNCTION("""COMPUTED_VALUE"""),"Chad-Africa")</f>
        <v>Chad-Africa</v>
      </c>
      <c r="Z478" s="14" t="str">
        <f>IFERROR(__xludf.DUMMYFUNCTION("""COMPUTED_VALUE"""),"Africa")</f>
        <v>Africa</v>
      </c>
      <c r="AA478" s="14" t="str">
        <f>IFERROR(__xludf.DUMMYFUNCTION("""COMPUTED_VALUE"""),"2008")</f>
        <v>2008</v>
      </c>
      <c r="AB478" s="15" t="str">
        <f>IFERROR(__xludf.DUMMYFUNCTION("ARRAYFORMULA(VLOOKUP(A478,IMPORTRANGE(""https://docs.google.com/spreadsheets/d/1BuTWp7qHGjWhqrnf-OmePP568O4A5Am9ttzvVdP67zw/edit#gid=1931367683"" ,""ENERGY!$A$2:$F$2692""), {2,3,4,5,6},0))"),"Africa")</f>
        <v>Africa</v>
      </c>
      <c r="AC478" s="14" t="str">
        <f>IFERROR(__xludf.DUMMYFUNCTION("""COMPUTED_VALUE"""),"Chad-Africa")</f>
        <v>Chad-Africa</v>
      </c>
      <c r="AD478" s="14" t="str">
        <f>IFERROR(__xludf.DUMMYFUNCTION("""COMPUTED_VALUE"""),"2012")</f>
        <v>2012</v>
      </c>
      <c r="AE478" s="14"/>
      <c r="AF478" s="14">
        <f>IFERROR(__xludf.DUMMYFUNCTION("""COMPUTED_VALUE"""),378.0)</f>
        <v>378</v>
      </c>
    </row>
    <row r="479">
      <c r="A479" s="12">
        <v>478.0</v>
      </c>
      <c r="B479" s="12" t="s">
        <v>115</v>
      </c>
      <c r="C479" s="5" t="s">
        <v>77</v>
      </c>
      <c r="D479" s="11">
        <v>0.713</v>
      </c>
      <c r="E479" s="11">
        <v>64.0</v>
      </c>
      <c r="F479" s="8"/>
      <c r="G479" s="11">
        <v>732.0</v>
      </c>
      <c r="H479" s="11">
        <v>0.015</v>
      </c>
      <c r="I479" s="11">
        <v>0.201</v>
      </c>
      <c r="J479" s="9" t="s">
        <v>70</v>
      </c>
      <c r="K479" s="14" t="str">
        <f>IFERROR(__xludf.DUMMYFUNCTION("ARRAYFORMULA(VLOOKUP(A479,IMPORTRANGE(""https://docs.google.com/spreadsheets/d/1BuTWp7qHGjWhqrnf-OmePP568O4A5Am9ttzvVdP67zw/edit#gid=1603210130"", ""TOURISM!$A$2:$F$2692""), {2,3,4,5,6},0))"),"Africa")</f>
        <v>Africa</v>
      </c>
      <c r="L479" s="14"/>
      <c r="M479" s="14" t="str">
        <f>IFERROR(__xludf.DUMMYFUNCTION("""COMPUTED_VALUE"""),"Chad-Africa")</f>
        <v>Chad-Africa</v>
      </c>
      <c r="N479" s="14" t="str">
        <f>IFERROR(__xludf.DUMMYFUNCTION("""COMPUTED_VALUE"""),"2009")</f>
        <v>2009</v>
      </c>
      <c r="O479" s="14"/>
      <c r="P479" s="15">
        <f>IFERROR(__xludf.DUMMYFUNCTION("ARRAYFORMULA(VLOOKUP(A479,IMPORTRANGE(""https://docs.google.com/spreadsheets/d/1BuTWp7qHGjWhqrnf-OmePP568O4A5Am9ttzvVdP67zw/edit#gid=771602874"" ,""HUMAN RESOURCES!$A$2:$M$2692""), {2,3,4,5,6,7,8,9,10,11,12,13},0))"),0.048)</f>
        <v>0.048</v>
      </c>
      <c r="Q479" s="14">
        <f>IFERROR(__xludf.DUMMYFUNCTION("""COMPUTED_VALUE"""),0.095)</f>
        <v>0.095</v>
      </c>
      <c r="R479" s="14">
        <f>IFERROR(__xludf.DUMMYFUNCTION("""COMPUTED_VALUE"""),50.0)</f>
        <v>50</v>
      </c>
      <c r="S479" s="14">
        <f>IFERROR(__xludf.DUMMYFUNCTION("""COMPUTED_VALUE"""),49.0)</f>
        <v>49</v>
      </c>
      <c r="T479" s="14">
        <f>IFERROR(__xludf.DUMMYFUNCTION("""COMPUTED_VALUE"""),0.49)</f>
        <v>0.49</v>
      </c>
      <c r="U479" s="14">
        <f>IFERROR(__xludf.DUMMYFUNCTION("""COMPUTED_VALUE"""),0.485)</f>
        <v>0.485</v>
      </c>
      <c r="V479" s="14">
        <f>IFERROR(__xludf.DUMMYFUNCTION("""COMPUTED_VALUE"""),0.025)</f>
        <v>0.025</v>
      </c>
      <c r="W479" s="14">
        <f>IFERROR(__xludf.DUMMYFUNCTION("""COMPUTED_VALUE"""),1.1371325E7)</f>
        <v>11371325</v>
      </c>
      <c r="X479" s="14">
        <f>IFERROR(__xludf.DUMMYFUNCTION("""COMPUTED_VALUE"""),0.219)</f>
        <v>0.219</v>
      </c>
      <c r="Y479" s="14" t="str">
        <f>IFERROR(__xludf.DUMMYFUNCTION("""COMPUTED_VALUE"""),"Chad-Africa")</f>
        <v>Chad-Africa</v>
      </c>
      <c r="Z479" s="14" t="str">
        <f>IFERROR(__xludf.DUMMYFUNCTION("""COMPUTED_VALUE"""),"Africa")</f>
        <v>Africa</v>
      </c>
      <c r="AA479" s="14" t="str">
        <f>IFERROR(__xludf.DUMMYFUNCTION("""COMPUTED_VALUE"""),"2009")</f>
        <v>2009</v>
      </c>
      <c r="AB479" s="15" t="str">
        <f>IFERROR(__xludf.DUMMYFUNCTION("ARRAYFORMULA(VLOOKUP(A479,IMPORTRANGE(""https://docs.google.com/spreadsheets/d/1BuTWp7qHGjWhqrnf-OmePP568O4A5Am9ttzvVdP67zw/edit#gid=1931367683"" ,""ENERGY!$A$2:$F$2692""), {2,3,4,5,6},0))"),"Africa")</f>
        <v>Africa</v>
      </c>
      <c r="AC479" s="14" t="str">
        <f>IFERROR(__xludf.DUMMYFUNCTION("""COMPUTED_VALUE"""),"Chad-Africa")</f>
        <v>Chad-Africa</v>
      </c>
      <c r="AD479" s="14" t="str">
        <f>IFERROR(__xludf.DUMMYFUNCTION("""COMPUTED_VALUE"""),"2009")</f>
        <v>2009</v>
      </c>
      <c r="AE479" s="14"/>
      <c r="AF479" s="14">
        <f>IFERROR(__xludf.DUMMYFUNCTION("""COMPUTED_VALUE"""),381.0)</f>
        <v>381</v>
      </c>
    </row>
    <row r="480">
      <c r="A480" s="12">
        <v>479.0</v>
      </c>
      <c r="B480" s="12" t="s">
        <v>115</v>
      </c>
      <c r="C480" s="5" t="s">
        <v>77</v>
      </c>
      <c r="D480" s="11">
        <v>0.758</v>
      </c>
      <c r="E480" s="11">
        <v>64.0</v>
      </c>
      <c r="F480" s="8"/>
      <c r="G480" s="11">
        <v>732.0</v>
      </c>
      <c r="H480" s="11">
        <v>0.017</v>
      </c>
      <c r="I480" s="11">
        <v>0.245</v>
      </c>
      <c r="J480" s="9" t="s">
        <v>71</v>
      </c>
      <c r="K480" s="14" t="str">
        <f>IFERROR(__xludf.DUMMYFUNCTION("ARRAYFORMULA(VLOOKUP(A480,IMPORTRANGE(""https://docs.google.com/spreadsheets/d/1BuTWp7qHGjWhqrnf-OmePP568O4A5Am9ttzvVdP67zw/edit#gid=1603210130"", ""TOURISM!$A$2:$F$2692""), {2,3,4,5,6},0))"),"Africa")</f>
        <v>Africa</v>
      </c>
      <c r="L480" s="14"/>
      <c r="M480" s="14" t="str">
        <f>IFERROR(__xludf.DUMMYFUNCTION("""COMPUTED_VALUE"""),"Chad-Africa")</f>
        <v>Chad-Africa</v>
      </c>
      <c r="N480" s="14" t="str">
        <f>IFERROR(__xludf.DUMMYFUNCTION("""COMPUTED_VALUE"""),"2010")</f>
        <v>2010</v>
      </c>
      <c r="O480" s="14"/>
      <c r="P480" s="15">
        <f>IFERROR(__xludf.DUMMYFUNCTION("ARRAYFORMULA(VLOOKUP(A480,IMPORTRANGE(""https://docs.google.com/spreadsheets/d/1BuTWp7qHGjWhqrnf-OmePP568O4A5Am9ttzvVdP67zw/edit#gid=771602874"" ,""HUMAN RESOURCES!$A$2:$M$2692""), {2,3,4,5,6,7,8,9,10,11,12,13},0))"),0.047)</f>
        <v>0.047</v>
      </c>
      <c r="Q480" s="14">
        <f>IFERROR(__xludf.DUMMYFUNCTION("""COMPUTED_VALUE"""),0.094)</f>
        <v>0.094</v>
      </c>
      <c r="R480" s="14">
        <f>IFERROR(__xludf.DUMMYFUNCTION("""COMPUTED_VALUE"""),51.0)</f>
        <v>51</v>
      </c>
      <c r="S480" s="14">
        <f>IFERROR(__xludf.DUMMYFUNCTION("""COMPUTED_VALUE"""),49.0)</f>
        <v>49</v>
      </c>
      <c r="T480" s="14">
        <f>IFERROR(__xludf.DUMMYFUNCTION("""COMPUTED_VALUE"""),0.488)</f>
        <v>0.488</v>
      </c>
      <c r="U480" s="14">
        <f>IFERROR(__xludf.DUMMYFUNCTION("""COMPUTED_VALUE"""),0.487)</f>
        <v>0.487</v>
      </c>
      <c r="V480" s="14">
        <f>IFERROR(__xludf.DUMMYFUNCTION("""COMPUTED_VALUE"""),0.025)</f>
        <v>0.025</v>
      </c>
      <c r="W480" s="14">
        <f>IFERROR(__xludf.DUMMYFUNCTION("""COMPUTED_VALUE"""),1.1720781E7)</f>
        <v>11720781</v>
      </c>
      <c r="X480" s="14">
        <f>IFERROR(__xludf.DUMMYFUNCTION("""COMPUTED_VALUE"""),0.22)</f>
        <v>0.22</v>
      </c>
      <c r="Y480" s="14" t="str">
        <f>IFERROR(__xludf.DUMMYFUNCTION("""COMPUTED_VALUE"""),"Chad-Africa")</f>
        <v>Chad-Africa</v>
      </c>
      <c r="Z480" s="14" t="str">
        <f>IFERROR(__xludf.DUMMYFUNCTION("""COMPUTED_VALUE"""),"Africa")</f>
        <v>Africa</v>
      </c>
      <c r="AA480" s="14" t="str">
        <f>IFERROR(__xludf.DUMMYFUNCTION("""COMPUTED_VALUE"""),"2010")</f>
        <v>2010</v>
      </c>
      <c r="AB480" s="15" t="str">
        <f>IFERROR(__xludf.DUMMYFUNCTION("ARRAYFORMULA(VLOOKUP(A480,IMPORTRANGE(""https://docs.google.com/spreadsheets/d/1BuTWp7qHGjWhqrnf-OmePP568O4A5Am9ttzvVdP67zw/edit#gid=1931367683"" ,""ENERGY!$A$2:$F$2692""), {2,3,4,5,6},0))"),"Africa")</f>
        <v>Africa</v>
      </c>
      <c r="AC480" s="14" t="str">
        <f>IFERROR(__xludf.DUMMYFUNCTION("""COMPUTED_VALUE"""),"Chad-Africa")</f>
        <v>Chad-Africa</v>
      </c>
      <c r="AD480" s="14" t="str">
        <f>IFERROR(__xludf.DUMMYFUNCTION("""COMPUTED_VALUE"""),"2007")</f>
        <v>2007</v>
      </c>
      <c r="AE480" s="14"/>
      <c r="AF480" s="14">
        <f>IFERROR(__xludf.DUMMYFUNCTION("""COMPUTED_VALUE"""),169.0)</f>
        <v>169</v>
      </c>
    </row>
    <row r="481">
      <c r="A481" s="12">
        <v>480.0</v>
      </c>
      <c r="B481" s="12" t="s">
        <v>115</v>
      </c>
      <c r="C481" s="5" t="s">
        <v>77</v>
      </c>
      <c r="D481" s="11">
        <v>0.758</v>
      </c>
      <c r="E481" s="11">
        <v>55.0</v>
      </c>
      <c r="F481" s="8"/>
      <c r="G481" s="11">
        <v>732.0</v>
      </c>
      <c r="H481" s="11">
        <v>0.019</v>
      </c>
      <c r="I481" s="11">
        <v>0.303</v>
      </c>
      <c r="J481" s="9" t="s">
        <v>72</v>
      </c>
      <c r="K481" s="14" t="str">
        <f>IFERROR(__xludf.DUMMYFUNCTION("ARRAYFORMULA(VLOOKUP(A481,IMPORTRANGE(""https://docs.google.com/spreadsheets/d/1BuTWp7qHGjWhqrnf-OmePP568O4A5Am9ttzvVdP67zw/edit#gid=1603210130"", ""TOURISM!$A$2:$F$2692""), {2,3,4,5,6},0))"),"Africa")</f>
        <v>Africa</v>
      </c>
      <c r="L481" s="14"/>
      <c r="M481" s="14" t="str">
        <f>IFERROR(__xludf.DUMMYFUNCTION("""COMPUTED_VALUE"""),"Chad-Africa")</f>
        <v>Chad-Africa</v>
      </c>
      <c r="N481" s="14" t="str">
        <f>IFERROR(__xludf.DUMMYFUNCTION("""COMPUTED_VALUE"""),"2011")</f>
        <v>2011</v>
      </c>
      <c r="O481" s="14"/>
      <c r="P481" s="15">
        <f>IFERROR(__xludf.DUMMYFUNCTION("ARRAYFORMULA(VLOOKUP(A481,IMPORTRANGE(""https://docs.google.com/spreadsheets/d/1BuTWp7qHGjWhqrnf-OmePP568O4A5Am9ttzvVdP67zw/edit#gid=771602874"" ,""HUMAN RESOURCES!$A$2:$M$2692""), {2,3,4,5,6,7,8,9,10,11,12,13},0))"),0.047)</f>
        <v>0.047</v>
      </c>
      <c r="Q481" s="14">
        <f>IFERROR(__xludf.DUMMYFUNCTION("""COMPUTED_VALUE"""),0.092)</f>
        <v>0.092</v>
      </c>
      <c r="R481" s="14">
        <f>IFERROR(__xludf.DUMMYFUNCTION("""COMPUTED_VALUE"""),51.0)</f>
        <v>51</v>
      </c>
      <c r="S481" s="14">
        <f>IFERROR(__xludf.DUMMYFUNCTION("""COMPUTED_VALUE"""),49.0)</f>
        <v>49</v>
      </c>
      <c r="T481" s="14">
        <f>IFERROR(__xludf.DUMMYFUNCTION("""COMPUTED_VALUE"""),0.487)</f>
        <v>0.487</v>
      </c>
      <c r="U481" s="14">
        <f>IFERROR(__xludf.DUMMYFUNCTION("""COMPUTED_VALUE"""),0.488)</f>
        <v>0.488</v>
      </c>
      <c r="V481" s="14">
        <f>IFERROR(__xludf.DUMMYFUNCTION("""COMPUTED_VALUE"""),0.025)</f>
        <v>0.025</v>
      </c>
      <c r="W481" s="14">
        <f>IFERROR(__xludf.DUMMYFUNCTION("""COMPUTED_VALUE"""),1.2080037E7)</f>
        <v>12080037</v>
      </c>
      <c r="X481" s="14">
        <f>IFERROR(__xludf.DUMMYFUNCTION("""COMPUTED_VALUE"""),0.22)</f>
        <v>0.22</v>
      </c>
      <c r="Y481" s="14" t="str">
        <f>IFERROR(__xludf.DUMMYFUNCTION("""COMPUTED_VALUE"""),"Chad-Africa")</f>
        <v>Chad-Africa</v>
      </c>
      <c r="Z481" s="14" t="str">
        <f>IFERROR(__xludf.DUMMYFUNCTION("""COMPUTED_VALUE"""),"Africa")</f>
        <v>Africa</v>
      </c>
      <c r="AA481" s="14" t="str">
        <f>IFERROR(__xludf.DUMMYFUNCTION("""COMPUTED_VALUE"""),"2011")</f>
        <v>2011</v>
      </c>
      <c r="AB481" s="15" t="str">
        <f>IFERROR(__xludf.DUMMYFUNCTION("ARRAYFORMULA(VLOOKUP(A481,IMPORTRANGE(""https://docs.google.com/spreadsheets/d/1BuTWp7qHGjWhqrnf-OmePP568O4A5Am9ttzvVdP67zw/edit#gid=1931367683"" ,""ENERGY!$A$2:$F$2692""), {2,3,4,5,6},0))"),"Africa")</f>
        <v>Africa</v>
      </c>
      <c r="AC481" s="14" t="str">
        <f>IFERROR(__xludf.DUMMYFUNCTION("""COMPUTED_VALUE"""),"Chad-Africa")</f>
        <v>Chad-Africa</v>
      </c>
      <c r="AD481" s="14" t="str">
        <f>IFERROR(__xludf.DUMMYFUNCTION("""COMPUTED_VALUE"""),"2004")</f>
        <v>2004</v>
      </c>
      <c r="AE481" s="14"/>
      <c r="AF481" s="14">
        <f>IFERROR(__xludf.DUMMYFUNCTION("""COMPUTED_VALUE"""),172.0)</f>
        <v>172</v>
      </c>
    </row>
    <row r="482">
      <c r="A482" s="12">
        <v>481.0</v>
      </c>
      <c r="B482" s="12" t="s">
        <v>115</v>
      </c>
      <c r="C482" s="5" t="s">
        <v>77</v>
      </c>
      <c r="D482" s="11">
        <v>0.757</v>
      </c>
      <c r="E482" s="11">
        <v>62.0</v>
      </c>
      <c r="F482" s="11">
        <v>189.0</v>
      </c>
      <c r="G482" s="11">
        <v>732.0</v>
      </c>
      <c r="H482" s="11">
        <v>0.021</v>
      </c>
      <c r="I482" s="11">
        <v>0.354</v>
      </c>
      <c r="J482" s="9" t="s">
        <v>73</v>
      </c>
      <c r="K482" s="14" t="str">
        <f>IFERROR(__xludf.DUMMYFUNCTION("ARRAYFORMULA(VLOOKUP(A482,IMPORTRANGE(""https://docs.google.com/spreadsheets/d/1BuTWp7qHGjWhqrnf-OmePP568O4A5Am9ttzvVdP67zw/edit#gid=1603210130"", ""TOURISM!$A$2:$F$2692""), {2,3,4,5,6},0))"),"Africa")</f>
        <v>Africa</v>
      </c>
      <c r="L482" s="14"/>
      <c r="M482" s="14" t="str">
        <f>IFERROR(__xludf.DUMMYFUNCTION("""COMPUTED_VALUE"""),"Chad-Africa")</f>
        <v>Chad-Africa</v>
      </c>
      <c r="N482" s="14" t="str">
        <f>IFERROR(__xludf.DUMMYFUNCTION("""COMPUTED_VALUE"""),"2012")</f>
        <v>2012</v>
      </c>
      <c r="O482" s="14"/>
      <c r="P482" s="15">
        <f>IFERROR(__xludf.DUMMYFUNCTION("ARRAYFORMULA(VLOOKUP(A482,IMPORTRANGE(""https://docs.google.com/spreadsheets/d/1BuTWp7qHGjWhqrnf-OmePP568O4A5Am9ttzvVdP67zw/edit#gid=771602874"" ,""HUMAN RESOURCES!$A$2:$M$2692""), {2,3,4,5,6,7,8,9,10,11,12,13},0))"),0.046)</f>
        <v>0.046</v>
      </c>
      <c r="Q482" s="14">
        <f>IFERROR(__xludf.DUMMYFUNCTION("""COMPUTED_VALUE"""),0.09)</f>
        <v>0.09</v>
      </c>
      <c r="R482" s="14">
        <f>IFERROR(__xludf.DUMMYFUNCTION("""COMPUTED_VALUE"""),52.0)</f>
        <v>52</v>
      </c>
      <c r="S482" s="14">
        <f>IFERROR(__xludf.DUMMYFUNCTION("""COMPUTED_VALUE"""),50.0)</f>
        <v>50</v>
      </c>
      <c r="T482" s="14">
        <f>IFERROR(__xludf.DUMMYFUNCTION("""COMPUTED_VALUE"""),0.485)</f>
        <v>0.485</v>
      </c>
      <c r="U482" s="14">
        <f>IFERROR(__xludf.DUMMYFUNCTION("""COMPUTED_VALUE"""),0.49)</f>
        <v>0.49</v>
      </c>
      <c r="V482" s="14">
        <f>IFERROR(__xludf.DUMMYFUNCTION("""COMPUTED_VALUE"""),0.024)</f>
        <v>0.024</v>
      </c>
      <c r="W482" s="14">
        <f>IFERROR(__xludf.DUMMYFUNCTION("""COMPUTED_VALUE"""),1.2448175E7)</f>
        <v>12448175</v>
      </c>
      <c r="X482" s="14">
        <f>IFERROR(__xludf.DUMMYFUNCTION("""COMPUTED_VALUE"""),0.221)</f>
        <v>0.221</v>
      </c>
      <c r="Y482" s="14" t="str">
        <f>IFERROR(__xludf.DUMMYFUNCTION("""COMPUTED_VALUE"""),"Chad-Africa")</f>
        <v>Chad-Africa</v>
      </c>
      <c r="Z482" s="14" t="str">
        <f>IFERROR(__xludf.DUMMYFUNCTION("""COMPUTED_VALUE"""),"Africa")</f>
        <v>Africa</v>
      </c>
      <c r="AA482" s="14" t="str">
        <f>IFERROR(__xludf.DUMMYFUNCTION("""COMPUTED_VALUE"""),"2012")</f>
        <v>2012</v>
      </c>
      <c r="AB482" s="15" t="str">
        <f>IFERROR(__xludf.DUMMYFUNCTION("ARRAYFORMULA(VLOOKUP(A482,IMPORTRANGE(""https://docs.google.com/spreadsheets/d/1BuTWp7qHGjWhqrnf-OmePP568O4A5Am9ttzvVdP67zw/edit#gid=1931367683"" ,""ENERGY!$A$2:$F$2692""), {2,3,4,5,6},0))"),"Africa")</f>
        <v>Africa</v>
      </c>
      <c r="AC482" s="14" t="str">
        <f>IFERROR(__xludf.DUMMYFUNCTION("""COMPUTED_VALUE"""),"Chad-Africa")</f>
        <v>Chad-Africa</v>
      </c>
      <c r="AD482" s="14" t="str">
        <f>IFERROR(__xludf.DUMMYFUNCTION("""COMPUTED_VALUE"""),"2009")</f>
        <v>2009</v>
      </c>
      <c r="AE482" s="14"/>
      <c r="AF482" s="14">
        <f>IFERROR(__xludf.DUMMYFUNCTION("""COMPUTED_VALUE"""),176.0)</f>
        <v>176</v>
      </c>
    </row>
    <row r="483">
      <c r="A483" s="12">
        <v>482.0</v>
      </c>
      <c r="B483" s="12" t="s">
        <v>116</v>
      </c>
      <c r="C483" s="5" t="s">
        <v>84</v>
      </c>
      <c r="D483" s="8"/>
      <c r="E483" s="8"/>
      <c r="F483" s="8"/>
      <c r="G483" s="8"/>
      <c r="H483" s="11">
        <v>0.166</v>
      </c>
      <c r="I483" s="11">
        <v>0.22</v>
      </c>
      <c r="J483" s="9" t="s">
        <v>60</v>
      </c>
      <c r="K483" s="14" t="str">
        <f>IFERROR(__xludf.DUMMYFUNCTION("ARRAYFORMULA(VLOOKUP(A483,IMPORTRANGE(""https://docs.google.com/spreadsheets/d/1BuTWp7qHGjWhqrnf-OmePP568O4A5Am9ttzvVdP67zw/edit#gid=1603210130"", ""TOURISM!$A$2:$F$2692""), {2,3,4,5,6},0))"),"The Americas")</f>
        <v>The Americas</v>
      </c>
      <c r="L483" s="14">
        <f>IFERROR(__xludf.DUMMYFUNCTION("""COMPUTED_VALUE"""),1.179E9)</f>
        <v>1179000000</v>
      </c>
      <c r="M483" s="14" t="str">
        <f>IFERROR(__xludf.DUMMYFUNCTION("""COMPUTED_VALUE"""),"Chile-The Americas")</f>
        <v>Chile-The Americas</v>
      </c>
      <c r="N483" s="14" t="str">
        <f>IFERROR(__xludf.DUMMYFUNCTION("""COMPUTED_VALUE"""),"2000")</f>
        <v>2000</v>
      </c>
      <c r="O483" s="14">
        <f>IFERROR(__xludf.DUMMYFUNCTION("""COMPUTED_VALUE"""),9.04E8)</f>
        <v>904000000</v>
      </c>
      <c r="P483" s="15">
        <f>IFERROR(__xludf.DUMMYFUNCTION("ARRAYFORMULA(VLOOKUP(A483,IMPORTRANGE(""https://docs.google.com/spreadsheets/d/1BuTWp7qHGjWhqrnf-OmePP568O4A5Am9ttzvVdP67zw/edit#gid=771602874"" ,""HUMAN RESOURCES!$A$2:$M$2692""), {2,3,4,5,6,7,8,9,10,11,12,13},0))"),0.017)</f>
        <v>0.017</v>
      </c>
      <c r="Q483" s="14">
        <f>IFERROR(__xludf.DUMMYFUNCTION("""COMPUTED_VALUE"""),0.009)</f>
        <v>0.009</v>
      </c>
      <c r="R483" s="14">
        <f>IFERROR(__xludf.DUMMYFUNCTION("""COMPUTED_VALUE"""),80.0)</f>
        <v>80</v>
      </c>
      <c r="S483" s="14">
        <f>IFERROR(__xludf.DUMMYFUNCTION("""COMPUTED_VALUE"""),74.0)</f>
        <v>74</v>
      </c>
      <c r="T483" s="14">
        <f>IFERROR(__xludf.DUMMYFUNCTION("""COMPUTED_VALUE"""),0.278)</f>
        <v>0.278</v>
      </c>
      <c r="U483" s="14">
        <f>IFERROR(__xludf.DUMMYFUNCTION("""COMPUTED_VALUE"""),0.65)</f>
        <v>0.65</v>
      </c>
      <c r="V483" s="14">
        <f>IFERROR(__xludf.DUMMYFUNCTION("""COMPUTED_VALUE"""),0.072)</f>
        <v>0.072</v>
      </c>
      <c r="W483" s="14">
        <f>IFERROR(__xludf.DUMMYFUNCTION("""COMPUTED_VALUE"""),1.5454402E7)</f>
        <v>15454402</v>
      </c>
      <c r="X483" s="14">
        <f>IFERROR(__xludf.DUMMYFUNCTION("""COMPUTED_VALUE"""),0.861)</f>
        <v>0.861</v>
      </c>
      <c r="Y483" s="14" t="str">
        <f>IFERROR(__xludf.DUMMYFUNCTION("""COMPUTED_VALUE"""),"Chile-The Americas")</f>
        <v>Chile-The Americas</v>
      </c>
      <c r="Z483" s="14" t="str">
        <f>IFERROR(__xludf.DUMMYFUNCTION("""COMPUTED_VALUE"""),"The Americas")</f>
        <v>The Americas</v>
      </c>
      <c r="AA483" s="14" t="str">
        <f>IFERROR(__xludf.DUMMYFUNCTION("""COMPUTED_VALUE"""),"2000")</f>
        <v>2000</v>
      </c>
      <c r="AB483" s="15" t="str">
        <f>IFERROR(__xludf.DUMMYFUNCTION("ARRAYFORMULA(VLOOKUP(A483,IMPORTRANGE(""https://docs.google.com/spreadsheets/d/1BuTWp7qHGjWhqrnf-OmePP568O4A5Am9ttzvVdP67zw/edit#gid=1931367683"" ,""ENERGY!$A$2:$F$2692""), {2,3,4,5,6},0))"),"The Americas")</f>
        <v>The Americas</v>
      </c>
      <c r="AC483" s="14" t="str">
        <f>IFERROR(__xludf.DUMMYFUNCTION("""COMPUTED_VALUE"""),"Chile-The Americas")</f>
        <v>Chile-The Americas</v>
      </c>
      <c r="AD483" s="14" t="str">
        <f>IFERROR(__xludf.DUMMYFUNCTION("""COMPUTED_VALUE"""),"2000")</f>
        <v>2000</v>
      </c>
      <c r="AE483" s="14">
        <f>IFERROR(__xludf.DUMMYFUNCTION("""COMPUTED_VALUE"""),32720.0)</f>
        <v>32720</v>
      </c>
      <c r="AF483" s="14"/>
    </row>
    <row r="484">
      <c r="A484" s="12">
        <v>483.0</v>
      </c>
      <c r="B484" s="12" t="s">
        <v>116</v>
      </c>
      <c r="C484" s="5" t="s">
        <v>84</v>
      </c>
      <c r="D484" s="8"/>
      <c r="E484" s="8"/>
      <c r="F484" s="8"/>
      <c r="G484" s="8"/>
      <c r="H484" s="11">
        <v>0.191</v>
      </c>
      <c r="I484" s="11">
        <v>0.326</v>
      </c>
      <c r="J484" s="9" t="s">
        <v>62</v>
      </c>
      <c r="K484" s="14" t="str">
        <f>IFERROR(__xludf.DUMMYFUNCTION("ARRAYFORMULA(VLOOKUP(A484,IMPORTRANGE(""https://docs.google.com/spreadsheets/d/1BuTWp7qHGjWhqrnf-OmePP568O4A5Am9ttzvVdP67zw/edit#gid=1603210130"", ""TOURISM!$A$2:$F$2692""), {2,3,4,5,6},0))"),"The Americas")</f>
        <v>The Americas</v>
      </c>
      <c r="L484" s="14">
        <f>IFERROR(__xludf.DUMMYFUNCTION("""COMPUTED_VALUE"""),1.184E9)</f>
        <v>1184000000</v>
      </c>
      <c r="M484" s="14" t="str">
        <f>IFERROR(__xludf.DUMMYFUNCTION("""COMPUTED_VALUE"""),"Chile-The Americas")</f>
        <v>Chile-The Americas</v>
      </c>
      <c r="N484" s="14" t="str">
        <f>IFERROR(__xludf.DUMMYFUNCTION("""COMPUTED_VALUE"""),"2001")</f>
        <v>2001</v>
      </c>
      <c r="O484" s="14">
        <f>IFERROR(__xludf.DUMMYFUNCTION("""COMPUTED_VALUE"""),9.39E8)</f>
        <v>939000000</v>
      </c>
      <c r="P484" s="15">
        <f>IFERROR(__xludf.DUMMYFUNCTION("ARRAYFORMULA(VLOOKUP(A484,IMPORTRANGE(""https://docs.google.com/spreadsheets/d/1BuTWp7qHGjWhqrnf-OmePP568O4A5Am9ttzvVdP67zw/edit#gid=771602874"" ,""HUMAN RESOURCES!$A$2:$M$2692""), {2,3,4,5,6,7,8,9,10,11,12,13},0))"),0.016)</f>
        <v>0.016</v>
      </c>
      <c r="Q484" s="14">
        <f>IFERROR(__xludf.DUMMYFUNCTION("""COMPUTED_VALUE"""),0.009)</f>
        <v>0.009</v>
      </c>
      <c r="R484" s="14">
        <f>IFERROR(__xludf.DUMMYFUNCTION("""COMPUTED_VALUE"""),80.0)</f>
        <v>80</v>
      </c>
      <c r="S484" s="14">
        <f>IFERROR(__xludf.DUMMYFUNCTION("""COMPUTED_VALUE"""),74.0)</f>
        <v>74</v>
      </c>
      <c r="T484" s="14">
        <f>IFERROR(__xludf.DUMMYFUNCTION("""COMPUTED_VALUE"""),0.273)</f>
        <v>0.273</v>
      </c>
      <c r="U484" s="14">
        <f>IFERROR(__xludf.DUMMYFUNCTION("""COMPUTED_VALUE"""),0.654)</f>
        <v>0.654</v>
      </c>
      <c r="V484" s="14">
        <f>IFERROR(__xludf.DUMMYFUNCTION("""COMPUTED_VALUE"""),0.074)</f>
        <v>0.074</v>
      </c>
      <c r="W484" s="14">
        <f>IFERROR(__xludf.DUMMYFUNCTION("""COMPUTED_VALUE"""),1.5639289E7)</f>
        <v>15639289</v>
      </c>
      <c r="X484" s="14">
        <f>IFERROR(__xludf.DUMMYFUNCTION("""COMPUTED_VALUE"""),0.864)</f>
        <v>0.864</v>
      </c>
      <c r="Y484" s="14" t="str">
        <f>IFERROR(__xludf.DUMMYFUNCTION("""COMPUTED_VALUE"""),"Chile-The Americas")</f>
        <v>Chile-The Americas</v>
      </c>
      <c r="Z484" s="14" t="str">
        <f>IFERROR(__xludf.DUMMYFUNCTION("""COMPUTED_VALUE"""),"The Americas")</f>
        <v>The Americas</v>
      </c>
      <c r="AA484" s="14" t="str">
        <f>IFERROR(__xludf.DUMMYFUNCTION("""COMPUTED_VALUE"""),"2001")</f>
        <v>2001</v>
      </c>
      <c r="AB484" s="15" t="str">
        <f>IFERROR(__xludf.DUMMYFUNCTION("ARRAYFORMULA(VLOOKUP(A484,IMPORTRANGE(""https://docs.google.com/spreadsheets/d/1BuTWp7qHGjWhqrnf-OmePP568O4A5Am9ttzvVdP67zw/edit#gid=1931367683"" ,""ENERGY!$A$2:$F$2692""), {2,3,4,5,6},0))"),"The Americas")</f>
        <v>The Americas</v>
      </c>
      <c r="AC484" s="14" t="str">
        <f>IFERROR(__xludf.DUMMYFUNCTION("""COMPUTED_VALUE"""),"Chile-The Americas")</f>
        <v>Chile-The Americas</v>
      </c>
      <c r="AD484" s="14" t="str">
        <f>IFERROR(__xludf.DUMMYFUNCTION("""COMPUTED_VALUE"""),"2001")</f>
        <v>2001</v>
      </c>
      <c r="AE484" s="14">
        <f>IFERROR(__xludf.DUMMYFUNCTION("""COMPUTED_VALUE"""),33574.0)</f>
        <v>33574</v>
      </c>
      <c r="AF484" s="14"/>
    </row>
    <row r="485">
      <c r="A485" s="12">
        <v>484.0</v>
      </c>
      <c r="B485" s="12" t="s">
        <v>116</v>
      </c>
      <c r="C485" s="5" t="s">
        <v>84</v>
      </c>
      <c r="D485" s="8"/>
      <c r="E485" s="8"/>
      <c r="F485" s="8"/>
      <c r="G485" s="8"/>
      <c r="H485" s="11">
        <v>0.221</v>
      </c>
      <c r="I485" s="11">
        <v>0.395</v>
      </c>
      <c r="J485" s="9" t="s">
        <v>63</v>
      </c>
      <c r="K485" s="14" t="str">
        <f>IFERROR(__xludf.DUMMYFUNCTION("ARRAYFORMULA(VLOOKUP(A485,IMPORTRANGE(""https://docs.google.com/spreadsheets/d/1BuTWp7qHGjWhqrnf-OmePP568O4A5Am9ttzvVdP67zw/edit#gid=1603210130"", ""TOURISM!$A$2:$F$2692""), {2,3,4,5,6},0))"),"The Americas")</f>
        <v>The Americas</v>
      </c>
      <c r="L485" s="14">
        <f>IFERROR(__xludf.DUMMYFUNCTION("""COMPUTED_VALUE"""),1.221E9)</f>
        <v>1221000000</v>
      </c>
      <c r="M485" s="14" t="str">
        <f>IFERROR(__xludf.DUMMYFUNCTION("""COMPUTED_VALUE"""),"Chile-The Americas")</f>
        <v>Chile-The Americas</v>
      </c>
      <c r="N485" s="14" t="str">
        <f>IFERROR(__xludf.DUMMYFUNCTION("""COMPUTED_VALUE"""),"2002")</f>
        <v>2002</v>
      </c>
      <c r="O485" s="14">
        <f>IFERROR(__xludf.DUMMYFUNCTION("""COMPUTED_VALUE"""),9.32E8)</f>
        <v>932000000</v>
      </c>
      <c r="P485" s="15">
        <f>IFERROR(__xludf.DUMMYFUNCTION("ARRAYFORMULA(VLOOKUP(A485,IMPORTRANGE(""https://docs.google.com/spreadsheets/d/1BuTWp7qHGjWhqrnf-OmePP568O4A5Am9ttzvVdP67zw/edit#gid=771602874"" ,""HUMAN RESOURCES!$A$2:$M$2692""), {2,3,4,5,6,7,8,9,10,11,12,13},0))"),0.016)</f>
        <v>0.016</v>
      </c>
      <c r="Q485" s="14">
        <f>IFERROR(__xludf.DUMMYFUNCTION("""COMPUTED_VALUE"""),0.008)</f>
        <v>0.008</v>
      </c>
      <c r="R485" s="14">
        <f>IFERROR(__xludf.DUMMYFUNCTION("""COMPUTED_VALUE"""),81.0)</f>
        <v>81</v>
      </c>
      <c r="S485" s="14">
        <f>IFERROR(__xludf.DUMMYFUNCTION("""COMPUTED_VALUE"""),75.0)</f>
        <v>75</v>
      </c>
      <c r="T485" s="14">
        <f>IFERROR(__xludf.DUMMYFUNCTION("""COMPUTED_VALUE"""),0.267)</f>
        <v>0.267</v>
      </c>
      <c r="U485" s="14">
        <f>IFERROR(__xludf.DUMMYFUNCTION("""COMPUTED_VALUE"""),0.658)</f>
        <v>0.658</v>
      </c>
      <c r="V485" s="14">
        <f>IFERROR(__xludf.DUMMYFUNCTION("""COMPUTED_VALUE"""),0.075)</f>
        <v>0.075</v>
      </c>
      <c r="W485" s="14">
        <f>IFERROR(__xludf.DUMMYFUNCTION("""COMPUTED_VALUE"""),1.5819522E7)</f>
        <v>15819522</v>
      </c>
      <c r="X485" s="14">
        <f>IFERROR(__xludf.DUMMYFUNCTION("""COMPUTED_VALUE"""),0.866)</f>
        <v>0.866</v>
      </c>
      <c r="Y485" s="14" t="str">
        <f>IFERROR(__xludf.DUMMYFUNCTION("""COMPUTED_VALUE"""),"Chile-The Americas")</f>
        <v>Chile-The Americas</v>
      </c>
      <c r="Z485" s="14" t="str">
        <f>IFERROR(__xludf.DUMMYFUNCTION("""COMPUTED_VALUE"""),"The Americas")</f>
        <v>The Americas</v>
      </c>
      <c r="AA485" s="14" t="str">
        <f>IFERROR(__xludf.DUMMYFUNCTION("""COMPUTED_VALUE"""),"2002")</f>
        <v>2002</v>
      </c>
      <c r="AB485" s="15" t="str">
        <f>IFERROR(__xludf.DUMMYFUNCTION("ARRAYFORMULA(VLOOKUP(A485,IMPORTRANGE(""https://docs.google.com/spreadsheets/d/1BuTWp7qHGjWhqrnf-OmePP568O4A5Am9ttzvVdP67zw/edit#gid=1931367683"" ,""ENERGY!$A$2:$F$2692""), {2,3,4,5,6},0))"),"The Americas")</f>
        <v>The Americas</v>
      </c>
      <c r="AC485" s="14" t="str">
        <f>IFERROR(__xludf.DUMMYFUNCTION("""COMPUTED_VALUE"""),"Chile-The Americas")</f>
        <v>Chile-The Americas</v>
      </c>
      <c r="AD485" s="14" t="str">
        <f>IFERROR(__xludf.DUMMYFUNCTION("""COMPUTED_VALUE"""),"2002")</f>
        <v>2002</v>
      </c>
      <c r="AE485" s="14">
        <f>IFERROR(__xludf.DUMMYFUNCTION("""COMPUTED_VALUE"""),30920.0)</f>
        <v>30920</v>
      </c>
      <c r="AF485" s="14">
        <f>IFERROR(__xludf.DUMMYFUNCTION("""COMPUTED_VALUE"""),72258.0)</f>
        <v>72258</v>
      </c>
    </row>
    <row r="486">
      <c r="A486" s="12">
        <v>485.0</v>
      </c>
      <c r="B486" s="12" t="s">
        <v>116</v>
      </c>
      <c r="C486" s="5" t="s">
        <v>84</v>
      </c>
      <c r="D486" s="8"/>
      <c r="E486" s="11">
        <v>27.0</v>
      </c>
      <c r="F486" s="8"/>
      <c r="G486" s="8"/>
      <c r="H486" s="11">
        <v>0.255</v>
      </c>
      <c r="I486" s="11">
        <v>0.454</v>
      </c>
      <c r="J486" s="9" t="s">
        <v>64</v>
      </c>
      <c r="K486" s="14" t="str">
        <f>IFERROR(__xludf.DUMMYFUNCTION("ARRAYFORMULA(VLOOKUP(A486,IMPORTRANGE(""https://docs.google.com/spreadsheets/d/1BuTWp7qHGjWhqrnf-OmePP568O4A5Am9ttzvVdP67zw/edit#gid=1603210130"", ""TOURISM!$A$2:$F$2692""), {2,3,4,5,6},0))"),"The Americas")</f>
        <v>The Americas</v>
      </c>
      <c r="L486" s="14">
        <f>IFERROR(__xludf.DUMMYFUNCTION("""COMPUTED_VALUE"""),1.309E9)</f>
        <v>1309000000</v>
      </c>
      <c r="M486" s="14" t="str">
        <f>IFERROR(__xludf.DUMMYFUNCTION("""COMPUTED_VALUE"""),"Chile-The Americas")</f>
        <v>Chile-The Americas</v>
      </c>
      <c r="N486" s="14" t="str">
        <f>IFERROR(__xludf.DUMMYFUNCTION("""COMPUTED_VALUE"""),"2003")</f>
        <v>2003</v>
      </c>
      <c r="O486" s="14">
        <f>IFERROR(__xludf.DUMMYFUNCTION("""COMPUTED_VALUE"""),1.109E9)</f>
        <v>1109000000</v>
      </c>
      <c r="P486" s="15">
        <f>IFERROR(__xludf.DUMMYFUNCTION("ARRAYFORMULA(VLOOKUP(A486,IMPORTRANGE(""https://docs.google.com/spreadsheets/d/1BuTWp7qHGjWhqrnf-OmePP568O4A5Am9ttzvVdP67zw/edit#gid=771602874"" ,""HUMAN RESOURCES!$A$2:$M$2692""), {2,3,4,5,6,7,8,9,10,11,12,13},0))"),0.016)</f>
        <v>0.016</v>
      </c>
      <c r="Q486" s="14">
        <f>IFERROR(__xludf.DUMMYFUNCTION("""COMPUTED_VALUE"""),0.008)</f>
        <v>0.008</v>
      </c>
      <c r="R486" s="14">
        <f>IFERROR(__xludf.DUMMYFUNCTION("""COMPUTED_VALUE"""),81.0)</f>
        <v>81</v>
      </c>
      <c r="S486" s="14">
        <f>IFERROR(__xludf.DUMMYFUNCTION("""COMPUTED_VALUE"""),75.0)</f>
        <v>75</v>
      </c>
      <c r="T486" s="14">
        <f>IFERROR(__xludf.DUMMYFUNCTION("""COMPUTED_VALUE"""),0.261)</f>
        <v>0.261</v>
      </c>
      <c r="U486" s="14">
        <f>IFERROR(__xludf.DUMMYFUNCTION("""COMPUTED_VALUE"""),0.662)</f>
        <v>0.662</v>
      </c>
      <c r="V486" s="14">
        <f>IFERROR(__xludf.DUMMYFUNCTION("""COMPUTED_VALUE"""),0.077)</f>
        <v>0.077</v>
      </c>
      <c r="W486" s="14">
        <f>IFERROR(__xludf.DUMMYFUNCTION("""COMPUTED_VALUE"""),1.5995658E7)</f>
        <v>15995658</v>
      </c>
      <c r="X486" s="14">
        <f>IFERROR(__xludf.DUMMYFUNCTION("""COMPUTED_VALUE"""),0.869)</f>
        <v>0.869</v>
      </c>
      <c r="Y486" s="14" t="str">
        <f>IFERROR(__xludf.DUMMYFUNCTION("""COMPUTED_VALUE"""),"Chile-The Americas")</f>
        <v>Chile-The Americas</v>
      </c>
      <c r="Z486" s="14" t="str">
        <f>IFERROR(__xludf.DUMMYFUNCTION("""COMPUTED_VALUE"""),"The Americas")</f>
        <v>The Americas</v>
      </c>
      <c r="AA486" s="14" t="str">
        <f>IFERROR(__xludf.DUMMYFUNCTION("""COMPUTED_VALUE"""),"2003")</f>
        <v>2003</v>
      </c>
      <c r="AB486" s="15" t="str">
        <f>IFERROR(__xludf.DUMMYFUNCTION("ARRAYFORMULA(VLOOKUP(A486,IMPORTRANGE(""https://docs.google.com/spreadsheets/d/1BuTWp7qHGjWhqrnf-OmePP568O4A5Am9ttzvVdP67zw/edit#gid=1931367683"" ,""ENERGY!$A$2:$F$2692""), {2,3,4,5,6},0))"),"The Americas")</f>
        <v>The Americas</v>
      </c>
      <c r="AC486" s="14" t="str">
        <f>IFERROR(__xludf.DUMMYFUNCTION("""COMPUTED_VALUE"""),"Chile-The Americas")</f>
        <v>Chile-The Americas</v>
      </c>
      <c r="AD486" s="14" t="str">
        <f>IFERROR(__xludf.DUMMYFUNCTION("""COMPUTED_VALUE"""),"2003")</f>
        <v>2003</v>
      </c>
      <c r="AE486" s="14">
        <f>IFERROR(__xludf.DUMMYFUNCTION("""COMPUTED_VALUE"""),29484.0)</f>
        <v>29484</v>
      </c>
      <c r="AF486" s="14">
        <f>IFERROR(__xludf.DUMMYFUNCTION("""COMPUTED_VALUE"""),67267.0)</f>
        <v>67267</v>
      </c>
    </row>
    <row r="487">
      <c r="A487" s="12">
        <v>486.0</v>
      </c>
      <c r="B487" s="12" t="s">
        <v>116</v>
      </c>
      <c r="C487" s="5" t="s">
        <v>84</v>
      </c>
      <c r="D487" s="8"/>
      <c r="E487" s="11">
        <v>27.0</v>
      </c>
      <c r="F487" s="8"/>
      <c r="G487" s="8"/>
      <c r="H487" s="11">
        <v>0.282</v>
      </c>
      <c r="I487" s="11">
        <v>0.573</v>
      </c>
      <c r="J487" s="9" t="s">
        <v>65</v>
      </c>
      <c r="K487" s="14" t="str">
        <f>IFERROR(__xludf.DUMMYFUNCTION("ARRAYFORMULA(VLOOKUP(A487,IMPORTRANGE(""https://docs.google.com/spreadsheets/d/1BuTWp7qHGjWhqrnf-OmePP568O4A5Am9ttzvVdP67zw/edit#gid=1603210130"", ""TOURISM!$A$2:$F$2692""), {2,3,4,5,6},0))"),"The Americas")</f>
        <v>The Americas</v>
      </c>
      <c r="L487" s="14">
        <f>IFERROR(__xludf.DUMMYFUNCTION("""COMPUTED_VALUE"""),1.571E9)</f>
        <v>1571000000</v>
      </c>
      <c r="M487" s="14" t="str">
        <f>IFERROR(__xludf.DUMMYFUNCTION("""COMPUTED_VALUE"""),"Chile-The Americas")</f>
        <v>Chile-The Americas</v>
      </c>
      <c r="N487" s="14" t="str">
        <f>IFERROR(__xludf.DUMMYFUNCTION("""COMPUTED_VALUE"""),"2004")</f>
        <v>2004</v>
      </c>
      <c r="O487" s="14">
        <f>IFERROR(__xludf.DUMMYFUNCTION("""COMPUTED_VALUE"""),1.251E9)</f>
        <v>1251000000</v>
      </c>
      <c r="P487" s="15">
        <f>IFERROR(__xludf.DUMMYFUNCTION("ARRAYFORMULA(VLOOKUP(A487,IMPORTRANGE(""https://docs.google.com/spreadsheets/d/1BuTWp7qHGjWhqrnf-OmePP568O4A5Am9ttzvVdP67zw/edit#gid=771602874"" ,""HUMAN RESOURCES!$A$2:$M$2692""), {2,3,4,5,6,7,8,9,10,11,12,13},0))"),0.015)</f>
        <v>0.015</v>
      </c>
      <c r="Q487" s="14">
        <f>IFERROR(__xludf.DUMMYFUNCTION("""COMPUTED_VALUE"""),0.008)</f>
        <v>0.008</v>
      </c>
      <c r="R487" s="14">
        <f>IFERROR(__xludf.DUMMYFUNCTION("""COMPUTED_VALUE"""),81.0)</f>
        <v>81</v>
      </c>
      <c r="S487" s="14">
        <f>IFERROR(__xludf.DUMMYFUNCTION("""COMPUTED_VALUE"""),75.0)</f>
        <v>75</v>
      </c>
      <c r="T487" s="14">
        <f>IFERROR(__xludf.DUMMYFUNCTION("""COMPUTED_VALUE"""),0.255)</f>
        <v>0.255</v>
      </c>
      <c r="U487" s="14">
        <f>IFERROR(__xludf.DUMMYFUNCTION("""COMPUTED_VALUE"""),0.667)</f>
        <v>0.667</v>
      </c>
      <c r="V487" s="14">
        <f>IFERROR(__xludf.DUMMYFUNCTION("""COMPUTED_VALUE"""),0.079)</f>
        <v>0.079</v>
      </c>
      <c r="W487" s="14">
        <f>IFERROR(__xludf.DUMMYFUNCTION("""COMPUTED_VALUE"""),1.6168241E7)</f>
        <v>16168241</v>
      </c>
      <c r="X487" s="14">
        <f>IFERROR(__xludf.DUMMYFUNCTION("""COMPUTED_VALUE"""),0.872)</f>
        <v>0.872</v>
      </c>
      <c r="Y487" s="14" t="str">
        <f>IFERROR(__xludf.DUMMYFUNCTION("""COMPUTED_VALUE"""),"Chile-The Americas")</f>
        <v>Chile-The Americas</v>
      </c>
      <c r="Z487" s="14" t="str">
        <f>IFERROR(__xludf.DUMMYFUNCTION("""COMPUTED_VALUE"""),"The Americas")</f>
        <v>The Americas</v>
      </c>
      <c r="AA487" s="14" t="str">
        <f>IFERROR(__xludf.DUMMYFUNCTION("""COMPUTED_VALUE"""),"2004")</f>
        <v>2004</v>
      </c>
      <c r="AB487" s="15" t="str">
        <f>IFERROR(__xludf.DUMMYFUNCTION("ARRAYFORMULA(VLOOKUP(A487,IMPORTRANGE(""https://docs.google.com/spreadsheets/d/1BuTWp7qHGjWhqrnf-OmePP568O4A5Am9ttzvVdP67zw/edit#gid=1931367683"" ,""ENERGY!$A$2:$F$2692""), {2,3,4,5,6},0))"),"The Americas")</f>
        <v>The Americas</v>
      </c>
      <c r="AC487" s="14" t="str">
        <f>IFERROR(__xludf.DUMMYFUNCTION("""COMPUTED_VALUE"""),"Chile-The Americas")</f>
        <v>Chile-The Americas</v>
      </c>
      <c r="AD487" s="14" t="str">
        <f>IFERROR(__xludf.DUMMYFUNCTION("""COMPUTED_VALUE"""),"2004")</f>
        <v>2004</v>
      </c>
      <c r="AE487" s="14">
        <f>IFERROR(__xludf.DUMMYFUNCTION("""COMPUTED_VALUE"""),30310.0)</f>
        <v>30310</v>
      </c>
      <c r="AF487" s="14">
        <f>IFERROR(__xludf.DUMMYFUNCTION("""COMPUTED_VALUE"""),71224.0)</f>
        <v>71224</v>
      </c>
    </row>
    <row r="488">
      <c r="A488" s="12">
        <v>487.0</v>
      </c>
      <c r="B488" s="12" t="s">
        <v>116</v>
      </c>
      <c r="C488" s="5" t="s">
        <v>84</v>
      </c>
      <c r="D488" s="11">
        <v>0.253</v>
      </c>
      <c r="E488" s="11">
        <v>27.0</v>
      </c>
      <c r="F488" s="8"/>
      <c r="G488" s="11">
        <v>316.0</v>
      </c>
      <c r="H488" s="11">
        <v>0.312</v>
      </c>
      <c r="I488" s="11">
        <v>0.647</v>
      </c>
      <c r="J488" s="9" t="s">
        <v>66</v>
      </c>
      <c r="K488" s="14" t="str">
        <f>IFERROR(__xludf.DUMMYFUNCTION("ARRAYFORMULA(VLOOKUP(A488,IMPORTRANGE(""https://docs.google.com/spreadsheets/d/1BuTWp7qHGjWhqrnf-OmePP568O4A5Am9ttzvVdP67zw/edit#gid=1603210130"", ""TOURISM!$A$2:$F$2692""), {2,3,4,5,6},0))"),"The Americas")</f>
        <v>The Americas</v>
      </c>
      <c r="L488" s="14">
        <f>IFERROR(__xludf.DUMMYFUNCTION("""COMPUTED_VALUE"""),1.682E9)</f>
        <v>1682000000</v>
      </c>
      <c r="M488" s="14" t="str">
        <f>IFERROR(__xludf.DUMMYFUNCTION("""COMPUTED_VALUE"""),"Chile-The Americas")</f>
        <v>Chile-The Americas</v>
      </c>
      <c r="N488" s="14" t="str">
        <f>IFERROR(__xludf.DUMMYFUNCTION("""COMPUTED_VALUE"""),"2005")</f>
        <v>2005</v>
      </c>
      <c r="O488" s="14">
        <f>IFERROR(__xludf.DUMMYFUNCTION("""COMPUTED_VALUE"""),1.355E9)</f>
        <v>1355000000</v>
      </c>
      <c r="P488" s="15">
        <f>IFERROR(__xludf.DUMMYFUNCTION("ARRAYFORMULA(VLOOKUP(A488,IMPORTRANGE(""https://docs.google.com/spreadsheets/d/1BuTWp7qHGjWhqrnf-OmePP568O4A5Am9ttzvVdP67zw/edit#gid=771602874"" ,""HUMAN RESOURCES!$A$2:$M$2692""), {2,3,4,5,6,7,8,9,10,11,12,13},0))"),0.015)</f>
        <v>0.015</v>
      </c>
      <c r="Q488" s="14">
        <f>IFERROR(__xludf.DUMMYFUNCTION("""COMPUTED_VALUE"""),0.008)</f>
        <v>0.008</v>
      </c>
      <c r="R488" s="14">
        <f>IFERROR(__xludf.DUMMYFUNCTION("""COMPUTED_VALUE"""),81.0)</f>
        <v>81</v>
      </c>
      <c r="S488" s="14">
        <f>IFERROR(__xludf.DUMMYFUNCTION("""COMPUTED_VALUE"""),75.0)</f>
        <v>75</v>
      </c>
      <c r="T488" s="14">
        <f>IFERROR(__xludf.DUMMYFUNCTION("""COMPUTED_VALUE"""),0.249)</f>
        <v>0.249</v>
      </c>
      <c r="U488" s="14">
        <f>IFERROR(__xludf.DUMMYFUNCTION("""COMPUTED_VALUE"""),0.671)</f>
        <v>0.671</v>
      </c>
      <c r="V488" s="14">
        <f>IFERROR(__xludf.DUMMYFUNCTION("""COMPUTED_VALUE"""),0.08)</f>
        <v>0.08</v>
      </c>
      <c r="W488" s="14">
        <f>IFERROR(__xludf.DUMMYFUNCTION("""COMPUTED_VALUE"""),1.6337749E7)</f>
        <v>16337749</v>
      </c>
      <c r="X488" s="14">
        <f>IFERROR(__xludf.DUMMYFUNCTION("""COMPUTED_VALUE"""),0.874)</f>
        <v>0.874</v>
      </c>
      <c r="Y488" s="14" t="str">
        <f>IFERROR(__xludf.DUMMYFUNCTION("""COMPUTED_VALUE"""),"Chile-The Americas")</f>
        <v>Chile-The Americas</v>
      </c>
      <c r="Z488" s="14" t="str">
        <f>IFERROR(__xludf.DUMMYFUNCTION("""COMPUTED_VALUE"""),"The Americas")</f>
        <v>The Americas</v>
      </c>
      <c r="AA488" s="14" t="str">
        <f>IFERROR(__xludf.DUMMYFUNCTION("""COMPUTED_VALUE"""),"2005")</f>
        <v>2005</v>
      </c>
      <c r="AB488" s="15" t="str">
        <f>IFERROR(__xludf.DUMMYFUNCTION("ARRAYFORMULA(VLOOKUP(A488,IMPORTRANGE(""https://docs.google.com/spreadsheets/d/1BuTWp7qHGjWhqrnf-OmePP568O4A5Am9ttzvVdP67zw/edit#gid=1931367683"" ,""ENERGY!$A$2:$F$2692""), {2,3,4,5,6},0))"),"The Americas")</f>
        <v>The Americas</v>
      </c>
      <c r="AC488" s="14" t="str">
        <f>IFERROR(__xludf.DUMMYFUNCTION("""COMPUTED_VALUE"""),"Chile-The Americas")</f>
        <v>Chile-The Americas</v>
      </c>
      <c r="AD488" s="14" t="str">
        <f>IFERROR(__xludf.DUMMYFUNCTION("""COMPUTED_VALUE"""),"2006")</f>
        <v>2006</v>
      </c>
      <c r="AE488" s="14">
        <f>IFERROR(__xludf.DUMMYFUNCTION("""COMPUTED_VALUE"""),30565.0)</f>
        <v>30565</v>
      </c>
      <c r="AF488" s="14">
        <f>IFERROR(__xludf.DUMMYFUNCTION("""COMPUTED_VALUE"""),71154.0)</f>
        <v>71154</v>
      </c>
    </row>
    <row r="489">
      <c r="A489" s="12">
        <v>488.0</v>
      </c>
      <c r="B489" s="12" t="s">
        <v>116</v>
      </c>
      <c r="C489" s="5" t="s">
        <v>84</v>
      </c>
      <c r="D489" s="11">
        <v>0.251</v>
      </c>
      <c r="E489" s="11">
        <v>27.0</v>
      </c>
      <c r="F489" s="8"/>
      <c r="G489" s="11">
        <v>316.0</v>
      </c>
      <c r="H489" s="11">
        <v>0.345</v>
      </c>
      <c r="I489" s="11">
        <v>0.754</v>
      </c>
      <c r="J489" s="9" t="s">
        <v>67</v>
      </c>
      <c r="K489" s="14" t="str">
        <f>IFERROR(__xludf.DUMMYFUNCTION("ARRAYFORMULA(VLOOKUP(A489,IMPORTRANGE(""https://docs.google.com/spreadsheets/d/1BuTWp7qHGjWhqrnf-OmePP568O4A5Am9ttzvVdP67zw/edit#gid=1603210130"", ""TOURISM!$A$2:$F$2692""), {2,3,4,5,6},0))"),"The Americas")</f>
        <v>The Americas</v>
      </c>
      <c r="L489" s="14">
        <f>IFERROR(__xludf.DUMMYFUNCTION("""COMPUTED_VALUE"""),1.891E9)</f>
        <v>1891000000</v>
      </c>
      <c r="M489" s="14" t="str">
        <f>IFERROR(__xludf.DUMMYFUNCTION("""COMPUTED_VALUE"""),"Chile-The Americas")</f>
        <v>Chile-The Americas</v>
      </c>
      <c r="N489" s="14" t="str">
        <f>IFERROR(__xludf.DUMMYFUNCTION("""COMPUTED_VALUE"""),"2006")</f>
        <v>2006</v>
      </c>
      <c r="O489" s="14">
        <f>IFERROR(__xludf.DUMMYFUNCTION("""COMPUTED_VALUE"""),1.573E9)</f>
        <v>1573000000</v>
      </c>
      <c r="P489" s="15">
        <f>IFERROR(__xludf.DUMMYFUNCTION("ARRAYFORMULA(VLOOKUP(A489,IMPORTRANGE(""https://docs.google.com/spreadsheets/d/1BuTWp7qHGjWhqrnf-OmePP568O4A5Am9ttzvVdP67zw/edit#gid=771602874"" ,""HUMAN RESOURCES!$A$2:$M$2692""), {2,3,4,5,6,7,8,9,10,11,12,13},0))"),0.015)</f>
        <v>0.015</v>
      </c>
      <c r="Q489" s="14">
        <f>IFERROR(__xludf.DUMMYFUNCTION("""COMPUTED_VALUE"""),0.008)</f>
        <v>0.008</v>
      </c>
      <c r="R489" s="14">
        <f>IFERROR(__xludf.DUMMYFUNCTION("""COMPUTED_VALUE"""),81.0)</f>
        <v>81</v>
      </c>
      <c r="S489" s="14">
        <f>IFERROR(__xludf.DUMMYFUNCTION("""COMPUTED_VALUE"""),75.0)</f>
        <v>75</v>
      </c>
      <c r="T489" s="14">
        <f>IFERROR(__xludf.DUMMYFUNCTION("""COMPUTED_VALUE"""),0.243)</f>
        <v>0.243</v>
      </c>
      <c r="U489" s="14">
        <f>IFERROR(__xludf.DUMMYFUNCTION("""COMPUTED_VALUE"""),0.675)</f>
        <v>0.675</v>
      </c>
      <c r="V489" s="14">
        <f>IFERROR(__xludf.DUMMYFUNCTION("""COMPUTED_VALUE"""),0.082)</f>
        <v>0.082</v>
      </c>
      <c r="W489" s="14">
        <f>IFERROR(__xludf.DUMMYFUNCTION("""COMPUTED_VALUE"""),1.650453E7)</f>
        <v>16504530</v>
      </c>
      <c r="X489" s="14">
        <f>IFERROR(__xludf.DUMMYFUNCTION("""COMPUTED_VALUE"""),0.877)</f>
        <v>0.877</v>
      </c>
      <c r="Y489" s="14" t="str">
        <f>IFERROR(__xludf.DUMMYFUNCTION("""COMPUTED_VALUE"""),"Chile-The Americas")</f>
        <v>Chile-The Americas</v>
      </c>
      <c r="Z489" s="14" t="str">
        <f>IFERROR(__xludf.DUMMYFUNCTION("""COMPUTED_VALUE"""),"The Americas")</f>
        <v>The Americas</v>
      </c>
      <c r="AA489" s="14" t="str">
        <f>IFERROR(__xludf.DUMMYFUNCTION("""COMPUTED_VALUE"""),"2006")</f>
        <v>2006</v>
      </c>
      <c r="AB489" s="15" t="str">
        <f>IFERROR(__xludf.DUMMYFUNCTION("ARRAYFORMULA(VLOOKUP(A489,IMPORTRANGE(""https://docs.google.com/spreadsheets/d/1BuTWp7qHGjWhqrnf-OmePP568O4A5Am9ttzvVdP67zw/edit#gid=1931367683"" ,""ENERGY!$A$2:$F$2692""), {2,3,4,5,6},0))"),"The Americas")</f>
        <v>The Americas</v>
      </c>
      <c r="AC489" s="14" t="str">
        <f>IFERROR(__xludf.DUMMYFUNCTION("""COMPUTED_VALUE"""),"Chile-The Americas")</f>
        <v>Chile-The Americas</v>
      </c>
      <c r="AD489" s="14" t="str">
        <f>IFERROR(__xludf.DUMMYFUNCTION("""COMPUTED_VALUE"""),"2010")</f>
        <v>2010</v>
      </c>
      <c r="AE489" s="14">
        <f>IFERROR(__xludf.DUMMYFUNCTION("""COMPUTED_VALUE"""),29507.0)</f>
        <v>29507</v>
      </c>
      <c r="AF489" s="14">
        <f>IFERROR(__xludf.DUMMYFUNCTION("""COMPUTED_VALUE"""),64393.0)</f>
        <v>64393</v>
      </c>
    </row>
    <row r="490">
      <c r="A490" s="12">
        <v>489.0</v>
      </c>
      <c r="B490" s="12" t="s">
        <v>116</v>
      </c>
      <c r="C490" s="5" t="s">
        <v>84</v>
      </c>
      <c r="D490" s="11">
        <v>0.251</v>
      </c>
      <c r="E490" s="11">
        <v>27.0</v>
      </c>
      <c r="F490" s="8"/>
      <c r="G490" s="11">
        <v>316.0</v>
      </c>
      <c r="H490" s="11">
        <v>0.359</v>
      </c>
      <c r="I490" s="11">
        <v>0.837</v>
      </c>
      <c r="J490" s="9" t="s">
        <v>68</v>
      </c>
      <c r="K490" s="14" t="str">
        <f>IFERROR(__xludf.DUMMYFUNCTION("ARRAYFORMULA(VLOOKUP(A490,IMPORTRANGE(""https://docs.google.com/spreadsheets/d/1BuTWp7qHGjWhqrnf-OmePP568O4A5Am9ttzvVdP67zw/edit#gid=1603210130"", ""TOURISM!$A$2:$F$2692""), {2,3,4,5,6},0))"),"The Americas")</f>
        <v>The Americas</v>
      </c>
      <c r="L490" s="14">
        <f>IFERROR(__xludf.DUMMYFUNCTION("""COMPUTED_VALUE"""),2.226E9)</f>
        <v>2226000000</v>
      </c>
      <c r="M490" s="14" t="str">
        <f>IFERROR(__xludf.DUMMYFUNCTION("""COMPUTED_VALUE"""),"Chile-The Americas")</f>
        <v>Chile-The Americas</v>
      </c>
      <c r="N490" s="14" t="str">
        <f>IFERROR(__xludf.DUMMYFUNCTION("""COMPUTED_VALUE"""),"2007")</f>
        <v>2007</v>
      </c>
      <c r="O490" s="14">
        <f>IFERROR(__xludf.DUMMYFUNCTION("""COMPUTED_VALUE"""),2.042E9)</f>
        <v>2042000000</v>
      </c>
      <c r="P490" s="15">
        <f>IFERROR(__xludf.DUMMYFUNCTION("ARRAYFORMULA(VLOOKUP(A490,IMPORTRANGE(""https://docs.google.com/spreadsheets/d/1BuTWp7qHGjWhqrnf-OmePP568O4A5Am9ttzvVdP67zw/edit#gid=771602874"" ,""HUMAN RESOURCES!$A$2:$M$2692""), {2,3,4,5,6,7,8,9,10,11,12,13},0))"),0.015)</f>
        <v>0.015</v>
      </c>
      <c r="Q490" s="14">
        <f>IFERROR(__xludf.DUMMYFUNCTION("""COMPUTED_VALUE"""),0.008)</f>
        <v>0.008</v>
      </c>
      <c r="R490" s="14">
        <f>IFERROR(__xludf.DUMMYFUNCTION("""COMPUTED_VALUE"""),82.0)</f>
        <v>82</v>
      </c>
      <c r="S490" s="14">
        <f>IFERROR(__xludf.DUMMYFUNCTION("""COMPUTED_VALUE"""),76.0)</f>
        <v>76</v>
      </c>
      <c r="T490" s="14">
        <f>IFERROR(__xludf.DUMMYFUNCTION("""COMPUTED_VALUE"""),0.237)</f>
        <v>0.237</v>
      </c>
      <c r="U490" s="14">
        <f>IFERROR(__xludf.DUMMYFUNCTION("""COMPUTED_VALUE"""),0.678)</f>
        <v>0.678</v>
      </c>
      <c r="V490" s="14">
        <f>IFERROR(__xludf.DUMMYFUNCTION("""COMPUTED_VALUE"""),0.085)</f>
        <v>0.085</v>
      </c>
      <c r="W490" s="14">
        <f>IFERROR(__xludf.DUMMYFUNCTION("""COMPUTED_VALUE"""),1.6668892E7)</f>
        <v>16668892</v>
      </c>
      <c r="X490" s="14">
        <f>IFERROR(__xludf.DUMMYFUNCTION("""COMPUTED_VALUE"""),0.879)</f>
        <v>0.879</v>
      </c>
      <c r="Y490" s="14" t="str">
        <f>IFERROR(__xludf.DUMMYFUNCTION("""COMPUTED_VALUE"""),"Chile-The Americas")</f>
        <v>Chile-The Americas</v>
      </c>
      <c r="Z490" s="14" t="str">
        <f>IFERROR(__xludf.DUMMYFUNCTION("""COMPUTED_VALUE"""),"The Americas")</f>
        <v>The Americas</v>
      </c>
      <c r="AA490" s="14" t="str">
        <f>IFERROR(__xludf.DUMMYFUNCTION("""COMPUTED_VALUE"""),"2007")</f>
        <v>2007</v>
      </c>
      <c r="AB490" s="15" t="str">
        <f>IFERROR(__xludf.DUMMYFUNCTION("ARRAYFORMULA(VLOOKUP(A490,IMPORTRANGE(""https://docs.google.com/spreadsheets/d/1BuTWp7qHGjWhqrnf-OmePP568O4A5Am9ttzvVdP67zw/edit#gid=1931367683"" ,""ENERGY!$A$2:$F$2692""), {2,3,4,5,6},0))"),"The Americas")</f>
        <v>The Americas</v>
      </c>
      <c r="AC490" s="14" t="str">
        <f>IFERROR(__xludf.DUMMYFUNCTION("""COMPUTED_VALUE"""),"Chile-The Americas")</f>
        <v>Chile-The Americas</v>
      </c>
      <c r="AD490" s="14" t="str">
        <f>IFERROR(__xludf.DUMMYFUNCTION("""COMPUTED_VALUE"""),"2006")</f>
        <v>2006</v>
      </c>
      <c r="AE490" s="14">
        <f>IFERROR(__xludf.DUMMYFUNCTION("""COMPUTED_VALUE"""),28352.0)</f>
        <v>28352</v>
      </c>
      <c r="AF490" s="14">
        <f>IFERROR(__xludf.DUMMYFUNCTION("""COMPUTED_VALUE"""),61730.0)</f>
        <v>61730</v>
      </c>
    </row>
    <row r="491">
      <c r="A491" s="12">
        <v>490.0</v>
      </c>
      <c r="B491" s="12" t="s">
        <v>116</v>
      </c>
      <c r="C491" s="5" t="s">
        <v>84</v>
      </c>
      <c r="D491" s="11">
        <v>0.251</v>
      </c>
      <c r="E491" s="11">
        <v>27.0</v>
      </c>
      <c r="F491" s="8"/>
      <c r="G491" s="11">
        <v>316.0</v>
      </c>
      <c r="H491" s="11">
        <v>0.373</v>
      </c>
      <c r="I491" s="11">
        <v>0.879</v>
      </c>
      <c r="J491" s="9" t="s">
        <v>69</v>
      </c>
      <c r="K491" s="14" t="str">
        <f>IFERROR(__xludf.DUMMYFUNCTION("ARRAYFORMULA(VLOOKUP(A491,IMPORTRANGE(""https://docs.google.com/spreadsheets/d/1BuTWp7qHGjWhqrnf-OmePP568O4A5Am9ttzvVdP67zw/edit#gid=1603210130"", ""TOURISM!$A$2:$F$2692""), {2,3,4,5,6},0))"),"The Americas")</f>
        <v>The Americas</v>
      </c>
      <c r="L491" s="14">
        <f>IFERROR(__xludf.DUMMYFUNCTION("""COMPUTED_VALUE"""),2.537E9)</f>
        <v>2537000000</v>
      </c>
      <c r="M491" s="14" t="str">
        <f>IFERROR(__xludf.DUMMYFUNCTION("""COMPUTED_VALUE"""),"Chile-The Americas")</f>
        <v>Chile-The Americas</v>
      </c>
      <c r="N491" s="14" t="str">
        <f>IFERROR(__xludf.DUMMYFUNCTION("""COMPUTED_VALUE"""),"2008")</f>
        <v>2008</v>
      </c>
      <c r="O491" s="14">
        <f>IFERROR(__xludf.DUMMYFUNCTION("""COMPUTED_VALUE"""),1.789E9)</f>
        <v>1789000000</v>
      </c>
      <c r="P491" s="15">
        <f>IFERROR(__xludf.DUMMYFUNCTION("ARRAYFORMULA(VLOOKUP(A491,IMPORTRANGE(""https://docs.google.com/spreadsheets/d/1BuTWp7qHGjWhqrnf-OmePP568O4A5Am9ttzvVdP67zw/edit#gid=771602874"" ,""HUMAN RESOURCES!$A$2:$M$2692""), {2,3,4,5,6,7,8,9,10,11,12,13},0))"),0.015)</f>
        <v>0.015</v>
      </c>
      <c r="Q491" s="14">
        <f>IFERROR(__xludf.DUMMYFUNCTION("""COMPUTED_VALUE"""),0.008)</f>
        <v>0.008</v>
      </c>
      <c r="R491" s="14">
        <f>IFERROR(__xludf.DUMMYFUNCTION("""COMPUTED_VALUE"""),82.0)</f>
        <v>82</v>
      </c>
      <c r="S491" s="14">
        <f>IFERROR(__xludf.DUMMYFUNCTION("""COMPUTED_VALUE"""),76.0)</f>
        <v>76</v>
      </c>
      <c r="T491" s="14">
        <f>IFERROR(__xludf.DUMMYFUNCTION("""COMPUTED_VALUE"""),0.231)</f>
        <v>0.231</v>
      </c>
      <c r="U491" s="14">
        <f>IFERROR(__xludf.DUMMYFUNCTION("""COMPUTED_VALUE"""),0.682)</f>
        <v>0.682</v>
      </c>
      <c r="V491" s="14">
        <f>IFERROR(__xludf.DUMMYFUNCTION("""COMPUTED_VALUE"""),0.087)</f>
        <v>0.087</v>
      </c>
      <c r="W491" s="14">
        <f>IFERROR(__xludf.DUMMYFUNCTION("""COMPUTED_VALUE"""),1.6831184E7)</f>
        <v>16831184</v>
      </c>
      <c r="X491" s="14">
        <f>IFERROR(__xludf.DUMMYFUNCTION("""COMPUTED_VALUE"""),0.882)</f>
        <v>0.882</v>
      </c>
      <c r="Y491" s="14" t="str">
        <f>IFERROR(__xludf.DUMMYFUNCTION("""COMPUTED_VALUE"""),"Chile-The Americas")</f>
        <v>Chile-The Americas</v>
      </c>
      <c r="Z491" s="14" t="str">
        <f>IFERROR(__xludf.DUMMYFUNCTION("""COMPUTED_VALUE"""),"The Americas")</f>
        <v>The Americas</v>
      </c>
      <c r="AA491" s="14" t="str">
        <f>IFERROR(__xludf.DUMMYFUNCTION("""COMPUTED_VALUE"""),"2008")</f>
        <v>2008</v>
      </c>
      <c r="AB491" s="15" t="str">
        <f>IFERROR(__xludf.DUMMYFUNCTION("ARRAYFORMULA(VLOOKUP(A491,IMPORTRANGE(""https://docs.google.com/spreadsheets/d/1BuTWp7qHGjWhqrnf-OmePP568O4A5Am9ttzvVdP67zw/edit#gid=1931367683"" ,""ENERGY!$A$2:$F$2692""), {2,3,4,5,6},0))"),"The Americas")</f>
        <v>The Americas</v>
      </c>
      <c r="AC491" s="14" t="str">
        <f>IFERROR(__xludf.DUMMYFUNCTION("""COMPUTED_VALUE"""),"Chile-The Americas")</f>
        <v>Chile-The Americas</v>
      </c>
      <c r="AD491" s="14" t="str">
        <f>IFERROR(__xludf.DUMMYFUNCTION("""COMPUTED_VALUE"""),"2012")</f>
        <v>2012</v>
      </c>
      <c r="AE491" s="14">
        <f>IFERROR(__xludf.DUMMYFUNCTION("""COMPUTED_VALUE"""),27514.0)</f>
        <v>27514</v>
      </c>
      <c r="AF491" s="14">
        <f>IFERROR(__xludf.DUMMYFUNCTION("""COMPUTED_VALUE"""),60047.0)</f>
        <v>60047</v>
      </c>
    </row>
    <row r="492">
      <c r="A492" s="12">
        <v>491.0</v>
      </c>
      <c r="B492" s="12" t="s">
        <v>116</v>
      </c>
      <c r="C492" s="5" t="s">
        <v>84</v>
      </c>
      <c r="D492" s="11">
        <v>0.248</v>
      </c>
      <c r="E492" s="11">
        <v>27.0</v>
      </c>
      <c r="F492" s="8"/>
      <c r="G492" s="11">
        <v>316.0</v>
      </c>
      <c r="H492" s="11">
        <v>0.416</v>
      </c>
      <c r="I492" s="11">
        <v>0.968</v>
      </c>
      <c r="J492" s="9" t="s">
        <v>70</v>
      </c>
      <c r="K492" s="14" t="str">
        <f>IFERROR(__xludf.DUMMYFUNCTION("ARRAYFORMULA(VLOOKUP(A492,IMPORTRANGE(""https://docs.google.com/spreadsheets/d/1BuTWp7qHGjWhqrnf-OmePP568O4A5Am9ttzvVdP67zw/edit#gid=1603210130"", ""TOURISM!$A$2:$F$2692""), {2,3,4,5,6},0))"),"The Americas")</f>
        <v>The Americas</v>
      </c>
      <c r="L492" s="14">
        <f>IFERROR(__xludf.DUMMYFUNCTION("""COMPUTED_VALUE"""),2.35E9)</f>
        <v>2350000000</v>
      </c>
      <c r="M492" s="14" t="str">
        <f>IFERROR(__xludf.DUMMYFUNCTION("""COMPUTED_VALUE"""),"Chile-The Americas")</f>
        <v>Chile-The Americas</v>
      </c>
      <c r="N492" s="14" t="str">
        <f>IFERROR(__xludf.DUMMYFUNCTION("""COMPUTED_VALUE"""),"2009")</f>
        <v>2009</v>
      </c>
      <c r="O492" s="14">
        <f>IFERROR(__xludf.DUMMYFUNCTION("""COMPUTED_VALUE"""),1.504E9)</f>
        <v>1504000000</v>
      </c>
      <c r="P492" s="15">
        <f>IFERROR(__xludf.DUMMYFUNCTION("ARRAYFORMULA(VLOOKUP(A492,IMPORTRANGE(""https://docs.google.com/spreadsheets/d/1BuTWp7qHGjWhqrnf-OmePP568O4A5Am9ttzvVdP67zw/edit#gid=771602874"" ,""HUMAN RESOURCES!$A$2:$M$2692""), {2,3,4,5,6,7,8,9,10,11,12,13},0))"),0.014)</f>
        <v>0.014</v>
      </c>
      <c r="Q492" s="14">
        <f>IFERROR(__xludf.DUMMYFUNCTION("""COMPUTED_VALUE"""),0.008)</f>
        <v>0.008</v>
      </c>
      <c r="R492" s="14">
        <f>IFERROR(__xludf.DUMMYFUNCTION("""COMPUTED_VALUE"""),82.0)</f>
        <v>82</v>
      </c>
      <c r="S492" s="14">
        <f>IFERROR(__xludf.DUMMYFUNCTION("""COMPUTED_VALUE"""),76.0)</f>
        <v>76</v>
      </c>
      <c r="T492" s="14">
        <f>IFERROR(__xludf.DUMMYFUNCTION("""COMPUTED_VALUE"""),0.226)</f>
        <v>0.226</v>
      </c>
      <c r="U492" s="14">
        <f>IFERROR(__xludf.DUMMYFUNCTION("""COMPUTED_VALUE"""),0.685)</f>
        <v>0.685</v>
      </c>
      <c r="V492" s="14">
        <f>IFERROR(__xludf.DUMMYFUNCTION("""COMPUTED_VALUE"""),0.089)</f>
        <v>0.089</v>
      </c>
      <c r="W492" s="14">
        <f>IFERROR(__xludf.DUMMYFUNCTION("""COMPUTED_VALUE"""),1.6991729E7)</f>
        <v>16991729</v>
      </c>
      <c r="X492" s="14">
        <f>IFERROR(__xludf.DUMMYFUNCTION("""COMPUTED_VALUE"""),0.884)</f>
        <v>0.884</v>
      </c>
      <c r="Y492" s="14" t="str">
        <f>IFERROR(__xludf.DUMMYFUNCTION("""COMPUTED_VALUE"""),"Chile-The Americas")</f>
        <v>Chile-The Americas</v>
      </c>
      <c r="Z492" s="14" t="str">
        <f>IFERROR(__xludf.DUMMYFUNCTION("""COMPUTED_VALUE"""),"The Americas")</f>
        <v>The Americas</v>
      </c>
      <c r="AA492" s="14" t="str">
        <f>IFERROR(__xludf.DUMMYFUNCTION("""COMPUTED_VALUE"""),"2009")</f>
        <v>2009</v>
      </c>
      <c r="AB492" s="15" t="str">
        <f>IFERROR(__xludf.DUMMYFUNCTION("ARRAYFORMULA(VLOOKUP(A492,IMPORTRANGE(""https://docs.google.com/spreadsheets/d/1BuTWp7qHGjWhqrnf-OmePP568O4A5Am9ttzvVdP67zw/edit#gid=1931367683"" ,""ENERGY!$A$2:$F$2692""), {2,3,4,5,6},0))"),"The Americas")</f>
        <v>The Americas</v>
      </c>
      <c r="AC492" s="14" t="str">
        <f>IFERROR(__xludf.DUMMYFUNCTION("""COMPUTED_VALUE"""),"Chile-The Americas")</f>
        <v>Chile-The Americas</v>
      </c>
      <c r="AD492" s="14" t="str">
        <f>IFERROR(__xludf.DUMMYFUNCTION("""COMPUTED_VALUE"""),"2009")</f>
        <v>2009</v>
      </c>
      <c r="AE492" s="14">
        <f>IFERROR(__xludf.DUMMYFUNCTION("""COMPUTED_VALUE"""),25833.0)</f>
        <v>25833</v>
      </c>
      <c r="AF492" s="14">
        <f>IFERROR(__xludf.DUMMYFUNCTION("""COMPUTED_VALUE"""),55078.0)</f>
        <v>55078</v>
      </c>
    </row>
    <row r="493">
      <c r="A493" s="12">
        <v>492.0</v>
      </c>
      <c r="B493" s="12" t="s">
        <v>116</v>
      </c>
      <c r="C493" s="5" t="s">
        <v>84</v>
      </c>
      <c r="D493" s="11">
        <v>0.245</v>
      </c>
      <c r="E493" s="11">
        <v>22.0</v>
      </c>
      <c r="F493" s="8"/>
      <c r="G493" s="11">
        <v>316.0</v>
      </c>
      <c r="H493" s="11">
        <v>0.45</v>
      </c>
      <c r="I493" s="11">
        <v>1.158</v>
      </c>
      <c r="J493" s="9" t="s">
        <v>71</v>
      </c>
      <c r="K493" s="14" t="str">
        <f>IFERROR(__xludf.DUMMYFUNCTION("ARRAYFORMULA(VLOOKUP(A493,IMPORTRANGE(""https://docs.google.com/spreadsheets/d/1BuTWp7qHGjWhqrnf-OmePP568O4A5Am9ttzvVdP67zw/edit#gid=1603210130"", ""TOURISM!$A$2:$F$2692""), {2,3,4,5,6},0))"),"The Americas")</f>
        <v>The Americas</v>
      </c>
      <c r="L493" s="14">
        <f>IFERROR(__xludf.DUMMYFUNCTION("""COMPUTED_VALUE"""),2.422E9)</f>
        <v>2422000000</v>
      </c>
      <c r="M493" s="14" t="str">
        <f>IFERROR(__xludf.DUMMYFUNCTION("""COMPUTED_VALUE"""),"Chile-The Americas")</f>
        <v>Chile-The Americas</v>
      </c>
      <c r="N493" s="14" t="str">
        <f>IFERROR(__xludf.DUMMYFUNCTION("""COMPUTED_VALUE"""),"2010")</f>
        <v>2010</v>
      </c>
      <c r="O493" s="14">
        <f>IFERROR(__xludf.DUMMYFUNCTION("""COMPUTED_VALUE"""),1.808E9)</f>
        <v>1808000000</v>
      </c>
      <c r="P493" s="15">
        <f>IFERROR(__xludf.DUMMYFUNCTION("ARRAYFORMULA(VLOOKUP(A493,IMPORTRANGE(""https://docs.google.com/spreadsheets/d/1BuTWp7qHGjWhqrnf-OmePP568O4A5Am9ttzvVdP67zw/edit#gid=771602874"" ,""HUMAN RESOURCES!$A$2:$M$2692""), {2,3,4,5,6,7,8,9,10,11,12,13},0))"),0.014)</f>
        <v>0.014</v>
      </c>
      <c r="Q493" s="14">
        <f>IFERROR(__xludf.DUMMYFUNCTION("""COMPUTED_VALUE"""),0.008)</f>
        <v>0.008</v>
      </c>
      <c r="R493" s="14">
        <f>IFERROR(__xludf.DUMMYFUNCTION("""COMPUTED_VALUE"""),82.0)</f>
        <v>82</v>
      </c>
      <c r="S493" s="14">
        <f>IFERROR(__xludf.DUMMYFUNCTION("""COMPUTED_VALUE"""),76.0)</f>
        <v>76</v>
      </c>
      <c r="T493" s="14">
        <f>IFERROR(__xludf.DUMMYFUNCTION("""COMPUTED_VALUE"""),0.221)</f>
        <v>0.221</v>
      </c>
      <c r="U493" s="14">
        <f>IFERROR(__xludf.DUMMYFUNCTION("""COMPUTED_VALUE"""),0.687)</f>
        <v>0.687</v>
      </c>
      <c r="V493" s="14">
        <f>IFERROR(__xludf.DUMMYFUNCTION("""COMPUTED_VALUE"""),0.092)</f>
        <v>0.092</v>
      </c>
      <c r="W493" s="14">
        <f>IFERROR(__xludf.DUMMYFUNCTION("""COMPUTED_VALUE"""),1.715076E7)</f>
        <v>17150760</v>
      </c>
      <c r="X493" s="14">
        <f>IFERROR(__xludf.DUMMYFUNCTION("""COMPUTED_VALUE"""),0.886)</f>
        <v>0.886</v>
      </c>
      <c r="Y493" s="14" t="str">
        <f>IFERROR(__xludf.DUMMYFUNCTION("""COMPUTED_VALUE"""),"Chile-The Americas")</f>
        <v>Chile-The Americas</v>
      </c>
      <c r="Z493" s="14" t="str">
        <f>IFERROR(__xludf.DUMMYFUNCTION("""COMPUTED_VALUE"""),"The Americas")</f>
        <v>The Americas</v>
      </c>
      <c r="AA493" s="14" t="str">
        <f>IFERROR(__xludf.DUMMYFUNCTION("""COMPUTED_VALUE"""),"2010")</f>
        <v>2010</v>
      </c>
      <c r="AB493" s="15" t="str">
        <f>IFERROR(__xludf.DUMMYFUNCTION("ARRAYFORMULA(VLOOKUP(A493,IMPORTRANGE(""https://docs.google.com/spreadsheets/d/1BuTWp7qHGjWhqrnf-OmePP568O4A5Am9ttzvVdP67zw/edit#gid=1931367683"" ,""ENERGY!$A$2:$F$2692""), {2,3,4,5,6},0))"),"The Americas")</f>
        <v>The Americas</v>
      </c>
      <c r="AC493" s="14" t="str">
        <f>IFERROR(__xludf.DUMMYFUNCTION("""COMPUTED_VALUE"""),"Chile-The Americas")</f>
        <v>Chile-The Americas</v>
      </c>
      <c r="AD493" s="14" t="str">
        <f>IFERROR(__xludf.DUMMYFUNCTION("""COMPUTED_VALUE"""),"2007")</f>
        <v>2007</v>
      </c>
      <c r="AE493" s="14">
        <f>IFERROR(__xludf.DUMMYFUNCTION("""COMPUTED_VALUE"""),25568.0)</f>
        <v>25568</v>
      </c>
      <c r="AF493" s="14">
        <f>IFERROR(__xludf.DUMMYFUNCTION("""COMPUTED_VALUE"""),55361.0)</f>
        <v>55361</v>
      </c>
    </row>
    <row r="494">
      <c r="A494" s="12">
        <v>493.0</v>
      </c>
      <c r="B494" s="12" t="s">
        <v>116</v>
      </c>
      <c r="C494" s="5" t="s">
        <v>84</v>
      </c>
      <c r="D494" s="11">
        <v>0.245</v>
      </c>
      <c r="E494" s="11">
        <v>8.0</v>
      </c>
      <c r="F494" s="8"/>
      <c r="G494" s="11">
        <v>316.0</v>
      </c>
      <c r="H494" s="11">
        <v>0.522</v>
      </c>
      <c r="I494" s="11">
        <v>1.289</v>
      </c>
      <c r="J494" s="9" t="s">
        <v>72</v>
      </c>
      <c r="K494" s="14" t="str">
        <f>IFERROR(__xludf.DUMMYFUNCTION("ARRAYFORMULA(VLOOKUP(A494,IMPORTRANGE(""https://docs.google.com/spreadsheets/d/1BuTWp7qHGjWhqrnf-OmePP568O4A5Am9ttzvVdP67zw/edit#gid=1603210130"", ""TOURISM!$A$2:$F$2692""), {2,3,4,5,6},0))"),"The Americas")</f>
        <v>The Americas</v>
      </c>
      <c r="L494" s="14">
        <f>IFERROR(__xludf.DUMMYFUNCTION("""COMPUTED_VALUE"""),2.751E9)</f>
        <v>2751000000</v>
      </c>
      <c r="M494" s="14" t="str">
        <f>IFERROR(__xludf.DUMMYFUNCTION("""COMPUTED_VALUE"""),"Chile-The Americas")</f>
        <v>Chile-The Americas</v>
      </c>
      <c r="N494" s="14" t="str">
        <f>IFERROR(__xludf.DUMMYFUNCTION("""COMPUTED_VALUE"""),"2011")</f>
        <v>2011</v>
      </c>
      <c r="O494" s="14">
        <f>IFERROR(__xludf.DUMMYFUNCTION("""COMPUTED_VALUE"""),2.047E9)</f>
        <v>2047000000</v>
      </c>
      <c r="P494" s="15">
        <f>IFERROR(__xludf.DUMMYFUNCTION("ARRAYFORMULA(VLOOKUP(A494,IMPORTRANGE(""https://docs.google.com/spreadsheets/d/1BuTWp7qHGjWhqrnf-OmePP568O4A5Am9ttzvVdP67zw/edit#gid=771602874"" ,""HUMAN RESOURCES!$A$2:$M$2692""), {2,3,4,5,6,7,8,9,10,11,12,13},0))"),0.014)</f>
        <v>0.014</v>
      </c>
      <c r="Q494" s="14">
        <f>IFERROR(__xludf.DUMMYFUNCTION("""COMPUTED_VALUE"""),0.007)</f>
        <v>0.007</v>
      </c>
      <c r="R494" s="14">
        <f>IFERROR(__xludf.DUMMYFUNCTION("""COMPUTED_VALUE"""),82.0)</f>
        <v>82</v>
      </c>
      <c r="S494" s="14">
        <f>IFERROR(__xludf.DUMMYFUNCTION("""COMPUTED_VALUE"""),76.0)</f>
        <v>76</v>
      </c>
      <c r="T494" s="14">
        <f>IFERROR(__xludf.DUMMYFUNCTION("""COMPUTED_VALUE"""),0.217)</f>
        <v>0.217</v>
      </c>
      <c r="U494" s="14">
        <f>IFERROR(__xludf.DUMMYFUNCTION("""COMPUTED_VALUE"""),0.688)</f>
        <v>0.688</v>
      </c>
      <c r="V494" s="14">
        <f>IFERROR(__xludf.DUMMYFUNCTION("""COMPUTED_VALUE"""),0.094)</f>
        <v>0.094</v>
      </c>
      <c r="W494" s="14">
        <f>IFERROR(__xludf.DUMMYFUNCTION("""COMPUTED_VALUE"""),1.7308449E7)</f>
        <v>17308449</v>
      </c>
      <c r="X494" s="14">
        <f>IFERROR(__xludf.DUMMYFUNCTION("""COMPUTED_VALUE"""),0.888)</f>
        <v>0.888</v>
      </c>
      <c r="Y494" s="14" t="str">
        <f>IFERROR(__xludf.DUMMYFUNCTION("""COMPUTED_VALUE"""),"Chile-The Americas")</f>
        <v>Chile-The Americas</v>
      </c>
      <c r="Z494" s="14" t="str">
        <f>IFERROR(__xludf.DUMMYFUNCTION("""COMPUTED_VALUE"""),"The Americas")</f>
        <v>The Americas</v>
      </c>
      <c r="AA494" s="14" t="str">
        <f>IFERROR(__xludf.DUMMYFUNCTION("""COMPUTED_VALUE"""),"2011")</f>
        <v>2011</v>
      </c>
      <c r="AB494" s="15" t="str">
        <f>IFERROR(__xludf.DUMMYFUNCTION("ARRAYFORMULA(VLOOKUP(A494,IMPORTRANGE(""https://docs.google.com/spreadsheets/d/1BuTWp7qHGjWhqrnf-OmePP568O4A5Am9ttzvVdP67zw/edit#gid=1931367683"" ,""ENERGY!$A$2:$F$2692""), {2,3,4,5,6},0))"),"The Americas")</f>
        <v>The Americas</v>
      </c>
      <c r="AC494" s="14" t="str">
        <f>IFERROR(__xludf.DUMMYFUNCTION("""COMPUTED_VALUE"""),"Chile-The Americas")</f>
        <v>Chile-The Americas</v>
      </c>
      <c r="AD494" s="14" t="str">
        <f>IFERROR(__xludf.DUMMYFUNCTION("""COMPUTED_VALUE"""),"2004")</f>
        <v>2004</v>
      </c>
      <c r="AE494" s="14">
        <f>IFERROR(__xludf.DUMMYFUNCTION("""COMPUTED_VALUE"""),24697.0)</f>
        <v>24697</v>
      </c>
      <c r="AF494" s="14">
        <f>IFERROR(__xludf.DUMMYFUNCTION("""COMPUTED_VALUE"""),52757.0)</f>
        <v>52757</v>
      </c>
    </row>
    <row r="495">
      <c r="A495" s="12">
        <v>494.0</v>
      </c>
      <c r="B495" s="12" t="s">
        <v>116</v>
      </c>
      <c r="C495" s="5" t="s">
        <v>84</v>
      </c>
      <c r="D495" s="11">
        <v>0.277</v>
      </c>
      <c r="E495" s="11">
        <v>8.0</v>
      </c>
      <c r="F495" s="11">
        <v>34.0</v>
      </c>
      <c r="G495" s="11">
        <v>291.0</v>
      </c>
      <c r="H495" s="11">
        <v>0.614</v>
      </c>
      <c r="I495" s="11">
        <v>1.371</v>
      </c>
      <c r="J495" s="9" t="s">
        <v>73</v>
      </c>
      <c r="K495" s="14" t="str">
        <f>IFERROR(__xludf.DUMMYFUNCTION("ARRAYFORMULA(VLOOKUP(A495,IMPORTRANGE(""https://docs.google.com/spreadsheets/d/1BuTWp7qHGjWhqrnf-OmePP568O4A5Am9ttzvVdP67zw/edit#gid=1603210130"", ""TOURISM!$A$2:$F$2692""), {2,3,4,5,6},0))"),"The Americas")</f>
        <v>The Americas</v>
      </c>
      <c r="L495" s="14">
        <f>IFERROR(__xludf.DUMMYFUNCTION("""COMPUTED_VALUE"""),3.18E9)</f>
        <v>3180000000</v>
      </c>
      <c r="M495" s="14" t="str">
        <f>IFERROR(__xludf.DUMMYFUNCTION("""COMPUTED_VALUE"""),"Chile-The Americas")</f>
        <v>Chile-The Americas</v>
      </c>
      <c r="N495" s="14" t="str">
        <f>IFERROR(__xludf.DUMMYFUNCTION("""COMPUTED_VALUE"""),"2012")</f>
        <v>2012</v>
      </c>
      <c r="O495" s="14">
        <f>IFERROR(__xludf.DUMMYFUNCTION("""COMPUTED_VALUE"""),2.348E9)</f>
        <v>2348000000</v>
      </c>
      <c r="P495" s="15">
        <f>IFERROR(__xludf.DUMMYFUNCTION("ARRAYFORMULA(VLOOKUP(A495,IMPORTRANGE(""https://docs.google.com/spreadsheets/d/1BuTWp7qHGjWhqrnf-OmePP568O4A5Am9ttzvVdP67zw/edit#gid=771602874"" ,""HUMAN RESOURCES!$A$2:$M$2692""), {2,3,4,5,6,7,8,9,10,11,12,13},0))"),0.014)</f>
        <v>0.014</v>
      </c>
      <c r="Q495" s="14">
        <f>IFERROR(__xludf.DUMMYFUNCTION("""COMPUTED_VALUE"""),0.007)</f>
        <v>0.007</v>
      </c>
      <c r="R495" s="14">
        <f>IFERROR(__xludf.DUMMYFUNCTION("""COMPUTED_VALUE"""),82.0)</f>
        <v>82</v>
      </c>
      <c r="S495" s="14">
        <f>IFERROR(__xludf.DUMMYFUNCTION("""COMPUTED_VALUE"""),77.0)</f>
        <v>77</v>
      </c>
      <c r="T495" s="14">
        <f>IFERROR(__xludf.DUMMYFUNCTION("""COMPUTED_VALUE"""),0.214)</f>
        <v>0.214</v>
      </c>
      <c r="U495" s="14">
        <f>IFERROR(__xludf.DUMMYFUNCTION("""COMPUTED_VALUE"""),0.689)</f>
        <v>0.689</v>
      </c>
      <c r="V495" s="14">
        <f>IFERROR(__xludf.DUMMYFUNCTION("""COMPUTED_VALUE"""),0.097)</f>
        <v>0.097</v>
      </c>
      <c r="W495" s="14">
        <f>IFERROR(__xludf.DUMMYFUNCTION("""COMPUTED_VALUE"""),1.7464814E7)</f>
        <v>17464814</v>
      </c>
      <c r="X495" s="14">
        <f>IFERROR(__xludf.DUMMYFUNCTION("""COMPUTED_VALUE"""),0.89)</f>
        <v>0.89</v>
      </c>
      <c r="Y495" s="14" t="str">
        <f>IFERROR(__xludf.DUMMYFUNCTION("""COMPUTED_VALUE"""),"Chile-The Americas")</f>
        <v>Chile-The Americas</v>
      </c>
      <c r="Z495" s="14" t="str">
        <f>IFERROR(__xludf.DUMMYFUNCTION("""COMPUTED_VALUE"""),"The Americas")</f>
        <v>The Americas</v>
      </c>
      <c r="AA495" s="14" t="str">
        <f>IFERROR(__xludf.DUMMYFUNCTION("""COMPUTED_VALUE"""),"2012")</f>
        <v>2012</v>
      </c>
      <c r="AB495" s="15" t="str">
        <f>IFERROR(__xludf.DUMMYFUNCTION("ARRAYFORMULA(VLOOKUP(A495,IMPORTRANGE(""https://docs.google.com/spreadsheets/d/1BuTWp7qHGjWhqrnf-OmePP568O4A5Am9ttzvVdP67zw/edit#gid=1931367683"" ,""ENERGY!$A$2:$F$2692""), {2,3,4,5,6},0))"),"The Americas")</f>
        <v>The Americas</v>
      </c>
      <c r="AC495" s="14" t="str">
        <f>IFERROR(__xludf.DUMMYFUNCTION("""COMPUTED_VALUE"""),"Chile-The Americas")</f>
        <v>Chile-The Americas</v>
      </c>
      <c r="AD495" s="14" t="str">
        <f>IFERROR(__xludf.DUMMYFUNCTION("""COMPUTED_VALUE"""),"2009")</f>
        <v>2009</v>
      </c>
      <c r="AE495" s="14">
        <f>IFERROR(__xludf.DUMMYFUNCTION("""COMPUTED_VALUE"""),25174.0)</f>
        <v>25174</v>
      </c>
      <c r="AF495" s="14">
        <f>IFERROR(__xludf.DUMMYFUNCTION("""COMPUTED_VALUE"""),58694.0)</f>
        <v>58694</v>
      </c>
    </row>
    <row r="496">
      <c r="A496" s="12">
        <v>495.0</v>
      </c>
      <c r="B496" s="12" t="s">
        <v>117</v>
      </c>
      <c r="C496" s="5" t="s">
        <v>61</v>
      </c>
      <c r="D496" s="8"/>
      <c r="E496" s="8"/>
      <c r="F496" s="8"/>
      <c r="G496" s="8"/>
      <c r="H496" s="11">
        <v>0.018</v>
      </c>
      <c r="I496" s="11">
        <v>0.067</v>
      </c>
      <c r="J496" s="9" t="s">
        <v>60</v>
      </c>
      <c r="K496" s="14" t="str">
        <f>IFERROR(__xludf.DUMMYFUNCTION("ARRAYFORMULA(VLOOKUP(A496,IMPORTRANGE(""https://docs.google.com/spreadsheets/d/1BuTWp7qHGjWhqrnf-OmePP568O4A5Am9ttzvVdP67zw/edit#gid=1603210130"", ""TOURISM!$A$2:$F$2692""), {2,3,4,5,6},0))"),"Asia")</f>
        <v>Asia</v>
      </c>
      <c r="L496" s="14">
        <f>IFERROR(__xludf.DUMMYFUNCTION("""COMPUTED_VALUE"""),1.7318E10)</f>
        <v>17318000000</v>
      </c>
      <c r="M496" s="14" t="str">
        <f>IFERROR(__xludf.DUMMYFUNCTION("""COMPUTED_VALUE"""),"China-Asia")</f>
        <v>China-Asia</v>
      </c>
      <c r="N496" s="14" t="str">
        <f>IFERROR(__xludf.DUMMYFUNCTION("""COMPUTED_VALUE"""),"2000")</f>
        <v>2000</v>
      </c>
      <c r="O496" s="14">
        <f>IFERROR(__xludf.DUMMYFUNCTION("""COMPUTED_VALUE"""),1.4169E10)</f>
        <v>14169000000</v>
      </c>
      <c r="P496" s="15">
        <f>IFERROR(__xludf.DUMMYFUNCTION("ARRAYFORMULA(VLOOKUP(A496,IMPORTRANGE(""https://docs.google.com/spreadsheets/d/1BuTWp7qHGjWhqrnf-OmePP568O4A5Am9ttzvVdP67zw/edit#gid=771602874"" ,""HUMAN RESOURCES!$A$2:$M$2692""), {2,3,4,5,6,7,8,9,10,11,12,13},0))"),0.014)</f>
        <v>0.014</v>
      </c>
      <c r="Q496" s="14">
        <f>IFERROR(__xludf.DUMMYFUNCTION("""COMPUTED_VALUE"""),0.03)</f>
        <v>0.03</v>
      </c>
      <c r="R496" s="14">
        <f>IFERROR(__xludf.DUMMYFUNCTION("""COMPUTED_VALUE"""),74.0)</f>
        <v>74</v>
      </c>
      <c r="S496" s="14">
        <f>IFERROR(__xludf.DUMMYFUNCTION("""COMPUTED_VALUE"""),71.0)</f>
        <v>71</v>
      </c>
      <c r="T496" s="14">
        <f>IFERROR(__xludf.DUMMYFUNCTION("""COMPUTED_VALUE"""),0.256)</f>
        <v>0.256</v>
      </c>
      <c r="U496" s="14">
        <f>IFERROR(__xludf.DUMMYFUNCTION("""COMPUTED_VALUE"""),0.675)</f>
        <v>0.675</v>
      </c>
      <c r="V496" s="14">
        <f>IFERROR(__xludf.DUMMYFUNCTION("""COMPUTED_VALUE"""),0.069)</f>
        <v>0.069</v>
      </c>
      <c r="W496" s="14">
        <f>IFERROR(__xludf.DUMMYFUNCTION("""COMPUTED_VALUE"""),1.262645E9)</f>
        <v>1262645000</v>
      </c>
      <c r="X496" s="14">
        <f>IFERROR(__xludf.DUMMYFUNCTION("""COMPUTED_VALUE"""),0.359)</f>
        <v>0.359</v>
      </c>
      <c r="Y496" s="14" t="str">
        <f>IFERROR(__xludf.DUMMYFUNCTION("""COMPUTED_VALUE"""),"China-Asia")</f>
        <v>China-Asia</v>
      </c>
      <c r="Z496" s="14" t="str">
        <f>IFERROR(__xludf.DUMMYFUNCTION("""COMPUTED_VALUE"""),"Asia")</f>
        <v>Asia</v>
      </c>
      <c r="AA496" s="14" t="str">
        <f>IFERROR(__xludf.DUMMYFUNCTION("""COMPUTED_VALUE"""),"2000")</f>
        <v>2000</v>
      </c>
      <c r="AB496" s="15" t="str">
        <f>IFERROR(__xludf.DUMMYFUNCTION("ARRAYFORMULA(VLOOKUP(A496,IMPORTRANGE(""https://docs.google.com/spreadsheets/d/1BuTWp7qHGjWhqrnf-OmePP568O4A5Am9ttzvVdP67zw/edit#gid=1931367683"" ,""ENERGY!$A$2:$F$2692""), {2,3,4,5,6},0))"),"Asia")</f>
        <v>Asia</v>
      </c>
      <c r="AC496" s="14" t="str">
        <f>IFERROR(__xludf.DUMMYFUNCTION("""COMPUTED_VALUE"""),"China-Asia")</f>
        <v>China-Asia</v>
      </c>
      <c r="AD496" s="14" t="str">
        <f>IFERROR(__xludf.DUMMYFUNCTION("""COMPUTED_VALUE"""),"2000")</f>
        <v>2000</v>
      </c>
      <c r="AE496" s="14"/>
      <c r="AF496" s="14"/>
    </row>
    <row r="497">
      <c r="A497" s="12">
        <v>496.0</v>
      </c>
      <c r="B497" s="12" t="s">
        <v>117</v>
      </c>
      <c r="C497" s="5" t="s">
        <v>61</v>
      </c>
      <c r="D497" s="8"/>
      <c r="E497" s="8"/>
      <c r="F497" s="8"/>
      <c r="G497" s="8"/>
      <c r="H497" s="11">
        <v>0.026</v>
      </c>
      <c r="I497" s="11">
        <v>0.112</v>
      </c>
      <c r="J497" s="9" t="s">
        <v>62</v>
      </c>
      <c r="K497" s="14" t="str">
        <f>IFERROR(__xludf.DUMMYFUNCTION("ARRAYFORMULA(VLOOKUP(A497,IMPORTRANGE(""https://docs.google.com/spreadsheets/d/1BuTWp7qHGjWhqrnf-OmePP568O4A5Am9ttzvVdP67zw/edit#gid=1603210130"", ""TOURISM!$A$2:$F$2692""), {2,3,4,5,6},0))"),"Asia")</f>
        <v>Asia</v>
      </c>
      <c r="L497" s="14">
        <f>IFERROR(__xludf.DUMMYFUNCTION("""COMPUTED_VALUE"""),1.9006E10)</f>
        <v>19006000000</v>
      </c>
      <c r="M497" s="14" t="str">
        <f>IFERROR(__xludf.DUMMYFUNCTION("""COMPUTED_VALUE"""),"China-Asia")</f>
        <v>China-Asia</v>
      </c>
      <c r="N497" s="14" t="str">
        <f>IFERROR(__xludf.DUMMYFUNCTION("""COMPUTED_VALUE"""),"2001")</f>
        <v>2001</v>
      </c>
      <c r="O497" s="14">
        <f>IFERROR(__xludf.DUMMYFUNCTION("""COMPUTED_VALUE"""),1.4992E10)</f>
        <v>14992000000</v>
      </c>
      <c r="P497" s="15">
        <f>IFERROR(__xludf.DUMMYFUNCTION("ARRAYFORMULA(VLOOKUP(A497,IMPORTRANGE(""https://docs.google.com/spreadsheets/d/1BuTWp7qHGjWhqrnf-OmePP568O4A5Am9ttzvVdP67zw/edit#gid=771602874"" ,""HUMAN RESOURCES!$A$2:$M$2692""), {2,3,4,5,6,7,8,9,10,11,12,13},0))"),0.013)</f>
        <v>0.013</v>
      </c>
      <c r="Q497" s="14">
        <f>IFERROR(__xludf.DUMMYFUNCTION("""COMPUTED_VALUE"""),0.028)</f>
        <v>0.028</v>
      </c>
      <c r="R497" s="14">
        <f>IFERROR(__xludf.DUMMYFUNCTION("""COMPUTED_VALUE"""),74.0)</f>
        <v>74</v>
      </c>
      <c r="S497" s="14">
        <f>IFERROR(__xludf.DUMMYFUNCTION("""COMPUTED_VALUE"""),71.0)</f>
        <v>71</v>
      </c>
      <c r="T497" s="14">
        <f>IFERROR(__xludf.DUMMYFUNCTION("""COMPUTED_VALUE"""),0.246)</f>
        <v>0.246</v>
      </c>
      <c r="U497" s="14">
        <f>IFERROR(__xludf.DUMMYFUNCTION("""COMPUTED_VALUE"""),0.683)</f>
        <v>0.683</v>
      </c>
      <c r="V497" s="14">
        <f>IFERROR(__xludf.DUMMYFUNCTION("""COMPUTED_VALUE"""),0.07)</f>
        <v>0.07</v>
      </c>
      <c r="W497" s="14">
        <f>IFERROR(__xludf.DUMMYFUNCTION("""COMPUTED_VALUE"""),1.27185E9)</f>
        <v>1271850000</v>
      </c>
      <c r="X497" s="14">
        <f>IFERROR(__xludf.DUMMYFUNCTION("""COMPUTED_VALUE"""),0.371)</f>
        <v>0.371</v>
      </c>
      <c r="Y497" s="14" t="str">
        <f>IFERROR(__xludf.DUMMYFUNCTION("""COMPUTED_VALUE"""),"China-Asia")</f>
        <v>China-Asia</v>
      </c>
      <c r="Z497" s="14" t="str">
        <f>IFERROR(__xludf.DUMMYFUNCTION("""COMPUTED_VALUE"""),"Asia")</f>
        <v>Asia</v>
      </c>
      <c r="AA497" s="14" t="str">
        <f>IFERROR(__xludf.DUMMYFUNCTION("""COMPUTED_VALUE"""),"2001")</f>
        <v>2001</v>
      </c>
      <c r="AB497" s="15" t="str">
        <f>IFERROR(__xludf.DUMMYFUNCTION("ARRAYFORMULA(VLOOKUP(A497,IMPORTRANGE(""https://docs.google.com/spreadsheets/d/1BuTWp7qHGjWhqrnf-OmePP568O4A5Am9ttzvVdP67zw/edit#gid=1931367683"" ,""ENERGY!$A$2:$F$2692""), {2,3,4,5,6},0))"),"Asia")</f>
        <v>Asia</v>
      </c>
      <c r="AC497" s="14" t="str">
        <f>IFERROR(__xludf.DUMMYFUNCTION("""COMPUTED_VALUE"""),"China-Asia")</f>
        <v>China-Asia</v>
      </c>
      <c r="AD497" s="14" t="str">
        <f>IFERROR(__xludf.DUMMYFUNCTION("""COMPUTED_VALUE"""),"2001")</f>
        <v>2001</v>
      </c>
      <c r="AE497" s="14">
        <f>IFERROR(__xludf.DUMMYFUNCTION("""COMPUTED_VALUE"""),2727728.0)</f>
        <v>2727728</v>
      </c>
      <c r="AF497" s="14"/>
    </row>
    <row r="498">
      <c r="A498" s="12">
        <v>497.0</v>
      </c>
      <c r="B498" s="12" t="s">
        <v>117</v>
      </c>
      <c r="C498" s="5" t="s">
        <v>61</v>
      </c>
      <c r="D498" s="8"/>
      <c r="E498" s="8"/>
      <c r="F498" s="8"/>
      <c r="G498" s="8"/>
      <c r="H498" s="11">
        <v>0.046</v>
      </c>
      <c r="I498" s="11">
        <v>0.159</v>
      </c>
      <c r="J498" s="9" t="s">
        <v>63</v>
      </c>
      <c r="K498" s="14" t="str">
        <f>IFERROR(__xludf.DUMMYFUNCTION("ARRAYFORMULA(VLOOKUP(A498,IMPORTRANGE(""https://docs.google.com/spreadsheets/d/1BuTWp7qHGjWhqrnf-OmePP568O4A5Am9ttzvVdP67zw/edit#gid=1603210130"", ""TOURISM!$A$2:$F$2692""), {2,3,4,5,6},0))"),"Asia")</f>
        <v>Asia</v>
      </c>
      <c r="L498" s="14">
        <f>IFERROR(__xludf.DUMMYFUNCTION("""COMPUTED_VALUE"""),2.1742E10)</f>
        <v>21742000000</v>
      </c>
      <c r="M498" s="14" t="str">
        <f>IFERROR(__xludf.DUMMYFUNCTION("""COMPUTED_VALUE"""),"China-Asia")</f>
        <v>China-Asia</v>
      </c>
      <c r="N498" s="14" t="str">
        <f>IFERROR(__xludf.DUMMYFUNCTION("""COMPUTED_VALUE"""),"2002")</f>
        <v>2002</v>
      </c>
      <c r="O498" s="14">
        <f>IFERROR(__xludf.DUMMYFUNCTION("""COMPUTED_VALUE"""),1.6759E10)</f>
        <v>16759000000</v>
      </c>
      <c r="P498" s="15">
        <f>IFERROR(__xludf.DUMMYFUNCTION("ARRAYFORMULA(VLOOKUP(A498,IMPORTRANGE(""https://docs.google.com/spreadsheets/d/1BuTWp7qHGjWhqrnf-OmePP568O4A5Am9ttzvVdP67zw/edit#gid=771602874"" ,""HUMAN RESOURCES!$A$2:$M$2692""), {2,3,4,5,6,7,8,9,10,11,12,13},0))"),0.013)</f>
        <v>0.013</v>
      </c>
      <c r="Q498" s="14">
        <f>IFERROR(__xludf.DUMMYFUNCTION("""COMPUTED_VALUE"""),0.026)</f>
        <v>0.026</v>
      </c>
      <c r="R498" s="14">
        <f>IFERROR(__xludf.DUMMYFUNCTION("""COMPUTED_VALUE"""),74.0)</f>
        <v>74</v>
      </c>
      <c r="S498" s="14">
        <f>IFERROR(__xludf.DUMMYFUNCTION("""COMPUTED_VALUE"""),72.0)</f>
        <v>72</v>
      </c>
      <c r="T498" s="14">
        <f>IFERROR(__xludf.DUMMYFUNCTION("""COMPUTED_VALUE"""),0.236)</f>
        <v>0.236</v>
      </c>
      <c r="U498" s="14">
        <f>IFERROR(__xludf.DUMMYFUNCTION("""COMPUTED_VALUE"""),0.692)</f>
        <v>0.692</v>
      </c>
      <c r="V498" s="14">
        <f>IFERROR(__xludf.DUMMYFUNCTION("""COMPUTED_VALUE"""),0.072)</f>
        <v>0.072</v>
      </c>
      <c r="W498" s="14">
        <f>IFERROR(__xludf.DUMMYFUNCTION("""COMPUTED_VALUE"""),1.2804E9)</f>
        <v>1280400000</v>
      </c>
      <c r="X498" s="14">
        <f>IFERROR(__xludf.DUMMYFUNCTION("""COMPUTED_VALUE"""),0.384)</f>
        <v>0.384</v>
      </c>
      <c r="Y498" s="14" t="str">
        <f>IFERROR(__xludf.DUMMYFUNCTION("""COMPUTED_VALUE"""),"China-Asia")</f>
        <v>China-Asia</v>
      </c>
      <c r="Z498" s="14" t="str">
        <f>IFERROR(__xludf.DUMMYFUNCTION("""COMPUTED_VALUE"""),"Asia")</f>
        <v>Asia</v>
      </c>
      <c r="AA498" s="14" t="str">
        <f>IFERROR(__xludf.DUMMYFUNCTION("""COMPUTED_VALUE"""),"2002")</f>
        <v>2002</v>
      </c>
      <c r="AB498" s="15" t="str">
        <f>IFERROR(__xludf.DUMMYFUNCTION("ARRAYFORMULA(VLOOKUP(A498,IMPORTRANGE(""https://docs.google.com/spreadsheets/d/1BuTWp7qHGjWhqrnf-OmePP568O4A5Am9ttzvVdP67zw/edit#gid=1931367683"" ,""ENERGY!$A$2:$F$2692""), {2,3,4,5,6},0))"),"Asia")</f>
        <v>Asia</v>
      </c>
      <c r="AC498" s="14" t="str">
        <f>IFERROR(__xludf.DUMMYFUNCTION("""COMPUTED_VALUE"""),"China-Asia")</f>
        <v>China-Asia</v>
      </c>
      <c r="AD498" s="14" t="str">
        <f>IFERROR(__xludf.DUMMYFUNCTION("""COMPUTED_VALUE"""),"2002")</f>
        <v>2002</v>
      </c>
      <c r="AE498" s="14">
        <f>IFERROR(__xludf.DUMMYFUNCTION("""COMPUTED_VALUE"""),2516731.0)</f>
        <v>2516731</v>
      </c>
      <c r="AF498" s="14">
        <f>IFERROR(__xludf.DUMMYFUNCTION("""COMPUTED_VALUE"""),8286892.0)</f>
        <v>8286892</v>
      </c>
    </row>
    <row r="499">
      <c r="A499" s="12">
        <v>498.0</v>
      </c>
      <c r="B499" s="12" t="s">
        <v>117</v>
      </c>
      <c r="C499" s="5" t="s">
        <v>61</v>
      </c>
      <c r="D499" s="8"/>
      <c r="E499" s="11">
        <v>48.0</v>
      </c>
      <c r="F499" s="8"/>
      <c r="G499" s="8"/>
      <c r="H499" s="11">
        <v>0.062</v>
      </c>
      <c r="I499" s="11">
        <v>0.207</v>
      </c>
      <c r="J499" s="9" t="s">
        <v>64</v>
      </c>
      <c r="K499" s="14" t="str">
        <f>IFERROR(__xludf.DUMMYFUNCTION("ARRAYFORMULA(VLOOKUP(A499,IMPORTRANGE(""https://docs.google.com/spreadsheets/d/1BuTWp7qHGjWhqrnf-OmePP568O4A5Am9ttzvVdP67zw/edit#gid=1603210130"", ""TOURISM!$A$2:$F$2692""), {2,3,4,5,6},0))"),"Asia")</f>
        <v>Asia</v>
      </c>
      <c r="L499" s="14">
        <f>IFERROR(__xludf.DUMMYFUNCTION("""COMPUTED_VALUE"""),1.8707E10)</f>
        <v>18707000000</v>
      </c>
      <c r="M499" s="14" t="str">
        <f>IFERROR(__xludf.DUMMYFUNCTION("""COMPUTED_VALUE"""),"China-Asia")</f>
        <v>China-Asia</v>
      </c>
      <c r="N499" s="14" t="str">
        <f>IFERROR(__xludf.DUMMYFUNCTION("""COMPUTED_VALUE"""),"2003")</f>
        <v>2003</v>
      </c>
      <c r="O499" s="14">
        <f>IFERROR(__xludf.DUMMYFUNCTION("""COMPUTED_VALUE"""),1.6716E10)</f>
        <v>16716000000</v>
      </c>
      <c r="P499" s="15">
        <f>IFERROR(__xludf.DUMMYFUNCTION("ARRAYFORMULA(VLOOKUP(A499,IMPORTRANGE(""https://docs.google.com/spreadsheets/d/1BuTWp7qHGjWhqrnf-OmePP568O4A5Am9ttzvVdP67zw/edit#gid=771602874"" ,""HUMAN RESOURCES!$A$2:$M$2692""), {2,3,4,5,6,7,8,9,10,11,12,13},0))"),0.012)</f>
        <v>0.012</v>
      </c>
      <c r="Q499" s="14">
        <f>IFERROR(__xludf.DUMMYFUNCTION("""COMPUTED_VALUE"""),0.024)</f>
        <v>0.024</v>
      </c>
      <c r="R499" s="14">
        <f>IFERROR(__xludf.DUMMYFUNCTION("""COMPUTED_VALUE"""),75.0)</f>
        <v>75</v>
      </c>
      <c r="S499" s="14">
        <f>IFERROR(__xludf.DUMMYFUNCTION("""COMPUTED_VALUE"""),72.0)</f>
        <v>72</v>
      </c>
      <c r="T499" s="14">
        <f>IFERROR(__xludf.DUMMYFUNCTION("""COMPUTED_VALUE"""),0.225)</f>
        <v>0.225</v>
      </c>
      <c r="U499" s="14">
        <f>IFERROR(__xludf.DUMMYFUNCTION("""COMPUTED_VALUE"""),0.702)</f>
        <v>0.702</v>
      </c>
      <c r="V499" s="14">
        <f>IFERROR(__xludf.DUMMYFUNCTION("""COMPUTED_VALUE"""),0.074)</f>
        <v>0.074</v>
      </c>
      <c r="W499" s="14">
        <f>IFERROR(__xludf.DUMMYFUNCTION("""COMPUTED_VALUE"""),1.2884E9)</f>
        <v>1288400000</v>
      </c>
      <c r="X499" s="14">
        <f>IFERROR(__xludf.DUMMYFUNCTION("""COMPUTED_VALUE"""),0.398)</f>
        <v>0.398</v>
      </c>
      <c r="Y499" s="14" t="str">
        <f>IFERROR(__xludf.DUMMYFUNCTION("""COMPUTED_VALUE"""),"China-Asia")</f>
        <v>China-Asia</v>
      </c>
      <c r="Z499" s="14" t="str">
        <f>IFERROR(__xludf.DUMMYFUNCTION("""COMPUTED_VALUE"""),"Asia")</f>
        <v>Asia</v>
      </c>
      <c r="AA499" s="14" t="str">
        <f>IFERROR(__xludf.DUMMYFUNCTION("""COMPUTED_VALUE"""),"2003")</f>
        <v>2003</v>
      </c>
      <c r="AB499" s="15" t="str">
        <f>IFERROR(__xludf.DUMMYFUNCTION("ARRAYFORMULA(VLOOKUP(A499,IMPORTRANGE(""https://docs.google.com/spreadsheets/d/1BuTWp7qHGjWhqrnf-OmePP568O4A5Am9ttzvVdP67zw/edit#gid=1931367683"" ,""ENERGY!$A$2:$F$2692""), {2,3,4,5,6},0))"),"Asia")</f>
        <v>Asia</v>
      </c>
      <c r="AC499" s="14" t="str">
        <f>IFERROR(__xludf.DUMMYFUNCTION("""COMPUTED_VALUE"""),"China-Asia")</f>
        <v>China-Asia</v>
      </c>
      <c r="AD499" s="14" t="str">
        <f>IFERROR(__xludf.DUMMYFUNCTION("""COMPUTED_VALUE"""),"2003")</f>
        <v>2003</v>
      </c>
      <c r="AE499" s="14">
        <f>IFERROR(__xludf.DUMMYFUNCTION("""COMPUTED_VALUE"""),2286137.0)</f>
        <v>2286137</v>
      </c>
      <c r="AF499" s="14">
        <f>IFERROR(__xludf.DUMMYFUNCTION("""COMPUTED_VALUE"""),7692211.0)</f>
        <v>7692211</v>
      </c>
    </row>
    <row r="500">
      <c r="A500" s="12">
        <v>499.0</v>
      </c>
      <c r="B500" s="12" t="s">
        <v>117</v>
      </c>
      <c r="C500" s="5" t="s">
        <v>61</v>
      </c>
      <c r="D500" s="8"/>
      <c r="E500" s="11">
        <v>48.0</v>
      </c>
      <c r="F500" s="8"/>
      <c r="G500" s="8"/>
      <c r="H500" s="11">
        <v>0.073</v>
      </c>
      <c r="I500" s="11">
        <v>0.256</v>
      </c>
      <c r="J500" s="9" t="s">
        <v>65</v>
      </c>
      <c r="K500" s="14" t="str">
        <f>IFERROR(__xludf.DUMMYFUNCTION("ARRAYFORMULA(VLOOKUP(A500,IMPORTRANGE(""https://docs.google.com/spreadsheets/d/1BuTWp7qHGjWhqrnf-OmePP568O4A5Am9ttzvVdP67zw/edit#gid=1603210130"", ""TOURISM!$A$2:$F$2692""), {2,3,4,5,6},0))"),"Asia")</f>
        <v>Asia</v>
      </c>
      <c r="L500" s="14">
        <f>IFERROR(__xludf.DUMMYFUNCTION("""COMPUTED_VALUE"""),2.7755E10)</f>
        <v>27755000000</v>
      </c>
      <c r="M500" s="14" t="str">
        <f>IFERROR(__xludf.DUMMYFUNCTION("""COMPUTED_VALUE"""),"China-Asia")</f>
        <v>China-Asia</v>
      </c>
      <c r="N500" s="14" t="str">
        <f>IFERROR(__xludf.DUMMYFUNCTION("""COMPUTED_VALUE"""),"2004")</f>
        <v>2004</v>
      </c>
      <c r="O500" s="14">
        <f>IFERROR(__xludf.DUMMYFUNCTION("""COMPUTED_VALUE"""),2.136E10)</f>
        <v>21360000000</v>
      </c>
      <c r="P500" s="15">
        <f>IFERROR(__xludf.DUMMYFUNCTION("ARRAYFORMULA(VLOOKUP(A500,IMPORTRANGE(""https://docs.google.com/spreadsheets/d/1BuTWp7qHGjWhqrnf-OmePP568O4A5Am9ttzvVdP67zw/edit#gid=771602874"" ,""HUMAN RESOURCES!$A$2:$M$2692""), {2,3,4,5,6,7,8,9,10,11,12,13},0))"),0.012)</f>
        <v>0.012</v>
      </c>
      <c r="Q500" s="14">
        <f>IFERROR(__xludf.DUMMYFUNCTION("""COMPUTED_VALUE"""),0.022)</f>
        <v>0.022</v>
      </c>
      <c r="R500" s="14">
        <f>IFERROR(__xludf.DUMMYFUNCTION("""COMPUTED_VALUE"""),75.0)</f>
        <v>75</v>
      </c>
      <c r="S500" s="14">
        <f>IFERROR(__xludf.DUMMYFUNCTION("""COMPUTED_VALUE"""),73.0)</f>
        <v>73</v>
      </c>
      <c r="T500" s="14">
        <f>IFERROR(__xludf.DUMMYFUNCTION("""COMPUTED_VALUE"""),0.214)</f>
        <v>0.214</v>
      </c>
      <c r="U500" s="14">
        <f>IFERROR(__xludf.DUMMYFUNCTION("""COMPUTED_VALUE"""),0.711)</f>
        <v>0.711</v>
      </c>
      <c r="V500" s="14">
        <f>IFERROR(__xludf.DUMMYFUNCTION("""COMPUTED_VALUE"""),0.075)</f>
        <v>0.075</v>
      </c>
      <c r="W500" s="14">
        <f>IFERROR(__xludf.DUMMYFUNCTION("""COMPUTED_VALUE"""),1.296075E9)</f>
        <v>1296075000</v>
      </c>
      <c r="X500" s="14">
        <f>IFERROR(__xludf.DUMMYFUNCTION("""COMPUTED_VALUE"""),0.411)</f>
        <v>0.411</v>
      </c>
      <c r="Y500" s="14" t="str">
        <f>IFERROR(__xludf.DUMMYFUNCTION("""COMPUTED_VALUE"""),"China-Asia")</f>
        <v>China-Asia</v>
      </c>
      <c r="Z500" s="14" t="str">
        <f>IFERROR(__xludf.DUMMYFUNCTION("""COMPUTED_VALUE"""),"Asia")</f>
        <v>Asia</v>
      </c>
      <c r="AA500" s="14" t="str">
        <f>IFERROR(__xludf.DUMMYFUNCTION("""COMPUTED_VALUE"""),"2004")</f>
        <v>2004</v>
      </c>
      <c r="AB500" s="15" t="str">
        <f>IFERROR(__xludf.DUMMYFUNCTION("ARRAYFORMULA(VLOOKUP(A500,IMPORTRANGE(""https://docs.google.com/spreadsheets/d/1BuTWp7qHGjWhqrnf-OmePP568O4A5Am9ttzvVdP67zw/edit#gid=1931367683"" ,""ENERGY!$A$2:$F$2692""), {2,3,4,5,6},0))"),"Asia")</f>
        <v>Asia</v>
      </c>
      <c r="AC500" s="14" t="str">
        <f>IFERROR(__xludf.DUMMYFUNCTION("""COMPUTED_VALUE"""),"China-Asia")</f>
        <v>China-Asia</v>
      </c>
      <c r="AD500" s="14" t="str">
        <f>IFERROR(__xludf.DUMMYFUNCTION("""COMPUTED_VALUE"""),"2004")</f>
        <v>2004</v>
      </c>
      <c r="AE500" s="14">
        <f>IFERROR(__xludf.DUMMYFUNCTION("""COMPUTED_VALUE"""),2120814.0)</f>
        <v>2120814</v>
      </c>
      <c r="AF500" s="14">
        <f>IFERROR(__xludf.DUMMYFUNCTION("""COMPUTED_VALUE"""),7035444.0)</f>
        <v>7035444</v>
      </c>
    </row>
    <row r="501">
      <c r="A501" s="12">
        <v>500.0</v>
      </c>
      <c r="B501" s="12" t="s">
        <v>117</v>
      </c>
      <c r="C501" s="5" t="s">
        <v>61</v>
      </c>
      <c r="D501" s="11">
        <v>0.8</v>
      </c>
      <c r="E501" s="11">
        <v>48.0</v>
      </c>
      <c r="F501" s="8"/>
      <c r="G501" s="11">
        <v>832.0</v>
      </c>
      <c r="H501" s="11">
        <v>0.085</v>
      </c>
      <c r="I501" s="11">
        <v>0.298</v>
      </c>
      <c r="J501" s="9" t="s">
        <v>66</v>
      </c>
      <c r="K501" s="14" t="str">
        <f>IFERROR(__xludf.DUMMYFUNCTION("ARRAYFORMULA(VLOOKUP(A501,IMPORTRANGE(""https://docs.google.com/spreadsheets/d/1BuTWp7qHGjWhqrnf-OmePP568O4A5Am9ttzvVdP67zw/edit#gid=1603210130"", ""TOURISM!$A$2:$F$2692""), {2,3,4,5,6},0))"),"Asia")</f>
        <v>Asia</v>
      </c>
      <c r="L501" s="14">
        <f>IFERROR(__xludf.DUMMYFUNCTION("""COMPUTED_VALUE"""),3.1842E10)</f>
        <v>31842000000</v>
      </c>
      <c r="M501" s="14" t="str">
        <f>IFERROR(__xludf.DUMMYFUNCTION("""COMPUTED_VALUE"""),"China-Asia")</f>
        <v>China-Asia</v>
      </c>
      <c r="N501" s="14" t="str">
        <f>IFERROR(__xludf.DUMMYFUNCTION("""COMPUTED_VALUE"""),"2005")</f>
        <v>2005</v>
      </c>
      <c r="O501" s="14">
        <f>IFERROR(__xludf.DUMMYFUNCTION("""COMPUTED_VALUE"""),2.4721E10)</f>
        <v>24721000000</v>
      </c>
      <c r="P501" s="15">
        <f>IFERROR(__xludf.DUMMYFUNCTION("ARRAYFORMULA(VLOOKUP(A501,IMPORTRANGE(""https://docs.google.com/spreadsheets/d/1BuTWp7qHGjWhqrnf-OmePP568O4A5Am9ttzvVdP67zw/edit#gid=771602874"" ,""HUMAN RESOURCES!$A$2:$M$2692""), {2,3,4,5,6,7,8,9,10,11,12,13},0))"),0.012)</f>
        <v>0.012</v>
      </c>
      <c r="Q501" s="14">
        <f>IFERROR(__xludf.DUMMYFUNCTION("""COMPUTED_VALUE"""),0.02)</f>
        <v>0.02</v>
      </c>
      <c r="R501" s="14">
        <f>IFERROR(__xludf.DUMMYFUNCTION("""COMPUTED_VALUE"""),75.0)</f>
        <v>75</v>
      </c>
      <c r="S501" s="14">
        <f>IFERROR(__xludf.DUMMYFUNCTION("""COMPUTED_VALUE"""),73.0)</f>
        <v>73</v>
      </c>
      <c r="T501" s="14">
        <f>IFERROR(__xludf.DUMMYFUNCTION("""COMPUTED_VALUE"""),0.205)</f>
        <v>0.205</v>
      </c>
      <c r="U501" s="14">
        <f>IFERROR(__xludf.DUMMYFUNCTION("""COMPUTED_VALUE"""),0.718)</f>
        <v>0.718</v>
      </c>
      <c r="V501" s="14">
        <f>IFERROR(__xludf.DUMMYFUNCTION("""COMPUTED_VALUE"""),0.077)</f>
        <v>0.077</v>
      </c>
      <c r="W501" s="14">
        <f>IFERROR(__xludf.DUMMYFUNCTION("""COMPUTED_VALUE"""),1.30372E9)</f>
        <v>1303720000</v>
      </c>
      <c r="X501" s="14">
        <f>IFERROR(__xludf.DUMMYFUNCTION("""COMPUTED_VALUE"""),0.425)</f>
        <v>0.425</v>
      </c>
      <c r="Y501" s="14" t="str">
        <f>IFERROR(__xludf.DUMMYFUNCTION("""COMPUTED_VALUE"""),"China-Asia")</f>
        <v>China-Asia</v>
      </c>
      <c r="Z501" s="14" t="str">
        <f>IFERROR(__xludf.DUMMYFUNCTION("""COMPUTED_VALUE"""),"Asia")</f>
        <v>Asia</v>
      </c>
      <c r="AA501" s="14" t="str">
        <f>IFERROR(__xludf.DUMMYFUNCTION("""COMPUTED_VALUE"""),"2005")</f>
        <v>2005</v>
      </c>
      <c r="AB501" s="15" t="str">
        <f>IFERROR(__xludf.DUMMYFUNCTION("ARRAYFORMULA(VLOOKUP(A501,IMPORTRANGE(""https://docs.google.com/spreadsheets/d/1BuTWp7qHGjWhqrnf-OmePP568O4A5Am9ttzvVdP67zw/edit#gid=1931367683"" ,""ENERGY!$A$2:$F$2692""), {2,3,4,5,6},0))"),"Asia")</f>
        <v>Asia</v>
      </c>
      <c r="AC501" s="14" t="str">
        <f>IFERROR(__xludf.DUMMYFUNCTION("""COMPUTED_VALUE"""),"China-Asia")</f>
        <v>China-Asia</v>
      </c>
      <c r="AD501" s="14" t="str">
        <f>IFERROR(__xludf.DUMMYFUNCTION("""COMPUTED_VALUE"""),"2006")</f>
        <v>2006</v>
      </c>
      <c r="AE501" s="14">
        <f>IFERROR(__xludf.DUMMYFUNCTION("""COMPUTED_VALUE"""),2044606.0)</f>
        <v>2044606</v>
      </c>
      <c r="AF501" s="14">
        <f>IFERROR(__xludf.DUMMYFUNCTION("""COMPUTED_VALUE"""),6791805.0)</f>
        <v>6791805</v>
      </c>
    </row>
    <row r="502">
      <c r="A502" s="12">
        <v>501.0</v>
      </c>
      <c r="B502" s="12" t="s">
        <v>117</v>
      </c>
      <c r="C502" s="5" t="s">
        <v>61</v>
      </c>
      <c r="D502" s="11">
        <v>0.807</v>
      </c>
      <c r="E502" s="11">
        <v>35.0</v>
      </c>
      <c r="F502" s="8"/>
      <c r="G502" s="11">
        <v>832.0</v>
      </c>
      <c r="H502" s="11">
        <v>0.105</v>
      </c>
      <c r="I502" s="11">
        <v>0.348</v>
      </c>
      <c r="J502" s="9" t="s">
        <v>67</v>
      </c>
      <c r="K502" s="14" t="str">
        <f>IFERROR(__xludf.DUMMYFUNCTION("ARRAYFORMULA(VLOOKUP(A502,IMPORTRANGE(""https://docs.google.com/spreadsheets/d/1BuTWp7qHGjWhqrnf-OmePP568O4A5Am9ttzvVdP67zw/edit#gid=1603210130"", ""TOURISM!$A$2:$F$2692""), {2,3,4,5,6},0))"),"Asia")</f>
        <v>Asia</v>
      </c>
      <c r="L502" s="14">
        <f>IFERROR(__xludf.DUMMYFUNCTION("""COMPUTED_VALUE"""),3.7132E10)</f>
        <v>37132000000</v>
      </c>
      <c r="M502" s="14" t="str">
        <f>IFERROR(__xludf.DUMMYFUNCTION("""COMPUTED_VALUE"""),"China-Asia")</f>
        <v>China-Asia</v>
      </c>
      <c r="N502" s="14" t="str">
        <f>IFERROR(__xludf.DUMMYFUNCTION("""COMPUTED_VALUE"""),"2006")</f>
        <v>2006</v>
      </c>
      <c r="O502" s="14">
        <f>IFERROR(__xludf.DUMMYFUNCTION("""COMPUTED_VALUE"""),2.8242E10)</f>
        <v>28242000000</v>
      </c>
      <c r="P502" s="15">
        <f>IFERROR(__xludf.DUMMYFUNCTION("ARRAYFORMULA(VLOOKUP(A502,IMPORTRANGE(""https://docs.google.com/spreadsheets/d/1BuTWp7qHGjWhqrnf-OmePP568O4A5Am9ttzvVdP67zw/edit#gid=771602874"" ,""HUMAN RESOURCES!$A$2:$M$2692""), {2,3,4,5,6,7,8,9,10,11,12,13},0))"),0.012)</f>
        <v>0.012</v>
      </c>
      <c r="Q502" s="14">
        <f>IFERROR(__xludf.DUMMYFUNCTION("""COMPUTED_VALUE"""),0.019)</f>
        <v>0.019</v>
      </c>
      <c r="R502" s="14">
        <f>IFERROR(__xludf.DUMMYFUNCTION("""COMPUTED_VALUE"""),76.0)</f>
        <v>76</v>
      </c>
      <c r="S502" s="14">
        <f>IFERROR(__xludf.DUMMYFUNCTION("""COMPUTED_VALUE"""),73.0)</f>
        <v>73</v>
      </c>
      <c r="T502" s="14">
        <f>IFERROR(__xludf.DUMMYFUNCTION("""COMPUTED_VALUE"""),0.198)</f>
        <v>0.198</v>
      </c>
      <c r="U502" s="14">
        <f>IFERROR(__xludf.DUMMYFUNCTION("""COMPUTED_VALUE"""),0.724)</f>
        <v>0.724</v>
      </c>
      <c r="V502" s="14">
        <f>IFERROR(__xludf.DUMMYFUNCTION("""COMPUTED_VALUE"""),0.078)</f>
        <v>0.078</v>
      </c>
      <c r="W502" s="14">
        <f>IFERROR(__xludf.DUMMYFUNCTION("""COMPUTED_VALUE"""),1.31102E9)</f>
        <v>1311020000</v>
      </c>
      <c r="X502" s="14">
        <f>IFERROR(__xludf.DUMMYFUNCTION("""COMPUTED_VALUE"""),0.439)</f>
        <v>0.439</v>
      </c>
      <c r="Y502" s="14" t="str">
        <f>IFERROR(__xludf.DUMMYFUNCTION("""COMPUTED_VALUE"""),"China-Asia")</f>
        <v>China-Asia</v>
      </c>
      <c r="Z502" s="14" t="str">
        <f>IFERROR(__xludf.DUMMYFUNCTION("""COMPUTED_VALUE"""),"Asia")</f>
        <v>Asia</v>
      </c>
      <c r="AA502" s="14" t="str">
        <f>IFERROR(__xludf.DUMMYFUNCTION("""COMPUTED_VALUE"""),"2006")</f>
        <v>2006</v>
      </c>
      <c r="AB502" s="15" t="str">
        <f>IFERROR(__xludf.DUMMYFUNCTION("ARRAYFORMULA(VLOOKUP(A502,IMPORTRANGE(""https://docs.google.com/spreadsheets/d/1BuTWp7qHGjWhqrnf-OmePP568O4A5Am9ttzvVdP67zw/edit#gid=1931367683"" ,""ENERGY!$A$2:$F$2692""), {2,3,4,5,6},0))"),"Asia")</f>
        <v>Asia</v>
      </c>
      <c r="AC502" s="14" t="str">
        <f>IFERROR(__xludf.DUMMYFUNCTION("""COMPUTED_VALUE"""),"China-Asia")</f>
        <v>China-Asia</v>
      </c>
      <c r="AD502" s="14" t="str">
        <f>IFERROR(__xludf.DUMMYFUNCTION("""COMPUTED_VALUE"""),"2010")</f>
        <v>2010</v>
      </c>
      <c r="AE502" s="14">
        <f>IFERROR(__xludf.DUMMYFUNCTION("""COMPUTED_VALUE"""),1938944.0)</f>
        <v>1938944</v>
      </c>
      <c r="AF502" s="14">
        <f>IFERROR(__xludf.DUMMYFUNCTION("""COMPUTED_VALUE"""),6414463.0)</f>
        <v>6414463</v>
      </c>
    </row>
    <row r="503">
      <c r="A503" s="12">
        <v>502.0</v>
      </c>
      <c r="B503" s="12" t="s">
        <v>117</v>
      </c>
      <c r="C503" s="5" t="s">
        <v>61</v>
      </c>
      <c r="D503" s="11">
        <v>0.812</v>
      </c>
      <c r="E503" s="11">
        <v>35.0</v>
      </c>
      <c r="F503" s="8"/>
      <c r="G503" s="11">
        <v>832.0</v>
      </c>
      <c r="H503" s="11">
        <v>0.16</v>
      </c>
      <c r="I503" s="11">
        <v>0.41</v>
      </c>
      <c r="J503" s="9" t="s">
        <v>68</v>
      </c>
      <c r="K503" s="14" t="str">
        <f>IFERROR(__xludf.DUMMYFUNCTION("ARRAYFORMULA(VLOOKUP(A503,IMPORTRANGE(""https://docs.google.com/spreadsheets/d/1BuTWp7qHGjWhqrnf-OmePP568O4A5Am9ttzvVdP67zw/edit#gid=1603210130"", ""TOURISM!$A$2:$F$2692""), {2,3,4,5,6},0))"),"Asia")</f>
        <v>Asia</v>
      </c>
      <c r="L503" s="14">
        <f>IFERROR(__xludf.DUMMYFUNCTION("""COMPUTED_VALUE"""),4.1126E10)</f>
        <v>41126000000</v>
      </c>
      <c r="M503" s="14" t="str">
        <f>IFERROR(__xludf.DUMMYFUNCTION("""COMPUTED_VALUE"""),"China-Asia")</f>
        <v>China-Asia</v>
      </c>
      <c r="N503" s="14" t="str">
        <f>IFERROR(__xludf.DUMMYFUNCTION("""COMPUTED_VALUE"""),"2007")</f>
        <v>2007</v>
      </c>
      <c r="O503" s="14">
        <f>IFERROR(__xludf.DUMMYFUNCTION("""COMPUTED_VALUE"""),3.3269E10)</f>
        <v>33269000000</v>
      </c>
      <c r="P503" s="15">
        <f>IFERROR(__xludf.DUMMYFUNCTION("ARRAYFORMULA(VLOOKUP(A503,IMPORTRANGE(""https://docs.google.com/spreadsheets/d/1BuTWp7qHGjWhqrnf-OmePP568O4A5Am9ttzvVdP67zw/edit#gid=771602874"" ,""HUMAN RESOURCES!$A$2:$M$2692""), {2,3,4,5,6,7,8,9,10,11,12,13},0))"),0.012)</f>
        <v>0.012</v>
      </c>
      <c r="Q503" s="14">
        <f>IFERROR(__xludf.DUMMYFUNCTION("""COMPUTED_VALUE"""),0.017)</f>
        <v>0.017</v>
      </c>
      <c r="R503" s="14">
        <f>IFERROR(__xludf.DUMMYFUNCTION("""COMPUTED_VALUE"""),76.0)</f>
        <v>76</v>
      </c>
      <c r="S503" s="14">
        <f>IFERROR(__xludf.DUMMYFUNCTION("""COMPUTED_VALUE"""),73.0)</f>
        <v>73</v>
      </c>
      <c r="T503" s="14">
        <f>IFERROR(__xludf.DUMMYFUNCTION("""COMPUTED_VALUE"""),0.192)</f>
        <v>0.192</v>
      </c>
      <c r="U503" s="14">
        <f>IFERROR(__xludf.DUMMYFUNCTION("""COMPUTED_VALUE"""),0.729)</f>
        <v>0.729</v>
      </c>
      <c r="V503" s="14">
        <f>IFERROR(__xludf.DUMMYFUNCTION("""COMPUTED_VALUE"""),0.079)</f>
        <v>0.079</v>
      </c>
      <c r="W503" s="14">
        <f>IFERROR(__xludf.DUMMYFUNCTION("""COMPUTED_VALUE"""),1.317885E9)</f>
        <v>1317885000</v>
      </c>
      <c r="X503" s="14">
        <f>IFERROR(__xludf.DUMMYFUNCTION("""COMPUTED_VALUE"""),0.452)</f>
        <v>0.452</v>
      </c>
      <c r="Y503" s="14" t="str">
        <f>IFERROR(__xludf.DUMMYFUNCTION("""COMPUTED_VALUE"""),"China-Asia")</f>
        <v>China-Asia</v>
      </c>
      <c r="Z503" s="14" t="str">
        <f>IFERROR(__xludf.DUMMYFUNCTION("""COMPUTED_VALUE"""),"Asia")</f>
        <v>Asia</v>
      </c>
      <c r="AA503" s="14" t="str">
        <f>IFERROR(__xludf.DUMMYFUNCTION("""COMPUTED_VALUE"""),"2007")</f>
        <v>2007</v>
      </c>
      <c r="AB503" s="15" t="str">
        <f>IFERROR(__xludf.DUMMYFUNCTION("ARRAYFORMULA(VLOOKUP(A503,IMPORTRANGE(""https://docs.google.com/spreadsheets/d/1BuTWp7qHGjWhqrnf-OmePP568O4A5Am9ttzvVdP67zw/edit#gid=1931367683"" ,""ENERGY!$A$2:$F$2692""), {2,3,4,5,6},0))"),"Asia")</f>
        <v>Asia</v>
      </c>
      <c r="AC503" s="14" t="str">
        <f>IFERROR(__xludf.DUMMYFUNCTION("""COMPUTED_VALUE"""),"China-Asia")</f>
        <v>China-Asia</v>
      </c>
      <c r="AD503" s="14" t="str">
        <f>IFERROR(__xludf.DUMMYFUNCTION("""COMPUTED_VALUE"""),"2006")</f>
        <v>2006</v>
      </c>
      <c r="AE503" s="14">
        <f>IFERROR(__xludf.DUMMYFUNCTION("""COMPUTED_VALUE"""),1775677.0)</f>
        <v>1775677</v>
      </c>
      <c r="AF503" s="14">
        <f>IFERROR(__xludf.DUMMYFUNCTION("""COMPUTED_VALUE"""),5790017.0)</f>
        <v>5790017</v>
      </c>
    </row>
    <row r="504">
      <c r="A504" s="12">
        <v>503.0</v>
      </c>
      <c r="B504" s="12" t="s">
        <v>117</v>
      </c>
      <c r="C504" s="5" t="s">
        <v>61</v>
      </c>
      <c r="D504" s="11">
        <v>0.799</v>
      </c>
      <c r="E504" s="11">
        <v>41.0</v>
      </c>
      <c r="F504" s="8"/>
      <c r="G504" s="11">
        <v>464.0</v>
      </c>
      <c r="H504" s="11">
        <v>0.226</v>
      </c>
      <c r="I504" s="11">
        <v>0.478</v>
      </c>
      <c r="J504" s="9" t="s">
        <v>69</v>
      </c>
      <c r="K504" s="14" t="str">
        <f>IFERROR(__xludf.DUMMYFUNCTION("ARRAYFORMULA(VLOOKUP(A504,IMPORTRANGE(""https://docs.google.com/spreadsheets/d/1BuTWp7qHGjWhqrnf-OmePP568O4A5Am9ttzvVdP67zw/edit#gid=1603210130"", ""TOURISM!$A$2:$F$2692""), {2,3,4,5,6},0))"),"Asia")</f>
        <v>Asia</v>
      </c>
      <c r="L504" s="14">
        <f>IFERROR(__xludf.DUMMYFUNCTION("""COMPUTED_VALUE"""),4.413E10)</f>
        <v>44130000000</v>
      </c>
      <c r="M504" s="14" t="str">
        <f>IFERROR(__xludf.DUMMYFUNCTION("""COMPUTED_VALUE"""),"China-Asia")</f>
        <v>China-Asia</v>
      </c>
      <c r="N504" s="14" t="str">
        <f>IFERROR(__xludf.DUMMYFUNCTION("""COMPUTED_VALUE"""),"2008")</f>
        <v>2008</v>
      </c>
      <c r="O504" s="14">
        <f>IFERROR(__xludf.DUMMYFUNCTION("""COMPUTED_VALUE"""),4.0987E10)</f>
        <v>40987000000</v>
      </c>
      <c r="P504" s="15">
        <f>IFERROR(__xludf.DUMMYFUNCTION("ARRAYFORMULA(VLOOKUP(A504,IMPORTRANGE(""https://docs.google.com/spreadsheets/d/1BuTWp7qHGjWhqrnf-OmePP568O4A5Am9ttzvVdP67zw/edit#gid=771602874"" ,""HUMAN RESOURCES!$A$2:$M$2692""), {2,3,4,5,6,7,8,9,10,11,12,13},0))"),0.012)</f>
        <v>0.012</v>
      </c>
      <c r="Q504" s="14">
        <f>IFERROR(__xludf.DUMMYFUNCTION("""COMPUTED_VALUE"""),0.016)</f>
        <v>0.016</v>
      </c>
      <c r="R504" s="14">
        <f>IFERROR(__xludf.DUMMYFUNCTION("""COMPUTED_VALUE"""),76.0)</f>
        <v>76</v>
      </c>
      <c r="S504" s="14">
        <f>IFERROR(__xludf.DUMMYFUNCTION("""COMPUTED_VALUE"""),73.0)</f>
        <v>73</v>
      </c>
      <c r="T504" s="14">
        <f>IFERROR(__xludf.DUMMYFUNCTION("""COMPUTED_VALUE"""),0.187)</f>
        <v>0.187</v>
      </c>
      <c r="U504" s="14">
        <f>IFERROR(__xludf.DUMMYFUNCTION("""COMPUTED_VALUE"""),0.732)</f>
        <v>0.732</v>
      </c>
      <c r="V504" s="14">
        <f>IFERROR(__xludf.DUMMYFUNCTION("""COMPUTED_VALUE"""),0.081)</f>
        <v>0.081</v>
      </c>
      <c r="W504" s="14">
        <f>IFERROR(__xludf.DUMMYFUNCTION("""COMPUTED_VALUE"""),1.324655E9)</f>
        <v>1324655000</v>
      </c>
      <c r="X504" s="14">
        <f>IFERROR(__xludf.DUMMYFUNCTION("""COMPUTED_VALUE"""),0.465)</f>
        <v>0.465</v>
      </c>
      <c r="Y504" s="14" t="str">
        <f>IFERROR(__xludf.DUMMYFUNCTION("""COMPUTED_VALUE"""),"China-Asia")</f>
        <v>China-Asia</v>
      </c>
      <c r="Z504" s="14" t="str">
        <f>IFERROR(__xludf.DUMMYFUNCTION("""COMPUTED_VALUE"""),"Asia")</f>
        <v>Asia</v>
      </c>
      <c r="AA504" s="14" t="str">
        <f>IFERROR(__xludf.DUMMYFUNCTION("""COMPUTED_VALUE"""),"2008")</f>
        <v>2008</v>
      </c>
      <c r="AB504" s="15" t="str">
        <f>IFERROR(__xludf.DUMMYFUNCTION("ARRAYFORMULA(VLOOKUP(A504,IMPORTRANGE(""https://docs.google.com/spreadsheets/d/1BuTWp7qHGjWhqrnf-OmePP568O4A5Am9ttzvVdP67zw/edit#gid=1931367683"" ,""ENERGY!$A$2:$F$2692""), {2,3,4,5,6},0))"),"Asia")</f>
        <v>Asia</v>
      </c>
      <c r="AC504" s="14" t="str">
        <f>IFERROR(__xludf.DUMMYFUNCTION("""COMPUTED_VALUE"""),"China-Asia")</f>
        <v>China-Asia</v>
      </c>
      <c r="AD504" s="14" t="str">
        <f>IFERROR(__xludf.DUMMYFUNCTION("""COMPUTED_VALUE"""),"2012")</f>
        <v>2012</v>
      </c>
      <c r="AE504" s="14">
        <f>IFERROR(__xludf.DUMMYFUNCTION("""COMPUTED_VALUE"""),1639854.0)</f>
        <v>1639854</v>
      </c>
      <c r="AF504" s="14">
        <f>IFERROR(__xludf.DUMMYFUNCTION("""COMPUTED_VALUE"""),5288166.0)</f>
        <v>5288166</v>
      </c>
    </row>
    <row r="505">
      <c r="A505" s="12">
        <v>504.0</v>
      </c>
      <c r="B505" s="12" t="s">
        <v>117</v>
      </c>
      <c r="C505" s="5" t="s">
        <v>61</v>
      </c>
      <c r="D505" s="11">
        <v>0.638</v>
      </c>
      <c r="E505" s="11">
        <v>38.0</v>
      </c>
      <c r="F505" s="8"/>
      <c r="G505" s="11">
        <v>464.0</v>
      </c>
      <c r="H505" s="11">
        <v>0.289</v>
      </c>
      <c r="I505" s="11">
        <v>0.553</v>
      </c>
      <c r="J505" s="9" t="s">
        <v>70</v>
      </c>
      <c r="K505" s="14" t="str">
        <f>IFERROR(__xludf.DUMMYFUNCTION("ARRAYFORMULA(VLOOKUP(A505,IMPORTRANGE(""https://docs.google.com/spreadsheets/d/1BuTWp7qHGjWhqrnf-OmePP568O4A5Am9ttzvVdP67zw/edit#gid=1603210130"", ""TOURISM!$A$2:$F$2692""), {2,3,4,5,6},0))"),"Asia")</f>
        <v>Asia</v>
      </c>
      <c r="L505" s="14">
        <f>IFERROR(__xludf.DUMMYFUNCTION("""COMPUTED_VALUE"""),4.2632E10)</f>
        <v>42632000000</v>
      </c>
      <c r="M505" s="14" t="str">
        <f>IFERROR(__xludf.DUMMYFUNCTION("""COMPUTED_VALUE"""),"China-Asia")</f>
        <v>China-Asia</v>
      </c>
      <c r="N505" s="14" t="str">
        <f>IFERROR(__xludf.DUMMYFUNCTION("""COMPUTED_VALUE"""),"2009")</f>
        <v>2009</v>
      </c>
      <c r="O505" s="14">
        <f>IFERROR(__xludf.DUMMYFUNCTION("""COMPUTED_VALUE"""),4.7108E10)</f>
        <v>47108000000</v>
      </c>
      <c r="P505" s="15">
        <f>IFERROR(__xludf.DUMMYFUNCTION("ARRAYFORMULA(VLOOKUP(A505,IMPORTRANGE(""https://docs.google.com/spreadsheets/d/1BuTWp7qHGjWhqrnf-OmePP568O4A5Am9ttzvVdP67zw/edit#gid=771602874"" ,""HUMAN RESOURCES!$A$2:$M$2692""), {2,3,4,5,6,7,8,9,10,11,12,13},0))"),0.012)</f>
        <v>0.012</v>
      </c>
      <c r="Q505" s="14">
        <f>IFERROR(__xludf.DUMMYFUNCTION("""COMPUTED_VALUE"""),0.015)</f>
        <v>0.015</v>
      </c>
      <c r="R505" s="14">
        <f>IFERROR(__xludf.DUMMYFUNCTION("""COMPUTED_VALUE"""),76.0)</f>
        <v>76</v>
      </c>
      <c r="S505" s="14">
        <f>IFERROR(__xludf.DUMMYFUNCTION("""COMPUTED_VALUE"""),73.0)</f>
        <v>73</v>
      </c>
      <c r="T505" s="14">
        <f>IFERROR(__xludf.DUMMYFUNCTION("""COMPUTED_VALUE"""),0.184)</f>
        <v>0.184</v>
      </c>
      <c r="U505" s="14">
        <f>IFERROR(__xludf.DUMMYFUNCTION("""COMPUTED_VALUE"""),0.734)</f>
        <v>0.734</v>
      </c>
      <c r="V505" s="14">
        <f>IFERROR(__xludf.DUMMYFUNCTION("""COMPUTED_VALUE"""),0.082)</f>
        <v>0.082</v>
      </c>
      <c r="W505" s="14">
        <f>IFERROR(__xludf.DUMMYFUNCTION("""COMPUTED_VALUE"""),1.33126E9)</f>
        <v>1331260000</v>
      </c>
      <c r="X505" s="14">
        <f>IFERROR(__xludf.DUMMYFUNCTION("""COMPUTED_VALUE"""),0.479)</f>
        <v>0.479</v>
      </c>
      <c r="Y505" s="14" t="str">
        <f>IFERROR(__xludf.DUMMYFUNCTION("""COMPUTED_VALUE"""),"China-Asia")</f>
        <v>China-Asia</v>
      </c>
      <c r="Z505" s="14" t="str">
        <f>IFERROR(__xludf.DUMMYFUNCTION("""COMPUTED_VALUE"""),"Asia")</f>
        <v>Asia</v>
      </c>
      <c r="AA505" s="14" t="str">
        <f>IFERROR(__xludf.DUMMYFUNCTION("""COMPUTED_VALUE"""),"2009")</f>
        <v>2009</v>
      </c>
      <c r="AB505" s="15" t="str">
        <f>IFERROR(__xludf.DUMMYFUNCTION("ARRAYFORMULA(VLOOKUP(A505,IMPORTRANGE(""https://docs.google.com/spreadsheets/d/1BuTWp7qHGjWhqrnf-OmePP568O4A5Am9ttzvVdP67zw/edit#gid=1931367683"" ,""ENERGY!$A$2:$F$2692""), {2,3,4,5,6},0))"),"Asia")</f>
        <v>Asia</v>
      </c>
      <c r="AC505" s="14" t="str">
        <f>IFERROR(__xludf.DUMMYFUNCTION("""COMPUTED_VALUE"""),"China-Asia")</f>
        <v>China-Asia</v>
      </c>
      <c r="AD505" s="14" t="str">
        <f>IFERROR(__xludf.DUMMYFUNCTION("""COMPUTED_VALUE"""),"2009")</f>
        <v>2009</v>
      </c>
      <c r="AE505" s="14">
        <f>IFERROR(__xludf.DUMMYFUNCTION("""COMPUTED_VALUE"""),1427554.0)</f>
        <v>1427554</v>
      </c>
      <c r="AF505" s="14">
        <f>IFERROR(__xludf.DUMMYFUNCTION("""COMPUTED_VALUE"""),4525177.0)</f>
        <v>4525177</v>
      </c>
    </row>
    <row r="506">
      <c r="A506" s="12">
        <v>505.0</v>
      </c>
      <c r="B506" s="12" t="s">
        <v>117</v>
      </c>
      <c r="C506" s="5" t="s">
        <v>61</v>
      </c>
      <c r="D506" s="11">
        <v>0.635</v>
      </c>
      <c r="E506" s="11">
        <v>38.0</v>
      </c>
      <c r="F506" s="8"/>
      <c r="G506" s="11">
        <v>358.0</v>
      </c>
      <c r="H506" s="11">
        <v>0.343</v>
      </c>
      <c r="I506" s="11">
        <v>0.632</v>
      </c>
      <c r="J506" s="9" t="s">
        <v>71</v>
      </c>
      <c r="K506" s="14" t="str">
        <f>IFERROR(__xludf.DUMMYFUNCTION("ARRAYFORMULA(VLOOKUP(A506,IMPORTRANGE(""https://docs.google.com/spreadsheets/d/1BuTWp7qHGjWhqrnf-OmePP568O4A5Am9ttzvVdP67zw/edit#gid=1603210130"", ""TOURISM!$A$2:$F$2692""), {2,3,4,5,6},0))"),"Asia")</f>
        <v>Asia</v>
      </c>
      <c r="L506" s="14">
        <f>IFERROR(__xludf.DUMMYFUNCTION("""COMPUTED_VALUE"""),5.0154E10)</f>
        <v>50154000000</v>
      </c>
      <c r="M506" s="14" t="str">
        <f>IFERROR(__xludf.DUMMYFUNCTION("""COMPUTED_VALUE"""),"China-Asia")</f>
        <v>China-Asia</v>
      </c>
      <c r="N506" s="14" t="str">
        <f>IFERROR(__xludf.DUMMYFUNCTION("""COMPUTED_VALUE"""),"2010")</f>
        <v>2010</v>
      </c>
      <c r="O506" s="14">
        <f>IFERROR(__xludf.DUMMYFUNCTION("""COMPUTED_VALUE"""),5.984E10)</f>
        <v>59840000000</v>
      </c>
      <c r="P506" s="15">
        <f>IFERROR(__xludf.DUMMYFUNCTION("ARRAYFORMULA(VLOOKUP(A506,IMPORTRANGE(""https://docs.google.com/spreadsheets/d/1BuTWp7qHGjWhqrnf-OmePP568O4A5Am9ttzvVdP67zw/edit#gid=771602874"" ,""HUMAN RESOURCES!$A$2:$M$2692""), {2,3,4,5,6,7,8,9,10,11,12,13},0))"),0.012)</f>
        <v>0.012</v>
      </c>
      <c r="Q506" s="14">
        <f>IFERROR(__xludf.DUMMYFUNCTION("""COMPUTED_VALUE"""),0.014)</f>
        <v>0.014</v>
      </c>
      <c r="R506" s="14">
        <f>IFERROR(__xludf.DUMMYFUNCTION("""COMPUTED_VALUE"""),76.0)</f>
        <v>76</v>
      </c>
      <c r="S506" s="14">
        <f>IFERROR(__xludf.DUMMYFUNCTION("""COMPUTED_VALUE"""),74.0)</f>
        <v>74</v>
      </c>
      <c r="T506" s="14">
        <f>IFERROR(__xludf.DUMMYFUNCTION("""COMPUTED_VALUE"""),0.181)</f>
        <v>0.181</v>
      </c>
      <c r="U506" s="14">
        <f>IFERROR(__xludf.DUMMYFUNCTION("""COMPUTED_VALUE"""),0.735)</f>
        <v>0.735</v>
      </c>
      <c r="V506" s="14">
        <f>IFERROR(__xludf.DUMMYFUNCTION("""COMPUTED_VALUE"""),0.084)</f>
        <v>0.084</v>
      </c>
      <c r="W506" s="14">
        <f>IFERROR(__xludf.DUMMYFUNCTION("""COMPUTED_VALUE"""),1.337705E9)</f>
        <v>1337705000</v>
      </c>
      <c r="X506" s="14">
        <f>IFERROR(__xludf.DUMMYFUNCTION("""COMPUTED_VALUE"""),0.492)</f>
        <v>0.492</v>
      </c>
      <c r="Y506" s="14" t="str">
        <f>IFERROR(__xludf.DUMMYFUNCTION("""COMPUTED_VALUE"""),"China-Asia")</f>
        <v>China-Asia</v>
      </c>
      <c r="Z506" s="14" t="str">
        <f>IFERROR(__xludf.DUMMYFUNCTION("""COMPUTED_VALUE"""),"Asia")</f>
        <v>Asia</v>
      </c>
      <c r="AA506" s="14" t="str">
        <f>IFERROR(__xludf.DUMMYFUNCTION("""COMPUTED_VALUE"""),"2010")</f>
        <v>2010</v>
      </c>
      <c r="AB506" s="15" t="str">
        <f>IFERROR(__xludf.DUMMYFUNCTION("ARRAYFORMULA(VLOOKUP(A506,IMPORTRANGE(""https://docs.google.com/spreadsheets/d/1BuTWp7qHGjWhqrnf-OmePP568O4A5Am9ttzvVdP67zw/edit#gid=1931367683"" ,""ENERGY!$A$2:$F$2692""), {2,3,4,5,6},0))"),"Asia")</f>
        <v>Asia</v>
      </c>
      <c r="AC506" s="14" t="str">
        <f>IFERROR(__xludf.DUMMYFUNCTION("""COMPUTED_VALUE"""),"China-Asia")</f>
        <v>China-Asia</v>
      </c>
      <c r="AD506" s="14" t="str">
        <f>IFERROR(__xludf.DUMMYFUNCTION("""COMPUTED_VALUE"""),"2007")</f>
        <v>2007</v>
      </c>
      <c r="AE506" s="14">
        <f>IFERROR(__xludf.DUMMYFUNCTION("""COMPUTED_VALUE"""),1253831.0)</f>
        <v>1253831</v>
      </c>
      <c r="AF506" s="14">
        <f>IFERROR(__xludf.DUMMYFUNCTION("""COMPUTED_VALUE"""),3694242.0)</f>
        <v>3694242</v>
      </c>
    </row>
    <row r="507">
      <c r="A507" s="12">
        <v>506.0</v>
      </c>
      <c r="B507" s="12" t="s">
        <v>117</v>
      </c>
      <c r="C507" s="5" t="s">
        <v>61</v>
      </c>
      <c r="D507" s="11">
        <v>0.635</v>
      </c>
      <c r="E507" s="11">
        <v>38.0</v>
      </c>
      <c r="F507" s="8"/>
      <c r="G507" s="11">
        <v>358.0</v>
      </c>
      <c r="H507" s="11">
        <v>0.383</v>
      </c>
      <c r="I507" s="11">
        <v>0.721</v>
      </c>
      <c r="J507" s="9" t="s">
        <v>72</v>
      </c>
      <c r="K507" s="14" t="str">
        <f>IFERROR(__xludf.DUMMYFUNCTION("ARRAYFORMULA(VLOOKUP(A507,IMPORTRANGE(""https://docs.google.com/spreadsheets/d/1BuTWp7qHGjWhqrnf-OmePP568O4A5Am9ttzvVdP67zw/edit#gid=1603210130"", ""TOURISM!$A$2:$F$2692""), {2,3,4,5,6},0))"),"Asia")</f>
        <v>Asia</v>
      </c>
      <c r="L507" s="14">
        <f>IFERROR(__xludf.DUMMYFUNCTION("""COMPUTED_VALUE"""),5.3313E10)</f>
        <v>53313000000</v>
      </c>
      <c r="M507" s="14" t="str">
        <f>IFERROR(__xludf.DUMMYFUNCTION("""COMPUTED_VALUE"""),"China-Asia")</f>
        <v>China-Asia</v>
      </c>
      <c r="N507" s="14" t="str">
        <f>IFERROR(__xludf.DUMMYFUNCTION("""COMPUTED_VALUE"""),"2011")</f>
        <v>2011</v>
      </c>
      <c r="O507" s="14">
        <f>IFERROR(__xludf.DUMMYFUNCTION("""COMPUTED_VALUE"""),7.901E10)</f>
        <v>79010000000</v>
      </c>
      <c r="P507" s="15">
        <f>IFERROR(__xludf.DUMMYFUNCTION("ARRAYFORMULA(VLOOKUP(A507,IMPORTRANGE(""https://docs.google.com/spreadsheets/d/1BuTWp7qHGjWhqrnf-OmePP568O4A5Am9ttzvVdP67zw/edit#gid=771602874"" ,""HUMAN RESOURCES!$A$2:$M$2692""), {2,3,4,5,6,7,8,9,10,11,12,13},0))"),0.012)</f>
        <v>0.012</v>
      </c>
      <c r="Q507" s="14">
        <f>IFERROR(__xludf.DUMMYFUNCTION("""COMPUTED_VALUE"""),0.013)</f>
        <v>0.013</v>
      </c>
      <c r="R507" s="14">
        <f>IFERROR(__xludf.DUMMYFUNCTION("""COMPUTED_VALUE"""),76.0)</f>
        <v>76</v>
      </c>
      <c r="S507" s="14">
        <f>IFERROR(__xludf.DUMMYFUNCTION("""COMPUTED_VALUE"""),74.0)</f>
        <v>74</v>
      </c>
      <c r="T507" s="14">
        <f>IFERROR(__xludf.DUMMYFUNCTION("""COMPUTED_VALUE"""),0.18)</f>
        <v>0.18</v>
      </c>
      <c r="U507" s="14">
        <f>IFERROR(__xludf.DUMMYFUNCTION("""COMPUTED_VALUE"""),0.735)</f>
        <v>0.735</v>
      </c>
      <c r="V507" s="14">
        <f>IFERROR(__xludf.DUMMYFUNCTION("""COMPUTED_VALUE"""),0.085)</f>
        <v>0.085</v>
      </c>
      <c r="W507" s="14">
        <f>IFERROR(__xludf.DUMMYFUNCTION("""COMPUTED_VALUE"""),1.34413E9)</f>
        <v>1344130000</v>
      </c>
      <c r="X507" s="14">
        <f>IFERROR(__xludf.DUMMYFUNCTION("""COMPUTED_VALUE"""),0.506)</f>
        <v>0.506</v>
      </c>
      <c r="Y507" s="14" t="str">
        <f>IFERROR(__xludf.DUMMYFUNCTION("""COMPUTED_VALUE"""),"China-Asia")</f>
        <v>China-Asia</v>
      </c>
      <c r="Z507" s="14" t="str">
        <f>IFERROR(__xludf.DUMMYFUNCTION("""COMPUTED_VALUE"""),"Asia")</f>
        <v>Asia</v>
      </c>
      <c r="AA507" s="14" t="str">
        <f>IFERROR(__xludf.DUMMYFUNCTION("""COMPUTED_VALUE"""),"2011")</f>
        <v>2011</v>
      </c>
      <c r="AB507" s="15" t="str">
        <f>IFERROR(__xludf.DUMMYFUNCTION("ARRAYFORMULA(VLOOKUP(A507,IMPORTRANGE(""https://docs.google.com/spreadsheets/d/1BuTWp7qHGjWhqrnf-OmePP568O4A5Am9ttzvVdP67zw/edit#gid=1931367683"" ,""ENERGY!$A$2:$F$2692""), {2,3,4,5,6},0))"),"Asia")</f>
        <v>Asia</v>
      </c>
      <c r="AC507" s="14" t="str">
        <f>IFERROR(__xludf.DUMMYFUNCTION("""COMPUTED_VALUE"""),"China-Asia")</f>
        <v>China-Asia</v>
      </c>
      <c r="AD507" s="14" t="str">
        <f>IFERROR(__xludf.DUMMYFUNCTION("""COMPUTED_VALUE"""),"2004")</f>
        <v>2004</v>
      </c>
      <c r="AE507" s="14">
        <f>IFERROR(__xludf.DUMMYFUNCTION("""COMPUTED_VALUE"""),1186797.0)</f>
        <v>1186797</v>
      </c>
      <c r="AF507" s="14">
        <f>IFERROR(__xludf.DUMMYFUNCTION("""COMPUTED_VALUE"""),3487566.0)</f>
        <v>3487566</v>
      </c>
    </row>
    <row r="508">
      <c r="A508" s="12">
        <v>507.0</v>
      </c>
      <c r="B508" s="12" t="s">
        <v>117</v>
      </c>
      <c r="C508" s="5" t="s">
        <v>61</v>
      </c>
      <c r="D508" s="11">
        <v>0.637</v>
      </c>
      <c r="E508" s="11">
        <v>33.0</v>
      </c>
      <c r="F508" s="11">
        <v>99.0</v>
      </c>
      <c r="G508" s="11">
        <v>338.0</v>
      </c>
      <c r="H508" s="11">
        <v>0.423</v>
      </c>
      <c r="I508" s="11">
        <v>0.808</v>
      </c>
      <c r="J508" s="9" t="s">
        <v>73</v>
      </c>
      <c r="K508" s="14" t="str">
        <f>IFERROR(__xludf.DUMMYFUNCTION("ARRAYFORMULA(VLOOKUP(A508,IMPORTRANGE(""https://docs.google.com/spreadsheets/d/1BuTWp7qHGjWhqrnf-OmePP568O4A5Am9ttzvVdP67zw/edit#gid=1603210130"", ""TOURISM!$A$2:$F$2692""), {2,3,4,5,6},0))"),"Asia")</f>
        <v>Asia</v>
      </c>
      <c r="L508" s="14">
        <f>IFERROR(__xludf.DUMMYFUNCTION("""COMPUTED_VALUE"""),5.4937E10)</f>
        <v>54937000000</v>
      </c>
      <c r="M508" s="14" t="str">
        <f>IFERROR(__xludf.DUMMYFUNCTION("""COMPUTED_VALUE"""),"China-Asia")</f>
        <v>China-Asia</v>
      </c>
      <c r="N508" s="14" t="str">
        <f>IFERROR(__xludf.DUMMYFUNCTION("""COMPUTED_VALUE"""),"2012")</f>
        <v>2012</v>
      </c>
      <c r="O508" s="14"/>
      <c r="P508" s="15">
        <f>IFERROR(__xludf.DUMMYFUNCTION("ARRAYFORMULA(VLOOKUP(A508,IMPORTRANGE(""https://docs.google.com/spreadsheets/d/1BuTWp7qHGjWhqrnf-OmePP568O4A5Am9ttzvVdP67zw/edit#gid=771602874"" ,""HUMAN RESOURCES!$A$2:$M$2692""), {2,3,4,5,6,7,8,9,10,11,12,13},0))"),0.012)</f>
        <v>0.012</v>
      </c>
      <c r="Q508" s="14">
        <f>IFERROR(__xludf.DUMMYFUNCTION("""COMPUTED_VALUE"""),0.012)</f>
        <v>0.012</v>
      </c>
      <c r="R508" s="14">
        <f>IFERROR(__xludf.DUMMYFUNCTION("""COMPUTED_VALUE"""),77.0)</f>
        <v>77</v>
      </c>
      <c r="S508" s="14">
        <f>IFERROR(__xludf.DUMMYFUNCTION("""COMPUTED_VALUE"""),74.0)</f>
        <v>74</v>
      </c>
      <c r="T508" s="14">
        <f>IFERROR(__xludf.DUMMYFUNCTION("""COMPUTED_VALUE"""),0.18)</f>
        <v>0.18</v>
      </c>
      <c r="U508" s="14">
        <f>IFERROR(__xludf.DUMMYFUNCTION("""COMPUTED_VALUE"""),0.733)</f>
        <v>0.733</v>
      </c>
      <c r="V508" s="14">
        <f>IFERROR(__xludf.DUMMYFUNCTION("""COMPUTED_VALUE"""),0.087)</f>
        <v>0.087</v>
      </c>
      <c r="W508" s="14">
        <f>IFERROR(__xludf.DUMMYFUNCTION("""COMPUTED_VALUE"""),1.350695E9)</f>
        <v>1350695000</v>
      </c>
      <c r="X508" s="14">
        <f>IFERROR(__xludf.DUMMYFUNCTION("""COMPUTED_VALUE"""),0.519)</f>
        <v>0.519</v>
      </c>
      <c r="Y508" s="14" t="str">
        <f>IFERROR(__xludf.DUMMYFUNCTION("""COMPUTED_VALUE"""),"China-Asia")</f>
        <v>China-Asia</v>
      </c>
      <c r="Z508" s="14" t="str">
        <f>IFERROR(__xludf.DUMMYFUNCTION("""COMPUTED_VALUE"""),"Asia")</f>
        <v>Asia</v>
      </c>
      <c r="AA508" s="14" t="str">
        <f>IFERROR(__xludf.DUMMYFUNCTION("""COMPUTED_VALUE"""),"2012")</f>
        <v>2012</v>
      </c>
      <c r="AB508" s="15" t="str">
        <f>IFERROR(__xludf.DUMMYFUNCTION("ARRAYFORMULA(VLOOKUP(A508,IMPORTRANGE(""https://docs.google.com/spreadsheets/d/1BuTWp7qHGjWhqrnf-OmePP568O4A5Am9ttzvVdP67zw/edit#gid=1931367683"" ,""ENERGY!$A$2:$F$2692""), {2,3,4,5,6},0))"),"Asia")</f>
        <v>Asia</v>
      </c>
      <c r="AC508" s="14" t="str">
        <f>IFERROR(__xludf.DUMMYFUNCTION("""COMPUTED_VALUE"""),"China-Asia")</f>
        <v>China-Asia</v>
      </c>
      <c r="AD508" s="14" t="str">
        <f>IFERROR(__xludf.DUMMYFUNCTION("""COMPUTED_VALUE"""),"2009")</f>
        <v>2009</v>
      </c>
      <c r="AE508" s="14">
        <f>IFERROR(__xludf.DUMMYFUNCTION("""COMPUTED_VALUE"""),1161353.0)</f>
        <v>1161353</v>
      </c>
      <c r="AF508" s="14">
        <f>IFERROR(__xludf.DUMMYFUNCTION("""COMPUTED_VALUE"""),3405180.0)</f>
        <v>3405180</v>
      </c>
    </row>
    <row r="509">
      <c r="A509" s="12">
        <v>508.0</v>
      </c>
      <c r="B509" s="12" t="s">
        <v>118</v>
      </c>
      <c r="C509" s="5" t="s">
        <v>84</v>
      </c>
      <c r="D509" s="8"/>
      <c r="E509" s="8"/>
      <c r="F509" s="8"/>
      <c r="G509" s="8"/>
      <c r="H509" s="11">
        <v>0.022</v>
      </c>
      <c r="I509" s="11">
        <v>0.057</v>
      </c>
      <c r="J509" s="9" t="s">
        <v>60</v>
      </c>
      <c r="K509" s="14" t="str">
        <f>IFERROR(__xludf.DUMMYFUNCTION("ARRAYFORMULA(VLOOKUP(A509,IMPORTRANGE(""https://docs.google.com/spreadsheets/d/1BuTWp7qHGjWhqrnf-OmePP568O4A5Am9ttzvVdP67zw/edit#gid=1603210130"", ""TOURISM!$A$2:$F$2692""), {2,3,4,5,6},0))"),"The Americas")</f>
        <v>The Americas</v>
      </c>
      <c r="L509" s="14">
        <f>IFERROR(__xludf.DUMMYFUNCTION("""COMPUTED_VALUE"""),1.313E9)</f>
        <v>1313000000</v>
      </c>
      <c r="M509" s="14" t="str">
        <f>IFERROR(__xludf.DUMMYFUNCTION("""COMPUTED_VALUE"""),"Colombia-The Americas")</f>
        <v>Colombia-The Americas</v>
      </c>
      <c r="N509" s="14" t="str">
        <f>IFERROR(__xludf.DUMMYFUNCTION("""COMPUTED_VALUE"""),"2000")</f>
        <v>2000</v>
      </c>
      <c r="O509" s="14">
        <f>IFERROR(__xludf.DUMMYFUNCTION("""COMPUTED_VALUE"""),1.452E9)</f>
        <v>1452000000</v>
      </c>
      <c r="P509" s="15">
        <f>IFERROR(__xludf.DUMMYFUNCTION("ARRAYFORMULA(VLOOKUP(A509,IMPORTRANGE(""https://docs.google.com/spreadsheets/d/1BuTWp7qHGjWhqrnf-OmePP568O4A5Am9ttzvVdP67zw/edit#gid=771602874"" ,""HUMAN RESOURCES!$A$2:$M$2692""), {2,3,4,5,6,7,8,9,10,11,12,13},0))"),0.023)</f>
        <v>0.023</v>
      </c>
      <c r="Q509" s="14">
        <f>IFERROR(__xludf.DUMMYFUNCTION("""COMPUTED_VALUE"""),0.021)</f>
        <v>0.021</v>
      </c>
      <c r="R509" s="14">
        <f>IFERROR(__xludf.DUMMYFUNCTION("""COMPUTED_VALUE"""),75.0)</f>
        <v>75</v>
      </c>
      <c r="S509" s="14">
        <f>IFERROR(__xludf.DUMMYFUNCTION("""COMPUTED_VALUE"""),67.0)</f>
        <v>67</v>
      </c>
      <c r="T509" s="14">
        <f>IFERROR(__xludf.DUMMYFUNCTION("""COMPUTED_VALUE"""),0.328)</f>
        <v>0.328</v>
      </c>
      <c r="U509" s="14">
        <f>IFERROR(__xludf.DUMMYFUNCTION("""COMPUTED_VALUE"""),0.624)</f>
        <v>0.624</v>
      </c>
      <c r="V509" s="14">
        <f>IFERROR(__xludf.DUMMYFUNCTION("""COMPUTED_VALUE"""),0.047)</f>
        <v>0.047</v>
      </c>
      <c r="W509" s="14">
        <f>IFERROR(__xludf.DUMMYFUNCTION("""COMPUTED_VALUE"""),3.9897984E7)</f>
        <v>39897984</v>
      </c>
      <c r="X509" s="14">
        <f>IFERROR(__xludf.DUMMYFUNCTION("""COMPUTED_VALUE"""),0.721)</f>
        <v>0.721</v>
      </c>
      <c r="Y509" s="14" t="str">
        <f>IFERROR(__xludf.DUMMYFUNCTION("""COMPUTED_VALUE"""),"Colombia-The Americas")</f>
        <v>Colombia-The Americas</v>
      </c>
      <c r="Z509" s="14" t="str">
        <f>IFERROR(__xludf.DUMMYFUNCTION("""COMPUTED_VALUE"""),"The Americas")</f>
        <v>The Americas</v>
      </c>
      <c r="AA509" s="14" t="str">
        <f>IFERROR(__xludf.DUMMYFUNCTION("""COMPUTED_VALUE"""),"2000")</f>
        <v>2000</v>
      </c>
      <c r="AB509" s="15" t="str">
        <f>IFERROR(__xludf.DUMMYFUNCTION("ARRAYFORMULA(VLOOKUP(A509,IMPORTRANGE(""https://docs.google.com/spreadsheets/d/1BuTWp7qHGjWhqrnf-OmePP568O4A5Am9ttzvVdP67zw/edit#gid=1931367683"" ,""ENERGY!$A$2:$F$2692""), {2,3,4,5,6},0))"),"The Americas")</f>
        <v>The Americas</v>
      </c>
      <c r="AC509" s="14" t="str">
        <f>IFERROR(__xludf.DUMMYFUNCTION("""COMPUTED_VALUE"""),"Colombia-The Americas")</f>
        <v>Colombia-The Americas</v>
      </c>
      <c r="AD509" s="14" t="str">
        <f>IFERROR(__xludf.DUMMYFUNCTION("""COMPUTED_VALUE"""),"2000")</f>
        <v>2000</v>
      </c>
      <c r="AE509" s="14"/>
      <c r="AF509" s="14"/>
    </row>
    <row r="510">
      <c r="A510" s="12">
        <v>509.0</v>
      </c>
      <c r="B510" s="12" t="s">
        <v>118</v>
      </c>
      <c r="C510" s="5" t="s">
        <v>84</v>
      </c>
      <c r="D510" s="8"/>
      <c r="E510" s="8"/>
      <c r="F510" s="8"/>
      <c r="G510" s="8"/>
      <c r="H510" s="11">
        <v>0.029</v>
      </c>
      <c r="I510" s="11">
        <v>0.081</v>
      </c>
      <c r="J510" s="9" t="s">
        <v>62</v>
      </c>
      <c r="K510" s="14" t="str">
        <f>IFERROR(__xludf.DUMMYFUNCTION("ARRAYFORMULA(VLOOKUP(A510,IMPORTRANGE(""https://docs.google.com/spreadsheets/d/1BuTWp7qHGjWhqrnf-OmePP568O4A5Am9ttzvVdP67zw/edit#gid=1603210130"", ""TOURISM!$A$2:$F$2692""), {2,3,4,5,6},0))"),"The Americas")</f>
        <v>The Americas</v>
      </c>
      <c r="L510" s="14">
        <f>IFERROR(__xludf.DUMMYFUNCTION("""COMPUTED_VALUE"""),1.483E9)</f>
        <v>1483000000</v>
      </c>
      <c r="M510" s="14" t="str">
        <f>IFERROR(__xludf.DUMMYFUNCTION("""COMPUTED_VALUE"""),"Colombia-The Americas")</f>
        <v>Colombia-The Americas</v>
      </c>
      <c r="N510" s="14" t="str">
        <f>IFERROR(__xludf.DUMMYFUNCTION("""COMPUTED_VALUE"""),"2001")</f>
        <v>2001</v>
      </c>
      <c r="O510" s="14">
        <f>IFERROR(__xludf.DUMMYFUNCTION("""COMPUTED_VALUE"""),1.556E9)</f>
        <v>1556000000</v>
      </c>
      <c r="P510" s="15">
        <f>IFERROR(__xludf.DUMMYFUNCTION("ARRAYFORMULA(VLOOKUP(A510,IMPORTRANGE(""https://docs.google.com/spreadsheets/d/1BuTWp7qHGjWhqrnf-OmePP568O4A5Am9ttzvVdP67zw/edit#gid=771602874"" ,""HUMAN RESOURCES!$A$2:$M$2692""), {2,3,4,5,6,7,8,9,10,11,12,13},0))"),0.023)</f>
        <v>0.023</v>
      </c>
      <c r="Q510" s="14">
        <f>IFERROR(__xludf.DUMMYFUNCTION("""COMPUTED_VALUE"""),0.021)</f>
        <v>0.021</v>
      </c>
      <c r="R510" s="14">
        <f>IFERROR(__xludf.DUMMYFUNCTION("""COMPUTED_VALUE"""),75.0)</f>
        <v>75</v>
      </c>
      <c r="S510" s="14">
        <f>IFERROR(__xludf.DUMMYFUNCTION("""COMPUTED_VALUE"""),68.0)</f>
        <v>68</v>
      </c>
      <c r="T510" s="14">
        <f>IFERROR(__xludf.DUMMYFUNCTION("""COMPUTED_VALUE"""),0.324)</f>
        <v>0.324</v>
      </c>
      <c r="U510" s="14">
        <f>IFERROR(__xludf.DUMMYFUNCTION("""COMPUTED_VALUE"""),0.628)</f>
        <v>0.628</v>
      </c>
      <c r="V510" s="14">
        <f>IFERROR(__xludf.DUMMYFUNCTION("""COMPUTED_VALUE"""),0.048)</f>
        <v>0.048</v>
      </c>
      <c r="W510" s="14">
        <f>IFERROR(__xludf.DUMMYFUNCTION("""COMPUTED_VALUE"""),4.0558648E7)</f>
        <v>40558648</v>
      </c>
      <c r="X510" s="14">
        <f>IFERROR(__xludf.DUMMYFUNCTION("""COMPUTED_VALUE"""),0.724)</f>
        <v>0.724</v>
      </c>
      <c r="Y510" s="14" t="str">
        <f>IFERROR(__xludf.DUMMYFUNCTION("""COMPUTED_VALUE"""),"Colombia-The Americas")</f>
        <v>Colombia-The Americas</v>
      </c>
      <c r="Z510" s="14" t="str">
        <f>IFERROR(__xludf.DUMMYFUNCTION("""COMPUTED_VALUE"""),"The Americas")</f>
        <v>The Americas</v>
      </c>
      <c r="AA510" s="14" t="str">
        <f>IFERROR(__xludf.DUMMYFUNCTION("""COMPUTED_VALUE"""),"2001")</f>
        <v>2001</v>
      </c>
      <c r="AB510" s="15" t="str">
        <f>IFERROR(__xludf.DUMMYFUNCTION("ARRAYFORMULA(VLOOKUP(A510,IMPORTRANGE(""https://docs.google.com/spreadsheets/d/1BuTWp7qHGjWhqrnf-OmePP568O4A5Am9ttzvVdP67zw/edit#gid=1931367683"" ,""ENERGY!$A$2:$F$2692""), {2,3,4,5,6},0))"),"The Americas")</f>
        <v>The Americas</v>
      </c>
      <c r="AC510" s="14" t="str">
        <f>IFERROR(__xludf.DUMMYFUNCTION("""COMPUTED_VALUE"""),"Colombia-The Americas")</f>
        <v>Colombia-The Americas</v>
      </c>
      <c r="AD510" s="14" t="str">
        <f>IFERROR(__xludf.DUMMYFUNCTION("""COMPUTED_VALUE"""),"2001")</f>
        <v>2001</v>
      </c>
      <c r="AE510" s="14">
        <f>IFERROR(__xludf.DUMMYFUNCTION("""COMPUTED_VALUE"""),31613.0)</f>
        <v>31613</v>
      </c>
      <c r="AF510" s="14"/>
    </row>
    <row r="511">
      <c r="A511" s="12">
        <v>510.0</v>
      </c>
      <c r="B511" s="12" t="s">
        <v>118</v>
      </c>
      <c r="C511" s="5" t="s">
        <v>84</v>
      </c>
      <c r="D511" s="8"/>
      <c r="E511" s="8"/>
      <c r="F511" s="8"/>
      <c r="G511" s="8"/>
      <c r="H511" s="11">
        <v>0.046</v>
      </c>
      <c r="I511" s="11">
        <v>0.112</v>
      </c>
      <c r="J511" s="9" t="s">
        <v>63</v>
      </c>
      <c r="K511" s="14" t="str">
        <f>IFERROR(__xludf.DUMMYFUNCTION("ARRAYFORMULA(VLOOKUP(A511,IMPORTRANGE(""https://docs.google.com/spreadsheets/d/1BuTWp7qHGjWhqrnf-OmePP568O4A5Am9ttzvVdP67zw/edit#gid=1603210130"", ""TOURISM!$A$2:$F$2692""), {2,3,4,5,6},0))"),"The Americas")</f>
        <v>The Americas</v>
      </c>
      <c r="L511" s="14">
        <f>IFERROR(__xludf.DUMMYFUNCTION("""COMPUTED_VALUE"""),1.237E9)</f>
        <v>1237000000</v>
      </c>
      <c r="M511" s="14" t="str">
        <f>IFERROR(__xludf.DUMMYFUNCTION("""COMPUTED_VALUE"""),"Colombia-The Americas")</f>
        <v>Colombia-The Americas</v>
      </c>
      <c r="N511" s="14" t="str">
        <f>IFERROR(__xludf.DUMMYFUNCTION("""COMPUTED_VALUE"""),"2002")</f>
        <v>2002</v>
      </c>
      <c r="O511" s="14">
        <f>IFERROR(__xludf.DUMMYFUNCTION("""COMPUTED_VALUE"""),1.355E9)</f>
        <v>1355000000</v>
      </c>
      <c r="P511" s="15">
        <f>IFERROR(__xludf.DUMMYFUNCTION("ARRAYFORMULA(VLOOKUP(A511,IMPORTRANGE(""https://docs.google.com/spreadsheets/d/1BuTWp7qHGjWhqrnf-OmePP568O4A5Am9ttzvVdP67zw/edit#gid=771602874"" ,""HUMAN RESOURCES!$A$2:$M$2692""), {2,3,4,5,6,7,8,9,10,11,12,13},0))"),0.022)</f>
        <v>0.022</v>
      </c>
      <c r="Q511" s="14">
        <f>IFERROR(__xludf.DUMMYFUNCTION("""COMPUTED_VALUE"""),0.02)</f>
        <v>0.02</v>
      </c>
      <c r="R511" s="14">
        <f>IFERROR(__xludf.DUMMYFUNCTION("""COMPUTED_VALUE"""),75.0)</f>
        <v>75</v>
      </c>
      <c r="S511" s="14">
        <f>IFERROR(__xludf.DUMMYFUNCTION("""COMPUTED_VALUE"""),68.0)</f>
        <v>68</v>
      </c>
      <c r="T511" s="14">
        <f>IFERROR(__xludf.DUMMYFUNCTION("""COMPUTED_VALUE"""),0.32)</f>
        <v>0.32</v>
      </c>
      <c r="U511" s="14">
        <f>IFERROR(__xludf.DUMMYFUNCTION("""COMPUTED_VALUE"""),0.631)</f>
        <v>0.631</v>
      </c>
      <c r="V511" s="14">
        <f>IFERROR(__xludf.DUMMYFUNCTION("""COMPUTED_VALUE"""),0.049)</f>
        <v>0.049</v>
      </c>
      <c r="W511" s="14">
        <f>IFERROR(__xludf.DUMMYFUNCTION("""COMPUTED_VALUE"""),4.1216304E7)</f>
        <v>41216304</v>
      </c>
      <c r="X511" s="14">
        <f>IFERROR(__xludf.DUMMYFUNCTION("""COMPUTED_VALUE"""),0.727)</f>
        <v>0.727</v>
      </c>
      <c r="Y511" s="14" t="str">
        <f>IFERROR(__xludf.DUMMYFUNCTION("""COMPUTED_VALUE"""),"Colombia-The Americas")</f>
        <v>Colombia-The Americas</v>
      </c>
      <c r="Z511" s="14" t="str">
        <f>IFERROR(__xludf.DUMMYFUNCTION("""COMPUTED_VALUE"""),"The Americas")</f>
        <v>The Americas</v>
      </c>
      <c r="AA511" s="14" t="str">
        <f>IFERROR(__xludf.DUMMYFUNCTION("""COMPUTED_VALUE"""),"2002")</f>
        <v>2002</v>
      </c>
      <c r="AB511" s="15" t="str">
        <f>IFERROR(__xludf.DUMMYFUNCTION("ARRAYFORMULA(VLOOKUP(A511,IMPORTRANGE(""https://docs.google.com/spreadsheets/d/1BuTWp7qHGjWhqrnf-OmePP568O4A5Am9ttzvVdP67zw/edit#gid=1931367683"" ,""ENERGY!$A$2:$F$2692""), {2,3,4,5,6},0))"),"The Americas")</f>
        <v>The Americas</v>
      </c>
      <c r="AC511" s="14" t="str">
        <f>IFERROR(__xludf.DUMMYFUNCTION("""COMPUTED_VALUE"""),"Colombia-The Americas")</f>
        <v>Colombia-The Americas</v>
      </c>
      <c r="AD511" s="14" t="str">
        <f>IFERROR(__xludf.DUMMYFUNCTION("""COMPUTED_VALUE"""),"2002")</f>
        <v>2002</v>
      </c>
      <c r="AE511" s="14">
        <f>IFERROR(__xludf.DUMMYFUNCTION("""COMPUTED_VALUE"""),32235.0)</f>
        <v>32235</v>
      </c>
      <c r="AF511" s="14">
        <f>IFERROR(__xludf.DUMMYFUNCTION("""COMPUTED_VALUE"""),75680.0)</f>
        <v>75680</v>
      </c>
    </row>
    <row r="512">
      <c r="A512" s="12">
        <v>511.0</v>
      </c>
      <c r="B512" s="12" t="s">
        <v>118</v>
      </c>
      <c r="C512" s="5" t="s">
        <v>84</v>
      </c>
      <c r="D512" s="8"/>
      <c r="E512" s="11">
        <v>60.0</v>
      </c>
      <c r="F512" s="8"/>
      <c r="G512" s="8"/>
      <c r="H512" s="11">
        <v>0.074</v>
      </c>
      <c r="I512" s="11">
        <v>0.148</v>
      </c>
      <c r="J512" s="9" t="s">
        <v>64</v>
      </c>
      <c r="K512" s="14" t="str">
        <f>IFERROR(__xludf.DUMMYFUNCTION("ARRAYFORMULA(VLOOKUP(A512,IMPORTRANGE(""https://docs.google.com/spreadsheets/d/1BuTWp7qHGjWhqrnf-OmePP568O4A5Am9ttzvVdP67zw/edit#gid=1603210130"", ""TOURISM!$A$2:$F$2692""), {2,3,4,5,6},0))"),"The Americas")</f>
        <v>The Americas</v>
      </c>
      <c r="L512" s="14">
        <f>IFERROR(__xludf.DUMMYFUNCTION("""COMPUTED_VALUE"""),1.191E9)</f>
        <v>1191000000</v>
      </c>
      <c r="M512" s="14" t="str">
        <f>IFERROR(__xludf.DUMMYFUNCTION("""COMPUTED_VALUE"""),"Colombia-The Americas")</f>
        <v>Colombia-The Americas</v>
      </c>
      <c r="N512" s="14" t="str">
        <f>IFERROR(__xludf.DUMMYFUNCTION("""COMPUTED_VALUE"""),"2003")</f>
        <v>2003</v>
      </c>
      <c r="O512" s="14">
        <f>IFERROR(__xludf.DUMMYFUNCTION("""COMPUTED_VALUE"""),1.349E9)</f>
        <v>1349000000</v>
      </c>
      <c r="P512" s="15">
        <f>IFERROR(__xludf.DUMMYFUNCTION("ARRAYFORMULA(VLOOKUP(A512,IMPORTRANGE(""https://docs.google.com/spreadsheets/d/1BuTWp7qHGjWhqrnf-OmePP568O4A5Am9ttzvVdP67zw/edit#gid=771602874"" ,""HUMAN RESOURCES!$A$2:$M$2692""), {2,3,4,5,6,7,8,9,10,11,12,13},0))"),0.022)</f>
        <v>0.022</v>
      </c>
      <c r="Q512" s="14">
        <f>IFERROR(__xludf.DUMMYFUNCTION("""COMPUTED_VALUE"""),0.02)</f>
        <v>0.02</v>
      </c>
      <c r="R512" s="14">
        <f>IFERROR(__xludf.DUMMYFUNCTION("""COMPUTED_VALUE"""),76.0)</f>
        <v>76</v>
      </c>
      <c r="S512" s="14">
        <f>IFERROR(__xludf.DUMMYFUNCTION("""COMPUTED_VALUE"""),68.0)</f>
        <v>68</v>
      </c>
      <c r="T512" s="14">
        <f>IFERROR(__xludf.DUMMYFUNCTION("""COMPUTED_VALUE"""),0.316)</f>
        <v>0.316</v>
      </c>
      <c r="U512" s="14">
        <f>IFERROR(__xludf.DUMMYFUNCTION("""COMPUTED_VALUE"""),0.635)</f>
        <v>0.635</v>
      </c>
      <c r="V512" s="14">
        <f>IFERROR(__xludf.DUMMYFUNCTION("""COMPUTED_VALUE"""),0.049)</f>
        <v>0.049</v>
      </c>
      <c r="W512" s="14">
        <f>IFERROR(__xludf.DUMMYFUNCTION("""COMPUTED_VALUE"""),4.1872051E7)</f>
        <v>41872051</v>
      </c>
      <c r="X512" s="14">
        <f>IFERROR(__xludf.DUMMYFUNCTION("""COMPUTED_VALUE"""),0.73)</f>
        <v>0.73</v>
      </c>
      <c r="Y512" s="14" t="str">
        <f>IFERROR(__xludf.DUMMYFUNCTION("""COMPUTED_VALUE"""),"Colombia-The Americas")</f>
        <v>Colombia-The Americas</v>
      </c>
      <c r="Z512" s="14" t="str">
        <f>IFERROR(__xludf.DUMMYFUNCTION("""COMPUTED_VALUE"""),"The Americas")</f>
        <v>The Americas</v>
      </c>
      <c r="AA512" s="14" t="str">
        <f>IFERROR(__xludf.DUMMYFUNCTION("""COMPUTED_VALUE"""),"2003")</f>
        <v>2003</v>
      </c>
      <c r="AB512" s="15" t="str">
        <f>IFERROR(__xludf.DUMMYFUNCTION("ARRAYFORMULA(VLOOKUP(A512,IMPORTRANGE(""https://docs.google.com/spreadsheets/d/1BuTWp7qHGjWhqrnf-OmePP568O4A5Am9ttzvVdP67zw/edit#gid=1931367683"" ,""ENERGY!$A$2:$F$2692""), {2,3,4,5,6},0))"),"The Americas")</f>
        <v>The Americas</v>
      </c>
      <c r="AC512" s="14" t="str">
        <f>IFERROR(__xludf.DUMMYFUNCTION("""COMPUTED_VALUE"""),"Colombia-The Americas")</f>
        <v>Colombia-The Americas</v>
      </c>
      <c r="AD512" s="14" t="str">
        <f>IFERROR(__xludf.DUMMYFUNCTION("""COMPUTED_VALUE"""),"2003")</f>
        <v>2003</v>
      </c>
      <c r="AE512" s="14">
        <f>IFERROR(__xludf.DUMMYFUNCTION("""COMPUTED_VALUE"""),30815.0)</f>
        <v>30815</v>
      </c>
      <c r="AF512" s="14">
        <f>IFERROR(__xludf.DUMMYFUNCTION("""COMPUTED_VALUE"""),70850.0)</f>
        <v>70850</v>
      </c>
    </row>
    <row r="513">
      <c r="A513" s="12">
        <v>512.0</v>
      </c>
      <c r="B513" s="12" t="s">
        <v>118</v>
      </c>
      <c r="C513" s="5" t="s">
        <v>84</v>
      </c>
      <c r="D513" s="8"/>
      <c r="E513" s="11">
        <v>42.0</v>
      </c>
      <c r="F513" s="8"/>
      <c r="G513" s="8"/>
      <c r="H513" s="11">
        <v>0.091</v>
      </c>
      <c r="I513" s="11">
        <v>0.245</v>
      </c>
      <c r="J513" s="9" t="s">
        <v>65</v>
      </c>
      <c r="K513" s="14" t="str">
        <f>IFERROR(__xludf.DUMMYFUNCTION("ARRAYFORMULA(VLOOKUP(A513,IMPORTRANGE(""https://docs.google.com/spreadsheets/d/1BuTWp7qHGjWhqrnf-OmePP568O4A5Am9ttzvVdP67zw/edit#gid=1603210130"", ""TOURISM!$A$2:$F$2692""), {2,3,4,5,6},0))"),"The Americas")</f>
        <v>The Americas</v>
      </c>
      <c r="L513" s="14">
        <f>IFERROR(__xludf.DUMMYFUNCTION("""COMPUTED_VALUE"""),1.369E9)</f>
        <v>1369000000</v>
      </c>
      <c r="M513" s="14" t="str">
        <f>IFERROR(__xludf.DUMMYFUNCTION("""COMPUTED_VALUE"""),"Colombia-The Americas")</f>
        <v>Colombia-The Americas</v>
      </c>
      <c r="N513" s="14" t="str">
        <f>IFERROR(__xludf.DUMMYFUNCTION("""COMPUTED_VALUE"""),"2004")</f>
        <v>2004</v>
      </c>
      <c r="O513" s="14">
        <f>IFERROR(__xludf.DUMMYFUNCTION("""COMPUTED_VALUE"""),1.469E9)</f>
        <v>1469000000</v>
      </c>
      <c r="P513" s="15">
        <f>IFERROR(__xludf.DUMMYFUNCTION("ARRAYFORMULA(VLOOKUP(A513,IMPORTRANGE(""https://docs.google.com/spreadsheets/d/1BuTWp7qHGjWhqrnf-OmePP568O4A5Am9ttzvVdP67zw/edit#gid=771602874"" ,""HUMAN RESOURCES!$A$2:$M$2692""), {2,3,4,5,6,7,8,9,10,11,12,13},0))"),0.022)</f>
        <v>0.022</v>
      </c>
      <c r="Q513" s="14">
        <f>IFERROR(__xludf.DUMMYFUNCTION("""COMPUTED_VALUE"""),0.019)</f>
        <v>0.019</v>
      </c>
      <c r="R513" s="14">
        <f>IFERROR(__xludf.DUMMYFUNCTION("""COMPUTED_VALUE"""),76.0)</f>
        <v>76</v>
      </c>
      <c r="S513" s="14">
        <f>IFERROR(__xludf.DUMMYFUNCTION("""COMPUTED_VALUE"""),68.0)</f>
        <v>68</v>
      </c>
      <c r="T513" s="14">
        <f>IFERROR(__xludf.DUMMYFUNCTION("""COMPUTED_VALUE"""),0.312)</f>
        <v>0.312</v>
      </c>
      <c r="U513" s="14">
        <f>IFERROR(__xludf.DUMMYFUNCTION("""COMPUTED_VALUE"""),0.638)</f>
        <v>0.638</v>
      </c>
      <c r="V513" s="14">
        <f>IFERROR(__xludf.DUMMYFUNCTION("""COMPUTED_VALUE"""),0.05)</f>
        <v>0.05</v>
      </c>
      <c r="W513" s="14">
        <f>IFERROR(__xludf.DUMMYFUNCTION("""COMPUTED_VALUE"""),4.2527623E7)</f>
        <v>42527623</v>
      </c>
      <c r="X513" s="14">
        <f>IFERROR(__xludf.DUMMYFUNCTION("""COMPUTED_VALUE"""),0.733)</f>
        <v>0.733</v>
      </c>
      <c r="Y513" s="14" t="str">
        <f>IFERROR(__xludf.DUMMYFUNCTION("""COMPUTED_VALUE"""),"Colombia-The Americas")</f>
        <v>Colombia-The Americas</v>
      </c>
      <c r="Z513" s="14" t="str">
        <f>IFERROR(__xludf.DUMMYFUNCTION("""COMPUTED_VALUE"""),"The Americas")</f>
        <v>The Americas</v>
      </c>
      <c r="AA513" s="14" t="str">
        <f>IFERROR(__xludf.DUMMYFUNCTION("""COMPUTED_VALUE"""),"2004")</f>
        <v>2004</v>
      </c>
      <c r="AB513" s="15" t="str">
        <f>IFERROR(__xludf.DUMMYFUNCTION("ARRAYFORMULA(VLOOKUP(A513,IMPORTRANGE(""https://docs.google.com/spreadsheets/d/1BuTWp7qHGjWhqrnf-OmePP568O4A5Am9ttzvVdP67zw/edit#gid=1931367683"" ,""ENERGY!$A$2:$F$2692""), {2,3,4,5,6},0))"),"The Americas")</f>
        <v>The Americas</v>
      </c>
      <c r="AC513" s="14" t="str">
        <f>IFERROR(__xludf.DUMMYFUNCTION("""COMPUTED_VALUE"""),"Colombia-The Americas")</f>
        <v>Colombia-The Americas</v>
      </c>
      <c r="AD513" s="14" t="str">
        <f>IFERROR(__xludf.DUMMYFUNCTION("""COMPUTED_VALUE"""),"2004")</f>
        <v>2004</v>
      </c>
      <c r="AE513" s="14">
        <f>IFERROR(__xludf.DUMMYFUNCTION("""COMPUTED_VALUE"""),29208.0)</f>
        <v>29208</v>
      </c>
      <c r="AF513" s="14">
        <f>IFERROR(__xludf.DUMMYFUNCTION("""COMPUTED_VALUE"""),66439.0)</f>
        <v>66439</v>
      </c>
    </row>
    <row r="514">
      <c r="A514" s="12">
        <v>513.0</v>
      </c>
      <c r="B514" s="12" t="s">
        <v>118</v>
      </c>
      <c r="C514" s="5" t="s">
        <v>84</v>
      </c>
      <c r="D514" s="11">
        <v>0.837</v>
      </c>
      <c r="E514" s="11">
        <v>42.0</v>
      </c>
      <c r="F514" s="8"/>
      <c r="G514" s="11">
        <v>456.0</v>
      </c>
      <c r="H514" s="11">
        <v>0.11</v>
      </c>
      <c r="I514" s="11">
        <v>0.506</v>
      </c>
      <c r="J514" s="9" t="s">
        <v>66</v>
      </c>
      <c r="K514" s="14" t="str">
        <f>IFERROR(__xludf.DUMMYFUNCTION("ARRAYFORMULA(VLOOKUP(A514,IMPORTRANGE(""https://docs.google.com/spreadsheets/d/1BuTWp7qHGjWhqrnf-OmePP568O4A5Am9ttzvVdP67zw/edit#gid=1603210130"", ""TOURISM!$A$2:$F$2692""), {2,3,4,5,6},0))"),"The Americas")</f>
        <v>The Americas</v>
      </c>
      <c r="L514" s="14">
        <f>IFERROR(__xludf.DUMMYFUNCTION("""COMPUTED_VALUE"""),1.574E9)</f>
        <v>1574000000</v>
      </c>
      <c r="M514" s="14" t="str">
        <f>IFERROR(__xludf.DUMMYFUNCTION("""COMPUTED_VALUE"""),"Colombia-The Americas")</f>
        <v>Colombia-The Americas</v>
      </c>
      <c r="N514" s="14" t="str">
        <f>IFERROR(__xludf.DUMMYFUNCTION("""COMPUTED_VALUE"""),"2005")</f>
        <v>2005</v>
      </c>
      <c r="O514" s="14">
        <f>IFERROR(__xludf.DUMMYFUNCTION("""COMPUTED_VALUE"""),1.565E9)</f>
        <v>1565000000</v>
      </c>
      <c r="P514" s="15">
        <f>IFERROR(__xludf.DUMMYFUNCTION("ARRAYFORMULA(VLOOKUP(A514,IMPORTRANGE(""https://docs.google.com/spreadsheets/d/1BuTWp7qHGjWhqrnf-OmePP568O4A5Am9ttzvVdP67zw/edit#gid=771602874"" ,""HUMAN RESOURCES!$A$2:$M$2692""), {2,3,4,5,6,7,8,9,10,11,12,13},0))"),0.021)</f>
        <v>0.021</v>
      </c>
      <c r="Q514" s="14">
        <f>IFERROR(__xludf.DUMMYFUNCTION("""COMPUTED_VALUE"""),0.018)</f>
        <v>0.018</v>
      </c>
      <c r="R514" s="14">
        <f>IFERROR(__xludf.DUMMYFUNCTION("""COMPUTED_VALUE"""),76.0)</f>
        <v>76</v>
      </c>
      <c r="S514" s="14">
        <f>IFERROR(__xludf.DUMMYFUNCTION("""COMPUTED_VALUE"""),69.0)</f>
        <v>69</v>
      </c>
      <c r="T514" s="14">
        <f>IFERROR(__xludf.DUMMYFUNCTION("""COMPUTED_VALUE"""),0.308)</f>
        <v>0.308</v>
      </c>
      <c r="U514" s="14">
        <f>IFERROR(__xludf.DUMMYFUNCTION("""COMPUTED_VALUE"""),0.642)</f>
        <v>0.642</v>
      </c>
      <c r="V514" s="14">
        <f>IFERROR(__xludf.DUMMYFUNCTION("""COMPUTED_VALUE"""),0.051)</f>
        <v>0.051</v>
      </c>
      <c r="W514" s="14">
        <f>IFERROR(__xludf.DUMMYFUNCTION("""COMPUTED_VALUE"""),4.3184026E7)</f>
        <v>43184026</v>
      </c>
      <c r="X514" s="14">
        <f>IFERROR(__xludf.DUMMYFUNCTION("""COMPUTED_VALUE"""),0.736)</f>
        <v>0.736</v>
      </c>
      <c r="Y514" s="14" t="str">
        <f>IFERROR(__xludf.DUMMYFUNCTION("""COMPUTED_VALUE"""),"Colombia-The Americas")</f>
        <v>Colombia-The Americas</v>
      </c>
      <c r="Z514" s="14" t="str">
        <f>IFERROR(__xludf.DUMMYFUNCTION("""COMPUTED_VALUE"""),"The Americas")</f>
        <v>The Americas</v>
      </c>
      <c r="AA514" s="14" t="str">
        <f>IFERROR(__xludf.DUMMYFUNCTION("""COMPUTED_VALUE"""),"2005")</f>
        <v>2005</v>
      </c>
      <c r="AB514" s="15" t="str">
        <f>IFERROR(__xludf.DUMMYFUNCTION("ARRAYFORMULA(VLOOKUP(A514,IMPORTRANGE(""https://docs.google.com/spreadsheets/d/1BuTWp7qHGjWhqrnf-OmePP568O4A5Am9ttzvVdP67zw/edit#gid=1931367683"" ,""ENERGY!$A$2:$F$2692""), {2,3,4,5,6},0))"),"The Americas")</f>
        <v>The Americas</v>
      </c>
      <c r="AC514" s="14" t="str">
        <f>IFERROR(__xludf.DUMMYFUNCTION("""COMPUTED_VALUE"""),"Colombia-The Americas")</f>
        <v>Colombia-The Americas</v>
      </c>
      <c r="AD514" s="14" t="str">
        <f>IFERROR(__xludf.DUMMYFUNCTION("""COMPUTED_VALUE"""),"2006")</f>
        <v>2006</v>
      </c>
      <c r="AE514" s="14">
        <f>IFERROR(__xludf.DUMMYFUNCTION("""COMPUTED_VALUE"""),27919.0)</f>
        <v>27919</v>
      </c>
      <c r="AF514" s="14">
        <f>IFERROR(__xludf.DUMMYFUNCTION("""COMPUTED_VALUE"""),63439.0)</f>
        <v>63439</v>
      </c>
    </row>
    <row r="515">
      <c r="A515" s="12">
        <v>514.0</v>
      </c>
      <c r="B515" s="12" t="s">
        <v>118</v>
      </c>
      <c r="C515" s="5" t="s">
        <v>84</v>
      </c>
      <c r="D515" s="11">
        <v>0.84</v>
      </c>
      <c r="E515" s="11">
        <v>43.0</v>
      </c>
      <c r="F515" s="8"/>
      <c r="G515" s="11">
        <v>456.0</v>
      </c>
      <c r="H515" s="11">
        <v>0.153</v>
      </c>
      <c r="I515" s="11">
        <v>0.679</v>
      </c>
      <c r="J515" s="9" t="s">
        <v>67</v>
      </c>
      <c r="K515" s="14" t="str">
        <f>IFERROR(__xludf.DUMMYFUNCTION("ARRAYFORMULA(VLOOKUP(A515,IMPORTRANGE(""https://docs.google.com/spreadsheets/d/1BuTWp7qHGjWhqrnf-OmePP568O4A5Am9ttzvVdP67zw/edit#gid=1603210130"", ""TOURISM!$A$2:$F$2692""), {2,3,4,5,6},0))"),"The Americas")</f>
        <v>The Americas</v>
      </c>
      <c r="L515" s="14">
        <f>IFERROR(__xludf.DUMMYFUNCTION("""COMPUTED_VALUE"""),2.009E9)</f>
        <v>2009000000</v>
      </c>
      <c r="M515" s="14" t="str">
        <f>IFERROR(__xludf.DUMMYFUNCTION("""COMPUTED_VALUE"""),"Colombia-The Americas")</f>
        <v>Colombia-The Americas</v>
      </c>
      <c r="N515" s="14" t="str">
        <f>IFERROR(__xludf.DUMMYFUNCTION("""COMPUTED_VALUE"""),"2006")</f>
        <v>2006</v>
      </c>
      <c r="O515" s="14">
        <f>IFERROR(__xludf.DUMMYFUNCTION("""COMPUTED_VALUE"""),1.799E9)</f>
        <v>1799000000</v>
      </c>
      <c r="P515" s="15">
        <f>IFERROR(__xludf.DUMMYFUNCTION("ARRAYFORMULA(VLOOKUP(A515,IMPORTRANGE(""https://docs.google.com/spreadsheets/d/1BuTWp7qHGjWhqrnf-OmePP568O4A5Am9ttzvVdP67zw/edit#gid=771602874"" ,""HUMAN RESOURCES!$A$2:$M$2692""), {2,3,4,5,6,7,8,9,10,11,12,13},0))"),0.021)</f>
        <v>0.021</v>
      </c>
      <c r="Q515" s="14">
        <f>IFERROR(__xludf.DUMMYFUNCTION("""COMPUTED_VALUE"""),0.018)</f>
        <v>0.018</v>
      </c>
      <c r="R515" s="14">
        <f>IFERROR(__xludf.DUMMYFUNCTION("""COMPUTED_VALUE"""),76.0)</f>
        <v>76</v>
      </c>
      <c r="S515" s="14">
        <f>IFERROR(__xludf.DUMMYFUNCTION("""COMPUTED_VALUE"""),69.0)</f>
        <v>69</v>
      </c>
      <c r="T515" s="14">
        <f>IFERROR(__xludf.DUMMYFUNCTION("""COMPUTED_VALUE"""),0.304)</f>
        <v>0.304</v>
      </c>
      <c r="U515" s="14">
        <f>IFERROR(__xludf.DUMMYFUNCTION("""COMPUTED_VALUE"""),0.645)</f>
        <v>0.645</v>
      </c>
      <c r="V515" s="14">
        <f>IFERROR(__xludf.DUMMYFUNCTION("""COMPUTED_VALUE"""),0.052)</f>
        <v>0.052</v>
      </c>
      <c r="W515" s="14">
        <f>IFERROR(__xludf.DUMMYFUNCTION("""COMPUTED_VALUE"""),4.384137E7)</f>
        <v>43841370</v>
      </c>
      <c r="X515" s="14">
        <f>IFERROR(__xludf.DUMMYFUNCTION("""COMPUTED_VALUE"""),0.739)</f>
        <v>0.739</v>
      </c>
      <c r="Y515" s="14" t="str">
        <f>IFERROR(__xludf.DUMMYFUNCTION("""COMPUTED_VALUE"""),"Colombia-The Americas")</f>
        <v>Colombia-The Americas</v>
      </c>
      <c r="Z515" s="14" t="str">
        <f>IFERROR(__xludf.DUMMYFUNCTION("""COMPUTED_VALUE"""),"The Americas")</f>
        <v>The Americas</v>
      </c>
      <c r="AA515" s="14" t="str">
        <f>IFERROR(__xludf.DUMMYFUNCTION("""COMPUTED_VALUE"""),"2006")</f>
        <v>2006</v>
      </c>
      <c r="AB515" s="15" t="str">
        <f>IFERROR(__xludf.DUMMYFUNCTION("ARRAYFORMULA(VLOOKUP(A515,IMPORTRANGE(""https://docs.google.com/spreadsheets/d/1BuTWp7qHGjWhqrnf-OmePP568O4A5Am9ttzvVdP67zw/edit#gid=1931367683"" ,""ENERGY!$A$2:$F$2692""), {2,3,4,5,6},0))"),"The Americas")</f>
        <v>The Americas</v>
      </c>
      <c r="AC515" s="14" t="str">
        <f>IFERROR(__xludf.DUMMYFUNCTION("""COMPUTED_VALUE"""),"Colombia-The Americas")</f>
        <v>Colombia-The Americas</v>
      </c>
      <c r="AD515" s="14" t="str">
        <f>IFERROR(__xludf.DUMMYFUNCTION("""COMPUTED_VALUE"""),"2010")</f>
        <v>2010</v>
      </c>
      <c r="AE515" s="14">
        <f>IFERROR(__xludf.DUMMYFUNCTION("""COMPUTED_VALUE"""),28568.0)</f>
        <v>28568</v>
      </c>
      <c r="AF515" s="14">
        <f>IFERROR(__xludf.DUMMYFUNCTION("""COMPUTED_VALUE"""),62940.0)</f>
        <v>62940</v>
      </c>
    </row>
    <row r="516">
      <c r="A516" s="12">
        <v>515.0</v>
      </c>
      <c r="B516" s="12" t="s">
        <v>118</v>
      </c>
      <c r="C516" s="5" t="s">
        <v>84</v>
      </c>
      <c r="D516" s="11">
        <v>0.842</v>
      </c>
      <c r="E516" s="11">
        <v>42.0</v>
      </c>
      <c r="F516" s="8"/>
      <c r="G516" s="11">
        <v>268.0</v>
      </c>
      <c r="H516" s="11">
        <v>0.218</v>
      </c>
      <c r="I516" s="11">
        <v>0.763</v>
      </c>
      <c r="J516" s="9" t="s">
        <v>68</v>
      </c>
      <c r="K516" s="14" t="str">
        <f>IFERROR(__xludf.DUMMYFUNCTION("ARRAYFORMULA(VLOOKUP(A516,IMPORTRANGE(""https://docs.google.com/spreadsheets/d/1BuTWp7qHGjWhqrnf-OmePP568O4A5Am9ttzvVdP67zw/edit#gid=1603210130"", ""TOURISM!$A$2:$F$2692""), {2,3,4,5,6},0))"),"The Americas")</f>
        <v>The Americas</v>
      </c>
      <c r="L516" s="14">
        <f>IFERROR(__xludf.DUMMYFUNCTION("""COMPUTED_VALUE"""),2.262E9)</f>
        <v>2262000000</v>
      </c>
      <c r="M516" s="14" t="str">
        <f>IFERROR(__xludf.DUMMYFUNCTION("""COMPUTED_VALUE"""),"Colombia-The Americas")</f>
        <v>Colombia-The Americas</v>
      </c>
      <c r="N516" s="14" t="str">
        <f>IFERROR(__xludf.DUMMYFUNCTION("""COMPUTED_VALUE"""),"2007")</f>
        <v>2007</v>
      </c>
      <c r="O516" s="14">
        <f>IFERROR(__xludf.DUMMYFUNCTION("""COMPUTED_VALUE"""),2.093E9)</f>
        <v>2093000000</v>
      </c>
      <c r="P516" s="15">
        <f>IFERROR(__xludf.DUMMYFUNCTION("ARRAYFORMULA(VLOOKUP(A516,IMPORTRANGE(""https://docs.google.com/spreadsheets/d/1BuTWp7qHGjWhqrnf-OmePP568O4A5Am9ttzvVdP67zw/edit#gid=771602874"" ,""HUMAN RESOURCES!$A$2:$M$2692""), {2,3,4,5,6,7,8,9,10,11,12,13},0))"),0.021)</f>
        <v>0.021</v>
      </c>
      <c r="Q516" s="14">
        <f>IFERROR(__xludf.DUMMYFUNCTION("""COMPUTED_VALUE"""),0.017)</f>
        <v>0.017</v>
      </c>
      <c r="R516" s="14">
        <f>IFERROR(__xludf.DUMMYFUNCTION("""COMPUTED_VALUE"""),77.0)</f>
        <v>77</v>
      </c>
      <c r="S516" s="14">
        <f>IFERROR(__xludf.DUMMYFUNCTION("""COMPUTED_VALUE"""),69.0)</f>
        <v>69</v>
      </c>
      <c r="T516" s="14">
        <f>IFERROR(__xludf.DUMMYFUNCTION("""COMPUTED_VALUE"""),0.3)</f>
        <v>0.3</v>
      </c>
      <c r="U516" s="14">
        <f>IFERROR(__xludf.DUMMYFUNCTION("""COMPUTED_VALUE"""),0.648)</f>
        <v>0.648</v>
      </c>
      <c r="V516" s="14">
        <f>IFERROR(__xludf.DUMMYFUNCTION("""COMPUTED_VALUE"""),0.052)</f>
        <v>0.052</v>
      </c>
      <c r="W516" s="14">
        <f>IFERROR(__xludf.DUMMYFUNCTION("""COMPUTED_VALUE"""),4.449839E7)</f>
        <v>44498390</v>
      </c>
      <c r="X516" s="14">
        <f>IFERROR(__xludf.DUMMYFUNCTION("""COMPUTED_VALUE"""),0.742)</f>
        <v>0.742</v>
      </c>
      <c r="Y516" s="14" t="str">
        <f>IFERROR(__xludf.DUMMYFUNCTION("""COMPUTED_VALUE"""),"Colombia-The Americas")</f>
        <v>Colombia-The Americas</v>
      </c>
      <c r="Z516" s="14" t="str">
        <f>IFERROR(__xludf.DUMMYFUNCTION("""COMPUTED_VALUE"""),"The Americas")</f>
        <v>The Americas</v>
      </c>
      <c r="AA516" s="14" t="str">
        <f>IFERROR(__xludf.DUMMYFUNCTION("""COMPUTED_VALUE"""),"2007")</f>
        <v>2007</v>
      </c>
      <c r="AB516" s="15" t="str">
        <f>IFERROR(__xludf.DUMMYFUNCTION("ARRAYFORMULA(VLOOKUP(A516,IMPORTRANGE(""https://docs.google.com/spreadsheets/d/1BuTWp7qHGjWhqrnf-OmePP568O4A5Am9ttzvVdP67zw/edit#gid=1931367683"" ,""ENERGY!$A$2:$F$2692""), {2,3,4,5,6},0))"),"The Americas")</f>
        <v>The Americas</v>
      </c>
      <c r="AC516" s="14" t="str">
        <f>IFERROR(__xludf.DUMMYFUNCTION("""COMPUTED_VALUE"""),"Colombia-The Americas")</f>
        <v>Colombia-The Americas</v>
      </c>
      <c r="AD516" s="14" t="str">
        <f>IFERROR(__xludf.DUMMYFUNCTION("""COMPUTED_VALUE"""),"2006")</f>
        <v>2006</v>
      </c>
      <c r="AE516" s="14">
        <f>IFERROR(__xludf.DUMMYFUNCTION("""COMPUTED_VALUE"""),27085.0)</f>
        <v>27085</v>
      </c>
      <c r="AF516" s="14">
        <f>IFERROR(__xludf.DUMMYFUNCTION("""COMPUTED_VALUE"""),60946.0)</f>
        <v>60946</v>
      </c>
    </row>
    <row r="517">
      <c r="A517" s="12">
        <v>516.0</v>
      </c>
      <c r="B517" s="12" t="s">
        <v>118</v>
      </c>
      <c r="C517" s="5" t="s">
        <v>84</v>
      </c>
      <c r="D517" s="11">
        <v>0.801</v>
      </c>
      <c r="E517" s="11">
        <v>36.0</v>
      </c>
      <c r="F517" s="8"/>
      <c r="G517" s="11">
        <v>256.0</v>
      </c>
      <c r="H517" s="11">
        <v>0.256</v>
      </c>
      <c r="I517" s="11">
        <v>0.916</v>
      </c>
      <c r="J517" s="9" t="s">
        <v>69</v>
      </c>
      <c r="K517" s="14" t="str">
        <f>IFERROR(__xludf.DUMMYFUNCTION("ARRAYFORMULA(VLOOKUP(A517,IMPORTRANGE(""https://docs.google.com/spreadsheets/d/1BuTWp7qHGjWhqrnf-OmePP568O4A5Am9ttzvVdP67zw/edit#gid=1603210130"", ""TOURISM!$A$2:$F$2692""), {2,3,4,5,6},0))"),"The Americas")</f>
        <v>The Americas</v>
      </c>
      <c r="L517" s="14">
        <f>IFERROR(__xludf.DUMMYFUNCTION("""COMPUTED_VALUE"""),2.438E9)</f>
        <v>2438000000</v>
      </c>
      <c r="M517" s="14" t="str">
        <f>IFERROR(__xludf.DUMMYFUNCTION("""COMPUTED_VALUE"""),"Colombia-The Americas")</f>
        <v>Colombia-The Americas</v>
      </c>
      <c r="N517" s="14" t="str">
        <f>IFERROR(__xludf.DUMMYFUNCTION("""COMPUTED_VALUE"""),"2008")</f>
        <v>2008</v>
      </c>
      <c r="O517" s="14">
        <f>IFERROR(__xludf.DUMMYFUNCTION("""COMPUTED_VALUE"""),2.337E9)</f>
        <v>2337000000</v>
      </c>
      <c r="P517" s="15">
        <f>IFERROR(__xludf.DUMMYFUNCTION("ARRAYFORMULA(VLOOKUP(A517,IMPORTRANGE(""https://docs.google.com/spreadsheets/d/1BuTWp7qHGjWhqrnf-OmePP568O4A5Am9ttzvVdP67zw/edit#gid=771602874"" ,""HUMAN RESOURCES!$A$2:$M$2692""), {2,3,4,5,6,7,8,9,10,11,12,13},0))"),0.02)</f>
        <v>0.02</v>
      </c>
      <c r="Q517" s="14">
        <f>IFERROR(__xludf.DUMMYFUNCTION("""COMPUTED_VALUE"""),0.017)</f>
        <v>0.017</v>
      </c>
      <c r="R517" s="14">
        <f>IFERROR(__xludf.DUMMYFUNCTION("""COMPUTED_VALUE"""),77.0)</f>
        <v>77</v>
      </c>
      <c r="S517" s="14">
        <f>IFERROR(__xludf.DUMMYFUNCTION("""COMPUTED_VALUE"""),69.0)</f>
        <v>69</v>
      </c>
      <c r="T517" s="14">
        <f>IFERROR(__xludf.DUMMYFUNCTION("""COMPUTED_VALUE"""),0.295)</f>
        <v>0.295</v>
      </c>
      <c r="U517" s="14">
        <f>IFERROR(__xludf.DUMMYFUNCTION("""COMPUTED_VALUE"""),0.651)</f>
        <v>0.651</v>
      </c>
      <c r="V517" s="14">
        <f>IFERROR(__xludf.DUMMYFUNCTION("""COMPUTED_VALUE"""),0.054)</f>
        <v>0.054</v>
      </c>
      <c r="W517" s="14">
        <f>IFERROR(__xludf.DUMMYFUNCTION("""COMPUTED_VALUE"""),4.5153037E7)</f>
        <v>45153037</v>
      </c>
      <c r="X517" s="14">
        <f>IFERROR(__xludf.DUMMYFUNCTION("""COMPUTED_VALUE"""),0.745)</f>
        <v>0.745</v>
      </c>
      <c r="Y517" s="14" t="str">
        <f>IFERROR(__xludf.DUMMYFUNCTION("""COMPUTED_VALUE"""),"Colombia-The Americas")</f>
        <v>Colombia-The Americas</v>
      </c>
      <c r="Z517" s="14" t="str">
        <f>IFERROR(__xludf.DUMMYFUNCTION("""COMPUTED_VALUE"""),"The Americas")</f>
        <v>The Americas</v>
      </c>
      <c r="AA517" s="14" t="str">
        <f>IFERROR(__xludf.DUMMYFUNCTION("""COMPUTED_VALUE"""),"2008")</f>
        <v>2008</v>
      </c>
      <c r="AB517" s="15" t="str">
        <f>IFERROR(__xludf.DUMMYFUNCTION("ARRAYFORMULA(VLOOKUP(A517,IMPORTRANGE(""https://docs.google.com/spreadsheets/d/1BuTWp7qHGjWhqrnf-OmePP568O4A5Am9ttzvVdP67zw/edit#gid=1931367683"" ,""ENERGY!$A$2:$F$2692""), {2,3,4,5,6},0))"),"The Americas")</f>
        <v>The Americas</v>
      </c>
      <c r="AC517" s="14" t="str">
        <f>IFERROR(__xludf.DUMMYFUNCTION("""COMPUTED_VALUE"""),"Colombia-The Americas")</f>
        <v>Colombia-The Americas</v>
      </c>
      <c r="AD517" s="14" t="str">
        <f>IFERROR(__xludf.DUMMYFUNCTION("""COMPUTED_VALUE"""),"2012")</f>
        <v>2012</v>
      </c>
      <c r="AE517" s="14">
        <f>IFERROR(__xludf.DUMMYFUNCTION("""COMPUTED_VALUE"""),26001.0)</f>
        <v>26001</v>
      </c>
      <c r="AF517" s="14">
        <f>IFERROR(__xludf.DUMMYFUNCTION("""COMPUTED_VALUE"""),55071.0)</f>
        <v>55071</v>
      </c>
    </row>
    <row r="518">
      <c r="A518" s="12">
        <v>517.0</v>
      </c>
      <c r="B518" s="12" t="s">
        <v>118</v>
      </c>
      <c r="C518" s="5" t="s">
        <v>84</v>
      </c>
      <c r="D518" s="11">
        <v>0.803</v>
      </c>
      <c r="E518" s="11">
        <v>20.0</v>
      </c>
      <c r="F518" s="8"/>
      <c r="G518" s="11">
        <v>208.0</v>
      </c>
      <c r="H518" s="11">
        <v>0.3</v>
      </c>
      <c r="I518" s="11">
        <v>0.92</v>
      </c>
      <c r="J518" s="9" t="s">
        <v>70</v>
      </c>
      <c r="K518" s="14" t="str">
        <f>IFERROR(__xludf.DUMMYFUNCTION("ARRAYFORMULA(VLOOKUP(A518,IMPORTRANGE(""https://docs.google.com/spreadsheets/d/1BuTWp7qHGjWhqrnf-OmePP568O4A5Am9ttzvVdP67zw/edit#gid=1603210130"", ""TOURISM!$A$2:$F$2692""), {2,3,4,5,6},0))"),"The Americas")</f>
        <v>The Americas</v>
      </c>
      <c r="L518" s="14">
        <f>IFERROR(__xludf.DUMMYFUNCTION("""COMPUTED_VALUE"""),2.609E9)</f>
        <v>2609000000</v>
      </c>
      <c r="M518" s="14" t="str">
        <f>IFERROR(__xludf.DUMMYFUNCTION("""COMPUTED_VALUE"""),"Colombia-The Americas")</f>
        <v>Colombia-The Americas</v>
      </c>
      <c r="N518" s="14" t="str">
        <f>IFERROR(__xludf.DUMMYFUNCTION("""COMPUTED_VALUE"""),"2009")</f>
        <v>2009</v>
      </c>
      <c r="O518" s="14">
        <f>IFERROR(__xludf.DUMMYFUNCTION("""COMPUTED_VALUE"""),2.301E9)</f>
        <v>2301000000</v>
      </c>
      <c r="P518" s="15">
        <f>IFERROR(__xludf.DUMMYFUNCTION("ARRAYFORMULA(VLOOKUP(A518,IMPORTRANGE(""https://docs.google.com/spreadsheets/d/1BuTWp7qHGjWhqrnf-OmePP568O4A5Am9ttzvVdP67zw/edit#gid=771602874"" ,""HUMAN RESOURCES!$A$2:$M$2692""), {2,3,4,5,6,7,8,9,10,11,12,13},0))"),0.02)</f>
        <v>0.02</v>
      </c>
      <c r="Q518" s="14">
        <f>IFERROR(__xludf.DUMMYFUNCTION("""COMPUTED_VALUE"""),0.016)</f>
        <v>0.016</v>
      </c>
      <c r="R518" s="14">
        <f>IFERROR(__xludf.DUMMYFUNCTION("""COMPUTED_VALUE"""),77.0)</f>
        <v>77</v>
      </c>
      <c r="S518" s="14">
        <f>IFERROR(__xludf.DUMMYFUNCTION("""COMPUTED_VALUE"""),70.0)</f>
        <v>70</v>
      </c>
      <c r="T518" s="14">
        <f>IFERROR(__xludf.DUMMYFUNCTION("""COMPUTED_VALUE"""),0.291)</f>
        <v>0.291</v>
      </c>
      <c r="U518" s="14">
        <f>IFERROR(__xludf.DUMMYFUNCTION("""COMPUTED_VALUE"""),0.654)</f>
        <v>0.654</v>
      </c>
      <c r="V518" s="14">
        <f>IFERROR(__xludf.DUMMYFUNCTION("""COMPUTED_VALUE"""),0.055)</f>
        <v>0.055</v>
      </c>
      <c r="W518" s="14">
        <f>IFERROR(__xludf.DUMMYFUNCTION("""COMPUTED_VALUE"""),4.5802561E7)</f>
        <v>45802561</v>
      </c>
      <c r="X518" s="14">
        <f>IFERROR(__xludf.DUMMYFUNCTION("""COMPUTED_VALUE"""),0.747)</f>
        <v>0.747</v>
      </c>
      <c r="Y518" s="14" t="str">
        <f>IFERROR(__xludf.DUMMYFUNCTION("""COMPUTED_VALUE"""),"Colombia-The Americas")</f>
        <v>Colombia-The Americas</v>
      </c>
      <c r="Z518" s="14" t="str">
        <f>IFERROR(__xludf.DUMMYFUNCTION("""COMPUTED_VALUE"""),"The Americas")</f>
        <v>The Americas</v>
      </c>
      <c r="AA518" s="14" t="str">
        <f>IFERROR(__xludf.DUMMYFUNCTION("""COMPUTED_VALUE"""),"2009")</f>
        <v>2009</v>
      </c>
      <c r="AB518" s="15" t="str">
        <f>IFERROR(__xludf.DUMMYFUNCTION("ARRAYFORMULA(VLOOKUP(A518,IMPORTRANGE(""https://docs.google.com/spreadsheets/d/1BuTWp7qHGjWhqrnf-OmePP568O4A5Am9ttzvVdP67zw/edit#gid=1931367683"" ,""ENERGY!$A$2:$F$2692""), {2,3,4,5,6},0))"),"The Americas")</f>
        <v>The Americas</v>
      </c>
      <c r="AC518" s="14" t="str">
        <f>IFERROR(__xludf.DUMMYFUNCTION("""COMPUTED_VALUE"""),"Colombia-The Americas")</f>
        <v>Colombia-The Americas</v>
      </c>
      <c r="AD518" s="14" t="str">
        <f>IFERROR(__xludf.DUMMYFUNCTION("""COMPUTED_VALUE"""),"2009")</f>
        <v>2009</v>
      </c>
      <c r="AE518" s="14">
        <f>IFERROR(__xludf.DUMMYFUNCTION("""COMPUTED_VALUE"""),25736.0)</f>
        <v>25736</v>
      </c>
      <c r="AF518" s="14">
        <f>IFERROR(__xludf.DUMMYFUNCTION("""COMPUTED_VALUE"""),57422.0)</f>
        <v>57422</v>
      </c>
    </row>
    <row r="519">
      <c r="A519" s="12">
        <v>518.0</v>
      </c>
      <c r="B519" s="12" t="s">
        <v>118</v>
      </c>
      <c r="C519" s="5" t="s">
        <v>84</v>
      </c>
      <c r="D519" s="11">
        <v>0.803</v>
      </c>
      <c r="E519" s="11">
        <v>14.0</v>
      </c>
      <c r="F519" s="8"/>
      <c r="G519" s="11">
        <v>208.0</v>
      </c>
      <c r="H519" s="11">
        <v>0.365</v>
      </c>
      <c r="I519" s="11">
        <v>0.958</v>
      </c>
      <c r="J519" s="9" t="s">
        <v>71</v>
      </c>
      <c r="K519" s="14" t="str">
        <f>IFERROR(__xludf.DUMMYFUNCTION("ARRAYFORMULA(VLOOKUP(A519,IMPORTRANGE(""https://docs.google.com/spreadsheets/d/1BuTWp7qHGjWhqrnf-OmePP568O4A5Am9ttzvVdP67zw/edit#gid=1603210130"", ""TOURISM!$A$2:$F$2692""), {2,3,4,5,6},0))"),"The Americas")</f>
        <v>The Americas</v>
      </c>
      <c r="L519" s="14">
        <f>IFERROR(__xludf.DUMMYFUNCTION("""COMPUTED_VALUE"""),2.727E9)</f>
        <v>2727000000</v>
      </c>
      <c r="M519" s="14" t="str">
        <f>IFERROR(__xludf.DUMMYFUNCTION("""COMPUTED_VALUE"""),"Colombia-The Americas")</f>
        <v>Colombia-The Americas</v>
      </c>
      <c r="N519" s="14" t="str">
        <f>IFERROR(__xludf.DUMMYFUNCTION("""COMPUTED_VALUE"""),"2010")</f>
        <v>2010</v>
      </c>
      <c r="O519" s="14">
        <f>IFERROR(__xludf.DUMMYFUNCTION("""COMPUTED_VALUE"""),2.373E9)</f>
        <v>2373000000</v>
      </c>
      <c r="P519" s="15">
        <f>IFERROR(__xludf.DUMMYFUNCTION("ARRAYFORMULA(VLOOKUP(A519,IMPORTRANGE(""https://docs.google.com/spreadsheets/d/1BuTWp7qHGjWhqrnf-OmePP568O4A5Am9ttzvVdP67zw/edit#gid=771602874"" ,""HUMAN RESOURCES!$A$2:$M$2692""), {2,3,4,5,6,7,8,9,10,11,12,13},0))"),0.02)</f>
        <v>0.02</v>
      </c>
      <c r="Q519" s="14">
        <f>IFERROR(__xludf.DUMMYFUNCTION("""COMPUTED_VALUE"""),0.016)</f>
        <v>0.016</v>
      </c>
      <c r="R519" s="14">
        <f>IFERROR(__xludf.DUMMYFUNCTION("""COMPUTED_VALUE"""),77.0)</f>
        <v>77</v>
      </c>
      <c r="S519" s="14">
        <f>IFERROR(__xludf.DUMMYFUNCTION("""COMPUTED_VALUE"""),70.0)</f>
        <v>70</v>
      </c>
      <c r="T519" s="14">
        <f>IFERROR(__xludf.DUMMYFUNCTION("""COMPUTED_VALUE"""),0.288)</f>
        <v>0.288</v>
      </c>
      <c r="U519" s="14">
        <f>IFERROR(__xludf.DUMMYFUNCTION("""COMPUTED_VALUE"""),0.656)</f>
        <v>0.656</v>
      </c>
      <c r="V519" s="14">
        <f>IFERROR(__xludf.DUMMYFUNCTION("""COMPUTED_VALUE"""),0.056)</f>
        <v>0.056</v>
      </c>
      <c r="W519" s="14">
        <f>IFERROR(__xludf.DUMMYFUNCTION("""COMPUTED_VALUE"""),4.6444798E7)</f>
        <v>46444798</v>
      </c>
      <c r="X519" s="14">
        <f>IFERROR(__xludf.DUMMYFUNCTION("""COMPUTED_VALUE"""),0.75)</f>
        <v>0.75</v>
      </c>
      <c r="Y519" s="14" t="str">
        <f>IFERROR(__xludf.DUMMYFUNCTION("""COMPUTED_VALUE"""),"Colombia-The Americas")</f>
        <v>Colombia-The Americas</v>
      </c>
      <c r="Z519" s="14" t="str">
        <f>IFERROR(__xludf.DUMMYFUNCTION("""COMPUTED_VALUE"""),"The Americas")</f>
        <v>The Americas</v>
      </c>
      <c r="AA519" s="14" t="str">
        <f>IFERROR(__xludf.DUMMYFUNCTION("""COMPUTED_VALUE"""),"2010")</f>
        <v>2010</v>
      </c>
      <c r="AB519" s="15" t="str">
        <f>IFERROR(__xludf.DUMMYFUNCTION("ARRAYFORMULA(VLOOKUP(A519,IMPORTRANGE(""https://docs.google.com/spreadsheets/d/1BuTWp7qHGjWhqrnf-OmePP568O4A5Am9ttzvVdP67zw/edit#gid=1931367683"" ,""ENERGY!$A$2:$F$2692""), {2,3,4,5,6},0))"),"The Americas")</f>
        <v>The Americas</v>
      </c>
      <c r="AC519" s="14" t="str">
        <f>IFERROR(__xludf.DUMMYFUNCTION("""COMPUTED_VALUE"""),"Colombia-The Americas")</f>
        <v>Colombia-The Americas</v>
      </c>
      <c r="AD519" s="14" t="str">
        <f>IFERROR(__xludf.DUMMYFUNCTION("""COMPUTED_VALUE"""),"2007")</f>
        <v>2007</v>
      </c>
      <c r="AE519" s="14">
        <f>IFERROR(__xludf.DUMMYFUNCTION("""COMPUTED_VALUE"""),25205.0)</f>
        <v>25205</v>
      </c>
      <c r="AF519" s="14">
        <f>IFERROR(__xludf.DUMMYFUNCTION("""COMPUTED_VALUE"""),55661.0)</f>
        <v>55661</v>
      </c>
    </row>
    <row r="520">
      <c r="A520" s="12">
        <v>519.0</v>
      </c>
      <c r="B520" s="12" t="s">
        <v>118</v>
      </c>
      <c r="C520" s="5" t="s">
        <v>84</v>
      </c>
      <c r="D520" s="11">
        <v>0.764</v>
      </c>
      <c r="E520" s="11">
        <v>14.0</v>
      </c>
      <c r="F520" s="8"/>
      <c r="G520" s="11">
        <v>193.0</v>
      </c>
      <c r="H520" s="11">
        <v>0.404</v>
      </c>
      <c r="I520" s="11">
        <v>0.981</v>
      </c>
      <c r="J520" s="9" t="s">
        <v>72</v>
      </c>
      <c r="K520" s="14" t="str">
        <f>IFERROR(__xludf.DUMMYFUNCTION("ARRAYFORMULA(VLOOKUP(A520,IMPORTRANGE(""https://docs.google.com/spreadsheets/d/1BuTWp7qHGjWhqrnf-OmePP568O4A5Am9ttzvVdP67zw/edit#gid=1603210130"", ""TOURISM!$A$2:$F$2692""), {2,3,4,5,6},0))"),"The Americas")</f>
        <v>The Americas</v>
      </c>
      <c r="L520" s="14">
        <f>IFERROR(__xludf.DUMMYFUNCTION("""COMPUTED_VALUE"""),2.992E9)</f>
        <v>2992000000</v>
      </c>
      <c r="M520" s="14" t="str">
        <f>IFERROR(__xludf.DUMMYFUNCTION("""COMPUTED_VALUE"""),"Colombia-The Americas")</f>
        <v>Colombia-The Americas</v>
      </c>
      <c r="N520" s="14" t="str">
        <f>IFERROR(__xludf.DUMMYFUNCTION("""COMPUTED_VALUE"""),"2011")</f>
        <v>2011</v>
      </c>
      <c r="O520" s="14">
        <f>IFERROR(__xludf.DUMMYFUNCTION("""COMPUTED_VALUE"""),2.842E9)</f>
        <v>2842000000</v>
      </c>
      <c r="P520" s="15">
        <f>IFERROR(__xludf.DUMMYFUNCTION("ARRAYFORMULA(VLOOKUP(A520,IMPORTRANGE(""https://docs.google.com/spreadsheets/d/1BuTWp7qHGjWhqrnf-OmePP568O4A5Am9ttzvVdP67zw/edit#gid=771602874"" ,""HUMAN RESOURCES!$A$2:$M$2692""), {2,3,4,5,6,7,8,9,10,11,12,13},0))"),0.019)</f>
        <v>0.019</v>
      </c>
      <c r="Q520" s="14">
        <f>IFERROR(__xludf.DUMMYFUNCTION("""COMPUTED_VALUE"""),0.015)</f>
        <v>0.015</v>
      </c>
      <c r="R520" s="14">
        <f>IFERROR(__xludf.DUMMYFUNCTION("""COMPUTED_VALUE"""),77.0)</f>
        <v>77</v>
      </c>
      <c r="S520" s="14">
        <f>IFERROR(__xludf.DUMMYFUNCTION("""COMPUTED_VALUE"""),70.0)</f>
        <v>70</v>
      </c>
      <c r="T520" s="14">
        <f>IFERROR(__xludf.DUMMYFUNCTION("""COMPUTED_VALUE"""),0.284)</f>
        <v>0.284</v>
      </c>
      <c r="U520" s="14">
        <f>IFERROR(__xludf.DUMMYFUNCTION("""COMPUTED_VALUE"""),0.658)</f>
        <v>0.658</v>
      </c>
      <c r="V520" s="14">
        <f>IFERROR(__xludf.DUMMYFUNCTION("""COMPUTED_VALUE"""),0.058)</f>
        <v>0.058</v>
      </c>
      <c r="W520" s="14">
        <f>IFERROR(__xludf.DUMMYFUNCTION("""COMPUTED_VALUE"""),4.7078792E7)</f>
        <v>47078792</v>
      </c>
      <c r="X520" s="14">
        <f>IFERROR(__xludf.DUMMYFUNCTION("""COMPUTED_VALUE"""),0.753)</f>
        <v>0.753</v>
      </c>
      <c r="Y520" s="14" t="str">
        <f>IFERROR(__xludf.DUMMYFUNCTION("""COMPUTED_VALUE"""),"Colombia-The Americas")</f>
        <v>Colombia-The Americas</v>
      </c>
      <c r="Z520" s="14" t="str">
        <f>IFERROR(__xludf.DUMMYFUNCTION("""COMPUTED_VALUE"""),"The Americas")</f>
        <v>The Americas</v>
      </c>
      <c r="AA520" s="14" t="str">
        <f>IFERROR(__xludf.DUMMYFUNCTION("""COMPUTED_VALUE"""),"2011")</f>
        <v>2011</v>
      </c>
      <c r="AB520" s="15" t="str">
        <f>IFERROR(__xludf.DUMMYFUNCTION("ARRAYFORMULA(VLOOKUP(A520,IMPORTRANGE(""https://docs.google.com/spreadsheets/d/1BuTWp7qHGjWhqrnf-OmePP568O4A5Am9ttzvVdP67zw/edit#gid=1931367683"" ,""ENERGY!$A$2:$F$2692""), {2,3,4,5,6},0))"),"The Americas")</f>
        <v>The Americas</v>
      </c>
      <c r="AC520" s="14" t="str">
        <f>IFERROR(__xludf.DUMMYFUNCTION("""COMPUTED_VALUE"""),"Colombia-The Americas")</f>
        <v>Colombia-The Americas</v>
      </c>
      <c r="AD520" s="14" t="str">
        <f>IFERROR(__xludf.DUMMYFUNCTION("""COMPUTED_VALUE"""),"2004")</f>
        <v>2004</v>
      </c>
      <c r="AE520" s="14">
        <f>IFERROR(__xludf.DUMMYFUNCTION("""COMPUTED_VALUE"""),25708.0)</f>
        <v>25708</v>
      </c>
      <c r="AF520" s="14">
        <f>IFERROR(__xludf.DUMMYFUNCTION("""COMPUTED_VALUE"""),56274.0)</f>
        <v>56274</v>
      </c>
    </row>
    <row r="521">
      <c r="A521" s="12">
        <v>520.0</v>
      </c>
      <c r="B521" s="12" t="s">
        <v>118</v>
      </c>
      <c r="C521" s="5" t="s">
        <v>84</v>
      </c>
      <c r="D521" s="11">
        <v>0.76</v>
      </c>
      <c r="E521" s="11">
        <v>15.0</v>
      </c>
      <c r="F521" s="11">
        <v>42.0</v>
      </c>
      <c r="G521" s="11">
        <v>203.0</v>
      </c>
      <c r="H521" s="11">
        <v>0.49</v>
      </c>
      <c r="I521" s="11">
        <v>1.029</v>
      </c>
      <c r="J521" s="9" t="s">
        <v>73</v>
      </c>
      <c r="K521" s="14" t="str">
        <f>IFERROR(__xludf.DUMMYFUNCTION("ARRAYFORMULA(VLOOKUP(A521,IMPORTRANGE(""https://docs.google.com/spreadsheets/d/1BuTWp7qHGjWhqrnf-OmePP568O4A5Am9ttzvVdP67zw/edit#gid=1603210130"", ""TOURISM!$A$2:$F$2692""), {2,3,4,5,6},0))"),"The Americas")</f>
        <v>The Americas</v>
      </c>
      <c r="L521" s="14">
        <f>IFERROR(__xludf.DUMMYFUNCTION("""COMPUTED_VALUE"""),3.257E9)</f>
        <v>3257000000</v>
      </c>
      <c r="M521" s="14" t="str">
        <f>IFERROR(__xludf.DUMMYFUNCTION("""COMPUTED_VALUE"""),"Colombia-The Americas")</f>
        <v>Colombia-The Americas</v>
      </c>
      <c r="N521" s="14" t="str">
        <f>IFERROR(__xludf.DUMMYFUNCTION("""COMPUTED_VALUE"""),"2012")</f>
        <v>2012</v>
      </c>
      <c r="O521" s="14">
        <f>IFERROR(__xludf.DUMMYFUNCTION("""COMPUTED_VALUE"""),3.364E9)</f>
        <v>3364000000</v>
      </c>
      <c r="P521" s="15">
        <f>IFERROR(__xludf.DUMMYFUNCTION("ARRAYFORMULA(VLOOKUP(A521,IMPORTRANGE(""https://docs.google.com/spreadsheets/d/1BuTWp7qHGjWhqrnf-OmePP568O4A5Am9ttzvVdP67zw/edit#gid=771602874"" ,""HUMAN RESOURCES!$A$2:$M$2692""), {2,3,4,5,6,7,8,9,10,11,12,13},0))"),0.019)</f>
        <v>0.019</v>
      </c>
      <c r="Q521" s="14">
        <f>IFERROR(__xludf.DUMMYFUNCTION("""COMPUTED_VALUE"""),0.015)</f>
        <v>0.015</v>
      </c>
      <c r="R521" s="14">
        <f>IFERROR(__xludf.DUMMYFUNCTION("""COMPUTED_VALUE"""),78.0)</f>
        <v>78</v>
      </c>
      <c r="S521" s="14">
        <f>IFERROR(__xludf.DUMMYFUNCTION("""COMPUTED_VALUE"""),70.0)</f>
        <v>70</v>
      </c>
      <c r="T521" s="14">
        <f>IFERROR(__xludf.DUMMYFUNCTION("""COMPUTED_VALUE"""),0.28)</f>
        <v>0.28</v>
      </c>
      <c r="U521" s="14">
        <f>IFERROR(__xludf.DUMMYFUNCTION("""COMPUTED_VALUE"""),0.66)</f>
        <v>0.66</v>
      </c>
      <c r="V521" s="14">
        <f>IFERROR(__xludf.DUMMYFUNCTION("""COMPUTED_VALUE"""),0.06)</f>
        <v>0.06</v>
      </c>
      <c r="W521" s="14">
        <f>IFERROR(__xludf.DUMMYFUNCTION("""COMPUTED_VALUE"""),4.7704427E7)</f>
        <v>47704427</v>
      </c>
      <c r="X521" s="14">
        <f>IFERROR(__xludf.DUMMYFUNCTION("""COMPUTED_VALUE"""),0.756)</f>
        <v>0.756</v>
      </c>
      <c r="Y521" s="14" t="str">
        <f>IFERROR(__xludf.DUMMYFUNCTION("""COMPUTED_VALUE"""),"Colombia-The Americas")</f>
        <v>Colombia-The Americas</v>
      </c>
      <c r="Z521" s="14" t="str">
        <f>IFERROR(__xludf.DUMMYFUNCTION("""COMPUTED_VALUE"""),"The Americas")</f>
        <v>The Americas</v>
      </c>
      <c r="AA521" s="14" t="str">
        <f>IFERROR(__xludf.DUMMYFUNCTION("""COMPUTED_VALUE"""),"2012")</f>
        <v>2012</v>
      </c>
      <c r="AB521" s="15" t="str">
        <f>IFERROR(__xludf.DUMMYFUNCTION("ARRAYFORMULA(VLOOKUP(A521,IMPORTRANGE(""https://docs.google.com/spreadsheets/d/1BuTWp7qHGjWhqrnf-OmePP568O4A5Am9ttzvVdP67zw/edit#gid=1931367683"" ,""ENERGY!$A$2:$F$2692""), {2,3,4,5,6},0))"),"The Americas")</f>
        <v>The Americas</v>
      </c>
      <c r="AC521" s="14" t="str">
        <f>IFERROR(__xludf.DUMMYFUNCTION("""COMPUTED_VALUE"""),"Colombia-The Americas")</f>
        <v>Colombia-The Americas</v>
      </c>
      <c r="AD521" s="14" t="str">
        <f>IFERROR(__xludf.DUMMYFUNCTION("""COMPUTED_VALUE"""),"2009")</f>
        <v>2009</v>
      </c>
      <c r="AE521" s="14">
        <f>IFERROR(__xludf.DUMMYFUNCTION("""COMPUTED_VALUE"""),25814.0)</f>
        <v>25814</v>
      </c>
      <c r="AF521" s="14">
        <f>IFERROR(__xludf.DUMMYFUNCTION("""COMPUTED_VALUE"""),57924.0)</f>
        <v>57924</v>
      </c>
    </row>
    <row r="522">
      <c r="A522" s="12">
        <v>521.0</v>
      </c>
      <c r="B522" s="12" t="s">
        <v>119</v>
      </c>
      <c r="C522" s="5" t="s">
        <v>77</v>
      </c>
      <c r="D522" s="8"/>
      <c r="E522" s="8"/>
      <c r="F522" s="8"/>
      <c r="G522" s="8"/>
      <c r="H522" s="11">
        <v>0.003</v>
      </c>
      <c r="I522" s="8"/>
      <c r="J522" s="9" t="s">
        <v>60</v>
      </c>
      <c r="K522" s="14" t="str">
        <f>IFERROR(__xludf.DUMMYFUNCTION("ARRAYFORMULA(VLOOKUP(A522,IMPORTRANGE(""https://docs.google.com/spreadsheets/d/1BuTWp7qHGjWhqrnf-OmePP568O4A5Am9ttzvVdP67zw/edit#gid=1603210130"", ""TOURISM!$A$2:$F$2692""), {2,3,4,5,6},0))"),"Africa")</f>
        <v>Africa</v>
      </c>
      <c r="L522" s="14">
        <f>IFERROR(__xludf.DUMMYFUNCTION("""COMPUTED_VALUE"""),1.5E7)</f>
        <v>15000000</v>
      </c>
      <c r="M522" s="14" t="str">
        <f>IFERROR(__xludf.DUMMYFUNCTION("""COMPUTED_VALUE"""),"Comoros-Africa")</f>
        <v>Comoros-Africa</v>
      </c>
      <c r="N522" s="14" t="str">
        <f>IFERROR(__xludf.DUMMYFUNCTION("""COMPUTED_VALUE"""),"2000")</f>
        <v>2000</v>
      </c>
      <c r="O522" s="14"/>
      <c r="P522" s="15">
        <f>IFERROR(__xludf.DUMMYFUNCTION("ARRAYFORMULA(VLOOKUP(A522,IMPORTRANGE(""https://docs.google.com/spreadsheets/d/1BuTWp7qHGjWhqrnf-OmePP568O4A5Am9ttzvVdP67zw/edit#gid=771602874"" ,""HUMAN RESOURCES!$A$2:$M$2692""), {2,3,4,5,6,7,8,9,10,11,12,13},0))"),0.039)</f>
        <v>0.039</v>
      </c>
      <c r="Q522" s="14">
        <f>IFERROR(__xludf.DUMMYFUNCTION("""COMPUTED_VALUE"""),0.073)</f>
        <v>0.073</v>
      </c>
      <c r="R522" s="14">
        <f>IFERROR(__xludf.DUMMYFUNCTION("""COMPUTED_VALUE"""),59.0)</f>
        <v>59</v>
      </c>
      <c r="S522" s="14">
        <f>IFERROR(__xludf.DUMMYFUNCTION("""COMPUTED_VALUE"""),56.0)</f>
        <v>56</v>
      </c>
      <c r="T522" s="14">
        <f>IFERROR(__xludf.DUMMYFUNCTION("""COMPUTED_VALUE"""),0.415)</f>
        <v>0.415</v>
      </c>
      <c r="U522" s="14">
        <f>IFERROR(__xludf.DUMMYFUNCTION("""COMPUTED_VALUE"""),0.554)</f>
        <v>0.554</v>
      </c>
      <c r="V522" s="14">
        <f>IFERROR(__xludf.DUMMYFUNCTION("""COMPUTED_VALUE"""),0.031)</f>
        <v>0.031</v>
      </c>
      <c r="W522" s="14">
        <f>IFERROR(__xludf.DUMMYFUNCTION("""COMPUTED_VALUE"""),528312.0)</f>
        <v>528312</v>
      </c>
      <c r="X522" s="14">
        <f>IFERROR(__xludf.DUMMYFUNCTION("""COMPUTED_VALUE"""),0.281)</f>
        <v>0.281</v>
      </c>
      <c r="Y522" s="14" t="str">
        <f>IFERROR(__xludf.DUMMYFUNCTION("""COMPUTED_VALUE"""),"Comoros-Africa")</f>
        <v>Comoros-Africa</v>
      </c>
      <c r="Z522" s="14" t="str">
        <f>IFERROR(__xludf.DUMMYFUNCTION("""COMPUTED_VALUE"""),"Africa")</f>
        <v>Africa</v>
      </c>
      <c r="AA522" s="14" t="str">
        <f>IFERROR(__xludf.DUMMYFUNCTION("""COMPUTED_VALUE"""),"2000")</f>
        <v>2000</v>
      </c>
      <c r="AB522" s="15" t="str">
        <f>IFERROR(__xludf.DUMMYFUNCTION("ARRAYFORMULA(VLOOKUP(A522,IMPORTRANGE(""https://docs.google.com/spreadsheets/d/1BuTWp7qHGjWhqrnf-OmePP568O4A5Am9ttzvVdP67zw/edit#gid=1931367683"" ,""ENERGY!$A$2:$F$2692""), {2,3,4,5,6},0))"),"Africa")</f>
        <v>Africa</v>
      </c>
      <c r="AC522" s="14" t="str">
        <f>IFERROR(__xludf.DUMMYFUNCTION("""COMPUTED_VALUE"""),"Comoros-Africa")</f>
        <v>Comoros-Africa</v>
      </c>
      <c r="AD522" s="14" t="str">
        <f>IFERROR(__xludf.DUMMYFUNCTION("""COMPUTED_VALUE"""),"2000")</f>
        <v>2000</v>
      </c>
      <c r="AE522" s="14"/>
      <c r="AF522" s="14"/>
    </row>
    <row r="523">
      <c r="A523" s="12">
        <v>522.0</v>
      </c>
      <c r="B523" s="12" t="s">
        <v>119</v>
      </c>
      <c r="C523" s="5" t="s">
        <v>77</v>
      </c>
      <c r="D523" s="8"/>
      <c r="E523" s="8"/>
      <c r="F523" s="8"/>
      <c r="G523" s="8"/>
      <c r="H523" s="11">
        <v>0.004</v>
      </c>
      <c r="I523" s="8"/>
      <c r="J523" s="9" t="s">
        <v>62</v>
      </c>
      <c r="K523" s="14" t="str">
        <f>IFERROR(__xludf.DUMMYFUNCTION("ARRAYFORMULA(VLOOKUP(A523,IMPORTRANGE(""https://docs.google.com/spreadsheets/d/1BuTWp7qHGjWhqrnf-OmePP568O4A5Am9ttzvVdP67zw/edit#gid=1603210130"", ""TOURISM!$A$2:$F$2692""), {2,3,4,5,6},0))"),"Africa")</f>
        <v>Africa</v>
      </c>
      <c r="L523" s="14">
        <f>IFERROR(__xludf.DUMMYFUNCTION("""COMPUTED_VALUE"""),9000000.0)</f>
        <v>9000000</v>
      </c>
      <c r="M523" s="14" t="str">
        <f>IFERROR(__xludf.DUMMYFUNCTION("""COMPUTED_VALUE"""),"Comoros-Africa")</f>
        <v>Comoros-Africa</v>
      </c>
      <c r="N523" s="14" t="str">
        <f>IFERROR(__xludf.DUMMYFUNCTION("""COMPUTED_VALUE"""),"2001")</f>
        <v>2001</v>
      </c>
      <c r="O523" s="14"/>
      <c r="P523" s="15">
        <f>IFERROR(__xludf.DUMMYFUNCTION("ARRAYFORMULA(VLOOKUP(A523,IMPORTRANGE(""https://docs.google.com/spreadsheets/d/1BuTWp7qHGjWhqrnf-OmePP568O4A5Am9ttzvVdP67zw/edit#gid=771602874"" ,""HUMAN RESOURCES!$A$2:$M$2692""), {2,3,4,5,6,7,8,9,10,11,12,13},0))"),0.039)</f>
        <v>0.039</v>
      </c>
      <c r="Q523" s="14">
        <f>IFERROR(__xludf.DUMMYFUNCTION("""COMPUTED_VALUE"""),0.073)</f>
        <v>0.073</v>
      </c>
      <c r="R523" s="14">
        <f>IFERROR(__xludf.DUMMYFUNCTION("""COMPUTED_VALUE"""),60.0)</f>
        <v>60</v>
      </c>
      <c r="S523" s="14">
        <f>IFERROR(__xludf.DUMMYFUNCTION("""COMPUTED_VALUE"""),57.0)</f>
        <v>57</v>
      </c>
      <c r="T523" s="14">
        <f>IFERROR(__xludf.DUMMYFUNCTION("""COMPUTED_VALUE"""),0.414)</f>
        <v>0.414</v>
      </c>
      <c r="U523" s="14">
        <f>IFERROR(__xludf.DUMMYFUNCTION("""COMPUTED_VALUE"""),0.555)</f>
        <v>0.555</v>
      </c>
      <c r="V523" s="14">
        <f>IFERROR(__xludf.DUMMYFUNCTION("""COMPUTED_VALUE"""),0.031)</f>
        <v>0.031</v>
      </c>
      <c r="W523" s="14">
        <f>IFERROR(__xludf.DUMMYFUNCTION("""COMPUTED_VALUE"""),541976.0)</f>
        <v>541976</v>
      </c>
      <c r="X523" s="14">
        <f>IFERROR(__xludf.DUMMYFUNCTION("""COMPUTED_VALUE"""),0.28)</f>
        <v>0.28</v>
      </c>
      <c r="Y523" s="14" t="str">
        <f>IFERROR(__xludf.DUMMYFUNCTION("""COMPUTED_VALUE"""),"Comoros-Africa")</f>
        <v>Comoros-Africa</v>
      </c>
      <c r="Z523" s="14" t="str">
        <f>IFERROR(__xludf.DUMMYFUNCTION("""COMPUTED_VALUE"""),"Africa")</f>
        <v>Africa</v>
      </c>
      <c r="AA523" s="14" t="str">
        <f>IFERROR(__xludf.DUMMYFUNCTION("""COMPUTED_VALUE"""),"2001")</f>
        <v>2001</v>
      </c>
      <c r="AB523" s="15" t="str">
        <f>IFERROR(__xludf.DUMMYFUNCTION("ARRAYFORMULA(VLOOKUP(A523,IMPORTRANGE(""https://docs.google.com/spreadsheets/d/1BuTWp7qHGjWhqrnf-OmePP568O4A5Am9ttzvVdP67zw/edit#gid=1931367683"" ,""ENERGY!$A$2:$F$2692""), {2,3,4,5,6},0))"),"Africa")</f>
        <v>Africa</v>
      </c>
      <c r="AC523" s="14" t="str">
        <f>IFERROR(__xludf.DUMMYFUNCTION("""COMPUTED_VALUE"""),"Comoros-Africa")</f>
        <v>Comoros-Africa</v>
      </c>
      <c r="AD523" s="14" t="str">
        <f>IFERROR(__xludf.DUMMYFUNCTION("""COMPUTED_VALUE"""),"2001")</f>
        <v>2001</v>
      </c>
      <c r="AE523" s="14"/>
      <c r="AF523" s="14"/>
    </row>
    <row r="524">
      <c r="A524" s="12">
        <v>523.0</v>
      </c>
      <c r="B524" s="12" t="s">
        <v>119</v>
      </c>
      <c r="C524" s="5" t="s">
        <v>77</v>
      </c>
      <c r="D524" s="8"/>
      <c r="E524" s="8"/>
      <c r="F524" s="8"/>
      <c r="G524" s="8"/>
      <c r="H524" s="11">
        <v>0.006</v>
      </c>
      <c r="I524" s="8"/>
      <c r="J524" s="9" t="s">
        <v>63</v>
      </c>
      <c r="K524" s="14" t="str">
        <f>IFERROR(__xludf.DUMMYFUNCTION("ARRAYFORMULA(VLOOKUP(A524,IMPORTRANGE(""https://docs.google.com/spreadsheets/d/1BuTWp7qHGjWhqrnf-OmePP568O4A5Am9ttzvVdP67zw/edit#gid=1603210130"", ""TOURISM!$A$2:$F$2692""), {2,3,4,5,6},0))"),"Africa")</f>
        <v>Africa</v>
      </c>
      <c r="L524" s="14">
        <f>IFERROR(__xludf.DUMMYFUNCTION("""COMPUTED_VALUE"""),1.1E7)</f>
        <v>11000000</v>
      </c>
      <c r="M524" s="14" t="str">
        <f>IFERROR(__xludf.DUMMYFUNCTION("""COMPUTED_VALUE"""),"Comoros-Africa")</f>
        <v>Comoros-Africa</v>
      </c>
      <c r="N524" s="14" t="str">
        <f>IFERROR(__xludf.DUMMYFUNCTION("""COMPUTED_VALUE"""),"2002")</f>
        <v>2002</v>
      </c>
      <c r="O524" s="14"/>
      <c r="P524" s="15">
        <f>IFERROR(__xludf.DUMMYFUNCTION("ARRAYFORMULA(VLOOKUP(A524,IMPORTRANGE(""https://docs.google.com/spreadsheets/d/1BuTWp7qHGjWhqrnf-OmePP568O4A5Am9ttzvVdP67zw/edit#gid=771602874"" ,""HUMAN RESOURCES!$A$2:$M$2692""), {2,3,4,5,6,7,8,9,10,11,12,13},0))"),0.039)</f>
        <v>0.039</v>
      </c>
      <c r="Q524" s="14">
        <f>IFERROR(__xludf.DUMMYFUNCTION("""COMPUTED_VALUE"""),0.072)</f>
        <v>0.072</v>
      </c>
      <c r="R524" s="14">
        <f>IFERROR(__xludf.DUMMYFUNCTION("""COMPUTED_VALUE"""),60.0)</f>
        <v>60</v>
      </c>
      <c r="S524" s="14">
        <f>IFERROR(__xludf.DUMMYFUNCTION("""COMPUTED_VALUE"""),57.0)</f>
        <v>57</v>
      </c>
      <c r="T524" s="14">
        <f>IFERROR(__xludf.DUMMYFUNCTION("""COMPUTED_VALUE"""),0.413)</f>
        <v>0.413</v>
      </c>
      <c r="U524" s="14">
        <f>IFERROR(__xludf.DUMMYFUNCTION("""COMPUTED_VALUE"""),0.556)</f>
        <v>0.556</v>
      </c>
      <c r="V524" s="14">
        <f>IFERROR(__xludf.DUMMYFUNCTION("""COMPUTED_VALUE"""),0.031)</f>
        <v>0.031</v>
      </c>
      <c r="W524" s="14">
        <f>IFERROR(__xludf.DUMMYFUNCTION("""COMPUTED_VALUE"""),556028.0)</f>
        <v>556028</v>
      </c>
      <c r="X524" s="14">
        <f>IFERROR(__xludf.DUMMYFUNCTION("""COMPUTED_VALUE"""),0.28)</f>
        <v>0.28</v>
      </c>
      <c r="Y524" s="14" t="str">
        <f>IFERROR(__xludf.DUMMYFUNCTION("""COMPUTED_VALUE"""),"Comoros-Africa")</f>
        <v>Comoros-Africa</v>
      </c>
      <c r="Z524" s="14" t="str">
        <f>IFERROR(__xludf.DUMMYFUNCTION("""COMPUTED_VALUE"""),"Africa")</f>
        <v>Africa</v>
      </c>
      <c r="AA524" s="14" t="str">
        <f>IFERROR(__xludf.DUMMYFUNCTION("""COMPUTED_VALUE"""),"2002")</f>
        <v>2002</v>
      </c>
      <c r="AB524" s="15" t="str">
        <f>IFERROR(__xludf.DUMMYFUNCTION("ARRAYFORMULA(VLOOKUP(A524,IMPORTRANGE(""https://docs.google.com/spreadsheets/d/1BuTWp7qHGjWhqrnf-OmePP568O4A5Am9ttzvVdP67zw/edit#gid=1931367683"" ,""ENERGY!$A$2:$F$2692""), {2,3,4,5,6},0))"),"Africa")</f>
        <v>Africa</v>
      </c>
      <c r="AC524" s="14" t="str">
        <f>IFERROR(__xludf.DUMMYFUNCTION("""COMPUTED_VALUE"""),"Comoros-Africa")</f>
        <v>Comoros-Africa</v>
      </c>
      <c r="AD524" s="14" t="str">
        <f>IFERROR(__xludf.DUMMYFUNCTION("""COMPUTED_VALUE"""),"2002")</f>
        <v>2002</v>
      </c>
      <c r="AE524" s="14"/>
      <c r="AF524" s="14">
        <f>IFERROR(__xludf.DUMMYFUNCTION("""COMPUTED_VALUE"""),139.0)</f>
        <v>139</v>
      </c>
    </row>
    <row r="525">
      <c r="A525" s="12">
        <v>524.0</v>
      </c>
      <c r="B525" s="12" t="s">
        <v>119</v>
      </c>
      <c r="C525" s="5" t="s">
        <v>77</v>
      </c>
      <c r="D525" s="8"/>
      <c r="E525" s="8"/>
      <c r="F525" s="8"/>
      <c r="G525" s="8"/>
      <c r="H525" s="11">
        <v>0.008</v>
      </c>
      <c r="I525" s="11">
        <v>0.004</v>
      </c>
      <c r="J525" s="9" t="s">
        <v>64</v>
      </c>
      <c r="K525" s="14" t="str">
        <f>IFERROR(__xludf.DUMMYFUNCTION("ARRAYFORMULA(VLOOKUP(A525,IMPORTRANGE(""https://docs.google.com/spreadsheets/d/1BuTWp7qHGjWhqrnf-OmePP568O4A5Am9ttzvVdP67zw/edit#gid=1603210130"", ""TOURISM!$A$2:$F$2692""), {2,3,4,5,6},0))"),"Africa")</f>
        <v>Africa</v>
      </c>
      <c r="L525" s="14">
        <f>IFERROR(__xludf.DUMMYFUNCTION("""COMPUTED_VALUE"""),1.6E7)</f>
        <v>16000000</v>
      </c>
      <c r="M525" s="14" t="str">
        <f>IFERROR(__xludf.DUMMYFUNCTION("""COMPUTED_VALUE"""),"Comoros-Africa")</f>
        <v>Comoros-Africa</v>
      </c>
      <c r="N525" s="14" t="str">
        <f>IFERROR(__xludf.DUMMYFUNCTION("""COMPUTED_VALUE"""),"2003")</f>
        <v>2003</v>
      </c>
      <c r="O525" s="14">
        <f>IFERROR(__xludf.DUMMYFUNCTION("""COMPUTED_VALUE"""),8000000.0)</f>
        <v>8000000</v>
      </c>
      <c r="P525" s="15">
        <f>IFERROR(__xludf.DUMMYFUNCTION("ARRAYFORMULA(VLOOKUP(A525,IMPORTRANGE(""https://docs.google.com/spreadsheets/d/1BuTWp7qHGjWhqrnf-OmePP568O4A5Am9ttzvVdP67zw/edit#gid=771602874"" ,""HUMAN RESOURCES!$A$2:$M$2692""), {2,3,4,5,6,7,8,9,10,11,12,13},0))"),0.039)</f>
        <v>0.039</v>
      </c>
      <c r="Q525" s="14">
        <f>IFERROR(__xludf.DUMMYFUNCTION("""COMPUTED_VALUE"""),0.072)</f>
        <v>0.072</v>
      </c>
      <c r="R525" s="14">
        <f>IFERROR(__xludf.DUMMYFUNCTION("""COMPUTED_VALUE"""),60.0)</f>
        <v>60</v>
      </c>
      <c r="S525" s="14">
        <f>IFERROR(__xludf.DUMMYFUNCTION("""COMPUTED_VALUE"""),57.0)</f>
        <v>57</v>
      </c>
      <c r="T525" s="14">
        <f>IFERROR(__xludf.DUMMYFUNCTION("""COMPUTED_VALUE"""),0.414)</f>
        <v>0.414</v>
      </c>
      <c r="U525" s="14">
        <f>IFERROR(__xludf.DUMMYFUNCTION("""COMPUTED_VALUE"""),0.556)</f>
        <v>0.556</v>
      </c>
      <c r="V525" s="14">
        <f>IFERROR(__xludf.DUMMYFUNCTION("""COMPUTED_VALUE"""),0.03)</f>
        <v>0.03</v>
      </c>
      <c r="W525" s="14">
        <f>IFERROR(__xludf.DUMMYFUNCTION("""COMPUTED_VALUE"""),570491.0)</f>
        <v>570491</v>
      </c>
      <c r="X525" s="14">
        <f>IFERROR(__xludf.DUMMYFUNCTION("""COMPUTED_VALUE"""),0.279)</f>
        <v>0.279</v>
      </c>
      <c r="Y525" s="14" t="str">
        <f>IFERROR(__xludf.DUMMYFUNCTION("""COMPUTED_VALUE"""),"Comoros-Africa")</f>
        <v>Comoros-Africa</v>
      </c>
      <c r="Z525" s="14" t="str">
        <f>IFERROR(__xludf.DUMMYFUNCTION("""COMPUTED_VALUE"""),"Africa")</f>
        <v>Africa</v>
      </c>
      <c r="AA525" s="14" t="str">
        <f>IFERROR(__xludf.DUMMYFUNCTION("""COMPUTED_VALUE"""),"2003")</f>
        <v>2003</v>
      </c>
      <c r="AB525" s="15" t="str">
        <f>IFERROR(__xludf.DUMMYFUNCTION("ARRAYFORMULA(VLOOKUP(A525,IMPORTRANGE(""https://docs.google.com/spreadsheets/d/1BuTWp7qHGjWhqrnf-OmePP568O4A5Am9ttzvVdP67zw/edit#gid=1931367683"" ,""ENERGY!$A$2:$F$2692""), {2,3,4,5,6},0))"),"Africa")</f>
        <v>Africa</v>
      </c>
      <c r="AC525" s="14" t="str">
        <f>IFERROR(__xludf.DUMMYFUNCTION("""COMPUTED_VALUE"""),"Comoros-Africa")</f>
        <v>Comoros-Africa</v>
      </c>
      <c r="AD525" s="14" t="str">
        <f>IFERROR(__xludf.DUMMYFUNCTION("""COMPUTED_VALUE"""),"2003")</f>
        <v>2003</v>
      </c>
      <c r="AE525" s="14"/>
      <c r="AF525" s="14">
        <f>IFERROR(__xludf.DUMMYFUNCTION("""COMPUTED_VALUE"""),125.0)</f>
        <v>125</v>
      </c>
    </row>
    <row r="526">
      <c r="A526" s="12">
        <v>525.0</v>
      </c>
      <c r="B526" s="12" t="s">
        <v>119</v>
      </c>
      <c r="C526" s="5" t="s">
        <v>77</v>
      </c>
      <c r="D526" s="8"/>
      <c r="E526" s="8"/>
      <c r="F526" s="8"/>
      <c r="G526" s="8"/>
      <c r="H526" s="11">
        <v>0.013</v>
      </c>
      <c r="I526" s="11">
        <v>0.014</v>
      </c>
      <c r="J526" s="9" t="s">
        <v>65</v>
      </c>
      <c r="K526" s="14" t="str">
        <f>IFERROR(__xludf.DUMMYFUNCTION("ARRAYFORMULA(VLOOKUP(A526,IMPORTRANGE(""https://docs.google.com/spreadsheets/d/1BuTWp7qHGjWhqrnf-OmePP568O4A5Am9ttzvVdP67zw/edit#gid=1603210130"", ""TOURISM!$A$2:$F$2692""), {2,3,4,5,6},0))"),"Africa")</f>
        <v>Africa</v>
      </c>
      <c r="L526" s="14">
        <f>IFERROR(__xludf.DUMMYFUNCTION("""COMPUTED_VALUE"""),2.1E7)</f>
        <v>21000000</v>
      </c>
      <c r="M526" s="14" t="str">
        <f>IFERROR(__xludf.DUMMYFUNCTION("""COMPUTED_VALUE"""),"Comoros-Africa")</f>
        <v>Comoros-Africa</v>
      </c>
      <c r="N526" s="14" t="str">
        <f>IFERROR(__xludf.DUMMYFUNCTION("""COMPUTED_VALUE"""),"2004")</f>
        <v>2004</v>
      </c>
      <c r="O526" s="14">
        <f>IFERROR(__xludf.DUMMYFUNCTION("""COMPUTED_VALUE"""),9000000.0)</f>
        <v>9000000</v>
      </c>
      <c r="P526" s="15">
        <f>IFERROR(__xludf.DUMMYFUNCTION("ARRAYFORMULA(VLOOKUP(A526,IMPORTRANGE(""https://docs.google.com/spreadsheets/d/1BuTWp7qHGjWhqrnf-OmePP568O4A5Am9ttzvVdP67zw/edit#gid=771602874"" ,""HUMAN RESOURCES!$A$2:$M$2692""), {2,3,4,5,6,7,8,9,10,11,12,13},0))"),0.039)</f>
        <v>0.039</v>
      </c>
      <c r="Q526" s="14">
        <f>IFERROR(__xludf.DUMMYFUNCTION("""COMPUTED_VALUE"""),0.071)</f>
        <v>0.071</v>
      </c>
      <c r="R526" s="14">
        <f>IFERROR(__xludf.DUMMYFUNCTION("""COMPUTED_VALUE"""),60.0)</f>
        <v>60</v>
      </c>
      <c r="S526" s="14">
        <f>IFERROR(__xludf.DUMMYFUNCTION("""COMPUTED_VALUE"""),57.0)</f>
        <v>57</v>
      </c>
      <c r="T526" s="14">
        <f>IFERROR(__xludf.DUMMYFUNCTION("""COMPUTED_VALUE"""),0.414)</f>
        <v>0.414</v>
      </c>
      <c r="U526" s="14">
        <f>IFERROR(__xludf.DUMMYFUNCTION("""COMPUTED_VALUE"""),0.556)</f>
        <v>0.556</v>
      </c>
      <c r="V526" s="14">
        <f>IFERROR(__xludf.DUMMYFUNCTION("""COMPUTED_VALUE"""),0.03)</f>
        <v>0.03</v>
      </c>
      <c r="W526" s="14">
        <f>IFERROR(__xludf.DUMMYFUNCTION("""COMPUTED_VALUE"""),585389.0)</f>
        <v>585389</v>
      </c>
      <c r="X526" s="14">
        <f>IFERROR(__xludf.DUMMYFUNCTION("""COMPUTED_VALUE"""),0.279)</f>
        <v>0.279</v>
      </c>
      <c r="Y526" s="14" t="str">
        <f>IFERROR(__xludf.DUMMYFUNCTION("""COMPUTED_VALUE"""),"Comoros-Africa")</f>
        <v>Comoros-Africa</v>
      </c>
      <c r="Z526" s="14" t="str">
        <f>IFERROR(__xludf.DUMMYFUNCTION("""COMPUTED_VALUE"""),"Africa")</f>
        <v>Africa</v>
      </c>
      <c r="AA526" s="14" t="str">
        <f>IFERROR(__xludf.DUMMYFUNCTION("""COMPUTED_VALUE"""),"2004")</f>
        <v>2004</v>
      </c>
      <c r="AB526" s="15" t="str">
        <f>IFERROR(__xludf.DUMMYFUNCTION("ARRAYFORMULA(VLOOKUP(A526,IMPORTRANGE(""https://docs.google.com/spreadsheets/d/1BuTWp7qHGjWhqrnf-OmePP568O4A5Am9ttzvVdP67zw/edit#gid=1931367683"" ,""ENERGY!$A$2:$F$2692""), {2,3,4,5,6},0))"),"Africa")</f>
        <v>Africa</v>
      </c>
      <c r="AC526" s="14" t="str">
        <f>IFERROR(__xludf.DUMMYFUNCTION("""COMPUTED_VALUE"""),"Comoros-Africa")</f>
        <v>Comoros-Africa</v>
      </c>
      <c r="AD526" s="14" t="str">
        <f>IFERROR(__xludf.DUMMYFUNCTION("""COMPUTED_VALUE"""),"2004")</f>
        <v>2004</v>
      </c>
      <c r="AE526" s="14"/>
      <c r="AF526" s="14">
        <f>IFERROR(__xludf.DUMMYFUNCTION("""COMPUTED_VALUE"""),125.0)</f>
        <v>125</v>
      </c>
    </row>
    <row r="527">
      <c r="A527" s="12">
        <v>526.0</v>
      </c>
      <c r="B527" s="12" t="s">
        <v>119</v>
      </c>
      <c r="C527" s="5" t="s">
        <v>77</v>
      </c>
      <c r="D527" s="11">
        <v>2.179</v>
      </c>
      <c r="E527" s="11">
        <v>24.0</v>
      </c>
      <c r="F527" s="8"/>
      <c r="G527" s="11">
        <v>100.0</v>
      </c>
      <c r="H527" s="11">
        <v>0.02</v>
      </c>
      <c r="I527" s="11">
        <v>0.026</v>
      </c>
      <c r="J527" s="9" t="s">
        <v>66</v>
      </c>
      <c r="K527" s="14" t="str">
        <f>IFERROR(__xludf.DUMMYFUNCTION("ARRAYFORMULA(VLOOKUP(A527,IMPORTRANGE(""https://docs.google.com/spreadsheets/d/1BuTWp7qHGjWhqrnf-OmePP568O4A5Am9ttzvVdP67zw/edit#gid=1603210130"", ""TOURISM!$A$2:$F$2692""), {2,3,4,5,6},0))"),"Africa")</f>
        <v>Africa</v>
      </c>
      <c r="L527" s="14">
        <f>IFERROR(__xludf.DUMMYFUNCTION("""COMPUTED_VALUE"""),2.4E7)</f>
        <v>24000000</v>
      </c>
      <c r="M527" s="14" t="str">
        <f>IFERROR(__xludf.DUMMYFUNCTION("""COMPUTED_VALUE"""),"Comoros-Africa")</f>
        <v>Comoros-Africa</v>
      </c>
      <c r="N527" s="14" t="str">
        <f>IFERROR(__xludf.DUMMYFUNCTION("""COMPUTED_VALUE"""),"2005")</f>
        <v>2005</v>
      </c>
      <c r="O527" s="14">
        <f>IFERROR(__xludf.DUMMYFUNCTION("""COMPUTED_VALUE"""),1.0E7)</f>
        <v>10000000</v>
      </c>
      <c r="P527" s="15">
        <f>IFERROR(__xludf.DUMMYFUNCTION("ARRAYFORMULA(VLOOKUP(A527,IMPORTRANGE(""https://docs.google.com/spreadsheets/d/1BuTWp7qHGjWhqrnf-OmePP568O4A5Am9ttzvVdP67zw/edit#gid=771602874"" ,""HUMAN RESOURCES!$A$2:$M$2692""), {2,3,4,5,6,7,8,9,10,11,12,13},0))"),0.039)</f>
        <v>0.039</v>
      </c>
      <c r="Q527" s="14">
        <f>IFERROR(__xludf.DUMMYFUNCTION("""COMPUTED_VALUE"""),0.07)</f>
        <v>0.07</v>
      </c>
      <c r="R527" s="14">
        <f>IFERROR(__xludf.DUMMYFUNCTION("""COMPUTED_VALUE"""),60.0)</f>
        <v>60</v>
      </c>
      <c r="S527" s="14">
        <f>IFERROR(__xludf.DUMMYFUNCTION("""COMPUTED_VALUE"""),58.0)</f>
        <v>58</v>
      </c>
      <c r="T527" s="14">
        <f>IFERROR(__xludf.DUMMYFUNCTION("""COMPUTED_VALUE"""),0.415)</f>
        <v>0.415</v>
      </c>
      <c r="U527" s="14">
        <f>IFERROR(__xludf.DUMMYFUNCTION("""COMPUTED_VALUE"""),0.555)</f>
        <v>0.555</v>
      </c>
      <c r="V527" s="14">
        <f>IFERROR(__xludf.DUMMYFUNCTION("""COMPUTED_VALUE"""),0.03)</f>
        <v>0.03</v>
      </c>
      <c r="W527" s="14">
        <f>IFERROR(__xludf.DUMMYFUNCTION("""COMPUTED_VALUE"""),600733.0)</f>
        <v>600733</v>
      </c>
      <c r="X527" s="14">
        <f>IFERROR(__xludf.DUMMYFUNCTION("""COMPUTED_VALUE"""),0.279)</f>
        <v>0.279</v>
      </c>
      <c r="Y527" s="14" t="str">
        <f>IFERROR(__xludf.DUMMYFUNCTION("""COMPUTED_VALUE"""),"Comoros-Africa")</f>
        <v>Comoros-Africa</v>
      </c>
      <c r="Z527" s="14" t="str">
        <f>IFERROR(__xludf.DUMMYFUNCTION("""COMPUTED_VALUE"""),"Africa")</f>
        <v>Africa</v>
      </c>
      <c r="AA527" s="14" t="str">
        <f>IFERROR(__xludf.DUMMYFUNCTION("""COMPUTED_VALUE"""),"2005")</f>
        <v>2005</v>
      </c>
      <c r="AB527" s="15" t="str">
        <f>IFERROR(__xludf.DUMMYFUNCTION("ARRAYFORMULA(VLOOKUP(A527,IMPORTRANGE(""https://docs.google.com/spreadsheets/d/1BuTWp7qHGjWhqrnf-OmePP568O4A5Am9ttzvVdP67zw/edit#gid=1931367683"" ,""ENERGY!$A$2:$F$2692""), {2,3,4,5,6},0))"),"Africa")</f>
        <v>Africa</v>
      </c>
      <c r="AC527" s="14" t="str">
        <f>IFERROR(__xludf.DUMMYFUNCTION("""COMPUTED_VALUE"""),"Comoros-Africa")</f>
        <v>Comoros-Africa</v>
      </c>
      <c r="AD527" s="14" t="str">
        <f>IFERROR(__xludf.DUMMYFUNCTION("""COMPUTED_VALUE"""),"2006")</f>
        <v>2006</v>
      </c>
      <c r="AE527" s="14">
        <f>IFERROR(__xludf.DUMMYFUNCTION("""COMPUTED_VALUE"""),41.0)</f>
        <v>41</v>
      </c>
      <c r="AF527" s="14">
        <f>IFERROR(__xludf.DUMMYFUNCTION("""COMPUTED_VALUE"""),121.0)</f>
        <v>121</v>
      </c>
    </row>
    <row r="528">
      <c r="A528" s="12">
        <v>527.0</v>
      </c>
      <c r="B528" s="12" t="s">
        <v>119</v>
      </c>
      <c r="C528" s="5" t="s">
        <v>77</v>
      </c>
      <c r="D528" s="11">
        <v>2.179</v>
      </c>
      <c r="E528" s="11">
        <v>22.0</v>
      </c>
      <c r="F528" s="8"/>
      <c r="G528" s="11">
        <v>100.0</v>
      </c>
      <c r="H528" s="11">
        <v>0.022</v>
      </c>
      <c r="I528" s="11">
        <v>0.06</v>
      </c>
      <c r="J528" s="9" t="s">
        <v>67</v>
      </c>
      <c r="K528" s="14" t="str">
        <f>IFERROR(__xludf.DUMMYFUNCTION("ARRAYFORMULA(VLOOKUP(A528,IMPORTRANGE(""https://docs.google.com/spreadsheets/d/1BuTWp7qHGjWhqrnf-OmePP568O4A5Am9ttzvVdP67zw/edit#gid=1603210130"", ""TOURISM!$A$2:$F$2692""), {2,3,4,5,6},0))"),"Africa")</f>
        <v>Africa</v>
      </c>
      <c r="L528" s="14">
        <f>IFERROR(__xludf.DUMMYFUNCTION("""COMPUTED_VALUE"""),2.7E7)</f>
        <v>27000000</v>
      </c>
      <c r="M528" s="14" t="str">
        <f>IFERROR(__xludf.DUMMYFUNCTION("""COMPUTED_VALUE"""),"Comoros-Africa")</f>
        <v>Comoros-Africa</v>
      </c>
      <c r="N528" s="14" t="str">
        <f>IFERROR(__xludf.DUMMYFUNCTION("""COMPUTED_VALUE"""),"2006")</f>
        <v>2006</v>
      </c>
      <c r="O528" s="14">
        <f>IFERROR(__xludf.DUMMYFUNCTION("""COMPUTED_VALUE"""),1.1E7)</f>
        <v>11000000</v>
      </c>
      <c r="P528" s="15">
        <f>IFERROR(__xludf.DUMMYFUNCTION("ARRAYFORMULA(VLOOKUP(A528,IMPORTRANGE(""https://docs.google.com/spreadsheets/d/1BuTWp7qHGjWhqrnf-OmePP568O4A5Am9ttzvVdP67zw/edit#gid=771602874"" ,""HUMAN RESOURCES!$A$2:$M$2692""), {2,3,4,5,6,7,8,9,10,11,12,13},0))"),0.039)</f>
        <v>0.039</v>
      </c>
      <c r="Q528" s="14">
        <f>IFERROR(__xludf.DUMMYFUNCTION("""COMPUTED_VALUE"""),0.069)</f>
        <v>0.069</v>
      </c>
      <c r="R528" s="14">
        <f>IFERROR(__xludf.DUMMYFUNCTION("""COMPUTED_VALUE"""),61.0)</f>
        <v>61</v>
      </c>
      <c r="S528" s="14">
        <f>IFERROR(__xludf.DUMMYFUNCTION("""COMPUTED_VALUE"""),58.0)</f>
        <v>58</v>
      </c>
      <c r="T528" s="14">
        <f>IFERROR(__xludf.DUMMYFUNCTION("""COMPUTED_VALUE"""),0.417)</f>
        <v>0.417</v>
      </c>
      <c r="U528" s="14">
        <f>IFERROR(__xludf.DUMMYFUNCTION("""COMPUTED_VALUE"""),0.553)</f>
        <v>0.553</v>
      </c>
      <c r="V528" s="14">
        <f>IFERROR(__xludf.DUMMYFUNCTION("""COMPUTED_VALUE"""),0.03)</f>
        <v>0.03</v>
      </c>
      <c r="W528" s="14">
        <f>IFERROR(__xludf.DUMMYFUNCTION("""COMPUTED_VALUE"""),616526.0)</f>
        <v>616526</v>
      </c>
      <c r="X528" s="14">
        <f>IFERROR(__xludf.DUMMYFUNCTION("""COMPUTED_VALUE"""),0.279)</f>
        <v>0.279</v>
      </c>
      <c r="Y528" s="14" t="str">
        <f>IFERROR(__xludf.DUMMYFUNCTION("""COMPUTED_VALUE"""),"Comoros-Africa")</f>
        <v>Comoros-Africa</v>
      </c>
      <c r="Z528" s="14" t="str">
        <f>IFERROR(__xludf.DUMMYFUNCTION("""COMPUTED_VALUE"""),"Africa")</f>
        <v>Africa</v>
      </c>
      <c r="AA528" s="14" t="str">
        <f>IFERROR(__xludf.DUMMYFUNCTION("""COMPUTED_VALUE"""),"2006")</f>
        <v>2006</v>
      </c>
      <c r="AB528" s="15" t="str">
        <f>IFERROR(__xludf.DUMMYFUNCTION("ARRAYFORMULA(VLOOKUP(A528,IMPORTRANGE(""https://docs.google.com/spreadsheets/d/1BuTWp7qHGjWhqrnf-OmePP568O4A5Am9ttzvVdP67zw/edit#gid=1931367683"" ,""ENERGY!$A$2:$F$2692""), {2,3,4,5,6},0))"),"Africa")</f>
        <v>Africa</v>
      </c>
      <c r="AC528" s="14" t="str">
        <f>IFERROR(__xludf.DUMMYFUNCTION("""COMPUTED_VALUE"""),"Comoros-Africa")</f>
        <v>Comoros-Africa</v>
      </c>
      <c r="AD528" s="14" t="str">
        <f>IFERROR(__xludf.DUMMYFUNCTION("""COMPUTED_VALUE"""),"2010")</f>
        <v>2010</v>
      </c>
      <c r="AE528" s="14">
        <f>IFERROR(__xludf.DUMMYFUNCTION("""COMPUTED_VALUE"""),42.0)</f>
        <v>42</v>
      </c>
      <c r="AF528" s="14">
        <f>IFERROR(__xludf.DUMMYFUNCTION("""COMPUTED_VALUE"""),121.0)</f>
        <v>121</v>
      </c>
    </row>
    <row r="529">
      <c r="A529" s="12">
        <v>528.0</v>
      </c>
      <c r="B529" s="12" t="s">
        <v>119</v>
      </c>
      <c r="C529" s="5" t="s">
        <v>77</v>
      </c>
      <c r="D529" s="11">
        <v>2.179</v>
      </c>
      <c r="E529" s="11">
        <v>22.0</v>
      </c>
      <c r="F529" s="8"/>
      <c r="G529" s="11">
        <v>100.0</v>
      </c>
      <c r="H529" s="11">
        <v>0.025</v>
      </c>
      <c r="I529" s="11">
        <v>0.098</v>
      </c>
      <c r="J529" s="9" t="s">
        <v>68</v>
      </c>
      <c r="K529" s="14" t="str">
        <f>IFERROR(__xludf.DUMMYFUNCTION("ARRAYFORMULA(VLOOKUP(A529,IMPORTRANGE(""https://docs.google.com/spreadsheets/d/1BuTWp7qHGjWhqrnf-OmePP568O4A5Am9ttzvVdP67zw/edit#gid=1603210130"", ""TOURISM!$A$2:$F$2692""), {2,3,4,5,6},0))"),"Africa")</f>
        <v>Africa</v>
      </c>
      <c r="L529" s="14">
        <f>IFERROR(__xludf.DUMMYFUNCTION("""COMPUTED_VALUE"""),3.0E7)</f>
        <v>30000000</v>
      </c>
      <c r="M529" s="14" t="str">
        <f>IFERROR(__xludf.DUMMYFUNCTION("""COMPUTED_VALUE"""),"Comoros-Africa")</f>
        <v>Comoros-Africa</v>
      </c>
      <c r="N529" s="14" t="str">
        <f>IFERROR(__xludf.DUMMYFUNCTION("""COMPUTED_VALUE"""),"2007")</f>
        <v>2007</v>
      </c>
      <c r="O529" s="14">
        <f>IFERROR(__xludf.DUMMYFUNCTION("""COMPUTED_VALUE"""),1.5E7)</f>
        <v>15000000</v>
      </c>
      <c r="P529" s="15">
        <f>IFERROR(__xludf.DUMMYFUNCTION("ARRAYFORMULA(VLOOKUP(A529,IMPORTRANGE(""https://docs.google.com/spreadsheets/d/1BuTWp7qHGjWhqrnf-OmePP568O4A5Am9ttzvVdP67zw/edit#gid=771602874"" ,""HUMAN RESOURCES!$A$2:$M$2692""), {2,3,4,5,6,7,8,9,10,11,12,13},0))"),0.039)</f>
        <v>0.039</v>
      </c>
      <c r="Q529" s="14">
        <f>IFERROR(__xludf.DUMMYFUNCTION("""COMPUTED_VALUE"""),0.068)</f>
        <v>0.068</v>
      </c>
      <c r="R529" s="14">
        <f>IFERROR(__xludf.DUMMYFUNCTION("""COMPUTED_VALUE"""),61.0)</f>
        <v>61</v>
      </c>
      <c r="S529" s="14">
        <f>IFERROR(__xludf.DUMMYFUNCTION("""COMPUTED_VALUE"""),58.0)</f>
        <v>58</v>
      </c>
      <c r="T529" s="14">
        <f>IFERROR(__xludf.DUMMYFUNCTION("""COMPUTED_VALUE"""),0.418)</f>
        <v>0.418</v>
      </c>
      <c r="U529" s="14">
        <f>IFERROR(__xludf.DUMMYFUNCTION("""COMPUTED_VALUE"""),0.552)</f>
        <v>0.552</v>
      </c>
      <c r="V529" s="14">
        <f>IFERROR(__xludf.DUMMYFUNCTION("""COMPUTED_VALUE"""),0.03)</f>
        <v>0.03</v>
      </c>
      <c r="W529" s="14">
        <f>IFERROR(__xludf.DUMMYFUNCTION("""COMPUTED_VALUE"""),632736.0)</f>
        <v>632736</v>
      </c>
      <c r="X529" s="14">
        <f>IFERROR(__xludf.DUMMYFUNCTION("""COMPUTED_VALUE"""),0.279)</f>
        <v>0.279</v>
      </c>
      <c r="Y529" s="14" t="str">
        <f>IFERROR(__xludf.DUMMYFUNCTION("""COMPUTED_VALUE"""),"Comoros-Africa")</f>
        <v>Comoros-Africa</v>
      </c>
      <c r="Z529" s="14" t="str">
        <f>IFERROR(__xludf.DUMMYFUNCTION("""COMPUTED_VALUE"""),"Africa")</f>
        <v>Africa</v>
      </c>
      <c r="AA529" s="14" t="str">
        <f>IFERROR(__xludf.DUMMYFUNCTION("""COMPUTED_VALUE"""),"2007")</f>
        <v>2007</v>
      </c>
      <c r="AB529" s="15" t="str">
        <f>IFERROR(__xludf.DUMMYFUNCTION("ARRAYFORMULA(VLOOKUP(A529,IMPORTRANGE(""https://docs.google.com/spreadsheets/d/1BuTWp7qHGjWhqrnf-OmePP568O4A5Am9ttzvVdP67zw/edit#gid=1931367683"" ,""ENERGY!$A$2:$F$2692""), {2,3,4,5,6},0))"),"Africa")</f>
        <v>Africa</v>
      </c>
      <c r="AC529" s="14" t="str">
        <f>IFERROR(__xludf.DUMMYFUNCTION("""COMPUTED_VALUE"""),"Comoros-Africa")</f>
        <v>Comoros-Africa</v>
      </c>
      <c r="AD529" s="14" t="str">
        <f>IFERROR(__xludf.DUMMYFUNCTION("""COMPUTED_VALUE"""),"2006")</f>
        <v>2006</v>
      </c>
      <c r="AE529" s="14">
        <f>IFERROR(__xludf.DUMMYFUNCTION("""COMPUTED_VALUE"""),37.0)</f>
        <v>37</v>
      </c>
      <c r="AF529" s="14">
        <f>IFERROR(__xludf.DUMMYFUNCTION("""COMPUTED_VALUE"""),110.0)</f>
        <v>110</v>
      </c>
    </row>
    <row r="530">
      <c r="A530" s="12">
        <v>529.0</v>
      </c>
      <c r="B530" s="12" t="s">
        <v>119</v>
      </c>
      <c r="C530" s="5" t="s">
        <v>77</v>
      </c>
      <c r="D530" s="11">
        <v>2.179</v>
      </c>
      <c r="E530" s="11">
        <v>22.0</v>
      </c>
      <c r="F530" s="8"/>
      <c r="G530" s="11">
        <v>100.0</v>
      </c>
      <c r="H530" s="11">
        <v>0.03</v>
      </c>
      <c r="I530" s="11">
        <v>0.141</v>
      </c>
      <c r="J530" s="9" t="s">
        <v>69</v>
      </c>
      <c r="K530" s="14" t="str">
        <f>IFERROR(__xludf.DUMMYFUNCTION("ARRAYFORMULA(VLOOKUP(A530,IMPORTRANGE(""https://docs.google.com/spreadsheets/d/1BuTWp7qHGjWhqrnf-OmePP568O4A5Am9ttzvVdP67zw/edit#gid=1603210130"", ""TOURISM!$A$2:$F$2692""), {2,3,4,5,6},0))"),"Africa")</f>
        <v>Africa</v>
      </c>
      <c r="L530" s="14">
        <f>IFERROR(__xludf.DUMMYFUNCTION("""COMPUTED_VALUE"""),3.7E7)</f>
        <v>37000000</v>
      </c>
      <c r="M530" s="14" t="str">
        <f>IFERROR(__xludf.DUMMYFUNCTION("""COMPUTED_VALUE"""),"Comoros-Africa")</f>
        <v>Comoros-Africa</v>
      </c>
      <c r="N530" s="14" t="str">
        <f>IFERROR(__xludf.DUMMYFUNCTION("""COMPUTED_VALUE"""),"2008")</f>
        <v>2008</v>
      </c>
      <c r="O530" s="14">
        <f>IFERROR(__xludf.DUMMYFUNCTION("""COMPUTED_VALUE"""),1.5E7)</f>
        <v>15000000</v>
      </c>
      <c r="P530" s="15">
        <f>IFERROR(__xludf.DUMMYFUNCTION("ARRAYFORMULA(VLOOKUP(A530,IMPORTRANGE(""https://docs.google.com/spreadsheets/d/1BuTWp7qHGjWhqrnf-OmePP568O4A5Am9ttzvVdP67zw/edit#gid=771602874"" ,""HUMAN RESOURCES!$A$2:$M$2692""), {2,3,4,5,6,7,8,9,10,11,12,13},0))"),0.038)</f>
        <v>0.038</v>
      </c>
      <c r="Q530" s="14">
        <f>IFERROR(__xludf.DUMMYFUNCTION("""COMPUTED_VALUE"""),0.066)</f>
        <v>0.066</v>
      </c>
      <c r="R530" s="14">
        <f>IFERROR(__xludf.DUMMYFUNCTION("""COMPUTED_VALUE"""),61.0)</f>
        <v>61</v>
      </c>
      <c r="S530" s="14">
        <f>IFERROR(__xludf.DUMMYFUNCTION("""COMPUTED_VALUE"""),58.0)</f>
        <v>58</v>
      </c>
      <c r="T530" s="14">
        <f>IFERROR(__xludf.DUMMYFUNCTION("""COMPUTED_VALUE"""),0.42)</f>
        <v>0.42</v>
      </c>
      <c r="U530" s="14">
        <f>IFERROR(__xludf.DUMMYFUNCTION("""COMPUTED_VALUE"""),0.55)</f>
        <v>0.55</v>
      </c>
      <c r="V530" s="14">
        <f>IFERROR(__xludf.DUMMYFUNCTION("""COMPUTED_VALUE"""),0.03)</f>
        <v>0.03</v>
      </c>
      <c r="W530" s="14">
        <f>IFERROR(__xludf.DUMMYFUNCTION("""COMPUTED_VALUE"""),649291.0)</f>
        <v>649291</v>
      </c>
      <c r="X530" s="14">
        <f>IFERROR(__xludf.DUMMYFUNCTION("""COMPUTED_VALUE"""),0.279)</f>
        <v>0.279</v>
      </c>
      <c r="Y530" s="14" t="str">
        <f>IFERROR(__xludf.DUMMYFUNCTION("""COMPUTED_VALUE"""),"Comoros-Africa")</f>
        <v>Comoros-Africa</v>
      </c>
      <c r="Z530" s="14" t="str">
        <f>IFERROR(__xludf.DUMMYFUNCTION("""COMPUTED_VALUE"""),"Africa")</f>
        <v>Africa</v>
      </c>
      <c r="AA530" s="14" t="str">
        <f>IFERROR(__xludf.DUMMYFUNCTION("""COMPUTED_VALUE"""),"2008")</f>
        <v>2008</v>
      </c>
      <c r="AB530" s="15" t="str">
        <f>IFERROR(__xludf.DUMMYFUNCTION("ARRAYFORMULA(VLOOKUP(A530,IMPORTRANGE(""https://docs.google.com/spreadsheets/d/1BuTWp7qHGjWhqrnf-OmePP568O4A5Am9ttzvVdP67zw/edit#gid=1931367683"" ,""ENERGY!$A$2:$F$2692""), {2,3,4,5,6},0))"),"Africa")</f>
        <v>Africa</v>
      </c>
      <c r="AC530" s="14" t="str">
        <f>IFERROR(__xludf.DUMMYFUNCTION("""COMPUTED_VALUE"""),"Comoros-Africa")</f>
        <v>Comoros-Africa</v>
      </c>
      <c r="AD530" s="14" t="str">
        <f>IFERROR(__xludf.DUMMYFUNCTION("""COMPUTED_VALUE"""),"2005")</f>
        <v>2005</v>
      </c>
      <c r="AE530" s="14">
        <f>IFERROR(__xludf.DUMMYFUNCTION("""COMPUTED_VALUE"""),34.0)</f>
        <v>34</v>
      </c>
      <c r="AF530" s="14">
        <f>IFERROR(__xludf.DUMMYFUNCTION("""COMPUTED_VALUE"""),103.0)</f>
        <v>103</v>
      </c>
    </row>
    <row r="531">
      <c r="A531" s="12">
        <v>530.0</v>
      </c>
      <c r="B531" s="12" t="s">
        <v>119</v>
      </c>
      <c r="C531" s="5" t="s">
        <v>77</v>
      </c>
      <c r="D531" s="11">
        <v>2.179</v>
      </c>
      <c r="E531" s="11">
        <v>22.0</v>
      </c>
      <c r="F531" s="8"/>
      <c r="G531" s="11">
        <v>100.0</v>
      </c>
      <c r="H531" s="11">
        <v>0.035</v>
      </c>
      <c r="I531" s="11">
        <v>0.184</v>
      </c>
      <c r="J531" s="9" t="s">
        <v>70</v>
      </c>
      <c r="K531" s="14" t="str">
        <f>IFERROR(__xludf.DUMMYFUNCTION("ARRAYFORMULA(VLOOKUP(A531,IMPORTRANGE(""https://docs.google.com/spreadsheets/d/1BuTWp7qHGjWhqrnf-OmePP568O4A5Am9ttzvVdP67zw/edit#gid=1603210130"", ""TOURISM!$A$2:$F$2692""), {2,3,4,5,6},0))"),"Africa")</f>
        <v>Africa</v>
      </c>
      <c r="L531" s="14">
        <f>IFERROR(__xludf.DUMMYFUNCTION("""COMPUTED_VALUE"""),3.2E7)</f>
        <v>32000000</v>
      </c>
      <c r="M531" s="14" t="str">
        <f>IFERROR(__xludf.DUMMYFUNCTION("""COMPUTED_VALUE"""),"Comoros-Africa")</f>
        <v>Comoros-Africa</v>
      </c>
      <c r="N531" s="14" t="str">
        <f>IFERROR(__xludf.DUMMYFUNCTION("""COMPUTED_VALUE"""),"2009")</f>
        <v>2009</v>
      </c>
      <c r="O531" s="14">
        <f>IFERROR(__xludf.DUMMYFUNCTION("""COMPUTED_VALUE"""),1.7E7)</f>
        <v>17000000</v>
      </c>
      <c r="P531" s="15">
        <f>IFERROR(__xludf.DUMMYFUNCTION("ARRAYFORMULA(VLOOKUP(A531,IMPORTRANGE(""https://docs.google.com/spreadsheets/d/1BuTWp7qHGjWhqrnf-OmePP568O4A5Am9ttzvVdP67zw/edit#gid=771602874"" ,""HUMAN RESOURCES!$A$2:$M$2692""), {2,3,4,5,6,7,8,9,10,11,12,13},0))"),0.038)</f>
        <v>0.038</v>
      </c>
      <c r="Q531" s="14">
        <f>IFERROR(__xludf.DUMMYFUNCTION("""COMPUTED_VALUE"""),0.065)</f>
        <v>0.065</v>
      </c>
      <c r="R531" s="14">
        <f>IFERROR(__xludf.DUMMYFUNCTION("""COMPUTED_VALUE"""),61.0)</f>
        <v>61</v>
      </c>
      <c r="S531" s="14">
        <f>IFERROR(__xludf.DUMMYFUNCTION("""COMPUTED_VALUE"""),59.0)</f>
        <v>59</v>
      </c>
      <c r="T531" s="14">
        <f>IFERROR(__xludf.DUMMYFUNCTION("""COMPUTED_VALUE"""),0.421)</f>
        <v>0.421</v>
      </c>
      <c r="U531" s="14">
        <f>IFERROR(__xludf.DUMMYFUNCTION("""COMPUTED_VALUE"""),0.549)</f>
        <v>0.549</v>
      </c>
      <c r="V531" s="14">
        <f>IFERROR(__xludf.DUMMYFUNCTION("""COMPUTED_VALUE"""),0.029)</f>
        <v>0.029</v>
      </c>
      <c r="W531" s="14">
        <f>IFERROR(__xludf.DUMMYFUNCTION("""COMPUTED_VALUE"""),666097.0)</f>
        <v>666097</v>
      </c>
      <c r="X531" s="14">
        <f>IFERROR(__xludf.DUMMYFUNCTION("""COMPUTED_VALUE"""),0.279)</f>
        <v>0.279</v>
      </c>
      <c r="Y531" s="14" t="str">
        <f>IFERROR(__xludf.DUMMYFUNCTION("""COMPUTED_VALUE"""),"Comoros-Africa")</f>
        <v>Comoros-Africa</v>
      </c>
      <c r="Z531" s="14" t="str">
        <f>IFERROR(__xludf.DUMMYFUNCTION("""COMPUTED_VALUE"""),"Africa")</f>
        <v>Africa</v>
      </c>
      <c r="AA531" s="14" t="str">
        <f>IFERROR(__xludf.DUMMYFUNCTION("""COMPUTED_VALUE"""),"2009")</f>
        <v>2009</v>
      </c>
      <c r="AB531" s="15" t="str">
        <f>IFERROR(__xludf.DUMMYFUNCTION("ARRAYFORMULA(VLOOKUP(A531,IMPORTRANGE(""https://docs.google.com/spreadsheets/d/1BuTWp7qHGjWhqrnf-OmePP568O4A5Am9ttzvVdP67zw/edit#gid=1931367683"" ,""ENERGY!$A$2:$F$2692""), {2,3,4,5,6},0))"),"Africa")</f>
        <v>Africa</v>
      </c>
      <c r="AC531" s="14" t="str">
        <f>IFERROR(__xludf.DUMMYFUNCTION("""COMPUTED_VALUE"""),"Comoros-Africa")</f>
        <v>Comoros-Africa</v>
      </c>
      <c r="AD531" s="14" t="str">
        <f>IFERROR(__xludf.DUMMYFUNCTION("""COMPUTED_VALUE"""),"2009")</f>
        <v>2009</v>
      </c>
      <c r="AE531" s="14"/>
      <c r="AF531" s="14">
        <f>IFERROR(__xludf.DUMMYFUNCTION("""COMPUTED_VALUE"""),99.0)</f>
        <v>99</v>
      </c>
    </row>
    <row r="532">
      <c r="A532" s="12">
        <v>531.0</v>
      </c>
      <c r="B532" s="12" t="s">
        <v>119</v>
      </c>
      <c r="C532" s="5" t="s">
        <v>77</v>
      </c>
      <c r="D532" s="11">
        <v>2.179</v>
      </c>
      <c r="E532" s="11">
        <v>22.0</v>
      </c>
      <c r="F532" s="8"/>
      <c r="G532" s="11">
        <v>100.0</v>
      </c>
      <c r="H532" s="11">
        <v>0.051</v>
      </c>
      <c r="I532" s="11">
        <v>0.242</v>
      </c>
      <c r="J532" s="9" t="s">
        <v>71</v>
      </c>
      <c r="K532" s="14" t="str">
        <f>IFERROR(__xludf.DUMMYFUNCTION("ARRAYFORMULA(VLOOKUP(A532,IMPORTRANGE(""https://docs.google.com/spreadsheets/d/1BuTWp7qHGjWhqrnf-OmePP568O4A5Am9ttzvVdP67zw/edit#gid=1603210130"", ""TOURISM!$A$2:$F$2692""), {2,3,4,5,6},0))"),"Africa")</f>
        <v>Africa</v>
      </c>
      <c r="L532" s="14">
        <f>IFERROR(__xludf.DUMMYFUNCTION("""COMPUTED_VALUE"""),3.5E7)</f>
        <v>35000000</v>
      </c>
      <c r="M532" s="14" t="str">
        <f>IFERROR(__xludf.DUMMYFUNCTION("""COMPUTED_VALUE"""),"Comoros-Africa")</f>
        <v>Comoros-Africa</v>
      </c>
      <c r="N532" s="14" t="str">
        <f>IFERROR(__xludf.DUMMYFUNCTION("""COMPUTED_VALUE"""),"2010")</f>
        <v>2010</v>
      </c>
      <c r="O532" s="14">
        <f>IFERROR(__xludf.DUMMYFUNCTION("""COMPUTED_VALUE"""),1.9E7)</f>
        <v>19000000</v>
      </c>
      <c r="P532" s="15">
        <f>IFERROR(__xludf.DUMMYFUNCTION("ARRAYFORMULA(VLOOKUP(A532,IMPORTRANGE(""https://docs.google.com/spreadsheets/d/1BuTWp7qHGjWhqrnf-OmePP568O4A5Am9ttzvVdP67zw/edit#gid=771602874"" ,""HUMAN RESOURCES!$A$2:$M$2692""), {2,3,4,5,6,7,8,9,10,11,12,13},0))"),0.037)</f>
        <v>0.037</v>
      </c>
      <c r="Q532" s="14">
        <f>IFERROR(__xludf.DUMMYFUNCTION("""COMPUTED_VALUE"""),0.063)</f>
        <v>0.063</v>
      </c>
      <c r="R532" s="14">
        <f>IFERROR(__xludf.DUMMYFUNCTION("""COMPUTED_VALUE"""),62.0)</f>
        <v>62</v>
      </c>
      <c r="S532" s="14">
        <f>IFERROR(__xludf.DUMMYFUNCTION("""COMPUTED_VALUE"""),59.0)</f>
        <v>59</v>
      </c>
      <c r="T532" s="14">
        <f>IFERROR(__xludf.DUMMYFUNCTION("""COMPUTED_VALUE"""),0.422)</f>
        <v>0.422</v>
      </c>
      <c r="U532" s="14">
        <f>IFERROR(__xludf.DUMMYFUNCTION("""COMPUTED_VALUE"""),0.549)</f>
        <v>0.549</v>
      </c>
      <c r="V532" s="14">
        <f>IFERROR(__xludf.DUMMYFUNCTION("""COMPUTED_VALUE"""),0.029)</f>
        <v>0.029</v>
      </c>
      <c r="W532" s="14">
        <f>IFERROR(__xludf.DUMMYFUNCTION("""COMPUTED_VALUE"""),683081.0)</f>
        <v>683081</v>
      </c>
      <c r="X532" s="14">
        <f>IFERROR(__xludf.DUMMYFUNCTION("""COMPUTED_VALUE"""),0.279)</f>
        <v>0.279</v>
      </c>
      <c r="Y532" s="14" t="str">
        <f>IFERROR(__xludf.DUMMYFUNCTION("""COMPUTED_VALUE"""),"Comoros-Africa")</f>
        <v>Comoros-Africa</v>
      </c>
      <c r="Z532" s="14" t="str">
        <f>IFERROR(__xludf.DUMMYFUNCTION("""COMPUTED_VALUE"""),"Africa")</f>
        <v>Africa</v>
      </c>
      <c r="AA532" s="14" t="str">
        <f>IFERROR(__xludf.DUMMYFUNCTION("""COMPUTED_VALUE"""),"2010")</f>
        <v>2010</v>
      </c>
      <c r="AB532" s="15" t="str">
        <f>IFERROR(__xludf.DUMMYFUNCTION("ARRAYFORMULA(VLOOKUP(A532,IMPORTRANGE(""https://docs.google.com/spreadsheets/d/1BuTWp7qHGjWhqrnf-OmePP568O4A5Am9ttzvVdP67zw/edit#gid=1931367683"" ,""ENERGY!$A$2:$F$2692""), {2,3,4,5,6},0))"),"Africa")</f>
        <v>Africa</v>
      </c>
      <c r="AC532" s="14" t="str">
        <f>IFERROR(__xludf.DUMMYFUNCTION("""COMPUTED_VALUE"""),"Comoros-Africa")</f>
        <v>Comoros-Africa</v>
      </c>
      <c r="AD532" s="14" t="str">
        <f>IFERROR(__xludf.DUMMYFUNCTION("""COMPUTED_VALUE"""),"2007")</f>
        <v>2007</v>
      </c>
      <c r="AE532" s="14"/>
      <c r="AF532" s="14">
        <f>IFERROR(__xludf.DUMMYFUNCTION("""COMPUTED_VALUE"""),92.0)</f>
        <v>92</v>
      </c>
    </row>
    <row r="533">
      <c r="A533" s="12">
        <v>532.0</v>
      </c>
      <c r="B533" s="12" t="s">
        <v>119</v>
      </c>
      <c r="C533" s="5" t="s">
        <v>77</v>
      </c>
      <c r="D533" s="11">
        <v>2.179</v>
      </c>
      <c r="E533" s="11">
        <v>22.0</v>
      </c>
      <c r="F533" s="8"/>
      <c r="G533" s="11">
        <v>100.0</v>
      </c>
      <c r="H533" s="11">
        <v>0.055</v>
      </c>
      <c r="I533" s="11">
        <v>0.309</v>
      </c>
      <c r="J533" s="9" t="s">
        <v>72</v>
      </c>
      <c r="K533" s="14" t="str">
        <f>IFERROR(__xludf.DUMMYFUNCTION("ARRAYFORMULA(VLOOKUP(A533,IMPORTRANGE(""https://docs.google.com/spreadsheets/d/1BuTWp7qHGjWhqrnf-OmePP568O4A5Am9ttzvVdP67zw/edit#gid=1603210130"", ""TOURISM!$A$2:$F$2692""), {2,3,4,5,6},0))"),"Africa")</f>
        <v>Africa</v>
      </c>
      <c r="L533" s="14">
        <f>IFERROR(__xludf.DUMMYFUNCTION("""COMPUTED_VALUE"""),4.2E7)</f>
        <v>42000000</v>
      </c>
      <c r="M533" s="14" t="str">
        <f>IFERROR(__xludf.DUMMYFUNCTION("""COMPUTED_VALUE"""),"Comoros-Africa")</f>
        <v>Comoros-Africa</v>
      </c>
      <c r="N533" s="14" t="str">
        <f>IFERROR(__xludf.DUMMYFUNCTION("""COMPUTED_VALUE"""),"2011")</f>
        <v>2011</v>
      </c>
      <c r="O533" s="14">
        <f>IFERROR(__xludf.DUMMYFUNCTION("""COMPUTED_VALUE"""),2.0E7)</f>
        <v>20000000</v>
      </c>
      <c r="P533" s="15">
        <f>IFERROR(__xludf.DUMMYFUNCTION("ARRAYFORMULA(VLOOKUP(A533,IMPORTRANGE(""https://docs.google.com/spreadsheets/d/1BuTWp7qHGjWhqrnf-OmePP568O4A5Am9ttzvVdP67zw/edit#gid=771602874"" ,""HUMAN RESOURCES!$A$2:$M$2692""), {2,3,4,5,6,7,8,9,10,11,12,13},0))"),0.036)</f>
        <v>0.036</v>
      </c>
      <c r="Q533" s="14">
        <f>IFERROR(__xludf.DUMMYFUNCTION("""COMPUTED_VALUE"""),0.061)</f>
        <v>0.061</v>
      </c>
      <c r="R533" s="14">
        <f>IFERROR(__xludf.DUMMYFUNCTION("""COMPUTED_VALUE"""),62.0)</f>
        <v>62</v>
      </c>
      <c r="S533" s="14">
        <f>IFERROR(__xludf.DUMMYFUNCTION("""COMPUTED_VALUE"""),59.0)</f>
        <v>59</v>
      </c>
      <c r="T533" s="14">
        <f>IFERROR(__xludf.DUMMYFUNCTION("""COMPUTED_VALUE"""),0.422)</f>
        <v>0.422</v>
      </c>
      <c r="U533" s="14">
        <f>IFERROR(__xludf.DUMMYFUNCTION("""COMPUTED_VALUE"""),0.549)</f>
        <v>0.549</v>
      </c>
      <c r="V533" s="14">
        <f>IFERROR(__xludf.DUMMYFUNCTION("""COMPUTED_VALUE"""),0.029)</f>
        <v>0.029</v>
      </c>
      <c r="W533" s="14">
        <f>IFERROR(__xludf.DUMMYFUNCTION("""COMPUTED_VALUE"""),700216.0)</f>
        <v>700216</v>
      </c>
      <c r="X533" s="14">
        <f>IFERROR(__xludf.DUMMYFUNCTION("""COMPUTED_VALUE"""),0.28)</f>
        <v>0.28</v>
      </c>
      <c r="Y533" s="14" t="str">
        <f>IFERROR(__xludf.DUMMYFUNCTION("""COMPUTED_VALUE"""),"Comoros-Africa")</f>
        <v>Comoros-Africa</v>
      </c>
      <c r="Z533" s="14" t="str">
        <f>IFERROR(__xludf.DUMMYFUNCTION("""COMPUTED_VALUE"""),"Africa")</f>
        <v>Africa</v>
      </c>
      <c r="AA533" s="14" t="str">
        <f>IFERROR(__xludf.DUMMYFUNCTION("""COMPUTED_VALUE"""),"2011")</f>
        <v>2011</v>
      </c>
      <c r="AB533" s="15" t="str">
        <f>IFERROR(__xludf.DUMMYFUNCTION("ARRAYFORMULA(VLOOKUP(A533,IMPORTRANGE(""https://docs.google.com/spreadsheets/d/1BuTWp7qHGjWhqrnf-OmePP568O4A5Am9ttzvVdP67zw/edit#gid=1931367683"" ,""ENERGY!$A$2:$F$2692""), {2,3,4,5,6},0))"),"Africa")</f>
        <v>Africa</v>
      </c>
      <c r="AC533" s="14" t="str">
        <f>IFERROR(__xludf.DUMMYFUNCTION("""COMPUTED_VALUE"""),"Comoros-Africa")</f>
        <v>Comoros-Africa</v>
      </c>
      <c r="AD533" s="14" t="str">
        <f>IFERROR(__xludf.DUMMYFUNCTION("""COMPUTED_VALUE"""),"2004")</f>
        <v>2004</v>
      </c>
      <c r="AE533" s="14"/>
      <c r="AF533" s="14">
        <f>IFERROR(__xludf.DUMMYFUNCTION("""COMPUTED_VALUE"""),88.0)</f>
        <v>88</v>
      </c>
    </row>
    <row r="534">
      <c r="A534" s="12">
        <v>533.0</v>
      </c>
      <c r="B534" s="12" t="s">
        <v>119</v>
      </c>
      <c r="C534" s="5" t="s">
        <v>77</v>
      </c>
      <c r="D534" s="11">
        <v>2.179</v>
      </c>
      <c r="E534" s="11">
        <v>20.0</v>
      </c>
      <c r="F534" s="11">
        <v>160.0</v>
      </c>
      <c r="G534" s="11">
        <v>100.0</v>
      </c>
      <c r="H534" s="11">
        <v>0.06</v>
      </c>
      <c r="I534" s="11">
        <v>0.395</v>
      </c>
      <c r="J534" s="9" t="s">
        <v>73</v>
      </c>
      <c r="K534" s="14" t="str">
        <f>IFERROR(__xludf.DUMMYFUNCTION("ARRAYFORMULA(VLOOKUP(A534,IMPORTRANGE(""https://docs.google.com/spreadsheets/d/1BuTWp7qHGjWhqrnf-OmePP568O4A5Am9ttzvVdP67zw/edit#gid=1603210130"", ""TOURISM!$A$2:$F$2692""), {2,3,4,5,6},0))"),"Africa")</f>
        <v>Africa</v>
      </c>
      <c r="L534" s="14"/>
      <c r="M534" s="14" t="str">
        <f>IFERROR(__xludf.DUMMYFUNCTION("""COMPUTED_VALUE"""),"Comoros-Africa")</f>
        <v>Comoros-Africa</v>
      </c>
      <c r="N534" s="14" t="str">
        <f>IFERROR(__xludf.DUMMYFUNCTION("""COMPUTED_VALUE"""),"2012")</f>
        <v>2012</v>
      </c>
      <c r="O534" s="14"/>
      <c r="P534" s="15">
        <f>IFERROR(__xludf.DUMMYFUNCTION("ARRAYFORMULA(VLOOKUP(A534,IMPORTRANGE(""https://docs.google.com/spreadsheets/d/1BuTWp7qHGjWhqrnf-OmePP568O4A5Am9ttzvVdP67zw/edit#gid=771602874"" ,""HUMAN RESOURCES!$A$2:$M$2692""), {2,3,4,5,6,7,8,9,10,11,12,13},0))"),0.036)</f>
        <v>0.036</v>
      </c>
      <c r="Q534" s="14">
        <f>IFERROR(__xludf.DUMMYFUNCTION("""COMPUTED_VALUE"""),0.059)</f>
        <v>0.059</v>
      </c>
      <c r="R534" s="14">
        <f>IFERROR(__xludf.DUMMYFUNCTION("""COMPUTED_VALUE"""),62.0)</f>
        <v>62</v>
      </c>
      <c r="S534" s="14">
        <f>IFERROR(__xludf.DUMMYFUNCTION("""COMPUTED_VALUE"""),59.0)</f>
        <v>59</v>
      </c>
      <c r="T534" s="14">
        <f>IFERROR(__xludf.DUMMYFUNCTION("""COMPUTED_VALUE"""),0.422)</f>
        <v>0.422</v>
      </c>
      <c r="U534" s="14">
        <f>IFERROR(__xludf.DUMMYFUNCTION("""COMPUTED_VALUE"""),0.55)</f>
        <v>0.55</v>
      </c>
      <c r="V534" s="14">
        <f>IFERROR(__xludf.DUMMYFUNCTION("""COMPUTED_VALUE"""),0.029)</f>
        <v>0.029</v>
      </c>
      <c r="W534" s="14">
        <f>IFERROR(__xludf.DUMMYFUNCTION("""COMPUTED_VALUE"""),717503.0)</f>
        <v>717503</v>
      </c>
      <c r="X534" s="14">
        <f>IFERROR(__xludf.DUMMYFUNCTION("""COMPUTED_VALUE"""),0.28)</f>
        <v>0.28</v>
      </c>
      <c r="Y534" s="14" t="str">
        <f>IFERROR(__xludf.DUMMYFUNCTION("""COMPUTED_VALUE"""),"Comoros-Africa")</f>
        <v>Comoros-Africa</v>
      </c>
      <c r="Z534" s="14" t="str">
        <f>IFERROR(__xludf.DUMMYFUNCTION("""COMPUTED_VALUE"""),"Africa")</f>
        <v>Africa</v>
      </c>
      <c r="AA534" s="14" t="str">
        <f>IFERROR(__xludf.DUMMYFUNCTION("""COMPUTED_VALUE"""),"2012")</f>
        <v>2012</v>
      </c>
      <c r="AB534" s="15" t="str">
        <f>IFERROR(__xludf.DUMMYFUNCTION("ARRAYFORMULA(VLOOKUP(A534,IMPORTRANGE(""https://docs.google.com/spreadsheets/d/1BuTWp7qHGjWhqrnf-OmePP568O4A5Am9ttzvVdP67zw/edit#gid=1931367683"" ,""ENERGY!$A$2:$F$2692""), {2,3,4,5,6},0))"),"Africa")</f>
        <v>Africa</v>
      </c>
      <c r="AC534" s="14" t="str">
        <f>IFERROR(__xludf.DUMMYFUNCTION("""COMPUTED_VALUE"""),"Comoros-Africa")</f>
        <v>Comoros-Africa</v>
      </c>
      <c r="AD534" s="14" t="str">
        <f>IFERROR(__xludf.DUMMYFUNCTION("""COMPUTED_VALUE"""),"2009")</f>
        <v>2009</v>
      </c>
      <c r="AE534" s="14"/>
      <c r="AF534" s="14">
        <f>IFERROR(__xludf.DUMMYFUNCTION("""COMPUTED_VALUE"""),84.0)</f>
        <v>84</v>
      </c>
    </row>
    <row r="535">
      <c r="A535" s="12">
        <v>534.0</v>
      </c>
      <c r="B535" s="12" t="s">
        <v>120</v>
      </c>
      <c r="C535" s="5" t="s">
        <v>77</v>
      </c>
      <c r="D535" s="8"/>
      <c r="E535" s="8"/>
      <c r="F535" s="8"/>
      <c r="G535" s="8"/>
      <c r="H535" s="11">
        <v>0.0</v>
      </c>
      <c r="I535" s="11">
        <v>0.022</v>
      </c>
      <c r="J535" s="9" t="s">
        <v>60</v>
      </c>
      <c r="K535" s="14" t="str">
        <f>IFERROR(__xludf.DUMMYFUNCTION("ARRAYFORMULA(VLOOKUP(A535,IMPORTRANGE(""https://docs.google.com/spreadsheets/d/1BuTWp7qHGjWhqrnf-OmePP568O4A5Am9ttzvVdP67zw/edit#gid=1603210130"", ""TOURISM!$A$2:$F$2692""), {2,3,4,5,6},0))"),"Africa")</f>
        <v>Africa</v>
      </c>
      <c r="L535" s="14">
        <f>IFERROR(__xludf.DUMMYFUNCTION("""COMPUTED_VALUE"""),1.24E7)</f>
        <v>12400000</v>
      </c>
      <c r="M535" s="14" t="str">
        <f>IFERROR(__xludf.DUMMYFUNCTION("""COMPUTED_VALUE"""),"Congo (Brazzaville)-Africa")</f>
        <v>Congo (Brazzaville)-Africa</v>
      </c>
      <c r="N535" s="14" t="str">
        <f>IFERROR(__xludf.DUMMYFUNCTION("""COMPUTED_VALUE"""),"2000")</f>
        <v>2000</v>
      </c>
      <c r="O535" s="14">
        <f>IFERROR(__xludf.DUMMYFUNCTION("""COMPUTED_VALUE"""),5.9E7)</f>
        <v>59000000</v>
      </c>
      <c r="P535" s="15">
        <f>IFERROR(__xludf.DUMMYFUNCTION("ARRAYFORMULA(VLOOKUP(A535,IMPORTRANGE(""https://docs.google.com/spreadsheets/d/1BuTWp7qHGjWhqrnf-OmePP568O4A5Am9ttzvVdP67zw/edit#gid=771602874"" ,""HUMAN RESOURCES!$A$2:$M$2692""), {2,3,4,5,6,7,8,9,10,11,12,13},0))"),0.039)</f>
        <v>0.039</v>
      </c>
      <c r="Q535" s="14">
        <f>IFERROR(__xludf.DUMMYFUNCTION("""COMPUTED_VALUE"""),0.077)</f>
        <v>0.077</v>
      </c>
      <c r="R535" s="14">
        <f>IFERROR(__xludf.DUMMYFUNCTION("""COMPUTED_VALUE"""),53.0)</f>
        <v>53</v>
      </c>
      <c r="S535" s="14">
        <f>IFERROR(__xludf.DUMMYFUNCTION("""COMPUTED_VALUE"""),51.0)</f>
        <v>51</v>
      </c>
      <c r="T535" s="14">
        <f>IFERROR(__xludf.DUMMYFUNCTION("""COMPUTED_VALUE"""),0.419)</f>
        <v>0.419</v>
      </c>
      <c r="U535" s="14">
        <f>IFERROR(__xludf.DUMMYFUNCTION("""COMPUTED_VALUE"""),0.545)</f>
        <v>0.545</v>
      </c>
      <c r="V535" s="14">
        <f>IFERROR(__xludf.DUMMYFUNCTION("""COMPUTED_VALUE"""),0.036)</f>
        <v>0.036</v>
      </c>
      <c r="W535" s="14">
        <f>IFERROR(__xludf.DUMMYFUNCTION("""COMPUTED_VALUE"""),3126204.0)</f>
        <v>3126204</v>
      </c>
      <c r="X535" s="14">
        <f>IFERROR(__xludf.DUMMYFUNCTION("""COMPUTED_VALUE"""),0.587)</f>
        <v>0.587</v>
      </c>
      <c r="Y535" s="14" t="str">
        <f>IFERROR(__xludf.DUMMYFUNCTION("""COMPUTED_VALUE"""),"Congo (Brazzaville)-Africa")</f>
        <v>Congo (Brazzaville)-Africa</v>
      </c>
      <c r="Z535" s="14" t="str">
        <f>IFERROR(__xludf.DUMMYFUNCTION("""COMPUTED_VALUE"""),"Africa")</f>
        <v>Africa</v>
      </c>
      <c r="AA535" s="14" t="str">
        <f>IFERROR(__xludf.DUMMYFUNCTION("""COMPUTED_VALUE"""),"2000")</f>
        <v>2000</v>
      </c>
      <c r="AB535" s="15" t="str">
        <f>IFERROR(__xludf.DUMMYFUNCTION("ARRAYFORMULA(VLOOKUP(A535,IMPORTRANGE(""https://docs.google.com/spreadsheets/d/1BuTWp7qHGjWhqrnf-OmePP568O4A5Am9ttzvVdP67zw/edit#gid=1931367683"" ,""ENERGY!$A$2:$F$2692""), {2,3,4,5,6},0))"),"Africa")</f>
        <v>Africa</v>
      </c>
      <c r="AC535" s="14" t="str">
        <f>IFERROR(__xludf.DUMMYFUNCTION("""COMPUTED_VALUE"""),"Congo (Brazzaville)-Africa")</f>
        <v>Congo (Brazzaville)-Africa</v>
      </c>
      <c r="AD535" s="14" t="str">
        <f>IFERROR(__xludf.DUMMYFUNCTION("""COMPUTED_VALUE"""),"2000")</f>
        <v>2000</v>
      </c>
      <c r="AE535" s="14"/>
      <c r="AF535" s="14"/>
    </row>
    <row r="536">
      <c r="A536" s="12">
        <v>535.0</v>
      </c>
      <c r="B536" s="12" t="s">
        <v>120</v>
      </c>
      <c r="C536" s="5" t="s">
        <v>77</v>
      </c>
      <c r="D536" s="8"/>
      <c r="E536" s="8"/>
      <c r="F536" s="8"/>
      <c r="G536" s="8"/>
      <c r="H536" s="11">
        <v>0.0</v>
      </c>
      <c r="I536" s="11">
        <v>0.047</v>
      </c>
      <c r="J536" s="9" t="s">
        <v>62</v>
      </c>
      <c r="K536" s="14" t="str">
        <f>IFERROR(__xludf.DUMMYFUNCTION("ARRAYFORMULA(VLOOKUP(A536,IMPORTRANGE(""https://docs.google.com/spreadsheets/d/1BuTWp7qHGjWhqrnf-OmePP568O4A5Am9ttzvVdP67zw/edit#gid=1603210130"", ""TOURISM!$A$2:$F$2692""), {2,3,4,5,6},0))"),"Africa")</f>
        <v>Africa</v>
      </c>
      <c r="L536" s="14">
        <f>IFERROR(__xludf.DUMMYFUNCTION("""COMPUTED_VALUE"""),2.26E7)</f>
        <v>22600000</v>
      </c>
      <c r="M536" s="14" t="str">
        <f>IFERROR(__xludf.DUMMYFUNCTION("""COMPUTED_VALUE"""),"Congo (Brazzaville)-Africa")</f>
        <v>Congo (Brazzaville)-Africa</v>
      </c>
      <c r="N536" s="14" t="str">
        <f>IFERROR(__xludf.DUMMYFUNCTION("""COMPUTED_VALUE"""),"2001")</f>
        <v>2001</v>
      </c>
      <c r="O536" s="14">
        <f>IFERROR(__xludf.DUMMYFUNCTION("""COMPUTED_VALUE"""),8.2E7)</f>
        <v>82000000</v>
      </c>
      <c r="P536" s="15">
        <f>IFERROR(__xludf.DUMMYFUNCTION("ARRAYFORMULA(VLOOKUP(A536,IMPORTRANGE(""https://docs.google.com/spreadsheets/d/1BuTWp7qHGjWhqrnf-OmePP568O4A5Am9ttzvVdP67zw/edit#gid=771602874"" ,""HUMAN RESOURCES!$A$2:$M$2692""), {2,3,4,5,6,7,8,9,10,11,12,13},0))"),0.039)</f>
        <v>0.039</v>
      </c>
      <c r="Q536" s="14">
        <f>IFERROR(__xludf.DUMMYFUNCTION("""COMPUTED_VALUE"""),0.075)</f>
        <v>0.075</v>
      </c>
      <c r="R536" s="14">
        <f>IFERROR(__xludf.DUMMYFUNCTION("""COMPUTED_VALUE"""),54.0)</f>
        <v>54</v>
      </c>
      <c r="S536" s="14">
        <f>IFERROR(__xludf.DUMMYFUNCTION("""COMPUTED_VALUE"""),51.0)</f>
        <v>51</v>
      </c>
      <c r="T536" s="14">
        <f>IFERROR(__xludf.DUMMYFUNCTION("""COMPUTED_VALUE"""),0.419)</f>
        <v>0.419</v>
      </c>
      <c r="U536" s="14">
        <f>IFERROR(__xludf.DUMMYFUNCTION("""COMPUTED_VALUE"""),0.545)</f>
        <v>0.545</v>
      </c>
      <c r="V536" s="14">
        <f>IFERROR(__xludf.DUMMYFUNCTION("""COMPUTED_VALUE"""),0.036)</f>
        <v>0.036</v>
      </c>
      <c r="W536" s="14">
        <f>IFERROR(__xludf.DUMMYFUNCTION("""COMPUTED_VALUE"""),3205636.0)</f>
        <v>3205636</v>
      </c>
      <c r="X536" s="14">
        <f>IFERROR(__xludf.DUMMYFUNCTION("""COMPUTED_VALUE"""),0.592)</f>
        <v>0.592</v>
      </c>
      <c r="Y536" s="14" t="str">
        <f>IFERROR(__xludf.DUMMYFUNCTION("""COMPUTED_VALUE"""),"Congo (Brazzaville)-Africa")</f>
        <v>Congo (Brazzaville)-Africa</v>
      </c>
      <c r="Z536" s="14" t="str">
        <f>IFERROR(__xludf.DUMMYFUNCTION("""COMPUTED_VALUE"""),"Africa")</f>
        <v>Africa</v>
      </c>
      <c r="AA536" s="14" t="str">
        <f>IFERROR(__xludf.DUMMYFUNCTION("""COMPUTED_VALUE"""),"2001")</f>
        <v>2001</v>
      </c>
      <c r="AB536" s="15" t="str">
        <f>IFERROR(__xludf.DUMMYFUNCTION("ARRAYFORMULA(VLOOKUP(A536,IMPORTRANGE(""https://docs.google.com/spreadsheets/d/1BuTWp7qHGjWhqrnf-OmePP568O4A5Am9ttzvVdP67zw/edit#gid=1931367683"" ,""ENERGY!$A$2:$F$2692""), {2,3,4,5,6},0))"),"Africa")</f>
        <v>Africa</v>
      </c>
      <c r="AC536" s="14" t="str">
        <f>IFERROR(__xludf.DUMMYFUNCTION("""COMPUTED_VALUE"""),"Congo (Brazzaville)-Africa")</f>
        <v>Congo (Brazzaville)-Africa</v>
      </c>
      <c r="AD536" s="14" t="str">
        <f>IFERROR(__xludf.DUMMYFUNCTION("""COMPUTED_VALUE"""),"2001")</f>
        <v>2001</v>
      </c>
      <c r="AE536" s="14">
        <f>IFERROR(__xludf.DUMMYFUNCTION("""COMPUTED_VALUE"""),1659.0)</f>
        <v>1659</v>
      </c>
      <c r="AF536" s="14"/>
    </row>
    <row r="537">
      <c r="A537" s="12">
        <v>536.0</v>
      </c>
      <c r="B537" s="12" t="s">
        <v>120</v>
      </c>
      <c r="C537" s="5" t="s">
        <v>77</v>
      </c>
      <c r="D537" s="8"/>
      <c r="E537" s="8"/>
      <c r="F537" s="8"/>
      <c r="G537" s="8"/>
      <c r="H537" s="11">
        <v>0.002</v>
      </c>
      <c r="I537" s="11">
        <v>0.068</v>
      </c>
      <c r="J537" s="9" t="s">
        <v>63</v>
      </c>
      <c r="K537" s="14" t="str">
        <f>IFERROR(__xludf.DUMMYFUNCTION("ARRAYFORMULA(VLOOKUP(A537,IMPORTRANGE(""https://docs.google.com/spreadsheets/d/1BuTWp7qHGjWhqrnf-OmePP568O4A5Am9ttzvVdP67zw/edit#gid=1603210130"", ""TOURISM!$A$2:$F$2692""), {2,3,4,5,6},0))"),"Africa")</f>
        <v>Africa</v>
      </c>
      <c r="L537" s="14">
        <f>IFERROR(__xludf.DUMMYFUNCTION("""COMPUTED_VALUE"""),2.56E7)</f>
        <v>25600000</v>
      </c>
      <c r="M537" s="14" t="str">
        <f>IFERROR(__xludf.DUMMYFUNCTION("""COMPUTED_VALUE"""),"Congo (Brazzaville)-Africa")</f>
        <v>Congo (Brazzaville)-Africa</v>
      </c>
      <c r="N537" s="14" t="str">
        <f>IFERROR(__xludf.DUMMYFUNCTION("""COMPUTED_VALUE"""),"2002")</f>
        <v>2002</v>
      </c>
      <c r="O537" s="14">
        <f>IFERROR(__xludf.DUMMYFUNCTION("""COMPUTED_VALUE"""),8.5E7)</f>
        <v>85000000</v>
      </c>
      <c r="P537" s="15">
        <f>IFERROR(__xludf.DUMMYFUNCTION("ARRAYFORMULA(VLOOKUP(A537,IMPORTRANGE(""https://docs.google.com/spreadsheets/d/1BuTWp7qHGjWhqrnf-OmePP568O4A5Am9ttzvVdP67zw/edit#gid=771602874"" ,""HUMAN RESOURCES!$A$2:$M$2692""), {2,3,4,5,6,7,8,9,10,11,12,13},0))"),0.039)</f>
        <v>0.039</v>
      </c>
      <c r="Q537" s="14">
        <f>IFERROR(__xludf.DUMMYFUNCTION("""COMPUTED_VALUE"""),0.073)</f>
        <v>0.073</v>
      </c>
      <c r="R537" s="14">
        <f>IFERROR(__xludf.DUMMYFUNCTION("""COMPUTED_VALUE"""),54.0)</f>
        <v>54</v>
      </c>
      <c r="S537" s="14">
        <f>IFERROR(__xludf.DUMMYFUNCTION("""COMPUTED_VALUE"""),52.0)</f>
        <v>52</v>
      </c>
      <c r="T537" s="14">
        <f>IFERROR(__xludf.DUMMYFUNCTION("""COMPUTED_VALUE"""),0.42)</f>
        <v>0.42</v>
      </c>
      <c r="U537" s="14">
        <f>IFERROR(__xludf.DUMMYFUNCTION("""COMPUTED_VALUE"""),0.545)</f>
        <v>0.545</v>
      </c>
      <c r="V537" s="14">
        <f>IFERROR(__xludf.DUMMYFUNCTION("""COMPUTED_VALUE"""),0.036)</f>
        <v>0.036</v>
      </c>
      <c r="W537" s="14">
        <f>IFERROR(__xludf.DUMMYFUNCTION("""COMPUTED_VALUE"""),3283719.0)</f>
        <v>3283719</v>
      </c>
      <c r="X537" s="14">
        <f>IFERROR(__xludf.DUMMYFUNCTION("""COMPUTED_VALUE"""),0.596)</f>
        <v>0.596</v>
      </c>
      <c r="Y537" s="14" t="str">
        <f>IFERROR(__xludf.DUMMYFUNCTION("""COMPUTED_VALUE"""),"Congo (Brazzaville)-Africa")</f>
        <v>Congo (Brazzaville)-Africa</v>
      </c>
      <c r="Z537" s="14" t="str">
        <f>IFERROR(__xludf.DUMMYFUNCTION("""COMPUTED_VALUE"""),"Africa")</f>
        <v>Africa</v>
      </c>
      <c r="AA537" s="14" t="str">
        <f>IFERROR(__xludf.DUMMYFUNCTION("""COMPUTED_VALUE"""),"2002")</f>
        <v>2002</v>
      </c>
      <c r="AB537" s="15" t="str">
        <f>IFERROR(__xludf.DUMMYFUNCTION("ARRAYFORMULA(VLOOKUP(A537,IMPORTRANGE(""https://docs.google.com/spreadsheets/d/1BuTWp7qHGjWhqrnf-OmePP568O4A5Am9ttzvVdP67zw/edit#gid=1931367683"" ,""ENERGY!$A$2:$F$2692""), {2,3,4,5,6},0))"),"Africa")</f>
        <v>Africa</v>
      </c>
      <c r="AC537" s="14" t="str">
        <f>IFERROR(__xludf.DUMMYFUNCTION("""COMPUTED_VALUE"""),"Congo (Brazzaville)-Africa")</f>
        <v>Congo (Brazzaville)-Africa</v>
      </c>
      <c r="AD537" s="14" t="str">
        <f>IFERROR(__xludf.DUMMYFUNCTION("""COMPUTED_VALUE"""),"2002")</f>
        <v>2002</v>
      </c>
      <c r="AE537" s="14">
        <f>IFERROR(__xludf.DUMMYFUNCTION("""COMPUTED_VALUE"""),1511.0)</f>
        <v>1511</v>
      </c>
      <c r="AF537" s="14">
        <f>IFERROR(__xludf.DUMMYFUNCTION("""COMPUTED_VALUE"""),2028.0)</f>
        <v>2028</v>
      </c>
    </row>
    <row r="538">
      <c r="A538" s="12">
        <v>537.0</v>
      </c>
      <c r="B538" s="12" t="s">
        <v>120</v>
      </c>
      <c r="C538" s="5" t="s">
        <v>77</v>
      </c>
      <c r="D538" s="8"/>
      <c r="E538" s="11">
        <v>37.0</v>
      </c>
      <c r="F538" s="8"/>
      <c r="G538" s="8"/>
      <c r="H538" s="11">
        <v>0.005</v>
      </c>
      <c r="I538" s="11">
        <v>0.098</v>
      </c>
      <c r="J538" s="9" t="s">
        <v>64</v>
      </c>
      <c r="K538" s="14" t="str">
        <f>IFERROR(__xludf.DUMMYFUNCTION("ARRAYFORMULA(VLOOKUP(A538,IMPORTRANGE(""https://docs.google.com/spreadsheets/d/1BuTWp7qHGjWhqrnf-OmePP568O4A5Am9ttzvVdP67zw/edit#gid=1603210130"", ""TOURISM!$A$2:$F$2692""), {2,3,4,5,6},0))"),"Africa")</f>
        <v>Africa</v>
      </c>
      <c r="L538" s="14">
        <f>IFERROR(__xludf.DUMMYFUNCTION("""COMPUTED_VALUE"""),3.0E7)</f>
        <v>30000000</v>
      </c>
      <c r="M538" s="14" t="str">
        <f>IFERROR(__xludf.DUMMYFUNCTION("""COMPUTED_VALUE"""),"Congo (Brazzaville)-Africa")</f>
        <v>Congo (Brazzaville)-Africa</v>
      </c>
      <c r="N538" s="14" t="str">
        <f>IFERROR(__xludf.DUMMYFUNCTION("""COMPUTED_VALUE"""),"2003")</f>
        <v>2003</v>
      </c>
      <c r="O538" s="14">
        <f>IFERROR(__xludf.DUMMYFUNCTION("""COMPUTED_VALUE"""),1.18E8)</f>
        <v>118000000</v>
      </c>
      <c r="P538" s="15">
        <f>IFERROR(__xludf.DUMMYFUNCTION("ARRAYFORMULA(VLOOKUP(A538,IMPORTRANGE(""https://docs.google.com/spreadsheets/d/1BuTWp7qHGjWhqrnf-OmePP568O4A5Am9ttzvVdP67zw/edit#gid=771602874"" ,""HUMAN RESOURCES!$A$2:$M$2692""), {2,3,4,5,6,7,8,9,10,11,12,13},0))"),0.039)</f>
        <v>0.039</v>
      </c>
      <c r="Q538" s="14">
        <f>IFERROR(__xludf.DUMMYFUNCTION("""COMPUTED_VALUE"""),0.07)</f>
        <v>0.07</v>
      </c>
      <c r="R538" s="14">
        <f>IFERROR(__xludf.DUMMYFUNCTION("""COMPUTED_VALUE"""),54.0)</f>
        <v>54</v>
      </c>
      <c r="S538" s="14">
        <f>IFERROR(__xludf.DUMMYFUNCTION("""COMPUTED_VALUE"""),52.0)</f>
        <v>52</v>
      </c>
      <c r="T538" s="14">
        <f>IFERROR(__xludf.DUMMYFUNCTION("""COMPUTED_VALUE"""),0.421)</f>
        <v>0.421</v>
      </c>
      <c r="U538" s="14">
        <f>IFERROR(__xludf.DUMMYFUNCTION("""COMPUTED_VALUE"""),0.544)</f>
        <v>0.544</v>
      </c>
      <c r="V538" s="14">
        <f>IFERROR(__xludf.DUMMYFUNCTION("""COMPUTED_VALUE"""),0.036)</f>
        <v>0.036</v>
      </c>
      <c r="W538" s="14">
        <f>IFERROR(__xludf.DUMMYFUNCTION("""COMPUTED_VALUE"""),3363418.0)</f>
        <v>3363418</v>
      </c>
      <c r="X538" s="14">
        <f>IFERROR(__xludf.DUMMYFUNCTION("""COMPUTED_VALUE"""),0.601)</f>
        <v>0.601</v>
      </c>
      <c r="Y538" s="14" t="str">
        <f>IFERROR(__xludf.DUMMYFUNCTION("""COMPUTED_VALUE"""),"Congo (Brazzaville)-Africa")</f>
        <v>Congo (Brazzaville)-Africa</v>
      </c>
      <c r="Z538" s="14" t="str">
        <f>IFERROR(__xludf.DUMMYFUNCTION("""COMPUTED_VALUE"""),"Africa")</f>
        <v>Africa</v>
      </c>
      <c r="AA538" s="14" t="str">
        <f>IFERROR(__xludf.DUMMYFUNCTION("""COMPUTED_VALUE"""),"2003")</f>
        <v>2003</v>
      </c>
      <c r="AB538" s="15" t="str">
        <f>IFERROR(__xludf.DUMMYFUNCTION("ARRAYFORMULA(VLOOKUP(A538,IMPORTRANGE(""https://docs.google.com/spreadsheets/d/1BuTWp7qHGjWhqrnf-OmePP568O4A5Am9ttzvVdP67zw/edit#gid=1931367683"" ,""ENERGY!$A$2:$F$2692""), {2,3,4,5,6},0))"),"Africa")</f>
        <v>Africa</v>
      </c>
      <c r="AC538" s="14" t="str">
        <f>IFERROR(__xludf.DUMMYFUNCTION("""COMPUTED_VALUE"""),"Congo (Brazzaville)-Africa")</f>
        <v>Congo (Brazzaville)-Africa</v>
      </c>
      <c r="AD538" s="14" t="str">
        <f>IFERROR(__xludf.DUMMYFUNCTION("""COMPUTED_VALUE"""),"2003")</f>
        <v>2003</v>
      </c>
      <c r="AE538" s="14">
        <f>IFERROR(__xludf.DUMMYFUNCTION("""COMPUTED_VALUE"""),1416.0)</f>
        <v>1416</v>
      </c>
      <c r="AF538" s="14">
        <f>IFERROR(__xludf.DUMMYFUNCTION("""COMPUTED_VALUE"""),1885.0)</f>
        <v>1885</v>
      </c>
    </row>
    <row r="539">
      <c r="A539" s="12">
        <v>538.0</v>
      </c>
      <c r="B539" s="12" t="s">
        <v>120</v>
      </c>
      <c r="C539" s="5" t="s">
        <v>77</v>
      </c>
      <c r="D539" s="8"/>
      <c r="E539" s="11">
        <v>37.0</v>
      </c>
      <c r="F539" s="8"/>
      <c r="G539" s="8"/>
      <c r="H539" s="11">
        <v>0.011</v>
      </c>
      <c r="I539" s="11">
        <v>0.111</v>
      </c>
      <c r="J539" s="9" t="s">
        <v>65</v>
      </c>
      <c r="K539" s="14" t="str">
        <f>IFERROR(__xludf.DUMMYFUNCTION("ARRAYFORMULA(VLOOKUP(A539,IMPORTRANGE(""https://docs.google.com/spreadsheets/d/1BuTWp7qHGjWhqrnf-OmePP568O4A5Am9ttzvVdP67zw/edit#gid=1603210130"", ""TOURISM!$A$2:$F$2692""), {2,3,4,5,6},0))"),"Africa")</f>
        <v>Africa</v>
      </c>
      <c r="L539" s="14">
        <f>IFERROR(__xludf.DUMMYFUNCTION("""COMPUTED_VALUE"""),2.31E7)</f>
        <v>23100000</v>
      </c>
      <c r="M539" s="14" t="str">
        <f>IFERROR(__xludf.DUMMYFUNCTION("""COMPUTED_VALUE"""),"Congo (Brazzaville)-Africa")</f>
        <v>Congo (Brazzaville)-Africa</v>
      </c>
      <c r="N539" s="14" t="str">
        <f>IFERROR(__xludf.DUMMYFUNCTION("""COMPUTED_VALUE"""),"2004")</f>
        <v>2004</v>
      </c>
      <c r="O539" s="14">
        <f>IFERROR(__xludf.DUMMYFUNCTION("""COMPUTED_VALUE"""),1.76E8)</f>
        <v>176000000</v>
      </c>
      <c r="P539" s="15">
        <f>IFERROR(__xludf.DUMMYFUNCTION("ARRAYFORMULA(VLOOKUP(A539,IMPORTRANGE(""https://docs.google.com/spreadsheets/d/1BuTWp7qHGjWhqrnf-OmePP568O4A5Am9ttzvVdP67zw/edit#gid=771602874"" ,""HUMAN RESOURCES!$A$2:$M$2692""), {2,3,4,5,6,7,8,9,10,11,12,13},0))"),0.039)</f>
        <v>0.039</v>
      </c>
      <c r="Q539" s="14">
        <f>IFERROR(__xludf.DUMMYFUNCTION("""COMPUTED_VALUE"""),0.066)</f>
        <v>0.066</v>
      </c>
      <c r="R539" s="14">
        <f>IFERROR(__xludf.DUMMYFUNCTION("""COMPUTED_VALUE"""),55.0)</f>
        <v>55</v>
      </c>
      <c r="S539" s="14">
        <f>IFERROR(__xludf.DUMMYFUNCTION("""COMPUTED_VALUE"""),52.0)</f>
        <v>52</v>
      </c>
      <c r="T539" s="14">
        <f>IFERROR(__xludf.DUMMYFUNCTION("""COMPUTED_VALUE"""),0.422)</f>
        <v>0.422</v>
      </c>
      <c r="U539" s="14">
        <f>IFERROR(__xludf.DUMMYFUNCTION("""COMPUTED_VALUE"""),0.543)</f>
        <v>0.543</v>
      </c>
      <c r="V539" s="14">
        <f>IFERROR(__xludf.DUMMYFUNCTION("""COMPUTED_VALUE"""),0.035)</f>
        <v>0.035</v>
      </c>
      <c r="W539" s="14">
        <f>IFERROR(__xludf.DUMMYFUNCTION("""COMPUTED_VALUE"""),3448868.0)</f>
        <v>3448868</v>
      </c>
      <c r="X539" s="14">
        <f>IFERROR(__xludf.DUMMYFUNCTION("""COMPUTED_VALUE"""),0.605)</f>
        <v>0.605</v>
      </c>
      <c r="Y539" s="14" t="str">
        <f>IFERROR(__xludf.DUMMYFUNCTION("""COMPUTED_VALUE"""),"Congo (Brazzaville)-Africa")</f>
        <v>Congo (Brazzaville)-Africa</v>
      </c>
      <c r="Z539" s="14" t="str">
        <f>IFERROR(__xludf.DUMMYFUNCTION("""COMPUTED_VALUE"""),"Africa")</f>
        <v>Africa</v>
      </c>
      <c r="AA539" s="14" t="str">
        <f>IFERROR(__xludf.DUMMYFUNCTION("""COMPUTED_VALUE"""),"2004")</f>
        <v>2004</v>
      </c>
      <c r="AB539" s="15" t="str">
        <f>IFERROR(__xludf.DUMMYFUNCTION("ARRAYFORMULA(VLOOKUP(A539,IMPORTRANGE(""https://docs.google.com/spreadsheets/d/1BuTWp7qHGjWhqrnf-OmePP568O4A5Am9ttzvVdP67zw/edit#gid=1931367683"" ,""ENERGY!$A$2:$F$2692""), {2,3,4,5,6},0))"),"Africa")</f>
        <v>Africa</v>
      </c>
      <c r="AC539" s="14" t="str">
        <f>IFERROR(__xludf.DUMMYFUNCTION("""COMPUTED_VALUE"""),"Congo (Brazzaville)-Africa")</f>
        <v>Congo (Brazzaville)-Africa</v>
      </c>
      <c r="AD539" s="14" t="str">
        <f>IFERROR(__xludf.DUMMYFUNCTION("""COMPUTED_VALUE"""),"2004")</f>
        <v>2004</v>
      </c>
      <c r="AE539" s="14">
        <f>IFERROR(__xludf.DUMMYFUNCTION("""COMPUTED_VALUE"""),1260.0)</f>
        <v>1260</v>
      </c>
      <c r="AF539" s="14">
        <f>IFERROR(__xludf.DUMMYFUNCTION("""COMPUTED_VALUE"""),1474.0)</f>
        <v>1474</v>
      </c>
    </row>
    <row r="540">
      <c r="A540" s="12">
        <v>539.0</v>
      </c>
      <c r="B540" s="12" t="s">
        <v>120</v>
      </c>
      <c r="C540" s="5" t="s">
        <v>77</v>
      </c>
      <c r="D540" s="11">
        <v>0.649</v>
      </c>
      <c r="E540" s="11">
        <v>37.0</v>
      </c>
      <c r="F540" s="8"/>
      <c r="G540" s="11">
        <v>606.0</v>
      </c>
      <c r="H540" s="11">
        <v>0.015</v>
      </c>
      <c r="I540" s="11">
        <v>0.158</v>
      </c>
      <c r="J540" s="9" t="s">
        <v>66</v>
      </c>
      <c r="K540" s="14" t="str">
        <f>IFERROR(__xludf.DUMMYFUNCTION("ARRAYFORMULA(VLOOKUP(A540,IMPORTRANGE(""https://docs.google.com/spreadsheets/d/1BuTWp7qHGjWhqrnf-OmePP568O4A5Am9ttzvVdP67zw/edit#gid=1603210130"", ""TOURISM!$A$2:$F$2692""), {2,3,4,5,6},0))"),"Africa")</f>
        <v>Africa</v>
      </c>
      <c r="L540" s="14">
        <f>IFERROR(__xludf.DUMMYFUNCTION("""COMPUTED_VALUE"""),4.0E7)</f>
        <v>40000000</v>
      </c>
      <c r="M540" s="14" t="str">
        <f>IFERROR(__xludf.DUMMYFUNCTION("""COMPUTED_VALUE"""),"Congo (Brazzaville)-Africa")</f>
        <v>Congo (Brazzaville)-Africa</v>
      </c>
      <c r="N540" s="14" t="str">
        <f>IFERROR(__xludf.DUMMYFUNCTION("""COMPUTED_VALUE"""),"2005")</f>
        <v>2005</v>
      </c>
      <c r="O540" s="14">
        <f>IFERROR(__xludf.DUMMYFUNCTION("""COMPUTED_VALUE"""),1.12E8)</f>
        <v>112000000</v>
      </c>
      <c r="P540" s="15">
        <f>IFERROR(__xludf.DUMMYFUNCTION("ARRAYFORMULA(VLOOKUP(A540,IMPORTRANGE(""https://docs.google.com/spreadsheets/d/1BuTWp7qHGjWhqrnf-OmePP568O4A5Am9ttzvVdP67zw/edit#gid=771602874"" ,""HUMAN RESOURCES!$A$2:$M$2692""), {2,3,4,5,6,7,8,9,10,11,12,13},0))"),0.039)</f>
        <v>0.039</v>
      </c>
      <c r="Q540" s="14">
        <f>IFERROR(__xludf.DUMMYFUNCTION("""COMPUTED_VALUE"""),0.062)</f>
        <v>0.062</v>
      </c>
      <c r="R540" s="14">
        <f>IFERROR(__xludf.DUMMYFUNCTION("""COMPUTED_VALUE"""),55.0)</f>
        <v>55</v>
      </c>
      <c r="S540" s="14">
        <f>IFERROR(__xludf.DUMMYFUNCTION("""COMPUTED_VALUE"""),53.0)</f>
        <v>53</v>
      </c>
      <c r="T540" s="14">
        <f>IFERROR(__xludf.DUMMYFUNCTION("""COMPUTED_VALUE"""),0.422)</f>
        <v>0.422</v>
      </c>
      <c r="U540" s="14">
        <f>IFERROR(__xludf.DUMMYFUNCTION("""COMPUTED_VALUE"""),0.543)</f>
        <v>0.543</v>
      </c>
      <c r="V540" s="14">
        <f>IFERROR(__xludf.DUMMYFUNCTION("""COMPUTED_VALUE"""),0.035)</f>
        <v>0.035</v>
      </c>
      <c r="W540" s="14">
        <f>IFERROR(__xludf.DUMMYFUNCTION("""COMPUTED_VALUE"""),3542867.0)</f>
        <v>3542867</v>
      </c>
      <c r="X540" s="14">
        <f>IFERROR(__xludf.DUMMYFUNCTION("""COMPUTED_VALUE"""),0.61)</f>
        <v>0.61</v>
      </c>
      <c r="Y540" s="14" t="str">
        <f>IFERROR(__xludf.DUMMYFUNCTION("""COMPUTED_VALUE"""),"Congo (Brazzaville)-Africa")</f>
        <v>Congo (Brazzaville)-Africa</v>
      </c>
      <c r="Z540" s="14" t="str">
        <f>IFERROR(__xludf.DUMMYFUNCTION("""COMPUTED_VALUE"""),"Africa")</f>
        <v>Africa</v>
      </c>
      <c r="AA540" s="14" t="str">
        <f>IFERROR(__xludf.DUMMYFUNCTION("""COMPUTED_VALUE"""),"2005")</f>
        <v>2005</v>
      </c>
      <c r="AB540" s="15" t="str">
        <f>IFERROR(__xludf.DUMMYFUNCTION("ARRAYFORMULA(VLOOKUP(A540,IMPORTRANGE(""https://docs.google.com/spreadsheets/d/1BuTWp7qHGjWhqrnf-OmePP568O4A5Am9ttzvVdP67zw/edit#gid=1931367683"" ,""ENERGY!$A$2:$F$2692""), {2,3,4,5,6},0))"),"Africa")</f>
        <v>Africa</v>
      </c>
      <c r="AC540" s="14" t="str">
        <f>IFERROR(__xludf.DUMMYFUNCTION("""COMPUTED_VALUE"""),"Congo (Brazzaville)-Africa")</f>
        <v>Congo (Brazzaville)-Africa</v>
      </c>
      <c r="AD540" s="14" t="str">
        <f>IFERROR(__xludf.DUMMYFUNCTION("""COMPUTED_VALUE"""),"2006")</f>
        <v>2006</v>
      </c>
      <c r="AE540" s="14">
        <f>IFERROR(__xludf.DUMMYFUNCTION("""COMPUTED_VALUE"""),1209.0)</f>
        <v>1209</v>
      </c>
      <c r="AF540" s="14">
        <f>IFERROR(__xludf.DUMMYFUNCTION("""COMPUTED_VALUE"""),1437.0)</f>
        <v>1437</v>
      </c>
    </row>
    <row r="541">
      <c r="A541" s="12">
        <v>540.0</v>
      </c>
      <c r="B541" s="12" t="s">
        <v>120</v>
      </c>
      <c r="C541" s="5" t="s">
        <v>77</v>
      </c>
      <c r="D541" s="11">
        <v>0.649</v>
      </c>
      <c r="E541" s="11">
        <v>37.0</v>
      </c>
      <c r="F541" s="8"/>
      <c r="G541" s="11">
        <v>606.0</v>
      </c>
      <c r="H541" s="11">
        <v>0.02</v>
      </c>
      <c r="I541" s="11">
        <v>0.252</v>
      </c>
      <c r="J541" s="9" t="s">
        <v>67</v>
      </c>
      <c r="K541" s="14" t="str">
        <f>IFERROR(__xludf.DUMMYFUNCTION("ARRAYFORMULA(VLOOKUP(A541,IMPORTRANGE(""https://docs.google.com/spreadsheets/d/1BuTWp7qHGjWhqrnf-OmePP568O4A5Am9ttzvVdP67zw/edit#gid=1603210130"", ""TOURISM!$A$2:$F$2692""), {2,3,4,5,6},0))"),"Africa")</f>
        <v>Africa</v>
      </c>
      <c r="L541" s="14">
        <f>IFERROR(__xludf.DUMMYFUNCTION("""COMPUTED_VALUE"""),4.5E7)</f>
        <v>45000000</v>
      </c>
      <c r="M541" s="14" t="str">
        <f>IFERROR(__xludf.DUMMYFUNCTION("""COMPUTED_VALUE"""),"Congo (Brazzaville)-Africa")</f>
        <v>Congo (Brazzaville)-Africa</v>
      </c>
      <c r="N541" s="14" t="str">
        <f>IFERROR(__xludf.DUMMYFUNCTION("""COMPUTED_VALUE"""),"2006")</f>
        <v>2006</v>
      </c>
      <c r="O541" s="14">
        <f>IFERROR(__xludf.DUMMYFUNCTION("""COMPUTED_VALUE"""),1.32E8)</f>
        <v>132000000</v>
      </c>
      <c r="P541" s="15">
        <f>IFERROR(__xludf.DUMMYFUNCTION("ARRAYFORMULA(VLOOKUP(A541,IMPORTRANGE(""https://docs.google.com/spreadsheets/d/1BuTWp7qHGjWhqrnf-OmePP568O4A5Am9ttzvVdP67zw/edit#gid=771602874"" ,""HUMAN RESOURCES!$A$2:$M$2692""), {2,3,4,5,6,7,8,9,10,11,12,13},0))"),0.039)</f>
        <v>0.039</v>
      </c>
      <c r="Q541" s="14">
        <f>IFERROR(__xludf.DUMMYFUNCTION("""COMPUTED_VALUE"""),0.057)</f>
        <v>0.057</v>
      </c>
      <c r="R541" s="14">
        <f>IFERROR(__xludf.DUMMYFUNCTION("""COMPUTED_VALUE"""),56.0)</f>
        <v>56</v>
      </c>
      <c r="S541" s="14">
        <f>IFERROR(__xludf.DUMMYFUNCTION("""COMPUTED_VALUE"""),53.0)</f>
        <v>53</v>
      </c>
      <c r="T541" s="14">
        <f>IFERROR(__xludf.DUMMYFUNCTION("""COMPUTED_VALUE"""),0.422)</f>
        <v>0.422</v>
      </c>
      <c r="U541" s="14">
        <f>IFERROR(__xludf.DUMMYFUNCTION("""COMPUTED_VALUE"""),0.543)</f>
        <v>0.543</v>
      </c>
      <c r="V541" s="14">
        <f>IFERROR(__xludf.DUMMYFUNCTION("""COMPUTED_VALUE"""),0.035)</f>
        <v>0.035</v>
      </c>
      <c r="W541" s="14">
        <f>IFERROR(__xludf.DUMMYFUNCTION("""COMPUTED_VALUE"""),3646653.0)</f>
        <v>3646653</v>
      </c>
      <c r="X541" s="14">
        <f>IFERROR(__xludf.DUMMYFUNCTION("""COMPUTED_VALUE"""),0.614)</f>
        <v>0.614</v>
      </c>
      <c r="Y541" s="14" t="str">
        <f>IFERROR(__xludf.DUMMYFUNCTION("""COMPUTED_VALUE"""),"Congo (Brazzaville)-Africa")</f>
        <v>Congo (Brazzaville)-Africa</v>
      </c>
      <c r="Z541" s="14" t="str">
        <f>IFERROR(__xludf.DUMMYFUNCTION("""COMPUTED_VALUE"""),"Africa")</f>
        <v>Africa</v>
      </c>
      <c r="AA541" s="14" t="str">
        <f>IFERROR(__xludf.DUMMYFUNCTION("""COMPUTED_VALUE"""),"2006")</f>
        <v>2006</v>
      </c>
      <c r="AB541" s="15" t="str">
        <f>IFERROR(__xludf.DUMMYFUNCTION("ARRAYFORMULA(VLOOKUP(A541,IMPORTRANGE(""https://docs.google.com/spreadsheets/d/1BuTWp7qHGjWhqrnf-OmePP568O4A5Am9ttzvVdP67zw/edit#gid=1931367683"" ,""ENERGY!$A$2:$F$2692""), {2,3,4,5,6},0))"),"Africa")</f>
        <v>Africa</v>
      </c>
      <c r="AC541" s="14" t="str">
        <f>IFERROR(__xludf.DUMMYFUNCTION("""COMPUTED_VALUE"""),"Congo (Brazzaville)-Africa")</f>
        <v>Congo (Brazzaville)-Africa</v>
      </c>
      <c r="AD541" s="14" t="str">
        <f>IFERROR(__xludf.DUMMYFUNCTION("""COMPUTED_VALUE"""),"2010")</f>
        <v>2010</v>
      </c>
      <c r="AE541" s="14">
        <f>IFERROR(__xludf.DUMMYFUNCTION("""COMPUTED_VALUE"""),1154.0)</f>
        <v>1154</v>
      </c>
      <c r="AF541" s="14">
        <f>IFERROR(__xludf.DUMMYFUNCTION("""COMPUTED_VALUE"""),1338.0)</f>
        <v>1338</v>
      </c>
    </row>
    <row r="542">
      <c r="A542" s="12">
        <v>541.0</v>
      </c>
      <c r="B542" s="12" t="s">
        <v>120</v>
      </c>
      <c r="C542" s="5" t="s">
        <v>77</v>
      </c>
      <c r="D542" s="11">
        <v>0.649</v>
      </c>
      <c r="E542" s="11">
        <v>37.0</v>
      </c>
      <c r="F542" s="8"/>
      <c r="G542" s="11">
        <v>606.0</v>
      </c>
      <c r="H542" s="11">
        <v>0.028</v>
      </c>
      <c r="I542" s="11">
        <v>0.343</v>
      </c>
      <c r="J542" s="9" t="s">
        <v>68</v>
      </c>
      <c r="K542" s="14" t="str">
        <f>IFERROR(__xludf.DUMMYFUNCTION("ARRAYFORMULA(VLOOKUP(A542,IMPORTRANGE(""https://docs.google.com/spreadsheets/d/1BuTWp7qHGjWhqrnf-OmePP568O4A5Am9ttzvVdP67zw/edit#gid=1603210130"", ""TOURISM!$A$2:$F$2692""), {2,3,4,5,6},0))"),"Africa")</f>
        <v>Africa</v>
      </c>
      <c r="L542" s="14">
        <f>IFERROR(__xludf.DUMMYFUNCTION("""COMPUTED_VALUE"""),5.4E7)</f>
        <v>54000000</v>
      </c>
      <c r="M542" s="14" t="str">
        <f>IFERROR(__xludf.DUMMYFUNCTION("""COMPUTED_VALUE"""),"Congo (Brazzaville)-Africa")</f>
        <v>Congo (Brazzaville)-Africa</v>
      </c>
      <c r="N542" s="14" t="str">
        <f>IFERROR(__xludf.DUMMYFUNCTION("""COMPUTED_VALUE"""),"2007")</f>
        <v>2007</v>
      </c>
      <c r="O542" s="14">
        <f>IFERROR(__xludf.DUMMYFUNCTION("""COMPUTED_VALUE"""),1.68E8)</f>
        <v>168000000</v>
      </c>
      <c r="P542" s="15">
        <f>IFERROR(__xludf.DUMMYFUNCTION("ARRAYFORMULA(VLOOKUP(A542,IMPORTRANGE(""https://docs.google.com/spreadsheets/d/1BuTWp7qHGjWhqrnf-OmePP568O4A5Am9ttzvVdP67zw/edit#gid=771602874"" ,""HUMAN RESOURCES!$A$2:$M$2692""), {2,3,4,5,6,7,8,9,10,11,12,13},0))"),0.039)</f>
        <v>0.039</v>
      </c>
      <c r="Q542" s="14">
        <f>IFERROR(__xludf.DUMMYFUNCTION("""COMPUTED_VALUE"""),0.053)</f>
        <v>0.053</v>
      </c>
      <c r="R542" s="14">
        <f>IFERROR(__xludf.DUMMYFUNCTION("""COMPUTED_VALUE"""),57.0)</f>
        <v>57</v>
      </c>
      <c r="S542" s="14">
        <f>IFERROR(__xludf.DUMMYFUNCTION("""COMPUTED_VALUE"""),54.0)</f>
        <v>54</v>
      </c>
      <c r="T542" s="14">
        <f>IFERROR(__xludf.DUMMYFUNCTION("""COMPUTED_VALUE"""),0.422)</f>
        <v>0.422</v>
      </c>
      <c r="U542" s="14">
        <f>IFERROR(__xludf.DUMMYFUNCTION("""COMPUTED_VALUE"""),0.543)</f>
        <v>0.543</v>
      </c>
      <c r="V542" s="14">
        <f>IFERROR(__xludf.DUMMYFUNCTION("""COMPUTED_VALUE"""),0.035)</f>
        <v>0.035</v>
      </c>
      <c r="W542" s="14">
        <f>IFERROR(__xludf.DUMMYFUNCTION("""COMPUTED_VALUE"""),3758858.0)</f>
        <v>3758858</v>
      </c>
      <c r="X542" s="14">
        <f>IFERROR(__xludf.DUMMYFUNCTION("""COMPUTED_VALUE"""),0.619)</f>
        <v>0.619</v>
      </c>
      <c r="Y542" s="14" t="str">
        <f>IFERROR(__xludf.DUMMYFUNCTION("""COMPUTED_VALUE"""),"Congo (Brazzaville)-Africa")</f>
        <v>Congo (Brazzaville)-Africa</v>
      </c>
      <c r="Z542" s="14" t="str">
        <f>IFERROR(__xludf.DUMMYFUNCTION("""COMPUTED_VALUE"""),"Africa")</f>
        <v>Africa</v>
      </c>
      <c r="AA542" s="14" t="str">
        <f>IFERROR(__xludf.DUMMYFUNCTION("""COMPUTED_VALUE"""),"2007")</f>
        <v>2007</v>
      </c>
      <c r="AB542" s="15" t="str">
        <f>IFERROR(__xludf.DUMMYFUNCTION("ARRAYFORMULA(VLOOKUP(A542,IMPORTRANGE(""https://docs.google.com/spreadsheets/d/1BuTWp7qHGjWhqrnf-OmePP568O4A5Am9ttzvVdP67zw/edit#gid=1931367683"" ,""ENERGY!$A$2:$F$2692""), {2,3,4,5,6},0))"),"Africa")</f>
        <v>Africa</v>
      </c>
      <c r="AC542" s="14" t="str">
        <f>IFERROR(__xludf.DUMMYFUNCTION("""COMPUTED_VALUE"""),"Congo (Brazzaville)-Africa")</f>
        <v>Congo (Brazzaville)-Africa</v>
      </c>
      <c r="AD542" s="14" t="str">
        <f>IFERROR(__xludf.DUMMYFUNCTION("""COMPUTED_VALUE"""),"2006")</f>
        <v>2006</v>
      </c>
      <c r="AE542" s="14">
        <f>IFERROR(__xludf.DUMMYFUNCTION("""COMPUTED_VALUE"""),1083.0)</f>
        <v>1083</v>
      </c>
      <c r="AF542" s="14">
        <f>IFERROR(__xludf.DUMMYFUNCTION("""COMPUTED_VALUE"""),1456.0)</f>
        <v>1456</v>
      </c>
    </row>
    <row r="543">
      <c r="A543" s="12">
        <v>542.0</v>
      </c>
      <c r="B543" s="12" t="s">
        <v>120</v>
      </c>
      <c r="C543" s="5" t="s">
        <v>77</v>
      </c>
      <c r="D543" s="11">
        <v>0.659</v>
      </c>
      <c r="E543" s="11">
        <v>161.0</v>
      </c>
      <c r="F543" s="8"/>
      <c r="G543" s="11">
        <v>606.0</v>
      </c>
      <c r="H543" s="11">
        <v>0.043</v>
      </c>
      <c r="I543" s="11">
        <v>0.466</v>
      </c>
      <c r="J543" s="9" t="s">
        <v>69</v>
      </c>
      <c r="K543" s="14" t="str">
        <f>IFERROR(__xludf.DUMMYFUNCTION("ARRAYFORMULA(VLOOKUP(A543,IMPORTRANGE(""https://docs.google.com/spreadsheets/d/1BuTWp7qHGjWhqrnf-OmePP568O4A5Am9ttzvVdP67zw/edit#gid=1603210130"", ""TOURISM!$A$2:$F$2692""), {2,3,4,5,6},0))"),"Africa")</f>
        <v>Africa</v>
      </c>
      <c r="L543" s="14"/>
      <c r="M543" s="14" t="str">
        <f>IFERROR(__xludf.DUMMYFUNCTION("""COMPUTED_VALUE"""),"Congo (Brazzaville)-Africa")</f>
        <v>Congo (Brazzaville)-Africa</v>
      </c>
      <c r="N543" s="14" t="str">
        <f>IFERROR(__xludf.DUMMYFUNCTION("""COMPUTED_VALUE"""),"2008")</f>
        <v>2008</v>
      </c>
      <c r="O543" s="14"/>
      <c r="P543" s="15">
        <f>IFERROR(__xludf.DUMMYFUNCTION("ARRAYFORMULA(VLOOKUP(A543,IMPORTRANGE(""https://docs.google.com/spreadsheets/d/1BuTWp7qHGjWhqrnf-OmePP568O4A5Am9ttzvVdP67zw/edit#gid=771602874"" ,""HUMAN RESOURCES!$A$2:$M$2692""), {2,3,4,5,6,7,8,9,10,11,12,13},0))"),0.039)</f>
        <v>0.039</v>
      </c>
      <c r="Q543" s="14">
        <f>IFERROR(__xludf.DUMMYFUNCTION("""COMPUTED_VALUE"""),0.049)</f>
        <v>0.049</v>
      </c>
      <c r="R543" s="14">
        <f>IFERROR(__xludf.DUMMYFUNCTION("""COMPUTED_VALUE"""),57.0)</f>
        <v>57</v>
      </c>
      <c r="S543" s="14">
        <f>IFERROR(__xludf.DUMMYFUNCTION("""COMPUTED_VALUE"""),55.0)</f>
        <v>55</v>
      </c>
      <c r="T543" s="14">
        <f>IFERROR(__xludf.DUMMYFUNCTION("""COMPUTED_VALUE"""),0.422)</f>
        <v>0.422</v>
      </c>
      <c r="U543" s="14">
        <f>IFERROR(__xludf.DUMMYFUNCTION("""COMPUTED_VALUE"""),0.544)</f>
        <v>0.544</v>
      </c>
      <c r="V543" s="14">
        <f>IFERROR(__xludf.DUMMYFUNCTION("""COMPUTED_VALUE"""),0.034)</f>
        <v>0.034</v>
      </c>
      <c r="W543" s="14">
        <f>IFERROR(__xludf.DUMMYFUNCTION("""COMPUTED_VALUE"""),3876475.0)</f>
        <v>3876475</v>
      </c>
      <c r="X543" s="14">
        <f>IFERROR(__xludf.DUMMYFUNCTION("""COMPUTED_VALUE"""),0.623)</f>
        <v>0.623</v>
      </c>
      <c r="Y543" s="14" t="str">
        <f>IFERROR(__xludf.DUMMYFUNCTION("""COMPUTED_VALUE"""),"Congo (Brazzaville)-Africa")</f>
        <v>Congo (Brazzaville)-Africa</v>
      </c>
      <c r="Z543" s="14" t="str">
        <f>IFERROR(__xludf.DUMMYFUNCTION("""COMPUTED_VALUE"""),"Africa")</f>
        <v>Africa</v>
      </c>
      <c r="AA543" s="14" t="str">
        <f>IFERROR(__xludf.DUMMYFUNCTION("""COMPUTED_VALUE"""),"2008")</f>
        <v>2008</v>
      </c>
      <c r="AB543" s="15" t="str">
        <f>IFERROR(__xludf.DUMMYFUNCTION("ARRAYFORMULA(VLOOKUP(A543,IMPORTRANGE(""https://docs.google.com/spreadsheets/d/1BuTWp7qHGjWhqrnf-OmePP568O4A5Am9ttzvVdP67zw/edit#gid=1931367683"" ,""ENERGY!$A$2:$F$2692""), {2,3,4,5,6},0))"),"Africa")</f>
        <v>Africa</v>
      </c>
      <c r="AC543" s="14" t="str">
        <f>IFERROR(__xludf.DUMMYFUNCTION("""COMPUTED_VALUE"""),"Congo (Brazzaville)-Africa")</f>
        <v>Congo (Brazzaville)-Africa</v>
      </c>
      <c r="AD543" s="14" t="str">
        <f>IFERROR(__xludf.DUMMYFUNCTION("""COMPUTED_VALUE"""),"2005")</f>
        <v>2005</v>
      </c>
      <c r="AE543" s="14">
        <f>IFERROR(__xludf.DUMMYFUNCTION("""COMPUTED_VALUE"""),1020.0)</f>
        <v>1020</v>
      </c>
      <c r="AF543" s="14">
        <f>IFERROR(__xludf.DUMMYFUNCTION("""COMPUTED_VALUE"""),1181.0)</f>
        <v>1181</v>
      </c>
    </row>
    <row r="544">
      <c r="A544" s="12">
        <v>543.0</v>
      </c>
      <c r="B544" s="12" t="s">
        <v>120</v>
      </c>
      <c r="C544" s="5" t="s">
        <v>77</v>
      </c>
      <c r="D544" s="11">
        <v>0.659</v>
      </c>
      <c r="E544" s="11">
        <v>161.0</v>
      </c>
      <c r="F544" s="8"/>
      <c r="G544" s="11">
        <v>606.0</v>
      </c>
      <c r="H544" s="11">
        <v>0.045</v>
      </c>
      <c r="I544" s="11">
        <v>0.738</v>
      </c>
      <c r="J544" s="9" t="s">
        <v>70</v>
      </c>
      <c r="K544" s="14" t="str">
        <f>IFERROR(__xludf.DUMMYFUNCTION("ARRAYFORMULA(VLOOKUP(A544,IMPORTRANGE(""https://docs.google.com/spreadsheets/d/1BuTWp7qHGjWhqrnf-OmePP568O4A5Am9ttzvVdP67zw/edit#gid=1603210130"", ""TOURISM!$A$2:$F$2692""), {2,3,4,5,6},0))"),"Africa")</f>
        <v>Africa</v>
      </c>
      <c r="L544" s="14"/>
      <c r="M544" s="14" t="str">
        <f>IFERROR(__xludf.DUMMYFUNCTION("""COMPUTED_VALUE"""),"Congo (Brazzaville)-Africa")</f>
        <v>Congo (Brazzaville)-Africa</v>
      </c>
      <c r="N544" s="14" t="str">
        <f>IFERROR(__xludf.DUMMYFUNCTION("""COMPUTED_VALUE"""),"2009")</f>
        <v>2009</v>
      </c>
      <c r="O544" s="14"/>
      <c r="P544" s="15">
        <f>IFERROR(__xludf.DUMMYFUNCTION("ARRAYFORMULA(VLOOKUP(A544,IMPORTRANGE(""https://docs.google.com/spreadsheets/d/1BuTWp7qHGjWhqrnf-OmePP568O4A5Am9ttzvVdP67zw/edit#gid=771602874"" ,""HUMAN RESOURCES!$A$2:$M$2692""), {2,3,4,5,6,7,8,9,10,11,12,13},0))"),0.039)</f>
        <v>0.039</v>
      </c>
      <c r="Q544" s="14">
        <f>IFERROR(__xludf.DUMMYFUNCTION("""COMPUTED_VALUE"""),0.045)</f>
        <v>0.045</v>
      </c>
      <c r="R544" s="14">
        <f>IFERROR(__xludf.DUMMYFUNCTION("""COMPUTED_VALUE"""),58.0)</f>
        <v>58</v>
      </c>
      <c r="S544" s="14">
        <f>IFERROR(__xludf.DUMMYFUNCTION("""COMPUTED_VALUE"""),55.0)</f>
        <v>55</v>
      </c>
      <c r="T544" s="14">
        <f>IFERROR(__xludf.DUMMYFUNCTION("""COMPUTED_VALUE"""),0.422)</f>
        <v>0.422</v>
      </c>
      <c r="U544" s="14">
        <f>IFERROR(__xludf.DUMMYFUNCTION("""COMPUTED_VALUE"""),0.544)</f>
        <v>0.544</v>
      </c>
      <c r="V544" s="14">
        <f>IFERROR(__xludf.DUMMYFUNCTION("""COMPUTED_VALUE"""),0.034)</f>
        <v>0.034</v>
      </c>
      <c r="W544" s="14">
        <f>IFERROR(__xludf.DUMMYFUNCTION("""COMPUTED_VALUE"""),3995146.0)</f>
        <v>3995146</v>
      </c>
      <c r="X544" s="14">
        <f>IFERROR(__xludf.DUMMYFUNCTION("""COMPUTED_VALUE"""),0.628)</f>
        <v>0.628</v>
      </c>
      <c r="Y544" s="14" t="str">
        <f>IFERROR(__xludf.DUMMYFUNCTION("""COMPUTED_VALUE"""),"Congo (Brazzaville)-Africa")</f>
        <v>Congo (Brazzaville)-Africa</v>
      </c>
      <c r="Z544" s="14" t="str">
        <f>IFERROR(__xludf.DUMMYFUNCTION("""COMPUTED_VALUE"""),"Africa")</f>
        <v>Africa</v>
      </c>
      <c r="AA544" s="14" t="str">
        <f>IFERROR(__xludf.DUMMYFUNCTION("""COMPUTED_VALUE"""),"2009")</f>
        <v>2009</v>
      </c>
      <c r="AB544" s="15" t="str">
        <f>IFERROR(__xludf.DUMMYFUNCTION("ARRAYFORMULA(VLOOKUP(A544,IMPORTRANGE(""https://docs.google.com/spreadsheets/d/1BuTWp7qHGjWhqrnf-OmePP568O4A5Am9ttzvVdP67zw/edit#gid=1931367683"" ,""ENERGY!$A$2:$F$2692""), {2,3,4,5,6},0))"),"Africa")</f>
        <v>Africa</v>
      </c>
      <c r="AC544" s="14" t="str">
        <f>IFERROR(__xludf.DUMMYFUNCTION("""COMPUTED_VALUE"""),"Congo (Brazzaville)-Africa")</f>
        <v>Congo (Brazzaville)-Africa</v>
      </c>
      <c r="AD544" s="14" t="str">
        <f>IFERROR(__xludf.DUMMYFUNCTION("""COMPUTED_VALUE"""),"2009")</f>
        <v>2009</v>
      </c>
      <c r="AE544" s="14">
        <f>IFERROR(__xludf.DUMMYFUNCTION("""COMPUTED_VALUE"""),999.0)</f>
        <v>999</v>
      </c>
      <c r="AF544" s="14">
        <f>IFERROR(__xludf.DUMMYFUNCTION("""COMPUTED_VALUE"""),1085.0)</f>
        <v>1085</v>
      </c>
    </row>
    <row r="545">
      <c r="A545" s="12">
        <v>544.0</v>
      </c>
      <c r="B545" s="12" t="s">
        <v>120</v>
      </c>
      <c r="C545" s="5" t="s">
        <v>77</v>
      </c>
      <c r="D545" s="11">
        <v>0.663</v>
      </c>
      <c r="E545" s="11">
        <v>161.0</v>
      </c>
      <c r="F545" s="8"/>
      <c r="G545" s="11">
        <v>606.0</v>
      </c>
      <c r="H545" s="11">
        <v>0.05</v>
      </c>
      <c r="I545" s="11">
        <v>0.904</v>
      </c>
      <c r="J545" s="9" t="s">
        <v>71</v>
      </c>
      <c r="K545" s="14" t="str">
        <f>IFERROR(__xludf.DUMMYFUNCTION("ARRAYFORMULA(VLOOKUP(A545,IMPORTRANGE(""https://docs.google.com/spreadsheets/d/1BuTWp7qHGjWhqrnf-OmePP568O4A5Am9ttzvVdP67zw/edit#gid=1603210130"", ""TOURISM!$A$2:$F$2692""), {2,3,4,5,6},0))"),"Africa")</f>
        <v>Africa</v>
      </c>
      <c r="L545" s="14"/>
      <c r="M545" s="14" t="str">
        <f>IFERROR(__xludf.DUMMYFUNCTION("""COMPUTED_VALUE"""),"Congo (Brazzaville)-Africa")</f>
        <v>Congo (Brazzaville)-Africa</v>
      </c>
      <c r="N545" s="14" t="str">
        <f>IFERROR(__xludf.DUMMYFUNCTION("""COMPUTED_VALUE"""),"2010")</f>
        <v>2010</v>
      </c>
      <c r="O545" s="14"/>
      <c r="P545" s="15">
        <f>IFERROR(__xludf.DUMMYFUNCTION("ARRAYFORMULA(VLOOKUP(A545,IMPORTRANGE(""https://docs.google.com/spreadsheets/d/1BuTWp7qHGjWhqrnf-OmePP568O4A5Am9ttzvVdP67zw/edit#gid=771602874"" ,""HUMAN RESOURCES!$A$2:$M$2692""), {2,3,4,5,6,7,8,9,10,11,12,13},0))"),0.039)</f>
        <v>0.039</v>
      </c>
      <c r="Q545" s="14">
        <f>IFERROR(__xludf.DUMMYFUNCTION("""COMPUTED_VALUE"""),0.042)</f>
        <v>0.042</v>
      </c>
      <c r="R545" s="14">
        <f>IFERROR(__xludf.DUMMYFUNCTION("""COMPUTED_VALUE"""),59.0)</f>
        <v>59</v>
      </c>
      <c r="S545" s="14">
        <f>IFERROR(__xludf.DUMMYFUNCTION("""COMPUTED_VALUE"""),56.0)</f>
        <v>56</v>
      </c>
      <c r="T545" s="14">
        <f>IFERROR(__xludf.DUMMYFUNCTION("""COMPUTED_VALUE"""),0.422)</f>
        <v>0.422</v>
      </c>
      <c r="U545" s="14">
        <f>IFERROR(__xludf.DUMMYFUNCTION("""COMPUTED_VALUE"""),0.544)</f>
        <v>0.544</v>
      </c>
      <c r="V545" s="14">
        <f>IFERROR(__xludf.DUMMYFUNCTION("""COMPUTED_VALUE"""),0.034)</f>
        <v>0.034</v>
      </c>
      <c r="W545" s="14">
        <f>IFERROR(__xludf.DUMMYFUNCTION("""COMPUTED_VALUE"""),4111715.0)</f>
        <v>4111715</v>
      </c>
      <c r="X545" s="14">
        <f>IFERROR(__xludf.DUMMYFUNCTION("""COMPUTED_VALUE"""),0.632)</f>
        <v>0.632</v>
      </c>
      <c r="Y545" s="14" t="str">
        <f>IFERROR(__xludf.DUMMYFUNCTION("""COMPUTED_VALUE"""),"Congo (Brazzaville)-Africa")</f>
        <v>Congo (Brazzaville)-Africa</v>
      </c>
      <c r="Z545" s="14" t="str">
        <f>IFERROR(__xludf.DUMMYFUNCTION("""COMPUTED_VALUE"""),"Africa")</f>
        <v>Africa</v>
      </c>
      <c r="AA545" s="14" t="str">
        <f>IFERROR(__xludf.DUMMYFUNCTION("""COMPUTED_VALUE"""),"2010")</f>
        <v>2010</v>
      </c>
      <c r="AB545" s="15" t="str">
        <f>IFERROR(__xludf.DUMMYFUNCTION("ARRAYFORMULA(VLOOKUP(A545,IMPORTRANGE(""https://docs.google.com/spreadsheets/d/1BuTWp7qHGjWhqrnf-OmePP568O4A5Am9ttzvVdP67zw/edit#gid=1931367683"" ,""ENERGY!$A$2:$F$2692""), {2,3,4,5,6},0))"),"Africa")</f>
        <v>Africa</v>
      </c>
      <c r="AC545" s="14" t="str">
        <f>IFERROR(__xludf.DUMMYFUNCTION("""COMPUTED_VALUE"""),"Congo (Brazzaville)-Africa")</f>
        <v>Congo (Brazzaville)-Africa</v>
      </c>
      <c r="AD545" s="14" t="str">
        <f>IFERROR(__xludf.DUMMYFUNCTION("""COMPUTED_VALUE"""),"2007")</f>
        <v>2007</v>
      </c>
      <c r="AE545" s="14">
        <f>IFERROR(__xludf.DUMMYFUNCTION("""COMPUTED_VALUE"""),869.0)</f>
        <v>869</v>
      </c>
      <c r="AF545" s="14">
        <f>IFERROR(__xludf.DUMMYFUNCTION("""COMPUTED_VALUE"""),708.0)</f>
        <v>708</v>
      </c>
    </row>
    <row r="546">
      <c r="A546" s="12">
        <v>545.0</v>
      </c>
      <c r="B546" s="12" t="s">
        <v>120</v>
      </c>
      <c r="C546" s="5" t="s">
        <v>77</v>
      </c>
      <c r="D546" s="11">
        <v>0.653</v>
      </c>
      <c r="E546" s="11">
        <v>161.0</v>
      </c>
      <c r="F546" s="8"/>
      <c r="G546" s="11">
        <v>606.0</v>
      </c>
      <c r="H546" s="11">
        <v>0.056</v>
      </c>
      <c r="I546" s="11">
        <v>0.919</v>
      </c>
      <c r="J546" s="9" t="s">
        <v>72</v>
      </c>
      <c r="K546" s="14" t="str">
        <f>IFERROR(__xludf.DUMMYFUNCTION("ARRAYFORMULA(VLOOKUP(A546,IMPORTRANGE(""https://docs.google.com/spreadsheets/d/1BuTWp7qHGjWhqrnf-OmePP568O4A5Am9ttzvVdP67zw/edit#gid=1603210130"", ""TOURISM!$A$2:$F$2692""), {2,3,4,5,6},0))"),"Africa")</f>
        <v>Africa</v>
      </c>
      <c r="L546" s="14"/>
      <c r="M546" s="14" t="str">
        <f>IFERROR(__xludf.DUMMYFUNCTION("""COMPUTED_VALUE"""),"Congo (Brazzaville)-Africa")</f>
        <v>Congo (Brazzaville)-Africa</v>
      </c>
      <c r="N546" s="14" t="str">
        <f>IFERROR(__xludf.DUMMYFUNCTION("""COMPUTED_VALUE"""),"2011")</f>
        <v>2011</v>
      </c>
      <c r="O546" s="14"/>
      <c r="P546" s="15">
        <f>IFERROR(__xludf.DUMMYFUNCTION("ARRAYFORMULA(VLOOKUP(A546,IMPORTRANGE(""https://docs.google.com/spreadsheets/d/1BuTWp7qHGjWhqrnf-OmePP568O4A5Am9ttzvVdP67zw/edit#gid=771602874"" ,""HUMAN RESOURCES!$A$2:$M$2692""), {2,3,4,5,6,7,8,9,10,11,12,13},0))"),0.038)</f>
        <v>0.038</v>
      </c>
      <c r="Q546" s="14">
        <f>IFERROR(__xludf.DUMMYFUNCTION("""COMPUTED_VALUE"""),0.039)</f>
        <v>0.039</v>
      </c>
      <c r="R546" s="14">
        <f>IFERROR(__xludf.DUMMYFUNCTION("""COMPUTED_VALUE"""),59.0)</f>
        <v>59</v>
      </c>
      <c r="S546" s="14">
        <f>IFERROR(__xludf.DUMMYFUNCTION("""COMPUTED_VALUE"""),56.0)</f>
        <v>56</v>
      </c>
      <c r="T546" s="14">
        <f>IFERROR(__xludf.DUMMYFUNCTION("""COMPUTED_VALUE"""),0.423)</f>
        <v>0.423</v>
      </c>
      <c r="U546" s="14">
        <f>IFERROR(__xludf.DUMMYFUNCTION("""COMPUTED_VALUE"""),0.543)</f>
        <v>0.543</v>
      </c>
      <c r="V546" s="14">
        <f>IFERROR(__xludf.DUMMYFUNCTION("""COMPUTED_VALUE"""),0.034)</f>
        <v>0.034</v>
      </c>
      <c r="W546" s="14">
        <f>IFERROR(__xludf.DUMMYFUNCTION("""COMPUTED_VALUE"""),4225359.0)</f>
        <v>4225359</v>
      </c>
      <c r="X546" s="14">
        <f>IFERROR(__xludf.DUMMYFUNCTION("""COMPUTED_VALUE"""),0.637)</f>
        <v>0.637</v>
      </c>
      <c r="Y546" s="14" t="str">
        <f>IFERROR(__xludf.DUMMYFUNCTION("""COMPUTED_VALUE"""),"Congo (Brazzaville)-Africa")</f>
        <v>Congo (Brazzaville)-Africa</v>
      </c>
      <c r="Z546" s="14" t="str">
        <f>IFERROR(__xludf.DUMMYFUNCTION("""COMPUTED_VALUE"""),"Africa")</f>
        <v>Africa</v>
      </c>
      <c r="AA546" s="14" t="str">
        <f>IFERROR(__xludf.DUMMYFUNCTION("""COMPUTED_VALUE"""),"2011")</f>
        <v>2011</v>
      </c>
      <c r="AB546" s="15" t="str">
        <f>IFERROR(__xludf.DUMMYFUNCTION("ARRAYFORMULA(VLOOKUP(A546,IMPORTRANGE(""https://docs.google.com/spreadsheets/d/1BuTWp7qHGjWhqrnf-OmePP568O4A5Am9ttzvVdP67zw/edit#gid=1931367683"" ,""ENERGY!$A$2:$F$2692""), {2,3,4,5,6},0))"),"Africa")</f>
        <v>Africa</v>
      </c>
      <c r="AC546" s="14" t="str">
        <f>IFERROR(__xludf.DUMMYFUNCTION("""COMPUTED_VALUE"""),"Congo (Brazzaville)-Africa")</f>
        <v>Congo (Brazzaville)-Africa</v>
      </c>
      <c r="AD546" s="14" t="str">
        <f>IFERROR(__xludf.DUMMYFUNCTION("""COMPUTED_VALUE"""),"2004")</f>
        <v>2004</v>
      </c>
      <c r="AE546" s="14">
        <f>IFERROR(__xludf.DUMMYFUNCTION("""COMPUTED_VALUE"""),884.0)</f>
        <v>884</v>
      </c>
      <c r="AF546" s="14">
        <f>IFERROR(__xludf.DUMMYFUNCTION("""COMPUTED_VALUE"""),862.0)</f>
        <v>862</v>
      </c>
    </row>
    <row r="547">
      <c r="A547" s="12">
        <v>546.0</v>
      </c>
      <c r="B547" s="12" t="s">
        <v>120</v>
      </c>
      <c r="C547" s="5" t="s">
        <v>77</v>
      </c>
      <c r="D547" s="11">
        <v>0.649</v>
      </c>
      <c r="E547" s="11">
        <v>161.0</v>
      </c>
      <c r="F547" s="11">
        <v>186.0</v>
      </c>
      <c r="G547" s="11">
        <v>606.0</v>
      </c>
      <c r="H547" s="11">
        <v>0.061</v>
      </c>
      <c r="I547" s="11">
        <v>0.988</v>
      </c>
      <c r="J547" s="9" t="s">
        <v>73</v>
      </c>
      <c r="K547" s="14" t="str">
        <f>IFERROR(__xludf.DUMMYFUNCTION("ARRAYFORMULA(VLOOKUP(A547,IMPORTRANGE(""https://docs.google.com/spreadsheets/d/1BuTWp7qHGjWhqrnf-OmePP568O4A5Am9ttzvVdP67zw/edit#gid=1603210130"", ""TOURISM!$A$2:$F$2692""), {2,3,4,5,6},0))"),"Africa")</f>
        <v>Africa</v>
      </c>
      <c r="L547" s="14"/>
      <c r="M547" s="14" t="str">
        <f>IFERROR(__xludf.DUMMYFUNCTION("""COMPUTED_VALUE"""),"Congo (Brazzaville)-Africa")</f>
        <v>Congo (Brazzaville)-Africa</v>
      </c>
      <c r="N547" s="14" t="str">
        <f>IFERROR(__xludf.DUMMYFUNCTION("""COMPUTED_VALUE"""),"2012")</f>
        <v>2012</v>
      </c>
      <c r="O547" s="14"/>
      <c r="P547" s="15">
        <f>IFERROR(__xludf.DUMMYFUNCTION("ARRAYFORMULA(VLOOKUP(A547,IMPORTRANGE(""https://docs.google.com/spreadsheets/d/1BuTWp7qHGjWhqrnf-OmePP568O4A5Am9ttzvVdP67zw/edit#gid=771602874"" ,""HUMAN RESOURCES!$A$2:$M$2692""), {2,3,4,5,6,7,8,9,10,11,12,13},0))"),0.038)</f>
        <v>0.038</v>
      </c>
      <c r="Q547" s="14">
        <f>IFERROR(__xludf.DUMMYFUNCTION("""COMPUTED_VALUE"""),0.037)</f>
        <v>0.037</v>
      </c>
      <c r="R547" s="14">
        <f>IFERROR(__xludf.DUMMYFUNCTION("""COMPUTED_VALUE"""),60.0)</f>
        <v>60</v>
      </c>
      <c r="S547" s="14">
        <f>IFERROR(__xludf.DUMMYFUNCTION("""COMPUTED_VALUE"""),57.0)</f>
        <v>57</v>
      </c>
      <c r="T547" s="14">
        <f>IFERROR(__xludf.DUMMYFUNCTION("""COMPUTED_VALUE"""),0.424)</f>
        <v>0.424</v>
      </c>
      <c r="U547" s="14">
        <f>IFERROR(__xludf.DUMMYFUNCTION("""COMPUTED_VALUE"""),0.542)</f>
        <v>0.542</v>
      </c>
      <c r="V547" s="14">
        <f>IFERROR(__xludf.DUMMYFUNCTION("""COMPUTED_VALUE"""),0.034)</f>
        <v>0.034</v>
      </c>
      <c r="W547" s="14">
        <f>IFERROR(__xludf.DUMMYFUNCTION("""COMPUTED_VALUE"""),4337051.0)</f>
        <v>4337051</v>
      </c>
      <c r="X547" s="14">
        <f>IFERROR(__xludf.DUMMYFUNCTION("""COMPUTED_VALUE"""),0.641)</f>
        <v>0.641</v>
      </c>
      <c r="Y547" s="14" t="str">
        <f>IFERROR(__xludf.DUMMYFUNCTION("""COMPUTED_VALUE"""),"Congo (Brazzaville)-Africa")</f>
        <v>Congo (Brazzaville)-Africa</v>
      </c>
      <c r="Z547" s="14" t="str">
        <f>IFERROR(__xludf.DUMMYFUNCTION("""COMPUTED_VALUE"""),"Africa")</f>
        <v>Africa</v>
      </c>
      <c r="AA547" s="14" t="str">
        <f>IFERROR(__xludf.DUMMYFUNCTION("""COMPUTED_VALUE"""),"2012")</f>
        <v>2012</v>
      </c>
      <c r="AB547" s="15" t="str">
        <f>IFERROR(__xludf.DUMMYFUNCTION("ARRAYFORMULA(VLOOKUP(A547,IMPORTRANGE(""https://docs.google.com/spreadsheets/d/1BuTWp7qHGjWhqrnf-OmePP568O4A5Am9ttzvVdP67zw/edit#gid=1931367683"" ,""ENERGY!$A$2:$F$2692""), {2,3,4,5,6},0))"),"Africa")</f>
        <v>Africa</v>
      </c>
      <c r="AC547" s="14" t="str">
        <f>IFERROR(__xludf.DUMMYFUNCTION("""COMPUTED_VALUE"""),"Congo (Brazzaville)-Africa")</f>
        <v>Congo (Brazzaville)-Africa</v>
      </c>
      <c r="AD547" s="14" t="str">
        <f>IFERROR(__xludf.DUMMYFUNCTION("""COMPUTED_VALUE"""),"2009")</f>
        <v>2009</v>
      </c>
      <c r="AE547" s="14">
        <f>IFERROR(__xludf.DUMMYFUNCTION("""COMPUTED_VALUE"""),814.0)</f>
        <v>814</v>
      </c>
      <c r="AF547" s="14">
        <f>IFERROR(__xludf.DUMMYFUNCTION("""COMPUTED_VALUE"""),1049.0)</f>
        <v>1049</v>
      </c>
    </row>
    <row r="548">
      <c r="A548" s="12">
        <v>547.0</v>
      </c>
      <c r="B548" s="12" t="s">
        <v>121</v>
      </c>
      <c r="C548" s="5" t="s">
        <v>77</v>
      </c>
      <c r="D548" s="8"/>
      <c r="E548" s="8"/>
      <c r="F548" s="8"/>
      <c r="G548" s="8"/>
      <c r="H548" s="11">
        <v>0.0</v>
      </c>
      <c r="I548" s="11">
        <v>0.0</v>
      </c>
      <c r="J548" s="9" t="s">
        <v>60</v>
      </c>
      <c r="K548" s="14" t="str">
        <f>IFERROR(__xludf.DUMMYFUNCTION("ARRAYFORMULA(VLOOKUP(A548,IMPORTRANGE(""https://docs.google.com/spreadsheets/d/1BuTWp7qHGjWhqrnf-OmePP568O4A5Am9ttzvVdP67zw/edit#gid=1603210130"", ""TOURISM!$A$2:$F$2692""), {2,3,4,5,6},0))"),"Africa")</f>
        <v>Africa</v>
      </c>
      <c r="L548" s="14"/>
      <c r="M548" s="14" t="str">
        <f>IFERROR(__xludf.DUMMYFUNCTION("""COMPUTED_VALUE"""),"Congo (Kinshasa)-Africa")</f>
        <v>Congo (Kinshasa)-Africa</v>
      </c>
      <c r="N548" s="14" t="str">
        <f>IFERROR(__xludf.DUMMYFUNCTION("""COMPUTED_VALUE"""),"2000")</f>
        <v>2000</v>
      </c>
      <c r="O548" s="14"/>
      <c r="P548" s="15">
        <f>IFERROR(__xludf.DUMMYFUNCTION("ARRAYFORMULA(VLOOKUP(A548,IMPORTRANGE(""https://docs.google.com/spreadsheets/d/1BuTWp7qHGjWhqrnf-OmePP568O4A5Am9ttzvVdP67zw/edit#gid=771602874"" ,""HUMAN RESOURCES!$A$2:$M$2692""), {2,3,4,5,6,7,8,9,10,11,12,13},0))"),0.048)</f>
        <v>0.048</v>
      </c>
      <c r="Q548" s="14">
        <f>IFERROR(__xludf.DUMMYFUNCTION("""COMPUTED_VALUE"""),0.115)</f>
        <v>0.115</v>
      </c>
      <c r="R548" s="14">
        <f>IFERROR(__xludf.DUMMYFUNCTION("""COMPUTED_VALUE"""),48.0)</f>
        <v>48</v>
      </c>
      <c r="S548" s="14">
        <f>IFERROR(__xludf.DUMMYFUNCTION("""COMPUTED_VALUE"""),45.0)</f>
        <v>45</v>
      </c>
      <c r="T548" s="14">
        <f>IFERROR(__xludf.DUMMYFUNCTION("""COMPUTED_VALUE"""),0.464)</f>
        <v>0.464</v>
      </c>
      <c r="U548" s="14">
        <f>IFERROR(__xludf.DUMMYFUNCTION("""COMPUTED_VALUE"""),0.507)</f>
        <v>0.507</v>
      </c>
      <c r="V548" s="14">
        <f>IFERROR(__xludf.DUMMYFUNCTION("""COMPUTED_VALUE"""),0.028)</f>
        <v>0.028</v>
      </c>
      <c r="W548" s="14">
        <f>IFERROR(__xludf.DUMMYFUNCTION("""COMPUTED_VALUE"""),4.6949244E7)</f>
        <v>46949244</v>
      </c>
      <c r="X548" s="14">
        <f>IFERROR(__xludf.DUMMYFUNCTION("""COMPUTED_VALUE"""),0.351)</f>
        <v>0.351</v>
      </c>
      <c r="Y548" s="14" t="str">
        <f>IFERROR(__xludf.DUMMYFUNCTION("""COMPUTED_VALUE"""),"Congo (Kinshasa)-Africa")</f>
        <v>Congo (Kinshasa)-Africa</v>
      </c>
      <c r="Z548" s="14" t="str">
        <f>IFERROR(__xludf.DUMMYFUNCTION("""COMPUTED_VALUE"""),"Africa")</f>
        <v>Africa</v>
      </c>
      <c r="AA548" s="14" t="str">
        <f>IFERROR(__xludf.DUMMYFUNCTION("""COMPUTED_VALUE"""),"2000")</f>
        <v>2000</v>
      </c>
      <c r="AB548" s="15" t="str">
        <f>IFERROR(__xludf.DUMMYFUNCTION("ARRAYFORMULA(VLOOKUP(A548,IMPORTRANGE(""https://docs.google.com/spreadsheets/d/1BuTWp7qHGjWhqrnf-OmePP568O4A5Am9ttzvVdP67zw/edit#gid=1931367683"" ,""ENERGY!$A$2:$F$2692""), {2,3,4,5,6},0))"),"Africa")</f>
        <v>Africa</v>
      </c>
      <c r="AC548" s="14" t="str">
        <f>IFERROR(__xludf.DUMMYFUNCTION("""COMPUTED_VALUE"""),"Congo (Kinshasa)-Africa")</f>
        <v>Congo (Kinshasa)-Africa</v>
      </c>
      <c r="AD548" s="14" t="str">
        <f>IFERROR(__xludf.DUMMYFUNCTION("""COMPUTED_VALUE"""),"2000")</f>
        <v>2000</v>
      </c>
      <c r="AE548" s="14"/>
      <c r="AF548" s="14"/>
    </row>
    <row r="549">
      <c r="A549" s="12">
        <v>548.0</v>
      </c>
      <c r="B549" s="12" t="s">
        <v>121</v>
      </c>
      <c r="C549" s="5" t="s">
        <v>77</v>
      </c>
      <c r="D549" s="8"/>
      <c r="E549" s="8"/>
      <c r="F549" s="8"/>
      <c r="G549" s="8"/>
      <c r="H549" s="11">
        <v>0.0</v>
      </c>
      <c r="I549" s="11">
        <v>0.003</v>
      </c>
      <c r="J549" s="9" t="s">
        <v>62</v>
      </c>
      <c r="K549" s="14" t="str">
        <f>IFERROR(__xludf.DUMMYFUNCTION("ARRAYFORMULA(VLOOKUP(A549,IMPORTRANGE(""https://docs.google.com/spreadsheets/d/1BuTWp7qHGjWhqrnf-OmePP568O4A5Am9ttzvVdP67zw/edit#gid=1603210130"", ""TOURISM!$A$2:$F$2692""), {2,3,4,5,6},0))"),"Africa")</f>
        <v>Africa</v>
      </c>
      <c r="L549" s="14"/>
      <c r="M549" s="14" t="str">
        <f>IFERROR(__xludf.DUMMYFUNCTION("""COMPUTED_VALUE"""),"Congo (Kinshasa)-Africa")</f>
        <v>Congo (Kinshasa)-Africa</v>
      </c>
      <c r="N549" s="14" t="str">
        <f>IFERROR(__xludf.DUMMYFUNCTION("""COMPUTED_VALUE"""),"2001")</f>
        <v>2001</v>
      </c>
      <c r="O549" s="14"/>
      <c r="P549" s="15">
        <f>IFERROR(__xludf.DUMMYFUNCTION("ARRAYFORMULA(VLOOKUP(A549,IMPORTRANGE(""https://docs.google.com/spreadsheets/d/1BuTWp7qHGjWhqrnf-OmePP568O4A5Am9ttzvVdP67zw/edit#gid=771602874"" ,""HUMAN RESOURCES!$A$2:$M$2692""), {2,3,4,5,6,7,8,9,10,11,12,13},0))"),0.047)</f>
        <v>0.047</v>
      </c>
      <c r="Q549" s="14">
        <f>IFERROR(__xludf.DUMMYFUNCTION("""COMPUTED_VALUE"""),0.114)</f>
        <v>0.114</v>
      </c>
      <c r="R549" s="14">
        <f>IFERROR(__xludf.DUMMYFUNCTION("""COMPUTED_VALUE"""),48.0)</f>
        <v>48</v>
      </c>
      <c r="S549" s="14">
        <f>IFERROR(__xludf.DUMMYFUNCTION("""COMPUTED_VALUE"""),45.0)</f>
        <v>45</v>
      </c>
      <c r="T549" s="14">
        <f>IFERROR(__xludf.DUMMYFUNCTION("""COMPUTED_VALUE"""),0.464)</f>
        <v>0.464</v>
      </c>
      <c r="U549" s="14">
        <f>IFERROR(__xludf.DUMMYFUNCTION("""COMPUTED_VALUE"""),0.507)</f>
        <v>0.507</v>
      </c>
      <c r="V549" s="14">
        <f>IFERROR(__xludf.DUMMYFUNCTION("""COMPUTED_VALUE"""),0.028)</f>
        <v>0.028</v>
      </c>
      <c r="W549" s="14">
        <f>IFERROR(__xludf.DUMMYFUNCTION("""COMPUTED_VALUE"""),4.8167045E7)</f>
        <v>48167045</v>
      </c>
      <c r="X549" s="14">
        <f>IFERROR(__xludf.DUMMYFUNCTION("""COMPUTED_VALUE"""),0.356)</f>
        <v>0.356</v>
      </c>
      <c r="Y549" s="14" t="str">
        <f>IFERROR(__xludf.DUMMYFUNCTION("""COMPUTED_VALUE"""),"Congo (Kinshasa)-Africa")</f>
        <v>Congo (Kinshasa)-Africa</v>
      </c>
      <c r="Z549" s="14" t="str">
        <f>IFERROR(__xludf.DUMMYFUNCTION("""COMPUTED_VALUE"""),"Africa")</f>
        <v>Africa</v>
      </c>
      <c r="AA549" s="14" t="str">
        <f>IFERROR(__xludf.DUMMYFUNCTION("""COMPUTED_VALUE"""),"2001")</f>
        <v>2001</v>
      </c>
      <c r="AB549" s="15" t="str">
        <f>IFERROR(__xludf.DUMMYFUNCTION("ARRAYFORMULA(VLOOKUP(A549,IMPORTRANGE(""https://docs.google.com/spreadsheets/d/1BuTWp7qHGjWhqrnf-OmePP568O4A5Am9ttzvVdP67zw/edit#gid=1931367683"" ,""ENERGY!$A$2:$F$2692""), {2,3,4,5,6},0))"),"Africa")</f>
        <v>Africa</v>
      </c>
      <c r="AC549" s="14" t="str">
        <f>IFERROR(__xludf.DUMMYFUNCTION("""COMPUTED_VALUE"""),"Congo (Kinshasa)-Africa")</f>
        <v>Congo (Kinshasa)-Africa</v>
      </c>
      <c r="AD549" s="14" t="str">
        <f>IFERROR(__xludf.DUMMYFUNCTION("""COMPUTED_VALUE"""),"2001")</f>
        <v>2001</v>
      </c>
      <c r="AE549" s="14">
        <f>IFERROR(__xludf.DUMMYFUNCTION("""COMPUTED_VALUE"""),24497.0)</f>
        <v>24497</v>
      </c>
      <c r="AF549" s="14"/>
    </row>
    <row r="550">
      <c r="A550" s="12">
        <v>549.0</v>
      </c>
      <c r="B550" s="12" t="s">
        <v>121</v>
      </c>
      <c r="C550" s="5" t="s">
        <v>77</v>
      </c>
      <c r="D550" s="8"/>
      <c r="E550" s="8"/>
      <c r="F550" s="8"/>
      <c r="G550" s="8"/>
      <c r="H550" s="11">
        <v>0.001</v>
      </c>
      <c r="I550" s="11">
        <v>0.011</v>
      </c>
      <c r="J550" s="9" t="s">
        <v>63</v>
      </c>
      <c r="K550" s="14" t="str">
        <f>IFERROR(__xludf.DUMMYFUNCTION("ARRAYFORMULA(VLOOKUP(A550,IMPORTRANGE(""https://docs.google.com/spreadsheets/d/1BuTWp7qHGjWhqrnf-OmePP568O4A5Am9ttzvVdP67zw/edit#gid=1603210130"", ""TOURISM!$A$2:$F$2692""), {2,3,4,5,6},0))"),"Africa")</f>
        <v>Africa</v>
      </c>
      <c r="L550" s="14"/>
      <c r="M550" s="14" t="str">
        <f>IFERROR(__xludf.DUMMYFUNCTION("""COMPUTED_VALUE"""),"Congo (Kinshasa)-Africa")</f>
        <v>Congo (Kinshasa)-Africa</v>
      </c>
      <c r="N550" s="14" t="str">
        <f>IFERROR(__xludf.DUMMYFUNCTION("""COMPUTED_VALUE"""),"2002")</f>
        <v>2002</v>
      </c>
      <c r="O550" s="14"/>
      <c r="P550" s="15">
        <f>IFERROR(__xludf.DUMMYFUNCTION("ARRAYFORMULA(VLOOKUP(A550,IMPORTRANGE(""https://docs.google.com/spreadsheets/d/1BuTWp7qHGjWhqrnf-OmePP568O4A5Am9ttzvVdP67zw/edit#gid=771602874"" ,""HUMAN RESOURCES!$A$2:$M$2692""), {2,3,4,5,6,7,8,9,10,11,12,13},0))"),0.047)</f>
        <v>0.047</v>
      </c>
      <c r="Q550" s="14">
        <f>IFERROR(__xludf.DUMMYFUNCTION("""COMPUTED_VALUE"""),0.113)</f>
        <v>0.113</v>
      </c>
      <c r="R550" s="14">
        <f>IFERROR(__xludf.DUMMYFUNCTION("""COMPUTED_VALUE"""),48.0)</f>
        <v>48</v>
      </c>
      <c r="S550" s="14">
        <f>IFERROR(__xludf.DUMMYFUNCTION("""COMPUTED_VALUE"""),46.0)</f>
        <v>46</v>
      </c>
      <c r="T550" s="14">
        <f>IFERROR(__xludf.DUMMYFUNCTION("""COMPUTED_VALUE"""),0.464)</f>
        <v>0.464</v>
      </c>
      <c r="U550" s="14">
        <f>IFERROR(__xludf.DUMMYFUNCTION("""COMPUTED_VALUE"""),0.508)</f>
        <v>0.508</v>
      </c>
      <c r="V550" s="14">
        <f>IFERROR(__xludf.DUMMYFUNCTION("""COMPUTED_VALUE"""),0.028)</f>
        <v>0.028</v>
      </c>
      <c r="W550" s="14">
        <f>IFERROR(__xludf.DUMMYFUNCTION("""COMPUTED_VALUE"""),4.951696E7)</f>
        <v>49516960</v>
      </c>
      <c r="X550" s="14">
        <f>IFERROR(__xludf.DUMMYFUNCTION("""COMPUTED_VALUE"""),0.361)</f>
        <v>0.361</v>
      </c>
      <c r="Y550" s="14" t="str">
        <f>IFERROR(__xludf.DUMMYFUNCTION("""COMPUTED_VALUE"""),"Congo (Kinshasa)-Africa")</f>
        <v>Congo (Kinshasa)-Africa</v>
      </c>
      <c r="Z550" s="14" t="str">
        <f>IFERROR(__xludf.DUMMYFUNCTION("""COMPUTED_VALUE"""),"Africa")</f>
        <v>Africa</v>
      </c>
      <c r="AA550" s="14" t="str">
        <f>IFERROR(__xludf.DUMMYFUNCTION("""COMPUTED_VALUE"""),"2002")</f>
        <v>2002</v>
      </c>
      <c r="AB550" s="15" t="str">
        <f>IFERROR(__xludf.DUMMYFUNCTION("ARRAYFORMULA(VLOOKUP(A550,IMPORTRANGE(""https://docs.google.com/spreadsheets/d/1BuTWp7qHGjWhqrnf-OmePP568O4A5Am9ttzvVdP67zw/edit#gid=1931367683"" ,""ENERGY!$A$2:$F$2692""), {2,3,4,5,6},0))"),"Africa")</f>
        <v>Africa</v>
      </c>
      <c r="AC550" s="14" t="str">
        <f>IFERROR(__xludf.DUMMYFUNCTION("""COMPUTED_VALUE"""),"Congo (Kinshasa)-Africa")</f>
        <v>Congo (Kinshasa)-Africa</v>
      </c>
      <c r="AD550" s="14" t="str">
        <f>IFERROR(__xludf.DUMMYFUNCTION("""COMPUTED_VALUE"""),"2002")</f>
        <v>2002</v>
      </c>
      <c r="AE550" s="14">
        <f>IFERROR(__xludf.DUMMYFUNCTION("""COMPUTED_VALUE"""),23766.0)</f>
        <v>23766</v>
      </c>
      <c r="AF550" s="14">
        <f>IFERROR(__xludf.DUMMYFUNCTION("""COMPUTED_VALUE"""),3040.0)</f>
        <v>3040</v>
      </c>
    </row>
    <row r="551">
      <c r="A551" s="12">
        <v>550.0</v>
      </c>
      <c r="B551" s="12" t="s">
        <v>121</v>
      </c>
      <c r="C551" s="5" t="s">
        <v>77</v>
      </c>
      <c r="D551" s="8"/>
      <c r="E551" s="11">
        <v>166.0</v>
      </c>
      <c r="F551" s="8"/>
      <c r="G551" s="8"/>
      <c r="H551" s="11">
        <v>0.001</v>
      </c>
      <c r="I551" s="11">
        <v>0.024</v>
      </c>
      <c r="J551" s="9" t="s">
        <v>64</v>
      </c>
      <c r="K551" s="14" t="str">
        <f>IFERROR(__xludf.DUMMYFUNCTION("ARRAYFORMULA(VLOOKUP(A551,IMPORTRANGE(""https://docs.google.com/spreadsheets/d/1BuTWp7qHGjWhqrnf-OmePP568O4A5Am9ttzvVdP67zw/edit#gid=1603210130"", ""TOURISM!$A$2:$F$2692""), {2,3,4,5,6},0))"),"Africa")</f>
        <v>Africa</v>
      </c>
      <c r="L551" s="14"/>
      <c r="M551" s="14" t="str">
        <f>IFERROR(__xludf.DUMMYFUNCTION("""COMPUTED_VALUE"""),"Congo (Kinshasa)-Africa")</f>
        <v>Congo (Kinshasa)-Africa</v>
      </c>
      <c r="N551" s="14" t="str">
        <f>IFERROR(__xludf.DUMMYFUNCTION("""COMPUTED_VALUE"""),"2003")</f>
        <v>2003</v>
      </c>
      <c r="O551" s="14"/>
      <c r="P551" s="15">
        <f>IFERROR(__xludf.DUMMYFUNCTION("ARRAYFORMULA(VLOOKUP(A551,IMPORTRANGE(""https://docs.google.com/spreadsheets/d/1BuTWp7qHGjWhqrnf-OmePP568O4A5Am9ttzvVdP67zw/edit#gid=771602874"" ,""HUMAN RESOURCES!$A$2:$M$2692""), {2,3,4,5,6,7,8,9,10,11,12,13},0))"),0.047)</f>
        <v>0.047</v>
      </c>
      <c r="Q551" s="14">
        <f>IFERROR(__xludf.DUMMYFUNCTION("""COMPUTED_VALUE"""),0.111)</f>
        <v>0.111</v>
      </c>
      <c r="R551" s="14">
        <f>IFERROR(__xludf.DUMMYFUNCTION("""COMPUTED_VALUE"""),49.0)</f>
        <v>49</v>
      </c>
      <c r="S551" s="14">
        <f>IFERROR(__xludf.DUMMYFUNCTION("""COMPUTED_VALUE"""),46.0)</f>
        <v>46</v>
      </c>
      <c r="T551" s="14">
        <f>IFERROR(__xludf.DUMMYFUNCTION("""COMPUTED_VALUE"""),0.464)</f>
        <v>0.464</v>
      </c>
      <c r="U551" s="14">
        <f>IFERROR(__xludf.DUMMYFUNCTION("""COMPUTED_VALUE"""),0.508)</f>
        <v>0.508</v>
      </c>
      <c r="V551" s="14">
        <f>IFERROR(__xludf.DUMMYFUNCTION("""COMPUTED_VALUE"""),0.028)</f>
        <v>0.028</v>
      </c>
      <c r="W551" s="14">
        <f>IFERROR(__xludf.DUMMYFUNCTION("""COMPUTED_VALUE"""),5.0972323E7)</f>
        <v>50972323</v>
      </c>
      <c r="X551" s="14">
        <f>IFERROR(__xludf.DUMMYFUNCTION("""COMPUTED_VALUE"""),0.365)</f>
        <v>0.365</v>
      </c>
      <c r="Y551" s="14" t="str">
        <f>IFERROR(__xludf.DUMMYFUNCTION("""COMPUTED_VALUE"""),"Congo (Kinshasa)-Africa")</f>
        <v>Congo (Kinshasa)-Africa</v>
      </c>
      <c r="Z551" s="14" t="str">
        <f>IFERROR(__xludf.DUMMYFUNCTION("""COMPUTED_VALUE"""),"Africa")</f>
        <v>Africa</v>
      </c>
      <c r="AA551" s="14" t="str">
        <f>IFERROR(__xludf.DUMMYFUNCTION("""COMPUTED_VALUE"""),"2003")</f>
        <v>2003</v>
      </c>
      <c r="AB551" s="15" t="str">
        <f>IFERROR(__xludf.DUMMYFUNCTION("ARRAYFORMULA(VLOOKUP(A551,IMPORTRANGE(""https://docs.google.com/spreadsheets/d/1BuTWp7qHGjWhqrnf-OmePP568O4A5Am9ttzvVdP67zw/edit#gid=1931367683"" ,""ENERGY!$A$2:$F$2692""), {2,3,4,5,6},0))"),"Africa")</f>
        <v>Africa</v>
      </c>
      <c r="AC551" s="14" t="str">
        <f>IFERROR(__xludf.DUMMYFUNCTION("""COMPUTED_VALUE"""),"Congo (Kinshasa)-Africa")</f>
        <v>Congo (Kinshasa)-Africa</v>
      </c>
      <c r="AD551" s="14" t="str">
        <f>IFERROR(__xludf.DUMMYFUNCTION("""COMPUTED_VALUE"""),"2003")</f>
        <v>2003</v>
      </c>
      <c r="AE551" s="14">
        <f>IFERROR(__xludf.DUMMYFUNCTION("""COMPUTED_VALUE"""),22925.0)</f>
        <v>22925</v>
      </c>
      <c r="AF551" s="14">
        <f>IFERROR(__xludf.DUMMYFUNCTION("""COMPUTED_VALUE"""),2721.0)</f>
        <v>2721</v>
      </c>
    </row>
    <row r="552">
      <c r="A552" s="12">
        <v>551.0</v>
      </c>
      <c r="B552" s="12" t="s">
        <v>121</v>
      </c>
      <c r="C552" s="5" t="s">
        <v>77</v>
      </c>
      <c r="D552" s="8"/>
      <c r="E552" s="11">
        <v>133.0</v>
      </c>
      <c r="F552" s="8"/>
      <c r="G552" s="8"/>
      <c r="H552" s="11">
        <v>0.002</v>
      </c>
      <c r="I552" s="11">
        <v>0.038</v>
      </c>
      <c r="J552" s="9" t="s">
        <v>65</v>
      </c>
      <c r="K552" s="14" t="str">
        <f>IFERROR(__xludf.DUMMYFUNCTION("ARRAYFORMULA(VLOOKUP(A552,IMPORTRANGE(""https://docs.google.com/spreadsheets/d/1BuTWp7qHGjWhqrnf-OmePP568O4A5Am9ttzvVdP67zw/edit#gid=1603210130"", ""TOURISM!$A$2:$F$2692""), {2,3,4,5,6},0))"),"Africa")</f>
        <v>Africa</v>
      </c>
      <c r="L552" s="14"/>
      <c r="M552" s="14" t="str">
        <f>IFERROR(__xludf.DUMMYFUNCTION("""COMPUTED_VALUE"""),"Congo (Kinshasa)-Africa")</f>
        <v>Congo (Kinshasa)-Africa</v>
      </c>
      <c r="N552" s="14" t="str">
        <f>IFERROR(__xludf.DUMMYFUNCTION("""COMPUTED_VALUE"""),"2004")</f>
        <v>2004</v>
      </c>
      <c r="O552" s="14"/>
      <c r="P552" s="15">
        <f>IFERROR(__xludf.DUMMYFUNCTION("ARRAYFORMULA(VLOOKUP(A552,IMPORTRANGE(""https://docs.google.com/spreadsheets/d/1BuTWp7qHGjWhqrnf-OmePP568O4A5Am9ttzvVdP67zw/edit#gid=771602874"" ,""HUMAN RESOURCES!$A$2:$M$2692""), {2,3,4,5,6,7,8,9,10,11,12,13},0))"),0.046)</f>
        <v>0.046</v>
      </c>
      <c r="Q552" s="14">
        <f>IFERROR(__xludf.DUMMYFUNCTION("""COMPUTED_VALUE"""),0.108)</f>
        <v>0.108</v>
      </c>
      <c r="R552" s="14">
        <f>IFERROR(__xludf.DUMMYFUNCTION("""COMPUTED_VALUE"""),49.0)</f>
        <v>49</v>
      </c>
      <c r="S552" s="14">
        <f>IFERROR(__xludf.DUMMYFUNCTION("""COMPUTED_VALUE"""),46.0)</f>
        <v>46</v>
      </c>
      <c r="T552" s="14">
        <f>IFERROR(__xludf.DUMMYFUNCTION("""COMPUTED_VALUE"""),0.463)</f>
        <v>0.463</v>
      </c>
      <c r="U552" s="14">
        <f>IFERROR(__xludf.DUMMYFUNCTION("""COMPUTED_VALUE"""),0.509)</f>
        <v>0.509</v>
      </c>
      <c r="V552" s="14">
        <f>IFERROR(__xludf.DUMMYFUNCTION("""COMPUTED_VALUE"""),0.028)</f>
        <v>0.028</v>
      </c>
      <c r="W552" s="14">
        <f>IFERROR(__xludf.DUMMYFUNCTION("""COMPUTED_VALUE"""),5.2487293E7)</f>
        <v>52487293</v>
      </c>
      <c r="X552" s="14">
        <f>IFERROR(__xludf.DUMMYFUNCTION("""COMPUTED_VALUE"""),0.37)</f>
        <v>0.37</v>
      </c>
      <c r="Y552" s="14" t="str">
        <f>IFERROR(__xludf.DUMMYFUNCTION("""COMPUTED_VALUE"""),"Congo (Kinshasa)-Africa")</f>
        <v>Congo (Kinshasa)-Africa</v>
      </c>
      <c r="Z552" s="14" t="str">
        <f>IFERROR(__xludf.DUMMYFUNCTION("""COMPUTED_VALUE"""),"Africa")</f>
        <v>Africa</v>
      </c>
      <c r="AA552" s="14" t="str">
        <f>IFERROR(__xludf.DUMMYFUNCTION("""COMPUTED_VALUE"""),"2004")</f>
        <v>2004</v>
      </c>
      <c r="AB552" s="15" t="str">
        <f>IFERROR(__xludf.DUMMYFUNCTION("ARRAYFORMULA(VLOOKUP(A552,IMPORTRANGE(""https://docs.google.com/spreadsheets/d/1BuTWp7qHGjWhqrnf-OmePP568O4A5Am9ttzvVdP67zw/edit#gid=1931367683"" ,""ENERGY!$A$2:$F$2692""), {2,3,4,5,6},0))"),"Africa")</f>
        <v>Africa</v>
      </c>
      <c r="AC552" s="14" t="str">
        <f>IFERROR(__xludf.DUMMYFUNCTION("""COMPUTED_VALUE"""),"Congo (Kinshasa)-Africa")</f>
        <v>Congo (Kinshasa)-Africa</v>
      </c>
      <c r="AD552" s="14" t="str">
        <f>IFERROR(__xludf.DUMMYFUNCTION("""COMPUTED_VALUE"""),"2004")</f>
        <v>2004</v>
      </c>
      <c r="AE552" s="14">
        <f>IFERROR(__xludf.DUMMYFUNCTION("""COMPUTED_VALUE"""),22246.0)</f>
        <v>22246</v>
      </c>
      <c r="AF552" s="14">
        <f>IFERROR(__xludf.DUMMYFUNCTION("""COMPUTED_VALUE"""),2820.0)</f>
        <v>2820</v>
      </c>
    </row>
    <row r="553">
      <c r="A553" s="12">
        <v>552.0</v>
      </c>
      <c r="B553" s="12" t="s">
        <v>121</v>
      </c>
      <c r="C553" s="5" t="s">
        <v>77</v>
      </c>
      <c r="D553" s="11">
        <v>2.865</v>
      </c>
      <c r="E553" s="11">
        <v>133.0</v>
      </c>
      <c r="F553" s="8"/>
      <c r="G553" s="11">
        <v>308.0</v>
      </c>
      <c r="H553" s="11">
        <v>0.002</v>
      </c>
      <c r="I553" s="11">
        <v>0.051</v>
      </c>
      <c r="J553" s="9" t="s">
        <v>66</v>
      </c>
      <c r="K553" s="14" t="str">
        <f>IFERROR(__xludf.DUMMYFUNCTION("ARRAYFORMULA(VLOOKUP(A553,IMPORTRANGE(""https://docs.google.com/spreadsheets/d/1BuTWp7qHGjWhqrnf-OmePP568O4A5Am9ttzvVdP67zw/edit#gid=1603210130"", ""TOURISM!$A$2:$F$2692""), {2,3,4,5,6},0))"),"Africa")</f>
        <v>Africa</v>
      </c>
      <c r="L553" s="14">
        <f>IFERROR(__xludf.DUMMYFUNCTION("""COMPUTED_VALUE"""),3200000.0)</f>
        <v>3200000</v>
      </c>
      <c r="M553" s="14" t="str">
        <f>IFERROR(__xludf.DUMMYFUNCTION("""COMPUTED_VALUE"""),"Congo (Kinshasa)-Africa")</f>
        <v>Congo (Kinshasa)-Africa</v>
      </c>
      <c r="N553" s="14" t="str">
        <f>IFERROR(__xludf.DUMMYFUNCTION("""COMPUTED_VALUE"""),"2005")</f>
        <v>2005</v>
      </c>
      <c r="O553" s="14">
        <f>IFERROR(__xludf.DUMMYFUNCTION("""COMPUTED_VALUE"""),5.4E7)</f>
        <v>54000000</v>
      </c>
      <c r="P553" s="15">
        <f>IFERROR(__xludf.DUMMYFUNCTION("ARRAYFORMULA(VLOOKUP(A553,IMPORTRANGE(""https://docs.google.com/spreadsheets/d/1BuTWp7qHGjWhqrnf-OmePP568O4A5Am9ttzvVdP67zw/edit#gid=771602874"" ,""HUMAN RESOURCES!$A$2:$M$2692""), {2,3,4,5,6,7,8,9,10,11,12,13},0))"),0.046)</f>
        <v>0.046</v>
      </c>
      <c r="Q553" s="14">
        <f>IFERROR(__xludf.DUMMYFUNCTION("""COMPUTED_VALUE"""),0.105)</f>
        <v>0.105</v>
      </c>
      <c r="R553" s="14">
        <f>IFERROR(__xludf.DUMMYFUNCTION("""COMPUTED_VALUE"""),49.0)</f>
        <v>49</v>
      </c>
      <c r="S553" s="14">
        <f>IFERROR(__xludf.DUMMYFUNCTION("""COMPUTED_VALUE"""),46.0)</f>
        <v>46</v>
      </c>
      <c r="T553" s="14">
        <f>IFERROR(__xludf.DUMMYFUNCTION("""COMPUTED_VALUE"""),0.462)</f>
        <v>0.462</v>
      </c>
      <c r="U553" s="14">
        <f>IFERROR(__xludf.DUMMYFUNCTION("""COMPUTED_VALUE"""),0.51)</f>
        <v>0.51</v>
      </c>
      <c r="V553" s="14">
        <f>IFERROR(__xludf.DUMMYFUNCTION("""COMPUTED_VALUE"""),0.028)</f>
        <v>0.028</v>
      </c>
      <c r="W553" s="14">
        <f>IFERROR(__xludf.DUMMYFUNCTION("""COMPUTED_VALUE"""),5.4028003E7)</f>
        <v>54028003</v>
      </c>
      <c r="X553" s="14">
        <f>IFERROR(__xludf.DUMMYFUNCTION("""COMPUTED_VALUE"""),0.375)</f>
        <v>0.375</v>
      </c>
      <c r="Y553" s="14" t="str">
        <f>IFERROR(__xludf.DUMMYFUNCTION("""COMPUTED_VALUE"""),"Congo (Kinshasa)-Africa")</f>
        <v>Congo (Kinshasa)-Africa</v>
      </c>
      <c r="Z553" s="14" t="str">
        <f>IFERROR(__xludf.DUMMYFUNCTION("""COMPUTED_VALUE"""),"Africa")</f>
        <v>Africa</v>
      </c>
      <c r="AA553" s="14" t="str">
        <f>IFERROR(__xludf.DUMMYFUNCTION("""COMPUTED_VALUE"""),"2005")</f>
        <v>2005</v>
      </c>
      <c r="AB553" s="15" t="str">
        <f>IFERROR(__xludf.DUMMYFUNCTION("ARRAYFORMULA(VLOOKUP(A553,IMPORTRANGE(""https://docs.google.com/spreadsheets/d/1BuTWp7qHGjWhqrnf-OmePP568O4A5Am9ttzvVdP67zw/edit#gid=1931367683"" ,""ENERGY!$A$2:$F$2692""), {2,3,4,5,6},0))"),"Africa")</f>
        <v>Africa</v>
      </c>
      <c r="AC553" s="14" t="str">
        <f>IFERROR(__xludf.DUMMYFUNCTION("""COMPUTED_VALUE"""),"Congo (Kinshasa)-Africa")</f>
        <v>Congo (Kinshasa)-Africa</v>
      </c>
      <c r="AD553" s="14" t="str">
        <f>IFERROR(__xludf.DUMMYFUNCTION("""COMPUTED_VALUE"""),"2006")</f>
        <v>2006</v>
      </c>
      <c r="AE553" s="14">
        <f>IFERROR(__xludf.DUMMYFUNCTION("""COMPUTED_VALUE"""),21459.0)</f>
        <v>21459</v>
      </c>
      <c r="AF553" s="14">
        <f>IFERROR(__xludf.DUMMYFUNCTION("""COMPUTED_VALUE"""),2604.0)</f>
        <v>2604</v>
      </c>
    </row>
    <row r="554">
      <c r="A554" s="12">
        <v>553.0</v>
      </c>
      <c r="B554" s="12" t="s">
        <v>121</v>
      </c>
      <c r="C554" s="5" t="s">
        <v>77</v>
      </c>
      <c r="D554" s="11">
        <v>2.865</v>
      </c>
      <c r="E554" s="11">
        <v>133.0</v>
      </c>
      <c r="F554" s="8"/>
      <c r="G554" s="11">
        <v>308.0</v>
      </c>
      <c r="H554" s="11">
        <v>0.003</v>
      </c>
      <c r="I554" s="11">
        <v>0.079</v>
      </c>
      <c r="J554" s="9" t="s">
        <v>67</v>
      </c>
      <c r="K554" s="14" t="str">
        <f>IFERROR(__xludf.DUMMYFUNCTION("ARRAYFORMULA(VLOOKUP(A554,IMPORTRANGE(""https://docs.google.com/spreadsheets/d/1BuTWp7qHGjWhqrnf-OmePP568O4A5Am9ttzvVdP67zw/edit#gid=1603210130"", ""TOURISM!$A$2:$F$2692""), {2,3,4,5,6},0))"),"Africa")</f>
        <v>Africa</v>
      </c>
      <c r="L554" s="14">
        <f>IFERROR(__xludf.DUMMYFUNCTION("""COMPUTED_VALUE"""),3100000.0)</f>
        <v>3100000</v>
      </c>
      <c r="M554" s="14" t="str">
        <f>IFERROR(__xludf.DUMMYFUNCTION("""COMPUTED_VALUE"""),"Congo (Kinshasa)-Africa")</f>
        <v>Congo (Kinshasa)-Africa</v>
      </c>
      <c r="N554" s="14" t="str">
        <f>IFERROR(__xludf.DUMMYFUNCTION("""COMPUTED_VALUE"""),"2006")</f>
        <v>2006</v>
      </c>
      <c r="O554" s="14">
        <f>IFERROR(__xludf.DUMMYFUNCTION("""COMPUTED_VALUE"""),9.3E7)</f>
        <v>93000000</v>
      </c>
      <c r="P554" s="15">
        <f>IFERROR(__xludf.DUMMYFUNCTION("ARRAYFORMULA(VLOOKUP(A554,IMPORTRANGE(""https://docs.google.com/spreadsheets/d/1BuTWp7qHGjWhqrnf-OmePP568O4A5Am9ttzvVdP67zw/edit#gid=771602874"" ,""HUMAN RESOURCES!$A$2:$M$2692""), {2,3,4,5,6,7,8,9,10,11,12,13},0))"),0.046)</f>
        <v>0.046</v>
      </c>
      <c r="Q554" s="14">
        <f>IFERROR(__xludf.DUMMYFUNCTION("""COMPUTED_VALUE"""),0.102)</f>
        <v>0.102</v>
      </c>
      <c r="R554" s="14">
        <f>IFERROR(__xludf.DUMMYFUNCTION("""COMPUTED_VALUE"""),50.0)</f>
        <v>50</v>
      </c>
      <c r="S554" s="14">
        <f>IFERROR(__xludf.DUMMYFUNCTION("""COMPUTED_VALUE"""),46.0)</f>
        <v>46</v>
      </c>
      <c r="T554" s="14">
        <f>IFERROR(__xludf.DUMMYFUNCTION("""COMPUTED_VALUE"""),0.461)</f>
        <v>0.461</v>
      </c>
      <c r="U554" s="14">
        <f>IFERROR(__xludf.DUMMYFUNCTION("""COMPUTED_VALUE"""),0.511)</f>
        <v>0.511</v>
      </c>
      <c r="V554" s="14">
        <f>IFERROR(__xludf.DUMMYFUNCTION("""COMPUTED_VALUE"""),0.028)</f>
        <v>0.028</v>
      </c>
      <c r="W554" s="14">
        <f>IFERROR(__xludf.DUMMYFUNCTION("""COMPUTED_VALUE"""),5.5590838E7)</f>
        <v>55590838</v>
      </c>
      <c r="X554" s="14">
        <f>IFERROR(__xludf.DUMMYFUNCTION("""COMPUTED_VALUE"""),0.38)</f>
        <v>0.38</v>
      </c>
      <c r="Y554" s="14" t="str">
        <f>IFERROR(__xludf.DUMMYFUNCTION("""COMPUTED_VALUE"""),"Congo (Kinshasa)-Africa")</f>
        <v>Congo (Kinshasa)-Africa</v>
      </c>
      <c r="Z554" s="14" t="str">
        <f>IFERROR(__xludf.DUMMYFUNCTION("""COMPUTED_VALUE"""),"Africa")</f>
        <v>Africa</v>
      </c>
      <c r="AA554" s="14" t="str">
        <f>IFERROR(__xludf.DUMMYFUNCTION("""COMPUTED_VALUE"""),"2006")</f>
        <v>2006</v>
      </c>
      <c r="AB554" s="15" t="str">
        <f>IFERROR(__xludf.DUMMYFUNCTION("ARRAYFORMULA(VLOOKUP(A554,IMPORTRANGE(""https://docs.google.com/spreadsheets/d/1BuTWp7qHGjWhqrnf-OmePP568O4A5Am9ttzvVdP67zw/edit#gid=1931367683"" ,""ENERGY!$A$2:$F$2692""), {2,3,4,5,6},0))"),"Africa")</f>
        <v>Africa</v>
      </c>
      <c r="AC554" s="14" t="str">
        <f>IFERROR(__xludf.DUMMYFUNCTION("""COMPUTED_VALUE"""),"Congo (Kinshasa)-Africa")</f>
        <v>Congo (Kinshasa)-Africa</v>
      </c>
      <c r="AD554" s="14" t="str">
        <f>IFERROR(__xludf.DUMMYFUNCTION("""COMPUTED_VALUE"""),"2010")</f>
        <v>2010</v>
      </c>
      <c r="AE554" s="14">
        <f>IFERROR(__xludf.DUMMYFUNCTION("""COMPUTED_VALUE"""),20715.0)</f>
        <v>20715</v>
      </c>
      <c r="AF554" s="14">
        <f>IFERROR(__xludf.DUMMYFUNCTION("""COMPUTED_VALUE"""),2417.0)</f>
        <v>2417</v>
      </c>
    </row>
    <row r="555">
      <c r="A555" s="12">
        <v>554.0</v>
      </c>
      <c r="B555" s="12" t="s">
        <v>121</v>
      </c>
      <c r="C555" s="5" t="s">
        <v>77</v>
      </c>
      <c r="D555" s="11">
        <v>2.881</v>
      </c>
      <c r="E555" s="11">
        <v>133.0</v>
      </c>
      <c r="F555" s="8"/>
      <c r="G555" s="11">
        <v>308.0</v>
      </c>
      <c r="H555" s="11">
        <v>0.004</v>
      </c>
      <c r="I555" s="11">
        <v>0.115</v>
      </c>
      <c r="J555" s="9" t="s">
        <v>68</v>
      </c>
      <c r="K555" s="14" t="str">
        <f>IFERROR(__xludf.DUMMYFUNCTION("ARRAYFORMULA(VLOOKUP(A555,IMPORTRANGE(""https://docs.google.com/spreadsheets/d/1BuTWp7qHGjWhqrnf-OmePP568O4A5Am9ttzvVdP67zw/edit#gid=1603210130"", ""TOURISM!$A$2:$F$2692""), {2,3,4,5,6},0))"),"Africa")</f>
        <v>Africa</v>
      </c>
      <c r="L555" s="14">
        <f>IFERROR(__xludf.DUMMYFUNCTION("""COMPUTED_VALUE"""),700000.0)</f>
        <v>700000</v>
      </c>
      <c r="M555" s="14" t="str">
        <f>IFERROR(__xludf.DUMMYFUNCTION("""COMPUTED_VALUE"""),"Congo (Kinshasa)-Africa")</f>
        <v>Congo (Kinshasa)-Africa</v>
      </c>
      <c r="N555" s="14" t="str">
        <f>IFERROR(__xludf.DUMMYFUNCTION("""COMPUTED_VALUE"""),"2007")</f>
        <v>2007</v>
      </c>
      <c r="O555" s="14">
        <f>IFERROR(__xludf.DUMMYFUNCTION("""COMPUTED_VALUE"""),1.09E8)</f>
        <v>109000000</v>
      </c>
      <c r="P555" s="15">
        <f>IFERROR(__xludf.DUMMYFUNCTION("ARRAYFORMULA(VLOOKUP(A555,IMPORTRANGE(""https://docs.google.com/spreadsheets/d/1BuTWp7qHGjWhqrnf-OmePP568O4A5Am9ttzvVdP67zw/edit#gid=771602874"" ,""HUMAN RESOURCES!$A$2:$M$2692""), {2,3,4,5,6,7,8,9,10,11,12,13},0))"),0.045)</f>
        <v>0.045</v>
      </c>
      <c r="Q555" s="14">
        <f>IFERROR(__xludf.DUMMYFUNCTION("""COMPUTED_VALUE"""),0.1)</f>
        <v>0.1</v>
      </c>
      <c r="R555" s="14">
        <f>IFERROR(__xludf.DUMMYFUNCTION("""COMPUTED_VALUE"""),50.0)</f>
        <v>50</v>
      </c>
      <c r="S555" s="14">
        <f>IFERROR(__xludf.DUMMYFUNCTION("""COMPUTED_VALUE"""),47.0)</f>
        <v>47</v>
      </c>
      <c r="T555" s="14">
        <f>IFERROR(__xludf.DUMMYFUNCTION("""COMPUTED_VALUE"""),0.46)</f>
        <v>0.46</v>
      </c>
      <c r="U555" s="14">
        <f>IFERROR(__xludf.DUMMYFUNCTION("""COMPUTED_VALUE"""),0.512)</f>
        <v>0.512</v>
      </c>
      <c r="V555" s="14">
        <f>IFERROR(__xludf.DUMMYFUNCTION("""COMPUTED_VALUE"""),0.028)</f>
        <v>0.028</v>
      </c>
      <c r="W555" s="14">
        <f>IFERROR(__xludf.DUMMYFUNCTION("""COMPUTED_VALUE"""),5.7187942E7)</f>
        <v>57187942</v>
      </c>
      <c r="X555" s="14">
        <f>IFERROR(__xludf.DUMMYFUNCTION("""COMPUTED_VALUE"""),0.384)</f>
        <v>0.384</v>
      </c>
      <c r="Y555" s="14" t="str">
        <f>IFERROR(__xludf.DUMMYFUNCTION("""COMPUTED_VALUE"""),"Congo (Kinshasa)-Africa")</f>
        <v>Congo (Kinshasa)-Africa</v>
      </c>
      <c r="Z555" s="14" t="str">
        <f>IFERROR(__xludf.DUMMYFUNCTION("""COMPUTED_VALUE"""),"Africa")</f>
        <v>Africa</v>
      </c>
      <c r="AA555" s="14" t="str">
        <f>IFERROR(__xludf.DUMMYFUNCTION("""COMPUTED_VALUE"""),"2007")</f>
        <v>2007</v>
      </c>
      <c r="AB555" s="15" t="str">
        <f>IFERROR(__xludf.DUMMYFUNCTION("ARRAYFORMULA(VLOOKUP(A555,IMPORTRANGE(""https://docs.google.com/spreadsheets/d/1BuTWp7qHGjWhqrnf-OmePP568O4A5Am9ttzvVdP67zw/edit#gid=1931367683"" ,""ENERGY!$A$2:$F$2692""), {2,3,4,5,6},0))"),"Africa")</f>
        <v>Africa</v>
      </c>
      <c r="AC555" s="14" t="str">
        <f>IFERROR(__xludf.DUMMYFUNCTION("""COMPUTED_VALUE"""),"Congo (Kinshasa)-Africa")</f>
        <v>Congo (Kinshasa)-Africa</v>
      </c>
      <c r="AD555" s="14" t="str">
        <f>IFERROR(__xludf.DUMMYFUNCTION("""COMPUTED_VALUE"""),"2006")</f>
        <v>2006</v>
      </c>
      <c r="AE555" s="14">
        <f>IFERROR(__xludf.DUMMYFUNCTION("""COMPUTED_VALUE"""),19971.0)</f>
        <v>19971</v>
      </c>
      <c r="AF555" s="14">
        <f>IFERROR(__xludf.DUMMYFUNCTION("""COMPUTED_VALUE"""),2226.0)</f>
        <v>2226</v>
      </c>
    </row>
    <row r="556">
      <c r="A556" s="12">
        <v>555.0</v>
      </c>
      <c r="B556" s="12" t="s">
        <v>121</v>
      </c>
      <c r="C556" s="5" t="s">
        <v>77</v>
      </c>
      <c r="D556" s="11">
        <v>2.881</v>
      </c>
      <c r="E556" s="11">
        <v>133.0</v>
      </c>
      <c r="F556" s="8"/>
      <c r="G556" s="11">
        <v>308.0</v>
      </c>
      <c r="H556" s="11">
        <v>0.004</v>
      </c>
      <c r="I556" s="11">
        <v>0.169</v>
      </c>
      <c r="J556" s="9" t="s">
        <v>69</v>
      </c>
      <c r="K556" s="14" t="str">
        <f>IFERROR(__xludf.DUMMYFUNCTION("ARRAYFORMULA(VLOOKUP(A556,IMPORTRANGE(""https://docs.google.com/spreadsheets/d/1BuTWp7qHGjWhqrnf-OmePP568O4A5Am9ttzvVdP67zw/edit#gid=1603210130"", ""TOURISM!$A$2:$F$2692""), {2,3,4,5,6},0))"),"Africa")</f>
        <v>Africa</v>
      </c>
      <c r="L556" s="14">
        <f>IFERROR(__xludf.DUMMYFUNCTION("""COMPUTED_VALUE"""),700000.0)</f>
        <v>700000</v>
      </c>
      <c r="M556" s="14" t="str">
        <f>IFERROR(__xludf.DUMMYFUNCTION("""COMPUTED_VALUE"""),"Congo (Kinshasa)-Africa")</f>
        <v>Congo (Kinshasa)-Africa</v>
      </c>
      <c r="N556" s="14" t="str">
        <f>IFERROR(__xludf.DUMMYFUNCTION("""COMPUTED_VALUE"""),"2008")</f>
        <v>2008</v>
      </c>
      <c r="O556" s="14">
        <f>IFERROR(__xludf.DUMMYFUNCTION("""COMPUTED_VALUE"""),1.27E8)</f>
        <v>127000000</v>
      </c>
      <c r="P556" s="15">
        <f>IFERROR(__xludf.DUMMYFUNCTION("ARRAYFORMULA(VLOOKUP(A556,IMPORTRANGE(""https://docs.google.com/spreadsheets/d/1BuTWp7qHGjWhqrnf-OmePP568O4A5Am9ttzvVdP67zw/edit#gid=771602874"" ,""HUMAN RESOURCES!$A$2:$M$2692""), {2,3,4,5,6,7,8,9,10,11,12,13},0))"),0.045)</f>
        <v>0.045</v>
      </c>
      <c r="Q556" s="14">
        <f>IFERROR(__xludf.DUMMYFUNCTION("""COMPUTED_VALUE"""),0.097)</f>
        <v>0.097</v>
      </c>
      <c r="R556" s="14">
        <f>IFERROR(__xludf.DUMMYFUNCTION("""COMPUTED_VALUE"""),50.0)</f>
        <v>50</v>
      </c>
      <c r="S556" s="14">
        <f>IFERROR(__xludf.DUMMYFUNCTION("""COMPUTED_VALUE"""),47.0)</f>
        <v>47</v>
      </c>
      <c r="T556" s="14">
        <f>IFERROR(__xludf.DUMMYFUNCTION("""COMPUTED_VALUE"""),0.458)</f>
        <v>0.458</v>
      </c>
      <c r="U556" s="14">
        <f>IFERROR(__xludf.DUMMYFUNCTION("""COMPUTED_VALUE"""),0.514)</f>
        <v>0.514</v>
      </c>
      <c r="V556" s="14">
        <f>IFERROR(__xludf.DUMMYFUNCTION("""COMPUTED_VALUE"""),0.028)</f>
        <v>0.028</v>
      </c>
      <c r="W556" s="14">
        <f>IFERROR(__xludf.DUMMYFUNCTION("""COMPUTED_VALUE"""),5.8819038E7)</f>
        <v>58819038</v>
      </c>
      <c r="X556" s="14">
        <f>IFERROR(__xludf.DUMMYFUNCTION("""COMPUTED_VALUE"""),0.389)</f>
        <v>0.389</v>
      </c>
      <c r="Y556" s="14" t="str">
        <f>IFERROR(__xludf.DUMMYFUNCTION("""COMPUTED_VALUE"""),"Congo (Kinshasa)-Africa")</f>
        <v>Congo (Kinshasa)-Africa</v>
      </c>
      <c r="Z556" s="14" t="str">
        <f>IFERROR(__xludf.DUMMYFUNCTION("""COMPUTED_VALUE"""),"Africa")</f>
        <v>Africa</v>
      </c>
      <c r="AA556" s="14" t="str">
        <f>IFERROR(__xludf.DUMMYFUNCTION("""COMPUTED_VALUE"""),"2008")</f>
        <v>2008</v>
      </c>
      <c r="AB556" s="15" t="str">
        <f>IFERROR(__xludf.DUMMYFUNCTION("ARRAYFORMULA(VLOOKUP(A556,IMPORTRANGE(""https://docs.google.com/spreadsheets/d/1BuTWp7qHGjWhqrnf-OmePP568O4A5Am9ttzvVdP67zw/edit#gid=1931367683"" ,""ENERGY!$A$2:$F$2692""), {2,3,4,5,6},0))"),"Africa")</f>
        <v>Africa</v>
      </c>
      <c r="AC556" s="14" t="str">
        <f>IFERROR(__xludf.DUMMYFUNCTION("""COMPUTED_VALUE"""),"Congo (Kinshasa)-Africa")</f>
        <v>Congo (Kinshasa)-Africa</v>
      </c>
      <c r="AD556" s="14" t="str">
        <f>IFERROR(__xludf.DUMMYFUNCTION("""COMPUTED_VALUE"""),"2005")</f>
        <v>2005</v>
      </c>
      <c r="AE556" s="14">
        <f>IFERROR(__xludf.DUMMYFUNCTION("""COMPUTED_VALUE"""),19231.0)</f>
        <v>19231</v>
      </c>
      <c r="AF556" s="14">
        <f>IFERROR(__xludf.DUMMYFUNCTION("""COMPUTED_VALUE"""),1936.0)</f>
        <v>1936</v>
      </c>
    </row>
    <row r="557">
      <c r="A557" s="12">
        <v>556.0</v>
      </c>
      <c r="B557" s="12" t="s">
        <v>121</v>
      </c>
      <c r="C557" s="5" t="s">
        <v>77</v>
      </c>
      <c r="D557" s="11">
        <v>2.927</v>
      </c>
      <c r="E557" s="11">
        <v>127.0</v>
      </c>
      <c r="F557" s="8"/>
      <c r="G557" s="11">
        <v>308.0</v>
      </c>
      <c r="H557" s="11">
        <v>0.006</v>
      </c>
      <c r="I557" s="11">
        <v>0.156</v>
      </c>
      <c r="J557" s="9" t="s">
        <v>70</v>
      </c>
      <c r="K557" s="14" t="str">
        <f>IFERROR(__xludf.DUMMYFUNCTION("ARRAYFORMULA(VLOOKUP(A557,IMPORTRANGE(""https://docs.google.com/spreadsheets/d/1BuTWp7qHGjWhqrnf-OmePP568O4A5Am9ttzvVdP67zw/edit#gid=1603210130"", ""TOURISM!$A$2:$F$2692""), {2,3,4,5,6},0))"),"Africa")</f>
        <v>Africa</v>
      </c>
      <c r="L557" s="14">
        <f>IFERROR(__xludf.DUMMYFUNCTION("""COMPUTED_VALUE"""),2.4E7)</f>
        <v>24000000</v>
      </c>
      <c r="M557" s="14" t="str">
        <f>IFERROR(__xludf.DUMMYFUNCTION("""COMPUTED_VALUE"""),"Congo (Kinshasa)-Africa")</f>
        <v>Congo (Kinshasa)-Africa</v>
      </c>
      <c r="N557" s="14" t="str">
        <f>IFERROR(__xludf.DUMMYFUNCTION("""COMPUTED_VALUE"""),"2009")</f>
        <v>2009</v>
      </c>
      <c r="O557" s="14">
        <f>IFERROR(__xludf.DUMMYFUNCTION("""COMPUTED_VALUE"""),1.21E8)</f>
        <v>121000000</v>
      </c>
      <c r="P557" s="15">
        <f>IFERROR(__xludf.DUMMYFUNCTION("ARRAYFORMULA(VLOOKUP(A557,IMPORTRANGE(""https://docs.google.com/spreadsheets/d/1BuTWp7qHGjWhqrnf-OmePP568O4A5Am9ttzvVdP67zw/edit#gid=771602874"" ,""HUMAN RESOURCES!$A$2:$M$2692""), {2,3,4,5,6,7,8,9,10,11,12,13},0))"),0.044)</f>
        <v>0.044</v>
      </c>
      <c r="Q557" s="14">
        <f>IFERROR(__xludf.DUMMYFUNCTION("""COMPUTED_VALUE"""),0.095)</f>
        <v>0.095</v>
      </c>
      <c r="R557" s="14">
        <f>IFERROR(__xludf.DUMMYFUNCTION("""COMPUTED_VALUE"""),50.0)</f>
        <v>50</v>
      </c>
      <c r="S557" s="14">
        <f>IFERROR(__xludf.DUMMYFUNCTION("""COMPUTED_VALUE"""),47.0)</f>
        <v>47</v>
      </c>
      <c r="T557" s="14">
        <f>IFERROR(__xludf.DUMMYFUNCTION("""COMPUTED_VALUE"""),0.456)</f>
        <v>0.456</v>
      </c>
      <c r="U557" s="14">
        <f>IFERROR(__xludf.DUMMYFUNCTION("""COMPUTED_VALUE"""),0.515)</f>
        <v>0.515</v>
      </c>
      <c r="V557" s="14">
        <f>IFERROR(__xludf.DUMMYFUNCTION("""COMPUTED_VALUE"""),0.028)</f>
        <v>0.028</v>
      </c>
      <c r="W557" s="14">
        <f>IFERROR(__xludf.DUMMYFUNCTION("""COMPUTED_VALUE"""),6.0486276E7)</f>
        <v>60486276</v>
      </c>
      <c r="X557" s="14">
        <f>IFERROR(__xludf.DUMMYFUNCTION("""COMPUTED_VALUE"""),0.394)</f>
        <v>0.394</v>
      </c>
      <c r="Y557" s="14" t="str">
        <f>IFERROR(__xludf.DUMMYFUNCTION("""COMPUTED_VALUE"""),"Congo (Kinshasa)-Africa")</f>
        <v>Congo (Kinshasa)-Africa</v>
      </c>
      <c r="Z557" s="14" t="str">
        <f>IFERROR(__xludf.DUMMYFUNCTION("""COMPUTED_VALUE"""),"Africa")</f>
        <v>Africa</v>
      </c>
      <c r="AA557" s="14" t="str">
        <f>IFERROR(__xludf.DUMMYFUNCTION("""COMPUTED_VALUE"""),"2009")</f>
        <v>2009</v>
      </c>
      <c r="AB557" s="15" t="str">
        <f>IFERROR(__xludf.DUMMYFUNCTION("ARRAYFORMULA(VLOOKUP(A557,IMPORTRANGE(""https://docs.google.com/spreadsheets/d/1BuTWp7qHGjWhqrnf-OmePP568O4A5Am9ttzvVdP67zw/edit#gid=1931367683"" ,""ENERGY!$A$2:$F$2692""), {2,3,4,5,6},0))"),"Africa")</f>
        <v>Africa</v>
      </c>
      <c r="AC557" s="14" t="str">
        <f>IFERROR(__xludf.DUMMYFUNCTION("""COMPUTED_VALUE"""),"Congo (Kinshasa)-Africa")</f>
        <v>Congo (Kinshasa)-Africa</v>
      </c>
      <c r="AD557" s="14" t="str">
        <f>IFERROR(__xludf.DUMMYFUNCTION("""COMPUTED_VALUE"""),"2009")</f>
        <v>2009</v>
      </c>
      <c r="AE557" s="14">
        <f>IFERROR(__xludf.DUMMYFUNCTION("""COMPUTED_VALUE"""),18503.0)</f>
        <v>18503</v>
      </c>
      <c r="AF557" s="14">
        <f>IFERROR(__xludf.DUMMYFUNCTION("""COMPUTED_VALUE"""),1698.0)</f>
        <v>1698</v>
      </c>
    </row>
    <row r="558">
      <c r="A558" s="12">
        <v>557.0</v>
      </c>
      <c r="B558" s="12" t="s">
        <v>121</v>
      </c>
      <c r="C558" s="5" t="s">
        <v>77</v>
      </c>
      <c r="D558" s="11">
        <v>3.391</v>
      </c>
      <c r="E558" s="11">
        <v>84.0</v>
      </c>
      <c r="F558" s="8"/>
      <c r="G558" s="11">
        <v>336.0</v>
      </c>
      <c r="H558" s="11">
        <v>0.007</v>
      </c>
      <c r="I558" s="11">
        <v>0.19</v>
      </c>
      <c r="J558" s="9" t="s">
        <v>71</v>
      </c>
      <c r="K558" s="14" t="str">
        <f>IFERROR(__xludf.DUMMYFUNCTION("ARRAYFORMULA(VLOOKUP(A558,IMPORTRANGE(""https://docs.google.com/spreadsheets/d/1BuTWp7qHGjWhqrnf-OmePP568O4A5Am9ttzvVdP67zw/edit#gid=1603210130"", ""TOURISM!$A$2:$F$2692""), {2,3,4,5,6},0))"),"Africa")</f>
        <v>Africa</v>
      </c>
      <c r="L558" s="14">
        <f>IFERROR(__xludf.DUMMYFUNCTION("""COMPUTED_VALUE"""),1.07E7)</f>
        <v>10700000</v>
      </c>
      <c r="M558" s="14" t="str">
        <f>IFERROR(__xludf.DUMMYFUNCTION("""COMPUTED_VALUE"""),"Congo (Kinshasa)-Africa")</f>
        <v>Congo (Kinshasa)-Africa</v>
      </c>
      <c r="N558" s="14" t="str">
        <f>IFERROR(__xludf.DUMMYFUNCTION("""COMPUTED_VALUE"""),"2010")</f>
        <v>2010</v>
      </c>
      <c r="O558" s="14">
        <f>IFERROR(__xludf.DUMMYFUNCTION("""COMPUTED_VALUE"""),1.5E8)</f>
        <v>150000000</v>
      </c>
      <c r="P558" s="15">
        <f>IFERROR(__xludf.DUMMYFUNCTION("ARRAYFORMULA(VLOOKUP(A558,IMPORTRANGE(""https://docs.google.com/spreadsheets/d/1BuTWp7qHGjWhqrnf-OmePP568O4A5Am9ttzvVdP67zw/edit#gid=771602874"" ,""HUMAN RESOURCES!$A$2:$M$2692""), {2,3,4,5,6,7,8,9,10,11,12,13},0))"),0.044)</f>
        <v>0.044</v>
      </c>
      <c r="Q558" s="14">
        <f>IFERROR(__xludf.DUMMYFUNCTION("""COMPUTED_VALUE"""),0.092)</f>
        <v>0.092</v>
      </c>
      <c r="R558" s="14">
        <f>IFERROR(__xludf.DUMMYFUNCTION("""COMPUTED_VALUE"""),51.0)</f>
        <v>51</v>
      </c>
      <c r="S558" s="14">
        <f>IFERROR(__xludf.DUMMYFUNCTION("""COMPUTED_VALUE"""),47.0)</f>
        <v>47</v>
      </c>
      <c r="T558" s="14">
        <f>IFERROR(__xludf.DUMMYFUNCTION("""COMPUTED_VALUE"""),0.455)</f>
        <v>0.455</v>
      </c>
      <c r="U558" s="14">
        <f>IFERROR(__xludf.DUMMYFUNCTION("""COMPUTED_VALUE"""),0.517)</f>
        <v>0.517</v>
      </c>
      <c r="V558" s="14">
        <f>IFERROR(__xludf.DUMMYFUNCTION("""COMPUTED_VALUE"""),0.028)</f>
        <v>0.028</v>
      </c>
      <c r="W558" s="14">
        <f>IFERROR(__xludf.DUMMYFUNCTION("""COMPUTED_VALUE"""),6.2191161E7)</f>
        <v>62191161</v>
      </c>
      <c r="X558" s="14">
        <f>IFERROR(__xludf.DUMMYFUNCTION("""COMPUTED_VALUE"""),0.399)</f>
        <v>0.399</v>
      </c>
      <c r="Y558" s="14" t="str">
        <f>IFERROR(__xludf.DUMMYFUNCTION("""COMPUTED_VALUE"""),"Congo (Kinshasa)-Africa")</f>
        <v>Congo (Kinshasa)-Africa</v>
      </c>
      <c r="Z558" s="14" t="str">
        <f>IFERROR(__xludf.DUMMYFUNCTION("""COMPUTED_VALUE"""),"Africa")</f>
        <v>Africa</v>
      </c>
      <c r="AA558" s="14" t="str">
        <f>IFERROR(__xludf.DUMMYFUNCTION("""COMPUTED_VALUE"""),"2010")</f>
        <v>2010</v>
      </c>
      <c r="AB558" s="15" t="str">
        <f>IFERROR(__xludf.DUMMYFUNCTION("ARRAYFORMULA(VLOOKUP(A558,IMPORTRANGE(""https://docs.google.com/spreadsheets/d/1BuTWp7qHGjWhqrnf-OmePP568O4A5Am9ttzvVdP67zw/edit#gid=1931367683"" ,""ENERGY!$A$2:$F$2692""), {2,3,4,5,6},0))"),"Africa")</f>
        <v>Africa</v>
      </c>
      <c r="AC558" s="14" t="str">
        <f>IFERROR(__xludf.DUMMYFUNCTION("""COMPUTED_VALUE"""),"Congo (Kinshasa)-Africa")</f>
        <v>Congo (Kinshasa)-Africa</v>
      </c>
      <c r="AD558" s="14" t="str">
        <f>IFERROR(__xludf.DUMMYFUNCTION("""COMPUTED_VALUE"""),"2007")</f>
        <v>2007</v>
      </c>
      <c r="AE558" s="14">
        <f>IFERROR(__xludf.DUMMYFUNCTION("""COMPUTED_VALUE"""),17841.0)</f>
        <v>17841</v>
      </c>
      <c r="AF558" s="14">
        <f>IFERROR(__xludf.DUMMYFUNCTION("""COMPUTED_VALUE"""),1544.0)</f>
        <v>1544</v>
      </c>
    </row>
    <row r="559">
      <c r="A559" s="12">
        <v>558.0</v>
      </c>
      <c r="B559" s="12" t="s">
        <v>121</v>
      </c>
      <c r="C559" s="5" t="s">
        <v>77</v>
      </c>
      <c r="D559" s="11">
        <v>3.391</v>
      </c>
      <c r="E559" s="11">
        <v>65.0</v>
      </c>
      <c r="F559" s="8"/>
      <c r="G559" s="11">
        <v>336.0</v>
      </c>
      <c r="H559" s="11">
        <v>0.012</v>
      </c>
      <c r="I559" s="11">
        <v>0.245</v>
      </c>
      <c r="J559" s="9" t="s">
        <v>72</v>
      </c>
      <c r="K559" s="14" t="str">
        <f>IFERROR(__xludf.DUMMYFUNCTION("ARRAYFORMULA(VLOOKUP(A559,IMPORTRANGE(""https://docs.google.com/spreadsheets/d/1BuTWp7qHGjWhqrnf-OmePP568O4A5Am9ttzvVdP67zw/edit#gid=1603210130"", ""TOURISM!$A$2:$F$2692""), {2,3,4,5,6},0))"),"Africa")</f>
        <v>Africa</v>
      </c>
      <c r="L559" s="14">
        <f>IFERROR(__xludf.DUMMYFUNCTION("""COMPUTED_VALUE"""),1.14E7)</f>
        <v>11400000</v>
      </c>
      <c r="M559" s="14" t="str">
        <f>IFERROR(__xludf.DUMMYFUNCTION("""COMPUTED_VALUE"""),"Congo (Kinshasa)-Africa")</f>
        <v>Congo (Kinshasa)-Africa</v>
      </c>
      <c r="N559" s="14" t="str">
        <f>IFERROR(__xludf.DUMMYFUNCTION("""COMPUTED_VALUE"""),"2011")</f>
        <v>2011</v>
      </c>
      <c r="O559" s="14">
        <f>IFERROR(__xludf.DUMMYFUNCTION("""COMPUTED_VALUE"""),2.98E8)</f>
        <v>298000000</v>
      </c>
      <c r="P559" s="15">
        <f>IFERROR(__xludf.DUMMYFUNCTION("ARRAYFORMULA(VLOOKUP(A559,IMPORTRANGE(""https://docs.google.com/spreadsheets/d/1BuTWp7qHGjWhqrnf-OmePP568O4A5Am9ttzvVdP67zw/edit#gid=771602874"" ,""HUMAN RESOURCES!$A$2:$M$2692""), {2,3,4,5,6,7,8,9,10,11,12,13},0))"),0.044)</f>
        <v>0.044</v>
      </c>
      <c r="Q559" s="14">
        <f>IFERROR(__xludf.DUMMYFUNCTION("""COMPUTED_VALUE"""),0.09)</f>
        <v>0.09</v>
      </c>
      <c r="R559" s="14">
        <f>IFERROR(__xludf.DUMMYFUNCTION("""COMPUTED_VALUE"""),51.0)</f>
        <v>51</v>
      </c>
      <c r="S559" s="14">
        <f>IFERROR(__xludf.DUMMYFUNCTION("""COMPUTED_VALUE"""),48.0)</f>
        <v>48</v>
      </c>
      <c r="T559" s="14">
        <f>IFERROR(__xludf.DUMMYFUNCTION("""COMPUTED_VALUE"""),0.453)</f>
        <v>0.453</v>
      </c>
      <c r="U559" s="14">
        <f>IFERROR(__xludf.DUMMYFUNCTION("""COMPUTED_VALUE"""),0.519)</f>
        <v>0.519</v>
      </c>
      <c r="V559" s="14">
        <f>IFERROR(__xludf.DUMMYFUNCTION("""COMPUTED_VALUE"""),0.028)</f>
        <v>0.028</v>
      </c>
      <c r="W559" s="14">
        <f>IFERROR(__xludf.DUMMYFUNCTION("""COMPUTED_VALUE"""),6.3931512E7)</f>
        <v>63931512</v>
      </c>
      <c r="X559" s="14">
        <f>IFERROR(__xludf.DUMMYFUNCTION("""COMPUTED_VALUE"""),0.404)</f>
        <v>0.404</v>
      </c>
      <c r="Y559" s="14" t="str">
        <f>IFERROR(__xludf.DUMMYFUNCTION("""COMPUTED_VALUE"""),"Congo (Kinshasa)-Africa")</f>
        <v>Congo (Kinshasa)-Africa</v>
      </c>
      <c r="Z559" s="14" t="str">
        <f>IFERROR(__xludf.DUMMYFUNCTION("""COMPUTED_VALUE"""),"Africa")</f>
        <v>Africa</v>
      </c>
      <c r="AA559" s="14" t="str">
        <f>IFERROR(__xludf.DUMMYFUNCTION("""COMPUTED_VALUE"""),"2011")</f>
        <v>2011</v>
      </c>
      <c r="AB559" s="15" t="str">
        <f>IFERROR(__xludf.DUMMYFUNCTION("ARRAYFORMULA(VLOOKUP(A559,IMPORTRANGE(""https://docs.google.com/spreadsheets/d/1BuTWp7qHGjWhqrnf-OmePP568O4A5Am9ttzvVdP67zw/edit#gid=1931367683"" ,""ENERGY!$A$2:$F$2692""), {2,3,4,5,6},0))"),"Africa")</f>
        <v>Africa</v>
      </c>
      <c r="AC559" s="14" t="str">
        <f>IFERROR(__xludf.DUMMYFUNCTION("""COMPUTED_VALUE"""),"Congo (Kinshasa)-Africa")</f>
        <v>Congo (Kinshasa)-Africa</v>
      </c>
      <c r="AD559" s="14" t="str">
        <f>IFERROR(__xludf.DUMMYFUNCTION("""COMPUTED_VALUE"""),"2004")</f>
        <v>2004</v>
      </c>
      <c r="AE559" s="14">
        <f>IFERROR(__xludf.DUMMYFUNCTION("""COMPUTED_VALUE"""),17242.0)</f>
        <v>17242</v>
      </c>
      <c r="AF559" s="14">
        <f>IFERROR(__xludf.DUMMYFUNCTION("""COMPUTED_VALUE"""),1566.0)</f>
        <v>1566</v>
      </c>
    </row>
    <row r="560">
      <c r="A560" s="12">
        <v>559.0</v>
      </c>
      <c r="B560" s="12" t="s">
        <v>121</v>
      </c>
      <c r="C560" s="5" t="s">
        <v>77</v>
      </c>
      <c r="D560" s="11">
        <v>3.391</v>
      </c>
      <c r="E560" s="11">
        <v>58.0</v>
      </c>
      <c r="F560" s="11">
        <v>183.0</v>
      </c>
      <c r="G560" s="11">
        <v>336.0</v>
      </c>
      <c r="H560" s="11">
        <v>0.017</v>
      </c>
      <c r="I560" s="11">
        <v>0.306</v>
      </c>
      <c r="J560" s="9" t="s">
        <v>73</v>
      </c>
      <c r="K560" s="14" t="str">
        <f>IFERROR(__xludf.DUMMYFUNCTION("ARRAYFORMULA(VLOOKUP(A560,IMPORTRANGE(""https://docs.google.com/spreadsheets/d/1BuTWp7qHGjWhqrnf-OmePP568O4A5Am9ttzvVdP67zw/edit#gid=1603210130"", ""TOURISM!$A$2:$F$2692""), {2,3,4,5,6},0))"),"Africa")</f>
        <v>Africa</v>
      </c>
      <c r="L560" s="14">
        <f>IFERROR(__xludf.DUMMYFUNCTION("""COMPUTED_VALUE"""),6900000.0)</f>
        <v>6900000</v>
      </c>
      <c r="M560" s="14" t="str">
        <f>IFERROR(__xludf.DUMMYFUNCTION("""COMPUTED_VALUE"""),"Congo (Kinshasa)-Africa")</f>
        <v>Congo (Kinshasa)-Africa</v>
      </c>
      <c r="N560" s="14" t="str">
        <f>IFERROR(__xludf.DUMMYFUNCTION("""COMPUTED_VALUE"""),"2012")</f>
        <v>2012</v>
      </c>
      <c r="O560" s="14">
        <f>IFERROR(__xludf.DUMMYFUNCTION("""COMPUTED_VALUE"""),1.08E8)</f>
        <v>108000000</v>
      </c>
      <c r="P560" s="15">
        <f>IFERROR(__xludf.DUMMYFUNCTION("ARRAYFORMULA(VLOOKUP(A560,IMPORTRANGE(""https://docs.google.com/spreadsheets/d/1BuTWp7qHGjWhqrnf-OmePP568O4A5Am9ttzvVdP67zw/edit#gid=771602874"" ,""HUMAN RESOURCES!$A$2:$M$2692""), {2,3,4,5,6,7,8,9,10,11,12,13},0))"),0.043)</f>
        <v>0.043</v>
      </c>
      <c r="Q560" s="14">
        <f>IFERROR(__xludf.DUMMYFUNCTION("""COMPUTED_VALUE"""),0.088)</f>
        <v>0.088</v>
      </c>
      <c r="R560" s="14">
        <f>IFERROR(__xludf.DUMMYFUNCTION("""COMPUTED_VALUE"""),51.0)</f>
        <v>51</v>
      </c>
      <c r="S560" s="14">
        <f>IFERROR(__xludf.DUMMYFUNCTION("""COMPUTED_VALUE"""),48.0)</f>
        <v>48</v>
      </c>
      <c r="T560" s="14">
        <f>IFERROR(__xludf.DUMMYFUNCTION("""COMPUTED_VALUE"""),0.451)</f>
        <v>0.451</v>
      </c>
      <c r="U560" s="14">
        <f>IFERROR(__xludf.DUMMYFUNCTION("""COMPUTED_VALUE"""),0.52)</f>
        <v>0.52</v>
      </c>
      <c r="V560" s="14">
        <f>IFERROR(__xludf.DUMMYFUNCTION("""COMPUTED_VALUE"""),0.028)</f>
        <v>0.028</v>
      </c>
      <c r="W560" s="14">
        <f>IFERROR(__xludf.DUMMYFUNCTION("""COMPUTED_VALUE"""),6.5705093E7)</f>
        <v>65705093</v>
      </c>
      <c r="X560" s="14">
        <f>IFERROR(__xludf.DUMMYFUNCTION("""COMPUTED_VALUE"""),0.41)</f>
        <v>0.41</v>
      </c>
      <c r="Y560" s="14" t="str">
        <f>IFERROR(__xludf.DUMMYFUNCTION("""COMPUTED_VALUE"""),"Congo (Kinshasa)-Africa")</f>
        <v>Congo (Kinshasa)-Africa</v>
      </c>
      <c r="Z560" s="14" t="str">
        <f>IFERROR(__xludf.DUMMYFUNCTION("""COMPUTED_VALUE"""),"Africa")</f>
        <v>Africa</v>
      </c>
      <c r="AA560" s="14" t="str">
        <f>IFERROR(__xludf.DUMMYFUNCTION("""COMPUTED_VALUE"""),"2012")</f>
        <v>2012</v>
      </c>
      <c r="AB560" s="15" t="str">
        <f>IFERROR(__xludf.DUMMYFUNCTION("ARRAYFORMULA(VLOOKUP(A560,IMPORTRANGE(""https://docs.google.com/spreadsheets/d/1BuTWp7qHGjWhqrnf-OmePP568O4A5Am9ttzvVdP67zw/edit#gid=1931367683"" ,""ENERGY!$A$2:$F$2692""), {2,3,4,5,6},0))"),"Africa")</f>
        <v>Africa</v>
      </c>
      <c r="AC560" s="14" t="str">
        <f>IFERROR(__xludf.DUMMYFUNCTION("""COMPUTED_VALUE"""),"Congo (Kinshasa)-Africa")</f>
        <v>Congo (Kinshasa)-Africa</v>
      </c>
      <c r="AD560" s="14" t="str">
        <f>IFERROR(__xludf.DUMMYFUNCTION("""COMPUTED_VALUE"""),"2009")</f>
        <v>2009</v>
      </c>
      <c r="AE560" s="14">
        <f>IFERROR(__xludf.DUMMYFUNCTION("""COMPUTED_VALUE"""),16679.0)</f>
        <v>16679</v>
      </c>
      <c r="AF560" s="14">
        <f>IFERROR(__xludf.DUMMYFUNCTION("""COMPUTED_VALUE"""),1646.0)</f>
        <v>1646</v>
      </c>
    </row>
    <row r="561">
      <c r="A561" s="12">
        <v>560.0</v>
      </c>
      <c r="B561" s="12" t="s">
        <v>122</v>
      </c>
      <c r="C561" s="5" t="s">
        <v>84</v>
      </c>
      <c r="D561" s="8"/>
      <c r="E561" s="8"/>
      <c r="F561" s="8"/>
      <c r="G561" s="8"/>
      <c r="H561" s="11">
        <v>0.058</v>
      </c>
      <c r="I561" s="11">
        <v>0.054</v>
      </c>
      <c r="J561" s="9" t="s">
        <v>60</v>
      </c>
      <c r="K561" s="14" t="str">
        <f>IFERROR(__xludf.DUMMYFUNCTION("ARRAYFORMULA(VLOOKUP(A561,IMPORTRANGE(""https://docs.google.com/spreadsheets/d/1BuTWp7qHGjWhqrnf-OmePP568O4A5Am9ttzvVdP67zw/edit#gid=1603210130"", ""TOURISM!$A$2:$F$2692""), {2,3,4,5,6},0))"),"The Americas")</f>
        <v>The Americas</v>
      </c>
      <c r="L561" s="14">
        <f>IFERROR(__xludf.DUMMYFUNCTION("""COMPUTED_VALUE"""),1.477E9)</f>
        <v>1477000000</v>
      </c>
      <c r="M561" s="14" t="str">
        <f>IFERROR(__xludf.DUMMYFUNCTION("""COMPUTED_VALUE"""),"Costa Rica-The Americas")</f>
        <v>Costa Rica-The Americas</v>
      </c>
      <c r="N561" s="14" t="str">
        <f>IFERROR(__xludf.DUMMYFUNCTION("""COMPUTED_VALUE"""),"2000")</f>
        <v>2000</v>
      </c>
      <c r="O561" s="14">
        <f>IFERROR(__xludf.DUMMYFUNCTION("""COMPUTED_VALUE"""),5.51E8)</f>
        <v>551000000</v>
      </c>
      <c r="P561" s="15">
        <f>IFERROR(__xludf.DUMMYFUNCTION("ARRAYFORMULA(VLOOKUP(A561,IMPORTRANGE(""https://docs.google.com/spreadsheets/d/1BuTWp7qHGjWhqrnf-OmePP568O4A5Am9ttzvVdP67zw/edit#gid=771602874"" ,""HUMAN RESOURCES!$A$2:$M$2692""), {2,3,4,5,6,7,8,9,10,11,12,13},0))"),0.02)</f>
        <v>0.02</v>
      </c>
      <c r="Q561" s="14">
        <f>IFERROR(__xludf.DUMMYFUNCTION("""COMPUTED_VALUE"""),0.011)</f>
        <v>0.011</v>
      </c>
      <c r="R561" s="14">
        <f>IFERROR(__xludf.DUMMYFUNCTION("""COMPUTED_VALUE"""),80.0)</f>
        <v>80</v>
      </c>
      <c r="S561" s="14">
        <f>IFERROR(__xludf.DUMMYFUNCTION("""COMPUTED_VALUE"""),75.0)</f>
        <v>75</v>
      </c>
      <c r="T561" s="14">
        <f>IFERROR(__xludf.DUMMYFUNCTION("""COMPUTED_VALUE"""),0.315)</f>
        <v>0.315</v>
      </c>
      <c r="U561" s="14">
        <f>IFERROR(__xludf.DUMMYFUNCTION("""COMPUTED_VALUE"""),0.631)</f>
        <v>0.631</v>
      </c>
      <c r="V561" s="14">
        <f>IFERROR(__xludf.DUMMYFUNCTION("""COMPUTED_VALUE"""),0.055)</f>
        <v>0.055</v>
      </c>
      <c r="W561" s="14">
        <f>IFERROR(__xludf.DUMMYFUNCTION("""COMPUTED_VALUE"""),3929588.0)</f>
        <v>3929588</v>
      </c>
      <c r="X561" s="14">
        <f>IFERROR(__xludf.DUMMYFUNCTION("""COMPUTED_VALUE"""),0.59)</f>
        <v>0.59</v>
      </c>
      <c r="Y561" s="14" t="str">
        <f>IFERROR(__xludf.DUMMYFUNCTION("""COMPUTED_VALUE"""),"Costa Rica-The Americas")</f>
        <v>Costa Rica-The Americas</v>
      </c>
      <c r="Z561" s="14" t="str">
        <f>IFERROR(__xludf.DUMMYFUNCTION("""COMPUTED_VALUE"""),"The Americas")</f>
        <v>The Americas</v>
      </c>
      <c r="AA561" s="14" t="str">
        <f>IFERROR(__xludf.DUMMYFUNCTION("""COMPUTED_VALUE"""),"2000")</f>
        <v>2000</v>
      </c>
      <c r="AB561" s="15" t="str">
        <f>IFERROR(__xludf.DUMMYFUNCTION("ARRAYFORMULA(VLOOKUP(A561,IMPORTRANGE(""https://docs.google.com/spreadsheets/d/1BuTWp7qHGjWhqrnf-OmePP568O4A5Am9ttzvVdP67zw/edit#gid=1931367683"" ,""ENERGY!$A$2:$F$2692""), {2,3,4,5,6},0))"),"The Americas")</f>
        <v>The Americas</v>
      </c>
      <c r="AC561" s="14" t="str">
        <f>IFERROR(__xludf.DUMMYFUNCTION("""COMPUTED_VALUE"""),"Costa Rica-The Americas")</f>
        <v>Costa Rica-The Americas</v>
      </c>
      <c r="AD561" s="14" t="str">
        <f>IFERROR(__xludf.DUMMYFUNCTION("""COMPUTED_VALUE"""),"2000")</f>
        <v>2000</v>
      </c>
      <c r="AE561" s="14"/>
      <c r="AF561" s="14"/>
    </row>
    <row r="562">
      <c r="A562" s="12">
        <v>561.0</v>
      </c>
      <c r="B562" s="12" t="s">
        <v>122</v>
      </c>
      <c r="C562" s="5" t="s">
        <v>84</v>
      </c>
      <c r="D562" s="8"/>
      <c r="E562" s="8"/>
      <c r="F562" s="8"/>
      <c r="G562" s="8"/>
      <c r="H562" s="11">
        <v>0.096</v>
      </c>
      <c r="I562" s="11">
        <v>0.081</v>
      </c>
      <c r="J562" s="9" t="s">
        <v>62</v>
      </c>
      <c r="K562" s="14" t="str">
        <f>IFERROR(__xludf.DUMMYFUNCTION("ARRAYFORMULA(VLOOKUP(A562,IMPORTRANGE(""https://docs.google.com/spreadsheets/d/1BuTWp7qHGjWhqrnf-OmePP568O4A5Am9ttzvVdP67zw/edit#gid=1603210130"", ""TOURISM!$A$2:$F$2692""), {2,3,4,5,6},0))"),"The Americas")</f>
        <v>The Americas</v>
      </c>
      <c r="L562" s="14">
        <f>IFERROR(__xludf.DUMMYFUNCTION("""COMPUTED_VALUE"""),1.339E9)</f>
        <v>1339000000</v>
      </c>
      <c r="M562" s="14" t="str">
        <f>IFERROR(__xludf.DUMMYFUNCTION("""COMPUTED_VALUE"""),"Costa Rica-The Americas")</f>
        <v>Costa Rica-The Americas</v>
      </c>
      <c r="N562" s="14" t="str">
        <f>IFERROR(__xludf.DUMMYFUNCTION("""COMPUTED_VALUE"""),"2001")</f>
        <v>2001</v>
      </c>
      <c r="O562" s="14">
        <f>IFERROR(__xludf.DUMMYFUNCTION("""COMPUTED_VALUE"""),4.34E8)</f>
        <v>434000000</v>
      </c>
      <c r="P562" s="15">
        <f>IFERROR(__xludf.DUMMYFUNCTION("ARRAYFORMULA(VLOOKUP(A562,IMPORTRANGE(""https://docs.google.com/spreadsheets/d/1BuTWp7qHGjWhqrnf-OmePP568O4A5Am9ttzvVdP67zw/edit#gid=771602874"" ,""HUMAN RESOURCES!$A$2:$M$2692""), {2,3,4,5,6,7,8,9,10,11,12,13},0))"),0.02)</f>
        <v>0.02</v>
      </c>
      <c r="Q562" s="14">
        <f>IFERROR(__xludf.DUMMYFUNCTION("""COMPUTED_VALUE"""),0.011)</f>
        <v>0.011</v>
      </c>
      <c r="R562" s="14">
        <f>IFERROR(__xludf.DUMMYFUNCTION("""COMPUTED_VALUE"""),80.0)</f>
        <v>80</v>
      </c>
      <c r="S562" s="14">
        <f>IFERROR(__xludf.DUMMYFUNCTION("""COMPUTED_VALUE"""),76.0)</f>
        <v>76</v>
      </c>
      <c r="T562" s="14">
        <f>IFERROR(__xludf.DUMMYFUNCTION("""COMPUTED_VALUE"""),0.308)</f>
        <v>0.308</v>
      </c>
      <c r="U562" s="14">
        <f>IFERROR(__xludf.DUMMYFUNCTION("""COMPUTED_VALUE"""),0.637)</f>
        <v>0.637</v>
      </c>
      <c r="V562" s="14">
        <f>IFERROR(__xludf.DUMMYFUNCTION("""COMPUTED_VALUE"""),0.055)</f>
        <v>0.055</v>
      </c>
      <c r="W562" s="14">
        <f>IFERROR(__xludf.DUMMYFUNCTION("""COMPUTED_VALUE"""),4013488.0)</f>
        <v>4013488</v>
      </c>
      <c r="X562" s="14">
        <f>IFERROR(__xludf.DUMMYFUNCTION("""COMPUTED_VALUE"""),0.604)</f>
        <v>0.604</v>
      </c>
      <c r="Y562" s="14" t="str">
        <f>IFERROR(__xludf.DUMMYFUNCTION("""COMPUTED_VALUE"""),"Costa Rica-The Americas")</f>
        <v>Costa Rica-The Americas</v>
      </c>
      <c r="Z562" s="14" t="str">
        <f>IFERROR(__xludf.DUMMYFUNCTION("""COMPUTED_VALUE"""),"The Americas")</f>
        <v>The Americas</v>
      </c>
      <c r="AA562" s="14" t="str">
        <f>IFERROR(__xludf.DUMMYFUNCTION("""COMPUTED_VALUE"""),"2001")</f>
        <v>2001</v>
      </c>
      <c r="AB562" s="15" t="str">
        <f>IFERROR(__xludf.DUMMYFUNCTION("ARRAYFORMULA(VLOOKUP(A562,IMPORTRANGE(""https://docs.google.com/spreadsheets/d/1BuTWp7qHGjWhqrnf-OmePP568O4A5Am9ttzvVdP67zw/edit#gid=1931367683"" ,""ENERGY!$A$2:$F$2692""), {2,3,4,5,6},0))"),"The Americas")</f>
        <v>The Americas</v>
      </c>
      <c r="AC562" s="14" t="str">
        <f>IFERROR(__xludf.DUMMYFUNCTION("""COMPUTED_VALUE"""),"Costa Rica-The Americas")</f>
        <v>Costa Rica-The Americas</v>
      </c>
      <c r="AD562" s="14" t="str">
        <f>IFERROR(__xludf.DUMMYFUNCTION("""COMPUTED_VALUE"""),"2001")</f>
        <v>2001</v>
      </c>
      <c r="AE562" s="14">
        <f>IFERROR(__xludf.DUMMYFUNCTION("""COMPUTED_VALUE"""),4655.0)</f>
        <v>4655</v>
      </c>
      <c r="AF562" s="14"/>
    </row>
    <row r="563">
      <c r="A563" s="12">
        <v>562.0</v>
      </c>
      <c r="B563" s="12" t="s">
        <v>122</v>
      </c>
      <c r="C563" s="5" t="s">
        <v>84</v>
      </c>
      <c r="D563" s="8"/>
      <c r="E563" s="8"/>
      <c r="F563" s="8"/>
      <c r="G563" s="8"/>
      <c r="H563" s="11">
        <v>0.199</v>
      </c>
      <c r="I563" s="11">
        <v>0.123</v>
      </c>
      <c r="J563" s="9" t="s">
        <v>63</v>
      </c>
      <c r="K563" s="14" t="str">
        <f>IFERROR(__xludf.DUMMYFUNCTION("ARRAYFORMULA(VLOOKUP(A563,IMPORTRANGE(""https://docs.google.com/spreadsheets/d/1BuTWp7qHGjWhqrnf-OmePP568O4A5Am9ttzvVdP67zw/edit#gid=1603210130"", ""TOURISM!$A$2:$F$2692""), {2,3,4,5,6},0))"),"The Americas")</f>
        <v>The Americas</v>
      </c>
      <c r="L563" s="14">
        <f>IFERROR(__xludf.DUMMYFUNCTION("""COMPUTED_VALUE"""),1.292E9)</f>
        <v>1292000000</v>
      </c>
      <c r="M563" s="14" t="str">
        <f>IFERROR(__xludf.DUMMYFUNCTION("""COMPUTED_VALUE"""),"Costa Rica-The Americas")</f>
        <v>Costa Rica-The Americas</v>
      </c>
      <c r="N563" s="14" t="str">
        <f>IFERROR(__xludf.DUMMYFUNCTION("""COMPUTED_VALUE"""),"2002")</f>
        <v>2002</v>
      </c>
      <c r="O563" s="14">
        <f>IFERROR(__xludf.DUMMYFUNCTION("""COMPUTED_VALUE"""),4.3E8)</f>
        <v>430000000</v>
      </c>
      <c r="P563" s="15">
        <f>IFERROR(__xludf.DUMMYFUNCTION("ARRAYFORMULA(VLOOKUP(A563,IMPORTRANGE(""https://docs.google.com/spreadsheets/d/1BuTWp7qHGjWhqrnf-OmePP568O4A5Am9ttzvVdP67zw/edit#gid=771602874"" ,""HUMAN RESOURCES!$A$2:$M$2692""), {2,3,4,5,6,7,8,9,10,11,12,13},0))"),0.019)</f>
        <v>0.019</v>
      </c>
      <c r="Q563" s="14">
        <f>IFERROR(__xludf.DUMMYFUNCTION("""COMPUTED_VALUE"""),0.01)</f>
        <v>0.01</v>
      </c>
      <c r="R563" s="14">
        <f>IFERROR(__xludf.DUMMYFUNCTION("""COMPUTED_VALUE"""),80.0)</f>
        <v>80</v>
      </c>
      <c r="S563" s="14">
        <f>IFERROR(__xludf.DUMMYFUNCTION("""COMPUTED_VALUE"""),76.0)</f>
        <v>76</v>
      </c>
      <c r="T563" s="14">
        <f>IFERROR(__xludf.DUMMYFUNCTION("""COMPUTED_VALUE"""),0.3)</f>
        <v>0.3</v>
      </c>
      <c r="U563" s="14">
        <f>IFERROR(__xludf.DUMMYFUNCTION("""COMPUTED_VALUE"""),0.644)</f>
        <v>0.644</v>
      </c>
      <c r="V563" s="14">
        <f>IFERROR(__xludf.DUMMYFUNCTION("""COMPUTED_VALUE"""),0.056)</f>
        <v>0.056</v>
      </c>
      <c r="W563" s="14">
        <f>IFERROR(__xludf.DUMMYFUNCTION("""COMPUTED_VALUE"""),4093840.0)</f>
        <v>4093840</v>
      </c>
      <c r="X563" s="14">
        <f>IFERROR(__xludf.DUMMYFUNCTION("""COMPUTED_VALUE"""),0.618)</f>
        <v>0.618</v>
      </c>
      <c r="Y563" s="14" t="str">
        <f>IFERROR(__xludf.DUMMYFUNCTION("""COMPUTED_VALUE"""),"Costa Rica-The Americas")</f>
        <v>Costa Rica-The Americas</v>
      </c>
      <c r="Z563" s="14" t="str">
        <f>IFERROR(__xludf.DUMMYFUNCTION("""COMPUTED_VALUE"""),"The Americas")</f>
        <v>The Americas</v>
      </c>
      <c r="AA563" s="14" t="str">
        <f>IFERROR(__xludf.DUMMYFUNCTION("""COMPUTED_VALUE"""),"2002")</f>
        <v>2002</v>
      </c>
      <c r="AB563" s="15" t="str">
        <f>IFERROR(__xludf.DUMMYFUNCTION("ARRAYFORMULA(VLOOKUP(A563,IMPORTRANGE(""https://docs.google.com/spreadsheets/d/1BuTWp7qHGjWhqrnf-OmePP568O4A5Am9ttzvVdP67zw/edit#gid=1931367683"" ,""ENERGY!$A$2:$F$2692""), {2,3,4,5,6},0))"),"The Americas")</f>
        <v>The Americas</v>
      </c>
      <c r="AC563" s="14" t="str">
        <f>IFERROR(__xludf.DUMMYFUNCTION("""COMPUTED_VALUE"""),"Costa Rica-The Americas")</f>
        <v>Costa Rica-The Americas</v>
      </c>
      <c r="AD563" s="14" t="str">
        <f>IFERROR(__xludf.DUMMYFUNCTION("""COMPUTED_VALUE"""),"2002")</f>
        <v>2002</v>
      </c>
      <c r="AE563" s="14">
        <f>IFERROR(__xludf.DUMMYFUNCTION("""COMPUTED_VALUE"""),4646.0)</f>
        <v>4646</v>
      </c>
      <c r="AF563" s="14">
        <f>IFERROR(__xludf.DUMMYFUNCTION("""COMPUTED_VALUE"""),7770.0)</f>
        <v>7770</v>
      </c>
    </row>
    <row r="564">
      <c r="A564" s="12">
        <v>563.0</v>
      </c>
      <c r="B564" s="12" t="s">
        <v>122</v>
      </c>
      <c r="C564" s="5" t="s">
        <v>84</v>
      </c>
      <c r="D564" s="8"/>
      <c r="E564" s="11">
        <v>77.0</v>
      </c>
      <c r="F564" s="8"/>
      <c r="G564" s="8"/>
      <c r="H564" s="11">
        <v>0.203</v>
      </c>
      <c r="I564" s="11">
        <v>0.187</v>
      </c>
      <c r="J564" s="9" t="s">
        <v>64</v>
      </c>
      <c r="K564" s="14" t="str">
        <f>IFERROR(__xludf.DUMMYFUNCTION("ARRAYFORMULA(VLOOKUP(A564,IMPORTRANGE(""https://docs.google.com/spreadsheets/d/1BuTWp7qHGjWhqrnf-OmePP568O4A5Am9ttzvVdP67zw/edit#gid=1603210130"", ""TOURISM!$A$2:$F$2692""), {2,3,4,5,6},0))"),"The Americas")</f>
        <v>The Americas</v>
      </c>
      <c r="L564" s="14">
        <f>IFERROR(__xludf.DUMMYFUNCTION("""COMPUTED_VALUE"""),1.424E9)</f>
        <v>1424000000</v>
      </c>
      <c r="M564" s="14" t="str">
        <f>IFERROR(__xludf.DUMMYFUNCTION("""COMPUTED_VALUE"""),"Costa Rica-The Americas")</f>
        <v>Costa Rica-The Americas</v>
      </c>
      <c r="N564" s="14" t="str">
        <f>IFERROR(__xludf.DUMMYFUNCTION("""COMPUTED_VALUE"""),"2003")</f>
        <v>2003</v>
      </c>
      <c r="O564" s="14">
        <f>IFERROR(__xludf.DUMMYFUNCTION("""COMPUTED_VALUE"""),4.34E8)</f>
        <v>434000000</v>
      </c>
      <c r="P564" s="15">
        <f>IFERROR(__xludf.DUMMYFUNCTION("ARRAYFORMULA(VLOOKUP(A564,IMPORTRANGE(""https://docs.google.com/spreadsheets/d/1BuTWp7qHGjWhqrnf-OmePP568O4A5Am9ttzvVdP67zw/edit#gid=771602874"" ,""HUMAN RESOURCES!$A$2:$M$2692""), {2,3,4,5,6,7,8,9,10,11,12,13},0))"),0.018)</f>
        <v>0.018</v>
      </c>
      <c r="Q564" s="14">
        <f>IFERROR(__xludf.DUMMYFUNCTION("""COMPUTED_VALUE"""),0.009)</f>
        <v>0.009</v>
      </c>
      <c r="R564" s="14">
        <f>IFERROR(__xludf.DUMMYFUNCTION("""COMPUTED_VALUE"""),81.0)</f>
        <v>81</v>
      </c>
      <c r="S564" s="14">
        <f>IFERROR(__xludf.DUMMYFUNCTION("""COMPUTED_VALUE"""),76.0)</f>
        <v>76</v>
      </c>
      <c r="T564" s="14">
        <f>IFERROR(__xludf.DUMMYFUNCTION("""COMPUTED_VALUE"""),0.293)</f>
        <v>0.293</v>
      </c>
      <c r="U564" s="14">
        <f>IFERROR(__xludf.DUMMYFUNCTION("""COMPUTED_VALUE"""),0.65)</f>
        <v>0.65</v>
      </c>
      <c r="V564" s="14">
        <f>IFERROR(__xludf.DUMMYFUNCTION("""COMPUTED_VALUE"""),0.057)</f>
        <v>0.057</v>
      </c>
      <c r="W564" s="14">
        <f>IFERROR(__xludf.DUMMYFUNCTION("""COMPUTED_VALUE"""),4171145.0)</f>
        <v>4171145</v>
      </c>
      <c r="X564" s="14">
        <f>IFERROR(__xludf.DUMMYFUNCTION("""COMPUTED_VALUE"""),0.631)</f>
        <v>0.631</v>
      </c>
      <c r="Y564" s="14" t="str">
        <f>IFERROR(__xludf.DUMMYFUNCTION("""COMPUTED_VALUE"""),"Costa Rica-The Americas")</f>
        <v>Costa Rica-The Americas</v>
      </c>
      <c r="Z564" s="14" t="str">
        <f>IFERROR(__xludf.DUMMYFUNCTION("""COMPUTED_VALUE"""),"The Americas")</f>
        <v>The Americas</v>
      </c>
      <c r="AA564" s="14" t="str">
        <f>IFERROR(__xludf.DUMMYFUNCTION("""COMPUTED_VALUE"""),"2003")</f>
        <v>2003</v>
      </c>
      <c r="AB564" s="15" t="str">
        <f>IFERROR(__xludf.DUMMYFUNCTION("ARRAYFORMULA(VLOOKUP(A564,IMPORTRANGE(""https://docs.google.com/spreadsheets/d/1BuTWp7qHGjWhqrnf-OmePP568O4A5Am9ttzvVdP67zw/edit#gid=1931367683"" ,""ENERGY!$A$2:$F$2692""), {2,3,4,5,6},0))"),"The Americas")</f>
        <v>The Americas</v>
      </c>
      <c r="AC564" s="14" t="str">
        <f>IFERROR(__xludf.DUMMYFUNCTION("""COMPUTED_VALUE"""),"Costa Rica-The Americas")</f>
        <v>Costa Rica-The Americas</v>
      </c>
      <c r="AD564" s="14" t="str">
        <f>IFERROR(__xludf.DUMMYFUNCTION("""COMPUTED_VALUE"""),"2003")</f>
        <v>2003</v>
      </c>
      <c r="AE564" s="14">
        <f>IFERROR(__xludf.DUMMYFUNCTION("""COMPUTED_VALUE"""),4561.0)</f>
        <v>4561</v>
      </c>
      <c r="AF564" s="14">
        <f>IFERROR(__xludf.DUMMYFUNCTION("""COMPUTED_VALUE"""),7818.0)</f>
        <v>7818</v>
      </c>
    </row>
    <row r="565">
      <c r="A565" s="12">
        <v>564.0</v>
      </c>
      <c r="B565" s="12" t="s">
        <v>122</v>
      </c>
      <c r="C565" s="5" t="s">
        <v>84</v>
      </c>
      <c r="D565" s="8"/>
      <c r="E565" s="11">
        <v>77.0</v>
      </c>
      <c r="F565" s="8"/>
      <c r="G565" s="8"/>
      <c r="H565" s="11">
        <v>0.208</v>
      </c>
      <c r="I565" s="11">
        <v>0.217</v>
      </c>
      <c r="J565" s="9" t="s">
        <v>65</v>
      </c>
      <c r="K565" s="14" t="str">
        <f>IFERROR(__xludf.DUMMYFUNCTION("ARRAYFORMULA(VLOOKUP(A565,IMPORTRANGE(""https://docs.google.com/spreadsheets/d/1BuTWp7qHGjWhqrnf-OmePP568O4A5Am9ttzvVdP67zw/edit#gid=1603210130"", ""TOURISM!$A$2:$F$2692""), {2,3,4,5,6},0))"),"The Americas")</f>
        <v>The Americas</v>
      </c>
      <c r="L565" s="14">
        <f>IFERROR(__xludf.DUMMYFUNCTION("""COMPUTED_VALUE"""),1.586E9)</f>
        <v>1586000000</v>
      </c>
      <c r="M565" s="14" t="str">
        <f>IFERROR(__xludf.DUMMYFUNCTION("""COMPUTED_VALUE"""),"Costa Rica-The Americas")</f>
        <v>Costa Rica-The Americas</v>
      </c>
      <c r="N565" s="14" t="str">
        <f>IFERROR(__xludf.DUMMYFUNCTION("""COMPUTED_VALUE"""),"2004")</f>
        <v>2004</v>
      </c>
      <c r="O565" s="14">
        <f>IFERROR(__xludf.DUMMYFUNCTION("""COMPUTED_VALUE"""),4.81E8)</f>
        <v>481000000</v>
      </c>
      <c r="P565" s="15">
        <f>IFERROR(__xludf.DUMMYFUNCTION("ARRAYFORMULA(VLOOKUP(A565,IMPORTRANGE(""https://docs.google.com/spreadsheets/d/1BuTWp7qHGjWhqrnf-OmePP568O4A5Am9ttzvVdP67zw/edit#gid=771602874"" ,""HUMAN RESOURCES!$A$2:$M$2692""), {2,3,4,5,6,7,8,9,10,11,12,13},0))"),0.018)</f>
        <v>0.018</v>
      </c>
      <c r="Q565" s="14">
        <f>IFERROR(__xludf.DUMMYFUNCTION("""COMPUTED_VALUE"""),0.009)</f>
        <v>0.009</v>
      </c>
      <c r="R565" s="14">
        <f>IFERROR(__xludf.DUMMYFUNCTION("""COMPUTED_VALUE"""),81.0)</f>
        <v>81</v>
      </c>
      <c r="S565" s="14">
        <f>IFERROR(__xludf.DUMMYFUNCTION("""COMPUTED_VALUE"""),76.0)</f>
        <v>76</v>
      </c>
      <c r="T565" s="14">
        <f>IFERROR(__xludf.DUMMYFUNCTION("""COMPUTED_VALUE"""),0.286)</f>
        <v>0.286</v>
      </c>
      <c r="U565" s="14">
        <f>IFERROR(__xludf.DUMMYFUNCTION("""COMPUTED_VALUE"""),0.656)</f>
        <v>0.656</v>
      </c>
      <c r="V565" s="14">
        <f>IFERROR(__xludf.DUMMYFUNCTION("""COMPUTED_VALUE"""),0.058)</f>
        <v>0.058</v>
      </c>
      <c r="W565" s="14">
        <f>IFERROR(__xludf.DUMMYFUNCTION("""COMPUTED_VALUE"""),4246336.0)</f>
        <v>4246336</v>
      </c>
      <c r="X565" s="14">
        <f>IFERROR(__xludf.DUMMYFUNCTION("""COMPUTED_VALUE"""),0.644)</f>
        <v>0.644</v>
      </c>
      <c r="Y565" s="14" t="str">
        <f>IFERROR(__xludf.DUMMYFUNCTION("""COMPUTED_VALUE"""),"Costa Rica-The Americas")</f>
        <v>Costa Rica-The Americas</v>
      </c>
      <c r="Z565" s="14" t="str">
        <f>IFERROR(__xludf.DUMMYFUNCTION("""COMPUTED_VALUE"""),"The Americas")</f>
        <v>The Americas</v>
      </c>
      <c r="AA565" s="14" t="str">
        <f>IFERROR(__xludf.DUMMYFUNCTION("""COMPUTED_VALUE"""),"2004")</f>
        <v>2004</v>
      </c>
      <c r="AB565" s="15" t="str">
        <f>IFERROR(__xludf.DUMMYFUNCTION("ARRAYFORMULA(VLOOKUP(A565,IMPORTRANGE(""https://docs.google.com/spreadsheets/d/1BuTWp7qHGjWhqrnf-OmePP568O4A5Am9ttzvVdP67zw/edit#gid=1931367683"" ,""ENERGY!$A$2:$F$2692""), {2,3,4,5,6},0))"),"The Americas")</f>
        <v>The Americas</v>
      </c>
      <c r="AC565" s="14" t="str">
        <f>IFERROR(__xludf.DUMMYFUNCTION("""COMPUTED_VALUE"""),"Costa Rica-The Americas")</f>
        <v>Costa Rica-The Americas</v>
      </c>
      <c r="AD565" s="14" t="str">
        <f>IFERROR(__xludf.DUMMYFUNCTION("""COMPUTED_VALUE"""),"2004")</f>
        <v>2004</v>
      </c>
      <c r="AE565" s="14">
        <f>IFERROR(__xludf.DUMMYFUNCTION("""COMPUTED_VALUE"""),4586.0)</f>
        <v>4586</v>
      </c>
      <c r="AF565" s="14">
        <f>IFERROR(__xludf.DUMMYFUNCTION("""COMPUTED_VALUE"""),8647.0)</f>
        <v>8647</v>
      </c>
    </row>
    <row r="566">
      <c r="A566" s="12">
        <v>565.0</v>
      </c>
      <c r="B566" s="12" t="s">
        <v>122</v>
      </c>
      <c r="C566" s="5" t="s">
        <v>84</v>
      </c>
      <c r="D566" s="11">
        <v>0.552</v>
      </c>
      <c r="E566" s="11">
        <v>77.0</v>
      </c>
      <c r="F566" s="8"/>
      <c r="G566" s="11">
        <v>402.0</v>
      </c>
      <c r="H566" s="11">
        <v>0.221</v>
      </c>
      <c r="I566" s="11">
        <v>0.255</v>
      </c>
      <c r="J566" s="9" t="s">
        <v>66</v>
      </c>
      <c r="K566" s="14" t="str">
        <f>IFERROR(__xludf.DUMMYFUNCTION("ARRAYFORMULA(VLOOKUP(A566,IMPORTRANGE(""https://docs.google.com/spreadsheets/d/1BuTWp7qHGjWhqrnf-OmePP568O4A5Am9ttzvVdP67zw/edit#gid=1603210130"", ""TOURISM!$A$2:$F$2692""), {2,3,4,5,6},0))"),"The Americas")</f>
        <v>The Americas</v>
      </c>
      <c r="L566" s="14">
        <f>IFERROR(__xludf.DUMMYFUNCTION("""COMPUTED_VALUE"""),1.81E9)</f>
        <v>1810000000</v>
      </c>
      <c r="M566" s="14" t="str">
        <f>IFERROR(__xludf.DUMMYFUNCTION("""COMPUTED_VALUE"""),"Costa Rica-The Americas")</f>
        <v>Costa Rica-The Americas</v>
      </c>
      <c r="N566" s="14" t="str">
        <f>IFERROR(__xludf.DUMMYFUNCTION("""COMPUTED_VALUE"""),"2005")</f>
        <v>2005</v>
      </c>
      <c r="O566" s="14">
        <f>IFERROR(__xludf.DUMMYFUNCTION("""COMPUTED_VALUE"""),5.56E8)</f>
        <v>556000000</v>
      </c>
      <c r="P566" s="15">
        <f>IFERROR(__xludf.DUMMYFUNCTION("ARRAYFORMULA(VLOOKUP(A566,IMPORTRANGE(""https://docs.google.com/spreadsheets/d/1BuTWp7qHGjWhqrnf-OmePP568O4A5Am9ttzvVdP67zw/edit#gid=771602874"" ,""HUMAN RESOURCES!$A$2:$M$2692""), {2,3,4,5,6,7,8,9,10,11,12,13},0))"),0.017)</f>
        <v>0.017</v>
      </c>
      <c r="Q566" s="14">
        <f>IFERROR(__xludf.DUMMYFUNCTION("""COMPUTED_VALUE"""),0.009)</f>
        <v>0.009</v>
      </c>
      <c r="R566" s="14">
        <f>IFERROR(__xludf.DUMMYFUNCTION("""COMPUTED_VALUE"""),81.0)</f>
        <v>81</v>
      </c>
      <c r="S566" s="14">
        <f>IFERROR(__xludf.DUMMYFUNCTION("""COMPUTED_VALUE"""),76.0)</f>
        <v>76</v>
      </c>
      <c r="T566" s="14">
        <f>IFERROR(__xludf.DUMMYFUNCTION("""COMPUTED_VALUE"""),0.279)</f>
        <v>0.279</v>
      </c>
      <c r="U566" s="14">
        <f>IFERROR(__xludf.DUMMYFUNCTION("""COMPUTED_VALUE"""),0.662)</f>
        <v>0.662</v>
      </c>
      <c r="V566" s="14">
        <f>IFERROR(__xludf.DUMMYFUNCTION("""COMPUTED_VALUE"""),0.059)</f>
        <v>0.059</v>
      </c>
      <c r="W566" s="14">
        <f>IFERROR(__xludf.DUMMYFUNCTION("""COMPUTED_VALUE"""),4320130.0)</f>
        <v>4320130</v>
      </c>
      <c r="X566" s="14">
        <f>IFERROR(__xludf.DUMMYFUNCTION("""COMPUTED_VALUE"""),0.657)</f>
        <v>0.657</v>
      </c>
      <c r="Y566" s="14" t="str">
        <f>IFERROR(__xludf.DUMMYFUNCTION("""COMPUTED_VALUE"""),"Costa Rica-The Americas")</f>
        <v>Costa Rica-The Americas</v>
      </c>
      <c r="Z566" s="14" t="str">
        <f>IFERROR(__xludf.DUMMYFUNCTION("""COMPUTED_VALUE"""),"The Americas")</f>
        <v>The Americas</v>
      </c>
      <c r="AA566" s="14" t="str">
        <f>IFERROR(__xludf.DUMMYFUNCTION("""COMPUTED_VALUE"""),"2005")</f>
        <v>2005</v>
      </c>
      <c r="AB566" s="15" t="str">
        <f>IFERROR(__xludf.DUMMYFUNCTION("ARRAYFORMULA(VLOOKUP(A566,IMPORTRANGE(""https://docs.google.com/spreadsheets/d/1BuTWp7qHGjWhqrnf-OmePP568O4A5Am9ttzvVdP67zw/edit#gid=1931367683"" ,""ENERGY!$A$2:$F$2692""), {2,3,4,5,6},0))"),"The Americas")</f>
        <v>The Americas</v>
      </c>
      <c r="AC566" s="14" t="str">
        <f>IFERROR(__xludf.DUMMYFUNCTION("""COMPUTED_VALUE"""),"Costa Rica-The Americas")</f>
        <v>Costa Rica-The Americas</v>
      </c>
      <c r="AD566" s="14" t="str">
        <f>IFERROR(__xludf.DUMMYFUNCTION("""COMPUTED_VALUE"""),"2006")</f>
        <v>2006</v>
      </c>
      <c r="AE566" s="14">
        <f>IFERROR(__xludf.DUMMYFUNCTION("""COMPUTED_VALUE"""),4508.0)</f>
        <v>4508</v>
      </c>
      <c r="AF566" s="14">
        <f>IFERROR(__xludf.DUMMYFUNCTION("""COMPUTED_VALUE"""),8573.0)</f>
        <v>8573</v>
      </c>
    </row>
    <row r="567">
      <c r="A567" s="12">
        <v>566.0</v>
      </c>
      <c r="B567" s="12" t="s">
        <v>122</v>
      </c>
      <c r="C567" s="5" t="s">
        <v>84</v>
      </c>
      <c r="D567" s="11">
        <v>0.552</v>
      </c>
      <c r="E567" s="11">
        <v>77.0</v>
      </c>
      <c r="F567" s="8"/>
      <c r="G567" s="11">
        <v>402.0</v>
      </c>
      <c r="H567" s="11">
        <v>0.251</v>
      </c>
      <c r="I567" s="11">
        <v>0.329</v>
      </c>
      <c r="J567" s="9" t="s">
        <v>67</v>
      </c>
      <c r="K567" s="14" t="str">
        <f>IFERROR(__xludf.DUMMYFUNCTION("ARRAYFORMULA(VLOOKUP(A567,IMPORTRANGE(""https://docs.google.com/spreadsheets/d/1BuTWp7qHGjWhqrnf-OmePP568O4A5Am9ttzvVdP67zw/edit#gid=1603210130"", ""TOURISM!$A$2:$F$2692""), {2,3,4,5,6},0))"),"The Americas")</f>
        <v>The Americas</v>
      </c>
      <c r="L567" s="14">
        <f>IFERROR(__xludf.DUMMYFUNCTION("""COMPUTED_VALUE"""),1.865E9)</f>
        <v>1865000000</v>
      </c>
      <c r="M567" s="14" t="str">
        <f>IFERROR(__xludf.DUMMYFUNCTION("""COMPUTED_VALUE"""),"Costa Rica-The Americas")</f>
        <v>Costa Rica-The Americas</v>
      </c>
      <c r="N567" s="14" t="str">
        <f>IFERROR(__xludf.DUMMYFUNCTION("""COMPUTED_VALUE"""),"2006")</f>
        <v>2006</v>
      </c>
      <c r="O567" s="14">
        <f>IFERROR(__xludf.DUMMYFUNCTION("""COMPUTED_VALUE"""),5.77E8)</f>
        <v>577000000</v>
      </c>
      <c r="P567" s="15">
        <f>IFERROR(__xludf.DUMMYFUNCTION("ARRAYFORMULA(VLOOKUP(A567,IMPORTRANGE(""https://docs.google.com/spreadsheets/d/1BuTWp7qHGjWhqrnf-OmePP568O4A5Am9ttzvVdP67zw/edit#gid=771602874"" ,""HUMAN RESOURCES!$A$2:$M$2692""), {2,3,4,5,6,7,8,9,10,11,12,13},0))"),0.017)</f>
        <v>0.017</v>
      </c>
      <c r="Q567" s="14">
        <f>IFERROR(__xludf.DUMMYFUNCTION("""COMPUTED_VALUE"""),0.009)</f>
        <v>0.009</v>
      </c>
      <c r="R567" s="14">
        <f>IFERROR(__xludf.DUMMYFUNCTION("""COMPUTED_VALUE"""),81.0)</f>
        <v>81</v>
      </c>
      <c r="S567" s="14">
        <f>IFERROR(__xludf.DUMMYFUNCTION("""COMPUTED_VALUE"""),76.0)</f>
        <v>76</v>
      </c>
      <c r="T567" s="14">
        <f>IFERROR(__xludf.DUMMYFUNCTION("""COMPUTED_VALUE"""),0.272)</f>
        <v>0.272</v>
      </c>
      <c r="U567" s="14">
        <f>IFERROR(__xludf.DUMMYFUNCTION("""COMPUTED_VALUE"""),0.668)</f>
        <v>0.668</v>
      </c>
      <c r="V567" s="14">
        <f>IFERROR(__xludf.DUMMYFUNCTION("""COMPUTED_VALUE"""),0.06)</f>
        <v>0.06</v>
      </c>
      <c r="W567" s="14">
        <f>IFERROR(__xludf.DUMMYFUNCTION("""COMPUTED_VALUE"""),4392493.0)</f>
        <v>4392493</v>
      </c>
      <c r="X567" s="14">
        <f>IFERROR(__xludf.DUMMYFUNCTION("""COMPUTED_VALUE"""),0.669)</f>
        <v>0.669</v>
      </c>
      <c r="Y567" s="14" t="str">
        <f>IFERROR(__xludf.DUMMYFUNCTION("""COMPUTED_VALUE"""),"Costa Rica-The Americas")</f>
        <v>Costa Rica-The Americas</v>
      </c>
      <c r="Z567" s="14" t="str">
        <f>IFERROR(__xludf.DUMMYFUNCTION("""COMPUTED_VALUE"""),"The Americas")</f>
        <v>The Americas</v>
      </c>
      <c r="AA567" s="14" t="str">
        <f>IFERROR(__xludf.DUMMYFUNCTION("""COMPUTED_VALUE"""),"2006")</f>
        <v>2006</v>
      </c>
      <c r="AB567" s="15" t="str">
        <f>IFERROR(__xludf.DUMMYFUNCTION("ARRAYFORMULA(VLOOKUP(A567,IMPORTRANGE(""https://docs.google.com/spreadsheets/d/1BuTWp7qHGjWhqrnf-OmePP568O4A5Am9ttzvVdP67zw/edit#gid=1931367683"" ,""ENERGY!$A$2:$F$2692""), {2,3,4,5,6},0))"),"The Americas")</f>
        <v>The Americas</v>
      </c>
      <c r="AC567" s="14" t="str">
        <f>IFERROR(__xludf.DUMMYFUNCTION("""COMPUTED_VALUE"""),"Costa Rica-The Americas")</f>
        <v>Costa Rica-The Americas</v>
      </c>
      <c r="AD567" s="14" t="str">
        <f>IFERROR(__xludf.DUMMYFUNCTION("""COMPUTED_VALUE"""),"2010")</f>
        <v>2010</v>
      </c>
      <c r="AE567" s="14">
        <f>IFERROR(__xludf.DUMMYFUNCTION("""COMPUTED_VALUE"""),4182.0)</f>
        <v>4182</v>
      </c>
      <c r="AF567" s="14">
        <f>IFERROR(__xludf.DUMMYFUNCTION("""COMPUTED_VALUE"""),7437.0)</f>
        <v>7437</v>
      </c>
    </row>
    <row r="568">
      <c r="A568" s="12">
        <v>567.0</v>
      </c>
      <c r="B568" s="12" t="s">
        <v>122</v>
      </c>
      <c r="C568" s="5" t="s">
        <v>84</v>
      </c>
      <c r="D568" s="11">
        <v>0.552</v>
      </c>
      <c r="E568" s="11">
        <v>77.0</v>
      </c>
      <c r="F568" s="8"/>
      <c r="G568" s="11">
        <v>402.0</v>
      </c>
      <c r="H568" s="11">
        <v>0.284</v>
      </c>
      <c r="I568" s="11">
        <v>0.338</v>
      </c>
      <c r="J568" s="9" t="s">
        <v>68</v>
      </c>
      <c r="K568" s="14" t="str">
        <f>IFERROR(__xludf.DUMMYFUNCTION("ARRAYFORMULA(VLOOKUP(A568,IMPORTRANGE(""https://docs.google.com/spreadsheets/d/1BuTWp7qHGjWhqrnf-OmePP568O4A5Am9ttzvVdP67zw/edit#gid=1603210130"", ""TOURISM!$A$2:$F$2692""), {2,3,4,5,6},0))"),"The Americas")</f>
        <v>The Americas</v>
      </c>
      <c r="L568" s="14">
        <f>IFERROR(__xludf.DUMMYFUNCTION("""COMPUTED_VALUE"""),2.221E9)</f>
        <v>2221000000</v>
      </c>
      <c r="M568" s="14" t="str">
        <f>IFERROR(__xludf.DUMMYFUNCTION("""COMPUTED_VALUE"""),"Costa Rica-The Americas")</f>
        <v>Costa Rica-The Americas</v>
      </c>
      <c r="N568" s="14" t="str">
        <f>IFERROR(__xludf.DUMMYFUNCTION("""COMPUTED_VALUE"""),"2007")</f>
        <v>2007</v>
      </c>
      <c r="O568" s="14">
        <f>IFERROR(__xludf.DUMMYFUNCTION("""COMPUTED_VALUE"""),7.51E8)</f>
        <v>751000000</v>
      </c>
      <c r="P568" s="15">
        <f>IFERROR(__xludf.DUMMYFUNCTION("ARRAYFORMULA(VLOOKUP(A568,IMPORTRANGE(""https://docs.google.com/spreadsheets/d/1BuTWp7qHGjWhqrnf-OmePP568O4A5Am9ttzvVdP67zw/edit#gid=771602874"" ,""HUMAN RESOURCES!$A$2:$M$2692""), {2,3,4,5,6,7,8,9,10,11,12,13},0))"),0.017)</f>
        <v>0.017</v>
      </c>
      <c r="Q568" s="14">
        <f>IFERROR(__xludf.DUMMYFUNCTION("""COMPUTED_VALUE"""),0.009)</f>
        <v>0.009</v>
      </c>
      <c r="R568" s="14">
        <f>IFERROR(__xludf.DUMMYFUNCTION("""COMPUTED_VALUE"""),81.0)</f>
        <v>81</v>
      </c>
      <c r="S568" s="14">
        <f>IFERROR(__xludf.DUMMYFUNCTION("""COMPUTED_VALUE"""),76.0)</f>
        <v>76</v>
      </c>
      <c r="T568" s="14">
        <f>IFERROR(__xludf.DUMMYFUNCTION("""COMPUTED_VALUE"""),0.266)</f>
        <v>0.266</v>
      </c>
      <c r="U568" s="14">
        <f>IFERROR(__xludf.DUMMYFUNCTION("""COMPUTED_VALUE"""),0.673)</f>
        <v>0.673</v>
      </c>
      <c r="V568" s="14">
        <f>IFERROR(__xludf.DUMMYFUNCTION("""COMPUTED_VALUE"""),0.061)</f>
        <v>0.061</v>
      </c>
      <c r="W568" s="14">
        <f>IFERROR(__xludf.DUMMYFUNCTION("""COMPUTED_VALUE"""),4463226.0)</f>
        <v>4463226</v>
      </c>
      <c r="X568" s="14">
        <f>IFERROR(__xludf.DUMMYFUNCTION("""COMPUTED_VALUE"""),0.682)</f>
        <v>0.682</v>
      </c>
      <c r="Y568" s="14" t="str">
        <f>IFERROR(__xludf.DUMMYFUNCTION("""COMPUTED_VALUE"""),"Costa Rica-The Americas")</f>
        <v>Costa Rica-The Americas</v>
      </c>
      <c r="Z568" s="14" t="str">
        <f>IFERROR(__xludf.DUMMYFUNCTION("""COMPUTED_VALUE"""),"The Americas")</f>
        <v>The Americas</v>
      </c>
      <c r="AA568" s="14" t="str">
        <f>IFERROR(__xludf.DUMMYFUNCTION("""COMPUTED_VALUE"""),"2007")</f>
        <v>2007</v>
      </c>
      <c r="AB568" s="15" t="str">
        <f>IFERROR(__xludf.DUMMYFUNCTION("ARRAYFORMULA(VLOOKUP(A568,IMPORTRANGE(""https://docs.google.com/spreadsheets/d/1BuTWp7qHGjWhqrnf-OmePP568O4A5Am9ttzvVdP67zw/edit#gid=1931367683"" ,""ENERGY!$A$2:$F$2692""), {2,3,4,5,6},0))"),"The Americas")</f>
        <v>The Americas</v>
      </c>
      <c r="AC568" s="14" t="str">
        <f>IFERROR(__xludf.DUMMYFUNCTION("""COMPUTED_VALUE"""),"Costa Rica-The Americas")</f>
        <v>Costa Rica-The Americas</v>
      </c>
      <c r="AD568" s="14" t="str">
        <f>IFERROR(__xludf.DUMMYFUNCTION("""COMPUTED_VALUE"""),"2007")</f>
        <v>2007</v>
      </c>
      <c r="AE568" s="14">
        <f>IFERROR(__xludf.DUMMYFUNCTION("""COMPUTED_VALUE"""),3865.0)</f>
        <v>3865</v>
      </c>
      <c r="AF568" s="14">
        <f>IFERROR(__xludf.DUMMYFUNCTION("""COMPUTED_VALUE"""),7088.0)</f>
        <v>7088</v>
      </c>
    </row>
    <row r="569">
      <c r="A569" s="12">
        <v>568.0</v>
      </c>
      <c r="B569" s="12" t="s">
        <v>122</v>
      </c>
      <c r="C569" s="5" t="s">
        <v>84</v>
      </c>
      <c r="D569" s="11">
        <v>0.552</v>
      </c>
      <c r="E569" s="11">
        <v>60.0</v>
      </c>
      <c r="F569" s="8"/>
      <c r="G569" s="11">
        <v>282.0</v>
      </c>
      <c r="H569" s="11">
        <v>0.323</v>
      </c>
      <c r="I569" s="11">
        <v>0.416</v>
      </c>
      <c r="J569" s="9" t="s">
        <v>69</v>
      </c>
      <c r="K569" s="14" t="str">
        <f>IFERROR(__xludf.DUMMYFUNCTION("ARRAYFORMULA(VLOOKUP(A569,IMPORTRANGE(""https://docs.google.com/spreadsheets/d/1BuTWp7qHGjWhqrnf-OmePP568O4A5Am9ttzvVdP67zw/edit#gid=1603210130"", ""TOURISM!$A$2:$F$2692""), {2,3,4,5,6},0))"),"The Americas")</f>
        <v>The Americas</v>
      </c>
      <c r="L569" s="14">
        <f>IFERROR(__xludf.DUMMYFUNCTION("""COMPUTED_VALUE"""),2.533E9)</f>
        <v>2533000000</v>
      </c>
      <c r="M569" s="14" t="str">
        <f>IFERROR(__xludf.DUMMYFUNCTION("""COMPUTED_VALUE"""),"Costa Rica-The Americas")</f>
        <v>Costa Rica-The Americas</v>
      </c>
      <c r="N569" s="14" t="str">
        <f>IFERROR(__xludf.DUMMYFUNCTION("""COMPUTED_VALUE"""),"2008")</f>
        <v>2008</v>
      </c>
      <c r="O569" s="14">
        <f>IFERROR(__xludf.DUMMYFUNCTION("""COMPUTED_VALUE"""),7.18E8)</f>
        <v>718000000</v>
      </c>
      <c r="P569" s="15">
        <f>IFERROR(__xludf.DUMMYFUNCTION("ARRAYFORMULA(VLOOKUP(A569,IMPORTRANGE(""https://docs.google.com/spreadsheets/d/1BuTWp7qHGjWhqrnf-OmePP568O4A5Am9ttzvVdP67zw/edit#gid=771602874"" ,""HUMAN RESOURCES!$A$2:$M$2692""), {2,3,4,5,6,7,8,9,10,11,12,13},0))"),0.016)</f>
        <v>0.016</v>
      </c>
      <c r="Q569" s="14">
        <f>IFERROR(__xludf.DUMMYFUNCTION("""COMPUTED_VALUE"""),0.009)</f>
        <v>0.009</v>
      </c>
      <c r="R569" s="14">
        <f>IFERROR(__xludf.DUMMYFUNCTION("""COMPUTED_VALUE"""),81.0)</f>
        <v>81</v>
      </c>
      <c r="S569" s="14">
        <f>IFERROR(__xludf.DUMMYFUNCTION("""COMPUTED_VALUE"""),77.0)</f>
        <v>77</v>
      </c>
      <c r="T569" s="14">
        <f>IFERROR(__xludf.DUMMYFUNCTION("""COMPUTED_VALUE"""),0.26)</f>
        <v>0.26</v>
      </c>
      <c r="U569" s="14">
        <f>IFERROR(__xludf.DUMMYFUNCTION("""COMPUTED_VALUE"""),0.678)</f>
        <v>0.678</v>
      </c>
      <c r="V569" s="14">
        <f>IFERROR(__xludf.DUMMYFUNCTION("""COMPUTED_VALUE"""),0.062)</f>
        <v>0.062</v>
      </c>
      <c r="W569" s="14">
        <f>IFERROR(__xludf.DUMMYFUNCTION("""COMPUTED_VALUE"""),4532711.0)</f>
        <v>4532711</v>
      </c>
      <c r="X569" s="14">
        <f>IFERROR(__xludf.DUMMYFUNCTION("""COMPUTED_VALUE"""),0.694)</f>
        <v>0.694</v>
      </c>
      <c r="Y569" s="14" t="str">
        <f>IFERROR(__xludf.DUMMYFUNCTION("""COMPUTED_VALUE"""),"Costa Rica-The Americas")</f>
        <v>Costa Rica-The Americas</v>
      </c>
      <c r="Z569" s="14" t="str">
        <f>IFERROR(__xludf.DUMMYFUNCTION("""COMPUTED_VALUE"""),"The Americas")</f>
        <v>The Americas</v>
      </c>
      <c r="AA569" s="14" t="str">
        <f>IFERROR(__xludf.DUMMYFUNCTION("""COMPUTED_VALUE"""),"2008")</f>
        <v>2008</v>
      </c>
      <c r="AB569" s="15" t="str">
        <f>IFERROR(__xludf.DUMMYFUNCTION("ARRAYFORMULA(VLOOKUP(A569,IMPORTRANGE(""https://docs.google.com/spreadsheets/d/1BuTWp7qHGjWhqrnf-OmePP568O4A5Am9ttzvVdP67zw/edit#gid=1931367683"" ,""ENERGY!$A$2:$F$2692""), {2,3,4,5,6},0))"),"The Americas")</f>
        <v>The Americas</v>
      </c>
      <c r="AC569" s="14" t="str">
        <f>IFERROR(__xludf.DUMMYFUNCTION("""COMPUTED_VALUE"""),"Costa Rica-The Americas")</f>
        <v>Costa Rica-The Americas</v>
      </c>
      <c r="AD569" s="14" t="str">
        <f>IFERROR(__xludf.DUMMYFUNCTION("""COMPUTED_VALUE"""),"2005")</f>
        <v>2005</v>
      </c>
      <c r="AE569" s="14">
        <f>IFERROR(__xludf.DUMMYFUNCTION("""COMPUTED_VALUE"""),3880.0)</f>
        <v>3880</v>
      </c>
      <c r="AF569" s="14">
        <f>IFERROR(__xludf.DUMMYFUNCTION("""COMPUTED_VALUE"""),6931.0)</f>
        <v>6931</v>
      </c>
    </row>
    <row r="570">
      <c r="A570" s="12">
        <v>569.0</v>
      </c>
      <c r="B570" s="12" t="s">
        <v>122</v>
      </c>
      <c r="C570" s="5" t="s">
        <v>84</v>
      </c>
      <c r="D570" s="11">
        <v>0.552</v>
      </c>
      <c r="E570" s="11">
        <v>60.0</v>
      </c>
      <c r="F570" s="8"/>
      <c r="G570" s="11">
        <v>282.0</v>
      </c>
      <c r="H570" s="11">
        <v>0.343</v>
      </c>
      <c r="I570" s="11">
        <v>0.424</v>
      </c>
      <c r="J570" s="9" t="s">
        <v>70</v>
      </c>
      <c r="K570" s="14" t="str">
        <f>IFERROR(__xludf.DUMMYFUNCTION("ARRAYFORMULA(VLOOKUP(A570,IMPORTRANGE(""https://docs.google.com/spreadsheets/d/1BuTWp7qHGjWhqrnf-OmePP568O4A5Am9ttzvVdP67zw/edit#gid=1603210130"", ""TOURISM!$A$2:$F$2692""), {2,3,4,5,6},0))"),"The Americas")</f>
        <v>The Americas</v>
      </c>
      <c r="L570" s="14">
        <f>IFERROR(__xludf.DUMMYFUNCTION("""COMPUTED_VALUE"""),2.001E9)</f>
        <v>2001000000</v>
      </c>
      <c r="M570" s="14" t="str">
        <f>IFERROR(__xludf.DUMMYFUNCTION("""COMPUTED_VALUE"""),"Costa Rica-The Americas")</f>
        <v>Costa Rica-The Americas</v>
      </c>
      <c r="N570" s="14" t="str">
        <f>IFERROR(__xludf.DUMMYFUNCTION("""COMPUTED_VALUE"""),"2009")</f>
        <v>2009</v>
      </c>
      <c r="O570" s="14">
        <f>IFERROR(__xludf.DUMMYFUNCTION("""COMPUTED_VALUE"""),4.62E8)</f>
        <v>462000000</v>
      </c>
      <c r="P570" s="15">
        <f>IFERROR(__xludf.DUMMYFUNCTION("ARRAYFORMULA(VLOOKUP(A570,IMPORTRANGE(""https://docs.google.com/spreadsheets/d/1BuTWp7qHGjWhqrnf-OmePP568O4A5Am9ttzvVdP67zw/edit#gid=771602874"" ,""HUMAN RESOURCES!$A$2:$M$2692""), {2,3,4,5,6,7,8,9,10,11,12,13},0))"),0.016)</f>
        <v>0.016</v>
      </c>
      <c r="Q570" s="14">
        <f>IFERROR(__xludf.DUMMYFUNCTION("""COMPUTED_VALUE"""),0.009)</f>
        <v>0.009</v>
      </c>
      <c r="R570" s="14">
        <f>IFERROR(__xludf.DUMMYFUNCTION("""COMPUTED_VALUE"""),81.0)</f>
        <v>81</v>
      </c>
      <c r="S570" s="14">
        <f>IFERROR(__xludf.DUMMYFUNCTION("""COMPUTED_VALUE"""),77.0)</f>
        <v>77</v>
      </c>
      <c r="T570" s="14">
        <f>IFERROR(__xludf.DUMMYFUNCTION("""COMPUTED_VALUE"""),0.255)</f>
        <v>0.255</v>
      </c>
      <c r="U570" s="14">
        <f>IFERROR(__xludf.DUMMYFUNCTION("""COMPUTED_VALUE"""),0.682)</f>
        <v>0.682</v>
      </c>
      <c r="V570" s="14">
        <f>IFERROR(__xludf.DUMMYFUNCTION("""COMPUTED_VALUE"""),0.064)</f>
        <v>0.064</v>
      </c>
      <c r="W570" s="14">
        <f>IFERROR(__xludf.DUMMYFUNCTION("""COMPUTED_VALUE"""),4601424.0)</f>
        <v>4601424</v>
      </c>
      <c r="X570" s="14">
        <f>IFERROR(__xludf.DUMMYFUNCTION("""COMPUTED_VALUE"""),0.706)</f>
        <v>0.706</v>
      </c>
      <c r="Y570" s="14" t="str">
        <f>IFERROR(__xludf.DUMMYFUNCTION("""COMPUTED_VALUE"""),"Costa Rica-The Americas")</f>
        <v>Costa Rica-The Americas</v>
      </c>
      <c r="Z570" s="14" t="str">
        <f>IFERROR(__xludf.DUMMYFUNCTION("""COMPUTED_VALUE"""),"The Americas")</f>
        <v>The Americas</v>
      </c>
      <c r="AA570" s="14" t="str">
        <f>IFERROR(__xludf.DUMMYFUNCTION("""COMPUTED_VALUE"""),"2009")</f>
        <v>2009</v>
      </c>
      <c r="AB570" s="15" t="str">
        <f>IFERROR(__xludf.DUMMYFUNCTION("ARRAYFORMULA(VLOOKUP(A570,IMPORTRANGE(""https://docs.google.com/spreadsheets/d/1BuTWp7qHGjWhqrnf-OmePP568O4A5Am9ttzvVdP67zw/edit#gid=1931367683"" ,""ENERGY!$A$2:$F$2692""), {2,3,4,5,6},0))"),"The Americas")</f>
        <v>The Americas</v>
      </c>
      <c r="AC570" s="14" t="str">
        <f>IFERROR(__xludf.DUMMYFUNCTION("""COMPUTED_VALUE"""),"Costa Rica-The Americas")</f>
        <v>Costa Rica-The Americas</v>
      </c>
      <c r="AD570" s="14" t="str">
        <f>IFERROR(__xludf.DUMMYFUNCTION("""COMPUTED_VALUE"""),"2009")</f>
        <v>2009</v>
      </c>
      <c r="AE570" s="14">
        <f>IFERROR(__xludf.DUMMYFUNCTION("""COMPUTED_VALUE"""),3297.0)</f>
        <v>3297</v>
      </c>
      <c r="AF570" s="14">
        <f>IFERROR(__xludf.DUMMYFUNCTION("""COMPUTED_VALUE"""),6626.0)</f>
        <v>6626</v>
      </c>
    </row>
    <row r="571">
      <c r="A571" s="12">
        <v>570.0</v>
      </c>
      <c r="B571" s="12" t="s">
        <v>122</v>
      </c>
      <c r="C571" s="5" t="s">
        <v>84</v>
      </c>
      <c r="D571" s="11">
        <v>0.553</v>
      </c>
      <c r="E571" s="11">
        <v>60.0</v>
      </c>
      <c r="F571" s="8"/>
      <c r="G571" s="11">
        <v>272.0</v>
      </c>
      <c r="H571" s="11">
        <v>0.365</v>
      </c>
      <c r="I571" s="11">
        <v>0.67</v>
      </c>
      <c r="J571" s="9" t="s">
        <v>71</v>
      </c>
      <c r="K571" s="14" t="str">
        <f>IFERROR(__xludf.DUMMYFUNCTION("ARRAYFORMULA(VLOOKUP(A571,IMPORTRANGE(""https://docs.google.com/spreadsheets/d/1BuTWp7qHGjWhqrnf-OmePP568O4A5Am9ttzvVdP67zw/edit#gid=1603210130"", ""TOURISM!$A$2:$F$2692""), {2,3,4,5,6},0))"),"The Americas")</f>
        <v>The Americas</v>
      </c>
      <c r="L571" s="14">
        <f>IFERROR(__xludf.DUMMYFUNCTION("""COMPUTED_VALUE"""),2.179E9)</f>
        <v>2179000000</v>
      </c>
      <c r="M571" s="14" t="str">
        <f>IFERROR(__xludf.DUMMYFUNCTION("""COMPUTED_VALUE"""),"Costa Rica-The Americas")</f>
        <v>Costa Rica-The Americas</v>
      </c>
      <c r="N571" s="14" t="str">
        <f>IFERROR(__xludf.DUMMYFUNCTION("""COMPUTED_VALUE"""),"2010")</f>
        <v>2010</v>
      </c>
      <c r="O571" s="14">
        <f>IFERROR(__xludf.DUMMYFUNCTION("""COMPUTED_VALUE"""),5.33E8)</f>
        <v>533000000</v>
      </c>
      <c r="P571" s="15">
        <f>IFERROR(__xludf.DUMMYFUNCTION("ARRAYFORMULA(VLOOKUP(A571,IMPORTRANGE(""https://docs.google.com/spreadsheets/d/1BuTWp7qHGjWhqrnf-OmePP568O4A5Am9ttzvVdP67zw/edit#gid=771602874"" ,""HUMAN RESOURCES!$A$2:$M$2692""), {2,3,4,5,6,7,8,9,10,11,12,13},0))"),0.016)</f>
        <v>0.016</v>
      </c>
      <c r="Q571" s="14">
        <f>IFERROR(__xludf.DUMMYFUNCTION("""COMPUTED_VALUE"""),0.009)</f>
        <v>0.009</v>
      </c>
      <c r="R571" s="14">
        <f>IFERROR(__xludf.DUMMYFUNCTION("""COMPUTED_VALUE"""),82.0)</f>
        <v>82</v>
      </c>
      <c r="S571" s="14">
        <f>IFERROR(__xludf.DUMMYFUNCTION("""COMPUTED_VALUE"""),77.0)</f>
        <v>77</v>
      </c>
      <c r="T571" s="14">
        <f>IFERROR(__xludf.DUMMYFUNCTION("""COMPUTED_VALUE"""),0.249)</f>
        <v>0.249</v>
      </c>
      <c r="U571" s="14">
        <f>IFERROR(__xludf.DUMMYFUNCTION("""COMPUTED_VALUE"""),0.686)</f>
        <v>0.686</v>
      </c>
      <c r="V571" s="14">
        <f>IFERROR(__xludf.DUMMYFUNCTION("""COMPUTED_VALUE"""),0.065)</f>
        <v>0.065</v>
      </c>
      <c r="W571" s="14">
        <f>IFERROR(__xludf.DUMMYFUNCTION("""COMPUTED_VALUE"""),4669685.0)</f>
        <v>4669685</v>
      </c>
      <c r="X571" s="14">
        <f>IFERROR(__xludf.DUMMYFUNCTION("""COMPUTED_VALUE"""),0.717)</f>
        <v>0.717</v>
      </c>
      <c r="Y571" s="14" t="str">
        <f>IFERROR(__xludf.DUMMYFUNCTION("""COMPUTED_VALUE"""),"Costa Rica-The Americas")</f>
        <v>Costa Rica-The Americas</v>
      </c>
      <c r="Z571" s="14" t="str">
        <f>IFERROR(__xludf.DUMMYFUNCTION("""COMPUTED_VALUE"""),"The Americas")</f>
        <v>The Americas</v>
      </c>
      <c r="AA571" s="14" t="str">
        <f>IFERROR(__xludf.DUMMYFUNCTION("""COMPUTED_VALUE"""),"2010")</f>
        <v>2010</v>
      </c>
      <c r="AB571" s="15" t="str">
        <f>IFERROR(__xludf.DUMMYFUNCTION("ARRAYFORMULA(VLOOKUP(A571,IMPORTRANGE(""https://docs.google.com/spreadsheets/d/1BuTWp7qHGjWhqrnf-OmePP568O4A5Am9ttzvVdP67zw/edit#gid=1931367683"" ,""ENERGY!$A$2:$F$2692""), {2,3,4,5,6},0))"),"The Americas")</f>
        <v>The Americas</v>
      </c>
      <c r="AC571" s="14" t="str">
        <f>IFERROR(__xludf.DUMMYFUNCTION("""COMPUTED_VALUE"""),"Costa Rica-The Americas")</f>
        <v>Costa Rica-The Americas</v>
      </c>
      <c r="AD571" s="14" t="str">
        <f>IFERROR(__xludf.DUMMYFUNCTION("""COMPUTED_VALUE"""),"2007")</f>
        <v>2007</v>
      </c>
      <c r="AE571" s="14">
        <f>IFERROR(__xludf.DUMMYFUNCTION("""COMPUTED_VALUE"""),3073.0)</f>
        <v>3073</v>
      </c>
      <c r="AF571" s="14">
        <f>IFERROR(__xludf.DUMMYFUNCTION("""COMPUTED_VALUE"""),6326.0)</f>
        <v>6326</v>
      </c>
    </row>
    <row r="572">
      <c r="A572" s="12">
        <v>571.0</v>
      </c>
      <c r="B572" s="12" t="s">
        <v>122</v>
      </c>
      <c r="C572" s="5" t="s">
        <v>84</v>
      </c>
      <c r="D572" s="11">
        <v>0.553</v>
      </c>
      <c r="E572" s="11">
        <v>60.0</v>
      </c>
      <c r="F572" s="8"/>
      <c r="G572" s="11">
        <v>246.0</v>
      </c>
      <c r="H572" s="11">
        <v>0.392</v>
      </c>
      <c r="I572" s="11">
        <v>0.877</v>
      </c>
      <c r="J572" s="9" t="s">
        <v>72</v>
      </c>
      <c r="K572" s="14" t="str">
        <f>IFERROR(__xludf.DUMMYFUNCTION("ARRAYFORMULA(VLOOKUP(A572,IMPORTRANGE(""https://docs.google.com/spreadsheets/d/1BuTWp7qHGjWhqrnf-OmePP568O4A5Am9ttzvVdP67zw/edit#gid=1603210130"", ""TOURISM!$A$2:$F$2692""), {2,3,4,5,6},0))"),"The Americas")</f>
        <v>The Americas</v>
      </c>
      <c r="L572" s="14">
        <f>IFERROR(__xludf.DUMMYFUNCTION("""COMPUTED_VALUE"""),2.375E9)</f>
        <v>2375000000</v>
      </c>
      <c r="M572" s="14" t="str">
        <f>IFERROR(__xludf.DUMMYFUNCTION("""COMPUTED_VALUE"""),"Costa Rica-The Americas")</f>
        <v>Costa Rica-The Americas</v>
      </c>
      <c r="N572" s="14" t="str">
        <f>IFERROR(__xludf.DUMMYFUNCTION("""COMPUTED_VALUE"""),"2011")</f>
        <v>2011</v>
      </c>
      <c r="O572" s="14">
        <f>IFERROR(__xludf.DUMMYFUNCTION("""COMPUTED_VALUE"""),5.22E8)</f>
        <v>522000000</v>
      </c>
      <c r="P572" s="15">
        <f>IFERROR(__xludf.DUMMYFUNCTION("ARRAYFORMULA(VLOOKUP(A572,IMPORTRANGE(""https://docs.google.com/spreadsheets/d/1BuTWp7qHGjWhqrnf-OmePP568O4A5Am9ttzvVdP67zw/edit#gid=771602874"" ,""HUMAN RESOURCES!$A$2:$M$2692""), {2,3,4,5,6,7,8,9,10,11,12,13},0))"),0.016)</f>
        <v>0.016</v>
      </c>
      <c r="Q572" s="14">
        <f>IFERROR(__xludf.DUMMYFUNCTION("""COMPUTED_VALUE"""),0.009)</f>
        <v>0.009</v>
      </c>
      <c r="R572" s="14">
        <f>IFERROR(__xludf.DUMMYFUNCTION("""COMPUTED_VALUE"""),82.0)</f>
        <v>82</v>
      </c>
      <c r="S572" s="14">
        <f>IFERROR(__xludf.DUMMYFUNCTION("""COMPUTED_VALUE"""),77.0)</f>
        <v>77</v>
      </c>
      <c r="T572" s="14">
        <f>IFERROR(__xludf.DUMMYFUNCTION("""COMPUTED_VALUE"""),0.244)</f>
        <v>0.244</v>
      </c>
      <c r="U572" s="14">
        <f>IFERROR(__xludf.DUMMYFUNCTION("""COMPUTED_VALUE"""),0.689)</f>
        <v>0.689</v>
      </c>
      <c r="V572" s="14">
        <f>IFERROR(__xludf.DUMMYFUNCTION("""COMPUTED_VALUE"""),0.067)</f>
        <v>0.067</v>
      </c>
      <c r="W572" s="14">
        <f>IFERROR(__xludf.DUMMYFUNCTION("""COMPUTED_VALUE"""),4737680.0)</f>
        <v>4737680</v>
      </c>
      <c r="X572" s="14">
        <f>IFERROR(__xludf.DUMMYFUNCTION("""COMPUTED_VALUE"""),0.729)</f>
        <v>0.729</v>
      </c>
      <c r="Y572" s="14" t="str">
        <f>IFERROR(__xludf.DUMMYFUNCTION("""COMPUTED_VALUE"""),"Costa Rica-The Americas")</f>
        <v>Costa Rica-The Americas</v>
      </c>
      <c r="Z572" s="14" t="str">
        <f>IFERROR(__xludf.DUMMYFUNCTION("""COMPUTED_VALUE"""),"The Americas")</f>
        <v>The Americas</v>
      </c>
      <c r="AA572" s="14" t="str">
        <f>IFERROR(__xludf.DUMMYFUNCTION("""COMPUTED_VALUE"""),"2011")</f>
        <v>2011</v>
      </c>
      <c r="AB572" s="15" t="str">
        <f>IFERROR(__xludf.DUMMYFUNCTION("ARRAYFORMULA(VLOOKUP(A572,IMPORTRANGE(""https://docs.google.com/spreadsheets/d/1BuTWp7qHGjWhqrnf-OmePP568O4A5Am9ttzvVdP67zw/edit#gid=1931367683"" ,""ENERGY!$A$2:$F$2692""), {2,3,4,5,6},0))"),"The Americas")</f>
        <v>The Americas</v>
      </c>
      <c r="AC572" s="14" t="str">
        <f>IFERROR(__xludf.DUMMYFUNCTION("""COMPUTED_VALUE"""),"Costa Rica-The Americas")</f>
        <v>Costa Rica-The Americas</v>
      </c>
      <c r="AD572" s="14" t="str">
        <f>IFERROR(__xludf.DUMMYFUNCTION("""COMPUTED_VALUE"""),"2004")</f>
        <v>2004</v>
      </c>
      <c r="AE572" s="14">
        <f>IFERROR(__xludf.DUMMYFUNCTION("""COMPUTED_VALUE"""),2889.0)</f>
        <v>2889</v>
      </c>
      <c r="AF572" s="14">
        <f>IFERROR(__xludf.DUMMYFUNCTION("""COMPUTED_VALUE"""),5761.0)</f>
        <v>5761</v>
      </c>
    </row>
    <row r="573">
      <c r="A573" s="12">
        <v>572.0</v>
      </c>
      <c r="B573" s="12" t="s">
        <v>122</v>
      </c>
      <c r="C573" s="5" t="s">
        <v>84</v>
      </c>
      <c r="D573" s="11">
        <v>0.553</v>
      </c>
      <c r="E573" s="11">
        <v>60.0</v>
      </c>
      <c r="F573" s="11">
        <v>109.0</v>
      </c>
      <c r="G573" s="11">
        <v>226.0</v>
      </c>
      <c r="H573" s="11">
        <v>0.475</v>
      </c>
      <c r="I573" s="11">
        <v>1.119</v>
      </c>
      <c r="J573" s="9" t="s">
        <v>73</v>
      </c>
      <c r="K573" s="14" t="str">
        <f>IFERROR(__xludf.DUMMYFUNCTION("ARRAYFORMULA(VLOOKUP(A573,IMPORTRANGE(""https://docs.google.com/spreadsheets/d/1BuTWp7qHGjWhqrnf-OmePP568O4A5Am9ttzvVdP67zw/edit#gid=1603210130"", ""TOURISM!$A$2:$F$2692""), {2,3,4,5,6},0))"),"The Americas")</f>
        <v>The Americas</v>
      </c>
      <c r="L573" s="14">
        <f>IFERROR(__xludf.DUMMYFUNCTION("""COMPUTED_VALUE"""),2.544E9)</f>
        <v>2544000000</v>
      </c>
      <c r="M573" s="14" t="str">
        <f>IFERROR(__xludf.DUMMYFUNCTION("""COMPUTED_VALUE"""),"Costa Rica-The Americas")</f>
        <v>Costa Rica-The Americas</v>
      </c>
      <c r="N573" s="14" t="str">
        <f>IFERROR(__xludf.DUMMYFUNCTION("""COMPUTED_VALUE"""),"2012")</f>
        <v>2012</v>
      </c>
      <c r="O573" s="14">
        <f>IFERROR(__xludf.DUMMYFUNCTION("""COMPUTED_VALUE"""),5.67E8)</f>
        <v>567000000</v>
      </c>
      <c r="P573" s="15">
        <f>IFERROR(__xludf.DUMMYFUNCTION("ARRAYFORMULA(VLOOKUP(A573,IMPORTRANGE(""https://docs.google.com/spreadsheets/d/1BuTWp7qHGjWhqrnf-OmePP568O4A5Am9ttzvVdP67zw/edit#gid=771602874"" ,""HUMAN RESOURCES!$A$2:$M$2692""), {2,3,4,5,6,7,8,9,10,11,12,13},0))"),0.015)</f>
        <v>0.015</v>
      </c>
      <c r="Q573" s="14">
        <f>IFERROR(__xludf.DUMMYFUNCTION("""COMPUTED_VALUE"""),0.009)</f>
        <v>0.009</v>
      </c>
      <c r="R573" s="14">
        <f>IFERROR(__xludf.DUMMYFUNCTION("""COMPUTED_VALUE"""),82.0)</f>
        <v>82</v>
      </c>
      <c r="S573" s="14">
        <f>IFERROR(__xludf.DUMMYFUNCTION("""COMPUTED_VALUE"""),78.0)</f>
        <v>78</v>
      </c>
      <c r="T573" s="14">
        <f>IFERROR(__xludf.DUMMYFUNCTION("""COMPUTED_VALUE"""),0.239)</f>
        <v>0.239</v>
      </c>
      <c r="U573" s="14">
        <f>IFERROR(__xludf.DUMMYFUNCTION("""COMPUTED_VALUE"""),0.692)</f>
        <v>0.692</v>
      </c>
      <c r="V573" s="14">
        <f>IFERROR(__xludf.DUMMYFUNCTION("""COMPUTED_VALUE"""),0.068)</f>
        <v>0.068</v>
      </c>
      <c r="W573" s="14">
        <f>IFERROR(__xludf.DUMMYFUNCTION("""COMPUTED_VALUE"""),4805295.0)</f>
        <v>4805295</v>
      </c>
      <c r="X573" s="14">
        <f>IFERROR(__xludf.DUMMYFUNCTION("""COMPUTED_VALUE"""),0.739)</f>
        <v>0.739</v>
      </c>
      <c r="Y573" s="14" t="str">
        <f>IFERROR(__xludf.DUMMYFUNCTION("""COMPUTED_VALUE"""),"Costa Rica-The Americas")</f>
        <v>Costa Rica-The Americas</v>
      </c>
      <c r="Z573" s="14" t="str">
        <f>IFERROR(__xludf.DUMMYFUNCTION("""COMPUTED_VALUE"""),"The Americas")</f>
        <v>The Americas</v>
      </c>
      <c r="AA573" s="14" t="str">
        <f>IFERROR(__xludf.DUMMYFUNCTION("""COMPUTED_VALUE"""),"2012")</f>
        <v>2012</v>
      </c>
      <c r="AB573" s="15" t="str">
        <f>IFERROR(__xludf.DUMMYFUNCTION("ARRAYFORMULA(VLOOKUP(A573,IMPORTRANGE(""https://docs.google.com/spreadsheets/d/1BuTWp7qHGjWhqrnf-OmePP568O4A5Am9ttzvVdP67zw/edit#gid=1931367683"" ,""ENERGY!$A$2:$F$2692""), {2,3,4,5,6},0))"),"The Americas")</f>
        <v>The Americas</v>
      </c>
      <c r="AC573" s="14" t="str">
        <f>IFERROR(__xludf.DUMMYFUNCTION("""COMPUTED_VALUE"""),"Costa Rica-The Americas")</f>
        <v>Costa Rica-The Americas</v>
      </c>
      <c r="AD573" s="14" t="str">
        <f>IFERROR(__xludf.DUMMYFUNCTION("""COMPUTED_VALUE"""),"2009")</f>
        <v>2009</v>
      </c>
      <c r="AE573" s="14">
        <f>IFERROR(__xludf.DUMMYFUNCTION("""COMPUTED_VALUE"""),2874.0)</f>
        <v>2874</v>
      </c>
      <c r="AF573" s="14">
        <f>IFERROR(__xludf.DUMMYFUNCTION("""COMPUTED_VALUE"""),5475.0)</f>
        <v>5475</v>
      </c>
    </row>
    <row r="574">
      <c r="A574" s="12">
        <v>573.0</v>
      </c>
      <c r="B574" s="12" t="s">
        <v>123</v>
      </c>
      <c r="C574" s="5" t="s">
        <v>77</v>
      </c>
      <c r="D574" s="8"/>
      <c r="E574" s="8"/>
      <c r="F574" s="8"/>
      <c r="G574" s="8"/>
      <c r="H574" s="11">
        <v>0.002</v>
      </c>
      <c r="I574" s="11">
        <v>0.029</v>
      </c>
      <c r="J574" s="9" t="s">
        <v>60</v>
      </c>
      <c r="K574" s="14" t="str">
        <f>IFERROR(__xludf.DUMMYFUNCTION("ARRAYFORMULA(VLOOKUP(A574,IMPORTRANGE(""https://docs.google.com/spreadsheets/d/1BuTWp7qHGjWhqrnf-OmePP568O4A5Am9ttzvVdP67zw/edit#gid=1603210130"", ""TOURISM!$A$2:$F$2692""), {2,3,4,5,6},0))"),"Africa")</f>
        <v>Africa</v>
      </c>
      <c r="L574" s="14">
        <f>IFERROR(__xludf.DUMMYFUNCTION("""COMPUTED_VALUE"""),5.3E7)</f>
        <v>53000000</v>
      </c>
      <c r="M574" s="14" t="str">
        <f>IFERROR(__xludf.DUMMYFUNCTION("""COMPUTED_VALUE"""),"Cote d'Ivoire-Africa")</f>
        <v>Cote d'Ivoire-Africa</v>
      </c>
      <c r="N574" s="14" t="str">
        <f>IFERROR(__xludf.DUMMYFUNCTION("""COMPUTED_VALUE"""),"2000")</f>
        <v>2000</v>
      </c>
      <c r="O574" s="14">
        <f>IFERROR(__xludf.DUMMYFUNCTION("""COMPUTED_VALUE"""),2.91E8)</f>
        <v>291000000</v>
      </c>
      <c r="P574" s="15">
        <f>IFERROR(__xludf.DUMMYFUNCTION("ARRAYFORMULA(VLOOKUP(A574,IMPORTRANGE(""https://docs.google.com/spreadsheets/d/1BuTWp7qHGjWhqrnf-OmePP568O4A5Am9ttzvVdP67zw/edit#gid=771602874"" ,""HUMAN RESOURCES!$A$2:$M$2692""), {2,3,4,5,6,7,8,9,10,11,12,13},0))"),0.038)</f>
        <v>0.038</v>
      </c>
      <c r="Q574" s="14">
        <f>IFERROR(__xludf.DUMMYFUNCTION("""COMPUTED_VALUE"""),0.1)</f>
        <v>0.1</v>
      </c>
      <c r="R574" s="14">
        <f>IFERROR(__xludf.DUMMYFUNCTION("""COMPUTED_VALUE"""),47.0)</f>
        <v>47</v>
      </c>
      <c r="S574" s="14">
        <f>IFERROR(__xludf.DUMMYFUNCTION("""COMPUTED_VALUE"""),46.0)</f>
        <v>46</v>
      </c>
      <c r="T574" s="14">
        <f>IFERROR(__xludf.DUMMYFUNCTION("""COMPUTED_VALUE"""),0.421)</f>
        <v>0.421</v>
      </c>
      <c r="U574" s="14">
        <f>IFERROR(__xludf.DUMMYFUNCTION("""COMPUTED_VALUE"""),0.55)</f>
        <v>0.55</v>
      </c>
      <c r="V574" s="14">
        <f>IFERROR(__xludf.DUMMYFUNCTION("""COMPUTED_VALUE"""),0.029)</f>
        <v>0.029</v>
      </c>
      <c r="W574" s="14">
        <f>IFERROR(__xludf.DUMMYFUNCTION("""COMPUTED_VALUE"""),1.6131332E7)</f>
        <v>16131332</v>
      </c>
      <c r="X574" s="14">
        <f>IFERROR(__xludf.DUMMYFUNCTION("""COMPUTED_VALUE"""),0.435)</f>
        <v>0.435</v>
      </c>
      <c r="Y574" s="14" t="str">
        <f>IFERROR(__xludf.DUMMYFUNCTION("""COMPUTED_VALUE"""),"Cote d'Ivoire-Africa")</f>
        <v>Cote d'Ivoire-Africa</v>
      </c>
      <c r="Z574" s="14" t="str">
        <f>IFERROR(__xludf.DUMMYFUNCTION("""COMPUTED_VALUE"""),"Africa")</f>
        <v>Africa</v>
      </c>
      <c r="AA574" s="14" t="str">
        <f>IFERROR(__xludf.DUMMYFUNCTION("""COMPUTED_VALUE"""),"2000")</f>
        <v>2000</v>
      </c>
      <c r="AB574" s="15" t="str">
        <f>IFERROR(__xludf.DUMMYFUNCTION("ARRAYFORMULA(VLOOKUP(A574,IMPORTRANGE(""https://docs.google.com/spreadsheets/d/1BuTWp7qHGjWhqrnf-OmePP568O4A5Am9ttzvVdP67zw/edit#gid=1931367683"" ,""ENERGY!$A$2:$F$2692""), {2,3,4,5,6},0))"),"Africa")</f>
        <v>Africa</v>
      </c>
      <c r="AC574" s="14" t="str">
        <f>IFERROR(__xludf.DUMMYFUNCTION("""COMPUTED_VALUE"""),"Cote d'Ivoire-Africa")</f>
        <v>Cote d'Ivoire-Africa</v>
      </c>
      <c r="AD574" s="14" t="str">
        <f>IFERROR(__xludf.DUMMYFUNCTION("""COMPUTED_VALUE"""),"2000")</f>
        <v>2000</v>
      </c>
      <c r="AE574" s="14"/>
      <c r="AF574" s="14"/>
    </row>
    <row r="575">
      <c r="A575" s="12">
        <v>574.0</v>
      </c>
      <c r="B575" s="12" t="s">
        <v>123</v>
      </c>
      <c r="C575" s="5" t="s">
        <v>77</v>
      </c>
      <c r="D575" s="8"/>
      <c r="E575" s="8"/>
      <c r="F575" s="8"/>
      <c r="G575" s="8"/>
      <c r="H575" s="11">
        <v>0.004</v>
      </c>
      <c r="I575" s="11">
        <v>0.044</v>
      </c>
      <c r="J575" s="9" t="s">
        <v>62</v>
      </c>
      <c r="K575" s="14" t="str">
        <f>IFERROR(__xludf.DUMMYFUNCTION("ARRAYFORMULA(VLOOKUP(A575,IMPORTRANGE(""https://docs.google.com/spreadsheets/d/1BuTWp7qHGjWhqrnf-OmePP568O4A5Am9ttzvVdP67zw/edit#gid=1603210130"", ""TOURISM!$A$2:$F$2692""), {2,3,4,5,6},0))"),"Africa")</f>
        <v>Africa</v>
      </c>
      <c r="L575" s="14">
        <f>IFERROR(__xludf.DUMMYFUNCTION("""COMPUTED_VALUE"""),5.8E7)</f>
        <v>58000000</v>
      </c>
      <c r="M575" s="14" t="str">
        <f>IFERROR(__xludf.DUMMYFUNCTION("""COMPUTED_VALUE"""),"Cote d'Ivoire-Africa")</f>
        <v>Cote d'Ivoire-Africa</v>
      </c>
      <c r="N575" s="14" t="str">
        <f>IFERROR(__xludf.DUMMYFUNCTION("""COMPUTED_VALUE"""),"2001")</f>
        <v>2001</v>
      </c>
      <c r="O575" s="14">
        <f>IFERROR(__xludf.DUMMYFUNCTION("""COMPUTED_VALUE"""),2.89E8)</f>
        <v>289000000</v>
      </c>
      <c r="P575" s="15">
        <f>IFERROR(__xludf.DUMMYFUNCTION("ARRAYFORMULA(VLOOKUP(A575,IMPORTRANGE(""https://docs.google.com/spreadsheets/d/1BuTWp7qHGjWhqrnf-OmePP568O4A5Am9ttzvVdP67zw/edit#gid=771602874"" ,""HUMAN RESOURCES!$A$2:$M$2692""), {2,3,4,5,6,7,8,9,10,11,12,13},0))"),0.038)</f>
        <v>0.038</v>
      </c>
      <c r="Q575" s="14">
        <f>IFERROR(__xludf.DUMMYFUNCTION("""COMPUTED_VALUE"""),0.098)</f>
        <v>0.098</v>
      </c>
      <c r="R575" s="14">
        <f>IFERROR(__xludf.DUMMYFUNCTION("""COMPUTED_VALUE"""),47.0)</f>
        <v>47</v>
      </c>
      <c r="S575" s="14">
        <f>IFERROR(__xludf.DUMMYFUNCTION("""COMPUTED_VALUE"""),46.0)</f>
        <v>46</v>
      </c>
      <c r="T575" s="14">
        <f>IFERROR(__xludf.DUMMYFUNCTION("""COMPUTED_VALUE"""),0.421)</f>
        <v>0.421</v>
      </c>
      <c r="U575" s="14">
        <f>IFERROR(__xludf.DUMMYFUNCTION("""COMPUTED_VALUE"""),0.55)</f>
        <v>0.55</v>
      </c>
      <c r="V575" s="14">
        <f>IFERROR(__xludf.DUMMYFUNCTION("""COMPUTED_VALUE"""),0.029)</f>
        <v>0.029</v>
      </c>
      <c r="W575" s="14">
        <f>IFERROR(__xludf.DUMMYFUNCTION("""COMPUTED_VALUE"""),1.6420173E7)</f>
        <v>16420173</v>
      </c>
      <c r="X575" s="14">
        <f>IFERROR(__xludf.DUMMYFUNCTION("""COMPUTED_VALUE"""),0.442)</f>
        <v>0.442</v>
      </c>
      <c r="Y575" s="14" t="str">
        <f>IFERROR(__xludf.DUMMYFUNCTION("""COMPUTED_VALUE"""),"Cote d'Ivoire-Africa")</f>
        <v>Cote d'Ivoire-Africa</v>
      </c>
      <c r="Z575" s="14" t="str">
        <f>IFERROR(__xludf.DUMMYFUNCTION("""COMPUTED_VALUE"""),"Africa")</f>
        <v>Africa</v>
      </c>
      <c r="AA575" s="14" t="str">
        <f>IFERROR(__xludf.DUMMYFUNCTION("""COMPUTED_VALUE"""),"2001")</f>
        <v>2001</v>
      </c>
      <c r="AB575" s="15" t="str">
        <f>IFERROR(__xludf.DUMMYFUNCTION("ARRAYFORMULA(VLOOKUP(A575,IMPORTRANGE(""https://docs.google.com/spreadsheets/d/1BuTWp7qHGjWhqrnf-OmePP568O4A5Am9ttzvVdP67zw/edit#gid=1931367683"" ,""ENERGY!$A$2:$F$2692""), {2,3,4,5,6},0))"),"Africa")</f>
        <v>Africa</v>
      </c>
      <c r="AC575" s="14" t="str">
        <f>IFERROR(__xludf.DUMMYFUNCTION("""COMPUTED_VALUE"""),"Cote d'Ivoire-Africa")</f>
        <v>Cote d'Ivoire-Africa</v>
      </c>
      <c r="AD575" s="14" t="str">
        <f>IFERROR(__xludf.DUMMYFUNCTION("""COMPUTED_VALUE"""),"2001")</f>
        <v>2001</v>
      </c>
      <c r="AE575" s="14">
        <f>IFERROR(__xludf.DUMMYFUNCTION("""COMPUTED_VALUE"""),11233.0)</f>
        <v>11233</v>
      </c>
      <c r="AF575" s="14"/>
    </row>
    <row r="576">
      <c r="A576" s="12">
        <v>575.0</v>
      </c>
      <c r="B576" s="12" t="s">
        <v>123</v>
      </c>
      <c r="C576" s="5" t="s">
        <v>77</v>
      </c>
      <c r="D576" s="8"/>
      <c r="E576" s="8"/>
      <c r="F576" s="8"/>
      <c r="G576" s="8"/>
      <c r="H576" s="11">
        <v>0.005</v>
      </c>
      <c r="I576" s="11">
        <v>0.062</v>
      </c>
      <c r="J576" s="9" t="s">
        <v>63</v>
      </c>
      <c r="K576" s="14" t="str">
        <f>IFERROR(__xludf.DUMMYFUNCTION("ARRAYFORMULA(VLOOKUP(A576,IMPORTRANGE(""https://docs.google.com/spreadsheets/d/1BuTWp7qHGjWhqrnf-OmePP568O4A5Am9ttzvVdP67zw/edit#gid=1603210130"", ""TOURISM!$A$2:$F$2692""), {2,3,4,5,6},0))"),"Africa")</f>
        <v>Africa</v>
      </c>
      <c r="L576" s="14">
        <f>IFERROR(__xludf.DUMMYFUNCTION("""COMPUTED_VALUE"""),5.6E7)</f>
        <v>56000000</v>
      </c>
      <c r="M576" s="14" t="str">
        <f>IFERROR(__xludf.DUMMYFUNCTION("""COMPUTED_VALUE"""),"Cote d'Ivoire-Africa")</f>
        <v>Cote d'Ivoire-Africa</v>
      </c>
      <c r="N576" s="14" t="str">
        <f>IFERROR(__xludf.DUMMYFUNCTION("""COMPUTED_VALUE"""),"2002")</f>
        <v>2002</v>
      </c>
      <c r="O576" s="14">
        <f>IFERROR(__xludf.DUMMYFUNCTION("""COMPUTED_VALUE"""),4.9E8)</f>
        <v>490000000</v>
      </c>
      <c r="P576" s="15">
        <f>IFERROR(__xludf.DUMMYFUNCTION("ARRAYFORMULA(VLOOKUP(A576,IMPORTRANGE(""https://docs.google.com/spreadsheets/d/1BuTWp7qHGjWhqrnf-OmePP568O4A5Am9ttzvVdP67zw/edit#gid=771602874"" ,""HUMAN RESOURCES!$A$2:$M$2692""), {2,3,4,5,6,7,8,9,10,11,12,13},0))"),0.038)</f>
        <v>0.038</v>
      </c>
      <c r="Q576" s="14">
        <f>IFERROR(__xludf.DUMMYFUNCTION("""COMPUTED_VALUE"""),0.096)</f>
        <v>0.096</v>
      </c>
      <c r="R576" s="14">
        <f>IFERROR(__xludf.DUMMYFUNCTION("""COMPUTED_VALUE"""),47.0)</f>
        <v>47</v>
      </c>
      <c r="S576" s="14">
        <f>IFERROR(__xludf.DUMMYFUNCTION("""COMPUTED_VALUE"""),46.0)</f>
        <v>46</v>
      </c>
      <c r="T576" s="14">
        <f>IFERROR(__xludf.DUMMYFUNCTION("""COMPUTED_VALUE"""),0.422)</f>
        <v>0.422</v>
      </c>
      <c r="U576" s="14">
        <f>IFERROR(__xludf.DUMMYFUNCTION("""COMPUTED_VALUE"""),0.549)</f>
        <v>0.549</v>
      </c>
      <c r="V576" s="14">
        <f>IFERROR(__xludf.DUMMYFUNCTION("""COMPUTED_VALUE"""),0.029)</f>
        <v>0.029</v>
      </c>
      <c r="W576" s="14">
        <f>IFERROR(__xludf.DUMMYFUNCTION("""COMPUTED_VALUE"""),1.6674987E7)</f>
        <v>16674987</v>
      </c>
      <c r="X576" s="14">
        <f>IFERROR(__xludf.DUMMYFUNCTION("""COMPUTED_VALUE"""),0.449)</f>
        <v>0.449</v>
      </c>
      <c r="Y576" s="14" t="str">
        <f>IFERROR(__xludf.DUMMYFUNCTION("""COMPUTED_VALUE"""),"Cote d'Ivoire-Africa")</f>
        <v>Cote d'Ivoire-Africa</v>
      </c>
      <c r="Z576" s="14" t="str">
        <f>IFERROR(__xludf.DUMMYFUNCTION("""COMPUTED_VALUE"""),"Africa")</f>
        <v>Africa</v>
      </c>
      <c r="AA576" s="14" t="str">
        <f>IFERROR(__xludf.DUMMYFUNCTION("""COMPUTED_VALUE"""),"2002")</f>
        <v>2002</v>
      </c>
      <c r="AB576" s="15" t="str">
        <f>IFERROR(__xludf.DUMMYFUNCTION("ARRAYFORMULA(VLOOKUP(A576,IMPORTRANGE(""https://docs.google.com/spreadsheets/d/1BuTWp7qHGjWhqrnf-OmePP568O4A5Am9ttzvVdP67zw/edit#gid=1931367683"" ,""ENERGY!$A$2:$F$2692""), {2,3,4,5,6},0))"),"Africa")</f>
        <v>Africa</v>
      </c>
      <c r="AC576" s="14" t="str">
        <f>IFERROR(__xludf.DUMMYFUNCTION("""COMPUTED_VALUE"""),"Cote d'Ivoire-Africa")</f>
        <v>Cote d'Ivoire-Africa</v>
      </c>
      <c r="AD576" s="14" t="str">
        <f>IFERROR(__xludf.DUMMYFUNCTION("""COMPUTED_VALUE"""),"2002")</f>
        <v>2002</v>
      </c>
      <c r="AE576" s="14">
        <f>IFERROR(__xludf.DUMMYFUNCTION("""COMPUTED_VALUE"""),9800.0)</f>
        <v>9800</v>
      </c>
      <c r="AF576" s="14">
        <f>IFERROR(__xludf.DUMMYFUNCTION("""COMPUTED_VALUE"""),5805.0)</f>
        <v>5805</v>
      </c>
    </row>
    <row r="577">
      <c r="A577" s="12">
        <v>576.0</v>
      </c>
      <c r="B577" s="12" t="s">
        <v>123</v>
      </c>
      <c r="C577" s="5" t="s">
        <v>77</v>
      </c>
      <c r="D577" s="8"/>
      <c r="E577" s="11">
        <v>62.0</v>
      </c>
      <c r="F577" s="8"/>
      <c r="G577" s="8"/>
      <c r="H577" s="11">
        <v>0.008</v>
      </c>
      <c r="I577" s="11">
        <v>0.076</v>
      </c>
      <c r="J577" s="9" t="s">
        <v>64</v>
      </c>
      <c r="K577" s="14" t="str">
        <f>IFERROR(__xludf.DUMMYFUNCTION("ARRAYFORMULA(VLOOKUP(A577,IMPORTRANGE(""https://docs.google.com/spreadsheets/d/1BuTWp7qHGjWhqrnf-OmePP568O4A5Am9ttzvVdP67zw/edit#gid=1603210130"", ""TOURISM!$A$2:$F$2692""), {2,3,4,5,6},0))"),"Africa")</f>
        <v>Africa</v>
      </c>
      <c r="L577" s="14">
        <f>IFERROR(__xludf.DUMMYFUNCTION("""COMPUTED_VALUE"""),7.6E7)</f>
        <v>76000000</v>
      </c>
      <c r="M577" s="14" t="str">
        <f>IFERROR(__xludf.DUMMYFUNCTION("""COMPUTED_VALUE"""),"Cote d'Ivoire-Africa")</f>
        <v>Cote d'Ivoire-Africa</v>
      </c>
      <c r="N577" s="14" t="str">
        <f>IFERROR(__xludf.DUMMYFUNCTION("""COMPUTED_VALUE"""),"2003")</f>
        <v>2003</v>
      </c>
      <c r="O577" s="14">
        <f>IFERROR(__xludf.DUMMYFUNCTION("""COMPUTED_VALUE"""),5.51E8)</f>
        <v>551000000</v>
      </c>
      <c r="P577" s="15">
        <f>IFERROR(__xludf.DUMMYFUNCTION("ARRAYFORMULA(VLOOKUP(A577,IMPORTRANGE(""https://docs.google.com/spreadsheets/d/1BuTWp7qHGjWhqrnf-OmePP568O4A5Am9ttzvVdP67zw/edit#gid=771602874"" ,""HUMAN RESOURCES!$A$2:$M$2692""), {2,3,4,5,6,7,8,9,10,11,12,13},0))"),0.037)</f>
        <v>0.037</v>
      </c>
      <c r="Q577" s="14">
        <f>IFERROR(__xludf.DUMMYFUNCTION("""COMPUTED_VALUE"""),0.094)</f>
        <v>0.094</v>
      </c>
      <c r="R577" s="14">
        <f>IFERROR(__xludf.DUMMYFUNCTION("""COMPUTED_VALUE"""),47.0)</f>
        <v>47</v>
      </c>
      <c r="S577" s="14">
        <f>IFERROR(__xludf.DUMMYFUNCTION("""COMPUTED_VALUE"""),46.0)</f>
        <v>46</v>
      </c>
      <c r="T577" s="14">
        <f>IFERROR(__xludf.DUMMYFUNCTION("""COMPUTED_VALUE"""),0.422)</f>
        <v>0.422</v>
      </c>
      <c r="U577" s="14">
        <f>IFERROR(__xludf.DUMMYFUNCTION("""COMPUTED_VALUE"""),0.548)</f>
        <v>0.548</v>
      </c>
      <c r="V577" s="14">
        <f>IFERROR(__xludf.DUMMYFUNCTION("""COMPUTED_VALUE"""),0.029)</f>
        <v>0.029</v>
      </c>
      <c r="W577" s="14">
        <f>IFERROR(__xludf.DUMMYFUNCTION("""COMPUTED_VALUE"""),1.6909801E7)</f>
        <v>16909801</v>
      </c>
      <c r="X577" s="14">
        <f>IFERROR(__xludf.DUMMYFUNCTION("""COMPUTED_VALUE"""),0.455)</f>
        <v>0.455</v>
      </c>
      <c r="Y577" s="14" t="str">
        <f>IFERROR(__xludf.DUMMYFUNCTION("""COMPUTED_VALUE"""),"Cote d'Ivoire-Africa")</f>
        <v>Cote d'Ivoire-Africa</v>
      </c>
      <c r="Z577" s="14" t="str">
        <f>IFERROR(__xludf.DUMMYFUNCTION("""COMPUTED_VALUE"""),"Africa")</f>
        <v>Africa</v>
      </c>
      <c r="AA577" s="14" t="str">
        <f>IFERROR(__xludf.DUMMYFUNCTION("""COMPUTED_VALUE"""),"2003")</f>
        <v>2003</v>
      </c>
      <c r="AB577" s="15" t="str">
        <f>IFERROR(__xludf.DUMMYFUNCTION("ARRAYFORMULA(VLOOKUP(A577,IMPORTRANGE(""https://docs.google.com/spreadsheets/d/1BuTWp7qHGjWhqrnf-OmePP568O4A5Am9ttzvVdP67zw/edit#gid=1931367683"" ,""ENERGY!$A$2:$F$2692""), {2,3,4,5,6},0))"),"Africa")</f>
        <v>Africa</v>
      </c>
      <c r="AC577" s="14" t="str">
        <f>IFERROR(__xludf.DUMMYFUNCTION("""COMPUTED_VALUE"""),"Cote d'Ivoire-Africa")</f>
        <v>Cote d'Ivoire-Africa</v>
      </c>
      <c r="AD577" s="14" t="str">
        <f>IFERROR(__xludf.DUMMYFUNCTION("""COMPUTED_VALUE"""),"2003")</f>
        <v>2003</v>
      </c>
      <c r="AE577" s="14">
        <f>IFERROR(__xludf.DUMMYFUNCTION("""COMPUTED_VALUE"""),9489.0)</f>
        <v>9489</v>
      </c>
      <c r="AF577" s="14">
        <f>IFERROR(__xludf.DUMMYFUNCTION("""COMPUTED_VALUE"""),5856.0)</f>
        <v>5856</v>
      </c>
    </row>
    <row r="578">
      <c r="A578" s="12">
        <v>577.0</v>
      </c>
      <c r="B578" s="12" t="s">
        <v>123</v>
      </c>
      <c r="C578" s="5" t="s">
        <v>77</v>
      </c>
      <c r="D578" s="8"/>
      <c r="E578" s="11">
        <v>58.0</v>
      </c>
      <c r="F578" s="8"/>
      <c r="G578" s="8"/>
      <c r="H578" s="11">
        <v>0.008</v>
      </c>
      <c r="I578" s="11">
        <v>0.098</v>
      </c>
      <c r="J578" s="9" t="s">
        <v>65</v>
      </c>
      <c r="K578" s="14" t="str">
        <f>IFERROR(__xludf.DUMMYFUNCTION("ARRAYFORMULA(VLOOKUP(A578,IMPORTRANGE(""https://docs.google.com/spreadsheets/d/1BuTWp7qHGjWhqrnf-OmePP568O4A5Am9ttzvVdP67zw/edit#gid=1603210130"", ""TOURISM!$A$2:$F$2692""), {2,3,4,5,6},0))"),"Africa")</f>
        <v>Africa</v>
      </c>
      <c r="L578" s="14">
        <f>IFERROR(__xludf.DUMMYFUNCTION("""COMPUTED_VALUE"""),9.1E7)</f>
        <v>91000000</v>
      </c>
      <c r="M578" s="14" t="str">
        <f>IFERROR(__xludf.DUMMYFUNCTION("""COMPUTED_VALUE"""),"Cote d'Ivoire-Africa")</f>
        <v>Cote d'Ivoire-Africa</v>
      </c>
      <c r="N578" s="14" t="str">
        <f>IFERROR(__xludf.DUMMYFUNCTION("""COMPUTED_VALUE"""),"2004")</f>
        <v>2004</v>
      </c>
      <c r="O578" s="14">
        <f>IFERROR(__xludf.DUMMYFUNCTION("""COMPUTED_VALUE"""),5.71E8)</f>
        <v>571000000</v>
      </c>
      <c r="P578" s="15">
        <f>IFERROR(__xludf.DUMMYFUNCTION("ARRAYFORMULA(VLOOKUP(A578,IMPORTRANGE(""https://docs.google.com/spreadsheets/d/1BuTWp7qHGjWhqrnf-OmePP568O4A5Am9ttzvVdP67zw/edit#gid=771602874"" ,""HUMAN RESOURCES!$A$2:$M$2692""), {2,3,4,5,6,7,8,9,10,11,12,13},0))"),0.037)</f>
        <v>0.037</v>
      </c>
      <c r="Q578" s="14">
        <f>IFERROR(__xludf.DUMMYFUNCTION("""COMPUTED_VALUE"""),0.091)</f>
        <v>0.091</v>
      </c>
      <c r="R578" s="14">
        <f>IFERROR(__xludf.DUMMYFUNCTION("""COMPUTED_VALUE"""),48.0)</f>
        <v>48</v>
      </c>
      <c r="S578" s="14">
        <f>IFERROR(__xludf.DUMMYFUNCTION("""COMPUTED_VALUE"""),46.0)</f>
        <v>46</v>
      </c>
      <c r="T578" s="14">
        <f>IFERROR(__xludf.DUMMYFUNCTION("""COMPUTED_VALUE"""),0.423)</f>
        <v>0.423</v>
      </c>
      <c r="U578" s="14">
        <f>IFERROR(__xludf.DUMMYFUNCTION("""COMPUTED_VALUE"""),0.548)</f>
        <v>0.548</v>
      </c>
      <c r="V578" s="14">
        <f>IFERROR(__xludf.DUMMYFUNCTION("""COMPUTED_VALUE"""),0.029)</f>
        <v>0.029</v>
      </c>
      <c r="W578" s="14">
        <f>IFERROR(__xludf.DUMMYFUNCTION("""COMPUTED_VALUE"""),1.7144325E7)</f>
        <v>17144325</v>
      </c>
      <c r="X578" s="14">
        <f>IFERROR(__xludf.DUMMYFUNCTION("""COMPUTED_VALUE"""),0.462)</f>
        <v>0.462</v>
      </c>
      <c r="Y578" s="14" t="str">
        <f>IFERROR(__xludf.DUMMYFUNCTION("""COMPUTED_VALUE"""),"Cote d'Ivoire-Africa")</f>
        <v>Cote d'Ivoire-Africa</v>
      </c>
      <c r="Z578" s="14" t="str">
        <f>IFERROR(__xludf.DUMMYFUNCTION("""COMPUTED_VALUE"""),"Africa")</f>
        <v>Africa</v>
      </c>
      <c r="AA578" s="14" t="str">
        <f>IFERROR(__xludf.DUMMYFUNCTION("""COMPUTED_VALUE"""),"2004")</f>
        <v>2004</v>
      </c>
      <c r="AB578" s="15" t="str">
        <f>IFERROR(__xludf.DUMMYFUNCTION("ARRAYFORMULA(VLOOKUP(A578,IMPORTRANGE(""https://docs.google.com/spreadsheets/d/1BuTWp7qHGjWhqrnf-OmePP568O4A5Am9ttzvVdP67zw/edit#gid=1931367683"" ,""ENERGY!$A$2:$F$2692""), {2,3,4,5,6},0))"),"Africa")</f>
        <v>Africa</v>
      </c>
      <c r="AC578" s="14" t="str">
        <f>IFERROR(__xludf.DUMMYFUNCTION("""COMPUTED_VALUE"""),"Cote d'Ivoire-Africa")</f>
        <v>Cote d'Ivoire-Africa</v>
      </c>
      <c r="AD578" s="14" t="str">
        <f>IFERROR(__xludf.DUMMYFUNCTION("""COMPUTED_VALUE"""),"2004")</f>
        <v>2004</v>
      </c>
      <c r="AE578" s="14">
        <f>IFERROR(__xludf.DUMMYFUNCTION("""COMPUTED_VALUE"""),10278.0)</f>
        <v>10278</v>
      </c>
      <c r="AF578" s="14">
        <f>IFERROR(__xludf.DUMMYFUNCTION("""COMPUTED_VALUE"""),6872.0)</f>
        <v>6872</v>
      </c>
    </row>
    <row r="579">
      <c r="A579" s="12">
        <v>578.0</v>
      </c>
      <c r="B579" s="12" t="s">
        <v>123</v>
      </c>
      <c r="C579" s="5" t="s">
        <v>77</v>
      </c>
      <c r="D579" s="11">
        <v>0.473</v>
      </c>
      <c r="E579" s="11">
        <v>45.0</v>
      </c>
      <c r="F579" s="8"/>
      <c r="G579" s="11">
        <v>270.0</v>
      </c>
      <c r="H579" s="11">
        <v>0.01</v>
      </c>
      <c r="I579" s="11">
        <v>0.135</v>
      </c>
      <c r="J579" s="9" t="s">
        <v>66</v>
      </c>
      <c r="K579" s="14" t="str">
        <f>IFERROR(__xludf.DUMMYFUNCTION("ARRAYFORMULA(VLOOKUP(A579,IMPORTRANGE(""https://docs.google.com/spreadsheets/d/1BuTWp7qHGjWhqrnf-OmePP568O4A5Am9ttzvVdP67zw/edit#gid=1603210130"", ""TOURISM!$A$2:$F$2692""), {2,3,4,5,6},0))"),"Africa")</f>
        <v>Africa</v>
      </c>
      <c r="L579" s="14">
        <f>IFERROR(__xludf.DUMMYFUNCTION("""COMPUTED_VALUE"""),9.3E7)</f>
        <v>93000000</v>
      </c>
      <c r="M579" s="14" t="str">
        <f>IFERROR(__xludf.DUMMYFUNCTION("""COMPUTED_VALUE"""),"Cote d'Ivoire-Africa")</f>
        <v>Cote d'Ivoire-Africa</v>
      </c>
      <c r="N579" s="14" t="str">
        <f>IFERROR(__xludf.DUMMYFUNCTION("""COMPUTED_VALUE"""),"2005")</f>
        <v>2005</v>
      </c>
      <c r="O579" s="14">
        <f>IFERROR(__xludf.DUMMYFUNCTION("""COMPUTED_VALUE"""),5.49E8)</f>
        <v>549000000</v>
      </c>
      <c r="P579" s="15">
        <f>IFERROR(__xludf.DUMMYFUNCTION("ARRAYFORMULA(VLOOKUP(A579,IMPORTRANGE(""https://docs.google.com/spreadsheets/d/1BuTWp7qHGjWhqrnf-OmePP568O4A5Am9ttzvVdP67zw/edit#gid=771602874"" ,""HUMAN RESOURCES!$A$2:$M$2692""), {2,3,4,5,6,7,8,9,10,11,12,13},0))"),0.037)</f>
        <v>0.037</v>
      </c>
      <c r="Q579" s="14">
        <f>IFERROR(__xludf.DUMMYFUNCTION("""COMPUTED_VALUE"""),0.089)</f>
        <v>0.089</v>
      </c>
      <c r="R579" s="14">
        <f>IFERROR(__xludf.DUMMYFUNCTION("""COMPUTED_VALUE"""),48.0)</f>
        <v>48</v>
      </c>
      <c r="S579" s="14">
        <f>IFERROR(__xludf.DUMMYFUNCTION("""COMPUTED_VALUE"""),46.0)</f>
        <v>46</v>
      </c>
      <c r="T579" s="14">
        <f>IFERROR(__xludf.DUMMYFUNCTION("""COMPUTED_VALUE"""),0.423)</f>
        <v>0.423</v>
      </c>
      <c r="U579" s="14">
        <f>IFERROR(__xludf.DUMMYFUNCTION("""COMPUTED_VALUE"""),0.547)</f>
        <v>0.547</v>
      </c>
      <c r="V579" s="14">
        <f>IFERROR(__xludf.DUMMYFUNCTION("""COMPUTED_VALUE"""),0.03)</f>
        <v>0.03</v>
      </c>
      <c r="W579" s="14">
        <f>IFERROR(__xludf.DUMMYFUNCTION("""COMPUTED_VALUE"""),1.7393994E7)</f>
        <v>17393994</v>
      </c>
      <c r="X579" s="14">
        <f>IFERROR(__xludf.DUMMYFUNCTION("""COMPUTED_VALUE"""),0.468)</f>
        <v>0.468</v>
      </c>
      <c r="Y579" s="14" t="str">
        <f>IFERROR(__xludf.DUMMYFUNCTION("""COMPUTED_VALUE"""),"Cote d'Ivoire-Africa")</f>
        <v>Cote d'Ivoire-Africa</v>
      </c>
      <c r="Z579" s="14" t="str">
        <f>IFERROR(__xludf.DUMMYFUNCTION("""COMPUTED_VALUE"""),"Africa")</f>
        <v>Africa</v>
      </c>
      <c r="AA579" s="14" t="str">
        <f>IFERROR(__xludf.DUMMYFUNCTION("""COMPUTED_VALUE"""),"2005")</f>
        <v>2005</v>
      </c>
      <c r="AB579" s="15" t="str">
        <f>IFERROR(__xludf.DUMMYFUNCTION("ARRAYFORMULA(VLOOKUP(A579,IMPORTRANGE(""https://docs.google.com/spreadsheets/d/1BuTWp7qHGjWhqrnf-OmePP568O4A5Am9ttzvVdP67zw/edit#gid=1931367683"" ,""ENERGY!$A$2:$F$2692""), {2,3,4,5,6},0))"),"Africa")</f>
        <v>Africa</v>
      </c>
      <c r="AC579" s="14" t="str">
        <f>IFERROR(__xludf.DUMMYFUNCTION("""COMPUTED_VALUE"""),"Cote d'Ivoire-Africa")</f>
        <v>Cote d'Ivoire-Africa</v>
      </c>
      <c r="AD579" s="14" t="str">
        <f>IFERROR(__xludf.DUMMYFUNCTION("""COMPUTED_VALUE"""),"2006")</f>
        <v>2006</v>
      </c>
      <c r="AE579" s="14">
        <f>IFERROR(__xludf.DUMMYFUNCTION("""COMPUTED_VALUE"""),10233.0)</f>
        <v>10233</v>
      </c>
      <c r="AF579" s="14">
        <f>IFERROR(__xludf.DUMMYFUNCTION("""COMPUTED_VALUE"""),6883.0)</f>
        <v>6883</v>
      </c>
    </row>
    <row r="580">
      <c r="A580" s="12">
        <v>579.0</v>
      </c>
      <c r="B580" s="12" t="s">
        <v>123</v>
      </c>
      <c r="C580" s="5" t="s">
        <v>77</v>
      </c>
      <c r="D580" s="11">
        <v>0.473</v>
      </c>
      <c r="E580" s="11">
        <v>45.0</v>
      </c>
      <c r="F580" s="8"/>
      <c r="G580" s="11">
        <v>270.0</v>
      </c>
      <c r="H580" s="11">
        <v>0.015</v>
      </c>
      <c r="I580" s="11">
        <v>0.23</v>
      </c>
      <c r="J580" s="9" t="s">
        <v>67</v>
      </c>
      <c r="K580" s="14" t="str">
        <f>IFERROR(__xludf.DUMMYFUNCTION("ARRAYFORMULA(VLOOKUP(A580,IMPORTRANGE(""https://docs.google.com/spreadsheets/d/1BuTWp7qHGjWhqrnf-OmePP568O4A5Am9ttzvVdP67zw/edit#gid=1603210130"", ""TOURISM!$A$2:$F$2692""), {2,3,4,5,6},0))"),"Africa")</f>
        <v>Africa</v>
      </c>
      <c r="L580" s="14">
        <f>IFERROR(__xludf.DUMMYFUNCTION("""COMPUTED_VALUE"""),1.04E8)</f>
        <v>104000000</v>
      </c>
      <c r="M580" s="14" t="str">
        <f>IFERROR(__xludf.DUMMYFUNCTION("""COMPUTED_VALUE"""),"Cote d'Ivoire-Africa")</f>
        <v>Cote d'Ivoire-Africa</v>
      </c>
      <c r="N580" s="14" t="str">
        <f>IFERROR(__xludf.DUMMYFUNCTION("""COMPUTED_VALUE"""),"2006")</f>
        <v>2006</v>
      </c>
      <c r="O580" s="14">
        <f>IFERROR(__xludf.DUMMYFUNCTION("""COMPUTED_VALUE"""),5.83E8)</f>
        <v>583000000</v>
      </c>
      <c r="P580" s="15">
        <f>IFERROR(__xludf.DUMMYFUNCTION("ARRAYFORMULA(VLOOKUP(A580,IMPORTRANGE(""https://docs.google.com/spreadsheets/d/1BuTWp7qHGjWhqrnf-OmePP568O4A5Am9ttzvVdP67zw/edit#gid=771602874"" ,""HUMAN RESOURCES!$A$2:$M$2692""), {2,3,4,5,6,7,8,9,10,11,12,13},0))"),0.036)</f>
        <v>0.036</v>
      </c>
      <c r="Q580" s="14">
        <f>IFERROR(__xludf.DUMMYFUNCTION("""COMPUTED_VALUE"""),0.087)</f>
        <v>0.087</v>
      </c>
      <c r="R580" s="14">
        <f>IFERROR(__xludf.DUMMYFUNCTION("""COMPUTED_VALUE"""),49.0)</f>
        <v>49</v>
      </c>
      <c r="S580" s="14">
        <f>IFERROR(__xludf.DUMMYFUNCTION("""COMPUTED_VALUE"""),47.0)</f>
        <v>47</v>
      </c>
      <c r="T580" s="14">
        <f>IFERROR(__xludf.DUMMYFUNCTION("""COMPUTED_VALUE"""),0.423)</f>
        <v>0.423</v>
      </c>
      <c r="U580" s="14">
        <f>IFERROR(__xludf.DUMMYFUNCTION("""COMPUTED_VALUE"""),0.547)</f>
        <v>0.547</v>
      </c>
      <c r="V580" s="14">
        <f>IFERROR(__xludf.DUMMYFUNCTION("""COMPUTED_VALUE"""),0.03)</f>
        <v>0.03</v>
      </c>
      <c r="W580" s="14">
        <f>IFERROR(__xludf.DUMMYFUNCTION("""COMPUTED_VALUE"""),1.7662417E7)</f>
        <v>17662417</v>
      </c>
      <c r="X580" s="14">
        <f>IFERROR(__xludf.DUMMYFUNCTION("""COMPUTED_VALUE"""),0.475)</f>
        <v>0.475</v>
      </c>
      <c r="Y580" s="14" t="str">
        <f>IFERROR(__xludf.DUMMYFUNCTION("""COMPUTED_VALUE"""),"Cote d'Ivoire-Africa")</f>
        <v>Cote d'Ivoire-Africa</v>
      </c>
      <c r="Z580" s="14" t="str">
        <f>IFERROR(__xludf.DUMMYFUNCTION("""COMPUTED_VALUE"""),"Africa")</f>
        <v>Africa</v>
      </c>
      <c r="AA580" s="14" t="str">
        <f>IFERROR(__xludf.DUMMYFUNCTION("""COMPUTED_VALUE"""),"2006")</f>
        <v>2006</v>
      </c>
      <c r="AB580" s="15" t="str">
        <f>IFERROR(__xludf.DUMMYFUNCTION("ARRAYFORMULA(VLOOKUP(A580,IMPORTRANGE(""https://docs.google.com/spreadsheets/d/1BuTWp7qHGjWhqrnf-OmePP568O4A5Am9ttzvVdP67zw/edit#gid=1931367683"" ,""ENERGY!$A$2:$F$2692""), {2,3,4,5,6},0))"),"Africa")</f>
        <v>Africa</v>
      </c>
      <c r="AC580" s="14" t="str">
        <f>IFERROR(__xludf.DUMMYFUNCTION("""COMPUTED_VALUE"""),"Cote d'Ivoire-Africa")</f>
        <v>Cote d'Ivoire-Africa</v>
      </c>
      <c r="AD580" s="14" t="str">
        <f>IFERROR(__xludf.DUMMYFUNCTION("""COMPUTED_VALUE"""),"2010")</f>
        <v>2010</v>
      </c>
      <c r="AE580" s="14">
        <f>IFERROR(__xludf.DUMMYFUNCTION("""COMPUTED_VALUE"""),9537.0)</f>
        <v>9537</v>
      </c>
      <c r="AF580" s="14">
        <f>IFERROR(__xludf.DUMMYFUNCTION("""COMPUTED_VALUE"""),6997.0)</f>
        <v>6997</v>
      </c>
    </row>
    <row r="581">
      <c r="A581" s="12">
        <v>580.0</v>
      </c>
      <c r="B581" s="12" t="s">
        <v>123</v>
      </c>
      <c r="C581" s="5" t="s">
        <v>77</v>
      </c>
      <c r="D581" s="11">
        <v>0.446</v>
      </c>
      <c r="E581" s="11">
        <v>40.0</v>
      </c>
      <c r="F581" s="8"/>
      <c r="G581" s="11">
        <v>270.0</v>
      </c>
      <c r="H581" s="11">
        <v>0.018</v>
      </c>
      <c r="I581" s="11">
        <v>0.416</v>
      </c>
      <c r="J581" s="9" t="s">
        <v>68</v>
      </c>
      <c r="K581" s="14" t="str">
        <f>IFERROR(__xludf.DUMMYFUNCTION("ARRAYFORMULA(VLOOKUP(A581,IMPORTRANGE(""https://docs.google.com/spreadsheets/d/1BuTWp7qHGjWhqrnf-OmePP568O4A5Am9ttzvVdP67zw/edit#gid=1603210130"", ""TOURISM!$A$2:$F$2692""), {2,3,4,5,6},0))"),"Africa")</f>
        <v>Africa</v>
      </c>
      <c r="L581" s="14">
        <f>IFERROR(__xludf.DUMMYFUNCTION("""COMPUTED_VALUE"""),1.15E8)</f>
        <v>115000000</v>
      </c>
      <c r="M581" s="14" t="str">
        <f>IFERROR(__xludf.DUMMYFUNCTION("""COMPUTED_VALUE"""),"Cote d'Ivoire-Africa")</f>
        <v>Cote d'Ivoire-Africa</v>
      </c>
      <c r="N581" s="14" t="str">
        <f>IFERROR(__xludf.DUMMYFUNCTION("""COMPUTED_VALUE"""),"2007")</f>
        <v>2007</v>
      </c>
      <c r="O581" s="14">
        <f>IFERROR(__xludf.DUMMYFUNCTION("""COMPUTED_VALUE"""),6.06E8)</f>
        <v>606000000</v>
      </c>
      <c r="P581" s="15">
        <f>IFERROR(__xludf.DUMMYFUNCTION("ARRAYFORMULA(VLOOKUP(A581,IMPORTRANGE(""https://docs.google.com/spreadsheets/d/1BuTWp7qHGjWhqrnf-OmePP568O4A5Am9ttzvVdP67zw/edit#gid=771602874"" ,""HUMAN RESOURCES!$A$2:$M$2692""), {2,3,4,5,6,7,8,9,10,11,12,13},0))"),0.036)</f>
        <v>0.036</v>
      </c>
      <c r="Q581" s="14">
        <f>IFERROR(__xludf.DUMMYFUNCTION("""COMPUTED_VALUE"""),0.084)</f>
        <v>0.084</v>
      </c>
      <c r="R581" s="14">
        <f>IFERROR(__xludf.DUMMYFUNCTION("""COMPUTED_VALUE"""),49.0)</f>
        <v>49</v>
      </c>
      <c r="S581" s="14">
        <f>IFERROR(__xludf.DUMMYFUNCTION("""COMPUTED_VALUE"""),47.0)</f>
        <v>47</v>
      </c>
      <c r="T581" s="14">
        <f>IFERROR(__xludf.DUMMYFUNCTION("""COMPUTED_VALUE"""),0.422)</f>
        <v>0.422</v>
      </c>
      <c r="U581" s="14">
        <f>IFERROR(__xludf.DUMMYFUNCTION("""COMPUTED_VALUE"""),0.548)</f>
        <v>0.548</v>
      </c>
      <c r="V581" s="14">
        <f>IFERROR(__xludf.DUMMYFUNCTION("""COMPUTED_VALUE"""),0.03)</f>
        <v>0.03</v>
      </c>
      <c r="W581" s="14">
        <f>IFERROR(__xludf.DUMMYFUNCTION("""COMPUTED_VALUE"""),1.7949061E7)</f>
        <v>17949061</v>
      </c>
      <c r="X581" s="14">
        <f>IFERROR(__xludf.DUMMYFUNCTION("""COMPUTED_VALUE"""),0.483)</f>
        <v>0.483</v>
      </c>
      <c r="Y581" s="14" t="str">
        <f>IFERROR(__xludf.DUMMYFUNCTION("""COMPUTED_VALUE"""),"Cote d'Ivoire-Africa")</f>
        <v>Cote d'Ivoire-Africa</v>
      </c>
      <c r="Z581" s="14" t="str">
        <f>IFERROR(__xludf.DUMMYFUNCTION("""COMPUTED_VALUE"""),"Africa")</f>
        <v>Africa</v>
      </c>
      <c r="AA581" s="14" t="str">
        <f>IFERROR(__xludf.DUMMYFUNCTION("""COMPUTED_VALUE"""),"2007")</f>
        <v>2007</v>
      </c>
      <c r="AB581" s="15" t="str">
        <f>IFERROR(__xludf.DUMMYFUNCTION("ARRAYFORMULA(VLOOKUP(A581,IMPORTRANGE(""https://docs.google.com/spreadsheets/d/1BuTWp7qHGjWhqrnf-OmePP568O4A5Am9ttzvVdP67zw/edit#gid=1931367683"" ,""ENERGY!$A$2:$F$2692""), {2,3,4,5,6},0))"),"Africa")</f>
        <v>Africa</v>
      </c>
      <c r="AC581" s="14" t="str">
        <f>IFERROR(__xludf.DUMMYFUNCTION("""COMPUTED_VALUE"""),"Cote d'Ivoire-Africa")</f>
        <v>Cote d'Ivoire-Africa</v>
      </c>
      <c r="AD581" s="14" t="str">
        <f>IFERROR(__xludf.DUMMYFUNCTION("""COMPUTED_VALUE"""),"2007")</f>
        <v>2007</v>
      </c>
      <c r="AE581" s="14">
        <f>IFERROR(__xludf.DUMMYFUNCTION("""COMPUTED_VALUE"""),9634.0)</f>
        <v>9634</v>
      </c>
      <c r="AF581" s="14">
        <f>IFERROR(__xludf.DUMMYFUNCTION("""COMPUTED_VALUE"""),7825.0)</f>
        <v>7825</v>
      </c>
    </row>
    <row r="582">
      <c r="A582" s="12">
        <v>581.0</v>
      </c>
      <c r="B582" s="12" t="s">
        <v>123</v>
      </c>
      <c r="C582" s="5" t="s">
        <v>77</v>
      </c>
      <c r="D582" s="11">
        <v>0.446</v>
      </c>
      <c r="E582" s="11">
        <v>40.0</v>
      </c>
      <c r="F582" s="8"/>
      <c r="G582" s="11">
        <v>270.0</v>
      </c>
      <c r="H582" s="11">
        <v>0.019</v>
      </c>
      <c r="I582" s="11">
        <v>0.572</v>
      </c>
      <c r="J582" s="9" t="s">
        <v>69</v>
      </c>
      <c r="K582" s="14" t="str">
        <f>IFERROR(__xludf.DUMMYFUNCTION("ARRAYFORMULA(VLOOKUP(A582,IMPORTRANGE(""https://docs.google.com/spreadsheets/d/1BuTWp7qHGjWhqrnf-OmePP568O4A5Am9ttzvVdP67zw/edit#gid=1603210130"", ""TOURISM!$A$2:$F$2692""), {2,3,4,5,6},0))"),"Africa")</f>
        <v>Africa</v>
      </c>
      <c r="L582" s="14">
        <f>IFERROR(__xludf.DUMMYFUNCTION("""COMPUTED_VALUE"""),1.29E8)</f>
        <v>129000000</v>
      </c>
      <c r="M582" s="14" t="str">
        <f>IFERROR(__xludf.DUMMYFUNCTION("""COMPUTED_VALUE"""),"Cote d'Ivoire-Africa")</f>
        <v>Cote d'Ivoire-Africa</v>
      </c>
      <c r="N582" s="14" t="str">
        <f>IFERROR(__xludf.DUMMYFUNCTION("""COMPUTED_VALUE"""),"2008")</f>
        <v>2008</v>
      </c>
      <c r="O582" s="14">
        <f>IFERROR(__xludf.DUMMYFUNCTION("""COMPUTED_VALUE"""),6.12E8)</f>
        <v>612000000</v>
      </c>
      <c r="P582" s="15">
        <f>IFERROR(__xludf.DUMMYFUNCTION("ARRAYFORMULA(VLOOKUP(A582,IMPORTRANGE(""https://docs.google.com/spreadsheets/d/1BuTWp7qHGjWhqrnf-OmePP568O4A5Am9ttzvVdP67zw/edit#gid=771602874"" ,""HUMAN RESOURCES!$A$2:$M$2692""), {2,3,4,5,6,7,8,9,10,11,12,13},0))"),0.036)</f>
        <v>0.036</v>
      </c>
      <c r="Q582" s="14">
        <f>IFERROR(__xludf.DUMMYFUNCTION("""COMPUTED_VALUE"""),0.082)</f>
        <v>0.082</v>
      </c>
      <c r="R582" s="14">
        <f>IFERROR(__xludf.DUMMYFUNCTION("""COMPUTED_VALUE"""),50.0)</f>
        <v>50</v>
      </c>
      <c r="S582" s="14">
        <f>IFERROR(__xludf.DUMMYFUNCTION("""COMPUTED_VALUE"""),48.0)</f>
        <v>48</v>
      </c>
      <c r="T582" s="14">
        <f>IFERROR(__xludf.DUMMYFUNCTION("""COMPUTED_VALUE"""),0.421)</f>
        <v>0.421</v>
      </c>
      <c r="U582" s="14">
        <f>IFERROR(__xludf.DUMMYFUNCTION("""COMPUTED_VALUE"""),0.549)</f>
        <v>0.549</v>
      </c>
      <c r="V582" s="14">
        <f>IFERROR(__xludf.DUMMYFUNCTION("""COMPUTED_VALUE"""),0.03)</f>
        <v>0.03</v>
      </c>
      <c r="W582" s="14">
        <f>IFERROR(__xludf.DUMMYFUNCTION("""COMPUTED_VALUE"""),1.8260044E7)</f>
        <v>18260044</v>
      </c>
      <c r="X582" s="14">
        <f>IFERROR(__xludf.DUMMYFUNCTION("""COMPUTED_VALUE"""),0.49)</f>
        <v>0.49</v>
      </c>
      <c r="Y582" s="14" t="str">
        <f>IFERROR(__xludf.DUMMYFUNCTION("""COMPUTED_VALUE"""),"Cote d'Ivoire-Africa")</f>
        <v>Cote d'Ivoire-Africa</v>
      </c>
      <c r="Z582" s="14" t="str">
        <f>IFERROR(__xludf.DUMMYFUNCTION("""COMPUTED_VALUE"""),"Africa")</f>
        <v>Africa</v>
      </c>
      <c r="AA582" s="14" t="str">
        <f>IFERROR(__xludf.DUMMYFUNCTION("""COMPUTED_VALUE"""),"2008")</f>
        <v>2008</v>
      </c>
      <c r="AB582" s="15" t="str">
        <f>IFERROR(__xludf.DUMMYFUNCTION("ARRAYFORMULA(VLOOKUP(A582,IMPORTRANGE(""https://docs.google.com/spreadsheets/d/1BuTWp7qHGjWhqrnf-OmePP568O4A5Am9ttzvVdP67zw/edit#gid=1931367683"" ,""ENERGY!$A$2:$F$2692""), {2,3,4,5,6},0))"),"Africa")</f>
        <v>Africa</v>
      </c>
      <c r="AC582" s="14" t="str">
        <f>IFERROR(__xludf.DUMMYFUNCTION("""COMPUTED_VALUE"""),"Cote d'Ivoire-Africa")</f>
        <v>Cote d'Ivoire-Africa</v>
      </c>
      <c r="AD582" s="14" t="str">
        <f>IFERROR(__xludf.DUMMYFUNCTION("""COMPUTED_VALUE"""),"2005")</f>
        <v>2005</v>
      </c>
      <c r="AE582" s="14">
        <f>IFERROR(__xludf.DUMMYFUNCTION("""COMPUTED_VALUE"""),9302.0)</f>
        <v>9302</v>
      </c>
      <c r="AF582" s="14">
        <f>IFERROR(__xludf.DUMMYFUNCTION("""COMPUTED_VALUE"""),7664.0)</f>
        <v>7664</v>
      </c>
    </row>
    <row r="583">
      <c r="A583" s="12">
        <v>582.0</v>
      </c>
      <c r="B583" s="12" t="s">
        <v>123</v>
      </c>
      <c r="C583" s="5" t="s">
        <v>77</v>
      </c>
      <c r="D583" s="11">
        <v>0.444</v>
      </c>
      <c r="E583" s="11">
        <v>40.0</v>
      </c>
      <c r="F583" s="8"/>
      <c r="G583" s="11">
        <v>270.0</v>
      </c>
      <c r="H583" s="11">
        <v>0.02</v>
      </c>
      <c r="I583" s="11">
        <v>0.709</v>
      </c>
      <c r="J583" s="9" t="s">
        <v>70</v>
      </c>
      <c r="K583" s="14" t="str">
        <f>IFERROR(__xludf.DUMMYFUNCTION("ARRAYFORMULA(VLOOKUP(A583,IMPORTRANGE(""https://docs.google.com/spreadsheets/d/1BuTWp7qHGjWhqrnf-OmePP568O4A5Am9ttzvVdP67zw/edit#gid=1603210130"", ""TOURISM!$A$2:$F$2692""), {2,3,4,5,6},0))"),"Africa")</f>
        <v>Africa</v>
      </c>
      <c r="L583" s="14">
        <f>IFERROR(__xludf.DUMMYFUNCTION("""COMPUTED_VALUE"""),1.64E8)</f>
        <v>164000000</v>
      </c>
      <c r="M583" s="14" t="str">
        <f>IFERROR(__xludf.DUMMYFUNCTION("""COMPUTED_VALUE"""),"Cote d'Ivoire-Africa")</f>
        <v>Cote d'Ivoire-Africa</v>
      </c>
      <c r="N583" s="14" t="str">
        <f>IFERROR(__xludf.DUMMYFUNCTION("""COMPUTED_VALUE"""),"2009")</f>
        <v>2009</v>
      </c>
      <c r="O583" s="14">
        <f>IFERROR(__xludf.DUMMYFUNCTION("""COMPUTED_VALUE"""),5.89E8)</f>
        <v>589000000</v>
      </c>
      <c r="P583" s="15">
        <f>IFERROR(__xludf.DUMMYFUNCTION("ARRAYFORMULA(VLOOKUP(A583,IMPORTRANGE(""https://docs.google.com/spreadsheets/d/1BuTWp7qHGjWhqrnf-OmePP568O4A5Am9ttzvVdP67zw/edit#gid=771602874"" ,""HUMAN RESOURCES!$A$2:$M$2692""), {2,3,4,5,6,7,8,9,10,11,12,13},0))"),0.036)</f>
        <v>0.036</v>
      </c>
      <c r="Q583" s="14">
        <f>IFERROR(__xludf.DUMMYFUNCTION("""COMPUTED_VALUE"""),0.079)</f>
        <v>0.079</v>
      </c>
      <c r="R583" s="14">
        <f>IFERROR(__xludf.DUMMYFUNCTION("""COMPUTED_VALUE"""),50.0)</f>
        <v>50</v>
      </c>
      <c r="S583" s="14">
        <f>IFERROR(__xludf.DUMMYFUNCTION("""COMPUTED_VALUE"""),48.0)</f>
        <v>48</v>
      </c>
      <c r="T583" s="14">
        <f>IFERROR(__xludf.DUMMYFUNCTION("""COMPUTED_VALUE"""),0.42)</f>
        <v>0.42</v>
      </c>
      <c r="U583" s="14">
        <f>IFERROR(__xludf.DUMMYFUNCTION("""COMPUTED_VALUE"""),0.55)</f>
        <v>0.55</v>
      </c>
      <c r="V583" s="14">
        <f>IFERROR(__xludf.DUMMYFUNCTION("""COMPUTED_VALUE"""),0.031)</f>
        <v>0.031</v>
      </c>
      <c r="W583" s="14">
        <f>IFERROR(__xludf.DUMMYFUNCTION("""COMPUTED_VALUE"""),1.8601342E7)</f>
        <v>18601342</v>
      </c>
      <c r="X583" s="14">
        <f>IFERROR(__xludf.DUMMYFUNCTION("""COMPUTED_VALUE"""),0.498)</f>
        <v>0.498</v>
      </c>
      <c r="Y583" s="14" t="str">
        <f>IFERROR(__xludf.DUMMYFUNCTION("""COMPUTED_VALUE"""),"Cote d'Ivoire-Africa")</f>
        <v>Cote d'Ivoire-Africa</v>
      </c>
      <c r="Z583" s="14" t="str">
        <f>IFERROR(__xludf.DUMMYFUNCTION("""COMPUTED_VALUE"""),"Africa")</f>
        <v>Africa</v>
      </c>
      <c r="AA583" s="14" t="str">
        <f>IFERROR(__xludf.DUMMYFUNCTION("""COMPUTED_VALUE"""),"2009")</f>
        <v>2009</v>
      </c>
      <c r="AB583" s="15" t="str">
        <f>IFERROR(__xludf.DUMMYFUNCTION("ARRAYFORMULA(VLOOKUP(A583,IMPORTRANGE(""https://docs.google.com/spreadsheets/d/1BuTWp7qHGjWhqrnf-OmePP568O4A5Am9ttzvVdP67zw/edit#gid=1931367683"" ,""ENERGY!$A$2:$F$2692""), {2,3,4,5,6},0))"),"Africa")</f>
        <v>Africa</v>
      </c>
      <c r="AC583" s="14" t="str">
        <f>IFERROR(__xludf.DUMMYFUNCTION("""COMPUTED_VALUE"""),"Cote d'Ivoire-Africa")</f>
        <v>Cote d'Ivoire-Africa</v>
      </c>
      <c r="AD583" s="14" t="str">
        <f>IFERROR(__xludf.DUMMYFUNCTION("""COMPUTED_VALUE"""),"2009")</f>
        <v>2009</v>
      </c>
      <c r="AE583" s="14">
        <f>IFERROR(__xludf.DUMMYFUNCTION("""COMPUTED_VALUE"""),6578.0)</f>
        <v>6578</v>
      </c>
      <c r="AF583" s="14">
        <f>IFERROR(__xludf.DUMMYFUNCTION("""COMPUTED_VALUE"""),5460.0)</f>
        <v>5460</v>
      </c>
    </row>
    <row r="584">
      <c r="A584" s="12">
        <v>583.0</v>
      </c>
      <c r="B584" s="12" t="s">
        <v>123</v>
      </c>
      <c r="C584" s="5" t="s">
        <v>77</v>
      </c>
      <c r="D584" s="11">
        <v>0.442</v>
      </c>
      <c r="E584" s="11">
        <v>40.0</v>
      </c>
      <c r="F584" s="8"/>
      <c r="G584" s="11">
        <v>270.0</v>
      </c>
      <c r="H584" s="11">
        <v>0.021</v>
      </c>
      <c r="I584" s="11">
        <v>0.822</v>
      </c>
      <c r="J584" s="9" t="s">
        <v>71</v>
      </c>
      <c r="K584" s="14" t="str">
        <f>IFERROR(__xludf.DUMMYFUNCTION("ARRAYFORMULA(VLOOKUP(A584,IMPORTRANGE(""https://docs.google.com/spreadsheets/d/1BuTWp7qHGjWhqrnf-OmePP568O4A5Am9ttzvVdP67zw/edit#gid=1603210130"", ""TOURISM!$A$2:$F$2692""), {2,3,4,5,6},0))"),"Africa")</f>
        <v>Africa</v>
      </c>
      <c r="L584" s="14">
        <f>IFERROR(__xludf.DUMMYFUNCTION("""COMPUTED_VALUE"""),2.13E8)</f>
        <v>213000000</v>
      </c>
      <c r="M584" s="14" t="str">
        <f>IFERROR(__xludf.DUMMYFUNCTION("""COMPUTED_VALUE"""),"Cote d'Ivoire-Africa")</f>
        <v>Cote d'Ivoire-Africa</v>
      </c>
      <c r="N584" s="14" t="str">
        <f>IFERROR(__xludf.DUMMYFUNCTION("""COMPUTED_VALUE"""),"2010")</f>
        <v>2010</v>
      </c>
      <c r="O584" s="14">
        <f>IFERROR(__xludf.DUMMYFUNCTION("""COMPUTED_VALUE"""),5.69E8)</f>
        <v>569000000</v>
      </c>
      <c r="P584" s="15">
        <f>IFERROR(__xludf.DUMMYFUNCTION("ARRAYFORMULA(VLOOKUP(A584,IMPORTRANGE(""https://docs.google.com/spreadsheets/d/1BuTWp7qHGjWhqrnf-OmePP568O4A5Am9ttzvVdP67zw/edit#gid=771602874"" ,""HUMAN RESOURCES!$A$2:$M$2692""), {2,3,4,5,6,7,8,9,10,11,12,13},0))"),0.037)</f>
        <v>0.037</v>
      </c>
      <c r="Q584" s="14">
        <f>IFERROR(__xludf.DUMMYFUNCTION("""COMPUTED_VALUE"""),0.077)</f>
        <v>0.077</v>
      </c>
      <c r="R584" s="14">
        <f>IFERROR(__xludf.DUMMYFUNCTION("""COMPUTED_VALUE"""),50.0)</f>
        <v>50</v>
      </c>
      <c r="S584" s="14">
        <f>IFERROR(__xludf.DUMMYFUNCTION("""COMPUTED_VALUE"""),49.0)</f>
        <v>49</v>
      </c>
      <c r="T584" s="14">
        <f>IFERROR(__xludf.DUMMYFUNCTION("""COMPUTED_VALUE"""),0.418)</f>
        <v>0.418</v>
      </c>
      <c r="U584" s="14">
        <f>IFERROR(__xludf.DUMMYFUNCTION("""COMPUTED_VALUE"""),0.551)</f>
        <v>0.551</v>
      </c>
      <c r="V584" s="14">
        <f>IFERROR(__xludf.DUMMYFUNCTION("""COMPUTED_VALUE"""),0.031)</f>
        <v>0.031</v>
      </c>
      <c r="W584" s="14">
        <f>IFERROR(__xludf.DUMMYFUNCTION("""COMPUTED_VALUE"""),1.8976588E7)</f>
        <v>18976588</v>
      </c>
      <c r="X584" s="14">
        <f>IFERROR(__xludf.DUMMYFUNCTION("""COMPUTED_VALUE"""),0.506)</f>
        <v>0.506</v>
      </c>
      <c r="Y584" s="14" t="str">
        <f>IFERROR(__xludf.DUMMYFUNCTION("""COMPUTED_VALUE"""),"Cote d'Ivoire-Africa")</f>
        <v>Cote d'Ivoire-Africa</v>
      </c>
      <c r="Z584" s="14" t="str">
        <f>IFERROR(__xludf.DUMMYFUNCTION("""COMPUTED_VALUE"""),"Africa")</f>
        <v>Africa</v>
      </c>
      <c r="AA584" s="14" t="str">
        <f>IFERROR(__xludf.DUMMYFUNCTION("""COMPUTED_VALUE"""),"2010")</f>
        <v>2010</v>
      </c>
      <c r="AB584" s="15" t="str">
        <f>IFERROR(__xludf.DUMMYFUNCTION("ARRAYFORMULA(VLOOKUP(A584,IMPORTRANGE(""https://docs.google.com/spreadsheets/d/1BuTWp7qHGjWhqrnf-OmePP568O4A5Am9ttzvVdP67zw/edit#gid=1931367683"" ,""ENERGY!$A$2:$F$2692""), {2,3,4,5,6},0))"),"Africa")</f>
        <v>Africa</v>
      </c>
      <c r="AC584" s="14" t="str">
        <f>IFERROR(__xludf.DUMMYFUNCTION("""COMPUTED_VALUE"""),"Cote d'Ivoire-Africa")</f>
        <v>Cote d'Ivoire-Africa</v>
      </c>
      <c r="AD584" s="14" t="str">
        <f>IFERROR(__xludf.DUMMYFUNCTION("""COMPUTED_VALUE"""),"2007")</f>
        <v>2007</v>
      </c>
      <c r="AE584" s="14">
        <f>IFERROR(__xludf.DUMMYFUNCTION("""COMPUTED_VALUE"""),6946.0)</f>
        <v>6946</v>
      </c>
      <c r="AF584" s="14">
        <f>IFERROR(__xludf.DUMMYFUNCTION("""COMPUTED_VALUE"""),7286.0)</f>
        <v>7286</v>
      </c>
    </row>
    <row r="585">
      <c r="A585" s="12">
        <v>584.0</v>
      </c>
      <c r="B585" s="12" t="s">
        <v>123</v>
      </c>
      <c r="C585" s="5" t="s">
        <v>77</v>
      </c>
      <c r="D585" s="11">
        <v>0.44</v>
      </c>
      <c r="E585" s="11">
        <v>32.0</v>
      </c>
      <c r="F585" s="8"/>
      <c r="G585" s="11">
        <v>270.0</v>
      </c>
      <c r="H585" s="11">
        <v>0.022</v>
      </c>
      <c r="I585" s="11">
        <v>0.894</v>
      </c>
      <c r="J585" s="9" t="s">
        <v>72</v>
      </c>
      <c r="K585" s="14" t="str">
        <f>IFERROR(__xludf.DUMMYFUNCTION("ARRAYFORMULA(VLOOKUP(A585,IMPORTRANGE(""https://docs.google.com/spreadsheets/d/1BuTWp7qHGjWhqrnf-OmePP568O4A5Am9ttzvVdP67zw/edit#gid=1603210130"", ""TOURISM!$A$2:$F$2692""), {2,3,4,5,6},0))"),"Africa")</f>
        <v>Africa</v>
      </c>
      <c r="L585" s="14"/>
      <c r="M585" s="14" t="str">
        <f>IFERROR(__xludf.DUMMYFUNCTION("""COMPUTED_VALUE"""),"Cote d'Ivoire-Africa")</f>
        <v>Cote d'Ivoire-Africa</v>
      </c>
      <c r="N585" s="14" t="str">
        <f>IFERROR(__xludf.DUMMYFUNCTION("""COMPUTED_VALUE"""),"2011")</f>
        <v>2011</v>
      </c>
      <c r="O585" s="14"/>
      <c r="P585" s="15">
        <f>IFERROR(__xludf.DUMMYFUNCTION("ARRAYFORMULA(VLOOKUP(A585,IMPORTRANGE(""https://docs.google.com/spreadsheets/d/1BuTWp7qHGjWhqrnf-OmePP568O4A5Am9ttzvVdP67zw/edit#gid=771602874"" ,""HUMAN RESOURCES!$A$2:$M$2692""), {2,3,4,5,6,7,8,9,10,11,12,13},0))"),0.037)</f>
        <v>0.037</v>
      </c>
      <c r="Q585" s="14">
        <f>IFERROR(__xludf.DUMMYFUNCTION("""COMPUTED_VALUE"""),0.075)</f>
        <v>0.075</v>
      </c>
      <c r="R585" s="14">
        <f>IFERROR(__xludf.DUMMYFUNCTION("""COMPUTED_VALUE"""),51.0)</f>
        <v>51</v>
      </c>
      <c r="S585" s="14">
        <f>IFERROR(__xludf.DUMMYFUNCTION("""COMPUTED_VALUE"""),49.0)</f>
        <v>49</v>
      </c>
      <c r="T585" s="14">
        <f>IFERROR(__xludf.DUMMYFUNCTION("""COMPUTED_VALUE"""),0.417)</f>
        <v>0.417</v>
      </c>
      <c r="U585" s="14">
        <f>IFERROR(__xludf.DUMMYFUNCTION("""COMPUTED_VALUE"""),0.552)</f>
        <v>0.552</v>
      </c>
      <c r="V585" s="14">
        <f>IFERROR(__xludf.DUMMYFUNCTION("""COMPUTED_VALUE"""),0.031)</f>
        <v>0.031</v>
      </c>
      <c r="W585" s="14">
        <f>IFERROR(__xludf.DUMMYFUNCTION("""COMPUTED_VALUE"""),1.9389954E7)</f>
        <v>19389954</v>
      </c>
      <c r="X585" s="14">
        <f>IFERROR(__xludf.DUMMYFUNCTION("""COMPUTED_VALUE"""),0.513)</f>
        <v>0.513</v>
      </c>
      <c r="Y585" s="14" t="str">
        <f>IFERROR(__xludf.DUMMYFUNCTION("""COMPUTED_VALUE"""),"Cote d'Ivoire-Africa")</f>
        <v>Cote d'Ivoire-Africa</v>
      </c>
      <c r="Z585" s="14" t="str">
        <f>IFERROR(__xludf.DUMMYFUNCTION("""COMPUTED_VALUE"""),"Africa")</f>
        <v>Africa</v>
      </c>
      <c r="AA585" s="14" t="str">
        <f>IFERROR(__xludf.DUMMYFUNCTION("""COMPUTED_VALUE"""),"2011")</f>
        <v>2011</v>
      </c>
      <c r="AB585" s="15" t="str">
        <f>IFERROR(__xludf.DUMMYFUNCTION("ARRAYFORMULA(VLOOKUP(A585,IMPORTRANGE(""https://docs.google.com/spreadsheets/d/1BuTWp7qHGjWhqrnf-OmePP568O4A5Am9ttzvVdP67zw/edit#gid=1931367683"" ,""ENERGY!$A$2:$F$2692""), {2,3,4,5,6},0))"),"Africa")</f>
        <v>Africa</v>
      </c>
      <c r="AC585" s="14" t="str">
        <f>IFERROR(__xludf.DUMMYFUNCTION("""COMPUTED_VALUE"""),"Cote d'Ivoire-Africa")</f>
        <v>Cote d'Ivoire-Africa</v>
      </c>
      <c r="AD585" s="14" t="str">
        <f>IFERROR(__xludf.DUMMYFUNCTION("""COMPUTED_VALUE"""),"2004")</f>
        <v>2004</v>
      </c>
      <c r="AE585" s="14">
        <f>IFERROR(__xludf.DUMMYFUNCTION("""COMPUTED_VALUE"""),6483.0)</f>
        <v>6483</v>
      </c>
      <c r="AF585" s="14">
        <f>IFERROR(__xludf.DUMMYFUNCTION("""COMPUTED_VALUE"""),7726.0)</f>
        <v>7726</v>
      </c>
    </row>
    <row r="586">
      <c r="A586" s="12">
        <v>585.0</v>
      </c>
      <c r="B586" s="12" t="s">
        <v>123</v>
      </c>
      <c r="C586" s="5" t="s">
        <v>77</v>
      </c>
      <c r="D586" s="11">
        <v>0.394</v>
      </c>
      <c r="E586" s="11">
        <v>32.0</v>
      </c>
      <c r="F586" s="11">
        <v>173.0</v>
      </c>
      <c r="G586" s="11">
        <v>270.0</v>
      </c>
      <c r="H586" s="11">
        <v>0.024</v>
      </c>
      <c r="I586" s="11">
        <v>0.912</v>
      </c>
      <c r="J586" s="9" t="s">
        <v>73</v>
      </c>
      <c r="K586" s="14" t="str">
        <f>IFERROR(__xludf.DUMMYFUNCTION("ARRAYFORMULA(VLOOKUP(A586,IMPORTRANGE(""https://docs.google.com/spreadsheets/d/1BuTWp7qHGjWhqrnf-OmePP568O4A5Am9ttzvVdP67zw/edit#gid=1603210130"", ""TOURISM!$A$2:$F$2692""), {2,3,4,5,6},0))"),"Africa")</f>
        <v>Africa</v>
      </c>
      <c r="L586" s="14"/>
      <c r="M586" s="14" t="str">
        <f>IFERROR(__xludf.DUMMYFUNCTION("""COMPUTED_VALUE"""),"Cote d'Ivoire-Africa")</f>
        <v>Cote d'Ivoire-Africa</v>
      </c>
      <c r="N586" s="14" t="str">
        <f>IFERROR(__xludf.DUMMYFUNCTION("""COMPUTED_VALUE"""),"2012")</f>
        <v>2012</v>
      </c>
      <c r="O586" s="14"/>
      <c r="P586" s="15">
        <f>IFERROR(__xludf.DUMMYFUNCTION("ARRAYFORMULA(VLOOKUP(A586,IMPORTRANGE(""https://docs.google.com/spreadsheets/d/1BuTWp7qHGjWhqrnf-OmePP568O4A5Am9ttzvVdP67zw/edit#gid=771602874"" ,""HUMAN RESOURCES!$A$2:$M$2692""), {2,3,4,5,6,7,8,9,10,11,12,13},0))"),0.037)</f>
        <v>0.037</v>
      </c>
      <c r="Q586" s="14">
        <f>IFERROR(__xludf.DUMMYFUNCTION("""COMPUTED_VALUE"""),0.073)</f>
        <v>0.073</v>
      </c>
      <c r="R586" s="14">
        <f>IFERROR(__xludf.DUMMYFUNCTION("""COMPUTED_VALUE"""),51.0)</f>
        <v>51</v>
      </c>
      <c r="S586" s="14">
        <f>IFERROR(__xludf.DUMMYFUNCTION("""COMPUTED_VALUE"""),50.0)</f>
        <v>50</v>
      </c>
      <c r="T586" s="14">
        <f>IFERROR(__xludf.DUMMYFUNCTION("""COMPUTED_VALUE"""),0.415)</f>
        <v>0.415</v>
      </c>
      <c r="U586" s="14">
        <f>IFERROR(__xludf.DUMMYFUNCTION("""COMPUTED_VALUE"""),0.554)</f>
        <v>0.554</v>
      </c>
      <c r="V586" s="14">
        <f>IFERROR(__xludf.DUMMYFUNCTION("""COMPUTED_VALUE"""),0.031)</f>
        <v>0.031</v>
      </c>
      <c r="W586" s="14">
        <f>IFERROR(__xludf.DUMMYFUNCTION("""COMPUTED_VALUE"""),1.983975E7)</f>
        <v>19839750</v>
      </c>
      <c r="X586" s="14">
        <f>IFERROR(__xludf.DUMMYFUNCTION("""COMPUTED_VALUE"""),0.52)</f>
        <v>0.52</v>
      </c>
      <c r="Y586" s="14" t="str">
        <f>IFERROR(__xludf.DUMMYFUNCTION("""COMPUTED_VALUE"""),"Cote d'Ivoire-Africa")</f>
        <v>Cote d'Ivoire-Africa</v>
      </c>
      <c r="Z586" s="14" t="str">
        <f>IFERROR(__xludf.DUMMYFUNCTION("""COMPUTED_VALUE"""),"Africa")</f>
        <v>Africa</v>
      </c>
      <c r="AA586" s="14" t="str">
        <f>IFERROR(__xludf.DUMMYFUNCTION("""COMPUTED_VALUE"""),"2012")</f>
        <v>2012</v>
      </c>
      <c r="AB586" s="15" t="str">
        <f>IFERROR(__xludf.DUMMYFUNCTION("ARRAYFORMULA(VLOOKUP(A586,IMPORTRANGE(""https://docs.google.com/spreadsheets/d/1BuTWp7qHGjWhqrnf-OmePP568O4A5Am9ttzvVdP67zw/edit#gid=1931367683"" ,""ENERGY!$A$2:$F$2692""), {2,3,4,5,6},0))"),"Africa")</f>
        <v>Africa</v>
      </c>
      <c r="AC586" s="14" t="str">
        <f>IFERROR(__xludf.DUMMYFUNCTION("""COMPUTED_VALUE"""),"Cote d'Ivoire-Africa")</f>
        <v>Cote d'Ivoire-Africa</v>
      </c>
      <c r="AD586" s="14" t="str">
        <f>IFERROR(__xludf.DUMMYFUNCTION("""COMPUTED_VALUE"""),"2009")</f>
        <v>2009</v>
      </c>
      <c r="AE586" s="14">
        <f>IFERROR(__xludf.DUMMYFUNCTION("""COMPUTED_VALUE"""),6734.0)</f>
        <v>6734</v>
      </c>
      <c r="AF586" s="14">
        <f>IFERROR(__xludf.DUMMYFUNCTION("""COMPUTED_VALUE"""),6791.0)</f>
        <v>6791</v>
      </c>
    </row>
    <row r="587">
      <c r="A587" s="12">
        <v>586.0</v>
      </c>
      <c r="B587" s="12" t="s">
        <v>124</v>
      </c>
      <c r="C587" s="5" t="s">
        <v>75</v>
      </c>
      <c r="D587" s="8"/>
      <c r="E587" s="8"/>
      <c r="F587" s="8"/>
      <c r="G587" s="8"/>
      <c r="H587" s="11">
        <v>0.066</v>
      </c>
      <c r="I587" s="11">
        <v>0.231</v>
      </c>
      <c r="J587" s="9" t="s">
        <v>60</v>
      </c>
      <c r="K587" s="14" t="str">
        <f>IFERROR(__xludf.DUMMYFUNCTION("ARRAYFORMULA(VLOOKUP(A587,IMPORTRANGE(""https://docs.google.com/spreadsheets/d/1BuTWp7qHGjWhqrnf-OmePP568O4A5Am9ttzvVdP67zw/edit#gid=1603210130"", ""TOURISM!$A$2:$F$2692""), {2,3,4,5,6},0))"),"Europe")</f>
        <v>Europe</v>
      </c>
      <c r="L587" s="14">
        <f>IFERROR(__xludf.DUMMYFUNCTION("""COMPUTED_VALUE"""),2.871E9)</f>
        <v>2871000000</v>
      </c>
      <c r="M587" s="14" t="str">
        <f>IFERROR(__xludf.DUMMYFUNCTION("""COMPUTED_VALUE"""),"Croatia-Europe")</f>
        <v>Croatia-Europe</v>
      </c>
      <c r="N587" s="14" t="str">
        <f>IFERROR(__xludf.DUMMYFUNCTION("""COMPUTED_VALUE"""),"2000")</f>
        <v>2000</v>
      </c>
      <c r="O587" s="14">
        <f>IFERROR(__xludf.DUMMYFUNCTION("""COMPUTED_VALUE"""),6.34E8)</f>
        <v>634000000</v>
      </c>
      <c r="P587" s="15">
        <f>IFERROR(__xludf.DUMMYFUNCTION("ARRAYFORMULA(VLOOKUP(A587,IMPORTRANGE(""https://docs.google.com/spreadsheets/d/1BuTWp7qHGjWhqrnf-OmePP568O4A5Am9ttzvVdP67zw/edit#gid=771602874"" ,""HUMAN RESOURCES!$A$2:$M$2692""), {2,3,4,5,6,7,8,9,10,11,12,13},0))"),0.01)</f>
        <v>0.01</v>
      </c>
      <c r="Q587" s="14">
        <f>IFERROR(__xludf.DUMMYFUNCTION("""COMPUTED_VALUE"""),0.007)</f>
        <v>0.007</v>
      </c>
      <c r="R587" s="14">
        <f>IFERROR(__xludf.DUMMYFUNCTION("""COMPUTED_VALUE"""),77.0)</f>
        <v>77</v>
      </c>
      <c r="S587" s="14">
        <f>IFERROR(__xludf.DUMMYFUNCTION("""COMPUTED_VALUE"""),69.0)</f>
        <v>69</v>
      </c>
      <c r="T587" s="14">
        <f>IFERROR(__xludf.DUMMYFUNCTION("""COMPUTED_VALUE"""),0.172)</f>
        <v>0.172</v>
      </c>
      <c r="U587" s="14">
        <f>IFERROR(__xludf.DUMMYFUNCTION("""COMPUTED_VALUE"""),0.673)</f>
        <v>0.673</v>
      </c>
      <c r="V587" s="14">
        <f>IFERROR(__xludf.DUMMYFUNCTION("""COMPUTED_VALUE"""),0.156)</f>
        <v>0.156</v>
      </c>
      <c r="W587" s="14">
        <f>IFERROR(__xludf.DUMMYFUNCTION("""COMPUTED_VALUE"""),4426000.0)</f>
        <v>4426000</v>
      </c>
      <c r="X587" s="14">
        <f>IFERROR(__xludf.DUMMYFUNCTION("""COMPUTED_VALUE"""),0.556)</f>
        <v>0.556</v>
      </c>
      <c r="Y587" s="14" t="str">
        <f>IFERROR(__xludf.DUMMYFUNCTION("""COMPUTED_VALUE"""),"Croatia-Europe")</f>
        <v>Croatia-Europe</v>
      </c>
      <c r="Z587" s="14" t="str">
        <f>IFERROR(__xludf.DUMMYFUNCTION("""COMPUTED_VALUE"""),"Europe")</f>
        <v>Europe</v>
      </c>
      <c r="AA587" s="14" t="str">
        <f>IFERROR(__xludf.DUMMYFUNCTION("""COMPUTED_VALUE"""),"2000")</f>
        <v>2000</v>
      </c>
      <c r="AB587" s="15" t="str">
        <f>IFERROR(__xludf.DUMMYFUNCTION("ARRAYFORMULA(VLOOKUP(A587,IMPORTRANGE(""https://docs.google.com/spreadsheets/d/1BuTWp7qHGjWhqrnf-OmePP568O4A5Am9ttzvVdP67zw/edit#gid=1931367683"" ,""ENERGY!$A$2:$F$2692""), {2,3,4,5,6},0))"),"Europe")</f>
        <v>Europe</v>
      </c>
      <c r="AC587" s="14" t="str">
        <f>IFERROR(__xludf.DUMMYFUNCTION("""COMPUTED_VALUE"""),"Croatia-Europe")</f>
        <v>Croatia-Europe</v>
      </c>
      <c r="AD587" s="14" t="str">
        <f>IFERROR(__xludf.DUMMYFUNCTION("""COMPUTED_VALUE"""),"2000")</f>
        <v>2000</v>
      </c>
      <c r="AE587" s="14"/>
      <c r="AF587" s="14"/>
    </row>
    <row r="588">
      <c r="A588" s="12">
        <v>587.0</v>
      </c>
      <c r="B588" s="12" t="s">
        <v>124</v>
      </c>
      <c r="C588" s="5" t="s">
        <v>75</v>
      </c>
      <c r="D588" s="8"/>
      <c r="E588" s="8"/>
      <c r="F588" s="8"/>
      <c r="G588" s="8"/>
      <c r="H588" s="11">
        <v>0.116</v>
      </c>
      <c r="I588" s="11">
        <v>0.395</v>
      </c>
      <c r="J588" s="9" t="s">
        <v>62</v>
      </c>
      <c r="K588" s="14" t="str">
        <f>IFERROR(__xludf.DUMMYFUNCTION("ARRAYFORMULA(VLOOKUP(A588,IMPORTRANGE(""https://docs.google.com/spreadsheets/d/1BuTWp7qHGjWhqrnf-OmePP568O4A5Am9ttzvVdP67zw/edit#gid=1603210130"", ""TOURISM!$A$2:$F$2692""), {2,3,4,5,6},0))"),"Europe")</f>
        <v>Europe</v>
      </c>
      <c r="L588" s="14">
        <f>IFERROR(__xludf.DUMMYFUNCTION("""COMPUTED_VALUE"""),3.463E9)</f>
        <v>3463000000</v>
      </c>
      <c r="M588" s="14" t="str">
        <f>IFERROR(__xludf.DUMMYFUNCTION("""COMPUTED_VALUE"""),"Croatia-Europe")</f>
        <v>Croatia-Europe</v>
      </c>
      <c r="N588" s="14" t="str">
        <f>IFERROR(__xludf.DUMMYFUNCTION("""COMPUTED_VALUE"""),"2001")</f>
        <v>2001</v>
      </c>
      <c r="O588" s="14">
        <f>IFERROR(__xludf.DUMMYFUNCTION("""COMPUTED_VALUE"""),6.77E8)</f>
        <v>677000000</v>
      </c>
      <c r="P588" s="15">
        <f>IFERROR(__xludf.DUMMYFUNCTION("ARRAYFORMULA(VLOOKUP(A588,IMPORTRANGE(""https://docs.google.com/spreadsheets/d/1BuTWp7qHGjWhqrnf-OmePP568O4A5Am9ttzvVdP67zw/edit#gid=771602874"" ,""HUMAN RESOURCES!$A$2:$M$2692""), {2,3,4,5,6,7,8,9,10,11,12,13},0))"),0.009)</f>
        <v>0.009</v>
      </c>
      <c r="Q588" s="14">
        <f>IFERROR(__xludf.DUMMYFUNCTION("""COMPUTED_VALUE"""),0.007)</f>
        <v>0.007</v>
      </c>
      <c r="R588" s="14">
        <f>IFERROR(__xludf.DUMMYFUNCTION("""COMPUTED_VALUE"""),78.0)</f>
        <v>78</v>
      </c>
      <c r="S588" s="14">
        <f>IFERROR(__xludf.DUMMYFUNCTION("""COMPUTED_VALUE"""),71.0)</f>
        <v>71</v>
      </c>
      <c r="T588" s="14">
        <f>IFERROR(__xludf.DUMMYFUNCTION("""COMPUTED_VALUE"""),0.169)</f>
        <v>0.169</v>
      </c>
      <c r="U588" s="14">
        <f>IFERROR(__xludf.DUMMYFUNCTION("""COMPUTED_VALUE"""),0.672)</f>
        <v>0.672</v>
      </c>
      <c r="V588" s="14">
        <f>IFERROR(__xludf.DUMMYFUNCTION("""COMPUTED_VALUE"""),0.159)</f>
        <v>0.159</v>
      </c>
      <c r="W588" s="14">
        <f>IFERROR(__xludf.DUMMYFUNCTION("""COMPUTED_VALUE"""),4440000.0)</f>
        <v>4440000</v>
      </c>
      <c r="X588" s="14">
        <f>IFERROR(__xludf.DUMMYFUNCTION("""COMPUTED_VALUE"""),0.557)</f>
        <v>0.557</v>
      </c>
      <c r="Y588" s="14" t="str">
        <f>IFERROR(__xludf.DUMMYFUNCTION("""COMPUTED_VALUE"""),"Croatia-Europe")</f>
        <v>Croatia-Europe</v>
      </c>
      <c r="Z588" s="14" t="str">
        <f>IFERROR(__xludf.DUMMYFUNCTION("""COMPUTED_VALUE"""),"Europe")</f>
        <v>Europe</v>
      </c>
      <c r="AA588" s="14" t="str">
        <f>IFERROR(__xludf.DUMMYFUNCTION("""COMPUTED_VALUE"""),"2001")</f>
        <v>2001</v>
      </c>
      <c r="AB588" s="15" t="str">
        <f>IFERROR(__xludf.DUMMYFUNCTION("ARRAYFORMULA(VLOOKUP(A588,IMPORTRANGE(""https://docs.google.com/spreadsheets/d/1BuTWp7qHGjWhqrnf-OmePP568O4A5Am9ttzvVdP67zw/edit#gid=1931367683"" ,""ENERGY!$A$2:$F$2692""), {2,3,4,5,6},0))"),"Europe")</f>
        <v>Europe</v>
      </c>
      <c r="AC588" s="14" t="str">
        <f>IFERROR(__xludf.DUMMYFUNCTION("""COMPUTED_VALUE"""),"Croatia-Europe")</f>
        <v>Croatia-Europe</v>
      </c>
      <c r="AD588" s="14" t="str">
        <f>IFERROR(__xludf.DUMMYFUNCTION("""COMPUTED_VALUE"""),"2001")</f>
        <v>2001</v>
      </c>
      <c r="AE588" s="14">
        <f>IFERROR(__xludf.DUMMYFUNCTION("""COMPUTED_VALUE"""),8439.0)</f>
        <v>8439</v>
      </c>
      <c r="AF588" s="14"/>
    </row>
    <row r="589">
      <c r="A589" s="12">
        <v>588.0</v>
      </c>
      <c r="B589" s="12" t="s">
        <v>124</v>
      </c>
      <c r="C589" s="5" t="s">
        <v>75</v>
      </c>
      <c r="D589" s="8"/>
      <c r="E589" s="8"/>
      <c r="F589" s="8"/>
      <c r="G589" s="8"/>
      <c r="H589" s="11">
        <v>0.178</v>
      </c>
      <c r="I589" s="11">
        <v>0.522</v>
      </c>
      <c r="J589" s="9" t="s">
        <v>63</v>
      </c>
      <c r="K589" s="14" t="str">
        <f>IFERROR(__xludf.DUMMYFUNCTION("ARRAYFORMULA(VLOOKUP(A589,IMPORTRANGE(""https://docs.google.com/spreadsheets/d/1BuTWp7qHGjWhqrnf-OmePP568O4A5Am9ttzvVdP67zw/edit#gid=1603210130"", ""TOURISM!$A$2:$F$2692""), {2,3,4,5,6},0))"),"Europe")</f>
        <v>Europe</v>
      </c>
      <c r="L589" s="14">
        <f>IFERROR(__xludf.DUMMYFUNCTION("""COMPUTED_VALUE"""),3.952E9)</f>
        <v>3952000000</v>
      </c>
      <c r="M589" s="14" t="str">
        <f>IFERROR(__xludf.DUMMYFUNCTION("""COMPUTED_VALUE"""),"Croatia-Europe")</f>
        <v>Croatia-Europe</v>
      </c>
      <c r="N589" s="14" t="str">
        <f>IFERROR(__xludf.DUMMYFUNCTION("""COMPUTED_VALUE"""),"2002")</f>
        <v>2002</v>
      </c>
      <c r="O589" s="14">
        <f>IFERROR(__xludf.DUMMYFUNCTION("""COMPUTED_VALUE"""),8.52E8)</f>
        <v>852000000</v>
      </c>
      <c r="P589" s="15">
        <f>IFERROR(__xludf.DUMMYFUNCTION("ARRAYFORMULA(VLOOKUP(A589,IMPORTRANGE(""https://docs.google.com/spreadsheets/d/1BuTWp7qHGjWhqrnf-OmePP568O4A5Am9ttzvVdP67zw/edit#gid=771602874"" ,""HUMAN RESOURCES!$A$2:$M$2692""), {2,3,4,5,6,7,8,9,10,11,12,13},0))"),0.009)</f>
        <v>0.009</v>
      </c>
      <c r="Q589" s="14">
        <f>IFERROR(__xludf.DUMMYFUNCTION("""COMPUTED_VALUE"""),0.007)</f>
        <v>0.007</v>
      </c>
      <c r="R589" s="14">
        <f>IFERROR(__xludf.DUMMYFUNCTION("""COMPUTED_VALUE"""),78.0)</f>
        <v>78</v>
      </c>
      <c r="S589" s="14">
        <f>IFERROR(__xludf.DUMMYFUNCTION("""COMPUTED_VALUE"""),71.0)</f>
        <v>71</v>
      </c>
      <c r="T589" s="14">
        <f>IFERROR(__xludf.DUMMYFUNCTION("""COMPUTED_VALUE"""),0.167)</f>
        <v>0.167</v>
      </c>
      <c r="U589" s="14">
        <f>IFERROR(__xludf.DUMMYFUNCTION("""COMPUTED_VALUE"""),0.671)</f>
        <v>0.671</v>
      </c>
      <c r="V589" s="14">
        <f>IFERROR(__xludf.DUMMYFUNCTION("""COMPUTED_VALUE"""),0.163)</f>
        <v>0.163</v>
      </c>
      <c r="W589" s="14">
        <f>IFERROR(__xludf.DUMMYFUNCTION("""COMPUTED_VALUE"""),4440000.0)</f>
        <v>4440000</v>
      </c>
      <c r="X589" s="14">
        <f>IFERROR(__xludf.DUMMYFUNCTION("""COMPUTED_VALUE"""),0.559)</f>
        <v>0.559</v>
      </c>
      <c r="Y589" s="14" t="str">
        <f>IFERROR(__xludf.DUMMYFUNCTION("""COMPUTED_VALUE"""),"Croatia-Europe")</f>
        <v>Croatia-Europe</v>
      </c>
      <c r="Z589" s="14" t="str">
        <f>IFERROR(__xludf.DUMMYFUNCTION("""COMPUTED_VALUE"""),"Europe")</f>
        <v>Europe</v>
      </c>
      <c r="AA589" s="14" t="str">
        <f>IFERROR(__xludf.DUMMYFUNCTION("""COMPUTED_VALUE"""),"2002")</f>
        <v>2002</v>
      </c>
      <c r="AB589" s="15" t="str">
        <f>IFERROR(__xludf.DUMMYFUNCTION("ARRAYFORMULA(VLOOKUP(A589,IMPORTRANGE(""https://docs.google.com/spreadsheets/d/1BuTWp7qHGjWhqrnf-OmePP568O4A5Am9ttzvVdP67zw/edit#gid=1931367683"" ,""ENERGY!$A$2:$F$2692""), {2,3,4,5,6},0))"),"Europe")</f>
        <v>Europe</v>
      </c>
      <c r="AC589" s="14" t="str">
        <f>IFERROR(__xludf.DUMMYFUNCTION("""COMPUTED_VALUE"""),"Croatia-Europe")</f>
        <v>Croatia-Europe</v>
      </c>
      <c r="AD589" s="14" t="str">
        <f>IFERROR(__xludf.DUMMYFUNCTION("""COMPUTED_VALUE"""),"2002")</f>
        <v>2002</v>
      </c>
      <c r="AE589" s="14">
        <f>IFERROR(__xludf.DUMMYFUNCTION("""COMPUTED_VALUE"""),8564.0)</f>
        <v>8564</v>
      </c>
      <c r="AF589" s="14">
        <f>IFERROR(__xludf.DUMMYFUNCTION("""COMPUTED_VALUE"""),20884.0)</f>
        <v>20884</v>
      </c>
    </row>
    <row r="590">
      <c r="A590" s="12">
        <v>589.0</v>
      </c>
      <c r="B590" s="12" t="s">
        <v>124</v>
      </c>
      <c r="C590" s="5" t="s">
        <v>75</v>
      </c>
      <c r="D590" s="8"/>
      <c r="E590" s="11">
        <v>29.0</v>
      </c>
      <c r="F590" s="8"/>
      <c r="G590" s="8"/>
      <c r="H590" s="11">
        <v>0.228</v>
      </c>
      <c r="I590" s="11">
        <v>0.575</v>
      </c>
      <c r="J590" s="9" t="s">
        <v>64</v>
      </c>
      <c r="K590" s="14" t="str">
        <f>IFERROR(__xludf.DUMMYFUNCTION("ARRAYFORMULA(VLOOKUP(A590,IMPORTRANGE(""https://docs.google.com/spreadsheets/d/1BuTWp7qHGjWhqrnf-OmePP568O4A5Am9ttzvVdP67zw/edit#gid=1603210130"", ""TOURISM!$A$2:$F$2692""), {2,3,4,5,6},0))"),"Europe")</f>
        <v>Europe</v>
      </c>
      <c r="L590" s="14">
        <f>IFERROR(__xludf.DUMMYFUNCTION("""COMPUTED_VALUE"""),6.513E9)</f>
        <v>6513000000</v>
      </c>
      <c r="M590" s="14" t="str">
        <f>IFERROR(__xludf.DUMMYFUNCTION("""COMPUTED_VALUE"""),"Croatia-Europe")</f>
        <v>Croatia-Europe</v>
      </c>
      <c r="N590" s="14" t="str">
        <f>IFERROR(__xludf.DUMMYFUNCTION("""COMPUTED_VALUE"""),"2003")</f>
        <v>2003</v>
      </c>
      <c r="O590" s="14">
        <f>IFERROR(__xludf.DUMMYFUNCTION("""COMPUTED_VALUE"""),7.09E8)</f>
        <v>709000000</v>
      </c>
      <c r="P590" s="15">
        <f>IFERROR(__xludf.DUMMYFUNCTION("ARRAYFORMULA(VLOOKUP(A590,IMPORTRANGE(""https://docs.google.com/spreadsheets/d/1BuTWp7qHGjWhqrnf-OmePP568O4A5Am9ttzvVdP67zw/edit#gid=771602874"" ,""HUMAN RESOURCES!$A$2:$M$2692""), {2,3,4,5,6,7,8,9,10,11,12,13},0))"),0.009)</f>
        <v>0.009</v>
      </c>
      <c r="Q590" s="14">
        <f>IFERROR(__xludf.DUMMYFUNCTION("""COMPUTED_VALUE"""),0.006)</f>
        <v>0.006</v>
      </c>
      <c r="R590" s="14">
        <f>IFERROR(__xludf.DUMMYFUNCTION("""COMPUTED_VALUE"""),78.0)</f>
        <v>78</v>
      </c>
      <c r="S590" s="14">
        <f>IFERROR(__xludf.DUMMYFUNCTION("""COMPUTED_VALUE"""),71.0)</f>
        <v>71</v>
      </c>
      <c r="T590" s="14">
        <f>IFERROR(__xludf.DUMMYFUNCTION("""COMPUTED_VALUE"""),0.164)</f>
        <v>0.164</v>
      </c>
      <c r="U590" s="14">
        <f>IFERROR(__xludf.DUMMYFUNCTION("""COMPUTED_VALUE"""),0.67)</f>
        <v>0.67</v>
      </c>
      <c r="V590" s="14">
        <f>IFERROR(__xludf.DUMMYFUNCTION("""COMPUTED_VALUE"""),0.166)</f>
        <v>0.166</v>
      </c>
      <c r="W590" s="14">
        <f>IFERROR(__xludf.DUMMYFUNCTION("""COMPUTED_VALUE"""),4440000.0)</f>
        <v>4440000</v>
      </c>
      <c r="X590" s="14">
        <f>IFERROR(__xludf.DUMMYFUNCTION("""COMPUTED_VALUE"""),0.56)</f>
        <v>0.56</v>
      </c>
      <c r="Y590" s="14" t="str">
        <f>IFERROR(__xludf.DUMMYFUNCTION("""COMPUTED_VALUE"""),"Croatia-Europe")</f>
        <v>Croatia-Europe</v>
      </c>
      <c r="Z590" s="14" t="str">
        <f>IFERROR(__xludf.DUMMYFUNCTION("""COMPUTED_VALUE"""),"Europe")</f>
        <v>Europe</v>
      </c>
      <c r="AA590" s="14" t="str">
        <f>IFERROR(__xludf.DUMMYFUNCTION("""COMPUTED_VALUE"""),"2003")</f>
        <v>2003</v>
      </c>
      <c r="AB590" s="15" t="str">
        <f>IFERROR(__xludf.DUMMYFUNCTION("ARRAYFORMULA(VLOOKUP(A590,IMPORTRANGE(""https://docs.google.com/spreadsheets/d/1BuTWp7qHGjWhqrnf-OmePP568O4A5Am9ttzvVdP67zw/edit#gid=1931367683"" ,""ENERGY!$A$2:$F$2692""), {2,3,4,5,6},0))"),"Europe")</f>
        <v>Europe</v>
      </c>
      <c r="AC590" s="14" t="str">
        <f>IFERROR(__xludf.DUMMYFUNCTION("""COMPUTED_VALUE"""),"Croatia-Europe")</f>
        <v>Croatia-Europe</v>
      </c>
      <c r="AD590" s="14" t="str">
        <f>IFERROR(__xludf.DUMMYFUNCTION("""COMPUTED_VALUE"""),"2003")</f>
        <v>2003</v>
      </c>
      <c r="AE590" s="14">
        <f>IFERROR(__xludf.DUMMYFUNCTION("""COMPUTED_VALUE"""),8722.0)</f>
        <v>8722</v>
      </c>
      <c r="AF590" s="14">
        <f>IFERROR(__xludf.DUMMYFUNCTION("""COMPUTED_VALUE"""),21555.0)</f>
        <v>21555</v>
      </c>
    </row>
    <row r="591">
      <c r="A591" s="12">
        <v>590.0</v>
      </c>
      <c r="B591" s="12" t="s">
        <v>124</v>
      </c>
      <c r="C591" s="5" t="s">
        <v>75</v>
      </c>
      <c r="D591" s="8"/>
      <c r="E591" s="11">
        <v>29.0</v>
      </c>
      <c r="F591" s="8"/>
      <c r="G591" s="8"/>
      <c r="H591" s="11">
        <v>0.309</v>
      </c>
      <c r="I591" s="11">
        <v>0.644</v>
      </c>
      <c r="J591" s="9" t="s">
        <v>65</v>
      </c>
      <c r="K591" s="14" t="str">
        <f>IFERROR(__xludf.DUMMYFUNCTION("ARRAYFORMULA(VLOOKUP(A591,IMPORTRANGE(""https://docs.google.com/spreadsheets/d/1BuTWp7qHGjWhqrnf-OmePP568O4A5Am9ttzvVdP67zw/edit#gid=1603210130"", ""TOURISM!$A$2:$F$2692""), {2,3,4,5,6},0))"),"Europe")</f>
        <v>Europe</v>
      </c>
      <c r="L591" s="14">
        <f>IFERROR(__xludf.DUMMYFUNCTION("""COMPUTED_VALUE"""),6.945E9)</f>
        <v>6945000000</v>
      </c>
      <c r="M591" s="14" t="str">
        <f>IFERROR(__xludf.DUMMYFUNCTION("""COMPUTED_VALUE"""),"Croatia-Europe")</f>
        <v>Croatia-Europe</v>
      </c>
      <c r="N591" s="14" t="str">
        <f>IFERROR(__xludf.DUMMYFUNCTION("""COMPUTED_VALUE"""),"2004")</f>
        <v>2004</v>
      </c>
      <c r="O591" s="14">
        <f>IFERROR(__xludf.DUMMYFUNCTION("""COMPUTED_VALUE"""),8.81E8)</f>
        <v>881000000</v>
      </c>
      <c r="P591" s="15">
        <f>IFERROR(__xludf.DUMMYFUNCTION("ARRAYFORMULA(VLOOKUP(A591,IMPORTRANGE(""https://docs.google.com/spreadsheets/d/1BuTWp7qHGjWhqrnf-OmePP568O4A5Am9ttzvVdP67zw/edit#gid=771602874"" ,""HUMAN RESOURCES!$A$2:$M$2692""), {2,3,4,5,6,7,8,9,10,11,12,13},0))"),0.009)</f>
        <v>0.009</v>
      </c>
      <c r="Q591" s="14">
        <f>IFERROR(__xludf.DUMMYFUNCTION("""COMPUTED_VALUE"""),0.006)</f>
        <v>0.006</v>
      </c>
      <c r="R591" s="14">
        <f>IFERROR(__xludf.DUMMYFUNCTION("""COMPUTED_VALUE"""),79.0)</f>
        <v>79</v>
      </c>
      <c r="S591" s="14">
        <f>IFERROR(__xludf.DUMMYFUNCTION("""COMPUTED_VALUE"""),72.0)</f>
        <v>72</v>
      </c>
      <c r="T591" s="14">
        <f>IFERROR(__xludf.DUMMYFUNCTION("""COMPUTED_VALUE"""),0.162)</f>
        <v>0.162</v>
      </c>
      <c r="U591" s="14">
        <f>IFERROR(__xludf.DUMMYFUNCTION("""COMPUTED_VALUE"""),0.67)</f>
        <v>0.67</v>
      </c>
      <c r="V591" s="14">
        <f>IFERROR(__xludf.DUMMYFUNCTION("""COMPUTED_VALUE"""),0.169)</f>
        <v>0.169</v>
      </c>
      <c r="W591" s="14">
        <f>IFERROR(__xludf.DUMMYFUNCTION("""COMPUTED_VALUE"""),4439000.0)</f>
        <v>4439000</v>
      </c>
      <c r="X591" s="14">
        <f>IFERROR(__xludf.DUMMYFUNCTION("""COMPUTED_VALUE"""),0.562)</f>
        <v>0.562</v>
      </c>
      <c r="Y591" s="14" t="str">
        <f>IFERROR(__xludf.DUMMYFUNCTION("""COMPUTED_VALUE"""),"Croatia-Europe")</f>
        <v>Croatia-Europe</v>
      </c>
      <c r="Z591" s="14" t="str">
        <f>IFERROR(__xludf.DUMMYFUNCTION("""COMPUTED_VALUE"""),"Europe")</f>
        <v>Europe</v>
      </c>
      <c r="AA591" s="14" t="str">
        <f>IFERROR(__xludf.DUMMYFUNCTION("""COMPUTED_VALUE"""),"2004")</f>
        <v>2004</v>
      </c>
      <c r="AB591" s="15" t="str">
        <f>IFERROR(__xludf.DUMMYFUNCTION("ARRAYFORMULA(VLOOKUP(A591,IMPORTRANGE(""https://docs.google.com/spreadsheets/d/1BuTWp7qHGjWhqrnf-OmePP568O4A5Am9ttzvVdP67zw/edit#gid=1931367683"" ,""ENERGY!$A$2:$F$2692""), {2,3,4,5,6},0))"),"Europe")</f>
        <v>Europe</v>
      </c>
      <c r="AC591" s="14" t="str">
        <f>IFERROR(__xludf.DUMMYFUNCTION("""COMPUTED_VALUE"""),"Croatia-Europe")</f>
        <v>Croatia-Europe</v>
      </c>
      <c r="AD591" s="14" t="str">
        <f>IFERROR(__xludf.DUMMYFUNCTION("""COMPUTED_VALUE"""),"2004")</f>
        <v>2004</v>
      </c>
      <c r="AE591" s="14">
        <f>IFERROR(__xludf.DUMMYFUNCTION("""COMPUTED_VALUE"""),9084.0)</f>
        <v>9084</v>
      </c>
      <c r="AF591" s="14">
        <f>IFERROR(__xludf.DUMMYFUNCTION("""COMPUTED_VALUE"""),23366.0)</f>
        <v>23366</v>
      </c>
    </row>
    <row r="592">
      <c r="A592" s="12">
        <v>591.0</v>
      </c>
      <c r="B592" s="12" t="s">
        <v>124</v>
      </c>
      <c r="C592" s="5" t="s">
        <v>75</v>
      </c>
      <c r="D592" s="11">
        <v>0.214</v>
      </c>
      <c r="E592" s="11">
        <v>29.0</v>
      </c>
      <c r="F592" s="8"/>
      <c r="G592" s="11">
        <v>232.0</v>
      </c>
      <c r="H592" s="11">
        <v>0.331</v>
      </c>
      <c r="I592" s="11">
        <v>0.832</v>
      </c>
      <c r="J592" s="9" t="s">
        <v>66</v>
      </c>
      <c r="K592" s="14" t="str">
        <f>IFERROR(__xludf.DUMMYFUNCTION("ARRAYFORMULA(VLOOKUP(A592,IMPORTRANGE(""https://docs.google.com/spreadsheets/d/1BuTWp7qHGjWhqrnf-OmePP568O4A5Am9ttzvVdP67zw/edit#gid=1603210130"", ""TOURISM!$A$2:$F$2692""), {2,3,4,5,6},0))"),"Europe")</f>
        <v>Europe</v>
      </c>
      <c r="L592" s="14">
        <f>IFERROR(__xludf.DUMMYFUNCTION("""COMPUTED_VALUE"""),7.625E9)</f>
        <v>7625000000</v>
      </c>
      <c r="M592" s="14" t="str">
        <f>IFERROR(__xludf.DUMMYFUNCTION("""COMPUTED_VALUE"""),"Croatia-Europe")</f>
        <v>Croatia-Europe</v>
      </c>
      <c r="N592" s="14" t="str">
        <f>IFERROR(__xludf.DUMMYFUNCTION("""COMPUTED_VALUE"""),"2005")</f>
        <v>2005</v>
      </c>
      <c r="O592" s="14">
        <f>IFERROR(__xludf.DUMMYFUNCTION("""COMPUTED_VALUE"""),7.86E8)</f>
        <v>786000000</v>
      </c>
      <c r="P592" s="15">
        <f>IFERROR(__xludf.DUMMYFUNCTION("ARRAYFORMULA(VLOOKUP(A592,IMPORTRANGE(""https://docs.google.com/spreadsheets/d/1BuTWp7qHGjWhqrnf-OmePP568O4A5Am9ttzvVdP67zw/edit#gid=771602874"" ,""HUMAN RESOURCES!$A$2:$M$2692""), {2,3,4,5,6,7,8,9,10,11,12,13},0))"),0.01)</f>
        <v>0.01</v>
      </c>
      <c r="Q592" s="14">
        <f>IFERROR(__xludf.DUMMYFUNCTION("""COMPUTED_VALUE"""),0.006)</f>
        <v>0.006</v>
      </c>
      <c r="R592" s="14">
        <f>IFERROR(__xludf.DUMMYFUNCTION("""COMPUTED_VALUE"""),79.0)</f>
        <v>79</v>
      </c>
      <c r="S592" s="14">
        <f>IFERROR(__xludf.DUMMYFUNCTION("""COMPUTED_VALUE"""),72.0)</f>
        <v>72</v>
      </c>
      <c r="T592" s="14">
        <f>IFERROR(__xludf.DUMMYFUNCTION("""COMPUTED_VALUE"""),0.16)</f>
        <v>0.16</v>
      </c>
      <c r="U592" s="14">
        <f>IFERROR(__xludf.DUMMYFUNCTION("""COMPUTED_VALUE"""),0.67)</f>
        <v>0.67</v>
      </c>
      <c r="V592" s="14">
        <f>IFERROR(__xludf.DUMMYFUNCTION("""COMPUTED_VALUE"""),0.171)</f>
        <v>0.171</v>
      </c>
      <c r="W592" s="14">
        <f>IFERROR(__xludf.DUMMYFUNCTION("""COMPUTED_VALUE"""),4442000.0)</f>
        <v>4442000</v>
      </c>
      <c r="X592" s="14">
        <f>IFERROR(__xludf.DUMMYFUNCTION("""COMPUTED_VALUE"""),0.564)</f>
        <v>0.564</v>
      </c>
      <c r="Y592" s="14" t="str">
        <f>IFERROR(__xludf.DUMMYFUNCTION("""COMPUTED_VALUE"""),"Croatia-Europe")</f>
        <v>Croatia-Europe</v>
      </c>
      <c r="Z592" s="14" t="str">
        <f>IFERROR(__xludf.DUMMYFUNCTION("""COMPUTED_VALUE"""),"Europe")</f>
        <v>Europe</v>
      </c>
      <c r="AA592" s="14" t="str">
        <f>IFERROR(__xludf.DUMMYFUNCTION("""COMPUTED_VALUE"""),"2005")</f>
        <v>2005</v>
      </c>
      <c r="AB592" s="15" t="str">
        <f>IFERROR(__xludf.DUMMYFUNCTION("ARRAYFORMULA(VLOOKUP(A592,IMPORTRANGE(""https://docs.google.com/spreadsheets/d/1BuTWp7qHGjWhqrnf-OmePP568O4A5Am9ttzvVdP67zw/edit#gid=1931367683"" ,""ENERGY!$A$2:$F$2692""), {2,3,4,5,6},0))"),"Europe")</f>
        <v>Europe</v>
      </c>
      <c r="AC592" s="14" t="str">
        <f>IFERROR(__xludf.DUMMYFUNCTION("""COMPUTED_VALUE"""),"Croatia-Europe")</f>
        <v>Croatia-Europe</v>
      </c>
      <c r="AD592" s="14" t="str">
        <f>IFERROR(__xludf.DUMMYFUNCTION("""COMPUTED_VALUE"""),"2006")</f>
        <v>2006</v>
      </c>
      <c r="AE592" s="14">
        <f>IFERROR(__xludf.DUMMYFUNCTION("""COMPUTED_VALUE"""),9325.0)</f>
        <v>9325</v>
      </c>
      <c r="AF592" s="14">
        <f>IFERROR(__xludf.DUMMYFUNCTION("""COMPUTED_VALUE"""),24389.0)</f>
        <v>24389</v>
      </c>
    </row>
    <row r="593">
      <c r="A593" s="12">
        <v>592.0</v>
      </c>
      <c r="B593" s="12" t="s">
        <v>124</v>
      </c>
      <c r="C593" s="5" t="s">
        <v>75</v>
      </c>
      <c r="D593" s="11">
        <v>0.214</v>
      </c>
      <c r="E593" s="11">
        <v>25.0</v>
      </c>
      <c r="F593" s="8"/>
      <c r="G593" s="11">
        <v>196.0</v>
      </c>
      <c r="H593" s="11">
        <v>0.38</v>
      </c>
      <c r="I593" s="11">
        <v>1.004</v>
      </c>
      <c r="J593" s="9" t="s">
        <v>67</v>
      </c>
      <c r="K593" s="14" t="str">
        <f>IFERROR(__xludf.DUMMYFUNCTION("ARRAYFORMULA(VLOOKUP(A593,IMPORTRANGE(""https://docs.google.com/spreadsheets/d/1BuTWp7qHGjWhqrnf-OmePP568O4A5Am9ttzvVdP67zw/edit#gid=1603210130"", ""TOURISM!$A$2:$F$2692""), {2,3,4,5,6},0))"),"Europe")</f>
        <v>Europe</v>
      </c>
      <c r="L593" s="14">
        <f>IFERROR(__xludf.DUMMYFUNCTION("""COMPUTED_VALUE"""),8.296E9)</f>
        <v>8296000000</v>
      </c>
      <c r="M593" s="14" t="str">
        <f>IFERROR(__xludf.DUMMYFUNCTION("""COMPUTED_VALUE"""),"Croatia-Europe")</f>
        <v>Croatia-Europe</v>
      </c>
      <c r="N593" s="14" t="str">
        <f>IFERROR(__xludf.DUMMYFUNCTION("""COMPUTED_VALUE"""),"2006")</f>
        <v>2006</v>
      </c>
      <c r="O593" s="14">
        <f>IFERROR(__xludf.DUMMYFUNCTION("""COMPUTED_VALUE"""),7.7E8)</f>
        <v>770000000</v>
      </c>
      <c r="P593" s="15">
        <f>IFERROR(__xludf.DUMMYFUNCTION("ARRAYFORMULA(VLOOKUP(A593,IMPORTRANGE(""https://docs.google.com/spreadsheets/d/1BuTWp7qHGjWhqrnf-OmePP568O4A5Am9ttzvVdP67zw/edit#gid=771602874"" ,""HUMAN RESOURCES!$A$2:$M$2692""), {2,3,4,5,6,7,8,9,10,11,12,13},0))"),0.009)</f>
        <v>0.009</v>
      </c>
      <c r="Q593" s="14">
        <f>IFERROR(__xludf.DUMMYFUNCTION("""COMPUTED_VALUE"""),0.006)</f>
        <v>0.006</v>
      </c>
      <c r="R593" s="14">
        <f>IFERROR(__xludf.DUMMYFUNCTION("""COMPUTED_VALUE"""),79.0)</f>
        <v>79</v>
      </c>
      <c r="S593" s="14">
        <f>IFERROR(__xludf.DUMMYFUNCTION("""COMPUTED_VALUE"""),73.0)</f>
        <v>73</v>
      </c>
      <c r="T593" s="14">
        <f>IFERROR(__xludf.DUMMYFUNCTION("""COMPUTED_VALUE"""),0.158)</f>
        <v>0.158</v>
      </c>
      <c r="U593" s="14">
        <f>IFERROR(__xludf.DUMMYFUNCTION("""COMPUTED_VALUE"""),0.67)</f>
        <v>0.67</v>
      </c>
      <c r="V593" s="14">
        <f>IFERROR(__xludf.DUMMYFUNCTION("""COMPUTED_VALUE"""),0.172)</f>
        <v>0.172</v>
      </c>
      <c r="W593" s="14">
        <f>IFERROR(__xludf.DUMMYFUNCTION("""COMPUTED_VALUE"""),4440000.0)</f>
        <v>4440000</v>
      </c>
      <c r="X593" s="14">
        <f>IFERROR(__xludf.DUMMYFUNCTION("""COMPUTED_VALUE"""),0.566)</f>
        <v>0.566</v>
      </c>
      <c r="Y593" s="14" t="str">
        <f>IFERROR(__xludf.DUMMYFUNCTION("""COMPUTED_VALUE"""),"Croatia-Europe")</f>
        <v>Croatia-Europe</v>
      </c>
      <c r="Z593" s="14" t="str">
        <f>IFERROR(__xludf.DUMMYFUNCTION("""COMPUTED_VALUE"""),"Europe")</f>
        <v>Europe</v>
      </c>
      <c r="AA593" s="14" t="str">
        <f>IFERROR(__xludf.DUMMYFUNCTION("""COMPUTED_VALUE"""),"2006")</f>
        <v>2006</v>
      </c>
      <c r="AB593" s="15" t="str">
        <f>IFERROR(__xludf.DUMMYFUNCTION("ARRAYFORMULA(VLOOKUP(A593,IMPORTRANGE(""https://docs.google.com/spreadsheets/d/1BuTWp7qHGjWhqrnf-OmePP568O4A5Am9ttzvVdP67zw/edit#gid=1931367683"" ,""ENERGY!$A$2:$F$2692""), {2,3,4,5,6},0))"),"Europe")</f>
        <v>Europe</v>
      </c>
      <c r="AC593" s="14" t="str">
        <f>IFERROR(__xludf.DUMMYFUNCTION("""COMPUTED_VALUE"""),"Croatia-Europe")</f>
        <v>Croatia-Europe</v>
      </c>
      <c r="AD593" s="14" t="str">
        <f>IFERROR(__xludf.DUMMYFUNCTION("""COMPUTED_VALUE"""),"2010")</f>
        <v>2010</v>
      </c>
      <c r="AE593" s="14">
        <f>IFERROR(__xludf.DUMMYFUNCTION("""COMPUTED_VALUE"""),8944.0)</f>
        <v>8944</v>
      </c>
      <c r="AF593" s="14">
        <f>IFERROR(__xludf.DUMMYFUNCTION("""COMPUTED_VALUE"""),23175.0)</f>
        <v>23175</v>
      </c>
    </row>
    <row r="594">
      <c r="A594" s="12">
        <v>593.0</v>
      </c>
      <c r="B594" s="12" t="s">
        <v>124</v>
      </c>
      <c r="C594" s="5" t="s">
        <v>75</v>
      </c>
      <c r="D594" s="11">
        <v>0.214</v>
      </c>
      <c r="E594" s="11">
        <v>22.0</v>
      </c>
      <c r="F594" s="8"/>
      <c r="G594" s="11">
        <v>196.0</v>
      </c>
      <c r="H594" s="11">
        <v>0.414</v>
      </c>
      <c r="I594" s="11">
        <v>1.152</v>
      </c>
      <c r="J594" s="9" t="s">
        <v>68</v>
      </c>
      <c r="K594" s="14" t="str">
        <f>IFERROR(__xludf.DUMMYFUNCTION("ARRAYFORMULA(VLOOKUP(A594,IMPORTRANGE(""https://docs.google.com/spreadsheets/d/1BuTWp7qHGjWhqrnf-OmePP568O4A5Am9ttzvVdP67zw/edit#gid=1603210130"", ""TOURISM!$A$2:$F$2692""), {2,3,4,5,6},0))"),"Europe")</f>
        <v>Europe</v>
      </c>
      <c r="L594" s="14">
        <f>IFERROR(__xludf.DUMMYFUNCTION("""COMPUTED_VALUE"""),9.601E9)</f>
        <v>9601000000</v>
      </c>
      <c r="M594" s="14" t="str">
        <f>IFERROR(__xludf.DUMMYFUNCTION("""COMPUTED_VALUE"""),"Croatia-Europe")</f>
        <v>Croatia-Europe</v>
      </c>
      <c r="N594" s="14" t="str">
        <f>IFERROR(__xludf.DUMMYFUNCTION("""COMPUTED_VALUE"""),"2007")</f>
        <v>2007</v>
      </c>
      <c r="O594" s="14">
        <f>IFERROR(__xludf.DUMMYFUNCTION("""COMPUTED_VALUE"""),1.025E9)</f>
        <v>1025000000</v>
      </c>
      <c r="P594" s="15">
        <f>IFERROR(__xludf.DUMMYFUNCTION("ARRAYFORMULA(VLOOKUP(A594,IMPORTRANGE(""https://docs.google.com/spreadsheets/d/1BuTWp7qHGjWhqrnf-OmePP568O4A5Am9ttzvVdP67zw/edit#gid=771602874"" ,""HUMAN RESOURCES!$A$2:$M$2692""), {2,3,4,5,6,7,8,9,10,11,12,13},0))"),0.009)</f>
        <v>0.009</v>
      </c>
      <c r="Q594" s="14">
        <f>IFERROR(__xludf.DUMMYFUNCTION("""COMPUTED_VALUE"""),0.005)</f>
        <v>0.005</v>
      </c>
      <c r="R594" s="14">
        <f>IFERROR(__xludf.DUMMYFUNCTION("""COMPUTED_VALUE"""),79.0)</f>
        <v>79</v>
      </c>
      <c r="S594" s="14">
        <f>IFERROR(__xludf.DUMMYFUNCTION("""COMPUTED_VALUE"""),72.0)</f>
        <v>72</v>
      </c>
      <c r="T594" s="14">
        <f>IFERROR(__xludf.DUMMYFUNCTION("""COMPUTED_VALUE"""),0.157)</f>
        <v>0.157</v>
      </c>
      <c r="U594" s="14">
        <f>IFERROR(__xludf.DUMMYFUNCTION("""COMPUTED_VALUE"""),0.67)</f>
        <v>0.67</v>
      </c>
      <c r="V594" s="14">
        <f>IFERROR(__xludf.DUMMYFUNCTION("""COMPUTED_VALUE"""),0.173)</f>
        <v>0.173</v>
      </c>
      <c r="W594" s="14">
        <f>IFERROR(__xludf.DUMMYFUNCTION("""COMPUTED_VALUE"""),4436000.0)</f>
        <v>4436000</v>
      </c>
      <c r="X594" s="14">
        <f>IFERROR(__xludf.DUMMYFUNCTION("""COMPUTED_VALUE"""),0.568)</f>
        <v>0.568</v>
      </c>
      <c r="Y594" s="14" t="str">
        <f>IFERROR(__xludf.DUMMYFUNCTION("""COMPUTED_VALUE"""),"Croatia-Europe")</f>
        <v>Croatia-Europe</v>
      </c>
      <c r="Z594" s="14" t="str">
        <f>IFERROR(__xludf.DUMMYFUNCTION("""COMPUTED_VALUE"""),"Europe")</f>
        <v>Europe</v>
      </c>
      <c r="AA594" s="14" t="str">
        <f>IFERROR(__xludf.DUMMYFUNCTION("""COMPUTED_VALUE"""),"2007")</f>
        <v>2007</v>
      </c>
      <c r="AB594" s="15" t="str">
        <f>IFERROR(__xludf.DUMMYFUNCTION("ARRAYFORMULA(VLOOKUP(A594,IMPORTRANGE(""https://docs.google.com/spreadsheets/d/1BuTWp7qHGjWhqrnf-OmePP568O4A5Am9ttzvVdP67zw/edit#gid=1931367683"" ,""ENERGY!$A$2:$F$2692""), {2,3,4,5,6},0))"),"Europe")</f>
        <v>Europe</v>
      </c>
      <c r="AC594" s="14" t="str">
        <f>IFERROR(__xludf.DUMMYFUNCTION("""COMPUTED_VALUE"""),"Croatia-Europe")</f>
        <v>Croatia-Europe</v>
      </c>
      <c r="AD594" s="14" t="str">
        <f>IFERROR(__xludf.DUMMYFUNCTION("""COMPUTED_VALUE"""),"2007")</f>
        <v>2007</v>
      </c>
      <c r="AE594" s="14">
        <f>IFERROR(__xludf.DUMMYFUNCTION("""COMPUTED_VALUE"""),8905.0)</f>
        <v>8905</v>
      </c>
      <c r="AF594" s="14">
        <f>IFERROR(__xludf.DUMMYFUNCTION("""COMPUTED_VALUE"""),23106.0)</f>
        <v>23106</v>
      </c>
    </row>
    <row r="595">
      <c r="A595" s="12">
        <v>594.0</v>
      </c>
      <c r="B595" s="12" t="s">
        <v>124</v>
      </c>
      <c r="C595" s="5" t="s">
        <v>75</v>
      </c>
      <c r="D595" s="11">
        <v>0.214</v>
      </c>
      <c r="E595" s="11">
        <v>22.0</v>
      </c>
      <c r="F595" s="8"/>
      <c r="G595" s="11">
        <v>196.0</v>
      </c>
      <c r="H595" s="11">
        <v>0.442</v>
      </c>
      <c r="I595" s="11">
        <v>1.045</v>
      </c>
      <c r="J595" s="9" t="s">
        <v>69</v>
      </c>
      <c r="K595" s="14" t="str">
        <f>IFERROR(__xludf.DUMMYFUNCTION("ARRAYFORMULA(VLOOKUP(A595,IMPORTRANGE(""https://docs.google.com/spreadsheets/d/1BuTWp7qHGjWhqrnf-OmePP568O4A5Am9ttzvVdP67zw/edit#gid=1603210130"", ""TOURISM!$A$2:$F$2692""), {2,3,4,5,6},0))"),"Europe")</f>
        <v>Europe</v>
      </c>
      <c r="L595" s="14">
        <f>IFERROR(__xludf.DUMMYFUNCTION("""COMPUTED_VALUE"""),1.1681E10)</f>
        <v>11681000000</v>
      </c>
      <c r="M595" s="14" t="str">
        <f>IFERROR(__xludf.DUMMYFUNCTION("""COMPUTED_VALUE"""),"Croatia-Europe")</f>
        <v>Croatia-Europe</v>
      </c>
      <c r="N595" s="14" t="str">
        <f>IFERROR(__xludf.DUMMYFUNCTION("""COMPUTED_VALUE"""),"2008")</f>
        <v>2008</v>
      </c>
      <c r="O595" s="14">
        <f>IFERROR(__xludf.DUMMYFUNCTION("""COMPUTED_VALUE"""),1.156E9)</f>
        <v>1156000000</v>
      </c>
      <c r="P595" s="15">
        <f>IFERROR(__xludf.DUMMYFUNCTION("ARRAYFORMULA(VLOOKUP(A595,IMPORTRANGE(""https://docs.google.com/spreadsheets/d/1BuTWp7qHGjWhqrnf-OmePP568O4A5Am9ttzvVdP67zw/edit#gid=771602874"" ,""HUMAN RESOURCES!$A$2:$M$2692""), {2,3,4,5,6,7,8,9,10,11,12,13},0))"),0.01)</f>
        <v>0.01</v>
      </c>
      <c r="Q595" s="14">
        <f>IFERROR(__xludf.DUMMYFUNCTION("""COMPUTED_VALUE"""),0.005)</f>
        <v>0.005</v>
      </c>
      <c r="R595" s="14">
        <f>IFERROR(__xludf.DUMMYFUNCTION("""COMPUTED_VALUE"""),80.0)</f>
        <v>80</v>
      </c>
      <c r="S595" s="14">
        <f>IFERROR(__xludf.DUMMYFUNCTION("""COMPUTED_VALUE"""),72.0)</f>
        <v>72</v>
      </c>
      <c r="T595" s="14">
        <f>IFERROR(__xludf.DUMMYFUNCTION("""COMPUTED_VALUE"""),0.156)</f>
        <v>0.156</v>
      </c>
      <c r="U595" s="14">
        <f>IFERROR(__xludf.DUMMYFUNCTION("""COMPUTED_VALUE"""),0.671)</f>
        <v>0.671</v>
      </c>
      <c r="V595" s="14">
        <f>IFERROR(__xludf.DUMMYFUNCTION("""COMPUTED_VALUE"""),0.173)</f>
        <v>0.173</v>
      </c>
      <c r="W595" s="14">
        <f>IFERROR(__xludf.DUMMYFUNCTION("""COMPUTED_VALUE"""),4434508.0)</f>
        <v>4434508</v>
      </c>
      <c r="X595" s="14">
        <f>IFERROR(__xludf.DUMMYFUNCTION("""COMPUTED_VALUE"""),0.57)</f>
        <v>0.57</v>
      </c>
      <c r="Y595" s="14" t="str">
        <f>IFERROR(__xludf.DUMMYFUNCTION("""COMPUTED_VALUE"""),"Croatia-Europe")</f>
        <v>Croatia-Europe</v>
      </c>
      <c r="Z595" s="14" t="str">
        <f>IFERROR(__xludf.DUMMYFUNCTION("""COMPUTED_VALUE"""),"Europe")</f>
        <v>Europe</v>
      </c>
      <c r="AA595" s="14" t="str">
        <f>IFERROR(__xludf.DUMMYFUNCTION("""COMPUTED_VALUE"""),"2008")</f>
        <v>2008</v>
      </c>
      <c r="AB595" s="15" t="str">
        <f>IFERROR(__xludf.DUMMYFUNCTION("ARRAYFORMULA(VLOOKUP(A595,IMPORTRANGE(""https://docs.google.com/spreadsheets/d/1BuTWp7qHGjWhqrnf-OmePP568O4A5Am9ttzvVdP67zw/edit#gid=1931367683"" ,""ENERGY!$A$2:$F$2692""), {2,3,4,5,6},0))"),"Europe")</f>
        <v>Europe</v>
      </c>
      <c r="AC595" s="14" t="str">
        <f>IFERROR(__xludf.DUMMYFUNCTION("""COMPUTED_VALUE"""),"Croatia-Europe")</f>
        <v>Croatia-Europe</v>
      </c>
      <c r="AD595" s="14" t="str">
        <f>IFERROR(__xludf.DUMMYFUNCTION("""COMPUTED_VALUE"""),"2005")</f>
        <v>2005</v>
      </c>
      <c r="AE595" s="14">
        <f>IFERROR(__xludf.DUMMYFUNCTION("""COMPUTED_VALUE"""),8831.0)</f>
        <v>8831</v>
      </c>
      <c r="AF595" s="14">
        <f>IFERROR(__xludf.DUMMYFUNCTION("""COMPUTED_VALUE"""),23047.0)</f>
        <v>23047</v>
      </c>
    </row>
    <row r="596">
      <c r="A596" s="12">
        <v>595.0</v>
      </c>
      <c r="B596" s="12" t="s">
        <v>124</v>
      </c>
      <c r="C596" s="5" t="s">
        <v>75</v>
      </c>
      <c r="D596" s="11">
        <v>0.214</v>
      </c>
      <c r="E596" s="11">
        <v>22.0</v>
      </c>
      <c r="F596" s="8"/>
      <c r="G596" s="11">
        <v>196.0</v>
      </c>
      <c r="H596" s="11">
        <v>0.506</v>
      </c>
      <c r="I596" s="11">
        <v>1.075</v>
      </c>
      <c r="J596" s="9" t="s">
        <v>70</v>
      </c>
      <c r="K596" s="14" t="str">
        <f>IFERROR(__xludf.DUMMYFUNCTION("ARRAYFORMULA(VLOOKUP(A596,IMPORTRANGE(""https://docs.google.com/spreadsheets/d/1BuTWp7qHGjWhqrnf-OmePP568O4A5Am9ttzvVdP67zw/edit#gid=1603210130"", ""TOURISM!$A$2:$F$2692""), {2,3,4,5,6},0))"),"Europe")</f>
        <v>Europe</v>
      </c>
      <c r="L596" s="14">
        <f>IFERROR(__xludf.DUMMYFUNCTION("""COMPUTED_VALUE"""),9.308E9)</f>
        <v>9308000000</v>
      </c>
      <c r="M596" s="14" t="str">
        <f>IFERROR(__xludf.DUMMYFUNCTION("""COMPUTED_VALUE"""),"Croatia-Europe")</f>
        <v>Croatia-Europe</v>
      </c>
      <c r="N596" s="14" t="str">
        <f>IFERROR(__xludf.DUMMYFUNCTION("""COMPUTED_VALUE"""),"2009")</f>
        <v>2009</v>
      </c>
      <c r="O596" s="14">
        <f>IFERROR(__xludf.DUMMYFUNCTION("""COMPUTED_VALUE"""),1.041E9)</f>
        <v>1041000000</v>
      </c>
      <c r="P596" s="15">
        <f>IFERROR(__xludf.DUMMYFUNCTION("ARRAYFORMULA(VLOOKUP(A596,IMPORTRANGE(""https://docs.google.com/spreadsheets/d/1BuTWp7qHGjWhqrnf-OmePP568O4A5Am9ttzvVdP67zw/edit#gid=771602874"" ,""HUMAN RESOURCES!$A$2:$M$2692""), {2,3,4,5,6,7,8,9,10,11,12,13},0))"),0.01)</f>
        <v>0.01</v>
      </c>
      <c r="Q596" s="14">
        <f>IFERROR(__xludf.DUMMYFUNCTION("""COMPUTED_VALUE"""),0.005)</f>
        <v>0.005</v>
      </c>
      <c r="R596" s="14">
        <f>IFERROR(__xludf.DUMMYFUNCTION("""COMPUTED_VALUE"""),80.0)</f>
        <v>80</v>
      </c>
      <c r="S596" s="14">
        <f>IFERROR(__xludf.DUMMYFUNCTION("""COMPUTED_VALUE"""),73.0)</f>
        <v>73</v>
      </c>
      <c r="T596" s="14">
        <f>IFERROR(__xludf.DUMMYFUNCTION("""COMPUTED_VALUE"""),0.154)</f>
        <v>0.154</v>
      </c>
      <c r="U596" s="14">
        <f>IFERROR(__xludf.DUMMYFUNCTION("""COMPUTED_VALUE"""),0.672)</f>
        <v>0.672</v>
      </c>
      <c r="V596" s="14">
        <f>IFERROR(__xludf.DUMMYFUNCTION("""COMPUTED_VALUE"""),0.174)</f>
        <v>0.174</v>
      </c>
      <c r="W596" s="14">
        <f>IFERROR(__xludf.DUMMYFUNCTION("""COMPUTED_VALUE"""),4429078.0)</f>
        <v>4429078</v>
      </c>
      <c r="X596" s="14">
        <f>IFERROR(__xludf.DUMMYFUNCTION("""COMPUTED_VALUE"""),0.573)</f>
        <v>0.573</v>
      </c>
      <c r="Y596" s="14" t="str">
        <f>IFERROR(__xludf.DUMMYFUNCTION("""COMPUTED_VALUE"""),"Croatia-Europe")</f>
        <v>Croatia-Europe</v>
      </c>
      <c r="Z596" s="14" t="str">
        <f>IFERROR(__xludf.DUMMYFUNCTION("""COMPUTED_VALUE"""),"Europe")</f>
        <v>Europe</v>
      </c>
      <c r="AA596" s="14" t="str">
        <f>IFERROR(__xludf.DUMMYFUNCTION("""COMPUTED_VALUE"""),"2009")</f>
        <v>2009</v>
      </c>
      <c r="AB596" s="15" t="str">
        <f>IFERROR(__xludf.DUMMYFUNCTION("ARRAYFORMULA(VLOOKUP(A596,IMPORTRANGE(""https://docs.google.com/spreadsheets/d/1BuTWp7qHGjWhqrnf-OmePP568O4A5Am9ttzvVdP67zw/edit#gid=1931367683"" ,""ENERGY!$A$2:$F$2692""), {2,3,4,5,6},0))"),"Europe")</f>
        <v>Europe</v>
      </c>
      <c r="AC596" s="14" t="str">
        <f>IFERROR(__xludf.DUMMYFUNCTION("""COMPUTED_VALUE"""),"Croatia-Europe")</f>
        <v>Croatia-Europe</v>
      </c>
      <c r="AD596" s="14" t="str">
        <f>IFERROR(__xludf.DUMMYFUNCTION("""COMPUTED_VALUE"""),"2009")</f>
        <v>2009</v>
      </c>
      <c r="AE596" s="14">
        <f>IFERROR(__xludf.DUMMYFUNCTION("""COMPUTED_VALUE"""),8812.0)</f>
        <v>8812</v>
      </c>
      <c r="AF596" s="14">
        <f>IFERROR(__xludf.DUMMYFUNCTION("""COMPUTED_VALUE"""),23542.0)</f>
        <v>23542</v>
      </c>
    </row>
    <row r="597">
      <c r="A597" s="12">
        <v>596.0</v>
      </c>
      <c r="B597" s="12" t="s">
        <v>124</v>
      </c>
      <c r="C597" s="5" t="s">
        <v>75</v>
      </c>
      <c r="D597" s="11">
        <v>0.221</v>
      </c>
      <c r="E597" s="11">
        <v>9.0</v>
      </c>
      <c r="F597" s="8"/>
      <c r="G597" s="11">
        <v>196.0</v>
      </c>
      <c r="H597" s="11">
        <v>0.566</v>
      </c>
      <c r="I597" s="11">
        <v>1.136</v>
      </c>
      <c r="J597" s="9" t="s">
        <v>71</v>
      </c>
      <c r="K597" s="14" t="str">
        <f>IFERROR(__xludf.DUMMYFUNCTION("ARRAYFORMULA(VLOOKUP(A597,IMPORTRANGE(""https://docs.google.com/spreadsheets/d/1BuTWp7qHGjWhqrnf-OmePP568O4A5Am9ttzvVdP67zw/edit#gid=1603210130"", ""TOURISM!$A$2:$F$2692""), {2,3,4,5,6},0))"),"Europe")</f>
        <v>Europe</v>
      </c>
      <c r="L597" s="14">
        <f>IFERROR(__xludf.DUMMYFUNCTION("""COMPUTED_VALUE"""),8.255E9)</f>
        <v>8255000000</v>
      </c>
      <c r="M597" s="14" t="str">
        <f>IFERROR(__xludf.DUMMYFUNCTION("""COMPUTED_VALUE"""),"Croatia-Europe")</f>
        <v>Croatia-Europe</v>
      </c>
      <c r="N597" s="14" t="str">
        <f>IFERROR(__xludf.DUMMYFUNCTION("""COMPUTED_VALUE"""),"2010")</f>
        <v>2010</v>
      </c>
      <c r="O597" s="14">
        <f>IFERROR(__xludf.DUMMYFUNCTION("""COMPUTED_VALUE"""),8.59E8)</f>
        <v>859000000</v>
      </c>
      <c r="P597" s="15">
        <f>IFERROR(__xludf.DUMMYFUNCTION("ARRAYFORMULA(VLOOKUP(A597,IMPORTRANGE(""https://docs.google.com/spreadsheets/d/1BuTWp7qHGjWhqrnf-OmePP568O4A5Am9ttzvVdP67zw/edit#gid=771602874"" ,""HUMAN RESOURCES!$A$2:$M$2692""), {2,3,4,5,6,7,8,9,10,11,12,13},0))"),0.01)</f>
        <v>0.01</v>
      </c>
      <c r="Q597" s="14">
        <f>IFERROR(__xludf.DUMMYFUNCTION("""COMPUTED_VALUE"""),0.005)</f>
        <v>0.005</v>
      </c>
      <c r="R597" s="14">
        <f>IFERROR(__xludf.DUMMYFUNCTION("""COMPUTED_VALUE"""),80.0)</f>
        <v>80</v>
      </c>
      <c r="S597" s="14">
        <f>IFERROR(__xludf.DUMMYFUNCTION("""COMPUTED_VALUE"""),74.0)</f>
        <v>74</v>
      </c>
      <c r="T597" s="14">
        <f>IFERROR(__xludf.DUMMYFUNCTION("""COMPUTED_VALUE"""),0.153)</f>
        <v>0.153</v>
      </c>
      <c r="U597" s="14">
        <f>IFERROR(__xludf.DUMMYFUNCTION("""COMPUTED_VALUE"""),0.672)</f>
        <v>0.672</v>
      </c>
      <c r="V597" s="14">
        <f>IFERROR(__xludf.DUMMYFUNCTION("""COMPUTED_VALUE"""),0.175)</f>
        <v>0.175</v>
      </c>
      <c r="W597" s="14">
        <f>IFERROR(__xludf.DUMMYFUNCTION("""COMPUTED_VALUE"""),4417781.0)</f>
        <v>4417781</v>
      </c>
      <c r="X597" s="14">
        <f>IFERROR(__xludf.DUMMYFUNCTION("""COMPUTED_VALUE"""),0.575)</f>
        <v>0.575</v>
      </c>
      <c r="Y597" s="14" t="str">
        <f>IFERROR(__xludf.DUMMYFUNCTION("""COMPUTED_VALUE"""),"Croatia-Europe")</f>
        <v>Croatia-Europe</v>
      </c>
      <c r="Z597" s="14" t="str">
        <f>IFERROR(__xludf.DUMMYFUNCTION("""COMPUTED_VALUE"""),"Europe")</f>
        <v>Europe</v>
      </c>
      <c r="AA597" s="14" t="str">
        <f>IFERROR(__xludf.DUMMYFUNCTION("""COMPUTED_VALUE"""),"2010")</f>
        <v>2010</v>
      </c>
      <c r="AB597" s="15" t="str">
        <f>IFERROR(__xludf.DUMMYFUNCTION("ARRAYFORMULA(VLOOKUP(A597,IMPORTRANGE(""https://docs.google.com/spreadsheets/d/1BuTWp7qHGjWhqrnf-OmePP568O4A5Am9ttzvVdP67zw/edit#gid=1931367683"" ,""ENERGY!$A$2:$F$2692""), {2,3,4,5,6},0))"),"Europe")</f>
        <v>Europe</v>
      </c>
      <c r="AC597" s="14" t="str">
        <f>IFERROR(__xludf.DUMMYFUNCTION("""COMPUTED_VALUE"""),"Croatia-Europe")</f>
        <v>Croatia-Europe</v>
      </c>
      <c r="AD597" s="14" t="str">
        <f>IFERROR(__xludf.DUMMYFUNCTION("""COMPUTED_VALUE"""),"2007")</f>
        <v>2007</v>
      </c>
      <c r="AE597" s="14">
        <f>IFERROR(__xludf.DUMMYFUNCTION("""COMPUTED_VALUE"""),8245.0)</f>
        <v>8245</v>
      </c>
      <c r="AF597" s="14">
        <f>IFERROR(__xludf.DUMMYFUNCTION("""COMPUTED_VALUE"""),21877.0)</f>
        <v>21877</v>
      </c>
    </row>
    <row r="598">
      <c r="A598" s="12">
        <v>597.0</v>
      </c>
      <c r="B598" s="12" t="s">
        <v>124</v>
      </c>
      <c r="C598" s="5" t="s">
        <v>75</v>
      </c>
      <c r="D598" s="11">
        <v>0.219</v>
      </c>
      <c r="E598" s="11">
        <v>8.0</v>
      </c>
      <c r="F598" s="8"/>
      <c r="G598" s="11">
        <v>196.0</v>
      </c>
      <c r="H598" s="11">
        <v>0.578</v>
      </c>
      <c r="I598" s="11">
        <v>1.183</v>
      </c>
      <c r="J598" s="9" t="s">
        <v>72</v>
      </c>
      <c r="K598" s="14" t="str">
        <f>IFERROR(__xludf.DUMMYFUNCTION("ARRAYFORMULA(VLOOKUP(A598,IMPORTRANGE(""https://docs.google.com/spreadsheets/d/1BuTWp7qHGjWhqrnf-OmePP568O4A5Am9ttzvVdP67zw/edit#gid=1603210130"", ""TOURISM!$A$2:$F$2692""), {2,3,4,5,6},0))"),"Europe")</f>
        <v>Europe</v>
      </c>
      <c r="L598" s="14">
        <f>IFERROR(__xludf.DUMMYFUNCTION("""COMPUTED_VALUE"""),9.638E9)</f>
        <v>9638000000</v>
      </c>
      <c r="M598" s="14" t="str">
        <f>IFERROR(__xludf.DUMMYFUNCTION("""COMPUTED_VALUE"""),"Croatia-Europe")</f>
        <v>Croatia-Europe</v>
      </c>
      <c r="N598" s="14" t="str">
        <f>IFERROR(__xludf.DUMMYFUNCTION("""COMPUTED_VALUE"""),"2011")</f>
        <v>2011</v>
      </c>
      <c r="O598" s="14">
        <f>IFERROR(__xludf.DUMMYFUNCTION("""COMPUTED_VALUE"""),9.19E8)</f>
        <v>919000000</v>
      </c>
      <c r="P598" s="15">
        <f>IFERROR(__xludf.DUMMYFUNCTION("ARRAYFORMULA(VLOOKUP(A598,IMPORTRANGE(""https://docs.google.com/spreadsheets/d/1BuTWp7qHGjWhqrnf-OmePP568O4A5Am9ttzvVdP67zw/edit#gid=771602874"" ,""HUMAN RESOURCES!$A$2:$M$2692""), {2,3,4,5,6,7,8,9,10,11,12,13},0))"),0.01)</f>
        <v>0.01</v>
      </c>
      <c r="Q598" s="14">
        <f>IFERROR(__xludf.DUMMYFUNCTION("""COMPUTED_VALUE"""),0.004)</f>
        <v>0.004</v>
      </c>
      <c r="R598" s="14">
        <f>IFERROR(__xludf.DUMMYFUNCTION("""COMPUTED_VALUE"""),80.0)</f>
        <v>80</v>
      </c>
      <c r="S598" s="14">
        <f>IFERROR(__xludf.DUMMYFUNCTION("""COMPUTED_VALUE"""),74.0)</f>
        <v>74</v>
      </c>
      <c r="T598" s="14">
        <f>IFERROR(__xludf.DUMMYFUNCTION("""COMPUTED_VALUE"""),0.151)</f>
        <v>0.151</v>
      </c>
      <c r="U598" s="14">
        <f>IFERROR(__xludf.DUMMYFUNCTION("""COMPUTED_VALUE"""),0.671)</f>
        <v>0.671</v>
      </c>
      <c r="V598" s="14">
        <f>IFERROR(__xludf.DUMMYFUNCTION("""COMPUTED_VALUE"""),0.177)</f>
        <v>0.177</v>
      </c>
      <c r="W598" s="14">
        <f>IFERROR(__xludf.DUMMYFUNCTION("""COMPUTED_VALUE"""),4280622.0)</f>
        <v>4280622</v>
      </c>
      <c r="X598" s="14">
        <f>IFERROR(__xludf.DUMMYFUNCTION("""COMPUTED_VALUE"""),0.578)</f>
        <v>0.578</v>
      </c>
      <c r="Y598" s="14" t="str">
        <f>IFERROR(__xludf.DUMMYFUNCTION("""COMPUTED_VALUE"""),"Croatia-Europe")</f>
        <v>Croatia-Europe</v>
      </c>
      <c r="Z598" s="14" t="str">
        <f>IFERROR(__xludf.DUMMYFUNCTION("""COMPUTED_VALUE"""),"Europe")</f>
        <v>Europe</v>
      </c>
      <c r="AA598" s="14" t="str">
        <f>IFERROR(__xludf.DUMMYFUNCTION("""COMPUTED_VALUE"""),"2011")</f>
        <v>2011</v>
      </c>
      <c r="AB598" s="15" t="str">
        <f>IFERROR(__xludf.DUMMYFUNCTION("ARRAYFORMULA(VLOOKUP(A598,IMPORTRANGE(""https://docs.google.com/spreadsheets/d/1BuTWp7qHGjWhqrnf-OmePP568O4A5Am9ttzvVdP67zw/edit#gid=1931367683"" ,""ENERGY!$A$2:$F$2692""), {2,3,4,5,6},0))"),"Europe")</f>
        <v>Europe</v>
      </c>
      <c r="AC598" s="14" t="str">
        <f>IFERROR(__xludf.DUMMYFUNCTION("""COMPUTED_VALUE"""),"Croatia-Europe")</f>
        <v>Croatia-Europe</v>
      </c>
      <c r="AD598" s="14" t="str">
        <f>IFERROR(__xludf.DUMMYFUNCTION("""COMPUTED_VALUE"""),"2004")</f>
        <v>2004</v>
      </c>
      <c r="AE598" s="14">
        <f>IFERROR(__xludf.DUMMYFUNCTION("""COMPUTED_VALUE"""),7948.0)</f>
        <v>7948</v>
      </c>
      <c r="AF598" s="14">
        <f>IFERROR(__xludf.DUMMYFUNCTION("""COMPUTED_VALUE"""),20715.0)</f>
        <v>20715</v>
      </c>
    </row>
    <row r="599">
      <c r="A599" s="12">
        <v>598.0</v>
      </c>
      <c r="B599" s="12" t="s">
        <v>124</v>
      </c>
      <c r="C599" s="5" t="s">
        <v>75</v>
      </c>
      <c r="D599" s="11">
        <v>0.218</v>
      </c>
      <c r="E599" s="11">
        <v>8.0</v>
      </c>
      <c r="F599" s="11">
        <v>88.0</v>
      </c>
      <c r="G599" s="11">
        <v>196.0</v>
      </c>
      <c r="H599" s="11">
        <v>0.619</v>
      </c>
      <c r="I599" s="11">
        <v>1.154</v>
      </c>
      <c r="J599" s="9" t="s">
        <v>73</v>
      </c>
      <c r="K599" s="14" t="str">
        <f>IFERROR(__xludf.DUMMYFUNCTION("ARRAYFORMULA(VLOOKUP(A599,IMPORTRANGE(""https://docs.google.com/spreadsheets/d/1BuTWp7qHGjWhqrnf-OmePP568O4A5Am9ttzvVdP67zw/edit#gid=1603210130"", ""TOURISM!$A$2:$F$2692""), {2,3,4,5,6},0))"),"Europe")</f>
        <v>Europe</v>
      </c>
      <c r="L599" s="14">
        <f>IFERROR(__xludf.DUMMYFUNCTION("""COMPUTED_VALUE"""),8.865E9)</f>
        <v>8865000000</v>
      </c>
      <c r="M599" s="14" t="str">
        <f>IFERROR(__xludf.DUMMYFUNCTION("""COMPUTED_VALUE"""),"Croatia-Europe")</f>
        <v>Croatia-Europe</v>
      </c>
      <c r="N599" s="14" t="str">
        <f>IFERROR(__xludf.DUMMYFUNCTION("""COMPUTED_VALUE"""),"2012")</f>
        <v>2012</v>
      </c>
      <c r="O599" s="14">
        <f>IFERROR(__xludf.DUMMYFUNCTION("""COMPUTED_VALUE"""),9.62E8)</f>
        <v>962000000</v>
      </c>
      <c r="P599" s="15">
        <f>IFERROR(__xludf.DUMMYFUNCTION("ARRAYFORMULA(VLOOKUP(A599,IMPORTRANGE(""https://docs.google.com/spreadsheets/d/1BuTWp7qHGjWhqrnf-OmePP568O4A5Am9ttzvVdP67zw/edit#gid=771602874"" ,""HUMAN RESOURCES!$A$2:$M$2692""), {2,3,4,5,6,7,8,9,10,11,12,13},0))"),0.01)</f>
        <v>0.01</v>
      </c>
      <c r="Q599" s="14">
        <f>IFERROR(__xludf.DUMMYFUNCTION("""COMPUTED_VALUE"""),0.004)</f>
        <v>0.004</v>
      </c>
      <c r="R599" s="14">
        <f>IFERROR(__xludf.DUMMYFUNCTION("""COMPUTED_VALUE"""),80.0)</f>
        <v>80</v>
      </c>
      <c r="S599" s="14">
        <f>IFERROR(__xludf.DUMMYFUNCTION("""COMPUTED_VALUE"""),74.0)</f>
        <v>74</v>
      </c>
      <c r="T599" s="14">
        <f>IFERROR(__xludf.DUMMYFUNCTION("""COMPUTED_VALUE"""),0.15)</f>
        <v>0.15</v>
      </c>
      <c r="U599" s="14">
        <f>IFERROR(__xludf.DUMMYFUNCTION("""COMPUTED_VALUE"""),0.67)</f>
        <v>0.67</v>
      </c>
      <c r="V599" s="14">
        <f>IFERROR(__xludf.DUMMYFUNCTION("""COMPUTED_VALUE"""),0.18)</f>
        <v>0.18</v>
      </c>
      <c r="W599" s="14">
        <f>IFERROR(__xludf.DUMMYFUNCTION("""COMPUTED_VALUE"""),4267558.0)</f>
        <v>4267558</v>
      </c>
      <c r="X599" s="14">
        <f>IFERROR(__xludf.DUMMYFUNCTION("""COMPUTED_VALUE"""),0.581)</f>
        <v>0.581</v>
      </c>
      <c r="Y599" s="14" t="str">
        <f>IFERROR(__xludf.DUMMYFUNCTION("""COMPUTED_VALUE"""),"Croatia-Europe")</f>
        <v>Croatia-Europe</v>
      </c>
      <c r="Z599" s="14" t="str">
        <f>IFERROR(__xludf.DUMMYFUNCTION("""COMPUTED_VALUE"""),"Europe")</f>
        <v>Europe</v>
      </c>
      <c r="AA599" s="14" t="str">
        <f>IFERROR(__xludf.DUMMYFUNCTION("""COMPUTED_VALUE"""),"2012")</f>
        <v>2012</v>
      </c>
      <c r="AB599" s="15" t="str">
        <f>IFERROR(__xludf.DUMMYFUNCTION("ARRAYFORMULA(VLOOKUP(A599,IMPORTRANGE(""https://docs.google.com/spreadsheets/d/1BuTWp7qHGjWhqrnf-OmePP568O4A5Am9ttzvVdP67zw/edit#gid=1931367683"" ,""ENERGY!$A$2:$F$2692""), {2,3,4,5,6},0))"),"Europe")</f>
        <v>Europe</v>
      </c>
      <c r="AC599" s="14" t="str">
        <f>IFERROR(__xludf.DUMMYFUNCTION("""COMPUTED_VALUE"""),"Croatia-Europe")</f>
        <v>Croatia-Europe</v>
      </c>
      <c r="AD599" s="14" t="str">
        <f>IFERROR(__xludf.DUMMYFUNCTION("""COMPUTED_VALUE"""),"2009")</f>
        <v>2009</v>
      </c>
      <c r="AE599" s="14">
        <f>IFERROR(__xludf.DUMMYFUNCTION("""COMPUTED_VALUE"""),7790.0)</f>
        <v>7790</v>
      </c>
      <c r="AF599" s="14">
        <f>IFERROR(__xludf.DUMMYFUNCTION("""COMPUTED_VALUE"""),19644.0)</f>
        <v>19644</v>
      </c>
    </row>
    <row r="600">
      <c r="A600" s="12">
        <v>599.0</v>
      </c>
      <c r="B600" s="12" t="s">
        <v>125</v>
      </c>
      <c r="C600" s="5" t="s">
        <v>84</v>
      </c>
      <c r="D600" s="8"/>
      <c r="E600" s="8"/>
      <c r="F600" s="8"/>
      <c r="G600" s="8"/>
      <c r="H600" s="11">
        <v>0.005</v>
      </c>
      <c r="I600" s="11">
        <v>0.001</v>
      </c>
      <c r="J600" s="9" t="s">
        <v>60</v>
      </c>
      <c r="K600" s="14" t="str">
        <f>IFERROR(__xludf.DUMMYFUNCTION("ARRAYFORMULA(VLOOKUP(A600,IMPORTRANGE(""https://docs.google.com/spreadsheets/d/1BuTWp7qHGjWhqrnf-OmePP568O4A5Am9ttzvVdP67zw/edit#gid=1603210130"", ""TOURISM!$A$2:$F$2692""), {2,3,4,5,6},0))"),"The Americas")</f>
        <v>The Americas</v>
      </c>
      <c r="L600" s="14">
        <f>IFERROR(__xludf.DUMMYFUNCTION("""COMPUTED_VALUE"""),1.948E9)</f>
        <v>1948000000</v>
      </c>
      <c r="M600" s="14" t="str">
        <f>IFERROR(__xludf.DUMMYFUNCTION("""COMPUTED_VALUE"""),"Cuba-The Americas")</f>
        <v>Cuba-The Americas</v>
      </c>
      <c r="N600" s="14" t="str">
        <f>IFERROR(__xludf.DUMMYFUNCTION("""COMPUTED_VALUE"""),"2000")</f>
        <v>2000</v>
      </c>
      <c r="O600" s="14"/>
      <c r="P600" s="15">
        <f>IFERROR(__xludf.DUMMYFUNCTION("ARRAYFORMULA(VLOOKUP(A600,IMPORTRANGE(""https://docs.google.com/spreadsheets/d/1BuTWp7qHGjWhqrnf-OmePP568O4A5Am9ttzvVdP67zw/edit#gid=771602874"" ,""HUMAN RESOURCES!$A$2:$M$2692""), {2,3,4,5,6,7,8,9,10,11,12,13},0))"),0.013)</f>
        <v>0.013</v>
      </c>
      <c r="Q600" s="14">
        <f>IFERROR(__xludf.DUMMYFUNCTION("""COMPUTED_VALUE"""),0.007)</f>
        <v>0.007</v>
      </c>
      <c r="R600" s="14">
        <f>IFERROR(__xludf.DUMMYFUNCTION("""COMPUTED_VALUE"""),79.0)</f>
        <v>79</v>
      </c>
      <c r="S600" s="14">
        <f>IFERROR(__xludf.DUMMYFUNCTION("""COMPUTED_VALUE"""),75.0)</f>
        <v>75</v>
      </c>
      <c r="T600" s="14">
        <f>IFERROR(__xludf.DUMMYFUNCTION("""COMPUTED_VALUE"""),0.216)</f>
        <v>0.216</v>
      </c>
      <c r="U600" s="14">
        <f>IFERROR(__xludf.DUMMYFUNCTION("""COMPUTED_VALUE"""),0.685)</f>
        <v>0.685</v>
      </c>
      <c r="V600" s="14">
        <f>IFERROR(__xludf.DUMMYFUNCTION("""COMPUTED_VALUE"""),0.099)</f>
        <v>0.099</v>
      </c>
      <c r="W600" s="14">
        <f>IFERROR(__xludf.DUMMYFUNCTION("""COMPUTED_VALUE"""),1.1138416E7)</f>
        <v>11138416</v>
      </c>
      <c r="X600" s="14">
        <f>IFERROR(__xludf.DUMMYFUNCTION("""COMPUTED_VALUE"""),0.753)</f>
        <v>0.753</v>
      </c>
      <c r="Y600" s="14" t="str">
        <f>IFERROR(__xludf.DUMMYFUNCTION("""COMPUTED_VALUE"""),"Cuba-The Americas")</f>
        <v>Cuba-The Americas</v>
      </c>
      <c r="Z600" s="14" t="str">
        <f>IFERROR(__xludf.DUMMYFUNCTION("""COMPUTED_VALUE"""),"The Americas")</f>
        <v>The Americas</v>
      </c>
      <c r="AA600" s="14" t="str">
        <f>IFERROR(__xludf.DUMMYFUNCTION("""COMPUTED_VALUE"""),"2000")</f>
        <v>2000</v>
      </c>
      <c r="AB600" s="15" t="str">
        <f>IFERROR(__xludf.DUMMYFUNCTION("ARRAYFORMULA(VLOOKUP(A600,IMPORTRANGE(""https://docs.google.com/spreadsheets/d/1BuTWp7qHGjWhqrnf-OmePP568O4A5Am9ttzvVdP67zw/edit#gid=1931367683"" ,""ENERGY!$A$2:$F$2692""), {2,3,4,5,6},0))"),"The Americas")</f>
        <v>The Americas</v>
      </c>
      <c r="AC600" s="14" t="str">
        <f>IFERROR(__xludf.DUMMYFUNCTION("""COMPUTED_VALUE"""),"Cuba-The Americas")</f>
        <v>Cuba-The Americas</v>
      </c>
      <c r="AD600" s="14" t="str">
        <f>IFERROR(__xludf.DUMMYFUNCTION("""COMPUTED_VALUE"""),"2000")</f>
        <v>2000</v>
      </c>
      <c r="AE600" s="14"/>
      <c r="AF600" s="14"/>
    </row>
    <row r="601">
      <c r="A601" s="12">
        <v>600.0</v>
      </c>
      <c r="B601" s="12" t="s">
        <v>125</v>
      </c>
      <c r="C601" s="5" t="s">
        <v>84</v>
      </c>
      <c r="D601" s="8"/>
      <c r="E601" s="8"/>
      <c r="F601" s="8"/>
      <c r="G601" s="8"/>
      <c r="H601" s="11">
        <v>0.011</v>
      </c>
      <c r="I601" s="11">
        <v>0.001</v>
      </c>
      <c r="J601" s="9" t="s">
        <v>62</v>
      </c>
      <c r="K601" s="14" t="str">
        <f>IFERROR(__xludf.DUMMYFUNCTION("ARRAYFORMULA(VLOOKUP(A601,IMPORTRANGE(""https://docs.google.com/spreadsheets/d/1BuTWp7qHGjWhqrnf-OmePP568O4A5Am9ttzvVdP67zw/edit#gid=1603210130"", ""TOURISM!$A$2:$F$2692""), {2,3,4,5,6},0))"),"The Americas")</f>
        <v>The Americas</v>
      </c>
      <c r="L601" s="14">
        <f>IFERROR(__xludf.DUMMYFUNCTION("""COMPUTED_VALUE"""),1.84E9)</f>
        <v>1840000000</v>
      </c>
      <c r="M601" s="14" t="str">
        <f>IFERROR(__xludf.DUMMYFUNCTION("""COMPUTED_VALUE"""),"Cuba-The Americas")</f>
        <v>Cuba-The Americas</v>
      </c>
      <c r="N601" s="14" t="str">
        <f>IFERROR(__xludf.DUMMYFUNCTION("""COMPUTED_VALUE"""),"2001")</f>
        <v>2001</v>
      </c>
      <c r="O601" s="14"/>
      <c r="P601" s="15">
        <f>IFERROR(__xludf.DUMMYFUNCTION("ARRAYFORMULA(VLOOKUP(A601,IMPORTRANGE(""https://docs.google.com/spreadsheets/d/1BuTWp7qHGjWhqrnf-OmePP568O4A5Am9ttzvVdP67zw/edit#gid=771602874"" ,""HUMAN RESOURCES!$A$2:$M$2692""), {2,3,4,5,6,7,8,9,10,11,12,13},0))"),0.013)</f>
        <v>0.013</v>
      </c>
      <c r="Q601" s="14">
        <f>IFERROR(__xludf.DUMMYFUNCTION("""COMPUTED_VALUE"""),0.006)</f>
        <v>0.006</v>
      </c>
      <c r="R601" s="14">
        <f>IFERROR(__xludf.DUMMYFUNCTION("""COMPUTED_VALUE"""),79.0)</f>
        <v>79</v>
      </c>
      <c r="S601" s="14">
        <f>IFERROR(__xludf.DUMMYFUNCTION("""COMPUTED_VALUE"""),75.0)</f>
        <v>75</v>
      </c>
      <c r="T601" s="14">
        <f>IFERROR(__xludf.DUMMYFUNCTION("""COMPUTED_VALUE"""),0.213)</f>
        <v>0.213</v>
      </c>
      <c r="U601" s="14">
        <f>IFERROR(__xludf.DUMMYFUNCTION("""COMPUTED_VALUE"""),0.687)</f>
        <v>0.687</v>
      </c>
      <c r="V601" s="14">
        <f>IFERROR(__xludf.DUMMYFUNCTION("""COMPUTED_VALUE"""),0.101)</f>
        <v>0.101</v>
      </c>
      <c r="W601" s="14">
        <f>IFERROR(__xludf.DUMMYFUNCTION("""COMPUTED_VALUE"""),1.1175465E7)</f>
        <v>11175465</v>
      </c>
      <c r="X601" s="14">
        <f>IFERROR(__xludf.DUMMYFUNCTION("""COMPUTED_VALUE"""),0.756)</f>
        <v>0.756</v>
      </c>
      <c r="Y601" s="14" t="str">
        <f>IFERROR(__xludf.DUMMYFUNCTION("""COMPUTED_VALUE"""),"Cuba-The Americas")</f>
        <v>Cuba-The Americas</v>
      </c>
      <c r="Z601" s="14" t="str">
        <f>IFERROR(__xludf.DUMMYFUNCTION("""COMPUTED_VALUE"""),"The Americas")</f>
        <v>The Americas</v>
      </c>
      <c r="AA601" s="14" t="str">
        <f>IFERROR(__xludf.DUMMYFUNCTION("""COMPUTED_VALUE"""),"2001")</f>
        <v>2001</v>
      </c>
      <c r="AB601" s="15" t="str">
        <f>IFERROR(__xludf.DUMMYFUNCTION("ARRAYFORMULA(VLOOKUP(A601,IMPORTRANGE(""https://docs.google.com/spreadsheets/d/1BuTWp7qHGjWhqrnf-OmePP568O4A5Am9ttzvVdP67zw/edit#gid=1931367683"" ,""ENERGY!$A$2:$F$2692""), {2,3,4,5,6},0))"),"The Americas")</f>
        <v>The Americas</v>
      </c>
      <c r="AC601" s="14" t="str">
        <f>IFERROR(__xludf.DUMMYFUNCTION("""COMPUTED_VALUE"""),"Cuba-The Americas")</f>
        <v>Cuba-The Americas</v>
      </c>
      <c r="AD601" s="14" t="str">
        <f>IFERROR(__xludf.DUMMYFUNCTION("""COMPUTED_VALUE"""),"2001")</f>
        <v>2001</v>
      </c>
      <c r="AE601" s="14">
        <f>IFERROR(__xludf.DUMMYFUNCTION("""COMPUTED_VALUE"""),11187.0)</f>
        <v>11187</v>
      </c>
      <c r="AF601" s="14"/>
    </row>
    <row r="602">
      <c r="A602" s="12">
        <v>601.0</v>
      </c>
      <c r="B602" s="12" t="s">
        <v>125</v>
      </c>
      <c r="C602" s="5" t="s">
        <v>84</v>
      </c>
      <c r="D602" s="8"/>
      <c r="E602" s="8"/>
      <c r="F602" s="8"/>
      <c r="G602" s="8"/>
      <c r="H602" s="11">
        <v>0.038</v>
      </c>
      <c r="I602" s="11">
        <v>0.002</v>
      </c>
      <c r="J602" s="9" t="s">
        <v>63</v>
      </c>
      <c r="K602" s="14" t="str">
        <f>IFERROR(__xludf.DUMMYFUNCTION("ARRAYFORMULA(VLOOKUP(A602,IMPORTRANGE(""https://docs.google.com/spreadsheets/d/1BuTWp7qHGjWhqrnf-OmePP568O4A5Am9ttzvVdP67zw/edit#gid=1603210130"", ""TOURISM!$A$2:$F$2692""), {2,3,4,5,6},0))"),"The Americas")</f>
        <v>The Americas</v>
      </c>
      <c r="L602" s="14">
        <f>IFERROR(__xludf.DUMMYFUNCTION("""COMPUTED_VALUE"""),1.769E9)</f>
        <v>1769000000</v>
      </c>
      <c r="M602" s="14" t="str">
        <f>IFERROR(__xludf.DUMMYFUNCTION("""COMPUTED_VALUE"""),"Cuba-The Americas")</f>
        <v>Cuba-The Americas</v>
      </c>
      <c r="N602" s="14" t="str">
        <f>IFERROR(__xludf.DUMMYFUNCTION("""COMPUTED_VALUE"""),"2002")</f>
        <v>2002</v>
      </c>
      <c r="O602" s="14"/>
      <c r="P602" s="15">
        <f>IFERROR(__xludf.DUMMYFUNCTION("ARRAYFORMULA(VLOOKUP(A602,IMPORTRANGE(""https://docs.google.com/spreadsheets/d/1BuTWp7qHGjWhqrnf-OmePP568O4A5Am9ttzvVdP67zw/edit#gid=771602874"" ,""HUMAN RESOURCES!$A$2:$M$2692""), {2,3,4,5,6,7,8,9,10,11,12,13},0))"),0.012)</f>
        <v>0.012</v>
      </c>
      <c r="Q602" s="14">
        <f>IFERROR(__xludf.DUMMYFUNCTION("""COMPUTED_VALUE"""),0.006)</f>
        <v>0.006</v>
      </c>
      <c r="R602" s="14">
        <f>IFERROR(__xludf.DUMMYFUNCTION("""COMPUTED_VALUE"""),79.0)</f>
        <v>79</v>
      </c>
      <c r="S602" s="14">
        <f>IFERROR(__xludf.DUMMYFUNCTION("""COMPUTED_VALUE"""),75.0)</f>
        <v>75</v>
      </c>
      <c r="T602" s="14">
        <f>IFERROR(__xludf.DUMMYFUNCTION("""COMPUTED_VALUE"""),0.209)</f>
        <v>0.209</v>
      </c>
      <c r="U602" s="14">
        <f>IFERROR(__xludf.DUMMYFUNCTION("""COMPUTED_VALUE"""),0.689)</f>
        <v>0.689</v>
      </c>
      <c r="V602" s="14">
        <f>IFERROR(__xludf.DUMMYFUNCTION("""COMPUTED_VALUE"""),0.103)</f>
        <v>0.103</v>
      </c>
      <c r="W602" s="14">
        <f>IFERROR(__xludf.DUMMYFUNCTION("""COMPUTED_VALUE"""),1.1212125E7)</f>
        <v>11212125</v>
      </c>
      <c r="X602" s="14">
        <f>IFERROR(__xludf.DUMMYFUNCTION("""COMPUTED_VALUE"""),0.758)</f>
        <v>0.758</v>
      </c>
      <c r="Y602" s="14" t="str">
        <f>IFERROR(__xludf.DUMMYFUNCTION("""COMPUTED_VALUE"""),"Cuba-The Americas")</f>
        <v>Cuba-The Americas</v>
      </c>
      <c r="Z602" s="14" t="str">
        <f>IFERROR(__xludf.DUMMYFUNCTION("""COMPUTED_VALUE"""),"The Americas")</f>
        <v>The Americas</v>
      </c>
      <c r="AA602" s="14" t="str">
        <f>IFERROR(__xludf.DUMMYFUNCTION("""COMPUTED_VALUE"""),"2002")</f>
        <v>2002</v>
      </c>
      <c r="AB602" s="15" t="str">
        <f>IFERROR(__xludf.DUMMYFUNCTION("ARRAYFORMULA(VLOOKUP(A602,IMPORTRANGE(""https://docs.google.com/spreadsheets/d/1BuTWp7qHGjWhqrnf-OmePP568O4A5Am9ttzvVdP67zw/edit#gid=1931367683"" ,""ENERGY!$A$2:$F$2692""), {2,3,4,5,6},0))"),"The Americas")</f>
        <v>The Americas</v>
      </c>
      <c r="AC602" s="14" t="str">
        <f>IFERROR(__xludf.DUMMYFUNCTION("""COMPUTED_VALUE"""),"Cuba-The Americas")</f>
        <v>Cuba-The Americas</v>
      </c>
      <c r="AD602" s="14" t="str">
        <f>IFERROR(__xludf.DUMMYFUNCTION("""COMPUTED_VALUE"""),"2002")</f>
        <v>2002</v>
      </c>
      <c r="AE602" s="14">
        <f>IFERROR(__xludf.DUMMYFUNCTION("""COMPUTED_VALUE"""),11308.0)</f>
        <v>11308</v>
      </c>
      <c r="AF602" s="14">
        <f>IFERROR(__xludf.DUMMYFUNCTION("""COMPUTED_VALUE"""),38364.0)</f>
        <v>38364</v>
      </c>
    </row>
    <row r="603">
      <c r="A603" s="12">
        <v>602.0</v>
      </c>
      <c r="B603" s="12" t="s">
        <v>125</v>
      </c>
      <c r="C603" s="5" t="s">
        <v>84</v>
      </c>
      <c r="D603" s="8"/>
      <c r="E603" s="8"/>
      <c r="F603" s="8"/>
      <c r="G603" s="8"/>
      <c r="H603" s="11">
        <v>0.052</v>
      </c>
      <c r="I603" s="11">
        <v>0.003</v>
      </c>
      <c r="J603" s="9" t="s">
        <v>64</v>
      </c>
      <c r="K603" s="14" t="str">
        <f>IFERROR(__xludf.DUMMYFUNCTION("ARRAYFORMULA(VLOOKUP(A603,IMPORTRANGE(""https://docs.google.com/spreadsheets/d/1BuTWp7qHGjWhqrnf-OmePP568O4A5Am9ttzvVdP67zw/edit#gid=1603210130"", ""TOURISM!$A$2:$F$2692""), {2,3,4,5,6},0))"),"The Americas")</f>
        <v>The Americas</v>
      </c>
      <c r="L603" s="14">
        <f>IFERROR(__xludf.DUMMYFUNCTION("""COMPUTED_VALUE"""),1.999E9)</f>
        <v>1999000000</v>
      </c>
      <c r="M603" s="14" t="str">
        <f>IFERROR(__xludf.DUMMYFUNCTION("""COMPUTED_VALUE"""),"Cuba-The Americas")</f>
        <v>Cuba-The Americas</v>
      </c>
      <c r="N603" s="14" t="str">
        <f>IFERROR(__xludf.DUMMYFUNCTION("""COMPUTED_VALUE"""),"2003")</f>
        <v>2003</v>
      </c>
      <c r="O603" s="14"/>
      <c r="P603" s="15">
        <f>IFERROR(__xludf.DUMMYFUNCTION("ARRAYFORMULA(VLOOKUP(A603,IMPORTRANGE(""https://docs.google.com/spreadsheets/d/1BuTWp7qHGjWhqrnf-OmePP568O4A5Am9ttzvVdP67zw/edit#gid=771602874"" ,""HUMAN RESOURCES!$A$2:$M$2692""), {2,3,4,5,6,7,8,9,10,11,12,13},0))"),0.012)</f>
        <v>0.012</v>
      </c>
      <c r="Q603" s="14">
        <f>IFERROR(__xludf.DUMMYFUNCTION("""COMPUTED_VALUE"""),0.006)</f>
        <v>0.006</v>
      </c>
      <c r="R603" s="14">
        <f>IFERROR(__xludf.DUMMYFUNCTION("""COMPUTED_VALUE"""),79.0)</f>
        <v>79</v>
      </c>
      <c r="S603" s="14">
        <f>IFERROR(__xludf.DUMMYFUNCTION("""COMPUTED_VALUE"""),75.0)</f>
        <v>75</v>
      </c>
      <c r="T603" s="14">
        <f>IFERROR(__xludf.DUMMYFUNCTION("""COMPUTED_VALUE"""),0.204)</f>
        <v>0.204</v>
      </c>
      <c r="U603" s="14">
        <f>IFERROR(__xludf.DUMMYFUNCTION("""COMPUTED_VALUE"""),0.691)</f>
        <v>0.691</v>
      </c>
      <c r="V603" s="14">
        <f>IFERROR(__xludf.DUMMYFUNCTION("""COMPUTED_VALUE"""),0.105)</f>
        <v>0.105</v>
      </c>
      <c r="W603" s="14">
        <f>IFERROR(__xludf.DUMMYFUNCTION("""COMPUTED_VALUE"""),1.1245926E7)</f>
        <v>11245926</v>
      </c>
      <c r="X603" s="14">
        <f>IFERROR(__xludf.DUMMYFUNCTION("""COMPUTED_VALUE"""),0.759)</f>
        <v>0.759</v>
      </c>
      <c r="Y603" s="14" t="str">
        <f>IFERROR(__xludf.DUMMYFUNCTION("""COMPUTED_VALUE"""),"Cuba-The Americas")</f>
        <v>Cuba-The Americas</v>
      </c>
      <c r="Z603" s="14" t="str">
        <f>IFERROR(__xludf.DUMMYFUNCTION("""COMPUTED_VALUE"""),"The Americas")</f>
        <v>The Americas</v>
      </c>
      <c r="AA603" s="14" t="str">
        <f>IFERROR(__xludf.DUMMYFUNCTION("""COMPUTED_VALUE"""),"2003")</f>
        <v>2003</v>
      </c>
      <c r="AB603" s="15" t="str">
        <f>IFERROR(__xludf.DUMMYFUNCTION("ARRAYFORMULA(VLOOKUP(A603,IMPORTRANGE(""https://docs.google.com/spreadsheets/d/1BuTWp7qHGjWhqrnf-OmePP568O4A5Am9ttzvVdP67zw/edit#gid=1931367683"" ,""ENERGY!$A$2:$F$2692""), {2,3,4,5,6},0))"),"The Americas")</f>
        <v>The Americas</v>
      </c>
      <c r="AC603" s="14" t="str">
        <f>IFERROR(__xludf.DUMMYFUNCTION("""COMPUTED_VALUE"""),"Cuba-The Americas")</f>
        <v>Cuba-The Americas</v>
      </c>
      <c r="AD603" s="14" t="str">
        <f>IFERROR(__xludf.DUMMYFUNCTION("""COMPUTED_VALUE"""),"2003")</f>
        <v>2003</v>
      </c>
      <c r="AE603" s="14">
        <f>IFERROR(__xludf.DUMMYFUNCTION("""COMPUTED_VALUE"""),12346.0)</f>
        <v>12346</v>
      </c>
      <c r="AF603" s="14">
        <f>IFERROR(__xludf.DUMMYFUNCTION("""COMPUTED_VALUE"""),29901.0)</f>
        <v>29901</v>
      </c>
    </row>
    <row r="604">
      <c r="A604" s="12">
        <v>603.0</v>
      </c>
      <c r="B604" s="12" t="s">
        <v>125</v>
      </c>
      <c r="C604" s="5" t="s">
        <v>84</v>
      </c>
      <c r="D604" s="8"/>
      <c r="E604" s="8"/>
      <c r="F604" s="8"/>
      <c r="G604" s="8"/>
      <c r="H604" s="11">
        <v>0.084</v>
      </c>
      <c r="I604" s="11">
        <v>0.007</v>
      </c>
      <c r="J604" s="9" t="s">
        <v>65</v>
      </c>
      <c r="K604" s="14" t="str">
        <f>IFERROR(__xludf.DUMMYFUNCTION("ARRAYFORMULA(VLOOKUP(A604,IMPORTRANGE(""https://docs.google.com/spreadsheets/d/1BuTWp7qHGjWhqrnf-OmePP568O4A5Am9ttzvVdP67zw/edit#gid=1603210130"", ""TOURISM!$A$2:$F$2692""), {2,3,4,5,6},0))"),"The Americas")</f>
        <v>The Americas</v>
      </c>
      <c r="L604" s="14">
        <f>IFERROR(__xludf.DUMMYFUNCTION("""COMPUTED_VALUE"""),2.114E9)</f>
        <v>2114000000</v>
      </c>
      <c r="M604" s="14" t="str">
        <f>IFERROR(__xludf.DUMMYFUNCTION("""COMPUTED_VALUE"""),"Cuba-The Americas")</f>
        <v>Cuba-The Americas</v>
      </c>
      <c r="N604" s="14" t="str">
        <f>IFERROR(__xludf.DUMMYFUNCTION("""COMPUTED_VALUE"""),"2004")</f>
        <v>2004</v>
      </c>
      <c r="O604" s="14"/>
      <c r="P604" s="15">
        <f>IFERROR(__xludf.DUMMYFUNCTION("ARRAYFORMULA(VLOOKUP(A604,IMPORTRANGE(""https://docs.google.com/spreadsheets/d/1BuTWp7qHGjWhqrnf-OmePP568O4A5Am9ttzvVdP67zw/edit#gid=771602874"" ,""HUMAN RESOURCES!$A$2:$M$2692""), {2,3,4,5,6,7,8,9,10,11,12,13},0))"),0.012)</f>
        <v>0.012</v>
      </c>
      <c r="Q604" s="14">
        <f>IFERROR(__xludf.DUMMYFUNCTION("""COMPUTED_VALUE"""),0.006)</f>
        <v>0.006</v>
      </c>
      <c r="R604" s="14">
        <f>IFERROR(__xludf.DUMMYFUNCTION("""COMPUTED_VALUE"""),80.0)</f>
        <v>80</v>
      </c>
      <c r="S604" s="14">
        <f>IFERROR(__xludf.DUMMYFUNCTION("""COMPUTED_VALUE"""),76.0)</f>
        <v>76</v>
      </c>
      <c r="T604" s="14">
        <f>IFERROR(__xludf.DUMMYFUNCTION("""COMPUTED_VALUE"""),0.199)</f>
        <v>0.199</v>
      </c>
      <c r="U604" s="14">
        <f>IFERROR(__xludf.DUMMYFUNCTION("""COMPUTED_VALUE"""),0.694)</f>
        <v>0.694</v>
      </c>
      <c r="V604" s="14">
        <f>IFERROR(__xludf.DUMMYFUNCTION("""COMPUTED_VALUE"""),0.107)</f>
        <v>0.107</v>
      </c>
      <c r="W604" s="14">
        <f>IFERROR(__xludf.DUMMYFUNCTION("""COMPUTED_VALUE"""),1.1273363E7)</f>
        <v>11273363</v>
      </c>
      <c r="X604" s="14">
        <f>IFERROR(__xludf.DUMMYFUNCTION("""COMPUTED_VALUE"""),0.76)</f>
        <v>0.76</v>
      </c>
      <c r="Y604" s="14" t="str">
        <f>IFERROR(__xludf.DUMMYFUNCTION("""COMPUTED_VALUE"""),"Cuba-The Americas")</f>
        <v>Cuba-The Americas</v>
      </c>
      <c r="Z604" s="14" t="str">
        <f>IFERROR(__xludf.DUMMYFUNCTION("""COMPUTED_VALUE"""),"The Americas")</f>
        <v>The Americas</v>
      </c>
      <c r="AA604" s="14" t="str">
        <f>IFERROR(__xludf.DUMMYFUNCTION("""COMPUTED_VALUE"""),"2004")</f>
        <v>2004</v>
      </c>
      <c r="AB604" s="15" t="str">
        <f>IFERROR(__xludf.DUMMYFUNCTION("ARRAYFORMULA(VLOOKUP(A604,IMPORTRANGE(""https://docs.google.com/spreadsheets/d/1BuTWp7qHGjWhqrnf-OmePP568O4A5Am9ttzvVdP67zw/edit#gid=1931367683"" ,""ENERGY!$A$2:$F$2692""), {2,3,4,5,6},0))"),"The Americas")</f>
        <v>The Americas</v>
      </c>
      <c r="AC604" s="14" t="str">
        <f>IFERROR(__xludf.DUMMYFUNCTION("""COMPUTED_VALUE"""),"Cuba-The Americas")</f>
        <v>Cuba-The Americas</v>
      </c>
      <c r="AD604" s="14" t="str">
        <f>IFERROR(__xludf.DUMMYFUNCTION("""COMPUTED_VALUE"""),"2004")</f>
        <v>2004</v>
      </c>
      <c r="AE604" s="14">
        <f>IFERROR(__xludf.DUMMYFUNCTION("""COMPUTED_VALUE"""),10566.0)</f>
        <v>10566</v>
      </c>
      <c r="AF604" s="14">
        <f>IFERROR(__xludf.DUMMYFUNCTION("""COMPUTED_VALUE"""),30443.0)</f>
        <v>30443</v>
      </c>
    </row>
    <row r="605">
      <c r="A605" s="12">
        <v>604.0</v>
      </c>
      <c r="B605" s="12" t="s">
        <v>125</v>
      </c>
      <c r="C605" s="5" t="s">
        <v>84</v>
      </c>
      <c r="D605" s="8"/>
      <c r="E605" s="8"/>
      <c r="F605" s="8"/>
      <c r="G605" s="8"/>
      <c r="H605" s="11">
        <v>0.097</v>
      </c>
      <c r="I605" s="11">
        <v>0.012</v>
      </c>
      <c r="J605" s="9" t="s">
        <v>66</v>
      </c>
      <c r="K605" s="14" t="str">
        <f>IFERROR(__xludf.DUMMYFUNCTION("ARRAYFORMULA(VLOOKUP(A605,IMPORTRANGE(""https://docs.google.com/spreadsheets/d/1BuTWp7qHGjWhqrnf-OmePP568O4A5Am9ttzvVdP67zw/edit#gid=1603210130"", ""TOURISM!$A$2:$F$2692""), {2,3,4,5,6},0))"),"The Americas")</f>
        <v>The Americas</v>
      </c>
      <c r="L605" s="14">
        <f>IFERROR(__xludf.DUMMYFUNCTION("""COMPUTED_VALUE"""),2.591E9)</f>
        <v>2591000000</v>
      </c>
      <c r="M605" s="14" t="str">
        <f>IFERROR(__xludf.DUMMYFUNCTION("""COMPUTED_VALUE"""),"Cuba-The Americas")</f>
        <v>Cuba-The Americas</v>
      </c>
      <c r="N605" s="14" t="str">
        <f>IFERROR(__xludf.DUMMYFUNCTION("""COMPUTED_VALUE"""),"2005")</f>
        <v>2005</v>
      </c>
      <c r="O605" s="14"/>
      <c r="P605" s="15">
        <f>IFERROR(__xludf.DUMMYFUNCTION("ARRAYFORMULA(VLOOKUP(A605,IMPORTRANGE(""https://docs.google.com/spreadsheets/d/1BuTWp7qHGjWhqrnf-OmePP568O4A5Am9ttzvVdP67zw/edit#gid=771602874"" ,""HUMAN RESOURCES!$A$2:$M$2692""), {2,3,4,5,6,7,8,9,10,11,12,13},0))"),0.011)</f>
        <v>0.011</v>
      </c>
      <c r="Q605" s="14">
        <f>IFERROR(__xludf.DUMMYFUNCTION("""COMPUTED_VALUE"""),0.005)</f>
        <v>0.005</v>
      </c>
      <c r="R605" s="14">
        <f>IFERROR(__xludf.DUMMYFUNCTION("""COMPUTED_VALUE"""),80.0)</f>
        <v>80</v>
      </c>
      <c r="S605" s="14">
        <f>IFERROR(__xludf.DUMMYFUNCTION("""COMPUTED_VALUE"""),76.0)</f>
        <v>76</v>
      </c>
      <c r="T605" s="14">
        <f>IFERROR(__xludf.DUMMYFUNCTION("""COMPUTED_VALUE"""),0.195)</f>
        <v>0.195</v>
      </c>
      <c r="U605" s="14">
        <f>IFERROR(__xludf.DUMMYFUNCTION("""COMPUTED_VALUE"""),0.696)</f>
        <v>0.696</v>
      </c>
      <c r="V605" s="14">
        <f>IFERROR(__xludf.DUMMYFUNCTION("""COMPUTED_VALUE"""),0.11)</f>
        <v>0.11</v>
      </c>
      <c r="W605" s="14">
        <f>IFERROR(__xludf.DUMMYFUNCTION("""COMPUTED_VALUE"""),1.1292078E7)</f>
        <v>11292078</v>
      </c>
      <c r="X605" s="14">
        <f>IFERROR(__xludf.DUMMYFUNCTION("""COMPUTED_VALUE"""),0.761)</f>
        <v>0.761</v>
      </c>
      <c r="Y605" s="14" t="str">
        <f>IFERROR(__xludf.DUMMYFUNCTION("""COMPUTED_VALUE"""),"Cuba-The Americas")</f>
        <v>Cuba-The Americas</v>
      </c>
      <c r="Z605" s="14" t="str">
        <f>IFERROR(__xludf.DUMMYFUNCTION("""COMPUTED_VALUE"""),"The Americas")</f>
        <v>The Americas</v>
      </c>
      <c r="AA605" s="14" t="str">
        <f>IFERROR(__xludf.DUMMYFUNCTION("""COMPUTED_VALUE"""),"2005")</f>
        <v>2005</v>
      </c>
      <c r="AB605" s="15" t="str">
        <f>IFERROR(__xludf.DUMMYFUNCTION("ARRAYFORMULA(VLOOKUP(A605,IMPORTRANGE(""https://docs.google.com/spreadsheets/d/1BuTWp7qHGjWhqrnf-OmePP568O4A5Am9ttzvVdP67zw/edit#gid=1931367683"" ,""ENERGY!$A$2:$F$2692""), {2,3,4,5,6},0))"),"The Americas")</f>
        <v>The Americas</v>
      </c>
      <c r="AC605" s="14" t="str">
        <f>IFERROR(__xludf.DUMMYFUNCTION("""COMPUTED_VALUE"""),"Cuba-The Americas")</f>
        <v>Cuba-The Americas</v>
      </c>
      <c r="AD605" s="14" t="str">
        <f>IFERROR(__xludf.DUMMYFUNCTION("""COMPUTED_VALUE"""),"2006")</f>
        <v>2006</v>
      </c>
      <c r="AE605" s="14">
        <f>IFERROR(__xludf.DUMMYFUNCTION("""COMPUTED_VALUE"""),10137.0)</f>
        <v>10137</v>
      </c>
      <c r="AF605" s="14">
        <f>IFERROR(__xludf.DUMMYFUNCTION("""COMPUTED_VALUE"""),26736.0)</f>
        <v>26736</v>
      </c>
    </row>
    <row r="606">
      <c r="A606" s="12">
        <v>605.0</v>
      </c>
      <c r="B606" s="12" t="s">
        <v>125</v>
      </c>
      <c r="C606" s="5" t="s">
        <v>84</v>
      </c>
      <c r="D606" s="8"/>
      <c r="E606" s="8"/>
      <c r="F606" s="8"/>
      <c r="G606" s="8"/>
      <c r="H606" s="11">
        <v>0.112</v>
      </c>
      <c r="I606" s="11">
        <v>0.014</v>
      </c>
      <c r="J606" s="9" t="s">
        <v>67</v>
      </c>
      <c r="K606" s="14" t="str">
        <f>IFERROR(__xludf.DUMMYFUNCTION("ARRAYFORMULA(VLOOKUP(A606,IMPORTRANGE(""https://docs.google.com/spreadsheets/d/1BuTWp7qHGjWhqrnf-OmePP568O4A5Am9ttzvVdP67zw/edit#gid=1603210130"", ""TOURISM!$A$2:$F$2692""), {2,3,4,5,6},0))"),"The Americas")</f>
        <v>The Americas</v>
      </c>
      <c r="L606" s="14">
        <f>IFERROR(__xludf.DUMMYFUNCTION("""COMPUTED_VALUE"""),2.414E9)</f>
        <v>2414000000</v>
      </c>
      <c r="M606" s="14" t="str">
        <f>IFERROR(__xludf.DUMMYFUNCTION("""COMPUTED_VALUE"""),"Cuba-The Americas")</f>
        <v>Cuba-The Americas</v>
      </c>
      <c r="N606" s="14" t="str">
        <f>IFERROR(__xludf.DUMMYFUNCTION("""COMPUTED_VALUE"""),"2006")</f>
        <v>2006</v>
      </c>
      <c r="O606" s="14"/>
      <c r="P606" s="15">
        <f>IFERROR(__xludf.DUMMYFUNCTION("ARRAYFORMULA(VLOOKUP(A606,IMPORTRANGE(""https://docs.google.com/spreadsheets/d/1BuTWp7qHGjWhqrnf-OmePP568O4A5Am9ttzvVdP67zw/edit#gid=771602874"" ,""HUMAN RESOURCES!$A$2:$M$2692""), {2,3,4,5,6,7,8,9,10,11,12,13},0))"),0.011)</f>
        <v>0.011</v>
      </c>
      <c r="Q606" s="14">
        <f>IFERROR(__xludf.DUMMYFUNCTION("""COMPUTED_VALUE"""),0.005)</f>
        <v>0.005</v>
      </c>
      <c r="R606" s="14">
        <f>IFERROR(__xludf.DUMMYFUNCTION("""COMPUTED_VALUE"""),80.0)</f>
        <v>80</v>
      </c>
      <c r="S606" s="14">
        <f>IFERROR(__xludf.DUMMYFUNCTION("""COMPUTED_VALUE"""),76.0)</f>
        <v>76</v>
      </c>
      <c r="T606" s="14">
        <f>IFERROR(__xludf.DUMMYFUNCTION("""COMPUTED_VALUE"""),0.19)</f>
        <v>0.19</v>
      </c>
      <c r="U606" s="14">
        <f>IFERROR(__xludf.DUMMYFUNCTION("""COMPUTED_VALUE"""),0.698)</f>
        <v>0.698</v>
      </c>
      <c r="V606" s="14">
        <f>IFERROR(__xludf.DUMMYFUNCTION("""COMPUTED_VALUE"""),0.112)</f>
        <v>0.112</v>
      </c>
      <c r="W606" s="14">
        <f>IFERROR(__xludf.DUMMYFUNCTION("""COMPUTED_VALUE"""),1.13011E7)</f>
        <v>11301100</v>
      </c>
      <c r="X606" s="14">
        <f>IFERROR(__xludf.DUMMYFUNCTION("""COMPUTED_VALUE"""),0.762)</f>
        <v>0.762</v>
      </c>
      <c r="Y606" s="14" t="str">
        <f>IFERROR(__xludf.DUMMYFUNCTION("""COMPUTED_VALUE"""),"Cuba-The Americas")</f>
        <v>Cuba-The Americas</v>
      </c>
      <c r="Z606" s="14" t="str">
        <f>IFERROR(__xludf.DUMMYFUNCTION("""COMPUTED_VALUE"""),"The Americas")</f>
        <v>The Americas</v>
      </c>
      <c r="AA606" s="14" t="str">
        <f>IFERROR(__xludf.DUMMYFUNCTION("""COMPUTED_VALUE"""),"2006")</f>
        <v>2006</v>
      </c>
      <c r="AB606" s="15" t="str">
        <f>IFERROR(__xludf.DUMMYFUNCTION("ARRAYFORMULA(VLOOKUP(A606,IMPORTRANGE(""https://docs.google.com/spreadsheets/d/1BuTWp7qHGjWhqrnf-OmePP568O4A5Am9ttzvVdP67zw/edit#gid=1931367683"" ,""ENERGY!$A$2:$F$2692""), {2,3,4,5,6},0))"),"The Americas")</f>
        <v>The Americas</v>
      </c>
      <c r="AC606" s="14" t="str">
        <f>IFERROR(__xludf.DUMMYFUNCTION("""COMPUTED_VALUE"""),"Cuba-The Americas")</f>
        <v>Cuba-The Americas</v>
      </c>
      <c r="AD606" s="14" t="str">
        <f>IFERROR(__xludf.DUMMYFUNCTION("""COMPUTED_VALUE"""),"2010")</f>
        <v>2010</v>
      </c>
      <c r="AE606" s="14">
        <f>IFERROR(__xludf.DUMMYFUNCTION("""COMPUTED_VALUE"""),10847.0)</f>
        <v>10847</v>
      </c>
      <c r="AF606" s="14">
        <f>IFERROR(__xludf.DUMMYFUNCTION("""COMPUTED_VALUE"""),27407.0)</f>
        <v>27407</v>
      </c>
    </row>
    <row r="607">
      <c r="A607" s="12">
        <v>606.0</v>
      </c>
      <c r="B607" s="12" t="s">
        <v>125</v>
      </c>
      <c r="C607" s="5" t="s">
        <v>84</v>
      </c>
      <c r="D607" s="8"/>
      <c r="E607" s="8"/>
      <c r="F607" s="8"/>
      <c r="G607" s="8"/>
      <c r="H607" s="11">
        <v>0.117</v>
      </c>
      <c r="I607" s="11">
        <v>0.018</v>
      </c>
      <c r="J607" s="9" t="s">
        <v>68</v>
      </c>
      <c r="K607" s="14" t="str">
        <f>IFERROR(__xludf.DUMMYFUNCTION("ARRAYFORMULA(VLOOKUP(A607,IMPORTRANGE(""https://docs.google.com/spreadsheets/d/1BuTWp7qHGjWhqrnf-OmePP568O4A5Am9ttzvVdP67zw/edit#gid=1603210130"", ""TOURISM!$A$2:$F$2692""), {2,3,4,5,6},0))"),"The Americas")</f>
        <v>The Americas</v>
      </c>
      <c r="L607" s="14">
        <f>IFERROR(__xludf.DUMMYFUNCTION("""COMPUTED_VALUE"""),2.415E9)</f>
        <v>2415000000</v>
      </c>
      <c r="M607" s="14" t="str">
        <f>IFERROR(__xludf.DUMMYFUNCTION("""COMPUTED_VALUE"""),"Cuba-The Americas")</f>
        <v>Cuba-The Americas</v>
      </c>
      <c r="N607" s="14" t="str">
        <f>IFERROR(__xludf.DUMMYFUNCTION("""COMPUTED_VALUE"""),"2007")</f>
        <v>2007</v>
      </c>
      <c r="O607" s="14"/>
      <c r="P607" s="15">
        <f>IFERROR(__xludf.DUMMYFUNCTION("ARRAYFORMULA(VLOOKUP(A607,IMPORTRANGE(""https://docs.google.com/spreadsheets/d/1BuTWp7qHGjWhqrnf-OmePP568O4A5Am9ttzvVdP67zw/edit#gid=771602874"" ,""HUMAN RESOURCES!$A$2:$M$2692""), {2,3,4,5,6,7,8,9,10,11,12,13},0))"),0.011)</f>
        <v>0.011</v>
      </c>
      <c r="Q607" s="14">
        <f>IFERROR(__xludf.DUMMYFUNCTION("""COMPUTED_VALUE"""),0.005)</f>
        <v>0.005</v>
      </c>
      <c r="R607" s="14">
        <f>IFERROR(__xludf.DUMMYFUNCTION("""COMPUTED_VALUE"""),80.0)</f>
        <v>80</v>
      </c>
      <c r="S607" s="14">
        <f>IFERROR(__xludf.DUMMYFUNCTION("""COMPUTED_VALUE"""),76.0)</f>
        <v>76</v>
      </c>
      <c r="T607" s="14">
        <f>IFERROR(__xludf.DUMMYFUNCTION("""COMPUTED_VALUE"""),0.186)</f>
        <v>0.186</v>
      </c>
      <c r="U607" s="14">
        <f>IFERROR(__xludf.DUMMYFUNCTION("""COMPUTED_VALUE"""),0.699)</f>
        <v>0.699</v>
      </c>
      <c r="V607" s="14">
        <f>IFERROR(__xludf.DUMMYFUNCTION("""COMPUTED_VALUE"""),0.115)</f>
        <v>0.115</v>
      </c>
      <c r="W607" s="14">
        <f>IFERROR(__xludf.DUMMYFUNCTION("""COMPUTED_VALUE"""),1.1301674E7)</f>
        <v>11301674</v>
      </c>
      <c r="X607" s="14">
        <f>IFERROR(__xludf.DUMMYFUNCTION("""COMPUTED_VALUE"""),0.763)</f>
        <v>0.763</v>
      </c>
      <c r="Y607" s="14" t="str">
        <f>IFERROR(__xludf.DUMMYFUNCTION("""COMPUTED_VALUE"""),"Cuba-The Americas")</f>
        <v>Cuba-The Americas</v>
      </c>
      <c r="Z607" s="14" t="str">
        <f>IFERROR(__xludf.DUMMYFUNCTION("""COMPUTED_VALUE"""),"The Americas")</f>
        <v>The Americas</v>
      </c>
      <c r="AA607" s="14" t="str">
        <f>IFERROR(__xludf.DUMMYFUNCTION("""COMPUTED_VALUE"""),"2007")</f>
        <v>2007</v>
      </c>
      <c r="AB607" s="15" t="str">
        <f>IFERROR(__xludf.DUMMYFUNCTION("ARRAYFORMULA(VLOOKUP(A607,IMPORTRANGE(""https://docs.google.com/spreadsheets/d/1BuTWp7qHGjWhqrnf-OmePP568O4A5Am9ttzvVdP67zw/edit#gid=1931367683"" ,""ENERGY!$A$2:$F$2692""), {2,3,4,5,6},0))"),"The Americas")</f>
        <v>The Americas</v>
      </c>
      <c r="AC607" s="14" t="str">
        <f>IFERROR(__xludf.DUMMYFUNCTION("""COMPUTED_VALUE"""),"Cuba-The Americas")</f>
        <v>Cuba-The Americas</v>
      </c>
      <c r="AD607" s="14" t="str">
        <f>IFERROR(__xludf.DUMMYFUNCTION("""COMPUTED_VALUE"""),"2007")</f>
        <v>2007</v>
      </c>
      <c r="AE607" s="14">
        <f>IFERROR(__xludf.DUMMYFUNCTION("""COMPUTED_VALUE"""),10758.0)</f>
        <v>10758</v>
      </c>
      <c r="AF607" s="14">
        <f>IFERROR(__xludf.DUMMYFUNCTION("""COMPUTED_VALUE"""),26006.0)</f>
        <v>26006</v>
      </c>
    </row>
    <row r="608">
      <c r="A608" s="12">
        <v>607.0</v>
      </c>
      <c r="B608" s="12" t="s">
        <v>125</v>
      </c>
      <c r="C608" s="5" t="s">
        <v>84</v>
      </c>
      <c r="D608" s="8"/>
      <c r="E608" s="8"/>
      <c r="F608" s="8"/>
      <c r="G608" s="8"/>
      <c r="H608" s="11">
        <v>0.129</v>
      </c>
      <c r="I608" s="11">
        <v>0.029</v>
      </c>
      <c r="J608" s="9" t="s">
        <v>69</v>
      </c>
      <c r="K608" s="14" t="str">
        <f>IFERROR(__xludf.DUMMYFUNCTION("ARRAYFORMULA(VLOOKUP(A608,IMPORTRANGE(""https://docs.google.com/spreadsheets/d/1BuTWp7qHGjWhqrnf-OmePP568O4A5Am9ttzvVdP67zw/edit#gid=1603210130"", ""TOURISM!$A$2:$F$2692""), {2,3,4,5,6},0))"),"The Americas")</f>
        <v>The Americas</v>
      </c>
      <c r="L608" s="14">
        <f>IFERROR(__xludf.DUMMYFUNCTION("""COMPUTED_VALUE"""),2.347E9)</f>
        <v>2347000000</v>
      </c>
      <c r="M608" s="14" t="str">
        <f>IFERROR(__xludf.DUMMYFUNCTION("""COMPUTED_VALUE"""),"Cuba-The Americas")</f>
        <v>Cuba-The Americas</v>
      </c>
      <c r="N608" s="14" t="str">
        <f>IFERROR(__xludf.DUMMYFUNCTION("""COMPUTED_VALUE"""),"2008")</f>
        <v>2008</v>
      </c>
      <c r="O608" s="14"/>
      <c r="P608" s="15">
        <f>IFERROR(__xludf.DUMMYFUNCTION("ARRAYFORMULA(VLOOKUP(A608,IMPORTRANGE(""https://docs.google.com/spreadsheets/d/1BuTWp7qHGjWhqrnf-OmePP568O4A5Am9ttzvVdP67zw/edit#gid=771602874"" ,""HUMAN RESOURCES!$A$2:$M$2692""), {2,3,4,5,6,7,8,9,10,11,12,13},0))"),0.01)</f>
        <v>0.01</v>
      </c>
      <c r="Q608" s="14">
        <f>IFERROR(__xludf.DUMMYFUNCTION("""COMPUTED_VALUE"""),0.005)</f>
        <v>0.005</v>
      </c>
      <c r="R608" s="14">
        <f>IFERROR(__xludf.DUMMYFUNCTION("""COMPUTED_VALUE"""),80.0)</f>
        <v>80</v>
      </c>
      <c r="S608" s="14">
        <f>IFERROR(__xludf.DUMMYFUNCTION("""COMPUTED_VALUE"""),76.0)</f>
        <v>76</v>
      </c>
      <c r="T608" s="14">
        <f>IFERROR(__xludf.DUMMYFUNCTION("""COMPUTED_VALUE"""),0.181)</f>
        <v>0.181</v>
      </c>
      <c r="U608" s="14">
        <f>IFERROR(__xludf.DUMMYFUNCTION("""COMPUTED_VALUE"""),0.7)</f>
        <v>0.7</v>
      </c>
      <c r="V608" s="14">
        <f>IFERROR(__xludf.DUMMYFUNCTION("""COMPUTED_VALUE"""),0.118)</f>
        <v>0.118</v>
      </c>
      <c r="W608" s="14">
        <f>IFERROR(__xludf.DUMMYFUNCTION("""COMPUTED_VALUE"""),1.1296355E7)</f>
        <v>11296355</v>
      </c>
      <c r="X608" s="14">
        <f>IFERROR(__xludf.DUMMYFUNCTION("""COMPUTED_VALUE"""),0.764)</f>
        <v>0.764</v>
      </c>
      <c r="Y608" s="14" t="str">
        <f>IFERROR(__xludf.DUMMYFUNCTION("""COMPUTED_VALUE"""),"Cuba-The Americas")</f>
        <v>Cuba-The Americas</v>
      </c>
      <c r="Z608" s="14" t="str">
        <f>IFERROR(__xludf.DUMMYFUNCTION("""COMPUTED_VALUE"""),"The Americas")</f>
        <v>The Americas</v>
      </c>
      <c r="AA608" s="14" t="str">
        <f>IFERROR(__xludf.DUMMYFUNCTION("""COMPUTED_VALUE"""),"2008")</f>
        <v>2008</v>
      </c>
      <c r="AB608" s="15" t="str">
        <f>IFERROR(__xludf.DUMMYFUNCTION("ARRAYFORMULA(VLOOKUP(A608,IMPORTRANGE(""https://docs.google.com/spreadsheets/d/1BuTWp7qHGjWhqrnf-OmePP568O4A5Am9ttzvVdP67zw/edit#gid=1931367683"" ,""ENERGY!$A$2:$F$2692""), {2,3,4,5,6},0))"),"The Americas")</f>
        <v>The Americas</v>
      </c>
      <c r="AC608" s="14" t="str">
        <f>IFERROR(__xludf.DUMMYFUNCTION("""COMPUTED_VALUE"""),"Cuba-The Americas")</f>
        <v>Cuba-The Americas</v>
      </c>
      <c r="AD608" s="14" t="str">
        <f>IFERROR(__xludf.DUMMYFUNCTION("""COMPUTED_VALUE"""),"2005")</f>
        <v>2005</v>
      </c>
      <c r="AE608" s="14">
        <f>IFERROR(__xludf.DUMMYFUNCTION("""COMPUTED_VALUE"""),11312.0)</f>
        <v>11312</v>
      </c>
      <c r="AF608" s="14">
        <f>IFERROR(__xludf.DUMMYFUNCTION("""COMPUTED_VALUE"""),25005.0)</f>
        <v>25005</v>
      </c>
    </row>
    <row r="609">
      <c r="A609" s="12">
        <v>608.0</v>
      </c>
      <c r="B609" s="12" t="s">
        <v>125</v>
      </c>
      <c r="C609" s="5" t="s">
        <v>84</v>
      </c>
      <c r="D609" s="8"/>
      <c r="E609" s="8"/>
      <c r="F609" s="8"/>
      <c r="G609" s="8"/>
      <c r="H609" s="11">
        <v>0.143</v>
      </c>
      <c r="I609" s="11">
        <v>0.055</v>
      </c>
      <c r="J609" s="9" t="s">
        <v>70</v>
      </c>
      <c r="K609" s="14" t="str">
        <f>IFERROR(__xludf.DUMMYFUNCTION("ARRAYFORMULA(VLOOKUP(A609,IMPORTRANGE(""https://docs.google.com/spreadsheets/d/1BuTWp7qHGjWhqrnf-OmePP568O4A5Am9ttzvVdP67zw/edit#gid=1603210130"", ""TOURISM!$A$2:$F$2692""), {2,3,4,5,6},0))"),"The Americas")</f>
        <v>The Americas</v>
      </c>
      <c r="L609" s="14">
        <f>IFERROR(__xludf.DUMMYFUNCTION("""COMPUTED_VALUE"""),2.082E9)</f>
        <v>2082000000</v>
      </c>
      <c r="M609" s="14" t="str">
        <f>IFERROR(__xludf.DUMMYFUNCTION("""COMPUTED_VALUE"""),"Cuba-The Americas")</f>
        <v>Cuba-The Americas</v>
      </c>
      <c r="N609" s="14" t="str">
        <f>IFERROR(__xludf.DUMMYFUNCTION("""COMPUTED_VALUE"""),"2009")</f>
        <v>2009</v>
      </c>
      <c r="O609" s="14"/>
      <c r="P609" s="15">
        <f>IFERROR(__xludf.DUMMYFUNCTION("ARRAYFORMULA(VLOOKUP(A609,IMPORTRANGE(""https://docs.google.com/spreadsheets/d/1BuTWp7qHGjWhqrnf-OmePP568O4A5Am9ttzvVdP67zw/edit#gid=771602874"" ,""HUMAN RESOURCES!$A$2:$M$2692""), {2,3,4,5,6,7,8,9,10,11,12,13},0))"),0.01)</f>
        <v>0.01</v>
      </c>
      <c r="Q609" s="14">
        <f>IFERROR(__xludf.DUMMYFUNCTION("""COMPUTED_VALUE"""),0.005)</f>
        <v>0.005</v>
      </c>
      <c r="R609" s="14">
        <f>IFERROR(__xludf.DUMMYFUNCTION("""COMPUTED_VALUE"""),81.0)</f>
        <v>81</v>
      </c>
      <c r="S609" s="14">
        <f>IFERROR(__xludf.DUMMYFUNCTION("""COMPUTED_VALUE"""),77.0)</f>
        <v>77</v>
      </c>
      <c r="T609" s="14">
        <f>IFERROR(__xludf.DUMMYFUNCTION("""COMPUTED_VALUE"""),0.177)</f>
        <v>0.177</v>
      </c>
      <c r="U609" s="14">
        <f>IFERROR(__xludf.DUMMYFUNCTION("""COMPUTED_VALUE"""),0.701)</f>
        <v>0.701</v>
      </c>
      <c r="V609" s="14">
        <f>IFERROR(__xludf.DUMMYFUNCTION("""COMPUTED_VALUE"""),0.121)</f>
        <v>0.121</v>
      </c>
      <c r="W609" s="14">
        <f>IFERROR(__xludf.DUMMYFUNCTION("""COMPUTED_VALUE"""),1.1288826E7)</f>
        <v>11288826</v>
      </c>
      <c r="X609" s="14">
        <f>IFERROR(__xludf.DUMMYFUNCTION("""COMPUTED_VALUE"""),0.765)</f>
        <v>0.765</v>
      </c>
      <c r="Y609" s="14" t="str">
        <f>IFERROR(__xludf.DUMMYFUNCTION("""COMPUTED_VALUE"""),"Cuba-The Americas")</f>
        <v>Cuba-The Americas</v>
      </c>
      <c r="Z609" s="14" t="str">
        <f>IFERROR(__xludf.DUMMYFUNCTION("""COMPUTED_VALUE"""),"The Americas")</f>
        <v>The Americas</v>
      </c>
      <c r="AA609" s="14" t="str">
        <f>IFERROR(__xludf.DUMMYFUNCTION("""COMPUTED_VALUE"""),"2009")</f>
        <v>2009</v>
      </c>
      <c r="AB609" s="15" t="str">
        <f>IFERROR(__xludf.DUMMYFUNCTION("ARRAYFORMULA(VLOOKUP(A609,IMPORTRANGE(""https://docs.google.com/spreadsheets/d/1BuTWp7qHGjWhqrnf-OmePP568O4A5Am9ttzvVdP67zw/edit#gid=1931367683"" ,""ENERGY!$A$2:$F$2692""), {2,3,4,5,6},0))"),"The Americas")</f>
        <v>The Americas</v>
      </c>
      <c r="AC609" s="14" t="str">
        <f>IFERROR(__xludf.DUMMYFUNCTION("""COMPUTED_VALUE"""),"Cuba-The Americas")</f>
        <v>Cuba-The Americas</v>
      </c>
      <c r="AD609" s="14" t="str">
        <f>IFERROR(__xludf.DUMMYFUNCTION("""COMPUTED_VALUE"""),"2009")</f>
        <v>2009</v>
      </c>
      <c r="AE609" s="14">
        <f>IFERROR(__xludf.DUMMYFUNCTION("""COMPUTED_VALUE"""),11662.0)</f>
        <v>11662</v>
      </c>
      <c r="AF609" s="14">
        <f>IFERROR(__xludf.DUMMYFUNCTION("""COMPUTED_VALUE"""),25486.0)</f>
        <v>25486</v>
      </c>
    </row>
    <row r="610">
      <c r="A610" s="12">
        <v>609.0</v>
      </c>
      <c r="B610" s="12" t="s">
        <v>125</v>
      </c>
      <c r="C610" s="5" t="s">
        <v>84</v>
      </c>
      <c r="D610" s="8"/>
      <c r="E610" s="8"/>
      <c r="F610" s="8"/>
      <c r="G610" s="8"/>
      <c r="H610" s="11">
        <v>0.159</v>
      </c>
      <c r="I610" s="11">
        <v>0.089</v>
      </c>
      <c r="J610" s="9" t="s">
        <v>71</v>
      </c>
      <c r="K610" s="14" t="str">
        <f>IFERROR(__xludf.DUMMYFUNCTION("ARRAYFORMULA(VLOOKUP(A610,IMPORTRANGE(""https://docs.google.com/spreadsheets/d/1BuTWp7qHGjWhqrnf-OmePP568O4A5Am9ttzvVdP67zw/edit#gid=1603210130"", ""TOURISM!$A$2:$F$2692""), {2,3,4,5,6},0))"),"The Americas")</f>
        <v>The Americas</v>
      </c>
      <c r="L610" s="14">
        <f>IFERROR(__xludf.DUMMYFUNCTION("""COMPUTED_VALUE"""),2.218E9)</f>
        <v>2218000000</v>
      </c>
      <c r="M610" s="14" t="str">
        <f>IFERROR(__xludf.DUMMYFUNCTION("""COMPUTED_VALUE"""),"Cuba-The Americas")</f>
        <v>Cuba-The Americas</v>
      </c>
      <c r="N610" s="14" t="str">
        <f>IFERROR(__xludf.DUMMYFUNCTION("""COMPUTED_VALUE"""),"2010")</f>
        <v>2010</v>
      </c>
      <c r="O610" s="14"/>
      <c r="P610" s="15">
        <f>IFERROR(__xludf.DUMMYFUNCTION("ARRAYFORMULA(VLOOKUP(A610,IMPORTRANGE(""https://docs.google.com/spreadsheets/d/1BuTWp7qHGjWhqrnf-OmePP568O4A5Am9ttzvVdP67zw/edit#gid=771602874"" ,""HUMAN RESOURCES!$A$2:$M$2692""), {2,3,4,5,6,7,8,9,10,11,12,13},0))"),0.01)</f>
        <v>0.01</v>
      </c>
      <c r="Q610" s="14">
        <f>IFERROR(__xludf.DUMMYFUNCTION("""COMPUTED_VALUE"""),0.005)</f>
        <v>0.005</v>
      </c>
      <c r="R610" s="14">
        <f>IFERROR(__xludf.DUMMYFUNCTION("""COMPUTED_VALUE"""),81.0)</f>
        <v>81</v>
      </c>
      <c r="S610" s="14">
        <f>IFERROR(__xludf.DUMMYFUNCTION("""COMPUTED_VALUE"""),77.0)</f>
        <v>77</v>
      </c>
      <c r="T610" s="14">
        <f>IFERROR(__xludf.DUMMYFUNCTION("""COMPUTED_VALUE"""),0.173)</f>
        <v>0.173</v>
      </c>
      <c r="U610" s="14">
        <f>IFERROR(__xludf.DUMMYFUNCTION("""COMPUTED_VALUE"""),0.702)</f>
        <v>0.702</v>
      </c>
      <c r="V610" s="14">
        <f>IFERROR(__xludf.DUMMYFUNCTION("""COMPUTED_VALUE"""),0.124)</f>
        <v>0.124</v>
      </c>
      <c r="W610" s="14">
        <f>IFERROR(__xludf.DUMMYFUNCTION("""COMPUTED_VALUE"""),1.1281768E7)</f>
        <v>11281768</v>
      </c>
      <c r="X610" s="14">
        <f>IFERROR(__xludf.DUMMYFUNCTION("""COMPUTED_VALUE"""),0.766)</f>
        <v>0.766</v>
      </c>
      <c r="Y610" s="14" t="str">
        <f>IFERROR(__xludf.DUMMYFUNCTION("""COMPUTED_VALUE"""),"Cuba-The Americas")</f>
        <v>Cuba-The Americas</v>
      </c>
      <c r="Z610" s="14" t="str">
        <f>IFERROR(__xludf.DUMMYFUNCTION("""COMPUTED_VALUE"""),"The Americas")</f>
        <v>The Americas</v>
      </c>
      <c r="AA610" s="14" t="str">
        <f>IFERROR(__xludf.DUMMYFUNCTION("""COMPUTED_VALUE"""),"2010")</f>
        <v>2010</v>
      </c>
      <c r="AB610" s="15" t="str">
        <f>IFERROR(__xludf.DUMMYFUNCTION("ARRAYFORMULA(VLOOKUP(A610,IMPORTRANGE(""https://docs.google.com/spreadsheets/d/1BuTWp7qHGjWhqrnf-OmePP568O4A5Am9ttzvVdP67zw/edit#gid=1931367683"" ,""ENERGY!$A$2:$F$2692""), {2,3,4,5,6},0))"),"The Americas")</f>
        <v>The Americas</v>
      </c>
      <c r="AC610" s="14" t="str">
        <f>IFERROR(__xludf.DUMMYFUNCTION("""COMPUTED_VALUE"""),"Cuba-The Americas")</f>
        <v>Cuba-The Americas</v>
      </c>
      <c r="AD610" s="14" t="str">
        <f>IFERROR(__xludf.DUMMYFUNCTION("""COMPUTED_VALUE"""),"2007")</f>
        <v>2007</v>
      </c>
      <c r="AE610" s="14">
        <f>IFERROR(__xludf.DUMMYFUNCTION("""COMPUTED_VALUE"""),11729.0)</f>
        <v>11729</v>
      </c>
      <c r="AF610" s="14">
        <f>IFERROR(__xludf.DUMMYFUNCTION("""COMPUTED_VALUE"""),26091.0)</f>
        <v>26091</v>
      </c>
    </row>
    <row r="611">
      <c r="A611" s="12">
        <v>610.0</v>
      </c>
      <c r="B611" s="12" t="s">
        <v>125</v>
      </c>
      <c r="C611" s="5" t="s">
        <v>84</v>
      </c>
      <c r="D611" s="8"/>
      <c r="E611" s="8"/>
      <c r="F611" s="8"/>
      <c r="G611" s="8"/>
      <c r="H611" s="11">
        <v>0.16</v>
      </c>
      <c r="I611" s="11">
        <v>0.117</v>
      </c>
      <c r="J611" s="9" t="s">
        <v>72</v>
      </c>
      <c r="K611" s="14" t="str">
        <f>IFERROR(__xludf.DUMMYFUNCTION("ARRAYFORMULA(VLOOKUP(A611,IMPORTRANGE(""https://docs.google.com/spreadsheets/d/1BuTWp7qHGjWhqrnf-OmePP568O4A5Am9ttzvVdP67zw/edit#gid=1603210130"", ""TOURISM!$A$2:$F$2692""), {2,3,4,5,6},0))"),"The Americas")</f>
        <v>The Americas</v>
      </c>
      <c r="L611" s="14">
        <f>IFERROR(__xludf.DUMMYFUNCTION("""COMPUTED_VALUE"""),2.503E9)</f>
        <v>2503000000</v>
      </c>
      <c r="M611" s="14" t="str">
        <f>IFERROR(__xludf.DUMMYFUNCTION("""COMPUTED_VALUE"""),"Cuba-The Americas")</f>
        <v>Cuba-The Americas</v>
      </c>
      <c r="N611" s="14" t="str">
        <f>IFERROR(__xludf.DUMMYFUNCTION("""COMPUTED_VALUE"""),"2011")</f>
        <v>2011</v>
      </c>
      <c r="O611" s="14"/>
      <c r="P611" s="15">
        <f>IFERROR(__xludf.DUMMYFUNCTION("ARRAYFORMULA(VLOOKUP(A611,IMPORTRANGE(""https://docs.google.com/spreadsheets/d/1BuTWp7qHGjWhqrnf-OmePP568O4A5Am9ttzvVdP67zw/edit#gid=771602874"" ,""HUMAN RESOURCES!$A$2:$M$2692""), {2,3,4,5,6,7,8,9,10,11,12,13},0))"),0.01)</f>
        <v>0.01</v>
      </c>
      <c r="Q611" s="14">
        <f>IFERROR(__xludf.DUMMYFUNCTION("""COMPUTED_VALUE"""),0.006)</f>
        <v>0.006</v>
      </c>
      <c r="R611" s="14">
        <f>IFERROR(__xludf.DUMMYFUNCTION("""COMPUTED_VALUE"""),81.0)</f>
        <v>81</v>
      </c>
      <c r="S611" s="14">
        <f>IFERROR(__xludf.DUMMYFUNCTION("""COMPUTED_VALUE"""),77.0)</f>
        <v>77</v>
      </c>
      <c r="T611" s="14">
        <f>IFERROR(__xludf.DUMMYFUNCTION("""COMPUTED_VALUE"""),0.169)</f>
        <v>0.169</v>
      </c>
      <c r="U611" s="14">
        <f>IFERROR(__xludf.DUMMYFUNCTION("""COMPUTED_VALUE"""),0.703)</f>
        <v>0.703</v>
      </c>
      <c r="V611" s="14">
        <f>IFERROR(__xludf.DUMMYFUNCTION("""COMPUTED_VALUE"""),0.127)</f>
        <v>0.127</v>
      </c>
      <c r="W611" s="14">
        <f>IFERROR(__xludf.DUMMYFUNCTION("""COMPUTED_VALUE"""),1.1276053E7)</f>
        <v>11276053</v>
      </c>
      <c r="X611" s="14">
        <f>IFERROR(__xludf.DUMMYFUNCTION("""COMPUTED_VALUE"""),0.767)</f>
        <v>0.767</v>
      </c>
      <c r="Y611" s="14" t="str">
        <f>IFERROR(__xludf.DUMMYFUNCTION("""COMPUTED_VALUE"""),"Cuba-The Americas")</f>
        <v>Cuba-The Americas</v>
      </c>
      <c r="Z611" s="14" t="str">
        <f>IFERROR(__xludf.DUMMYFUNCTION("""COMPUTED_VALUE"""),"The Americas")</f>
        <v>The Americas</v>
      </c>
      <c r="AA611" s="14" t="str">
        <f>IFERROR(__xludf.DUMMYFUNCTION("""COMPUTED_VALUE"""),"2011")</f>
        <v>2011</v>
      </c>
      <c r="AB611" s="15" t="str">
        <f>IFERROR(__xludf.DUMMYFUNCTION("ARRAYFORMULA(VLOOKUP(A611,IMPORTRANGE(""https://docs.google.com/spreadsheets/d/1BuTWp7qHGjWhqrnf-OmePP568O4A5Am9ttzvVdP67zw/edit#gid=1931367683"" ,""ENERGY!$A$2:$F$2692""), {2,3,4,5,6},0))"),"The Americas")</f>
        <v>The Americas</v>
      </c>
      <c r="AC611" s="14" t="str">
        <f>IFERROR(__xludf.DUMMYFUNCTION("""COMPUTED_VALUE"""),"Cuba-The Americas")</f>
        <v>Cuba-The Americas</v>
      </c>
      <c r="AD611" s="14" t="str">
        <f>IFERROR(__xludf.DUMMYFUNCTION("""COMPUTED_VALUE"""),"2004")</f>
        <v>2004</v>
      </c>
      <c r="AE611" s="14">
        <f>IFERROR(__xludf.DUMMYFUNCTION("""COMPUTED_VALUE"""),12588.0)</f>
        <v>12588</v>
      </c>
      <c r="AF611" s="14">
        <f>IFERROR(__xludf.DUMMYFUNCTION("""COMPUTED_VALUE"""),25453.0)</f>
        <v>25453</v>
      </c>
    </row>
    <row r="612">
      <c r="A612" s="12">
        <v>611.0</v>
      </c>
      <c r="B612" s="12" t="s">
        <v>125</v>
      </c>
      <c r="C612" s="5" t="s">
        <v>84</v>
      </c>
      <c r="D612" s="8"/>
      <c r="E612" s="8"/>
      <c r="F612" s="8"/>
      <c r="G612" s="8"/>
      <c r="H612" s="11">
        <v>0.256</v>
      </c>
      <c r="I612" s="11">
        <v>0.149</v>
      </c>
      <c r="J612" s="9" t="s">
        <v>73</v>
      </c>
      <c r="K612" s="14" t="str">
        <f>IFERROR(__xludf.DUMMYFUNCTION("ARRAYFORMULA(VLOOKUP(A612,IMPORTRANGE(""https://docs.google.com/spreadsheets/d/1BuTWp7qHGjWhqrnf-OmePP568O4A5Am9ttzvVdP67zw/edit#gid=1603210130"", ""TOURISM!$A$2:$F$2692""), {2,3,4,5,6},0))"),"The Americas")</f>
        <v>The Americas</v>
      </c>
      <c r="L612" s="14">
        <f>IFERROR(__xludf.DUMMYFUNCTION("""COMPUTED_VALUE"""),2.614E9)</f>
        <v>2614000000</v>
      </c>
      <c r="M612" s="14" t="str">
        <f>IFERROR(__xludf.DUMMYFUNCTION("""COMPUTED_VALUE"""),"Cuba-The Americas")</f>
        <v>Cuba-The Americas</v>
      </c>
      <c r="N612" s="14" t="str">
        <f>IFERROR(__xludf.DUMMYFUNCTION("""COMPUTED_VALUE"""),"2012")</f>
        <v>2012</v>
      </c>
      <c r="O612" s="14"/>
      <c r="P612" s="15">
        <f>IFERROR(__xludf.DUMMYFUNCTION("ARRAYFORMULA(VLOOKUP(A612,IMPORTRANGE(""https://docs.google.com/spreadsheets/d/1BuTWp7qHGjWhqrnf-OmePP568O4A5Am9ttzvVdP67zw/edit#gid=771602874"" ,""HUMAN RESOURCES!$A$2:$M$2692""), {2,3,4,5,6,7,8,9,10,11,12,13},0))"),0.01)</f>
        <v>0.01</v>
      </c>
      <c r="Q612" s="14">
        <f>IFERROR(__xludf.DUMMYFUNCTION("""COMPUTED_VALUE"""),0.005)</f>
        <v>0.005</v>
      </c>
      <c r="R612" s="14">
        <f>IFERROR(__xludf.DUMMYFUNCTION("""COMPUTED_VALUE"""),81.0)</f>
        <v>81</v>
      </c>
      <c r="S612" s="14">
        <f>IFERROR(__xludf.DUMMYFUNCTION("""COMPUTED_VALUE"""),77.0)</f>
        <v>77</v>
      </c>
      <c r="T612" s="14">
        <f>IFERROR(__xludf.DUMMYFUNCTION("""COMPUTED_VALUE"""),0.166)</f>
        <v>0.166</v>
      </c>
      <c r="U612" s="14">
        <f>IFERROR(__xludf.DUMMYFUNCTION("""COMPUTED_VALUE"""),0.704)</f>
        <v>0.704</v>
      </c>
      <c r="V612" s="14">
        <f>IFERROR(__xludf.DUMMYFUNCTION("""COMPUTED_VALUE"""),0.13)</f>
        <v>0.13</v>
      </c>
      <c r="W612" s="14">
        <f>IFERROR(__xludf.DUMMYFUNCTION("""COMPUTED_VALUE"""),1.1270957E7)</f>
        <v>11270957</v>
      </c>
      <c r="X612" s="14">
        <f>IFERROR(__xludf.DUMMYFUNCTION("""COMPUTED_VALUE"""),0.768)</f>
        <v>0.768</v>
      </c>
      <c r="Y612" s="14" t="str">
        <f>IFERROR(__xludf.DUMMYFUNCTION("""COMPUTED_VALUE"""),"Cuba-The Americas")</f>
        <v>Cuba-The Americas</v>
      </c>
      <c r="Z612" s="14" t="str">
        <f>IFERROR(__xludf.DUMMYFUNCTION("""COMPUTED_VALUE"""),"The Americas")</f>
        <v>The Americas</v>
      </c>
      <c r="AA612" s="14" t="str">
        <f>IFERROR(__xludf.DUMMYFUNCTION("""COMPUTED_VALUE"""),"2012")</f>
        <v>2012</v>
      </c>
      <c r="AB612" s="15" t="str">
        <f>IFERROR(__xludf.DUMMYFUNCTION("ARRAYFORMULA(VLOOKUP(A612,IMPORTRANGE(""https://docs.google.com/spreadsheets/d/1BuTWp7qHGjWhqrnf-OmePP568O4A5Am9ttzvVdP67zw/edit#gid=1931367683"" ,""ENERGY!$A$2:$F$2692""), {2,3,4,5,6},0))"),"The Americas")</f>
        <v>The Americas</v>
      </c>
      <c r="AC612" s="14" t="str">
        <f>IFERROR(__xludf.DUMMYFUNCTION("""COMPUTED_VALUE"""),"Cuba-The Americas")</f>
        <v>Cuba-The Americas</v>
      </c>
      <c r="AD612" s="14" t="str">
        <f>IFERROR(__xludf.DUMMYFUNCTION("""COMPUTED_VALUE"""),"2009")</f>
        <v>2009</v>
      </c>
      <c r="AE612" s="14">
        <f>IFERROR(__xludf.DUMMYFUNCTION("""COMPUTED_VALUE"""),12859.0)</f>
        <v>12859</v>
      </c>
      <c r="AF612" s="14">
        <f>IFERROR(__xludf.DUMMYFUNCTION("""COMPUTED_VALUE"""),26039.0)</f>
        <v>26039</v>
      </c>
    </row>
    <row r="613">
      <c r="A613" s="12">
        <v>612.0</v>
      </c>
      <c r="B613" s="12" t="s">
        <v>126</v>
      </c>
      <c r="C613" s="5" t="s">
        <v>84</v>
      </c>
      <c r="D613" s="8"/>
      <c r="E613" s="8"/>
      <c r="F613" s="8"/>
      <c r="G613" s="8"/>
      <c r="H613" s="8"/>
      <c r="I613" s="8"/>
      <c r="J613" s="9" t="s">
        <v>60</v>
      </c>
      <c r="K613" s="14" t="str">
        <f>IFERROR(__xludf.DUMMYFUNCTION("ARRAYFORMULA(VLOOKUP(A613,IMPORTRANGE(""https://docs.google.com/spreadsheets/d/1BuTWp7qHGjWhqrnf-OmePP568O4A5Am9ttzvVdP67zw/edit#gid=1603210130"", ""TOURISM!$A$2:$F$2692""), {2,3,4,5,6},0))"),"The Americas")</f>
        <v>The Americas</v>
      </c>
      <c r="L613" s="14">
        <f>IFERROR(__xludf.DUMMYFUNCTION("""COMPUTED_VALUE"""),2.27E8)</f>
        <v>227000000</v>
      </c>
      <c r="M613" s="14" t="str">
        <f>IFERROR(__xludf.DUMMYFUNCTION("""COMPUTED_VALUE"""),"Curacao-The Americas")</f>
        <v>Curacao-The Americas</v>
      </c>
      <c r="N613" s="14" t="str">
        <f>IFERROR(__xludf.DUMMYFUNCTION("""COMPUTED_VALUE"""),"2000")</f>
        <v>2000</v>
      </c>
      <c r="O613" s="14"/>
      <c r="P613" s="15" t="str">
        <f>IFERROR(__xludf.DUMMYFUNCTION("ARRAYFORMULA(VLOOKUP(A613,IMPORTRANGE(""https://docs.google.com/spreadsheets/d/1BuTWp7qHGjWhqrnf-OmePP568O4A5Am9ttzvVdP67zw/edit#gid=771602874"" ,""HUMAN RESOURCES!$A$2:$M$2692""), {2,3,4,5,6,7,8,9,10,11,12,13},0))"),"")</f>
        <v/>
      </c>
      <c r="Q613" s="14"/>
      <c r="R613" s="14"/>
      <c r="S613" s="14"/>
      <c r="T613" s="14">
        <f>IFERROR(__xludf.DUMMYFUNCTION("""COMPUTED_VALUE"""),0.249)</f>
        <v>0.249</v>
      </c>
      <c r="U613" s="14">
        <f>IFERROR(__xludf.DUMMYFUNCTION("""COMPUTED_VALUE"""),0.648)</f>
        <v>0.648</v>
      </c>
      <c r="V613" s="14">
        <f>IFERROR(__xludf.DUMMYFUNCTION("""COMPUTED_VALUE"""),0.103)</f>
        <v>0.103</v>
      </c>
      <c r="W613" s="14">
        <f>IFERROR(__xludf.DUMMYFUNCTION("""COMPUTED_VALUE"""),133860.0)</f>
        <v>133860</v>
      </c>
      <c r="X613" s="14">
        <f>IFERROR(__xludf.DUMMYFUNCTION("""COMPUTED_VALUE"""),0.908)</f>
        <v>0.908</v>
      </c>
      <c r="Y613" s="14" t="str">
        <f>IFERROR(__xludf.DUMMYFUNCTION("""COMPUTED_VALUE"""),"Curacao-The Americas")</f>
        <v>Curacao-The Americas</v>
      </c>
      <c r="Z613" s="14" t="str">
        <f>IFERROR(__xludf.DUMMYFUNCTION("""COMPUTED_VALUE"""),"The Americas")</f>
        <v>The Americas</v>
      </c>
      <c r="AA613" s="14" t="str">
        <f>IFERROR(__xludf.DUMMYFUNCTION("""COMPUTED_VALUE"""),"2000")</f>
        <v>2000</v>
      </c>
      <c r="AB613" s="15" t="str">
        <f>IFERROR(__xludf.DUMMYFUNCTION("ARRAYFORMULA(VLOOKUP(A613,IMPORTRANGE(""https://docs.google.com/spreadsheets/d/1BuTWp7qHGjWhqrnf-OmePP568O4A5Am9ttzvVdP67zw/edit#gid=1931367683"" ,""ENERGY!$A$2:$F$2692""), {2,3,4,5,6},0))"),"The Americas")</f>
        <v>The Americas</v>
      </c>
      <c r="AC613" s="14" t="str">
        <f>IFERROR(__xludf.DUMMYFUNCTION("""COMPUTED_VALUE"""),"Curacao-The Americas")</f>
        <v>Curacao-The Americas</v>
      </c>
      <c r="AD613" s="14" t="str">
        <f>IFERROR(__xludf.DUMMYFUNCTION("""COMPUTED_VALUE"""),"2000")</f>
        <v>2000</v>
      </c>
      <c r="AE613" s="14"/>
      <c r="AF613" s="14"/>
    </row>
    <row r="614">
      <c r="A614" s="12">
        <v>613.0</v>
      </c>
      <c r="B614" s="12" t="s">
        <v>126</v>
      </c>
      <c r="C614" s="5" t="s">
        <v>84</v>
      </c>
      <c r="D614" s="8"/>
      <c r="E614" s="8"/>
      <c r="F614" s="8"/>
      <c r="G614" s="8"/>
      <c r="H614" s="8"/>
      <c r="I614" s="8"/>
      <c r="J614" s="9" t="s">
        <v>62</v>
      </c>
      <c r="K614" s="14" t="str">
        <f>IFERROR(__xludf.DUMMYFUNCTION("ARRAYFORMULA(VLOOKUP(A614,IMPORTRANGE(""https://docs.google.com/spreadsheets/d/1BuTWp7qHGjWhqrnf-OmePP568O4A5Am9ttzvVdP67zw/edit#gid=1603210130"", ""TOURISM!$A$2:$F$2692""), {2,3,4,5,6},0))"),"The Americas")</f>
        <v>The Americas</v>
      </c>
      <c r="L614" s="14">
        <f>IFERROR(__xludf.DUMMYFUNCTION("""COMPUTED_VALUE"""),2.71E8)</f>
        <v>271000000</v>
      </c>
      <c r="M614" s="14" t="str">
        <f>IFERROR(__xludf.DUMMYFUNCTION("""COMPUTED_VALUE"""),"Curacao-The Americas")</f>
        <v>Curacao-The Americas</v>
      </c>
      <c r="N614" s="14" t="str">
        <f>IFERROR(__xludf.DUMMYFUNCTION("""COMPUTED_VALUE"""),"2001")</f>
        <v>2001</v>
      </c>
      <c r="O614" s="14"/>
      <c r="P614" s="15" t="str">
        <f>IFERROR(__xludf.DUMMYFUNCTION("ARRAYFORMULA(VLOOKUP(A614,IMPORTRANGE(""https://docs.google.com/spreadsheets/d/1BuTWp7qHGjWhqrnf-OmePP568O4A5Am9ttzvVdP67zw/edit#gid=771602874"" ,""HUMAN RESOURCES!$A$2:$M$2692""), {2,3,4,5,6,7,8,9,10,11,12,13},0))"),"")</f>
        <v/>
      </c>
      <c r="Q614" s="14"/>
      <c r="R614" s="14"/>
      <c r="S614" s="14"/>
      <c r="T614" s="14">
        <f>IFERROR(__xludf.DUMMYFUNCTION("""COMPUTED_VALUE"""),0.242)</f>
        <v>0.242</v>
      </c>
      <c r="U614" s="14">
        <f>IFERROR(__xludf.DUMMYFUNCTION("""COMPUTED_VALUE"""),0.651)</f>
        <v>0.651</v>
      </c>
      <c r="V614" s="14">
        <f>IFERROR(__xludf.DUMMYFUNCTION("""COMPUTED_VALUE"""),0.107)</f>
        <v>0.107</v>
      </c>
      <c r="W614" s="14">
        <f>IFERROR(__xludf.DUMMYFUNCTION("""COMPUTED_VALUE"""),128905.0)</f>
        <v>128905</v>
      </c>
      <c r="X614" s="14">
        <f>IFERROR(__xludf.DUMMYFUNCTION("""COMPUTED_VALUE"""),0.91)</f>
        <v>0.91</v>
      </c>
      <c r="Y614" s="14" t="str">
        <f>IFERROR(__xludf.DUMMYFUNCTION("""COMPUTED_VALUE"""),"Curacao-The Americas")</f>
        <v>Curacao-The Americas</v>
      </c>
      <c r="Z614" s="14" t="str">
        <f>IFERROR(__xludf.DUMMYFUNCTION("""COMPUTED_VALUE"""),"The Americas")</f>
        <v>The Americas</v>
      </c>
      <c r="AA614" s="14" t="str">
        <f>IFERROR(__xludf.DUMMYFUNCTION("""COMPUTED_VALUE"""),"2001")</f>
        <v>2001</v>
      </c>
      <c r="AB614" s="15" t="str">
        <f>IFERROR(__xludf.DUMMYFUNCTION("ARRAYFORMULA(VLOOKUP(A614,IMPORTRANGE(""https://docs.google.com/spreadsheets/d/1BuTWp7qHGjWhqrnf-OmePP568O4A5Am9ttzvVdP67zw/edit#gid=1931367683"" ,""ENERGY!$A$2:$F$2692""), {2,3,4,5,6},0))"),"The Americas")</f>
        <v>The Americas</v>
      </c>
      <c r="AC614" s="14" t="str">
        <f>IFERROR(__xludf.DUMMYFUNCTION("""COMPUTED_VALUE"""),"Curacao-The Americas")</f>
        <v>Curacao-The Americas</v>
      </c>
      <c r="AD614" s="14" t="str">
        <f>IFERROR(__xludf.DUMMYFUNCTION("""COMPUTED_VALUE"""),"2001")</f>
        <v>2001</v>
      </c>
      <c r="AE614" s="14"/>
      <c r="AF614" s="14"/>
    </row>
    <row r="615">
      <c r="A615" s="12">
        <v>614.0</v>
      </c>
      <c r="B615" s="12" t="s">
        <v>126</v>
      </c>
      <c r="C615" s="5" t="s">
        <v>84</v>
      </c>
      <c r="D615" s="8"/>
      <c r="E615" s="8"/>
      <c r="F615" s="8"/>
      <c r="G615" s="8"/>
      <c r="H615" s="8"/>
      <c r="I615" s="8"/>
      <c r="J615" s="9" t="s">
        <v>63</v>
      </c>
      <c r="K615" s="14" t="str">
        <f>IFERROR(__xludf.DUMMYFUNCTION("ARRAYFORMULA(VLOOKUP(A615,IMPORTRANGE(""https://docs.google.com/spreadsheets/d/1BuTWp7qHGjWhqrnf-OmePP568O4A5Am9ttzvVdP67zw/edit#gid=1603210130"", ""TOURISM!$A$2:$F$2692""), {2,3,4,5,6},0))"),"The Americas")</f>
        <v>The Americas</v>
      </c>
      <c r="L615" s="14">
        <f>IFERROR(__xludf.DUMMYFUNCTION("""COMPUTED_VALUE"""),2.17E8)</f>
        <v>217000000</v>
      </c>
      <c r="M615" s="14" t="str">
        <f>IFERROR(__xludf.DUMMYFUNCTION("""COMPUTED_VALUE"""),"Curacao-The Americas")</f>
        <v>Curacao-The Americas</v>
      </c>
      <c r="N615" s="14" t="str">
        <f>IFERROR(__xludf.DUMMYFUNCTION("""COMPUTED_VALUE"""),"2002")</f>
        <v>2002</v>
      </c>
      <c r="O615" s="14">
        <f>IFERROR(__xludf.DUMMYFUNCTION("""COMPUTED_VALUE"""),1.37E8)</f>
        <v>137000000</v>
      </c>
      <c r="P615" s="15" t="str">
        <f>IFERROR(__xludf.DUMMYFUNCTION("ARRAYFORMULA(VLOOKUP(A615,IMPORTRANGE(""https://docs.google.com/spreadsheets/d/1BuTWp7qHGjWhqrnf-OmePP568O4A5Am9ttzvVdP67zw/edit#gid=771602874"" ,""HUMAN RESOURCES!$A$2:$M$2692""), {2,3,4,5,6,7,8,9,10,11,12,13},0))"),"")</f>
        <v/>
      </c>
      <c r="Q615" s="14"/>
      <c r="R615" s="14"/>
      <c r="S615" s="14"/>
      <c r="T615" s="14">
        <f>IFERROR(__xludf.DUMMYFUNCTION("""COMPUTED_VALUE"""),0.234)</f>
        <v>0.234</v>
      </c>
      <c r="U615" s="14">
        <f>IFERROR(__xludf.DUMMYFUNCTION("""COMPUTED_VALUE"""),0.656)</f>
        <v>0.656</v>
      </c>
      <c r="V615" s="14">
        <f>IFERROR(__xludf.DUMMYFUNCTION("""COMPUTED_VALUE"""),0.11)</f>
        <v>0.11</v>
      </c>
      <c r="W615" s="14">
        <f>IFERROR(__xludf.DUMMYFUNCTION("""COMPUTED_VALUE"""),128804.0)</f>
        <v>128804</v>
      </c>
      <c r="X615" s="14">
        <f>IFERROR(__xludf.DUMMYFUNCTION("""COMPUTED_VALUE"""),0.909)</f>
        <v>0.909</v>
      </c>
      <c r="Y615" s="14" t="str">
        <f>IFERROR(__xludf.DUMMYFUNCTION("""COMPUTED_VALUE"""),"Curacao-The Americas")</f>
        <v>Curacao-The Americas</v>
      </c>
      <c r="Z615" s="14" t="str">
        <f>IFERROR(__xludf.DUMMYFUNCTION("""COMPUTED_VALUE"""),"The Americas")</f>
        <v>The Americas</v>
      </c>
      <c r="AA615" s="14" t="str">
        <f>IFERROR(__xludf.DUMMYFUNCTION("""COMPUTED_VALUE"""),"2002")</f>
        <v>2002</v>
      </c>
      <c r="AB615" s="15" t="str">
        <f>IFERROR(__xludf.DUMMYFUNCTION("ARRAYFORMULA(VLOOKUP(A615,IMPORTRANGE(""https://docs.google.com/spreadsheets/d/1BuTWp7qHGjWhqrnf-OmePP568O4A5Am9ttzvVdP67zw/edit#gid=1931367683"" ,""ENERGY!$A$2:$F$2692""), {2,3,4,5,6},0))"),"The Americas")</f>
        <v>The Americas</v>
      </c>
      <c r="AC615" s="14" t="str">
        <f>IFERROR(__xludf.DUMMYFUNCTION("""COMPUTED_VALUE"""),"Curacao-The Americas")</f>
        <v>Curacao-The Americas</v>
      </c>
      <c r="AD615" s="14" t="str">
        <f>IFERROR(__xludf.DUMMYFUNCTION("""COMPUTED_VALUE"""),"2002")</f>
        <v>2002</v>
      </c>
      <c r="AE615" s="14"/>
      <c r="AF615" s="14"/>
    </row>
    <row r="616">
      <c r="A616" s="12">
        <v>615.0</v>
      </c>
      <c r="B616" s="12" t="s">
        <v>126</v>
      </c>
      <c r="C616" s="5" t="s">
        <v>84</v>
      </c>
      <c r="D616" s="8"/>
      <c r="E616" s="8"/>
      <c r="F616" s="8"/>
      <c r="G616" s="8"/>
      <c r="H616" s="8"/>
      <c r="I616" s="8"/>
      <c r="J616" s="9" t="s">
        <v>64</v>
      </c>
      <c r="K616" s="14" t="str">
        <f>IFERROR(__xludf.DUMMYFUNCTION("ARRAYFORMULA(VLOOKUP(A616,IMPORTRANGE(""https://docs.google.com/spreadsheets/d/1BuTWp7qHGjWhqrnf-OmePP568O4A5Am9ttzvVdP67zw/edit#gid=1603210130"", ""TOURISM!$A$2:$F$2692""), {2,3,4,5,6},0))"),"The Americas")</f>
        <v>The Americas</v>
      </c>
      <c r="L616" s="14">
        <f>IFERROR(__xludf.DUMMYFUNCTION("""COMPUTED_VALUE"""),2.23E8)</f>
        <v>223000000</v>
      </c>
      <c r="M616" s="14" t="str">
        <f>IFERROR(__xludf.DUMMYFUNCTION("""COMPUTED_VALUE"""),"Curacao-The Americas")</f>
        <v>Curacao-The Americas</v>
      </c>
      <c r="N616" s="14" t="str">
        <f>IFERROR(__xludf.DUMMYFUNCTION("""COMPUTED_VALUE"""),"2003")</f>
        <v>2003</v>
      </c>
      <c r="O616" s="14">
        <f>IFERROR(__xludf.DUMMYFUNCTION("""COMPUTED_VALUE"""),1.76E8)</f>
        <v>176000000</v>
      </c>
      <c r="P616" s="15" t="str">
        <f>IFERROR(__xludf.DUMMYFUNCTION("ARRAYFORMULA(VLOOKUP(A616,IMPORTRANGE(""https://docs.google.com/spreadsheets/d/1BuTWp7qHGjWhqrnf-OmePP568O4A5Am9ttzvVdP67zw/edit#gid=771602874"" ,""HUMAN RESOURCES!$A$2:$M$2692""), {2,3,4,5,6,7,8,9,10,11,12,13},0))"),"")</f>
        <v/>
      </c>
      <c r="Q616" s="14"/>
      <c r="R616" s="14"/>
      <c r="S616" s="14"/>
      <c r="T616" s="14">
        <f>IFERROR(__xludf.DUMMYFUNCTION("""COMPUTED_VALUE"""),0.225)</f>
        <v>0.225</v>
      </c>
      <c r="U616" s="14">
        <f>IFERROR(__xludf.DUMMYFUNCTION("""COMPUTED_VALUE"""),0.66)</f>
        <v>0.66</v>
      </c>
      <c r="V616" s="14">
        <f>IFERROR(__xludf.DUMMYFUNCTION("""COMPUTED_VALUE"""),0.114)</f>
        <v>0.114</v>
      </c>
      <c r="W616" s="14">
        <f>IFERROR(__xludf.DUMMYFUNCTION("""COMPUTED_VALUE"""),131253.0)</f>
        <v>131253</v>
      </c>
      <c r="X616" s="14">
        <f>IFERROR(__xludf.DUMMYFUNCTION("""COMPUTED_VALUE"""),0.908)</f>
        <v>0.908</v>
      </c>
      <c r="Y616" s="14" t="str">
        <f>IFERROR(__xludf.DUMMYFUNCTION("""COMPUTED_VALUE"""),"Curacao-The Americas")</f>
        <v>Curacao-The Americas</v>
      </c>
      <c r="Z616" s="14" t="str">
        <f>IFERROR(__xludf.DUMMYFUNCTION("""COMPUTED_VALUE"""),"The Americas")</f>
        <v>The Americas</v>
      </c>
      <c r="AA616" s="14" t="str">
        <f>IFERROR(__xludf.DUMMYFUNCTION("""COMPUTED_VALUE"""),"2003")</f>
        <v>2003</v>
      </c>
      <c r="AB616" s="15" t="str">
        <f>IFERROR(__xludf.DUMMYFUNCTION("ARRAYFORMULA(VLOOKUP(A616,IMPORTRANGE(""https://docs.google.com/spreadsheets/d/1BuTWp7qHGjWhqrnf-OmePP568O4A5Am9ttzvVdP67zw/edit#gid=1931367683"" ,""ENERGY!$A$2:$F$2692""), {2,3,4,5,6},0))"),"The Americas")</f>
        <v>The Americas</v>
      </c>
      <c r="AC616" s="14" t="str">
        <f>IFERROR(__xludf.DUMMYFUNCTION("""COMPUTED_VALUE"""),"Curacao-The Americas")</f>
        <v>Curacao-The Americas</v>
      </c>
      <c r="AD616" s="14" t="str">
        <f>IFERROR(__xludf.DUMMYFUNCTION("""COMPUTED_VALUE"""),"2003")</f>
        <v>2003</v>
      </c>
      <c r="AE616" s="14"/>
      <c r="AF616" s="14"/>
    </row>
    <row r="617">
      <c r="A617" s="12">
        <v>616.0</v>
      </c>
      <c r="B617" s="12" t="s">
        <v>126</v>
      </c>
      <c r="C617" s="5" t="s">
        <v>84</v>
      </c>
      <c r="D617" s="8"/>
      <c r="E617" s="8"/>
      <c r="F617" s="8"/>
      <c r="G617" s="8"/>
      <c r="H617" s="8"/>
      <c r="I617" s="8"/>
      <c r="J617" s="9" t="s">
        <v>65</v>
      </c>
      <c r="K617" s="14" t="str">
        <f>IFERROR(__xludf.DUMMYFUNCTION("ARRAYFORMULA(VLOOKUP(A617,IMPORTRANGE(""https://docs.google.com/spreadsheets/d/1BuTWp7qHGjWhqrnf-OmePP568O4A5Am9ttzvVdP67zw/edit#gid=1603210130"", ""TOURISM!$A$2:$F$2692""), {2,3,4,5,6},0))"),"The Americas")</f>
        <v>The Americas</v>
      </c>
      <c r="L617" s="14">
        <f>IFERROR(__xludf.DUMMYFUNCTION("""COMPUTED_VALUE"""),2.24E8)</f>
        <v>224000000</v>
      </c>
      <c r="M617" s="14" t="str">
        <f>IFERROR(__xludf.DUMMYFUNCTION("""COMPUTED_VALUE"""),"Curacao-The Americas")</f>
        <v>Curacao-The Americas</v>
      </c>
      <c r="N617" s="14" t="str">
        <f>IFERROR(__xludf.DUMMYFUNCTION("""COMPUTED_VALUE"""),"2004")</f>
        <v>2004</v>
      </c>
      <c r="O617" s="14">
        <f>IFERROR(__xludf.DUMMYFUNCTION("""COMPUTED_VALUE"""),1.95E8)</f>
        <v>195000000</v>
      </c>
      <c r="P617" s="15" t="str">
        <f>IFERROR(__xludf.DUMMYFUNCTION("ARRAYFORMULA(VLOOKUP(A617,IMPORTRANGE(""https://docs.google.com/spreadsheets/d/1BuTWp7qHGjWhqrnf-OmePP568O4A5Am9ttzvVdP67zw/edit#gid=771602874"" ,""HUMAN RESOURCES!$A$2:$M$2692""), {2,3,4,5,6,7,8,9,10,11,12,13},0))"),"")</f>
        <v/>
      </c>
      <c r="Q617" s="14"/>
      <c r="R617" s="14"/>
      <c r="S617" s="14"/>
      <c r="T617" s="14">
        <f>IFERROR(__xludf.DUMMYFUNCTION("""COMPUTED_VALUE"""),0.218)</f>
        <v>0.218</v>
      </c>
      <c r="U617" s="14">
        <f>IFERROR(__xludf.DUMMYFUNCTION("""COMPUTED_VALUE"""),0.665)</f>
        <v>0.665</v>
      </c>
      <c r="V617" s="14">
        <f>IFERROR(__xludf.DUMMYFUNCTION("""COMPUTED_VALUE"""),0.118)</f>
        <v>0.118</v>
      </c>
      <c r="W617" s="14">
        <f>IFERROR(__xludf.DUMMYFUNCTION("""COMPUTED_VALUE"""),133363.0)</f>
        <v>133363</v>
      </c>
      <c r="X617" s="14">
        <f>IFERROR(__xludf.DUMMYFUNCTION("""COMPUTED_VALUE"""),0.907)</f>
        <v>0.907</v>
      </c>
      <c r="Y617" s="14" t="str">
        <f>IFERROR(__xludf.DUMMYFUNCTION("""COMPUTED_VALUE"""),"Curacao-The Americas")</f>
        <v>Curacao-The Americas</v>
      </c>
      <c r="Z617" s="14" t="str">
        <f>IFERROR(__xludf.DUMMYFUNCTION("""COMPUTED_VALUE"""),"The Americas")</f>
        <v>The Americas</v>
      </c>
      <c r="AA617" s="14" t="str">
        <f>IFERROR(__xludf.DUMMYFUNCTION("""COMPUTED_VALUE"""),"2004")</f>
        <v>2004</v>
      </c>
      <c r="AB617" s="15" t="str">
        <f>IFERROR(__xludf.DUMMYFUNCTION("ARRAYFORMULA(VLOOKUP(A617,IMPORTRANGE(""https://docs.google.com/spreadsheets/d/1BuTWp7qHGjWhqrnf-OmePP568O4A5Am9ttzvVdP67zw/edit#gid=1931367683"" ,""ENERGY!$A$2:$F$2692""), {2,3,4,5,6},0))"),"The Americas")</f>
        <v>The Americas</v>
      </c>
      <c r="AC617" s="14" t="str">
        <f>IFERROR(__xludf.DUMMYFUNCTION("""COMPUTED_VALUE"""),"Curacao-The Americas")</f>
        <v>Curacao-The Americas</v>
      </c>
      <c r="AD617" s="14" t="str">
        <f>IFERROR(__xludf.DUMMYFUNCTION("""COMPUTED_VALUE"""),"2004")</f>
        <v>2004</v>
      </c>
      <c r="AE617" s="14"/>
      <c r="AF617" s="14"/>
    </row>
    <row r="618">
      <c r="A618" s="12">
        <v>617.0</v>
      </c>
      <c r="B618" s="12" t="s">
        <v>126</v>
      </c>
      <c r="C618" s="5" t="s">
        <v>84</v>
      </c>
      <c r="D618" s="8"/>
      <c r="E618" s="8"/>
      <c r="F618" s="8"/>
      <c r="G618" s="8"/>
      <c r="H618" s="8"/>
      <c r="I618" s="8"/>
      <c r="J618" s="9" t="s">
        <v>66</v>
      </c>
      <c r="K618" s="14" t="str">
        <f>IFERROR(__xludf.DUMMYFUNCTION("ARRAYFORMULA(VLOOKUP(A618,IMPORTRANGE(""https://docs.google.com/spreadsheets/d/1BuTWp7qHGjWhqrnf-OmePP568O4A5Am9ttzvVdP67zw/edit#gid=1603210130"", ""TOURISM!$A$2:$F$2692""), {2,3,4,5,6},0))"),"The Americas")</f>
        <v>The Americas</v>
      </c>
      <c r="L618" s="14">
        <f>IFERROR(__xludf.DUMMYFUNCTION("""COMPUTED_VALUE"""),2.44E8)</f>
        <v>244000000</v>
      </c>
      <c r="M618" s="14" t="str">
        <f>IFERROR(__xludf.DUMMYFUNCTION("""COMPUTED_VALUE"""),"Curacao-The Americas")</f>
        <v>Curacao-The Americas</v>
      </c>
      <c r="N618" s="14" t="str">
        <f>IFERROR(__xludf.DUMMYFUNCTION("""COMPUTED_VALUE"""),"2005")</f>
        <v>2005</v>
      </c>
      <c r="O618" s="14">
        <f>IFERROR(__xludf.DUMMYFUNCTION("""COMPUTED_VALUE"""),1.64E8)</f>
        <v>164000000</v>
      </c>
      <c r="P618" s="15" t="str">
        <f>IFERROR(__xludf.DUMMYFUNCTION("ARRAYFORMULA(VLOOKUP(A618,IMPORTRANGE(""https://docs.google.com/spreadsheets/d/1BuTWp7qHGjWhqrnf-OmePP568O4A5Am9ttzvVdP67zw/edit#gid=771602874"" ,""HUMAN RESOURCES!$A$2:$M$2692""), {2,3,4,5,6,7,8,9,10,11,12,13},0))"),"")</f>
        <v/>
      </c>
      <c r="Q618" s="14"/>
      <c r="R618" s="14"/>
      <c r="S618" s="14"/>
      <c r="T618" s="14">
        <f>IFERROR(__xludf.DUMMYFUNCTION("""COMPUTED_VALUE"""),0.211)</f>
        <v>0.211</v>
      </c>
      <c r="U618" s="14">
        <f>IFERROR(__xludf.DUMMYFUNCTION("""COMPUTED_VALUE"""),0.668)</f>
        <v>0.668</v>
      </c>
      <c r="V618" s="14">
        <f>IFERROR(__xludf.DUMMYFUNCTION("""COMPUTED_VALUE"""),0.121)</f>
        <v>0.121</v>
      </c>
      <c r="W618" s="14">
        <f>IFERROR(__xludf.DUMMYFUNCTION("""COMPUTED_VALUE"""),136708.0)</f>
        <v>136708</v>
      </c>
      <c r="X618" s="14">
        <f>IFERROR(__xludf.DUMMYFUNCTION("""COMPUTED_VALUE"""),0.905)</f>
        <v>0.905</v>
      </c>
      <c r="Y618" s="14" t="str">
        <f>IFERROR(__xludf.DUMMYFUNCTION("""COMPUTED_VALUE"""),"Curacao-The Americas")</f>
        <v>Curacao-The Americas</v>
      </c>
      <c r="Z618" s="14" t="str">
        <f>IFERROR(__xludf.DUMMYFUNCTION("""COMPUTED_VALUE"""),"The Americas")</f>
        <v>The Americas</v>
      </c>
      <c r="AA618" s="14" t="str">
        <f>IFERROR(__xludf.DUMMYFUNCTION("""COMPUTED_VALUE"""),"2005")</f>
        <v>2005</v>
      </c>
      <c r="AB618" s="15" t="str">
        <f>IFERROR(__xludf.DUMMYFUNCTION("ARRAYFORMULA(VLOOKUP(A618,IMPORTRANGE(""https://docs.google.com/spreadsheets/d/1BuTWp7qHGjWhqrnf-OmePP568O4A5Am9ttzvVdP67zw/edit#gid=1931367683"" ,""ENERGY!$A$2:$F$2692""), {2,3,4,5,6},0))"),"The Americas")</f>
        <v>The Americas</v>
      </c>
      <c r="AC618" s="14" t="str">
        <f>IFERROR(__xludf.DUMMYFUNCTION("""COMPUTED_VALUE"""),"Curacao-The Americas")</f>
        <v>Curacao-The Americas</v>
      </c>
      <c r="AD618" s="14" t="str">
        <f>IFERROR(__xludf.DUMMYFUNCTION("""COMPUTED_VALUE"""),"2006")</f>
        <v>2006</v>
      </c>
      <c r="AE618" s="14"/>
      <c r="AF618" s="14"/>
    </row>
    <row r="619">
      <c r="A619" s="12">
        <v>618.0</v>
      </c>
      <c r="B619" s="12" t="s">
        <v>126</v>
      </c>
      <c r="C619" s="5" t="s">
        <v>84</v>
      </c>
      <c r="D619" s="8"/>
      <c r="E619" s="8"/>
      <c r="F619" s="8"/>
      <c r="G619" s="8"/>
      <c r="H619" s="8"/>
      <c r="I619" s="8"/>
      <c r="J619" s="9" t="s">
        <v>67</v>
      </c>
      <c r="K619" s="14" t="str">
        <f>IFERROR(__xludf.DUMMYFUNCTION("ARRAYFORMULA(VLOOKUP(A619,IMPORTRANGE(""https://docs.google.com/spreadsheets/d/1BuTWp7qHGjWhqrnf-OmePP568O4A5Am9ttzvVdP67zw/edit#gid=1603210130"", ""TOURISM!$A$2:$F$2692""), {2,3,4,5,6},0))"),"The Americas")</f>
        <v>The Americas</v>
      </c>
      <c r="L619" s="14">
        <f>IFERROR(__xludf.DUMMYFUNCTION("""COMPUTED_VALUE"""),2.77E8)</f>
        <v>277000000</v>
      </c>
      <c r="M619" s="14" t="str">
        <f>IFERROR(__xludf.DUMMYFUNCTION("""COMPUTED_VALUE"""),"Curacao-The Americas")</f>
        <v>Curacao-The Americas</v>
      </c>
      <c r="N619" s="14" t="str">
        <f>IFERROR(__xludf.DUMMYFUNCTION("""COMPUTED_VALUE"""),"2006")</f>
        <v>2006</v>
      </c>
      <c r="O619" s="14">
        <f>IFERROR(__xludf.DUMMYFUNCTION("""COMPUTED_VALUE"""),1.91E8)</f>
        <v>191000000</v>
      </c>
      <c r="P619" s="15">
        <f>IFERROR(__xludf.DUMMYFUNCTION("ARRAYFORMULA(VLOOKUP(A619,IMPORTRANGE(""https://docs.google.com/spreadsheets/d/1BuTWp7qHGjWhqrnf-OmePP568O4A5Am9ttzvVdP67zw/edit#gid=771602874"" ,""HUMAN RESOURCES!$A$2:$M$2692""), {2,3,4,5,6,7,8,9,10,11,12,13},0))"),0.014)</f>
        <v>0.014</v>
      </c>
      <c r="Q619" s="14"/>
      <c r="R619" s="14">
        <f>IFERROR(__xludf.DUMMYFUNCTION("""COMPUTED_VALUE"""),79.0)</f>
        <v>79</v>
      </c>
      <c r="S619" s="14">
        <f>IFERROR(__xludf.DUMMYFUNCTION("""COMPUTED_VALUE"""),71.0)</f>
        <v>71</v>
      </c>
      <c r="T619" s="14">
        <f>IFERROR(__xludf.DUMMYFUNCTION("""COMPUTED_VALUE"""),0.206)</f>
        <v>0.206</v>
      </c>
      <c r="U619" s="14">
        <f>IFERROR(__xludf.DUMMYFUNCTION("""COMPUTED_VALUE"""),0.67)</f>
        <v>0.67</v>
      </c>
      <c r="V619" s="14">
        <f>IFERROR(__xludf.DUMMYFUNCTION("""COMPUTED_VALUE"""),0.124)</f>
        <v>0.124</v>
      </c>
      <c r="W619" s="14">
        <f>IFERROR(__xludf.DUMMYFUNCTION("""COMPUTED_VALUE"""),140217.0)</f>
        <v>140217</v>
      </c>
      <c r="X619" s="14">
        <f>IFERROR(__xludf.DUMMYFUNCTION("""COMPUTED_VALUE"""),0.904)</f>
        <v>0.904</v>
      </c>
      <c r="Y619" s="14" t="str">
        <f>IFERROR(__xludf.DUMMYFUNCTION("""COMPUTED_VALUE"""),"Curacao-The Americas")</f>
        <v>Curacao-The Americas</v>
      </c>
      <c r="Z619" s="14" t="str">
        <f>IFERROR(__xludf.DUMMYFUNCTION("""COMPUTED_VALUE"""),"The Americas")</f>
        <v>The Americas</v>
      </c>
      <c r="AA619" s="14" t="str">
        <f>IFERROR(__xludf.DUMMYFUNCTION("""COMPUTED_VALUE"""),"2006")</f>
        <v>2006</v>
      </c>
      <c r="AB619" s="15" t="str">
        <f>IFERROR(__xludf.DUMMYFUNCTION("ARRAYFORMULA(VLOOKUP(A619,IMPORTRANGE(""https://docs.google.com/spreadsheets/d/1BuTWp7qHGjWhqrnf-OmePP568O4A5Am9ttzvVdP67zw/edit#gid=1931367683"" ,""ENERGY!$A$2:$F$2692""), {2,3,4,5,6},0))"),"The Americas")</f>
        <v>The Americas</v>
      </c>
      <c r="AC619" s="14" t="str">
        <f>IFERROR(__xludf.DUMMYFUNCTION("""COMPUTED_VALUE"""),"Curacao-The Americas")</f>
        <v>Curacao-The Americas</v>
      </c>
      <c r="AD619" s="14" t="str">
        <f>IFERROR(__xludf.DUMMYFUNCTION("""COMPUTED_VALUE"""),"2010")</f>
        <v>2010</v>
      </c>
      <c r="AE619" s="14"/>
      <c r="AF619" s="14"/>
    </row>
    <row r="620">
      <c r="A620" s="12">
        <v>619.0</v>
      </c>
      <c r="B620" s="12" t="s">
        <v>126</v>
      </c>
      <c r="C620" s="5" t="s">
        <v>84</v>
      </c>
      <c r="D620" s="8"/>
      <c r="E620" s="8"/>
      <c r="F620" s="8"/>
      <c r="G620" s="8"/>
      <c r="H620" s="8"/>
      <c r="I620" s="8"/>
      <c r="J620" s="9" t="s">
        <v>68</v>
      </c>
      <c r="K620" s="14" t="str">
        <f>IFERROR(__xludf.DUMMYFUNCTION("ARRAYFORMULA(VLOOKUP(A620,IMPORTRANGE(""https://docs.google.com/spreadsheets/d/1BuTWp7qHGjWhqrnf-OmePP568O4A5Am9ttzvVdP67zw/edit#gid=1603210130"", ""TOURISM!$A$2:$F$2692""), {2,3,4,5,6},0))"),"The Americas")</f>
        <v>The Americas</v>
      </c>
      <c r="L620" s="14">
        <f>IFERROR(__xludf.DUMMYFUNCTION("""COMPUTED_VALUE"""),3.29E8)</f>
        <v>329000000</v>
      </c>
      <c r="M620" s="14" t="str">
        <f>IFERROR(__xludf.DUMMYFUNCTION("""COMPUTED_VALUE"""),"Curacao-The Americas")</f>
        <v>Curacao-The Americas</v>
      </c>
      <c r="N620" s="14" t="str">
        <f>IFERROR(__xludf.DUMMYFUNCTION("""COMPUTED_VALUE"""),"2007")</f>
        <v>2007</v>
      </c>
      <c r="O620" s="14">
        <f>IFERROR(__xludf.DUMMYFUNCTION("""COMPUTED_VALUE"""),2.23E8)</f>
        <v>223000000</v>
      </c>
      <c r="P620" s="15">
        <f>IFERROR(__xludf.DUMMYFUNCTION("ARRAYFORMULA(VLOOKUP(A620,IMPORTRANGE(""https://docs.google.com/spreadsheets/d/1BuTWp7qHGjWhqrnf-OmePP568O4A5Am9ttzvVdP67zw/edit#gid=771602874"" ,""HUMAN RESOURCES!$A$2:$M$2692""), {2,3,4,5,6,7,8,9,10,11,12,13},0))"),0.013)</f>
        <v>0.013</v>
      </c>
      <c r="Q620" s="14"/>
      <c r="R620" s="14">
        <f>IFERROR(__xludf.DUMMYFUNCTION("""COMPUTED_VALUE"""),79.0)</f>
        <v>79</v>
      </c>
      <c r="S620" s="14">
        <f>IFERROR(__xludf.DUMMYFUNCTION("""COMPUTED_VALUE"""),72.0)</f>
        <v>72</v>
      </c>
      <c r="T620" s="14">
        <f>IFERROR(__xludf.DUMMYFUNCTION("""COMPUTED_VALUE"""),0.203)</f>
        <v>0.203</v>
      </c>
      <c r="U620" s="14">
        <f>IFERROR(__xludf.DUMMYFUNCTION("""COMPUTED_VALUE"""),0.671)</f>
        <v>0.671</v>
      </c>
      <c r="V620" s="14">
        <f>IFERROR(__xludf.DUMMYFUNCTION("""COMPUTED_VALUE"""),0.126)</f>
        <v>0.126</v>
      </c>
      <c r="W620" s="14">
        <f>IFERROR(__xludf.DUMMYFUNCTION("""COMPUTED_VALUE"""),143026.0)</f>
        <v>143026</v>
      </c>
      <c r="X620" s="14">
        <f>IFERROR(__xludf.DUMMYFUNCTION("""COMPUTED_VALUE"""),0.903)</f>
        <v>0.903</v>
      </c>
      <c r="Y620" s="14" t="str">
        <f>IFERROR(__xludf.DUMMYFUNCTION("""COMPUTED_VALUE"""),"Curacao-The Americas")</f>
        <v>Curacao-The Americas</v>
      </c>
      <c r="Z620" s="14" t="str">
        <f>IFERROR(__xludf.DUMMYFUNCTION("""COMPUTED_VALUE"""),"The Americas")</f>
        <v>The Americas</v>
      </c>
      <c r="AA620" s="14" t="str">
        <f>IFERROR(__xludf.DUMMYFUNCTION("""COMPUTED_VALUE"""),"2007")</f>
        <v>2007</v>
      </c>
      <c r="AB620" s="15" t="str">
        <f>IFERROR(__xludf.DUMMYFUNCTION("ARRAYFORMULA(VLOOKUP(A620,IMPORTRANGE(""https://docs.google.com/spreadsheets/d/1BuTWp7qHGjWhqrnf-OmePP568O4A5Am9ttzvVdP67zw/edit#gid=1931367683"" ,""ENERGY!$A$2:$F$2692""), {2,3,4,5,6},0))"),"The Americas")</f>
        <v>The Americas</v>
      </c>
      <c r="AC620" s="14" t="str">
        <f>IFERROR(__xludf.DUMMYFUNCTION("""COMPUTED_VALUE"""),"Curacao-The Americas")</f>
        <v>Curacao-The Americas</v>
      </c>
      <c r="AD620" s="14" t="str">
        <f>IFERROR(__xludf.DUMMYFUNCTION("""COMPUTED_VALUE"""),"2007")</f>
        <v>2007</v>
      </c>
      <c r="AE620" s="14"/>
      <c r="AF620" s="14"/>
    </row>
    <row r="621">
      <c r="A621" s="12">
        <v>620.0</v>
      </c>
      <c r="B621" s="12" t="s">
        <v>126</v>
      </c>
      <c r="C621" s="5" t="s">
        <v>84</v>
      </c>
      <c r="D621" s="8"/>
      <c r="E621" s="8"/>
      <c r="F621" s="8"/>
      <c r="G621" s="8"/>
      <c r="H621" s="8"/>
      <c r="I621" s="8"/>
      <c r="J621" s="9" t="s">
        <v>69</v>
      </c>
      <c r="K621" s="14" t="str">
        <f>IFERROR(__xludf.DUMMYFUNCTION("ARRAYFORMULA(VLOOKUP(A621,IMPORTRANGE(""https://docs.google.com/spreadsheets/d/1BuTWp7qHGjWhqrnf-OmePP568O4A5Am9ttzvVdP67zw/edit#gid=1603210130"", ""TOURISM!$A$2:$F$2692""), {2,3,4,5,6},0))"),"The Americas")</f>
        <v>The Americas</v>
      </c>
      <c r="L621" s="14">
        <f>IFERROR(__xludf.DUMMYFUNCTION("""COMPUTED_VALUE"""),3.83E8)</f>
        <v>383000000</v>
      </c>
      <c r="M621" s="14" t="str">
        <f>IFERROR(__xludf.DUMMYFUNCTION("""COMPUTED_VALUE"""),"Curacao-The Americas")</f>
        <v>Curacao-The Americas</v>
      </c>
      <c r="N621" s="14" t="str">
        <f>IFERROR(__xludf.DUMMYFUNCTION("""COMPUTED_VALUE"""),"2008")</f>
        <v>2008</v>
      </c>
      <c r="O621" s="14">
        <f>IFERROR(__xludf.DUMMYFUNCTION("""COMPUTED_VALUE"""),2.29E8)</f>
        <v>229000000</v>
      </c>
      <c r="P621" s="15">
        <f>IFERROR(__xludf.DUMMYFUNCTION("ARRAYFORMULA(VLOOKUP(A621,IMPORTRANGE(""https://docs.google.com/spreadsheets/d/1BuTWp7qHGjWhqrnf-OmePP568O4A5Am9ttzvVdP67zw/edit#gid=771602874"" ,""HUMAN RESOURCES!$A$2:$M$2692""), {2,3,4,5,6,7,8,9,10,11,12,13},0))"),0.014)</f>
        <v>0.014</v>
      </c>
      <c r="Q621" s="14"/>
      <c r="R621" s="14">
        <f>IFERROR(__xludf.DUMMYFUNCTION("""COMPUTED_VALUE"""),79.0)</f>
        <v>79</v>
      </c>
      <c r="S621" s="14">
        <f>IFERROR(__xludf.DUMMYFUNCTION("""COMPUTED_VALUE"""),72.0)</f>
        <v>72</v>
      </c>
      <c r="T621" s="14">
        <f>IFERROR(__xludf.DUMMYFUNCTION("""COMPUTED_VALUE"""),0.201)</f>
        <v>0.201</v>
      </c>
      <c r="U621" s="14">
        <f>IFERROR(__xludf.DUMMYFUNCTION("""COMPUTED_VALUE"""),0.671)</f>
        <v>0.671</v>
      </c>
      <c r="V621" s="14">
        <f>IFERROR(__xludf.DUMMYFUNCTION("""COMPUTED_VALUE"""),0.128)</f>
        <v>0.128</v>
      </c>
      <c r="W621" s="14">
        <f>IFERROR(__xludf.DUMMYFUNCTION("""COMPUTED_VALUE"""),144971.0)</f>
        <v>144971</v>
      </c>
      <c r="X621" s="14">
        <f>IFERROR(__xludf.DUMMYFUNCTION("""COMPUTED_VALUE"""),0.902)</f>
        <v>0.902</v>
      </c>
      <c r="Y621" s="14" t="str">
        <f>IFERROR(__xludf.DUMMYFUNCTION("""COMPUTED_VALUE"""),"Curacao-The Americas")</f>
        <v>Curacao-The Americas</v>
      </c>
      <c r="Z621" s="14" t="str">
        <f>IFERROR(__xludf.DUMMYFUNCTION("""COMPUTED_VALUE"""),"The Americas")</f>
        <v>The Americas</v>
      </c>
      <c r="AA621" s="14" t="str">
        <f>IFERROR(__xludf.DUMMYFUNCTION("""COMPUTED_VALUE"""),"2008")</f>
        <v>2008</v>
      </c>
      <c r="AB621" s="15" t="str">
        <f>IFERROR(__xludf.DUMMYFUNCTION("ARRAYFORMULA(VLOOKUP(A621,IMPORTRANGE(""https://docs.google.com/spreadsheets/d/1BuTWp7qHGjWhqrnf-OmePP568O4A5Am9ttzvVdP67zw/edit#gid=1931367683"" ,""ENERGY!$A$2:$F$2692""), {2,3,4,5,6},0))"),"The Americas")</f>
        <v>The Americas</v>
      </c>
      <c r="AC621" s="14" t="str">
        <f>IFERROR(__xludf.DUMMYFUNCTION("""COMPUTED_VALUE"""),"Curacao-The Americas")</f>
        <v>Curacao-The Americas</v>
      </c>
      <c r="AD621" s="14" t="str">
        <f>IFERROR(__xludf.DUMMYFUNCTION("""COMPUTED_VALUE"""),"2005")</f>
        <v>2005</v>
      </c>
      <c r="AE621" s="14"/>
      <c r="AF621" s="14"/>
    </row>
    <row r="622">
      <c r="A622" s="12">
        <v>621.0</v>
      </c>
      <c r="B622" s="12" t="s">
        <v>126</v>
      </c>
      <c r="C622" s="5" t="s">
        <v>84</v>
      </c>
      <c r="D622" s="8"/>
      <c r="E622" s="8"/>
      <c r="F622" s="8"/>
      <c r="G622" s="8"/>
      <c r="H622" s="8"/>
      <c r="I622" s="11">
        <v>1.402</v>
      </c>
      <c r="J622" s="9" t="s">
        <v>70</v>
      </c>
      <c r="K622" s="14" t="str">
        <f>IFERROR(__xludf.DUMMYFUNCTION("ARRAYFORMULA(VLOOKUP(A622,IMPORTRANGE(""https://docs.google.com/spreadsheets/d/1BuTWp7qHGjWhqrnf-OmePP568O4A5Am9ttzvVdP67zw/edit#gid=1603210130"", ""TOURISM!$A$2:$F$2692""), {2,3,4,5,6},0))"),"The Americas")</f>
        <v>The Americas</v>
      </c>
      <c r="L622" s="14">
        <f>IFERROR(__xludf.DUMMYFUNCTION("""COMPUTED_VALUE"""),3.78E8)</f>
        <v>378000000</v>
      </c>
      <c r="M622" s="14" t="str">
        <f>IFERROR(__xludf.DUMMYFUNCTION("""COMPUTED_VALUE"""),"Curacao-The Americas")</f>
        <v>Curacao-The Americas</v>
      </c>
      <c r="N622" s="14" t="str">
        <f>IFERROR(__xludf.DUMMYFUNCTION("""COMPUTED_VALUE"""),"2009")</f>
        <v>2009</v>
      </c>
      <c r="O622" s="14">
        <f>IFERROR(__xludf.DUMMYFUNCTION("""COMPUTED_VALUE"""),2.58E8)</f>
        <v>258000000</v>
      </c>
      <c r="P622" s="15">
        <f>IFERROR(__xludf.DUMMYFUNCTION("ARRAYFORMULA(VLOOKUP(A622,IMPORTRANGE(""https://docs.google.com/spreadsheets/d/1BuTWp7qHGjWhqrnf-OmePP568O4A5Am9ttzvVdP67zw/edit#gid=771602874"" ,""HUMAN RESOURCES!$A$2:$M$2692""), {2,3,4,5,6,7,8,9,10,11,12,13},0))"),0.013)</f>
        <v>0.013</v>
      </c>
      <c r="Q622" s="14"/>
      <c r="R622" s="14">
        <f>IFERROR(__xludf.DUMMYFUNCTION("""COMPUTED_VALUE"""),80.0)</f>
        <v>80</v>
      </c>
      <c r="S622" s="14">
        <f>IFERROR(__xludf.DUMMYFUNCTION("""COMPUTED_VALUE"""),72.0)</f>
        <v>72</v>
      </c>
      <c r="T622" s="14">
        <f>IFERROR(__xludf.DUMMYFUNCTION("""COMPUTED_VALUE"""),0.2)</f>
        <v>0.2</v>
      </c>
      <c r="U622" s="14">
        <f>IFERROR(__xludf.DUMMYFUNCTION("""COMPUTED_VALUE"""),0.67)</f>
        <v>0.67</v>
      </c>
      <c r="V622" s="14">
        <f>IFERROR(__xludf.DUMMYFUNCTION("""COMPUTED_VALUE"""),0.13)</f>
        <v>0.13</v>
      </c>
      <c r="W622" s="14">
        <f>IFERROR(__xludf.DUMMYFUNCTION("""COMPUTED_VALUE"""),145890.0)</f>
        <v>145890</v>
      </c>
      <c r="X622" s="14">
        <f>IFERROR(__xludf.DUMMYFUNCTION("""COMPUTED_VALUE"""),0.9)</f>
        <v>0.9</v>
      </c>
      <c r="Y622" s="14" t="str">
        <f>IFERROR(__xludf.DUMMYFUNCTION("""COMPUTED_VALUE"""),"Curacao-The Americas")</f>
        <v>Curacao-The Americas</v>
      </c>
      <c r="Z622" s="14" t="str">
        <f>IFERROR(__xludf.DUMMYFUNCTION("""COMPUTED_VALUE"""),"The Americas")</f>
        <v>The Americas</v>
      </c>
      <c r="AA622" s="14" t="str">
        <f>IFERROR(__xludf.DUMMYFUNCTION("""COMPUTED_VALUE"""),"2009")</f>
        <v>2009</v>
      </c>
      <c r="AB622" s="15" t="str">
        <f>IFERROR(__xludf.DUMMYFUNCTION("ARRAYFORMULA(VLOOKUP(A622,IMPORTRANGE(""https://docs.google.com/spreadsheets/d/1BuTWp7qHGjWhqrnf-OmePP568O4A5Am9ttzvVdP67zw/edit#gid=1931367683"" ,""ENERGY!$A$2:$F$2692""), {2,3,4,5,6},0))"),"The Americas")</f>
        <v>The Americas</v>
      </c>
      <c r="AC622" s="14" t="str">
        <f>IFERROR(__xludf.DUMMYFUNCTION("""COMPUTED_VALUE"""),"Curacao-The Americas")</f>
        <v>Curacao-The Americas</v>
      </c>
      <c r="AD622" s="14" t="str">
        <f>IFERROR(__xludf.DUMMYFUNCTION("""COMPUTED_VALUE"""),"2009")</f>
        <v>2009</v>
      </c>
      <c r="AE622" s="14"/>
      <c r="AF622" s="14"/>
    </row>
    <row r="623">
      <c r="A623" s="12">
        <v>622.0</v>
      </c>
      <c r="B623" s="12" t="s">
        <v>126</v>
      </c>
      <c r="C623" s="5" t="s">
        <v>84</v>
      </c>
      <c r="D623" s="8"/>
      <c r="E623" s="8"/>
      <c r="F623" s="8"/>
      <c r="G623" s="8"/>
      <c r="H623" s="8"/>
      <c r="I623" s="11">
        <v>1.383</v>
      </c>
      <c r="J623" s="9" t="s">
        <v>71</v>
      </c>
      <c r="K623" s="14" t="str">
        <f>IFERROR(__xludf.DUMMYFUNCTION("ARRAYFORMULA(VLOOKUP(A623,IMPORTRANGE(""https://docs.google.com/spreadsheets/d/1BuTWp7qHGjWhqrnf-OmePP568O4A5Am9ttzvVdP67zw/edit#gid=1603210130"", ""TOURISM!$A$2:$F$2692""), {2,3,4,5,6},0))"),"The Americas")</f>
        <v>The Americas</v>
      </c>
      <c r="L623" s="14">
        <f>IFERROR(__xludf.DUMMYFUNCTION("""COMPUTED_VALUE"""),4.38E8)</f>
        <v>438000000</v>
      </c>
      <c r="M623" s="14" t="str">
        <f>IFERROR(__xludf.DUMMYFUNCTION("""COMPUTED_VALUE"""),"Curacao-The Americas")</f>
        <v>Curacao-The Americas</v>
      </c>
      <c r="N623" s="14" t="str">
        <f>IFERROR(__xludf.DUMMYFUNCTION("""COMPUTED_VALUE"""),"2010")</f>
        <v>2010</v>
      </c>
      <c r="O623" s="14">
        <f>IFERROR(__xludf.DUMMYFUNCTION("""COMPUTED_VALUE"""),2.82E8)</f>
        <v>282000000</v>
      </c>
      <c r="P623" s="15">
        <f>IFERROR(__xludf.DUMMYFUNCTION("ARRAYFORMULA(VLOOKUP(A623,IMPORTRANGE(""https://docs.google.com/spreadsheets/d/1BuTWp7qHGjWhqrnf-OmePP568O4A5Am9ttzvVdP67zw/edit#gid=771602874"" ,""HUMAN RESOURCES!$A$2:$M$2692""), {2,3,4,5,6,7,8,9,10,11,12,13},0))"),0.014)</f>
        <v>0.014</v>
      </c>
      <c r="Q623" s="14"/>
      <c r="R623" s="14"/>
      <c r="S623" s="14"/>
      <c r="T623" s="14">
        <f>IFERROR(__xludf.DUMMYFUNCTION("""COMPUTED_VALUE"""),0.198)</f>
        <v>0.198</v>
      </c>
      <c r="U623" s="14">
        <f>IFERROR(__xludf.DUMMYFUNCTION("""COMPUTED_VALUE"""),0.67)</f>
        <v>0.67</v>
      </c>
      <c r="V623" s="14">
        <f>IFERROR(__xludf.DUMMYFUNCTION("""COMPUTED_VALUE"""),0.132)</f>
        <v>0.132</v>
      </c>
      <c r="W623" s="14">
        <f>IFERROR(__xludf.DUMMYFUNCTION("""COMPUTED_VALUE"""),149311.0)</f>
        <v>149311</v>
      </c>
      <c r="X623" s="14">
        <f>IFERROR(__xludf.DUMMYFUNCTION("""COMPUTED_VALUE"""),0.899)</f>
        <v>0.899</v>
      </c>
      <c r="Y623" s="14" t="str">
        <f>IFERROR(__xludf.DUMMYFUNCTION("""COMPUTED_VALUE"""),"Curacao-The Americas")</f>
        <v>Curacao-The Americas</v>
      </c>
      <c r="Z623" s="14" t="str">
        <f>IFERROR(__xludf.DUMMYFUNCTION("""COMPUTED_VALUE"""),"The Americas")</f>
        <v>The Americas</v>
      </c>
      <c r="AA623" s="14" t="str">
        <f>IFERROR(__xludf.DUMMYFUNCTION("""COMPUTED_VALUE"""),"2010")</f>
        <v>2010</v>
      </c>
      <c r="AB623" s="15" t="str">
        <f>IFERROR(__xludf.DUMMYFUNCTION("ARRAYFORMULA(VLOOKUP(A623,IMPORTRANGE(""https://docs.google.com/spreadsheets/d/1BuTWp7qHGjWhqrnf-OmePP568O4A5Am9ttzvVdP67zw/edit#gid=1931367683"" ,""ENERGY!$A$2:$F$2692""), {2,3,4,5,6},0))"),"The Americas")</f>
        <v>The Americas</v>
      </c>
      <c r="AC623" s="14" t="str">
        <f>IFERROR(__xludf.DUMMYFUNCTION("""COMPUTED_VALUE"""),"Curacao-The Americas")</f>
        <v>Curacao-The Americas</v>
      </c>
      <c r="AD623" s="14" t="str">
        <f>IFERROR(__xludf.DUMMYFUNCTION("""COMPUTED_VALUE"""),"2007")</f>
        <v>2007</v>
      </c>
      <c r="AE623" s="14"/>
      <c r="AF623" s="14"/>
    </row>
    <row r="624">
      <c r="A624" s="12">
        <v>623.0</v>
      </c>
      <c r="B624" s="12" t="s">
        <v>126</v>
      </c>
      <c r="C624" s="5" t="s">
        <v>84</v>
      </c>
      <c r="D624" s="8"/>
      <c r="E624" s="8"/>
      <c r="F624" s="8"/>
      <c r="G624" s="8"/>
      <c r="H624" s="8"/>
      <c r="I624" s="11">
        <v>1.361</v>
      </c>
      <c r="J624" s="9" t="s">
        <v>72</v>
      </c>
      <c r="K624" s="14" t="str">
        <f>IFERROR(__xludf.DUMMYFUNCTION("ARRAYFORMULA(VLOOKUP(A624,IMPORTRANGE(""https://docs.google.com/spreadsheets/d/1BuTWp7qHGjWhqrnf-OmePP568O4A5Am9ttzvVdP67zw/edit#gid=1603210130"", ""TOURISM!$A$2:$F$2692""), {2,3,4,5,6},0))"),"The Americas")</f>
        <v>The Americas</v>
      </c>
      <c r="L624" s="14">
        <f>IFERROR(__xludf.DUMMYFUNCTION("""COMPUTED_VALUE"""),5.4E8)</f>
        <v>540000000</v>
      </c>
      <c r="M624" s="14" t="str">
        <f>IFERROR(__xludf.DUMMYFUNCTION("""COMPUTED_VALUE"""),"Curacao-The Americas")</f>
        <v>Curacao-The Americas</v>
      </c>
      <c r="N624" s="14" t="str">
        <f>IFERROR(__xludf.DUMMYFUNCTION("""COMPUTED_VALUE"""),"2011")</f>
        <v>2011</v>
      </c>
      <c r="O624" s="14">
        <f>IFERROR(__xludf.DUMMYFUNCTION("""COMPUTED_VALUE"""),3.21E8)</f>
        <v>321000000</v>
      </c>
      <c r="P624" s="15">
        <f>IFERROR(__xludf.DUMMYFUNCTION("ARRAYFORMULA(VLOOKUP(A624,IMPORTRANGE(""https://docs.google.com/spreadsheets/d/1BuTWp7qHGjWhqrnf-OmePP568O4A5Am9ttzvVdP67zw/edit#gid=771602874"" ,""HUMAN RESOURCES!$A$2:$M$2692""), {2,3,4,5,6,7,8,9,10,11,12,13},0))"),0.013)</f>
        <v>0.013</v>
      </c>
      <c r="Q624" s="14"/>
      <c r="R624" s="14">
        <f>IFERROR(__xludf.DUMMYFUNCTION("""COMPUTED_VALUE"""),81.0)</f>
        <v>81</v>
      </c>
      <c r="S624" s="14">
        <f>IFERROR(__xludf.DUMMYFUNCTION("""COMPUTED_VALUE"""),74.0)</f>
        <v>74</v>
      </c>
      <c r="T624" s="14">
        <f>IFERROR(__xludf.DUMMYFUNCTION("""COMPUTED_VALUE"""),0.197)</f>
        <v>0.197</v>
      </c>
      <c r="U624" s="14">
        <f>IFERROR(__xludf.DUMMYFUNCTION("""COMPUTED_VALUE"""),0.669)</f>
        <v>0.669</v>
      </c>
      <c r="V624" s="14">
        <f>IFERROR(__xludf.DUMMYFUNCTION("""COMPUTED_VALUE"""),0.134)</f>
        <v>0.134</v>
      </c>
      <c r="W624" s="14">
        <f>IFERROR(__xludf.DUMMYFUNCTION("""COMPUTED_VALUE"""),150612.0)</f>
        <v>150612</v>
      </c>
      <c r="X624" s="14">
        <f>IFERROR(__xludf.DUMMYFUNCTION("""COMPUTED_VALUE"""),0.898)</f>
        <v>0.898</v>
      </c>
      <c r="Y624" s="14" t="str">
        <f>IFERROR(__xludf.DUMMYFUNCTION("""COMPUTED_VALUE"""),"Curacao-The Americas")</f>
        <v>Curacao-The Americas</v>
      </c>
      <c r="Z624" s="14" t="str">
        <f>IFERROR(__xludf.DUMMYFUNCTION("""COMPUTED_VALUE"""),"The Americas")</f>
        <v>The Americas</v>
      </c>
      <c r="AA624" s="14" t="str">
        <f>IFERROR(__xludf.DUMMYFUNCTION("""COMPUTED_VALUE"""),"2011")</f>
        <v>2011</v>
      </c>
      <c r="AB624" s="15" t="str">
        <f>IFERROR(__xludf.DUMMYFUNCTION("ARRAYFORMULA(VLOOKUP(A624,IMPORTRANGE(""https://docs.google.com/spreadsheets/d/1BuTWp7qHGjWhqrnf-OmePP568O4A5Am9ttzvVdP67zw/edit#gid=1931367683"" ,""ENERGY!$A$2:$F$2692""), {2,3,4,5,6},0))"),"The Americas")</f>
        <v>The Americas</v>
      </c>
      <c r="AC624" s="14" t="str">
        <f>IFERROR(__xludf.DUMMYFUNCTION("""COMPUTED_VALUE"""),"Curacao-The Americas")</f>
        <v>Curacao-The Americas</v>
      </c>
      <c r="AD624" s="14" t="str">
        <f>IFERROR(__xludf.DUMMYFUNCTION("""COMPUTED_VALUE"""),"2004")</f>
        <v>2004</v>
      </c>
      <c r="AE624" s="14"/>
      <c r="AF624" s="14"/>
    </row>
    <row r="625">
      <c r="A625" s="12">
        <v>624.0</v>
      </c>
      <c r="B625" s="12" t="s">
        <v>126</v>
      </c>
      <c r="C625" s="5" t="s">
        <v>84</v>
      </c>
      <c r="D625" s="8"/>
      <c r="E625" s="8"/>
      <c r="F625" s="8"/>
      <c r="G625" s="8"/>
      <c r="H625" s="8"/>
      <c r="I625" s="11">
        <v>1.318</v>
      </c>
      <c r="J625" s="9" t="s">
        <v>73</v>
      </c>
      <c r="K625" s="14" t="str">
        <f>IFERROR(__xludf.DUMMYFUNCTION("ARRAYFORMULA(VLOOKUP(A625,IMPORTRANGE(""https://docs.google.com/spreadsheets/d/1BuTWp7qHGjWhqrnf-OmePP568O4A5Am9ttzvVdP67zw/edit#gid=1603210130"", ""TOURISM!$A$2:$F$2692""), {2,3,4,5,6},0))"),"The Americas")</f>
        <v>The Americas</v>
      </c>
      <c r="L625" s="14">
        <f>IFERROR(__xludf.DUMMYFUNCTION("""COMPUTED_VALUE"""),6.76E8)</f>
        <v>676000000</v>
      </c>
      <c r="M625" s="14" t="str">
        <f>IFERROR(__xludf.DUMMYFUNCTION("""COMPUTED_VALUE"""),"Curacao-The Americas")</f>
        <v>Curacao-The Americas</v>
      </c>
      <c r="N625" s="14" t="str">
        <f>IFERROR(__xludf.DUMMYFUNCTION("""COMPUTED_VALUE"""),"2012")</f>
        <v>2012</v>
      </c>
      <c r="O625" s="14">
        <f>IFERROR(__xludf.DUMMYFUNCTION("""COMPUTED_VALUE"""),3.57E8)</f>
        <v>357000000</v>
      </c>
      <c r="P625" s="15">
        <f>IFERROR(__xludf.DUMMYFUNCTION("ARRAYFORMULA(VLOOKUP(A625,IMPORTRANGE(""https://docs.google.com/spreadsheets/d/1BuTWp7qHGjWhqrnf-OmePP568O4A5Am9ttzvVdP67zw/edit#gid=771602874"" ,""HUMAN RESOURCES!$A$2:$M$2692""), {2,3,4,5,6,7,8,9,10,11,12,13},0))"),0.013)</f>
        <v>0.013</v>
      </c>
      <c r="Q625" s="14"/>
      <c r="R625" s="14"/>
      <c r="S625" s="14"/>
      <c r="T625" s="14">
        <f>IFERROR(__xludf.DUMMYFUNCTION("""COMPUTED_VALUE"""),0.195)</f>
        <v>0.195</v>
      </c>
      <c r="U625" s="14">
        <f>IFERROR(__xludf.DUMMYFUNCTION("""COMPUTED_VALUE"""),0.668)</f>
        <v>0.668</v>
      </c>
      <c r="V625" s="14">
        <f>IFERROR(__xludf.DUMMYFUNCTION("""COMPUTED_VALUE"""),0.137)</f>
        <v>0.137</v>
      </c>
      <c r="W625" s="14">
        <f>IFERROR(__xludf.DUMMYFUNCTION("""COMPUTED_VALUE"""),152056.0)</f>
        <v>152056</v>
      </c>
      <c r="X625" s="14">
        <f>IFERROR(__xludf.DUMMYFUNCTION("""COMPUTED_VALUE"""),0.897)</f>
        <v>0.897</v>
      </c>
      <c r="Y625" s="14" t="str">
        <f>IFERROR(__xludf.DUMMYFUNCTION("""COMPUTED_VALUE"""),"Curacao-The Americas")</f>
        <v>Curacao-The Americas</v>
      </c>
      <c r="Z625" s="14" t="str">
        <f>IFERROR(__xludf.DUMMYFUNCTION("""COMPUTED_VALUE"""),"The Americas")</f>
        <v>The Americas</v>
      </c>
      <c r="AA625" s="14" t="str">
        <f>IFERROR(__xludf.DUMMYFUNCTION("""COMPUTED_VALUE"""),"2012")</f>
        <v>2012</v>
      </c>
      <c r="AB625" s="15" t="str">
        <f>IFERROR(__xludf.DUMMYFUNCTION("ARRAYFORMULA(VLOOKUP(A625,IMPORTRANGE(""https://docs.google.com/spreadsheets/d/1BuTWp7qHGjWhqrnf-OmePP568O4A5Am9ttzvVdP67zw/edit#gid=1931367683"" ,""ENERGY!$A$2:$F$2692""), {2,3,4,5,6},0))"),"The Americas")</f>
        <v>The Americas</v>
      </c>
      <c r="AC625" s="14" t="str">
        <f>IFERROR(__xludf.DUMMYFUNCTION("""COMPUTED_VALUE"""),"Curacao-The Americas")</f>
        <v>Curacao-The Americas</v>
      </c>
      <c r="AD625" s="14" t="str">
        <f>IFERROR(__xludf.DUMMYFUNCTION("""COMPUTED_VALUE"""),"2009")</f>
        <v>2009</v>
      </c>
      <c r="AE625" s="14"/>
      <c r="AF625" s="14"/>
    </row>
    <row r="626">
      <c r="A626" s="12">
        <v>625.0</v>
      </c>
      <c r="B626" s="12" t="s">
        <v>127</v>
      </c>
      <c r="C626" s="5" t="s">
        <v>75</v>
      </c>
      <c r="D626" s="8"/>
      <c r="E626" s="8"/>
      <c r="F626" s="8"/>
      <c r="G626" s="8"/>
      <c r="H626" s="11">
        <v>0.153</v>
      </c>
      <c r="I626" s="11">
        <v>0.231</v>
      </c>
      <c r="J626" s="9" t="s">
        <v>60</v>
      </c>
      <c r="K626" s="14" t="str">
        <f>IFERROR(__xludf.DUMMYFUNCTION("ARRAYFORMULA(VLOOKUP(A626,IMPORTRANGE(""https://docs.google.com/spreadsheets/d/1BuTWp7qHGjWhqrnf-OmePP568O4A5Am9ttzvVdP67zw/edit#gid=1603210130"", ""TOURISM!$A$2:$F$2692""), {2,3,4,5,6},0))"),"Europe")</f>
        <v>Europe</v>
      </c>
      <c r="L626" s="14">
        <f>IFERROR(__xludf.DUMMYFUNCTION("""COMPUTED_VALUE"""),2.137E9)</f>
        <v>2137000000</v>
      </c>
      <c r="M626" s="14" t="str">
        <f>IFERROR(__xludf.DUMMYFUNCTION("""COMPUTED_VALUE"""),"Cyprus-Europe")</f>
        <v>Cyprus-Europe</v>
      </c>
      <c r="N626" s="14" t="str">
        <f>IFERROR(__xludf.DUMMYFUNCTION("""COMPUTED_VALUE"""),"2000")</f>
        <v>2000</v>
      </c>
      <c r="O626" s="14">
        <f>IFERROR(__xludf.DUMMYFUNCTION("""COMPUTED_VALUE"""),5.43E8)</f>
        <v>543000000</v>
      </c>
      <c r="P626" s="15">
        <f>IFERROR(__xludf.DUMMYFUNCTION("ARRAYFORMULA(VLOOKUP(A626,IMPORTRANGE(""https://docs.google.com/spreadsheets/d/1BuTWp7qHGjWhqrnf-OmePP568O4A5Am9ttzvVdP67zw/edit#gid=771602874"" ,""HUMAN RESOURCES!$A$2:$M$2692""), {2,3,4,5,6,7,8,9,10,11,12,13},0))"),0.013)</f>
        <v>0.013</v>
      </c>
      <c r="Q626" s="14">
        <f>IFERROR(__xludf.DUMMYFUNCTION("""COMPUTED_VALUE"""),0.006)</f>
        <v>0.006</v>
      </c>
      <c r="R626" s="14">
        <f>IFERROR(__xludf.DUMMYFUNCTION("""COMPUTED_VALUE"""),80.0)</f>
        <v>80</v>
      </c>
      <c r="S626" s="14">
        <f>IFERROR(__xludf.DUMMYFUNCTION("""COMPUTED_VALUE"""),76.0)</f>
        <v>76</v>
      </c>
      <c r="T626" s="14">
        <f>IFERROR(__xludf.DUMMYFUNCTION("""COMPUTED_VALUE"""),0.224)</f>
        <v>0.224</v>
      </c>
      <c r="U626" s="14">
        <f>IFERROR(__xludf.DUMMYFUNCTION("""COMPUTED_VALUE"""),0.674)</f>
        <v>0.674</v>
      </c>
      <c r="V626" s="14">
        <f>IFERROR(__xludf.DUMMYFUNCTION("""COMPUTED_VALUE"""),0.102)</f>
        <v>0.102</v>
      </c>
      <c r="W626" s="14">
        <f>IFERROR(__xludf.DUMMYFUNCTION("""COMPUTED_VALUE"""),943287.0)</f>
        <v>943287</v>
      </c>
      <c r="X626" s="14">
        <f>IFERROR(__xludf.DUMMYFUNCTION("""COMPUTED_VALUE"""),0.686)</f>
        <v>0.686</v>
      </c>
      <c r="Y626" s="14" t="str">
        <f>IFERROR(__xludf.DUMMYFUNCTION("""COMPUTED_VALUE"""),"Cyprus-Europe")</f>
        <v>Cyprus-Europe</v>
      </c>
      <c r="Z626" s="14" t="str">
        <f>IFERROR(__xludf.DUMMYFUNCTION("""COMPUTED_VALUE"""),"Europe")</f>
        <v>Europe</v>
      </c>
      <c r="AA626" s="14" t="str">
        <f>IFERROR(__xludf.DUMMYFUNCTION("""COMPUTED_VALUE"""),"2000")</f>
        <v>2000</v>
      </c>
      <c r="AB626" s="15" t="str">
        <f>IFERROR(__xludf.DUMMYFUNCTION("ARRAYFORMULA(VLOOKUP(A626,IMPORTRANGE(""https://docs.google.com/spreadsheets/d/1BuTWp7qHGjWhqrnf-OmePP568O4A5Am9ttzvVdP67zw/edit#gid=1931367683"" ,""ENERGY!$A$2:$F$2692""), {2,3,4,5,6},0))"),"Europe")</f>
        <v>Europe</v>
      </c>
      <c r="AC626" s="14" t="str">
        <f>IFERROR(__xludf.DUMMYFUNCTION("""COMPUTED_VALUE"""),"Cyprus-Europe")</f>
        <v>Cyprus-Europe</v>
      </c>
      <c r="AD626" s="14" t="str">
        <f>IFERROR(__xludf.DUMMYFUNCTION("""COMPUTED_VALUE"""),"2000")</f>
        <v>2000</v>
      </c>
      <c r="AE626" s="14"/>
      <c r="AF626" s="14"/>
    </row>
    <row r="627">
      <c r="A627" s="12">
        <v>626.0</v>
      </c>
      <c r="B627" s="12" t="s">
        <v>127</v>
      </c>
      <c r="C627" s="5" t="s">
        <v>75</v>
      </c>
      <c r="D627" s="8"/>
      <c r="E627" s="8"/>
      <c r="F627" s="8"/>
      <c r="G627" s="8"/>
      <c r="H627" s="11">
        <v>0.188</v>
      </c>
      <c r="I627" s="11">
        <v>0.327</v>
      </c>
      <c r="J627" s="9" t="s">
        <v>62</v>
      </c>
      <c r="K627" s="14" t="str">
        <f>IFERROR(__xludf.DUMMYFUNCTION("ARRAYFORMULA(VLOOKUP(A627,IMPORTRANGE(""https://docs.google.com/spreadsheets/d/1BuTWp7qHGjWhqrnf-OmePP568O4A5Am9ttzvVdP67zw/edit#gid=1603210130"", ""TOURISM!$A$2:$F$2692""), {2,3,4,5,6},0))"),"Europe")</f>
        <v>Europe</v>
      </c>
      <c r="L627" s="14">
        <f>IFERROR(__xludf.DUMMYFUNCTION("""COMPUTED_VALUE"""),2.203E9)</f>
        <v>2203000000</v>
      </c>
      <c r="M627" s="14" t="str">
        <f>IFERROR(__xludf.DUMMYFUNCTION("""COMPUTED_VALUE"""),"Cyprus-Europe")</f>
        <v>Cyprus-Europe</v>
      </c>
      <c r="N627" s="14" t="str">
        <f>IFERROR(__xludf.DUMMYFUNCTION("""COMPUTED_VALUE"""),"2001")</f>
        <v>2001</v>
      </c>
      <c r="O627" s="14">
        <f>IFERROR(__xludf.DUMMYFUNCTION("""COMPUTED_VALUE"""),5.68E8)</f>
        <v>568000000</v>
      </c>
      <c r="P627" s="15">
        <f>IFERROR(__xludf.DUMMYFUNCTION("ARRAYFORMULA(VLOOKUP(A627,IMPORTRANGE(""https://docs.google.com/spreadsheets/d/1BuTWp7qHGjWhqrnf-OmePP568O4A5Am9ttzvVdP67zw/edit#gid=771602874"" ,""HUMAN RESOURCES!$A$2:$M$2692""), {2,3,4,5,6,7,8,9,10,11,12,13},0))"),0.013)</f>
        <v>0.013</v>
      </c>
      <c r="Q627" s="14">
        <f>IFERROR(__xludf.DUMMYFUNCTION("""COMPUTED_VALUE"""),0.005)</f>
        <v>0.005</v>
      </c>
      <c r="R627" s="14">
        <f>IFERROR(__xludf.DUMMYFUNCTION("""COMPUTED_VALUE"""),80.0)</f>
        <v>80</v>
      </c>
      <c r="S627" s="14">
        <f>IFERROR(__xludf.DUMMYFUNCTION("""COMPUTED_VALUE"""),76.0)</f>
        <v>76</v>
      </c>
      <c r="T627" s="14">
        <f>IFERROR(__xludf.DUMMYFUNCTION("""COMPUTED_VALUE"""),0.219)</f>
        <v>0.219</v>
      </c>
      <c r="U627" s="14">
        <f>IFERROR(__xludf.DUMMYFUNCTION("""COMPUTED_VALUE"""),0.678)</f>
        <v>0.678</v>
      </c>
      <c r="V627" s="14">
        <f>IFERROR(__xludf.DUMMYFUNCTION("""COMPUTED_VALUE"""),0.103)</f>
        <v>0.103</v>
      </c>
      <c r="W627" s="14">
        <f>IFERROR(__xludf.DUMMYFUNCTION("""COMPUTED_VALUE"""),961481.0)</f>
        <v>961481</v>
      </c>
      <c r="X627" s="14">
        <f>IFERROR(__xludf.DUMMYFUNCTION("""COMPUTED_VALUE"""),0.688)</f>
        <v>0.688</v>
      </c>
      <c r="Y627" s="14" t="str">
        <f>IFERROR(__xludf.DUMMYFUNCTION("""COMPUTED_VALUE"""),"Cyprus-Europe")</f>
        <v>Cyprus-Europe</v>
      </c>
      <c r="Z627" s="14" t="str">
        <f>IFERROR(__xludf.DUMMYFUNCTION("""COMPUTED_VALUE"""),"Europe")</f>
        <v>Europe</v>
      </c>
      <c r="AA627" s="14" t="str">
        <f>IFERROR(__xludf.DUMMYFUNCTION("""COMPUTED_VALUE"""),"2001")</f>
        <v>2001</v>
      </c>
      <c r="AB627" s="15" t="str">
        <f>IFERROR(__xludf.DUMMYFUNCTION("ARRAYFORMULA(VLOOKUP(A627,IMPORTRANGE(""https://docs.google.com/spreadsheets/d/1BuTWp7qHGjWhqrnf-OmePP568O4A5Am9ttzvVdP67zw/edit#gid=1931367683"" ,""ENERGY!$A$2:$F$2692""), {2,3,4,5,6},0))"),"Europe")</f>
        <v>Europe</v>
      </c>
      <c r="AC627" s="14" t="str">
        <f>IFERROR(__xludf.DUMMYFUNCTION("""COMPUTED_VALUE"""),"Cyprus-Europe")</f>
        <v>Cyprus-Europe</v>
      </c>
      <c r="AD627" s="14" t="str">
        <f>IFERROR(__xludf.DUMMYFUNCTION("""COMPUTED_VALUE"""),"2001")</f>
        <v>2001</v>
      </c>
      <c r="AE627" s="14">
        <f>IFERROR(__xludf.DUMMYFUNCTION("""COMPUTED_VALUE"""),2368.0)</f>
        <v>2368</v>
      </c>
      <c r="AF627" s="14"/>
    </row>
    <row r="628">
      <c r="A628" s="12">
        <v>627.0</v>
      </c>
      <c r="B628" s="12" t="s">
        <v>127</v>
      </c>
      <c r="C628" s="5" t="s">
        <v>75</v>
      </c>
      <c r="D628" s="8"/>
      <c r="E628" s="8"/>
      <c r="F628" s="8"/>
      <c r="G628" s="8"/>
      <c r="H628" s="11">
        <v>0.283</v>
      </c>
      <c r="I628" s="11">
        <v>0.427</v>
      </c>
      <c r="J628" s="9" t="s">
        <v>63</v>
      </c>
      <c r="K628" s="14" t="str">
        <f>IFERROR(__xludf.DUMMYFUNCTION("ARRAYFORMULA(VLOOKUP(A628,IMPORTRANGE(""https://docs.google.com/spreadsheets/d/1BuTWp7qHGjWhqrnf-OmePP568O4A5Am9ttzvVdP67zw/edit#gid=1603210130"", ""TOURISM!$A$2:$F$2692""), {2,3,4,5,6},0))"),"Europe")</f>
        <v>Europe</v>
      </c>
      <c r="L628" s="14">
        <f>IFERROR(__xludf.DUMMYFUNCTION("""COMPUTED_VALUE"""),2.178E9)</f>
        <v>2178000000</v>
      </c>
      <c r="M628" s="14" t="str">
        <f>IFERROR(__xludf.DUMMYFUNCTION("""COMPUTED_VALUE"""),"Cyprus-Europe")</f>
        <v>Cyprus-Europe</v>
      </c>
      <c r="N628" s="14" t="str">
        <f>IFERROR(__xludf.DUMMYFUNCTION("""COMPUTED_VALUE"""),"2002")</f>
        <v>2002</v>
      </c>
      <c r="O628" s="14">
        <f>IFERROR(__xludf.DUMMYFUNCTION("""COMPUTED_VALUE"""),5.82E8)</f>
        <v>582000000</v>
      </c>
      <c r="P628" s="15">
        <f>IFERROR(__xludf.DUMMYFUNCTION("ARRAYFORMULA(VLOOKUP(A628,IMPORTRANGE(""https://docs.google.com/spreadsheets/d/1BuTWp7qHGjWhqrnf-OmePP568O4A5Am9ttzvVdP67zw/edit#gid=771602874"" ,""HUMAN RESOURCES!$A$2:$M$2692""), {2,3,4,5,6,7,8,9,10,11,12,13},0))"),0.013)</f>
        <v>0.013</v>
      </c>
      <c r="Q628" s="14">
        <f>IFERROR(__xludf.DUMMYFUNCTION("""COMPUTED_VALUE"""),0.005)</f>
        <v>0.005</v>
      </c>
      <c r="R628" s="14">
        <f>IFERROR(__xludf.DUMMYFUNCTION("""COMPUTED_VALUE"""),80.0)</f>
        <v>80</v>
      </c>
      <c r="S628" s="14">
        <f>IFERROR(__xludf.DUMMYFUNCTION("""COMPUTED_VALUE"""),76.0)</f>
        <v>76</v>
      </c>
      <c r="T628" s="14">
        <f>IFERROR(__xludf.DUMMYFUNCTION("""COMPUTED_VALUE"""),0.214)</f>
        <v>0.214</v>
      </c>
      <c r="U628" s="14">
        <f>IFERROR(__xludf.DUMMYFUNCTION("""COMPUTED_VALUE"""),0.682)</f>
        <v>0.682</v>
      </c>
      <c r="V628" s="14">
        <f>IFERROR(__xludf.DUMMYFUNCTION("""COMPUTED_VALUE"""),0.104)</f>
        <v>0.104</v>
      </c>
      <c r="W628" s="14">
        <f>IFERROR(__xludf.DUMMYFUNCTION("""COMPUTED_VALUE"""),979877.0)</f>
        <v>979877</v>
      </c>
      <c r="X628" s="14">
        <f>IFERROR(__xludf.DUMMYFUNCTION("""COMPUTED_VALUE"""),0.687)</f>
        <v>0.687</v>
      </c>
      <c r="Y628" s="14" t="str">
        <f>IFERROR(__xludf.DUMMYFUNCTION("""COMPUTED_VALUE"""),"Cyprus-Europe")</f>
        <v>Cyprus-Europe</v>
      </c>
      <c r="Z628" s="14" t="str">
        <f>IFERROR(__xludf.DUMMYFUNCTION("""COMPUTED_VALUE"""),"Europe")</f>
        <v>Europe</v>
      </c>
      <c r="AA628" s="14" t="str">
        <f>IFERROR(__xludf.DUMMYFUNCTION("""COMPUTED_VALUE"""),"2002")</f>
        <v>2002</v>
      </c>
      <c r="AB628" s="15" t="str">
        <f>IFERROR(__xludf.DUMMYFUNCTION("ARRAYFORMULA(VLOOKUP(A628,IMPORTRANGE(""https://docs.google.com/spreadsheets/d/1BuTWp7qHGjWhqrnf-OmePP568O4A5Am9ttzvVdP67zw/edit#gid=1931367683"" ,""ENERGY!$A$2:$F$2692""), {2,3,4,5,6},0))"),"Europe")</f>
        <v>Europe</v>
      </c>
      <c r="AC628" s="14" t="str">
        <f>IFERROR(__xludf.DUMMYFUNCTION("""COMPUTED_VALUE"""),"Cyprus-Europe")</f>
        <v>Cyprus-Europe</v>
      </c>
      <c r="AD628" s="14" t="str">
        <f>IFERROR(__xludf.DUMMYFUNCTION("""COMPUTED_VALUE"""),"2002")</f>
        <v>2002</v>
      </c>
      <c r="AE628" s="14">
        <f>IFERROR(__xludf.DUMMYFUNCTION("""COMPUTED_VALUE"""),2443.0)</f>
        <v>2443</v>
      </c>
      <c r="AF628" s="14">
        <f>IFERROR(__xludf.DUMMYFUNCTION("""COMPUTED_VALUE"""),7708.0)</f>
        <v>7708</v>
      </c>
    </row>
    <row r="629">
      <c r="A629" s="12">
        <v>628.0</v>
      </c>
      <c r="B629" s="12" t="s">
        <v>127</v>
      </c>
      <c r="C629" s="5" t="s">
        <v>75</v>
      </c>
      <c r="D629" s="8"/>
      <c r="E629" s="8"/>
      <c r="F629" s="8"/>
      <c r="G629" s="8"/>
      <c r="H629" s="11">
        <v>0.301</v>
      </c>
      <c r="I629" s="11">
        <v>0.553</v>
      </c>
      <c r="J629" s="9" t="s">
        <v>64</v>
      </c>
      <c r="K629" s="14" t="str">
        <f>IFERROR(__xludf.DUMMYFUNCTION("ARRAYFORMULA(VLOOKUP(A629,IMPORTRANGE(""https://docs.google.com/spreadsheets/d/1BuTWp7qHGjWhqrnf-OmePP568O4A5Am9ttzvVdP67zw/edit#gid=1603210130"", ""TOURISM!$A$2:$F$2692""), {2,3,4,5,6},0))"),"Europe")</f>
        <v>Europe</v>
      </c>
      <c r="L629" s="14">
        <f>IFERROR(__xludf.DUMMYFUNCTION("""COMPUTED_VALUE"""),2.325E9)</f>
        <v>2325000000</v>
      </c>
      <c r="M629" s="14" t="str">
        <f>IFERROR(__xludf.DUMMYFUNCTION("""COMPUTED_VALUE"""),"Cyprus-Europe")</f>
        <v>Cyprus-Europe</v>
      </c>
      <c r="N629" s="14" t="str">
        <f>IFERROR(__xludf.DUMMYFUNCTION("""COMPUTED_VALUE"""),"2003")</f>
        <v>2003</v>
      </c>
      <c r="O629" s="14">
        <f>IFERROR(__xludf.DUMMYFUNCTION("""COMPUTED_VALUE"""),7.0E8)</f>
        <v>700000000</v>
      </c>
      <c r="P629" s="15">
        <f>IFERROR(__xludf.DUMMYFUNCTION("ARRAYFORMULA(VLOOKUP(A629,IMPORTRANGE(""https://docs.google.com/spreadsheets/d/1BuTWp7qHGjWhqrnf-OmePP568O4A5Am9ttzvVdP67zw/edit#gid=771602874"" ,""HUMAN RESOURCES!$A$2:$M$2692""), {2,3,4,5,6,7,8,9,10,11,12,13},0))"),0.012)</f>
        <v>0.012</v>
      </c>
      <c r="Q629" s="14">
        <f>IFERROR(__xludf.DUMMYFUNCTION("""COMPUTED_VALUE"""),0.005)</f>
        <v>0.005</v>
      </c>
      <c r="R629" s="14">
        <f>IFERROR(__xludf.DUMMYFUNCTION("""COMPUTED_VALUE"""),81.0)</f>
        <v>81</v>
      </c>
      <c r="S629" s="14">
        <f>IFERROR(__xludf.DUMMYFUNCTION("""COMPUTED_VALUE"""),76.0)</f>
        <v>76</v>
      </c>
      <c r="T629" s="14">
        <f>IFERROR(__xludf.DUMMYFUNCTION("""COMPUTED_VALUE"""),0.209)</f>
        <v>0.209</v>
      </c>
      <c r="U629" s="14">
        <f>IFERROR(__xludf.DUMMYFUNCTION("""COMPUTED_VALUE"""),0.686)</f>
        <v>0.686</v>
      </c>
      <c r="V629" s="14">
        <f>IFERROR(__xludf.DUMMYFUNCTION("""COMPUTED_VALUE"""),0.105)</f>
        <v>0.105</v>
      </c>
      <c r="W629" s="14">
        <f>IFERROR(__xludf.DUMMYFUNCTION("""COMPUTED_VALUE"""),998142.0)</f>
        <v>998142</v>
      </c>
      <c r="X629" s="14">
        <f>IFERROR(__xludf.DUMMYFUNCTION("""COMPUTED_VALUE"""),0.686)</f>
        <v>0.686</v>
      </c>
      <c r="Y629" s="14" t="str">
        <f>IFERROR(__xludf.DUMMYFUNCTION("""COMPUTED_VALUE"""),"Cyprus-Europe")</f>
        <v>Cyprus-Europe</v>
      </c>
      <c r="Z629" s="14" t="str">
        <f>IFERROR(__xludf.DUMMYFUNCTION("""COMPUTED_VALUE"""),"Europe")</f>
        <v>Europe</v>
      </c>
      <c r="AA629" s="14" t="str">
        <f>IFERROR(__xludf.DUMMYFUNCTION("""COMPUTED_VALUE"""),"2003")</f>
        <v>2003</v>
      </c>
      <c r="AB629" s="15" t="str">
        <f>IFERROR(__xludf.DUMMYFUNCTION("ARRAYFORMULA(VLOOKUP(A629,IMPORTRANGE(""https://docs.google.com/spreadsheets/d/1BuTWp7qHGjWhqrnf-OmePP568O4A5Am9ttzvVdP67zw/edit#gid=1931367683"" ,""ENERGY!$A$2:$F$2692""), {2,3,4,5,6},0))"),"Europe")</f>
        <v>Europe</v>
      </c>
      <c r="AC629" s="14" t="str">
        <f>IFERROR(__xludf.DUMMYFUNCTION("""COMPUTED_VALUE"""),"Cyprus-Europe")</f>
        <v>Cyprus-Europe</v>
      </c>
      <c r="AD629" s="14" t="str">
        <f>IFERROR(__xludf.DUMMYFUNCTION("""COMPUTED_VALUE"""),"2003")</f>
        <v>2003</v>
      </c>
      <c r="AE629" s="14">
        <f>IFERROR(__xludf.DUMMYFUNCTION("""COMPUTED_VALUE"""),2525.0)</f>
        <v>2525</v>
      </c>
      <c r="AF629" s="14">
        <f>IFERROR(__xludf.DUMMYFUNCTION("""COMPUTED_VALUE"""),8141.0)</f>
        <v>8141</v>
      </c>
    </row>
    <row r="630">
      <c r="A630" s="12">
        <v>629.0</v>
      </c>
      <c r="B630" s="12" t="s">
        <v>127</v>
      </c>
      <c r="C630" s="5" t="s">
        <v>75</v>
      </c>
      <c r="D630" s="8"/>
      <c r="E630" s="8"/>
      <c r="F630" s="8"/>
      <c r="G630" s="8"/>
      <c r="H630" s="11">
        <v>0.338</v>
      </c>
      <c r="I630" s="11">
        <v>0.648</v>
      </c>
      <c r="J630" s="9" t="s">
        <v>65</v>
      </c>
      <c r="K630" s="14" t="str">
        <f>IFERROR(__xludf.DUMMYFUNCTION("ARRAYFORMULA(VLOOKUP(A630,IMPORTRANGE(""https://docs.google.com/spreadsheets/d/1BuTWp7qHGjWhqrnf-OmePP568O4A5Am9ttzvVdP67zw/edit#gid=1603210130"", ""TOURISM!$A$2:$F$2692""), {2,3,4,5,6},0))"),"Europe")</f>
        <v>Europe</v>
      </c>
      <c r="L630" s="14">
        <f>IFERROR(__xludf.DUMMYFUNCTION("""COMPUTED_VALUE"""),2.552E9)</f>
        <v>2552000000</v>
      </c>
      <c r="M630" s="14" t="str">
        <f>IFERROR(__xludf.DUMMYFUNCTION("""COMPUTED_VALUE"""),"Cyprus-Europe")</f>
        <v>Cyprus-Europe</v>
      </c>
      <c r="N630" s="14" t="str">
        <f>IFERROR(__xludf.DUMMYFUNCTION("""COMPUTED_VALUE"""),"2004")</f>
        <v>2004</v>
      </c>
      <c r="O630" s="14">
        <f>IFERROR(__xludf.DUMMYFUNCTION("""COMPUTED_VALUE"""),9.07E8)</f>
        <v>907000000</v>
      </c>
      <c r="P630" s="15">
        <f>IFERROR(__xludf.DUMMYFUNCTION("ARRAYFORMULA(VLOOKUP(A630,IMPORTRANGE(""https://docs.google.com/spreadsheets/d/1BuTWp7qHGjWhqrnf-OmePP568O4A5Am9ttzvVdP67zw/edit#gid=771602874"" ,""HUMAN RESOURCES!$A$2:$M$2692""), {2,3,4,5,6,7,8,9,10,11,12,13},0))"),0.012)</f>
        <v>0.012</v>
      </c>
      <c r="Q630" s="14">
        <f>IFERROR(__xludf.DUMMYFUNCTION("""COMPUTED_VALUE"""),0.004)</f>
        <v>0.004</v>
      </c>
      <c r="R630" s="14">
        <f>IFERROR(__xludf.DUMMYFUNCTION("""COMPUTED_VALUE"""),81.0)</f>
        <v>81</v>
      </c>
      <c r="S630" s="14">
        <f>IFERROR(__xludf.DUMMYFUNCTION("""COMPUTED_VALUE"""),76.0)</f>
        <v>76</v>
      </c>
      <c r="T630" s="14">
        <f>IFERROR(__xludf.DUMMYFUNCTION("""COMPUTED_VALUE"""),0.205)</f>
        <v>0.205</v>
      </c>
      <c r="U630" s="14">
        <f>IFERROR(__xludf.DUMMYFUNCTION("""COMPUTED_VALUE"""),0.69)</f>
        <v>0.69</v>
      </c>
      <c r="V630" s="14">
        <f>IFERROR(__xludf.DUMMYFUNCTION("""COMPUTED_VALUE"""),0.106)</f>
        <v>0.106</v>
      </c>
      <c r="W630" s="14">
        <f>IFERROR(__xludf.DUMMYFUNCTION("""COMPUTED_VALUE"""),1015820.0)</f>
        <v>1015820</v>
      </c>
      <c r="X630" s="14">
        <f>IFERROR(__xludf.DUMMYFUNCTION("""COMPUTED_VALUE"""),0.684)</f>
        <v>0.684</v>
      </c>
      <c r="Y630" s="14" t="str">
        <f>IFERROR(__xludf.DUMMYFUNCTION("""COMPUTED_VALUE"""),"Cyprus-Europe")</f>
        <v>Cyprus-Europe</v>
      </c>
      <c r="Z630" s="14" t="str">
        <f>IFERROR(__xludf.DUMMYFUNCTION("""COMPUTED_VALUE"""),"Europe")</f>
        <v>Europe</v>
      </c>
      <c r="AA630" s="14" t="str">
        <f>IFERROR(__xludf.DUMMYFUNCTION("""COMPUTED_VALUE"""),"2004")</f>
        <v>2004</v>
      </c>
      <c r="AB630" s="15" t="str">
        <f>IFERROR(__xludf.DUMMYFUNCTION("ARRAYFORMULA(VLOOKUP(A630,IMPORTRANGE(""https://docs.google.com/spreadsheets/d/1BuTWp7qHGjWhqrnf-OmePP568O4A5Am9ttzvVdP67zw/edit#gid=1931367683"" ,""ENERGY!$A$2:$F$2692""), {2,3,4,5,6},0))"),"Europe")</f>
        <v>Europe</v>
      </c>
      <c r="AC630" s="14" t="str">
        <f>IFERROR(__xludf.DUMMYFUNCTION("""COMPUTED_VALUE"""),"Cyprus-Europe")</f>
        <v>Cyprus-Europe</v>
      </c>
      <c r="AD630" s="14" t="str">
        <f>IFERROR(__xludf.DUMMYFUNCTION("""COMPUTED_VALUE"""),"2004")</f>
        <v>2004</v>
      </c>
      <c r="AE630" s="14">
        <f>IFERROR(__xludf.DUMMYFUNCTION("""COMPUTED_VALUE"""),2574.0)</f>
        <v>2574</v>
      </c>
      <c r="AF630" s="14">
        <f>IFERROR(__xludf.DUMMYFUNCTION("""COMPUTED_VALUE"""),8555.0)</f>
        <v>8555</v>
      </c>
    </row>
    <row r="631">
      <c r="A631" s="12">
        <v>630.0</v>
      </c>
      <c r="B631" s="12" t="s">
        <v>127</v>
      </c>
      <c r="C631" s="5" t="s">
        <v>75</v>
      </c>
      <c r="D631" s="8"/>
      <c r="E631" s="8"/>
      <c r="F631" s="8"/>
      <c r="G631" s="8"/>
      <c r="H631" s="11">
        <v>0.328</v>
      </c>
      <c r="I631" s="11">
        <v>0.758</v>
      </c>
      <c r="J631" s="9" t="s">
        <v>66</v>
      </c>
      <c r="K631" s="14" t="str">
        <f>IFERROR(__xludf.DUMMYFUNCTION("ARRAYFORMULA(VLOOKUP(A631,IMPORTRANGE(""https://docs.google.com/spreadsheets/d/1BuTWp7qHGjWhqrnf-OmePP568O4A5Am9ttzvVdP67zw/edit#gid=1603210130"", ""TOURISM!$A$2:$F$2692""), {2,3,4,5,6},0))"),"Europe")</f>
        <v>Europe</v>
      </c>
      <c r="L631" s="14">
        <f>IFERROR(__xludf.DUMMYFUNCTION("""COMPUTED_VALUE"""),2.644E9)</f>
        <v>2644000000</v>
      </c>
      <c r="M631" s="14" t="str">
        <f>IFERROR(__xludf.DUMMYFUNCTION("""COMPUTED_VALUE"""),"Cyprus-Europe")</f>
        <v>Cyprus-Europe</v>
      </c>
      <c r="N631" s="14" t="str">
        <f>IFERROR(__xludf.DUMMYFUNCTION("""COMPUTED_VALUE"""),"2005")</f>
        <v>2005</v>
      </c>
      <c r="O631" s="14">
        <f>IFERROR(__xludf.DUMMYFUNCTION("""COMPUTED_VALUE"""),1.001E9)</f>
        <v>1001000000</v>
      </c>
      <c r="P631" s="15">
        <f>IFERROR(__xludf.DUMMYFUNCTION("ARRAYFORMULA(VLOOKUP(A631,IMPORTRANGE(""https://docs.google.com/spreadsheets/d/1BuTWp7qHGjWhqrnf-OmePP568O4A5Am9ttzvVdP67zw/edit#gid=771602874"" ,""HUMAN RESOURCES!$A$2:$M$2692""), {2,3,4,5,6,7,8,9,10,11,12,13},0))"),0.012)</f>
        <v>0.012</v>
      </c>
      <c r="Q631" s="14">
        <f>IFERROR(__xludf.DUMMYFUNCTION("""COMPUTED_VALUE"""),0.004)</f>
        <v>0.004</v>
      </c>
      <c r="R631" s="14">
        <f>IFERROR(__xludf.DUMMYFUNCTION("""COMPUTED_VALUE"""),81.0)</f>
        <v>81</v>
      </c>
      <c r="S631" s="14">
        <f>IFERROR(__xludf.DUMMYFUNCTION("""COMPUTED_VALUE"""),77.0)</f>
        <v>77</v>
      </c>
      <c r="T631" s="14">
        <f>IFERROR(__xludf.DUMMYFUNCTION("""COMPUTED_VALUE"""),0.2)</f>
        <v>0.2</v>
      </c>
      <c r="U631" s="14">
        <f>IFERROR(__xludf.DUMMYFUNCTION("""COMPUTED_VALUE"""),0.693)</f>
        <v>0.693</v>
      </c>
      <c r="V631" s="14">
        <f>IFERROR(__xludf.DUMMYFUNCTION("""COMPUTED_VALUE"""),0.107)</f>
        <v>0.107</v>
      </c>
      <c r="W631" s="14">
        <f>IFERROR(__xludf.DUMMYFUNCTION("""COMPUTED_VALUE"""),1032586.0)</f>
        <v>1032586</v>
      </c>
      <c r="X631" s="14">
        <f>IFERROR(__xludf.DUMMYFUNCTION("""COMPUTED_VALUE"""),0.683)</f>
        <v>0.683</v>
      </c>
      <c r="Y631" s="14" t="str">
        <f>IFERROR(__xludf.DUMMYFUNCTION("""COMPUTED_VALUE"""),"Cyprus-Europe")</f>
        <v>Cyprus-Europe</v>
      </c>
      <c r="Z631" s="14" t="str">
        <f>IFERROR(__xludf.DUMMYFUNCTION("""COMPUTED_VALUE"""),"Europe")</f>
        <v>Europe</v>
      </c>
      <c r="AA631" s="14" t="str">
        <f>IFERROR(__xludf.DUMMYFUNCTION("""COMPUTED_VALUE"""),"2005")</f>
        <v>2005</v>
      </c>
      <c r="AB631" s="15" t="str">
        <f>IFERROR(__xludf.DUMMYFUNCTION("ARRAYFORMULA(VLOOKUP(A631,IMPORTRANGE(""https://docs.google.com/spreadsheets/d/1BuTWp7qHGjWhqrnf-OmePP568O4A5Am9ttzvVdP67zw/edit#gid=1931367683"" ,""ENERGY!$A$2:$F$2692""), {2,3,4,5,6},0))"),"Europe")</f>
        <v>Europe</v>
      </c>
      <c r="AC631" s="14" t="str">
        <f>IFERROR(__xludf.DUMMYFUNCTION("""COMPUTED_VALUE"""),"Cyprus-Europe")</f>
        <v>Cyprus-Europe</v>
      </c>
      <c r="AD631" s="14" t="str">
        <f>IFERROR(__xludf.DUMMYFUNCTION("""COMPUTED_VALUE"""),"2006")</f>
        <v>2006</v>
      </c>
      <c r="AE631" s="14">
        <f>IFERROR(__xludf.DUMMYFUNCTION("""COMPUTED_VALUE"""),2437.0)</f>
        <v>2437</v>
      </c>
      <c r="AF631" s="14">
        <f>IFERROR(__xludf.DUMMYFUNCTION("""COMPUTED_VALUE"""),8196.0)</f>
        <v>8196</v>
      </c>
    </row>
    <row r="632">
      <c r="A632" s="12">
        <v>631.0</v>
      </c>
      <c r="B632" s="12" t="s">
        <v>127</v>
      </c>
      <c r="C632" s="5" t="s">
        <v>75</v>
      </c>
      <c r="D632" s="8"/>
      <c r="E632" s="8"/>
      <c r="F632" s="8"/>
      <c r="G632" s="8"/>
      <c r="H632" s="11">
        <v>0.358</v>
      </c>
      <c r="I632" s="11">
        <v>0.828</v>
      </c>
      <c r="J632" s="9" t="s">
        <v>67</v>
      </c>
      <c r="K632" s="14" t="str">
        <f>IFERROR(__xludf.DUMMYFUNCTION("ARRAYFORMULA(VLOOKUP(A632,IMPORTRANGE(""https://docs.google.com/spreadsheets/d/1BuTWp7qHGjWhqrnf-OmePP568O4A5Am9ttzvVdP67zw/edit#gid=1603210130"", ""TOURISM!$A$2:$F$2692""), {2,3,4,5,6},0))"),"Europe")</f>
        <v>Europe</v>
      </c>
      <c r="L632" s="14">
        <f>IFERROR(__xludf.DUMMYFUNCTION("""COMPUTED_VALUE"""),2.691E9)</f>
        <v>2691000000</v>
      </c>
      <c r="M632" s="14" t="str">
        <f>IFERROR(__xludf.DUMMYFUNCTION("""COMPUTED_VALUE"""),"Cyprus-Europe")</f>
        <v>Cyprus-Europe</v>
      </c>
      <c r="N632" s="14" t="str">
        <f>IFERROR(__xludf.DUMMYFUNCTION("""COMPUTED_VALUE"""),"2006")</f>
        <v>2006</v>
      </c>
      <c r="O632" s="14">
        <f>IFERROR(__xludf.DUMMYFUNCTION("""COMPUTED_VALUE"""),1.031E9)</f>
        <v>1031000000</v>
      </c>
      <c r="P632" s="15">
        <f>IFERROR(__xludf.DUMMYFUNCTION("ARRAYFORMULA(VLOOKUP(A632,IMPORTRANGE(""https://docs.google.com/spreadsheets/d/1BuTWp7qHGjWhqrnf-OmePP568O4A5Am9ttzvVdP67zw/edit#gid=771602874"" ,""HUMAN RESOURCES!$A$2:$M$2692""), {2,3,4,5,6,7,8,9,10,11,12,13},0))"),0.012)</f>
        <v>0.012</v>
      </c>
      <c r="Q632" s="14">
        <f>IFERROR(__xludf.DUMMYFUNCTION("""COMPUTED_VALUE"""),0.004)</f>
        <v>0.004</v>
      </c>
      <c r="R632" s="14">
        <f>IFERROR(__xludf.DUMMYFUNCTION("""COMPUTED_VALUE"""),81.0)</f>
        <v>81</v>
      </c>
      <c r="S632" s="14">
        <f>IFERROR(__xludf.DUMMYFUNCTION("""COMPUTED_VALUE"""),77.0)</f>
        <v>77</v>
      </c>
      <c r="T632" s="14">
        <f>IFERROR(__xludf.DUMMYFUNCTION("""COMPUTED_VALUE"""),0.195)</f>
        <v>0.195</v>
      </c>
      <c r="U632" s="14">
        <f>IFERROR(__xludf.DUMMYFUNCTION("""COMPUTED_VALUE"""),0.697)</f>
        <v>0.697</v>
      </c>
      <c r="V632" s="14">
        <f>IFERROR(__xludf.DUMMYFUNCTION("""COMPUTED_VALUE"""),0.109)</f>
        <v>0.109</v>
      </c>
      <c r="W632" s="14">
        <f>IFERROR(__xludf.DUMMYFUNCTION("""COMPUTED_VALUE"""),1048314.0)</f>
        <v>1048314</v>
      </c>
      <c r="X632" s="14">
        <f>IFERROR(__xludf.DUMMYFUNCTION("""COMPUTED_VALUE"""),0.681)</f>
        <v>0.681</v>
      </c>
      <c r="Y632" s="14" t="str">
        <f>IFERROR(__xludf.DUMMYFUNCTION("""COMPUTED_VALUE"""),"Cyprus-Europe")</f>
        <v>Cyprus-Europe</v>
      </c>
      <c r="Z632" s="14" t="str">
        <f>IFERROR(__xludf.DUMMYFUNCTION("""COMPUTED_VALUE"""),"Europe")</f>
        <v>Europe</v>
      </c>
      <c r="AA632" s="14" t="str">
        <f>IFERROR(__xludf.DUMMYFUNCTION("""COMPUTED_VALUE"""),"2006")</f>
        <v>2006</v>
      </c>
      <c r="AB632" s="15" t="str">
        <f>IFERROR(__xludf.DUMMYFUNCTION("ARRAYFORMULA(VLOOKUP(A632,IMPORTRANGE(""https://docs.google.com/spreadsheets/d/1BuTWp7qHGjWhqrnf-OmePP568O4A5Am9ttzvVdP67zw/edit#gid=1931367683"" ,""ENERGY!$A$2:$F$2692""), {2,3,4,5,6},0))"),"Europe")</f>
        <v>Europe</v>
      </c>
      <c r="AC632" s="14" t="str">
        <f>IFERROR(__xludf.DUMMYFUNCTION("""COMPUTED_VALUE"""),"Cyprus-Europe")</f>
        <v>Cyprus-Europe</v>
      </c>
      <c r="AD632" s="14" t="str">
        <f>IFERROR(__xludf.DUMMYFUNCTION("""COMPUTED_VALUE"""),"2010")</f>
        <v>2010</v>
      </c>
      <c r="AE632" s="14">
        <f>IFERROR(__xludf.DUMMYFUNCTION("""COMPUTED_VALUE"""),2308.0)</f>
        <v>2308</v>
      </c>
      <c r="AF632" s="14">
        <f>IFERROR(__xludf.DUMMYFUNCTION("""COMPUTED_VALUE"""),7789.0)</f>
        <v>7789</v>
      </c>
    </row>
    <row r="633">
      <c r="A633" s="12">
        <v>632.0</v>
      </c>
      <c r="B633" s="12" t="s">
        <v>127</v>
      </c>
      <c r="C633" s="5" t="s">
        <v>75</v>
      </c>
      <c r="D633" s="8"/>
      <c r="E633" s="8"/>
      <c r="F633" s="8"/>
      <c r="G633" s="8"/>
      <c r="H633" s="11">
        <v>0.408</v>
      </c>
      <c r="I633" s="11">
        <v>0.93</v>
      </c>
      <c r="J633" s="9" t="s">
        <v>68</v>
      </c>
      <c r="K633" s="14" t="str">
        <f>IFERROR(__xludf.DUMMYFUNCTION("ARRAYFORMULA(VLOOKUP(A633,IMPORTRANGE(""https://docs.google.com/spreadsheets/d/1BuTWp7qHGjWhqrnf-OmePP568O4A5Am9ttzvVdP67zw/edit#gid=1603210130"", ""TOURISM!$A$2:$F$2692""), {2,3,4,5,6},0))"),"Europe")</f>
        <v>Europe</v>
      </c>
      <c r="L633" s="14">
        <f>IFERROR(__xludf.DUMMYFUNCTION("""COMPUTED_VALUE"""),3.108E9)</f>
        <v>3108000000</v>
      </c>
      <c r="M633" s="14" t="str">
        <f>IFERROR(__xludf.DUMMYFUNCTION("""COMPUTED_VALUE"""),"Cyprus-Europe")</f>
        <v>Cyprus-Europe</v>
      </c>
      <c r="N633" s="14" t="str">
        <f>IFERROR(__xludf.DUMMYFUNCTION("""COMPUTED_VALUE"""),"2007")</f>
        <v>2007</v>
      </c>
      <c r="O633" s="14">
        <f>IFERROR(__xludf.DUMMYFUNCTION("""COMPUTED_VALUE"""),1.554E9)</f>
        <v>1554000000</v>
      </c>
      <c r="P633" s="15">
        <f>IFERROR(__xludf.DUMMYFUNCTION("ARRAYFORMULA(VLOOKUP(A633,IMPORTRANGE(""https://docs.google.com/spreadsheets/d/1BuTWp7qHGjWhqrnf-OmePP568O4A5Am9ttzvVdP67zw/edit#gid=771602874"" ,""HUMAN RESOURCES!$A$2:$M$2692""), {2,3,4,5,6,7,8,9,10,11,12,13},0))"),0.012)</f>
        <v>0.012</v>
      </c>
      <c r="Q633" s="14">
        <f>IFERROR(__xludf.DUMMYFUNCTION("""COMPUTED_VALUE"""),0.004)</f>
        <v>0.004</v>
      </c>
      <c r="R633" s="14">
        <f>IFERROR(__xludf.DUMMYFUNCTION("""COMPUTED_VALUE"""),81.0)</f>
        <v>81</v>
      </c>
      <c r="S633" s="14">
        <f>IFERROR(__xludf.DUMMYFUNCTION("""COMPUTED_VALUE"""),77.0)</f>
        <v>77</v>
      </c>
      <c r="T633" s="14">
        <f>IFERROR(__xludf.DUMMYFUNCTION("""COMPUTED_VALUE"""),0.19)</f>
        <v>0.19</v>
      </c>
      <c r="U633" s="14">
        <f>IFERROR(__xludf.DUMMYFUNCTION("""COMPUTED_VALUE"""),0.7)</f>
        <v>0.7</v>
      </c>
      <c r="V633" s="14">
        <f>IFERROR(__xludf.DUMMYFUNCTION("""COMPUTED_VALUE"""),0.11)</f>
        <v>0.11</v>
      </c>
      <c r="W633" s="14">
        <f>IFERROR(__xludf.DUMMYFUNCTION("""COMPUTED_VALUE"""),1063095.0)</f>
        <v>1063095</v>
      </c>
      <c r="X633" s="14">
        <f>IFERROR(__xludf.DUMMYFUNCTION("""COMPUTED_VALUE"""),0.68)</f>
        <v>0.68</v>
      </c>
      <c r="Y633" s="14" t="str">
        <f>IFERROR(__xludf.DUMMYFUNCTION("""COMPUTED_VALUE"""),"Cyprus-Europe")</f>
        <v>Cyprus-Europe</v>
      </c>
      <c r="Z633" s="14" t="str">
        <f>IFERROR(__xludf.DUMMYFUNCTION("""COMPUTED_VALUE"""),"Europe")</f>
        <v>Europe</v>
      </c>
      <c r="AA633" s="14" t="str">
        <f>IFERROR(__xludf.DUMMYFUNCTION("""COMPUTED_VALUE"""),"2007")</f>
        <v>2007</v>
      </c>
      <c r="AB633" s="15" t="str">
        <f>IFERROR(__xludf.DUMMYFUNCTION("ARRAYFORMULA(VLOOKUP(A633,IMPORTRANGE(""https://docs.google.com/spreadsheets/d/1BuTWp7qHGjWhqrnf-OmePP568O4A5Am9ttzvVdP67zw/edit#gid=1931367683"" ,""ENERGY!$A$2:$F$2692""), {2,3,4,5,6},0))"),"Europe")</f>
        <v>Europe</v>
      </c>
      <c r="AC633" s="14" t="str">
        <f>IFERROR(__xludf.DUMMYFUNCTION("""COMPUTED_VALUE"""),"Cyprus-Europe")</f>
        <v>Cyprus-Europe</v>
      </c>
      <c r="AD633" s="14" t="str">
        <f>IFERROR(__xludf.DUMMYFUNCTION("""COMPUTED_VALUE"""),"2007")</f>
        <v>2007</v>
      </c>
      <c r="AE633" s="14">
        <f>IFERROR(__xludf.DUMMYFUNCTION("""COMPUTED_VALUE"""),2219.0)</f>
        <v>2219</v>
      </c>
      <c r="AF633" s="14">
        <f>IFERROR(__xludf.DUMMYFUNCTION("""COMPUTED_VALUE"""),7503.0)</f>
        <v>7503</v>
      </c>
    </row>
    <row r="634">
      <c r="A634" s="12">
        <v>633.0</v>
      </c>
      <c r="B634" s="12" t="s">
        <v>127</v>
      </c>
      <c r="C634" s="5" t="s">
        <v>75</v>
      </c>
      <c r="D634" s="11">
        <v>0.206</v>
      </c>
      <c r="E634" s="11">
        <v>8.0</v>
      </c>
      <c r="F634" s="8"/>
      <c r="G634" s="11">
        <v>149.0</v>
      </c>
      <c r="H634" s="11">
        <v>0.423</v>
      </c>
      <c r="I634" s="11">
        <v>0.944</v>
      </c>
      <c r="J634" s="9" t="s">
        <v>69</v>
      </c>
      <c r="K634" s="14" t="str">
        <f>IFERROR(__xludf.DUMMYFUNCTION("ARRAYFORMULA(VLOOKUP(A634,IMPORTRANGE(""https://docs.google.com/spreadsheets/d/1BuTWp7qHGjWhqrnf-OmePP568O4A5Am9ttzvVdP67zw/edit#gid=1603210130"", ""TOURISM!$A$2:$F$2692""), {2,3,4,5,6},0))"),"Europe")</f>
        <v>Europe</v>
      </c>
      <c r="L634" s="14">
        <f>IFERROR(__xludf.DUMMYFUNCTION("""COMPUTED_VALUE"""),3.231E9)</f>
        <v>3231000000</v>
      </c>
      <c r="M634" s="14" t="str">
        <f>IFERROR(__xludf.DUMMYFUNCTION("""COMPUTED_VALUE"""),"Cyprus-Europe")</f>
        <v>Cyprus-Europe</v>
      </c>
      <c r="N634" s="14" t="str">
        <f>IFERROR(__xludf.DUMMYFUNCTION("""COMPUTED_VALUE"""),"2008")</f>
        <v>2008</v>
      </c>
      <c r="O634" s="14">
        <f>IFERROR(__xludf.DUMMYFUNCTION("""COMPUTED_VALUE"""),1.895E9)</f>
        <v>1895000000</v>
      </c>
      <c r="P634" s="15">
        <f>IFERROR(__xludf.DUMMYFUNCTION("ARRAYFORMULA(VLOOKUP(A634,IMPORTRANGE(""https://docs.google.com/spreadsheets/d/1BuTWp7qHGjWhqrnf-OmePP568O4A5Am9ttzvVdP67zw/edit#gid=771602874"" ,""HUMAN RESOURCES!$A$2:$M$2692""), {2,3,4,5,6,7,8,9,10,11,12,13},0))"),0.012)</f>
        <v>0.012</v>
      </c>
      <c r="Q634" s="14">
        <f>IFERROR(__xludf.DUMMYFUNCTION("""COMPUTED_VALUE"""),0.003)</f>
        <v>0.003</v>
      </c>
      <c r="R634" s="14">
        <f>IFERROR(__xludf.DUMMYFUNCTION("""COMPUTED_VALUE"""),81.0)</f>
        <v>81</v>
      </c>
      <c r="S634" s="14">
        <f>IFERROR(__xludf.DUMMYFUNCTION("""COMPUTED_VALUE"""),77.0)</f>
        <v>77</v>
      </c>
      <c r="T634" s="14">
        <f>IFERROR(__xludf.DUMMYFUNCTION("""COMPUTED_VALUE"""),0.186)</f>
        <v>0.186</v>
      </c>
      <c r="U634" s="14">
        <f>IFERROR(__xludf.DUMMYFUNCTION("""COMPUTED_VALUE"""),0.703)</f>
        <v>0.703</v>
      </c>
      <c r="V634" s="14">
        <f>IFERROR(__xludf.DUMMYFUNCTION("""COMPUTED_VALUE"""),0.112)</f>
        <v>0.112</v>
      </c>
      <c r="W634" s="14">
        <f>IFERROR(__xludf.DUMMYFUNCTION("""COMPUTED_VALUE"""),1077089.0)</f>
        <v>1077089</v>
      </c>
      <c r="X634" s="14">
        <f>IFERROR(__xludf.DUMMYFUNCTION("""COMPUTED_VALUE"""),0.678)</f>
        <v>0.678</v>
      </c>
      <c r="Y634" s="14" t="str">
        <f>IFERROR(__xludf.DUMMYFUNCTION("""COMPUTED_VALUE"""),"Cyprus-Europe")</f>
        <v>Cyprus-Europe</v>
      </c>
      <c r="Z634" s="14" t="str">
        <f>IFERROR(__xludf.DUMMYFUNCTION("""COMPUTED_VALUE"""),"Europe")</f>
        <v>Europe</v>
      </c>
      <c r="AA634" s="14" t="str">
        <f>IFERROR(__xludf.DUMMYFUNCTION("""COMPUTED_VALUE"""),"2008")</f>
        <v>2008</v>
      </c>
      <c r="AB634" s="15" t="str">
        <f>IFERROR(__xludf.DUMMYFUNCTION("ARRAYFORMULA(VLOOKUP(A634,IMPORTRANGE(""https://docs.google.com/spreadsheets/d/1BuTWp7qHGjWhqrnf-OmePP568O4A5Am9ttzvVdP67zw/edit#gid=1931367683"" ,""ENERGY!$A$2:$F$2692""), {2,3,4,5,6},0))"),"Europe")</f>
        <v>Europe</v>
      </c>
      <c r="AC634" s="14" t="str">
        <f>IFERROR(__xludf.DUMMYFUNCTION("""COMPUTED_VALUE"""),"Cyprus-Europe")</f>
        <v>Cyprus-Europe</v>
      </c>
      <c r="AD634" s="14" t="str">
        <f>IFERROR(__xludf.DUMMYFUNCTION("""COMPUTED_VALUE"""),"2005")</f>
        <v>2005</v>
      </c>
      <c r="AE634" s="14">
        <f>IFERROR(__xludf.DUMMYFUNCTION("""COMPUTED_VALUE"""),2184.0)</f>
        <v>2184</v>
      </c>
      <c r="AF634" s="14">
        <f>IFERROR(__xludf.DUMMYFUNCTION("""COMPUTED_VALUE"""),7334.0)</f>
        <v>7334</v>
      </c>
    </row>
    <row r="635">
      <c r="A635" s="12">
        <v>634.0</v>
      </c>
      <c r="B635" s="12" t="s">
        <v>127</v>
      </c>
      <c r="C635" s="5" t="s">
        <v>75</v>
      </c>
      <c r="D635" s="11">
        <v>0.206</v>
      </c>
      <c r="E635" s="11">
        <v>8.0</v>
      </c>
      <c r="F635" s="8"/>
      <c r="G635" s="11">
        <v>149.0</v>
      </c>
      <c r="H635" s="11">
        <v>0.498</v>
      </c>
      <c r="I635" s="11">
        <v>0.896</v>
      </c>
      <c r="J635" s="9" t="s">
        <v>70</v>
      </c>
      <c r="K635" s="14" t="str">
        <f>IFERROR(__xludf.DUMMYFUNCTION("ARRAYFORMULA(VLOOKUP(A635,IMPORTRANGE(""https://docs.google.com/spreadsheets/d/1BuTWp7qHGjWhqrnf-OmePP568O4A5Am9ttzvVdP67zw/edit#gid=1603210130"", ""TOURISM!$A$2:$F$2692""), {2,3,4,5,6},0))"),"Europe")</f>
        <v>Europe</v>
      </c>
      <c r="L635" s="14">
        <f>IFERROR(__xludf.DUMMYFUNCTION("""COMPUTED_VALUE"""),2.474E9)</f>
        <v>2474000000</v>
      </c>
      <c r="M635" s="14" t="str">
        <f>IFERROR(__xludf.DUMMYFUNCTION("""COMPUTED_VALUE"""),"Cyprus-Europe")</f>
        <v>Cyprus-Europe</v>
      </c>
      <c r="N635" s="14" t="str">
        <f>IFERROR(__xludf.DUMMYFUNCTION("""COMPUTED_VALUE"""),"2009")</f>
        <v>2009</v>
      </c>
      <c r="O635" s="14">
        <f>IFERROR(__xludf.DUMMYFUNCTION("""COMPUTED_VALUE"""),1.638E9)</f>
        <v>1638000000</v>
      </c>
      <c r="P635" s="15">
        <f>IFERROR(__xludf.DUMMYFUNCTION("ARRAYFORMULA(VLOOKUP(A635,IMPORTRANGE(""https://docs.google.com/spreadsheets/d/1BuTWp7qHGjWhqrnf-OmePP568O4A5Am9ttzvVdP67zw/edit#gid=771602874"" ,""HUMAN RESOURCES!$A$2:$M$2692""), {2,3,4,5,6,7,8,9,10,11,12,13},0))"),0.012)</f>
        <v>0.012</v>
      </c>
      <c r="Q635" s="14">
        <f>IFERROR(__xludf.DUMMYFUNCTION("""COMPUTED_VALUE"""),0.003)</f>
        <v>0.003</v>
      </c>
      <c r="R635" s="14">
        <f>IFERROR(__xludf.DUMMYFUNCTION("""COMPUTED_VALUE"""),81.0)</f>
        <v>81</v>
      </c>
      <c r="S635" s="14">
        <f>IFERROR(__xludf.DUMMYFUNCTION("""COMPUTED_VALUE"""),77.0)</f>
        <v>77</v>
      </c>
      <c r="T635" s="14">
        <f>IFERROR(__xludf.DUMMYFUNCTION("""COMPUTED_VALUE"""),0.181)</f>
        <v>0.181</v>
      </c>
      <c r="U635" s="14">
        <f>IFERROR(__xludf.DUMMYFUNCTION("""COMPUTED_VALUE"""),0.705)</f>
        <v>0.705</v>
      </c>
      <c r="V635" s="14">
        <f>IFERROR(__xludf.DUMMYFUNCTION("""COMPUTED_VALUE"""),0.114)</f>
        <v>0.114</v>
      </c>
      <c r="W635" s="14">
        <f>IFERROR(__xludf.DUMMYFUNCTION("""COMPUTED_VALUE"""),1090553.0)</f>
        <v>1090553</v>
      </c>
      <c r="X635" s="14">
        <f>IFERROR(__xludf.DUMMYFUNCTION("""COMPUTED_VALUE"""),0.677)</f>
        <v>0.677</v>
      </c>
      <c r="Y635" s="14" t="str">
        <f>IFERROR(__xludf.DUMMYFUNCTION("""COMPUTED_VALUE"""),"Cyprus-Europe")</f>
        <v>Cyprus-Europe</v>
      </c>
      <c r="Z635" s="14" t="str">
        <f>IFERROR(__xludf.DUMMYFUNCTION("""COMPUTED_VALUE"""),"Europe")</f>
        <v>Europe</v>
      </c>
      <c r="AA635" s="14" t="str">
        <f>IFERROR(__xludf.DUMMYFUNCTION("""COMPUTED_VALUE"""),"2009")</f>
        <v>2009</v>
      </c>
      <c r="AB635" s="15" t="str">
        <f>IFERROR(__xludf.DUMMYFUNCTION("ARRAYFORMULA(VLOOKUP(A635,IMPORTRANGE(""https://docs.google.com/spreadsheets/d/1BuTWp7qHGjWhqrnf-OmePP568O4A5Am9ttzvVdP67zw/edit#gid=1931367683"" ,""ENERGY!$A$2:$F$2692""), {2,3,4,5,6},0))"),"Europe")</f>
        <v>Europe</v>
      </c>
      <c r="AC635" s="14" t="str">
        <f>IFERROR(__xludf.DUMMYFUNCTION("""COMPUTED_VALUE"""),"Cyprus-Europe")</f>
        <v>Cyprus-Europe</v>
      </c>
      <c r="AD635" s="14" t="str">
        <f>IFERROR(__xludf.DUMMYFUNCTION("""COMPUTED_VALUE"""),"2009")</f>
        <v>2009</v>
      </c>
      <c r="AE635" s="14">
        <f>IFERROR(__xludf.DUMMYFUNCTION("""COMPUTED_VALUE"""),2332.0)</f>
        <v>2332</v>
      </c>
      <c r="AF635" s="14">
        <f>IFERROR(__xludf.DUMMYFUNCTION("""COMPUTED_VALUE"""),7748.0)</f>
        <v>7748</v>
      </c>
    </row>
    <row r="636">
      <c r="A636" s="12">
        <v>635.0</v>
      </c>
      <c r="B636" s="12" t="s">
        <v>127</v>
      </c>
      <c r="C636" s="5" t="s">
        <v>75</v>
      </c>
      <c r="D636" s="11">
        <v>0.223</v>
      </c>
      <c r="E636" s="11">
        <v>8.0</v>
      </c>
      <c r="F636" s="8"/>
      <c r="G636" s="11">
        <v>149.0</v>
      </c>
      <c r="H636" s="11">
        <v>0.53</v>
      </c>
      <c r="I636" s="11">
        <v>0.937</v>
      </c>
      <c r="J636" s="9" t="s">
        <v>71</v>
      </c>
      <c r="K636" s="14" t="str">
        <f>IFERROR(__xludf.DUMMYFUNCTION("ARRAYFORMULA(VLOOKUP(A636,IMPORTRANGE(""https://docs.google.com/spreadsheets/d/1BuTWp7qHGjWhqrnf-OmePP568O4A5Am9ttzvVdP67zw/edit#gid=1603210130"", ""TOURISM!$A$2:$F$2692""), {2,3,4,5,6},0))"),"Europe")</f>
        <v>Europe</v>
      </c>
      <c r="L636" s="14">
        <f>IFERROR(__xludf.DUMMYFUNCTION("""COMPUTED_VALUE"""),2.371E9)</f>
        <v>2371000000</v>
      </c>
      <c r="M636" s="14" t="str">
        <f>IFERROR(__xludf.DUMMYFUNCTION("""COMPUTED_VALUE"""),"Cyprus-Europe")</f>
        <v>Cyprus-Europe</v>
      </c>
      <c r="N636" s="14" t="str">
        <f>IFERROR(__xludf.DUMMYFUNCTION("""COMPUTED_VALUE"""),"2010")</f>
        <v>2010</v>
      </c>
      <c r="O636" s="14">
        <f>IFERROR(__xludf.DUMMYFUNCTION("""COMPUTED_VALUE"""),1.457E9)</f>
        <v>1457000000</v>
      </c>
      <c r="P636" s="15">
        <f>IFERROR(__xludf.DUMMYFUNCTION("ARRAYFORMULA(VLOOKUP(A636,IMPORTRANGE(""https://docs.google.com/spreadsheets/d/1BuTWp7qHGjWhqrnf-OmePP568O4A5Am9ttzvVdP67zw/edit#gid=771602874"" ,""HUMAN RESOURCES!$A$2:$M$2692""), {2,3,4,5,6,7,8,9,10,11,12,13},0))"),0.012)</f>
        <v>0.012</v>
      </c>
      <c r="Q636" s="14">
        <f>IFERROR(__xludf.DUMMYFUNCTION("""COMPUTED_VALUE"""),0.003)</f>
        <v>0.003</v>
      </c>
      <c r="R636" s="14">
        <f>IFERROR(__xludf.DUMMYFUNCTION("""COMPUTED_VALUE"""),81.0)</f>
        <v>81</v>
      </c>
      <c r="S636" s="14">
        <f>IFERROR(__xludf.DUMMYFUNCTION("""COMPUTED_VALUE"""),77.0)</f>
        <v>77</v>
      </c>
      <c r="T636" s="14">
        <f>IFERROR(__xludf.DUMMYFUNCTION("""COMPUTED_VALUE"""),0.178)</f>
        <v>0.178</v>
      </c>
      <c r="U636" s="14">
        <f>IFERROR(__xludf.DUMMYFUNCTION("""COMPUTED_VALUE"""),0.707)</f>
        <v>0.707</v>
      </c>
      <c r="V636" s="14">
        <f>IFERROR(__xludf.DUMMYFUNCTION("""COMPUTED_VALUE"""),0.116)</f>
        <v>0.116</v>
      </c>
      <c r="W636" s="14">
        <f>IFERROR(__xludf.DUMMYFUNCTION("""COMPUTED_VALUE"""),1103685.0)</f>
        <v>1103685</v>
      </c>
      <c r="X636" s="14">
        <f>IFERROR(__xludf.DUMMYFUNCTION("""COMPUTED_VALUE"""),0.676)</f>
        <v>0.676</v>
      </c>
      <c r="Y636" s="14" t="str">
        <f>IFERROR(__xludf.DUMMYFUNCTION("""COMPUTED_VALUE"""),"Cyprus-Europe")</f>
        <v>Cyprus-Europe</v>
      </c>
      <c r="Z636" s="14" t="str">
        <f>IFERROR(__xludf.DUMMYFUNCTION("""COMPUTED_VALUE"""),"Europe")</f>
        <v>Europe</v>
      </c>
      <c r="AA636" s="14" t="str">
        <f>IFERROR(__xludf.DUMMYFUNCTION("""COMPUTED_VALUE"""),"2010")</f>
        <v>2010</v>
      </c>
      <c r="AB636" s="15" t="str">
        <f>IFERROR(__xludf.DUMMYFUNCTION("ARRAYFORMULA(VLOOKUP(A636,IMPORTRANGE(""https://docs.google.com/spreadsheets/d/1BuTWp7qHGjWhqrnf-OmePP568O4A5Am9ttzvVdP67zw/edit#gid=1931367683"" ,""ENERGY!$A$2:$F$2692""), {2,3,4,5,6},0))"),"Europe")</f>
        <v>Europe</v>
      </c>
      <c r="AC636" s="14" t="str">
        <f>IFERROR(__xludf.DUMMYFUNCTION("""COMPUTED_VALUE"""),"Cyprus-Europe")</f>
        <v>Cyprus-Europe</v>
      </c>
      <c r="AD636" s="14" t="str">
        <f>IFERROR(__xludf.DUMMYFUNCTION("""COMPUTED_VALUE"""),"2007")</f>
        <v>2007</v>
      </c>
      <c r="AE636" s="14">
        <f>IFERROR(__xludf.DUMMYFUNCTION("""COMPUTED_VALUE"""),2143.0)</f>
        <v>2143</v>
      </c>
      <c r="AF636" s="14">
        <f>IFERROR(__xludf.DUMMYFUNCTION("""COMPUTED_VALUE"""),7022.0)</f>
        <v>7022</v>
      </c>
    </row>
    <row r="637">
      <c r="A637" s="12">
        <v>636.0</v>
      </c>
      <c r="B637" s="12" t="s">
        <v>127</v>
      </c>
      <c r="C637" s="5" t="s">
        <v>75</v>
      </c>
      <c r="D637" s="11">
        <v>0.22</v>
      </c>
      <c r="E637" s="11">
        <v>8.0</v>
      </c>
      <c r="F637" s="8"/>
      <c r="G637" s="11">
        <v>149.0</v>
      </c>
      <c r="H637" s="11">
        <v>0.569</v>
      </c>
      <c r="I637" s="11">
        <v>0.977</v>
      </c>
      <c r="J637" s="9" t="s">
        <v>72</v>
      </c>
      <c r="K637" s="14" t="str">
        <f>IFERROR(__xludf.DUMMYFUNCTION("ARRAYFORMULA(VLOOKUP(A637,IMPORTRANGE(""https://docs.google.com/spreadsheets/d/1BuTWp7qHGjWhqrnf-OmePP568O4A5Am9ttzvVdP67zw/edit#gid=1603210130"", ""TOURISM!$A$2:$F$2692""), {2,3,4,5,6},0))"),"Europe")</f>
        <v>Europe</v>
      </c>
      <c r="L637" s="14">
        <f>IFERROR(__xludf.DUMMYFUNCTION("""COMPUTED_VALUE"""),2.751E9)</f>
        <v>2751000000</v>
      </c>
      <c r="M637" s="14" t="str">
        <f>IFERROR(__xludf.DUMMYFUNCTION("""COMPUTED_VALUE"""),"Cyprus-Europe")</f>
        <v>Cyprus-Europe</v>
      </c>
      <c r="N637" s="14" t="str">
        <f>IFERROR(__xludf.DUMMYFUNCTION("""COMPUTED_VALUE"""),"2011")</f>
        <v>2011</v>
      </c>
      <c r="O637" s="14">
        <f>IFERROR(__xludf.DUMMYFUNCTION("""COMPUTED_VALUE"""),1.721E9)</f>
        <v>1721000000</v>
      </c>
      <c r="P637" s="15">
        <f>IFERROR(__xludf.DUMMYFUNCTION("ARRAYFORMULA(VLOOKUP(A637,IMPORTRANGE(""https://docs.google.com/spreadsheets/d/1BuTWp7qHGjWhqrnf-OmePP568O4A5Am9ttzvVdP67zw/edit#gid=771602874"" ,""HUMAN RESOURCES!$A$2:$M$2692""), {2,3,4,5,6,7,8,9,10,11,12,13},0))"),0.012)</f>
        <v>0.012</v>
      </c>
      <c r="Q637" s="14">
        <f>IFERROR(__xludf.DUMMYFUNCTION("""COMPUTED_VALUE"""),0.003)</f>
        <v>0.003</v>
      </c>
      <c r="R637" s="14">
        <f>IFERROR(__xludf.DUMMYFUNCTION("""COMPUTED_VALUE"""),82.0)</f>
        <v>82</v>
      </c>
      <c r="S637" s="14">
        <f>IFERROR(__xludf.DUMMYFUNCTION("""COMPUTED_VALUE"""),77.0)</f>
        <v>77</v>
      </c>
      <c r="T637" s="14">
        <f>IFERROR(__xludf.DUMMYFUNCTION("""COMPUTED_VALUE"""),0.174)</f>
        <v>0.174</v>
      </c>
      <c r="U637" s="14">
        <f>IFERROR(__xludf.DUMMYFUNCTION("""COMPUTED_VALUE"""),0.708)</f>
        <v>0.708</v>
      </c>
      <c r="V637" s="14">
        <f>IFERROR(__xludf.DUMMYFUNCTION("""COMPUTED_VALUE"""),0.118)</f>
        <v>0.118</v>
      </c>
      <c r="W637" s="14">
        <f>IFERROR(__xludf.DUMMYFUNCTION("""COMPUTED_VALUE"""),1116513.0)</f>
        <v>1116513</v>
      </c>
      <c r="X637" s="14">
        <f>IFERROR(__xludf.DUMMYFUNCTION("""COMPUTED_VALUE"""),0.674)</f>
        <v>0.674</v>
      </c>
      <c r="Y637" s="14" t="str">
        <f>IFERROR(__xludf.DUMMYFUNCTION("""COMPUTED_VALUE"""),"Cyprus-Europe")</f>
        <v>Cyprus-Europe</v>
      </c>
      <c r="Z637" s="14" t="str">
        <f>IFERROR(__xludf.DUMMYFUNCTION("""COMPUTED_VALUE"""),"Europe")</f>
        <v>Europe</v>
      </c>
      <c r="AA637" s="14" t="str">
        <f>IFERROR(__xludf.DUMMYFUNCTION("""COMPUTED_VALUE"""),"2011")</f>
        <v>2011</v>
      </c>
      <c r="AB637" s="15" t="str">
        <f>IFERROR(__xludf.DUMMYFUNCTION("ARRAYFORMULA(VLOOKUP(A637,IMPORTRANGE(""https://docs.google.com/spreadsheets/d/1BuTWp7qHGjWhqrnf-OmePP568O4A5Am9ttzvVdP67zw/edit#gid=1931367683"" ,""ENERGY!$A$2:$F$2692""), {2,3,4,5,6},0))"),"Europe")</f>
        <v>Europe</v>
      </c>
      <c r="AC637" s="14" t="str">
        <f>IFERROR(__xludf.DUMMYFUNCTION("""COMPUTED_VALUE"""),"Cyprus-Europe")</f>
        <v>Cyprus-Europe</v>
      </c>
      <c r="AD637" s="14" t="str">
        <f>IFERROR(__xludf.DUMMYFUNCTION("""COMPUTED_VALUE"""),"2004")</f>
        <v>2004</v>
      </c>
      <c r="AE637" s="14">
        <f>IFERROR(__xludf.DUMMYFUNCTION("""COMPUTED_VALUE"""),2114.0)</f>
        <v>2114</v>
      </c>
      <c r="AF637" s="14">
        <f>IFERROR(__xludf.DUMMYFUNCTION("""COMPUTED_VALUE"""),6846.0)</f>
        <v>6846</v>
      </c>
    </row>
    <row r="638">
      <c r="A638" s="12">
        <v>637.0</v>
      </c>
      <c r="B638" s="12" t="s">
        <v>127</v>
      </c>
      <c r="C638" s="5" t="s">
        <v>75</v>
      </c>
      <c r="D638" s="11">
        <v>0.222</v>
      </c>
      <c r="E638" s="11">
        <v>8.0</v>
      </c>
      <c r="F638" s="11">
        <v>38.0</v>
      </c>
      <c r="G638" s="11">
        <v>147.0</v>
      </c>
      <c r="H638" s="11">
        <v>0.607</v>
      </c>
      <c r="I638" s="11">
        <v>0.984</v>
      </c>
      <c r="J638" s="9" t="s">
        <v>73</v>
      </c>
      <c r="K638" s="14" t="str">
        <f>IFERROR(__xludf.DUMMYFUNCTION("ARRAYFORMULA(VLOOKUP(A638,IMPORTRANGE(""https://docs.google.com/spreadsheets/d/1BuTWp7qHGjWhqrnf-OmePP568O4A5Am9ttzvVdP67zw/edit#gid=1603210130"", ""TOURISM!$A$2:$F$2692""), {2,3,4,5,6},0))"),"Europe")</f>
        <v>Europe</v>
      </c>
      <c r="L638" s="14">
        <f>IFERROR(__xludf.DUMMYFUNCTION("""COMPUTED_VALUE"""),2.709E9)</f>
        <v>2709000000</v>
      </c>
      <c r="M638" s="14" t="str">
        <f>IFERROR(__xludf.DUMMYFUNCTION("""COMPUTED_VALUE"""),"Cyprus-Europe")</f>
        <v>Cyprus-Europe</v>
      </c>
      <c r="N638" s="14" t="str">
        <f>IFERROR(__xludf.DUMMYFUNCTION("""COMPUTED_VALUE"""),"2012")</f>
        <v>2012</v>
      </c>
      <c r="O638" s="14">
        <f>IFERROR(__xludf.DUMMYFUNCTION("""COMPUTED_VALUE"""),1.637E9)</f>
        <v>1637000000</v>
      </c>
      <c r="P638" s="15">
        <f>IFERROR(__xludf.DUMMYFUNCTION("ARRAYFORMULA(VLOOKUP(A638,IMPORTRANGE(""https://docs.google.com/spreadsheets/d/1BuTWp7qHGjWhqrnf-OmePP568O4A5Am9ttzvVdP67zw/edit#gid=771602874"" ,""HUMAN RESOURCES!$A$2:$M$2692""), {2,3,4,5,6,7,8,9,10,11,12,13},0))"),0.012)</f>
        <v>0.012</v>
      </c>
      <c r="Q638" s="14">
        <f>IFERROR(__xludf.DUMMYFUNCTION("""COMPUTED_VALUE"""),0.003)</f>
        <v>0.003</v>
      </c>
      <c r="R638" s="14">
        <f>IFERROR(__xludf.DUMMYFUNCTION("""COMPUTED_VALUE"""),82.0)</f>
        <v>82</v>
      </c>
      <c r="S638" s="14">
        <f>IFERROR(__xludf.DUMMYFUNCTION("""COMPUTED_VALUE"""),78.0)</f>
        <v>78</v>
      </c>
      <c r="T638" s="14">
        <f>IFERROR(__xludf.DUMMYFUNCTION("""COMPUTED_VALUE"""),0.172)</f>
        <v>0.172</v>
      </c>
      <c r="U638" s="14">
        <f>IFERROR(__xludf.DUMMYFUNCTION("""COMPUTED_VALUE"""),0.708)</f>
        <v>0.708</v>
      </c>
      <c r="V638" s="14">
        <f>IFERROR(__xludf.DUMMYFUNCTION("""COMPUTED_VALUE"""),0.12)</f>
        <v>0.12</v>
      </c>
      <c r="W638" s="14">
        <f>IFERROR(__xludf.DUMMYFUNCTION("""COMPUTED_VALUE"""),1128994.0)</f>
        <v>1128994</v>
      </c>
      <c r="X638" s="14">
        <f>IFERROR(__xludf.DUMMYFUNCTION("""COMPUTED_VALUE"""),0.673)</f>
        <v>0.673</v>
      </c>
      <c r="Y638" s="14" t="str">
        <f>IFERROR(__xludf.DUMMYFUNCTION("""COMPUTED_VALUE"""),"Cyprus-Europe")</f>
        <v>Cyprus-Europe</v>
      </c>
      <c r="Z638" s="14" t="str">
        <f>IFERROR(__xludf.DUMMYFUNCTION("""COMPUTED_VALUE"""),"Europe")</f>
        <v>Europe</v>
      </c>
      <c r="AA638" s="14" t="str">
        <f>IFERROR(__xludf.DUMMYFUNCTION("""COMPUTED_VALUE"""),"2012")</f>
        <v>2012</v>
      </c>
      <c r="AB638" s="15" t="str">
        <f>IFERROR(__xludf.DUMMYFUNCTION("ARRAYFORMULA(VLOOKUP(A638,IMPORTRANGE(""https://docs.google.com/spreadsheets/d/1BuTWp7qHGjWhqrnf-OmePP568O4A5Am9ttzvVdP67zw/edit#gid=1931367683"" ,""ENERGY!$A$2:$F$2692""), {2,3,4,5,6},0))"),"Europe")</f>
        <v>Europe</v>
      </c>
      <c r="AC638" s="14" t="str">
        <f>IFERROR(__xludf.DUMMYFUNCTION("""COMPUTED_VALUE"""),"Cyprus-Europe")</f>
        <v>Cyprus-Europe</v>
      </c>
      <c r="AD638" s="14" t="str">
        <f>IFERROR(__xludf.DUMMYFUNCTION("""COMPUTED_VALUE"""),"2009")</f>
        <v>2009</v>
      </c>
      <c r="AE638" s="14">
        <f>IFERROR(__xludf.DUMMYFUNCTION("""COMPUTED_VALUE"""),2137.0)</f>
        <v>2137</v>
      </c>
      <c r="AF638" s="14">
        <f>IFERROR(__xludf.DUMMYFUNCTION("""COMPUTED_VALUE"""),6850.0)</f>
        <v>6850</v>
      </c>
    </row>
    <row r="639">
      <c r="A639" s="12">
        <v>638.0</v>
      </c>
      <c r="B639" s="12" t="s">
        <v>128</v>
      </c>
      <c r="C639" s="5" t="s">
        <v>75</v>
      </c>
      <c r="D639" s="8"/>
      <c r="E639" s="8"/>
      <c r="F639" s="8"/>
      <c r="G639" s="8"/>
      <c r="H639" s="11">
        <v>0.098</v>
      </c>
      <c r="I639" s="11">
        <v>0.424</v>
      </c>
      <c r="J639" s="9" t="s">
        <v>60</v>
      </c>
      <c r="K639" s="14" t="str">
        <f>IFERROR(__xludf.DUMMYFUNCTION("ARRAYFORMULA(VLOOKUP(A639,IMPORTRANGE(""https://docs.google.com/spreadsheets/d/1BuTWp7qHGjWhqrnf-OmePP568O4A5Am9ttzvVdP67zw/edit#gid=1603210130"", ""TOURISM!$A$2:$F$2692""), {2,3,4,5,6},0))"),"Europe")</f>
        <v>Europe</v>
      </c>
      <c r="L639" s="14">
        <f>IFERROR(__xludf.DUMMYFUNCTION("""COMPUTED_VALUE"""),2.973E9)</f>
        <v>2973000000</v>
      </c>
      <c r="M639" s="14" t="str">
        <f>IFERROR(__xludf.DUMMYFUNCTION("""COMPUTED_VALUE"""),"Czech Republic-Europe")</f>
        <v>Czech Republic-Europe</v>
      </c>
      <c r="N639" s="14" t="str">
        <f>IFERROR(__xludf.DUMMYFUNCTION("""COMPUTED_VALUE"""),"2000")</f>
        <v>2000</v>
      </c>
      <c r="O639" s="14">
        <f>IFERROR(__xludf.DUMMYFUNCTION("""COMPUTED_VALUE"""),1.276E9)</f>
        <v>1276000000</v>
      </c>
      <c r="P639" s="15">
        <f>IFERROR(__xludf.DUMMYFUNCTION("ARRAYFORMULA(VLOOKUP(A639,IMPORTRANGE(""https://docs.google.com/spreadsheets/d/1BuTWp7qHGjWhqrnf-OmePP568O4A5Am9ttzvVdP67zw/edit#gid=771602874"" ,""HUMAN RESOURCES!$A$2:$M$2692""), {2,3,4,5,6,7,8,9,10,11,12,13},0))"),0.009)</f>
        <v>0.009</v>
      </c>
      <c r="Q639" s="14">
        <f>IFERROR(__xludf.DUMMYFUNCTION("""COMPUTED_VALUE"""),0.006)</f>
        <v>0.006</v>
      </c>
      <c r="R639" s="14">
        <f>IFERROR(__xludf.DUMMYFUNCTION("""COMPUTED_VALUE"""),78.0)</f>
        <v>78</v>
      </c>
      <c r="S639" s="14">
        <f>IFERROR(__xludf.DUMMYFUNCTION("""COMPUTED_VALUE"""),72.0)</f>
        <v>72</v>
      </c>
      <c r="T639" s="14">
        <f>IFERROR(__xludf.DUMMYFUNCTION("""COMPUTED_VALUE"""),0.165)</f>
        <v>0.165</v>
      </c>
      <c r="U639" s="14">
        <f>IFERROR(__xludf.DUMMYFUNCTION("""COMPUTED_VALUE"""),0.697)</f>
        <v>0.697</v>
      </c>
      <c r="V639" s="14">
        <f>IFERROR(__xludf.DUMMYFUNCTION("""COMPUTED_VALUE"""),0.138)</f>
        <v>0.138</v>
      </c>
      <c r="W639" s="14">
        <f>IFERROR(__xludf.DUMMYFUNCTION("""COMPUTED_VALUE"""),1.0255063E7)</f>
        <v>10255063</v>
      </c>
      <c r="X639" s="14">
        <f>IFERROR(__xludf.DUMMYFUNCTION("""COMPUTED_VALUE"""),0.74)</f>
        <v>0.74</v>
      </c>
      <c r="Y639" s="14" t="str">
        <f>IFERROR(__xludf.DUMMYFUNCTION("""COMPUTED_VALUE"""),"Czech Republic-Europe")</f>
        <v>Czech Republic-Europe</v>
      </c>
      <c r="Z639" s="14" t="str">
        <f>IFERROR(__xludf.DUMMYFUNCTION("""COMPUTED_VALUE"""),"Europe")</f>
        <v>Europe</v>
      </c>
      <c r="AA639" s="14" t="str">
        <f>IFERROR(__xludf.DUMMYFUNCTION("""COMPUTED_VALUE"""),"2000")</f>
        <v>2000</v>
      </c>
      <c r="AB639" s="15" t="str">
        <f>IFERROR(__xludf.DUMMYFUNCTION("ARRAYFORMULA(VLOOKUP(A639,IMPORTRANGE(""https://docs.google.com/spreadsheets/d/1BuTWp7qHGjWhqrnf-OmePP568O4A5Am9ttzvVdP67zw/edit#gid=1931367683"" ,""ENERGY!$A$2:$F$2692""), {2,3,4,5,6},0))"),"Europe")</f>
        <v>Europe</v>
      </c>
      <c r="AC639" s="14" t="str">
        <f>IFERROR(__xludf.DUMMYFUNCTION("""COMPUTED_VALUE"""),"Czech Republic-Europe")</f>
        <v>Czech Republic-Europe</v>
      </c>
      <c r="AD639" s="14" t="str">
        <f>IFERROR(__xludf.DUMMYFUNCTION("""COMPUTED_VALUE"""),"2000")</f>
        <v>2000</v>
      </c>
      <c r="AE639" s="14">
        <f>IFERROR(__xludf.DUMMYFUNCTION("""COMPUTED_VALUE"""),42823.0)</f>
        <v>42823</v>
      </c>
      <c r="AF639" s="14"/>
    </row>
    <row r="640">
      <c r="A640" s="12">
        <v>639.0</v>
      </c>
      <c r="B640" s="12" t="s">
        <v>128</v>
      </c>
      <c r="C640" s="5" t="s">
        <v>75</v>
      </c>
      <c r="D640" s="8"/>
      <c r="E640" s="8"/>
      <c r="F640" s="8"/>
      <c r="G640" s="8"/>
      <c r="H640" s="11">
        <v>0.147</v>
      </c>
      <c r="I640" s="11">
        <v>0.679</v>
      </c>
      <c r="J640" s="9" t="s">
        <v>62</v>
      </c>
      <c r="K640" s="14" t="str">
        <f>IFERROR(__xludf.DUMMYFUNCTION("ARRAYFORMULA(VLOOKUP(A640,IMPORTRANGE(""https://docs.google.com/spreadsheets/d/1BuTWp7qHGjWhqrnf-OmePP568O4A5Am9ttzvVdP67zw/edit#gid=1603210130"", ""TOURISM!$A$2:$F$2692""), {2,3,4,5,6},0))"),"Europe")</f>
        <v>Europe</v>
      </c>
      <c r="L640" s="14">
        <f>IFERROR(__xludf.DUMMYFUNCTION("""COMPUTED_VALUE"""),3.104E9)</f>
        <v>3104000000</v>
      </c>
      <c r="M640" s="14" t="str">
        <f>IFERROR(__xludf.DUMMYFUNCTION("""COMPUTED_VALUE"""),"Czech Republic-Europe")</f>
        <v>Czech Republic-Europe</v>
      </c>
      <c r="N640" s="14" t="str">
        <f>IFERROR(__xludf.DUMMYFUNCTION("""COMPUTED_VALUE"""),"2001")</f>
        <v>2001</v>
      </c>
      <c r="O640" s="14">
        <f>IFERROR(__xludf.DUMMYFUNCTION("""COMPUTED_VALUE"""),1.386E9)</f>
        <v>1386000000</v>
      </c>
      <c r="P640" s="15">
        <f>IFERROR(__xludf.DUMMYFUNCTION("ARRAYFORMULA(VLOOKUP(A640,IMPORTRANGE(""https://docs.google.com/spreadsheets/d/1BuTWp7qHGjWhqrnf-OmePP568O4A5Am9ttzvVdP67zw/edit#gid=771602874"" ,""HUMAN RESOURCES!$A$2:$M$2692""), {2,3,4,5,6,7,8,9,10,11,12,13},0))"),0.009)</f>
        <v>0.009</v>
      </c>
      <c r="Q640" s="14">
        <f>IFERROR(__xludf.DUMMYFUNCTION("""COMPUTED_VALUE"""),0.005)</f>
        <v>0.005</v>
      </c>
      <c r="R640" s="14">
        <f>IFERROR(__xludf.DUMMYFUNCTION("""COMPUTED_VALUE"""),78.0)</f>
        <v>78</v>
      </c>
      <c r="S640" s="14">
        <f>IFERROR(__xludf.DUMMYFUNCTION("""COMPUTED_VALUE"""),72.0)</f>
        <v>72</v>
      </c>
      <c r="T640" s="14">
        <f>IFERROR(__xludf.DUMMYFUNCTION("""COMPUTED_VALUE"""),0.161)</f>
        <v>0.161</v>
      </c>
      <c r="U640" s="14">
        <f>IFERROR(__xludf.DUMMYFUNCTION("""COMPUTED_VALUE"""),0.7)</f>
        <v>0.7</v>
      </c>
      <c r="V640" s="14">
        <f>IFERROR(__xludf.DUMMYFUNCTION("""COMPUTED_VALUE"""),0.139)</f>
        <v>0.139</v>
      </c>
      <c r="W640" s="14">
        <f>IFERROR(__xludf.DUMMYFUNCTION("""COMPUTED_VALUE"""),1.0216605E7)</f>
        <v>10216605</v>
      </c>
      <c r="X640" s="14">
        <f>IFERROR(__xludf.DUMMYFUNCTION("""COMPUTED_VALUE"""),0.739)</f>
        <v>0.739</v>
      </c>
      <c r="Y640" s="14" t="str">
        <f>IFERROR(__xludf.DUMMYFUNCTION("""COMPUTED_VALUE"""),"Czech Republic-Europe")</f>
        <v>Czech Republic-Europe</v>
      </c>
      <c r="Z640" s="14" t="str">
        <f>IFERROR(__xludf.DUMMYFUNCTION("""COMPUTED_VALUE"""),"Europe")</f>
        <v>Europe</v>
      </c>
      <c r="AA640" s="14" t="str">
        <f>IFERROR(__xludf.DUMMYFUNCTION("""COMPUTED_VALUE"""),"2001")</f>
        <v>2001</v>
      </c>
      <c r="AB640" s="15" t="str">
        <f>IFERROR(__xludf.DUMMYFUNCTION("ARRAYFORMULA(VLOOKUP(A640,IMPORTRANGE(""https://docs.google.com/spreadsheets/d/1BuTWp7qHGjWhqrnf-OmePP568O4A5Am9ttzvVdP67zw/edit#gid=1931367683"" ,""ENERGY!$A$2:$F$2692""), {2,3,4,5,6},0))"),"Europe")</f>
        <v>Europe</v>
      </c>
      <c r="AC640" s="14" t="str">
        <f>IFERROR(__xludf.DUMMYFUNCTION("""COMPUTED_VALUE"""),"Czech Republic-Europe")</f>
        <v>Czech Republic-Europe</v>
      </c>
      <c r="AD640" s="14" t="str">
        <f>IFERROR(__xludf.DUMMYFUNCTION("""COMPUTED_VALUE"""),"2001")</f>
        <v>2001</v>
      </c>
      <c r="AE640" s="14">
        <f>IFERROR(__xludf.DUMMYFUNCTION("""COMPUTED_VALUE"""),43429.0)</f>
        <v>43429</v>
      </c>
      <c r="AF640" s="14"/>
    </row>
    <row r="641">
      <c r="A641" s="12">
        <v>640.0</v>
      </c>
      <c r="B641" s="12" t="s">
        <v>128</v>
      </c>
      <c r="C641" s="5" t="s">
        <v>75</v>
      </c>
      <c r="D641" s="8"/>
      <c r="E641" s="8"/>
      <c r="F641" s="8"/>
      <c r="G641" s="8"/>
      <c r="H641" s="11">
        <v>0.239</v>
      </c>
      <c r="I641" s="11">
        <v>0.843</v>
      </c>
      <c r="J641" s="9" t="s">
        <v>63</v>
      </c>
      <c r="K641" s="14" t="str">
        <f>IFERROR(__xludf.DUMMYFUNCTION("ARRAYFORMULA(VLOOKUP(A641,IMPORTRANGE(""https://docs.google.com/spreadsheets/d/1BuTWp7qHGjWhqrnf-OmePP568O4A5Am9ttzvVdP67zw/edit#gid=1603210130"", ""TOURISM!$A$2:$F$2692""), {2,3,4,5,6},0))"),"Europe")</f>
        <v>Europe</v>
      </c>
      <c r="L641" s="14">
        <f>IFERROR(__xludf.DUMMYFUNCTION("""COMPUTED_VALUE"""),3.376E9)</f>
        <v>3376000000</v>
      </c>
      <c r="M641" s="14" t="str">
        <f>IFERROR(__xludf.DUMMYFUNCTION("""COMPUTED_VALUE"""),"Czech Republic-Europe")</f>
        <v>Czech Republic-Europe</v>
      </c>
      <c r="N641" s="14" t="str">
        <f>IFERROR(__xludf.DUMMYFUNCTION("""COMPUTED_VALUE"""),"2002")</f>
        <v>2002</v>
      </c>
      <c r="O641" s="14">
        <f>IFERROR(__xludf.DUMMYFUNCTION("""COMPUTED_VALUE"""),1.797E9)</f>
        <v>1797000000</v>
      </c>
      <c r="P641" s="15">
        <f>IFERROR(__xludf.DUMMYFUNCTION("ARRAYFORMULA(VLOOKUP(A641,IMPORTRANGE(""https://docs.google.com/spreadsheets/d/1BuTWp7qHGjWhqrnf-OmePP568O4A5Am9ttzvVdP67zw/edit#gid=771602874"" ,""HUMAN RESOURCES!$A$2:$M$2692""), {2,3,4,5,6,7,8,9,10,11,12,13},0))"),0.009)</f>
        <v>0.009</v>
      </c>
      <c r="Q641" s="14">
        <f>IFERROR(__xludf.DUMMYFUNCTION("""COMPUTED_VALUE"""),0.005)</f>
        <v>0.005</v>
      </c>
      <c r="R641" s="14">
        <f>IFERROR(__xludf.DUMMYFUNCTION("""COMPUTED_VALUE"""),79.0)</f>
        <v>79</v>
      </c>
      <c r="S641" s="14">
        <f>IFERROR(__xludf.DUMMYFUNCTION("""COMPUTED_VALUE"""),72.0)</f>
        <v>72</v>
      </c>
      <c r="T641" s="14">
        <f>IFERROR(__xludf.DUMMYFUNCTION("""COMPUTED_VALUE"""),0.157)</f>
        <v>0.157</v>
      </c>
      <c r="U641" s="14">
        <f>IFERROR(__xludf.DUMMYFUNCTION("""COMPUTED_VALUE"""),0.704)</f>
        <v>0.704</v>
      </c>
      <c r="V641" s="14">
        <f>IFERROR(__xludf.DUMMYFUNCTION("""COMPUTED_VALUE"""),0.139)</f>
        <v>0.139</v>
      </c>
      <c r="W641" s="14">
        <f>IFERROR(__xludf.DUMMYFUNCTION("""COMPUTED_VALUE"""),1.0196916E7)</f>
        <v>10196916</v>
      </c>
      <c r="X641" s="14">
        <f>IFERROR(__xludf.DUMMYFUNCTION("""COMPUTED_VALUE"""),0.738)</f>
        <v>0.738</v>
      </c>
      <c r="Y641" s="14" t="str">
        <f>IFERROR(__xludf.DUMMYFUNCTION("""COMPUTED_VALUE"""),"Czech Republic-Europe")</f>
        <v>Czech Republic-Europe</v>
      </c>
      <c r="Z641" s="14" t="str">
        <f>IFERROR(__xludf.DUMMYFUNCTION("""COMPUTED_VALUE"""),"Europe")</f>
        <v>Europe</v>
      </c>
      <c r="AA641" s="14" t="str">
        <f>IFERROR(__xludf.DUMMYFUNCTION("""COMPUTED_VALUE"""),"2002")</f>
        <v>2002</v>
      </c>
      <c r="AB641" s="15" t="str">
        <f>IFERROR(__xludf.DUMMYFUNCTION("ARRAYFORMULA(VLOOKUP(A641,IMPORTRANGE(""https://docs.google.com/spreadsheets/d/1BuTWp7qHGjWhqrnf-OmePP568O4A5Am9ttzvVdP67zw/edit#gid=1931367683"" ,""ENERGY!$A$2:$F$2692""), {2,3,4,5,6},0))"),"Europe")</f>
        <v>Europe</v>
      </c>
      <c r="AC641" s="14" t="str">
        <f>IFERROR(__xludf.DUMMYFUNCTION("""COMPUTED_VALUE"""),"Czech Republic-Europe")</f>
        <v>Czech Republic-Europe</v>
      </c>
      <c r="AD641" s="14" t="str">
        <f>IFERROR(__xludf.DUMMYFUNCTION("""COMPUTED_VALUE"""),"2002")</f>
        <v>2002</v>
      </c>
      <c r="AE641" s="14">
        <f>IFERROR(__xludf.DUMMYFUNCTION("""COMPUTED_VALUE"""),44043.0)</f>
        <v>44043</v>
      </c>
      <c r="AF641" s="14">
        <f>IFERROR(__xludf.DUMMYFUNCTION("""COMPUTED_VALUE"""),111752.0)</f>
        <v>111752</v>
      </c>
    </row>
    <row r="642">
      <c r="A642" s="12">
        <v>641.0</v>
      </c>
      <c r="B642" s="12" t="s">
        <v>128</v>
      </c>
      <c r="C642" s="5" t="s">
        <v>75</v>
      </c>
      <c r="D642" s="8"/>
      <c r="E642" s="11">
        <v>40.0</v>
      </c>
      <c r="F642" s="8"/>
      <c r="G642" s="8"/>
      <c r="H642" s="11">
        <v>0.343</v>
      </c>
      <c r="I642" s="11">
        <v>0.951</v>
      </c>
      <c r="J642" s="9" t="s">
        <v>64</v>
      </c>
      <c r="K642" s="14" t="str">
        <f>IFERROR(__xludf.DUMMYFUNCTION("ARRAYFORMULA(VLOOKUP(A642,IMPORTRANGE(""https://docs.google.com/spreadsheets/d/1BuTWp7qHGjWhqrnf-OmePP568O4A5Am9ttzvVdP67zw/edit#gid=1603210130"", ""TOURISM!$A$2:$F$2692""), {2,3,4,5,6},0))"),"Europe")</f>
        <v>Europe</v>
      </c>
      <c r="L642" s="14">
        <f>IFERROR(__xludf.DUMMYFUNCTION("""COMPUTED_VALUE"""),4.069E9)</f>
        <v>4069000000</v>
      </c>
      <c r="M642" s="14" t="str">
        <f>IFERROR(__xludf.DUMMYFUNCTION("""COMPUTED_VALUE"""),"Czech Republic-Europe")</f>
        <v>Czech Republic-Europe</v>
      </c>
      <c r="N642" s="14" t="str">
        <f>IFERROR(__xludf.DUMMYFUNCTION("""COMPUTED_VALUE"""),"2003")</f>
        <v>2003</v>
      </c>
      <c r="O642" s="14">
        <f>IFERROR(__xludf.DUMMYFUNCTION("""COMPUTED_VALUE"""),2.177E9)</f>
        <v>2177000000</v>
      </c>
      <c r="P642" s="15">
        <f>IFERROR(__xludf.DUMMYFUNCTION("ARRAYFORMULA(VLOOKUP(A642,IMPORTRANGE(""https://docs.google.com/spreadsheets/d/1BuTWp7qHGjWhqrnf-OmePP568O4A5Am9ttzvVdP67zw/edit#gid=771602874"" ,""HUMAN RESOURCES!$A$2:$M$2692""), {2,3,4,5,6,7,8,9,10,11,12,13},0))"),0.009)</f>
        <v>0.009</v>
      </c>
      <c r="Q642" s="14">
        <f>IFERROR(__xludf.DUMMYFUNCTION("""COMPUTED_VALUE"""),0.005)</f>
        <v>0.005</v>
      </c>
      <c r="R642" s="14">
        <f>IFERROR(__xludf.DUMMYFUNCTION("""COMPUTED_VALUE"""),79.0)</f>
        <v>79</v>
      </c>
      <c r="S642" s="14">
        <f>IFERROR(__xludf.DUMMYFUNCTION("""COMPUTED_VALUE"""),72.0)</f>
        <v>72</v>
      </c>
      <c r="T642" s="14">
        <f>IFERROR(__xludf.DUMMYFUNCTION("""COMPUTED_VALUE"""),0.154)</f>
        <v>0.154</v>
      </c>
      <c r="U642" s="14">
        <f>IFERROR(__xludf.DUMMYFUNCTION("""COMPUTED_VALUE"""),0.707)</f>
        <v>0.707</v>
      </c>
      <c r="V642" s="14">
        <f>IFERROR(__xludf.DUMMYFUNCTION("""COMPUTED_VALUE"""),0.139)</f>
        <v>0.139</v>
      </c>
      <c r="W642" s="14">
        <f>IFERROR(__xludf.DUMMYFUNCTION("""COMPUTED_VALUE"""),1.0193998E7)</f>
        <v>10193998</v>
      </c>
      <c r="X642" s="14">
        <f>IFERROR(__xludf.DUMMYFUNCTION("""COMPUTED_VALUE"""),0.737)</f>
        <v>0.737</v>
      </c>
      <c r="Y642" s="14" t="str">
        <f>IFERROR(__xludf.DUMMYFUNCTION("""COMPUTED_VALUE"""),"Czech Republic-Europe")</f>
        <v>Czech Republic-Europe</v>
      </c>
      <c r="Z642" s="14" t="str">
        <f>IFERROR(__xludf.DUMMYFUNCTION("""COMPUTED_VALUE"""),"Europe")</f>
        <v>Europe</v>
      </c>
      <c r="AA642" s="14" t="str">
        <f>IFERROR(__xludf.DUMMYFUNCTION("""COMPUTED_VALUE"""),"2003")</f>
        <v>2003</v>
      </c>
      <c r="AB642" s="15" t="str">
        <f>IFERROR(__xludf.DUMMYFUNCTION("ARRAYFORMULA(VLOOKUP(A642,IMPORTRANGE(""https://docs.google.com/spreadsheets/d/1BuTWp7qHGjWhqrnf-OmePP568O4A5Am9ttzvVdP67zw/edit#gid=1931367683"" ,""ENERGY!$A$2:$F$2692""), {2,3,4,5,6},0))"),"Europe")</f>
        <v>Europe</v>
      </c>
      <c r="AC642" s="14" t="str">
        <f>IFERROR(__xludf.DUMMYFUNCTION("""COMPUTED_VALUE"""),"Czech Republic-Europe")</f>
        <v>Czech Republic-Europe</v>
      </c>
      <c r="AD642" s="14" t="str">
        <f>IFERROR(__xludf.DUMMYFUNCTION("""COMPUTED_VALUE"""),"2003")</f>
        <v>2003</v>
      </c>
      <c r="AE642" s="14">
        <f>IFERROR(__xludf.DUMMYFUNCTION("""COMPUTED_VALUE"""),42044.0)</f>
        <v>42044</v>
      </c>
      <c r="AF642" s="14">
        <f>IFERROR(__xludf.DUMMYFUNCTION("""COMPUTED_VALUE"""),108121.0)</f>
        <v>108121</v>
      </c>
    </row>
    <row r="643">
      <c r="A643" s="12">
        <v>642.0</v>
      </c>
      <c r="B643" s="12" t="s">
        <v>128</v>
      </c>
      <c r="C643" s="5" t="s">
        <v>75</v>
      </c>
      <c r="D643" s="8"/>
      <c r="E643" s="11">
        <v>40.0</v>
      </c>
      <c r="F643" s="8"/>
      <c r="G643" s="8"/>
      <c r="H643" s="11">
        <v>0.355</v>
      </c>
      <c r="I643" s="11">
        <v>1.056</v>
      </c>
      <c r="J643" s="9" t="s">
        <v>65</v>
      </c>
      <c r="K643" s="14" t="str">
        <f>IFERROR(__xludf.DUMMYFUNCTION("ARRAYFORMULA(VLOOKUP(A643,IMPORTRANGE(""https://docs.google.com/spreadsheets/d/1BuTWp7qHGjWhqrnf-OmePP568O4A5Am9ttzvVdP67zw/edit#gid=1603210130"", ""TOURISM!$A$2:$F$2692""), {2,3,4,5,6},0))"),"Europe")</f>
        <v>Europe</v>
      </c>
      <c r="L643" s="14">
        <f>IFERROR(__xludf.DUMMYFUNCTION("""COMPUTED_VALUE"""),4.931E9)</f>
        <v>4931000000</v>
      </c>
      <c r="M643" s="14" t="str">
        <f>IFERROR(__xludf.DUMMYFUNCTION("""COMPUTED_VALUE"""),"Czech Republic-Europe")</f>
        <v>Czech Republic-Europe</v>
      </c>
      <c r="N643" s="14" t="str">
        <f>IFERROR(__xludf.DUMMYFUNCTION("""COMPUTED_VALUE"""),"2004")</f>
        <v>2004</v>
      </c>
      <c r="O643" s="14">
        <f>IFERROR(__xludf.DUMMYFUNCTION("""COMPUTED_VALUE"""),2.682E9)</f>
        <v>2682000000</v>
      </c>
      <c r="P643" s="15">
        <f>IFERROR(__xludf.DUMMYFUNCTION("ARRAYFORMULA(VLOOKUP(A643,IMPORTRANGE(""https://docs.google.com/spreadsheets/d/1BuTWp7qHGjWhqrnf-OmePP568O4A5Am9ttzvVdP67zw/edit#gid=771602874"" ,""HUMAN RESOURCES!$A$2:$M$2692""), {2,3,4,5,6,7,8,9,10,11,12,13},0))"),0.01)</f>
        <v>0.01</v>
      </c>
      <c r="Q643" s="14">
        <f>IFERROR(__xludf.DUMMYFUNCTION("""COMPUTED_VALUE"""),0.005)</f>
        <v>0.005</v>
      </c>
      <c r="R643" s="14">
        <f>IFERROR(__xludf.DUMMYFUNCTION("""COMPUTED_VALUE"""),79.0)</f>
        <v>79</v>
      </c>
      <c r="S643" s="14">
        <f>IFERROR(__xludf.DUMMYFUNCTION("""COMPUTED_VALUE"""),73.0)</f>
        <v>73</v>
      </c>
      <c r="T643" s="14">
        <f>IFERROR(__xludf.DUMMYFUNCTION("""COMPUTED_VALUE"""),0.151)</f>
        <v>0.151</v>
      </c>
      <c r="U643" s="14">
        <f>IFERROR(__xludf.DUMMYFUNCTION("""COMPUTED_VALUE"""),0.709)</f>
        <v>0.709</v>
      </c>
      <c r="V643" s="14">
        <f>IFERROR(__xludf.DUMMYFUNCTION("""COMPUTED_VALUE"""),0.14)</f>
        <v>0.14</v>
      </c>
      <c r="W643" s="14">
        <f>IFERROR(__xludf.DUMMYFUNCTION("""COMPUTED_VALUE"""),1.0197101E7)</f>
        <v>10197101</v>
      </c>
      <c r="X643" s="14">
        <f>IFERROR(__xludf.DUMMYFUNCTION("""COMPUTED_VALUE"""),0.737)</f>
        <v>0.737</v>
      </c>
      <c r="Y643" s="14" t="str">
        <f>IFERROR(__xludf.DUMMYFUNCTION("""COMPUTED_VALUE"""),"Czech Republic-Europe")</f>
        <v>Czech Republic-Europe</v>
      </c>
      <c r="Z643" s="14" t="str">
        <f>IFERROR(__xludf.DUMMYFUNCTION("""COMPUTED_VALUE"""),"Europe")</f>
        <v>Europe</v>
      </c>
      <c r="AA643" s="14" t="str">
        <f>IFERROR(__xludf.DUMMYFUNCTION("""COMPUTED_VALUE"""),"2004")</f>
        <v>2004</v>
      </c>
      <c r="AB643" s="15" t="str">
        <f>IFERROR(__xludf.DUMMYFUNCTION("ARRAYFORMULA(VLOOKUP(A643,IMPORTRANGE(""https://docs.google.com/spreadsheets/d/1BuTWp7qHGjWhqrnf-OmePP568O4A5Am9ttzvVdP67zw/edit#gid=1931367683"" ,""ENERGY!$A$2:$F$2692""), {2,3,4,5,6},0))"),"Europe")</f>
        <v>Europe</v>
      </c>
      <c r="AC643" s="14" t="str">
        <f>IFERROR(__xludf.DUMMYFUNCTION("""COMPUTED_VALUE"""),"Czech Republic-Europe")</f>
        <v>Czech Republic-Europe</v>
      </c>
      <c r="AD643" s="14" t="str">
        <f>IFERROR(__xludf.DUMMYFUNCTION("""COMPUTED_VALUE"""),"2004")</f>
        <v>2004</v>
      </c>
      <c r="AE643" s="14">
        <f>IFERROR(__xludf.DUMMYFUNCTION("""COMPUTED_VALUE"""),44870.0)</f>
        <v>44870</v>
      </c>
      <c r="AF643" s="14">
        <f>IFERROR(__xludf.DUMMYFUNCTION("""COMPUTED_VALUE"""),117014.0)</f>
        <v>117014</v>
      </c>
    </row>
    <row r="644">
      <c r="A644" s="12">
        <v>643.0</v>
      </c>
      <c r="B644" s="12" t="s">
        <v>128</v>
      </c>
      <c r="C644" s="5" t="s">
        <v>75</v>
      </c>
      <c r="D644" s="11">
        <v>0.488</v>
      </c>
      <c r="E644" s="11">
        <v>40.0</v>
      </c>
      <c r="F644" s="8"/>
      <c r="G644" s="11">
        <v>930.0</v>
      </c>
      <c r="H644" s="11">
        <v>0.353</v>
      </c>
      <c r="I644" s="11">
        <v>1.151</v>
      </c>
      <c r="J644" s="9" t="s">
        <v>66</v>
      </c>
      <c r="K644" s="14" t="str">
        <f>IFERROR(__xludf.DUMMYFUNCTION("ARRAYFORMULA(VLOOKUP(A644,IMPORTRANGE(""https://docs.google.com/spreadsheets/d/1BuTWp7qHGjWhqrnf-OmePP568O4A5Am9ttzvVdP67zw/edit#gid=1603210130"", ""TOURISM!$A$2:$F$2692""), {2,3,4,5,6},0))"),"Europe")</f>
        <v>Europe</v>
      </c>
      <c r="L644" s="14">
        <f>IFERROR(__xludf.DUMMYFUNCTION("""COMPUTED_VALUE"""),5.772E9)</f>
        <v>5772000000</v>
      </c>
      <c r="M644" s="14" t="str">
        <f>IFERROR(__xludf.DUMMYFUNCTION("""COMPUTED_VALUE"""),"Czech Republic-Europe")</f>
        <v>Czech Republic-Europe</v>
      </c>
      <c r="N644" s="14" t="str">
        <f>IFERROR(__xludf.DUMMYFUNCTION("""COMPUTED_VALUE"""),"2005")</f>
        <v>2005</v>
      </c>
      <c r="O644" s="14">
        <f>IFERROR(__xludf.DUMMYFUNCTION("""COMPUTED_VALUE"""),2.603E9)</f>
        <v>2603000000</v>
      </c>
      <c r="P644" s="15">
        <f>IFERROR(__xludf.DUMMYFUNCTION("ARRAYFORMULA(VLOOKUP(A644,IMPORTRANGE(""https://docs.google.com/spreadsheets/d/1BuTWp7qHGjWhqrnf-OmePP568O4A5Am9ttzvVdP67zw/edit#gid=771602874"" ,""HUMAN RESOURCES!$A$2:$M$2692""), {2,3,4,5,6,7,8,9,10,11,12,13},0))"),0.01)</f>
        <v>0.01</v>
      </c>
      <c r="Q644" s="14">
        <f>IFERROR(__xludf.DUMMYFUNCTION("""COMPUTED_VALUE"""),0.004)</f>
        <v>0.004</v>
      </c>
      <c r="R644" s="14">
        <f>IFERROR(__xludf.DUMMYFUNCTION("""COMPUTED_VALUE"""),79.0)</f>
        <v>79</v>
      </c>
      <c r="S644" s="14">
        <f>IFERROR(__xludf.DUMMYFUNCTION("""COMPUTED_VALUE"""),73.0)</f>
        <v>73</v>
      </c>
      <c r="T644" s="14">
        <f>IFERROR(__xludf.DUMMYFUNCTION("""COMPUTED_VALUE"""),0.148)</f>
        <v>0.148</v>
      </c>
      <c r="U644" s="14">
        <f>IFERROR(__xludf.DUMMYFUNCTION("""COMPUTED_VALUE"""),0.711)</f>
        <v>0.711</v>
      </c>
      <c r="V644" s="14">
        <f>IFERROR(__xludf.DUMMYFUNCTION("""COMPUTED_VALUE"""),0.141)</f>
        <v>0.141</v>
      </c>
      <c r="W644" s="14">
        <f>IFERROR(__xludf.DUMMYFUNCTION("""COMPUTED_VALUE"""),1.0211216E7)</f>
        <v>10211216</v>
      </c>
      <c r="X644" s="14">
        <f>IFERROR(__xludf.DUMMYFUNCTION("""COMPUTED_VALUE"""),0.736)</f>
        <v>0.736</v>
      </c>
      <c r="Y644" s="14" t="str">
        <f>IFERROR(__xludf.DUMMYFUNCTION("""COMPUTED_VALUE"""),"Czech Republic-Europe")</f>
        <v>Czech Republic-Europe</v>
      </c>
      <c r="Z644" s="14" t="str">
        <f>IFERROR(__xludf.DUMMYFUNCTION("""COMPUTED_VALUE"""),"Europe")</f>
        <v>Europe</v>
      </c>
      <c r="AA644" s="14" t="str">
        <f>IFERROR(__xludf.DUMMYFUNCTION("""COMPUTED_VALUE"""),"2005")</f>
        <v>2005</v>
      </c>
      <c r="AB644" s="15" t="str">
        <f>IFERROR(__xludf.DUMMYFUNCTION("ARRAYFORMULA(VLOOKUP(A644,IMPORTRANGE(""https://docs.google.com/spreadsheets/d/1BuTWp7qHGjWhqrnf-OmePP568O4A5Am9ttzvVdP67zw/edit#gid=1931367683"" ,""ENERGY!$A$2:$F$2692""), {2,3,4,5,6},0))"),"Europe")</f>
        <v>Europe</v>
      </c>
      <c r="AC644" s="14" t="str">
        <f>IFERROR(__xludf.DUMMYFUNCTION("""COMPUTED_VALUE"""),"Czech Republic-Europe")</f>
        <v>Czech Republic-Europe</v>
      </c>
      <c r="AD644" s="14" t="str">
        <f>IFERROR(__xludf.DUMMYFUNCTION("""COMPUTED_VALUE"""),"2006")</f>
        <v>2006</v>
      </c>
      <c r="AE644" s="14">
        <f>IFERROR(__xludf.DUMMYFUNCTION("""COMPUTED_VALUE"""),45845.0)</f>
        <v>45845</v>
      </c>
      <c r="AF644" s="14">
        <f>IFERROR(__xludf.DUMMYFUNCTION("""COMPUTED_VALUE"""),123948.0)</f>
        <v>123948</v>
      </c>
    </row>
    <row r="645">
      <c r="A645" s="12">
        <v>644.0</v>
      </c>
      <c r="B645" s="12" t="s">
        <v>128</v>
      </c>
      <c r="C645" s="5" t="s">
        <v>75</v>
      </c>
      <c r="D645" s="11">
        <v>0.482</v>
      </c>
      <c r="E645" s="11">
        <v>24.0</v>
      </c>
      <c r="F645" s="8"/>
      <c r="G645" s="11">
        <v>930.0</v>
      </c>
      <c r="H645" s="11">
        <v>0.479</v>
      </c>
      <c r="I645" s="11">
        <v>1.207</v>
      </c>
      <c r="J645" s="9" t="s">
        <v>67</v>
      </c>
      <c r="K645" s="14" t="str">
        <f>IFERROR(__xludf.DUMMYFUNCTION("ARRAYFORMULA(VLOOKUP(A645,IMPORTRANGE(""https://docs.google.com/spreadsheets/d/1BuTWp7qHGjWhqrnf-OmePP568O4A5Am9ttzvVdP67zw/edit#gid=1603210130"", ""TOURISM!$A$2:$F$2692""), {2,3,4,5,6},0))"),"Europe")</f>
        <v>Europe</v>
      </c>
      <c r="L645" s="14">
        <f>IFERROR(__xludf.DUMMYFUNCTION("""COMPUTED_VALUE"""),6.702E9)</f>
        <v>6702000000</v>
      </c>
      <c r="M645" s="14" t="str">
        <f>IFERROR(__xludf.DUMMYFUNCTION("""COMPUTED_VALUE"""),"Czech Republic-Europe")</f>
        <v>Czech Republic-Europe</v>
      </c>
      <c r="N645" s="14" t="str">
        <f>IFERROR(__xludf.DUMMYFUNCTION("""COMPUTED_VALUE"""),"2006")</f>
        <v>2006</v>
      </c>
      <c r="O645" s="14">
        <f>IFERROR(__xludf.DUMMYFUNCTION("""COMPUTED_VALUE"""),2.874E9)</f>
        <v>2874000000</v>
      </c>
      <c r="P645" s="15">
        <f>IFERROR(__xludf.DUMMYFUNCTION("ARRAYFORMULA(VLOOKUP(A645,IMPORTRANGE(""https://docs.google.com/spreadsheets/d/1BuTWp7qHGjWhqrnf-OmePP568O4A5Am9ttzvVdP67zw/edit#gid=771602874"" ,""HUMAN RESOURCES!$A$2:$M$2692""), {2,3,4,5,6,7,8,9,10,11,12,13},0))"),0.01)</f>
        <v>0.01</v>
      </c>
      <c r="Q645" s="14">
        <f>IFERROR(__xludf.DUMMYFUNCTION("""COMPUTED_VALUE"""),0.004)</f>
        <v>0.004</v>
      </c>
      <c r="R645" s="14">
        <f>IFERROR(__xludf.DUMMYFUNCTION("""COMPUTED_VALUE"""),80.0)</f>
        <v>80</v>
      </c>
      <c r="S645" s="14">
        <f>IFERROR(__xludf.DUMMYFUNCTION("""COMPUTED_VALUE"""),74.0)</f>
        <v>74</v>
      </c>
      <c r="T645" s="14">
        <f>IFERROR(__xludf.DUMMYFUNCTION("""COMPUTED_VALUE"""),0.145)</f>
        <v>0.145</v>
      </c>
      <c r="U645" s="14">
        <f>IFERROR(__xludf.DUMMYFUNCTION("""COMPUTED_VALUE"""),0.712)</f>
        <v>0.712</v>
      </c>
      <c r="V645" s="14">
        <f>IFERROR(__xludf.DUMMYFUNCTION("""COMPUTED_VALUE"""),0.143)</f>
        <v>0.143</v>
      </c>
      <c r="W645" s="14">
        <f>IFERROR(__xludf.DUMMYFUNCTION("""COMPUTED_VALUE"""),1.0238905E7)</f>
        <v>10238905</v>
      </c>
      <c r="X645" s="14">
        <f>IFERROR(__xludf.DUMMYFUNCTION("""COMPUTED_VALUE"""),0.735)</f>
        <v>0.735</v>
      </c>
      <c r="Y645" s="14" t="str">
        <f>IFERROR(__xludf.DUMMYFUNCTION("""COMPUTED_VALUE"""),"Czech Republic-Europe")</f>
        <v>Czech Republic-Europe</v>
      </c>
      <c r="Z645" s="14" t="str">
        <f>IFERROR(__xludf.DUMMYFUNCTION("""COMPUTED_VALUE"""),"Europe")</f>
        <v>Europe</v>
      </c>
      <c r="AA645" s="14" t="str">
        <f>IFERROR(__xludf.DUMMYFUNCTION("""COMPUTED_VALUE"""),"2006")</f>
        <v>2006</v>
      </c>
      <c r="AB645" s="15" t="str">
        <f>IFERROR(__xludf.DUMMYFUNCTION("ARRAYFORMULA(VLOOKUP(A645,IMPORTRANGE(""https://docs.google.com/spreadsheets/d/1BuTWp7qHGjWhqrnf-OmePP568O4A5Am9ttzvVdP67zw/edit#gid=1931367683"" ,""ENERGY!$A$2:$F$2692""), {2,3,4,5,6},0))"),"Europe")</f>
        <v>Europe</v>
      </c>
      <c r="AC645" s="14" t="str">
        <f>IFERROR(__xludf.DUMMYFUNCTION("""COMPUTED_VALUE"""),"Czech Republic-Europe")</f>
        <v>Czech Republic-Europe</v>
      </c>
      <c r="AD645" s="14" t="str">
        <f>IFERROR(__xludf.DUMMYFUNCTION("""COMPUTED_VALUE"""),"2010")</f>
        <v>2010</v>
      </c>
      <c r="AE645" s="14">
        <f>IFERROR(__xludf.DUMMYFUNCTION("""COMPUTED_VALUE"""),45904.0)</f>
        <v>45904</v>
      </c>
      <c r="AF645" s="14">
        <f>IFERROR(__xludf.DUMMYFUNCTION("""COMPUTED_VALUE"""),122764.0)</f>
        <v>122764</v>
      </c>
    </row>
    <row r="646">
      <c r="A646" s="12">
        <v>645.0</v>
      </c>
      <c r="B646" s="12" t="s">
        <v>128</v>
      </c>
      <c r="C646" s="5" t="s">
        <v>75</v>
      </c>
      <c r="D646" s="11">
        <v>0.477</v>
      </c>
      <c r="E646" s="11">
        <v>17.0</v>
      </c>
      <c r="F646" s="8"/>
      <c r="G646" s="11">
        <v>808.0</v>
      </c>
      <c r="H646" s="11">
        <v>0.519</v>
      </c>
      <c r="I646" s="11">
        <v>1.28</v>
      </c>
      <c r="J646" s="9" t="s">
        <v>68</v>
      </c>
      <c r="K646" s="14" t="str">
        <f>IFERROR(__xludf.DUMMYFUNCTION("ARRAYFORMULA(VLOOKUP(A646,IMPORTRANGE(""https://docs.google.com/spreadsheets/d/1BuTWp7qHGjWhqrnf-OmePP568O4A5Am9ttzvVdP67zw/edit#gid=1603210130"", ""TOURISM!$A$2:$F$2692""), {2,3,4,5,6},0))"),"Europe")</f>
        <v>Europe</v>
      </c>
      <c r="L646" s="14">
        <f>IFERROR(__xludf.DUMMYFUNCTION("""COMPUTED_VALUE"""),7.775E9)</f>
        <v>7775000000</v>
      </c>
      <c r="M646" s="14" t="str">
        <f>IFERROR(__xludf.DUMMYFUNCTION("""COMPUTED_VALUE"""),"Czech Republic-Europe")</f>
        <v>Czech Republic-Europe</v>
      </c>
      <c r="N646" s="14" t="str">
        <f>IFERROR(__xludf.DUMMYFUNCTION("""COMPUTED_VALUE"""),"2007")</f>
        <v>2007</v>
      </c>
      <c r="O646" s="14">
        <f>IFERROR(__xludf.DUMMYFUNCTION("""COMPUTED_VALUE"""),3.704E9)</f>
        <v>3704000000</v>
      </c>
      <c r="P646" s="15">
        <f>IFERROR(__xludf.DUMMYFUNCTION("ARRAYFORMULA(VLOOKUP(A646,IMPORTRANGE(""https://docs.google.com/spreadsheets/d/1BuTWp7qHGjWhqrnf-OmePP568O4A5Am9ttzvVdP67zw/edit#gid=771602874"" ,""HUMAN RESOURCES!$A$2:$M$2692""), {2,3,4,5,6,7,8,9,10,11,12,13},0))"),0.011)</f>
        <v>0.011</v>
      </c>
      <c r="Q646" s="14">
        <f>IFERROR(__xludf.DUMMYFUNCTION("""COMPUTED_VALUE"""),0.004)</f>
        <v>0.004</v>
      </c>
      <c r="R646" s="14">
        <f>IFERROR(__xludf.DUMMYFUNCTION("""COMPUTED_VALUE"""),80.0)</f>
        <v>80</v>
      </c>
      <c r="S646" s="14">
        <f>IFERROR(__xludf.DUMMYFUNCTION("""COMPUTED_VALUE"""),74.0)</f>
        <v>74</v>
      </c>
      <c r="T646" s="14">
        <f>IFERROR(__xludf.DUMMYFUNCTION("""COMPUTED_VALUE"""),0.143)</f>
        <v>0.143</v>
      </c>
      <c r="U646" s="14">
        <f>IFERROR(__xludf.DUMMYFUNCTION("""COMPUTED_VALUE"""),0.712)</f>
        <v>0.712</v>
      </c>
      <c r="V646" s="14">
        <f>IFERROR(__xludf.DUMMYFUNCTION("""COMPUTED_VALUE"""),0.145)</f>
        <v>0.145</v>
      </c>
      <c r="W646" s="14">
        <f>IFERROR(__xludf.DUMMYFUNCTION("""COMPUTED_VALUE"""),1.0298828E7)</f>
        <v>10298828</v>
      </c>
      <c r="X646" s="14">
        <f>IFERROR(__xludf.DUMMYFUNCTION("""COMPUTED_VALUE"""),0.735)</f>
        <v>0.735</v>
      </c>
      <c r="Y646" s="14" t="str">
        <f>IFERROR(__xludf.DUMMYFUNCTION("""COMPUTED_VALUE"""),"Czech Republic-Europe")</f>
        <v>Czech Republic-Europe</v>
      </c>
      <c r="Z646" s="14" t="str">
        <f>IFERROR(__xludf.DUMMYFUNCTION("""COMPUTED_VALUE"""),"Europe")</f>
        <v>Europe</v>
      </c>
      <c r="AA646" s="14" t="str">
        <f>IFERROR(__xludf.DUMMYFUNCTION("""COMPUTED_VALUE"""),"2007")</f>
        <v>2007</v>
      </c>
      <c r="AB646" s="15" t="str">
        <f>IFERROR(__xludf.DUMMYFUNCTION("ARRAYFORMULA(VLOOKUP(A646,IMPORTRANGE(""https://docs.google.com/spreadsheets/d/1BuTWp7qHGjWhqrnf-OmePP568O4A5Am9ttzvVdP67zw/edit#gid=1931367683"" ,""ENERGY!$A$2:$F$2692""), {2,3,4,5,6},0))"),"Europe")</f>
        <v>Europe</v>
      </c>
      <c r="AC646" s="14" t="str">
        <f>IFERROR(__xludf.DUMMYFUNCTION("""COMPUTED_VALUE"""),"Czech Republic-Europe")</f>
        <v>Czech Republic-Europe</v>
      </c>
      <c r="AD646" s="14" t="str">
        <f>IFERROR(__xludf.DUMMYFUNCTION("""COMPUTED_VALUE"""),"2007")</f>
        <v>2007</v>
      </c>
      <c r="AE646" s="14">
        <f>IFERROR(__xludf.DUMMYFUNCTION("""COMPUTED_VALUE"""),44941.0)</f>
        <v>44941</v>
      </c>
      <c r="AF646" s="14">
        <f>IFERROR(__xludf.DUMMYFUNCTION("""COMPUTED_VALUE"""),120736.0)</f>
        <v>120736</v>
      </c>
    </row>
    <row r="647">
      <c r="A647" s="12">
        <v>646.0</v>
      </c>
      <c r="B647" s="12" t="s">
        <v>128</v>
      </c>
      <c r="C647" s="5" t="s">
        <v>75</v>
      </c>
      <c r="D647" s="11">
        <v>0.477</v>
      </c>
      <c r="E647" s="11">
        <v>20.0</v>
      </c>
      <c r="F647" s="8"/>
      <c r="G647" s="11">
        <v>808.0</v>
      </c>
      <c r="H647" s="11">
        <v>0.63</v>
      </c>
      <c r="I647" s="11">
        <v>1.324</v>
      </c>
      <c r="J647" s="9" t="s">
        <v>69</v>
      </c>
      <c r="K647" s="14" t="str">
        <f>IFERROR(__xludf.DUMMYFUNCTION("ARRAYFORMULA(VLOOKUP(A647,IMPORTRANGE(""https://docs.google.com/spreadsheets/d/1BuTWp7qHGjWhqrnf-OmePP568O4A5Am9ttzvVdP67zw/edit#gid=1603210130"", ""TOURISM!$A$2:$F$2692""), {2,3,4,5,6},0))"),"Europe")</f>
        <v>Europe</v>
      </c>
      <c r="L647" s="14">
        <f>IFERROR(__xludf.DUMMYFUNCTION("""COMPUTED_VALUE"""),8.871E9)</f>
        <v>8871000000</v>
      </c>
      <c r="M647" s="14" t="str">
        <f>IFERROR(__xludf.DUMMYFUNCTION("""COMPUTED_VALUE"""),"Czech Republic-Europe")</f>
        <v>Czech Republic-Europe</v>
      </c>
      <c r="N647" s="14" t="str">
        <f>IFERROR(__xludf.DUMMYFUNCTION("""COMPUTED_VALUE"""),"2008")</f>
        <v>2008</v>
      </c>
      <c r="O647" s="14">
        <f>IFERROR(__xludf.DUMMYFUNCTION("""COMPUTED_VALUE"""),4.797E9)</f>
        <v>4797000000</v>
      </c>
      <c r="P647" s="15">
        <f>IFERROR(__xludf.DUMMYFUNCTION("ARRAYFORMULA(VLOOKUP(A647,IMPORTRANGE(""https://docs.google.com/spreadsheets/d/1BuTWp7qHGjWhqrnf-OmePP568O4A5Am9ttzvVdP67zw/edit#gid=771602874"" ,""HUMAN RESOURCES!$A$2:$M$2692""), {2,3,4,5,6,7,8,9,10,11,12,13},0))"),0.012)</f>
        <v>0.012</v>
      </c>
      <c r="Q647" s="14">
        <f>IFERROR(__xludf.DUMMYFUNCTION("""COMPUTED_VALUE"""),0.004)</f>
        <v>0.004</v>
      </c>
      <c r="R647" s="14">
        <f>IFERROR(__xludf.DUMMYFUNCTION("""COMPUTED_VALUE"""),80.0)</f>
        <v>80</v>
      </c>
      <c r="S647" s="14">
        <f>IFERROR(__xludf.DUMMYFUNCTION("""COMPUTED_VALUE"""),74.0)</f>
        <v>74</v>
      </c>
      <c r="T647" s="14">
        <f>IFERROR(__xludf.DUMMYFUNCTION("""COMPUTED_VALUE"""),0.142)</f>
        <v>0.142</v>
      </c>
      <c r="U647" s="14">
        <f>IFERROR(__xludf.DUMMYFUNCTION("""COMPUTED_VALUE"""),0.711)</f>
        <v>0.711</v>
      </c>
      <c r="V647" s="14">
        <f>IFERROR(__xludf.DUMMYFUNCTION("""COMPUTED_VALUE"""),0.147)</f>
        <v>0.147</v>
      </c>
      <c r="W647" s="14">
        <f>IFERROR(__xludf.DUMMYFUNCTION("""COMPUTED_VALUE"""),1.0384603E7)</f>
        <v>10384603</v>
      </c>
      <c r="X647" s="14">
        <f>IFERROR(__xludf.DUMMYFUNCTION("""COMPUTED_VALUE"""),0.734)</f>
        <v>0.734</v>
      </c>
      <c r="Y647" s="14" t="str">
        <f>IFERROR(__xludf.DUMMYFUNCTION("""COMPUTED_VALUE"""),"Czech Republic-Europe")</f>
        <v>Czech Republic-Europe</v>
      </c>
      <c r="Z647" s="14" t="str">
        <f>IFERROR(__xludf.DUMMYFUNCTION("""COMPUTED_VALUE"""),"Europe")</f>
        <v>Europe</v>
      </c>
      <c r="AA647" s="14" t="str">
        <f>IFERROR(__xludf.DUMMYFUNCTION("""COMPUTED_VALUE"""),"2008")</f>
        <v>2008</v>
      </c>
      <c r="AB647" s="15" t="str">
        <f>IFERROR(__xludf.DUMMYFUNCTION("ARRAYFORMULA(VLOOKUP(A647,IMPORTRANGE(""https://docs.google.com/spreadsheets/d/1BuTWp7qHGjWhqrnf-OmePP568O4A5Am9ttzvVdP67zw/edit#gid=1931367683"" ,""ENERGY!$A$2:$F$2692""), {2,3,4,5,6},0))"),"Europe")</f>
        <v>Europe</v>
      </c>
      <c r="AC647" s="14" t="str">
        <f>IFERROR(__xludf.DUMMYFUNCTION("""COMPUTED_VALUE"""),"Czech Republic-Europe")</f>
        <v>Czech Republic-Europe</v>
      </c>
      <c r="AD647" s="14" t="str">
        <f>IFERROR(__xludf.DUMMYFUNCTION("""COMPUTED_VALUE"""),"2005")</f>
        <v>2005</v>
      </c>
      <c r="AE647" s="14">
        <f>IFERROR(__xludf.DUMMYFUNCTION("""COMPUTED_VALUE"""),45511.0)</f>
        <v>45511</v>
      </c>
      <c r="AF647" s="14">
        <f>IFERROR(__xludf.DUMMYFUNCTION("""COMPUTED_VALUE"""),122709.0)</f>
        <v>122709</v>
      </c>
    </row>
    <row r="648">
      <c r="A648" s="12">
        <v>647.0</v>
      </c>
      <c r="B648" s="12" t="s">
        <v>128</v>
      </c>
      <c r="C648" s="5" t="s">
        <v>75</v>
      </c>
      <c r="D648" s="11">
        <v>0.464</v>
      </c>
      <c r="E648" s="11">
        <v>20.0</v>
      </c>
      <c r="F648" s="8"/>
      <c r="G648" s="11">
        <v>613.0</v>
      </c>
      <c r="H648" s="11">
        <v>0.644</v>
      </c>
      <c r="I648" s="11">
        <v>1.246</v>
      </c>
      <c r="J648" s="9" t="s">
        <v>70</v>
      </c>
      <c r="K648" s="14" t="str">
        <f>IFERROR(__xludf.DUMMYFUNCTION("ARRAYFORMULA(VLOOKUP(A648,IMPORTRANGE(""https://docs.google.com/spreadsheets/d/1BuTWp7qHGjWhqrnf-OmePP568O4A5Am9ttzvVdP67zw/edit#gid=1603210130"", ""TOURISM!$A$2:$F$2692""), {2,3,4,5,6},0))"),"Europe")</f>
        <v>Europe</v>
      </c>
      <c r="L648" s="14">
        <f>IFERROR(__xludf.DUMMYFUNCTION("""COMPUTED_VALUE"""),7.936E9)</f>
        <v>7936000000</v>
      </c>
      <c r="M648" s="14" t="str">
        <f>IFERROR(__xludf.DUMMYFUNCTION("""COMPUTED_VALUE"""),"Czech Republic-Europe")</f>
        <v>Czech Republic-Europe</v>
      </c>
      <c r="N648" s="14" t="str">
        <f>IFERROR(__xludf.DUMMYFUNCTION("""COMPUTED_VALUE"""),"2009")</f>
        <v>2009</v>
      </c>
      <c r="O648" s="14">
        <f>IFERROR(__xludf.DUMMYFUNCTION("""COMPUTED_VALUE"""),4.158E9)</f>
        <v>4158000000</v>
      </c>
      <c r="P648" s="15">
        <f>IFERROR(__xludf.DUMMYFUNCTION("ARRAYFORMULA(VLOOKUP(A648,IMPORTRANGE(""https://docs.google.com/spreadsheets/d/1BuTWp7qHGjWhqrnf-OmePP568O4A5Am9ttzvVdP67zw/edit#gid=771602874"" ,""HUMAN RESOURCES!$A$2:$M$2692""), {2,3,4,5,6,7,8,9,10,11,12,13},0))"),0.011)</f>
        <v>0.011</v>
      </c>
      <c r="Q648" s="14">
        <f>IFERROR(__xludf.DUMMYFUNCTION("""COMPUTED_VALUE"""),0.004)</f>
        <v>0.004</v>
      </c>
      <c r="R648" s="14">
        <f>IFERROR(__xludf.DUMMYFUNCTION("""COMPUTED_VALUE"""),80.0)</f>
        <v>80</v>
      </c>
      <c r="S648" s="14">
        <f>IFERROR(__xludf.DUMMYFUNCTION("""COMPUTED_VALUE"""),74.0)</f>
        <v>74</v>
      </c>
      <c r="T648" s="14">
        <f>IFERROR(__xludf.DUMMYFUNCTION("""COMPUTED_VALUE"""),0.142)</f>
        <v>0.142</v>
      </c>
      <c r="U648" s="14">
        <f>IFERROR(__xludf.DUMMYFUNCTION("""COMPUTED_VALUE"""),0.708)</f>
        <v>0.708</v>
      </c>
      <c r="V648" s="14">
        <f>IFERROR(__xludf.DUMMYFUNCTION("""COMPUTED_VALUE"""),0.15)</f>
        <v>0.15</v>
      </c>
      <c r="W648" s="14">
        <f>IFERROR(__xludf.DUMMYFUNCTION("""COMPUTED_VALUE"""),1.0443936E7)</f>
        <v>10443936</v>
      </c>
      <c r="X648" s="14">
        <f>IFERROR(__xludf.DUMMYFUNCTION("""COMPUTED_VALUE"""),0.733)</f>
        <v>0.733</v>
      </c>
      <c r="Y648" s="14" t="str">
        <f>IFERROR(__xludf.DUMMYFUNCTION("""COMPUTED_VALUE"""),"Czech Republic-Europe")</f>
        <v>Czech Republic-Europe</v>
      </c>
      <c r="Z648" s="14" t="str">
        <f>IFERROR(__xludf.DUMMYFUNCTION("""COMPUTED_VALUE"""),"Europe")</f>
        <v>Europe</v>
      </c>
      <c r="AA648" s="14" t="str">
        <f>IFERROR(__xludf.DUMMYFUNCTION("""COMPUTED_VALUE"""),"2009")</f>
        <v>2009</v>
      </c>
      <c r="AB648" s="15" t="str">
        <f>IFERROR(__xludf.DUMMYFUNCTION("ARRAYFORMULA(VLOOKUP(A648,IMPORTRANGE(""https://docs.google.com/spreadsheets/d/1BuTWp7qHGjWhqrnf-OmePP568O4A5Am9ttzvVdP67zw/edit#gid=1931367683"" ,""ENERGY!$A$2:$F$2692""), {2,3,4,5,6},0))"),"Europe")</f>
        <v>Europe</v>
      </c>
      <c r="AC648" s="14" t="str">
        <f>IFERROR(__xludf.DUMMYFUNCTION("""COMPUTED_VALUE"""),"Czech Republic-Europe")</f>
        <v>Czech Republic-Europe</v>
      </c>
      <c r="AD648" s="14" t="str">
        <f>IFERROR(__xludf.DUMMYFUNCTION("""COMPUTED_VALUE"""),"2009")</f>
        <v>2009</v>
      </c>
      <c r="AE648" s="14">
        <f>IFERROR(__xludf.DUMMYFUNCTION("""COMPUTED_VALUE"""),44415.0)</f>
        <v>44415</v>
      </c>
      <c r="AF648" s="14">
        <f>IFERROR(__xludf.DUMMYFUNCTION("""COMPUTED_VALUE"""),122379.0)</f>
        <v>122379</v>
      </c>
    </row>
    <row r="649">
      <c r="A649" s="12">
        <v>648.0</v>
      </c>
      <c r="B649" s="12" t="s">
        <v>128</v>
      </c>
      <c r="C649" s="5" t="s">
        <v>75</v>
      </c>
      <c r="D649" s="11">
        <v>0.48</v>
      </c>
      <c r="E649" s="11">
        <v>20.0</v>
      </c>
      <c r="F649" s="8"/>
      <c r="G649" s="11">
        <v>557.0</v>
      </c>
      <c r="H649" s="11">
        <v>0.688</v>
      </c>
      <c r="I649" s="11">
        <v>1.226</v>
      </c>
      <c r="J649" s="9" t="s">
        <v>71</v>
      </c>
      <c r="K649" s="14" t="str">
        <f>IFERROR(__xludf.DUMMYFUNCTION("ARRAYFORMULA(VLOOKUP(A649,IMPORTRANGE(""https://docs.google.com/spreadsheets/d/1BuTWp7qHGjWhqrnf-OmePP568O4A5Am9ttzvVdP67zw/edit#gid=1603210130"", ""TOURISM!$A$2:$F$2692""), {2,3,4,5,6},0))"),"Europe")</f>
        <v>Europe</v>
      </c>
      <c r="L649" s="14">
        <f>IFERROR(__xludf.DUMMYFUNCTION("""COMPUTED_VALUE"""),8.017E9)</f>
        <v>8017000000</v>
      </c>
      <c r="M649" s="14" t="str">
        <f>IFERROR(__xludf.DUMMYFUNCTION("""COMPUTED_VALUE"""),"Czech Republic-Europe")</f>
        <v>Czech Republic-Europe</v>
      </c>
      <c r="N649" s="14" t="str">
        <f>IFERROR(__xludf.DUMMYFUNCTION("""COMPUTED_VALUE"""),"2010")</f>
        <v>2010</v>
      </c>
      <c r="O649" s="14">
        <f>IFERROR(__xludf.DUMMYFUNCTION("""COMPUTED_VALUE"""),4.166E9)</f>
        <v>4166000000</v>
      </c>
      <c r="P649" s="15">
        <f>IFERROR(__xludf.DUMMYFUNCTION("ARRAYFORMULA(VLOOKUP(A649,IMPORTRANGE(""https://docs.google.com/spreadsheets/d/1BuTWp7qHGjWhqrnf-OmePP568O4A5Am9ttzvVdP67zw/edit#gid=771602874"" ,""HUMAN RESOURCES!$A$2:$M$2692""), {2,3,4,5,6,7,8,9,10,11,12,13},0))"),0.011)</f>
        <v>0.011</v>
      </c>
      <c r="Q649" s="14">
        <f>IFERROR(__xludf.DUMMYFUNCTION("""COMPUTED_VALUE"""),0.003)</f>
        <v>0.003</v>
      </c>
      <c r="R649" s="14">
        <f>IFERROR(__xludf.DUMMYFUNCTION("""COMPUTED_VALUE"""),81.0)</f>
        <v>81</v>
      </c>
      <c r="S649" s="14">
        <f>IFERROR(__xludf.DUMMYFUNCTION("""COMPUTED_VALUE"""),74.0)</f>
        <v>74</v>
      </c>
      <c r="T649" s="14">
        <f>IFERROR(__xludf.DUMMYFUNCTION("""COMPUTED_VALUE"""),0.142)</f>
        <v>0.142</v>
      </c>
      <c r="U649" s="14">
        <f>IFERROR(__xludf.DUMMYFUNCTION("""COMPUTED_VALUE"""),0.704)</f>
        <v>0.704</v>
      </c>
      <c r="V649" s="14">
        <f>IFERROR(__xludf.DUMMYFUNCTION("""COMPUTED_VALUE"""),0.154)</f>
        <v>0.154</v>
      </c>
      <c r="W649" s="14">
        <f>IFERROR(__xludf.DUMMYFUNCTION("""COMPUTED_VALUE"""),1.047441E7)</f>
        <v>10474410</v>
      </c>
      <c r="X649" s="14">
        <f>IFERROR(__xludf.DUMMYFUNCTION("""COMPUTED_VALUE"""),0.733)</f>
        <v>0.733</v>
      </c>
      <c r="Y649" s="14" t="str">
        <f>IFERROR(__xludf.DUMMYFUNCTION("""COMPUTED_VALUE"""),"Czech Republic-Europe")</f>
        <v>Czech Republic-Europe</v>
      </c>
      <c r="Z649" s="14" t="str">
        <f>IFERROR(__xludf.DUMMYFUNCTION("""COMPUTED_VALUE"""),"Europe")</f>
        <v>Europe</v>
      </c>
      <c r="AA649" s="14" t="str">
        <f>IFERROR(__xludf.DUMMYFUNCTION("""COMPUTED_VALUE"""),"2010")</f>
        <v>2010</v>
      </c>
      <c r="AB649" s="15" t="str">
        <f>IFERROR(__xludf.DUMMYFUNCTION("ARRAYFORMULA(VLOOKUP(A649,IMPORTRANGE(""https://docs.google.com/spreadsheets/d/1BuTWp7qHGjWhqrnf-OmePP568O4A5Am9ttzvVdP67zw/edit#gid=1931367683"" ,""ENERGY!$A$2:$F$2692""), {2,3,4,5,6},0))"),"Europe")</f>
        <v>Europe</v>
      </c>
      <c r="AC649" s="14" t="str">
        <f>IFERROR(__xludf.DUMMYFUNCTION("""COMPUTED_VALUE"""),"Czech Republic-Europe")</f>
        <v>Czech Republic-Europe</v>
      </c>
      <c r="AD649" s="14" t="str">
        <f>IFERROR(__xludf.DUMMYFUNCTION("""COMPUTED_VALUE"""),"2008")</f>
        <v>2008</v>
      </c>
      <c r="AE649" s="14">
        <f>IFERROR(__xludf.DUMMYFUNCTION("""COMPUTED_VALUE"""),42535.0)</f>
        <v>42535</v>
      </c>
      <c r="AF649" s="14">
        <f>IFERROR(__xludf.DUMMYFUNCTION("""COMPUTED_VALUE"""),120193.0)</f>
        <v>120193</v>
      </c>
    </row>
    <row r="650">
      <c r="A650" s="12">
        <v>649.0</v>
      </c>
      <c r="B650" s="12" t="s">
        <v>128</v>
      </c>
      <c r="C650" s="5" t="s">
        <v>75</v>
      </c>
      <c r="D650" s="11">
        <v>0.481</v>
      </c>
      <c r="E650" s="11">
        <v>20.0</v>
      </c>
      <c r="F650" s="8"/>
      <c r="G650" s="11">
        <v>557.0</v>
      </c>
      <c r="H650" s="11">
        <v>0.705</v>
      </c>
      <c r="I650" s="11">
        <v>1.241</v>
      </c>
      <c r="J650" s="9" t="s">
        <v>72</v>
      </c>
      <c r="K650" s="14" t="str">
        <f>IFERROR(__xludf.DUMMYFUNCTION("ARRAYFORMULA(VLOOKUP(A650,IMPORTRANGE(""https://docs.google.com/spreadsheets/d/1BuTWp7qHGjWhqrnf-OmePP568O4A5Am9ttzvVdP67zw/edit#gid=1603210130"", ""TOURISM!$A$2:$F$2692""), {2,3,4,5,6},0))"),"Europe")</f>
        <v>Europe</v>
      </c>
      <c r="L650" s="14">
        <f>IFERROR(__xludf.DUMMYFUNCTION("""COMPUTED_VALUE"""),8.503E9)</f>
        <v>8503000000</v>
      </c>
      <c r="M650" s="14" t="str">
        <f>IFERROR(__xludf.DUMMYFUNCTION("""COMPUTED_VALUE"""),"Czech Republic-Europe")</f>
        <v>Czech Republic-Europe</v>
      </c>
      <c r="N650" s="14" t="str">
        <f>IFERROR(__xludf.DUMMYFUNCTION("""COMPUTED_VALUE"""),"2011")</f>
        <v>2011</v>
      </c>
      <c r="O650" s="14">
        <f>IFERROR(__xludf.DUMMYFUNCTION("""COMPUTED_VALUE"""),4.66E9)</f>
        <v>4660000000</v>
      </c>
      <c r="P650" s="15">
        <f>IFERROR(__xludf.DUMMYFUNCTION("ARRAYFORMULA(VLOOKUP(A650,IMPORTRANGE(""https://docs.google.com/spreadsheets/d/1BuTWp7qHGjWhqrnf-OmePP568O4A5Am9ttzvVdP67zw/edit#gid=771602874"" ,""HUMAN RESOURCES!$A$2:$M$2692""), {2,3,4,5,6,7,8,9,10,11,12,13},0))"),0.01)</f>
        <v>0.01</v>
      </c>
      <c r="Q650" s="14">
        <f>IFERROR(__xludf.DUMMYFUNCTION("""COMPUTED_VALUE"""),0.003)</f>
        <v>0.003</v>
      </c>
      <c r="R650" s="14">
        <f>IFERROR(__xludf.DUMMYFUNCTION("""COMPUTED_VALUE"""),81.0)</f>
        <v>81</v>
      </c>
      <c r="S650" s="14">
        <f>IFERROR(__xludf.DUMMYFUNCTION("""COMPUTED_VALUE"""),75.0)</f>
        <v>75</v>
      </c>
      <c r="T650" s="14">
        <f>IFERROR(__xludf.DUMMYFUNCTION("""COMPUTED_VALUE"""),0.143)</f>
        <v>0.143</v>
      </c>
      <c r="U650" s="14">
        <f>IFERROR(__xludf.DUMMYFUNCTION("""COMPUTED_VALUE"""),0.699)</f>
        <v>0.699</v>
      </c>
      <c r="V650" s="14">
        <f>IFERROR(__xludf.DUMMYFUNCTION("""COMPUTED_VALUE"""),0.158)</f>
        <v>0.158</v>
      </c>
      <c r="W650" s="14">
        <f>IFERROR(__xludf.DUMMYFUNCTION("""COMPUTED_VALUE"""),1.0496088E7)</f>
        <v>10496088</v>
      </c>
      <c r="X650" s="14">
        <f>IFERROR(__xludf.DUMMYFUNCTION("""COMPUTED_VALUE"""),0.732)</f>
        <v>0.732</v>
      </c>
      <c r="Y650" s="14" t="str">
        <f>IFERROR(__xludf.DUMMYFUNCTION("""COMPUTED_VALUE"""),"Czech Republic-Europe")</f>
        <v>Czech Republic-Europe</v>
      </c>
      <c r="Z650" s="14" t="str">
        <f>IFERROR(__xludf.DUMMYFUNCTION("""COMPUTED_VALUE"""),"Europe")</f>
        <v>Europe</v>
      </c>
      <c r="AA650" s="14" t="str">
        <f>IFERROR(__xludf.DUMMYFUNCTION("""COMPUTED_VALUE"""),"2011")</f>
        <v>2011</v>
      </c>
      <c r="AB650" s="15" t="str">
        <f>IFERROR(__xludf.DUMMYFUNCTION("ARRAYFORMULA(VLOOKUP(A650,IMPORTRANGE(""https://docs.google.com/spreadsheets/d/1BuTWp7qHGjWhqrnf-OmePP568O4A5Am9ttzvVdP67zw/edit#gid=1931367683"" ,""ENERGY!$A$2:$F$2692""), {2,3,4,5,6},0))"),"Europe")</f>
        <v>Europe</v>
      </c>
      <c r="AC650" s="14" t="str">
        <f>IFERROR(__xludf.DUMMYFUNCTION("""COMPUTED_VALUE"""),"Czech Republic-Europe")</f>
        <v>Czech Republic-Europe</v>
      </c>
      <c r="AD650" s="14" t="str">
        <f>IFERROR(__xludf.DUMMYFUNCTION("""COMPUTED_VALUE"""),"2004")</f>
        <v>2004</v>
      </c>
      <c r="AE650" s="14">
        <f>IFERROR(__xludf.DUMMYFUNCTION("""COMPUTED_VALUE"""),42078.0)</f>
        <v>42078</v>
      </c>
      <c r="AF650" s="14">
        <f>IFERROR(__xludf.DUMMYFUNCTION("""COMPUTED_VALUE"""),124407.0)</f>
        <v>124407</v>
      </c>
    </row>
    <row r="651">
      <c r="A651" s="12">
        <v>650.0</v>
      </c>
      <c r="B651" s="12" t="s">
        <v>128</v>
      </c>
      <c r="C651" s="5" t="s">
        <v>75</v>
      </c>
      <c r="D651" s="11">
        <v>0.481</v>
      </c>
      <c r="E651" s="11">
        <v>20.0</v>
      </c>
      <c r="F651" s="11">
        <v>68.0</v>
      </c>
      <c r="G651" s="11">
        <v>413.0</v>
      </c>
      <c r="H651" s="11">
        <v>0.734</v>
      </c>
      <c r="I651" s="11">
        <v>1.268</v>
      </c>
      <c r="J651" s="9" t="s">
        <v>73</v>
      </c>
      <c r="K651" s="14" t="str">
        <f>IFERROR(__xludf.DUMMYFUNCTION("ARRAYFORMULA(VLOOKUP(A651,IMPORTRANGE(""https://docs.google.com/spreadsheets/d/1BuTWp7qHGjWhqrnf-OmePP568O4A5Am9ttzvVdP67zw/edit#gid=1603210130"", ""TOURISM!$A$2:$F$2692""), {2,3,4,5,6},0))"),"Europe")</f>
        <v>Europe</v>
      </c>
      <c r="L651" s="14">
        <f>IFERROR(__xludf.DUMMYFUNCTION("""COMPUTED_VALUE"""),7.758E9)</f>
        <v>7758000000</v>
      </c>
      <c r="M651" s="14" t="str">
        <f>IFERROR(__xludf.DUMMYFUNCTION("""COMPUTED_VALUE"""),"Czech Republic-Europe")</f>
        <v>Czech Republic-Europe</v>
      </c>
      <c r="N651" s="14" t="str">
        <f>IFERROR(__xludf.DUMMYFUNCTION("""COMPUTED_VALUE"""),"2012")</f>
        <v>2012</v>
      </c>
      <c r="O651" s="14">
        <f>IFERROR(__xludf.DUMMYFUNCTION("""COMPUTED_VALUE"""),4.379E9)</f>
        <v>4379000000</v>
      </c>
      <c r="P651" s="15">
        <f>IFERROR(__xludf.DUMMYFUNCTION("ARRAYFORMULA(VLOOKUP(A651,IMPORTRANGE(""https://docs.google.com/spreadsheets/d/1BuTWp7qHGjWhqrnf-OmePP568O4A5Am9ttzvVdP67zw/edit#gid=771602874"" ,""HUMAN RESOURCES!$A$2:$M$2692""), {2,3,4,5,6,7,8,9,10,11,12,13},0))"),0.01)</f>
        <v>0.01</v>
      </c>
      <c r="Q651" s="14">
        <f>IFERROR(__xludf.DUMMYFUNCTION("""COMPUTED_VALUE"""),0.003)</f>
        <v>0.003</v>
      </c>
      <c r="R651" s="14">
        <f>IFERROR(__xludf.DUMMYFUNCTION("""COMPUTED_VALUE"""),81.0)</f>
        <v>81</v>
      </c>
      <c r="S651" s="14">
        <f>IFERROR(__xludf.DUMMYFUNCTION("""COMPUTED_VALUE"""),75.0)</f>
        <v>75</v>
      </c>
      <c r="T651" s="14">
        <f>IFERROR(__xludf.DUMMYFUNCTION("""COMPUTED_VALUE"""),0.146)</f>
        <v>0.146</v>
      </c>
      <c r="U651" s="14">
        <f>IFERROR(__xludf.DUMMYFUNCTION("""COMPUTED_VALUE"""),0.692)</f>
        <v>0.692</v>
      </c>
      <c r="V651" s="14">
        <f>IFERROR(__xludf.DUMMYFUNCTION("""COMPUTED_VALUE"""),0.162)</f>
        <v>0.162</v>
      </c>
      <c r="W651" s="14">
        <f>IFERROR(__xludf.DUMMYFUNCTION("""COMPUTED_VALUE"""),1.0510785E7)</f>
        <v>10510785</v>
      </c>
      <c r="X651" s="14">
        <f>IFERROR(__xludf.DUMMYFUNCTION("""COMPUTED_VALUE"""),0.731)</f>
        <v>0.731</v>
      </c>
      <c r="Y651" s="14" t="str">
        <f>IFERROR(__xludf.DUMMYFUNCTION("""COMPUTED_VALUE"""),"Czech Republic-Europe")</f>
        <v>Czech Republic-Europe</v>
      </c>
      <c r="Z651" s="14" t="str">
        <f>IFERROR(__xludf.DUMMYFUNCTION("""COMPUTED_VALUE"""),"Europe")</f>
        <v>Europe</v>
      </c>
      <c r="AA651" s="14" t="str">
        <f>IFERROR(__xludf.DUMMYFUNCTION("""COMPUTED_VALUE"""),"2012")</f>
        <v>2012</v>
      </c>
      <c r="AB651" s="15" t="str">
        <f>IFERROR(__xludf.DUMMYFUNCTION("ARRAYFORMULA(VLOOKUP(A651,IMPORTRANGE(""https://docs.google.com/spreadsheets/d/1BuTWp7qHGjWhqrnf-OmePP568O4A5Am9ttzvVdP67zw/edit#gid=1931367683"" ,""ENERGY!$A$2:$F$2692""), {2,3,4,5,6},0))"),"Europe")</f>
        <v>Europe</v>
      </c>
      <c r="AC651" s="14" t="str">
        <f>IFERROR(__xludf.DUMMYFUNCTION("""COMPUTED_VALUE"""),"Czech Republic-Europe")</f>
        <v>Czech Republic-Europe</v>
      </c>
      <c r="AD651" s="14" t="str">
        <f>IFERROR(__xludf.DUMMYFUNCTION("""COMPUTED_VALUE"""),"2009")</f>
        <v>2009</v>
      </c>
      <c r="AE651" s="14">
        <f>IFERROR(__xludf.DUMMYFUNCTION("""COMPUTED_VALUE"""),40993.0)</f>
        <v>40993</v>
      </c>
      <c r="AF651" s="14">
        <f>IFERROR(__xludf.DUMMYFUNCTION("""COMPUTED_VALUE"""),124649.0)</f>
        <v>124649</v>
      </c>
    </row>
    <row r="652">
      <c r="A652" s="12">
        <v>651.0</v>
      </c>
      <c r="B652" s="12" t="s">
        <v>129</v>
      </c>
      <c r="C652" s="5" t="s">
        <v>75</v>
      </c>
      <c r="D652" s="8"/>
      <c r="E652" s="8"/>
      <c r="F652" s="8"/>
      <c r="G652" s="8"/>
      <c r="H652" s="11">
        <v>0.392</v>
      </c>
      <c r="I652" s="11">
        <v>0.63</v>
      </c>
      <c r="J652" s="9" t="s">
        <v>60</v>
      </c>
      <c r="K652" s="14" t="str">
        <f>IFERROR(__xludf.DUMMYFUNCTION("ARRAYFORMULA(VLOOKUP(A652,IMPORTRANGE(""https://docs.google.com/spreadsheets/d/1BuTWp7qHGjWhqrnf-OmePP568O4A5Am9ttzvVdP67zw/edit#gid=1603210130"", ""TOURISM!$A$2:$F$2692""), {2,3,4,5,6},0))"),"Europe")</f>
        <v>Europe</v>
      </c>
      <c r="L652" s="14">
        <f>IFERROR(__xludf.DUMMYFUNCTION("""COMPUTED_VALUE"""),3.671E9)</f>
        <v>3671000000</v>
      </c>
      <c r="M652" s="14" t="str">
        <f>IFERROR(__xludf.DUMMYFUNCTION("""COMPUTED_VALUE"""),"Denmark-Europe")</f>
        <v>Denmark-Europe</v>
      </c>
      <c r="N652" s="14" t="str">
        <f>IFERROR(__xludf.DUMMYFUNCTION("""COMPUTED_VALUE"""),"2000")</f>
        <v>2000</v>
      </c>
      <c r="O652" s="14">
        <f>IFERROR(__xludf.DUMMYFUNCTION("""COMPUTED_VALUE"""),4.669E9)</f>
        <v>4669000000</v>
      </c>
      <c r="P652" s="15">
        <f>IFERROR(__xludf.DUMMYFUNCTION("ARRAYFORMULA(VLOOKUP(A652,IMPORTRANGE(""https://docs.google.com/spreadsheets/d/1BuTWp7qHGjWhqrnf-OmePP568O4A5Am9ttzvVdP67zw/edit#gid=771602874"" ,""HUMAN RESOURCES!$A$2:$M$2692""), {2,3,4,5,6,7,8,9,10,11,12,13},0))"),0.013)</f>
        <v>0.013</v>
      </c>
      <c r="Q652" s="14">
        <f>IFERROR(__xludf.DUMMYFUNCTION("""COMPUTED_VALUE"""),0.005)</f>
        <v>0.005</v>
      </c>
      <c r="R652" s="14">
        <f>IFERROR(__xludf.DUMMYFUNCTION("""COMPUTED_VALUE"""),79.0)</f>
        <v>79</v>
      </c>
      <c r="S652" s="14">
        <f>IFERROR(__xludf.DUMMYFUNCTION("""COMPUTED_VALUE"""),74.0)</f>
        <v>74</v>
      </c>
      <c r="T652" s="14">
        <f>IFERROR(__xludf.DUMMYFUNCTION("""COMPUTED_VALUE"""),0.185)</f>
        <v>0.185</v>
      </c>
      <c r="U652" s="14">
        <f>IFERROR(__xludf.DUMMYFUNCTION("""COMPUTED_VALUE"""),0.667)</f>
        <v>0.667</v>
      </c>
      <c r="V652" s="14">
        <f>IFERROR(__xludf.DUMMYFUNCTION("""COMPUTED_VALUE"""),0.149)</f>
        <v>0.149</v>
      </c>
      <c r="W652" s="14">
        <f>IFERROR(__xludf.DUMMYFUNCTION("""COMPUTED_VALUE"""),5339616.0)</f>
        <v>5339616</v>
      </c>
      <c r="X652" s="14">
        <f>IFERROR(__xludf.DUMMYFUNCTION("""COMPUTED_VALUE"""),0.851)</f>
        <v>0.851</v>
      </c>
      <c r="Y652" s="14" t="str">
        <f>IFERROR(__xludf.DUMMYFUNCTION("""COMPUTED_VALUE"""),"Denmark-Europe")</f>
        <v>Denmark-Europe</v>
      </c>
      <c r="Z652" s="14" t="str">
        <f>IFERROR(__xludf.DUMMYFUNCTION("""COMPUTED_VALUE"""),"Europe")</f>
        <v>Europe</v>
      </c>
      <c r="AA652" s="14" t="str">
        <f>IFERROR(__xludf.DUMMYFUNCTION("""COMPUTED_VALUE"""),"2000")</f>
        <v>2000</v>
      </c>
      <c r="AB652" s="15" t="str">
        <f>IFERROR(__xludf.DUMMYFUNCTION("ARRAYFORMULA(VLOOKUP(A652,IMPORTRANGE(""https://docs.google.com/spreadsheets/d/1BuTWp7qHGjWhqrnf-OmePP568O4A5Am9ttzvVdP67zw/edit#gid=1931367683"" ,""ENERGY!$A$2:$F$2692""), {2,3,4,5,6},0))"),"Europe")</f>
        <v>Europe</v>
      </c>
      <c r="AC652" s="14" t="str">
        <f>IFERROR(__xludf.DUMMYFUNCTION("""COMPUTED_VALUE"""),"Denmark-Europe")</f>
        <v>Denmark-Europe</v>
      </c>
      <c r="AD652" s="14" t="str">
        <f>IFERROR(__xludf.DUMMYFUNCTION("""COMPUTED_VALUE"""),"2000")</f>
        <v>2000</v>
      </c>
      <c r="AE652" s="14">
        <f>IFERROR(__xludf.DUMMYFUNCTION("""COMPUTED_VALUE"""),17041.0)</f>
        <v>17041</v>
      </c>
      <c r="AF652" s="14"/>
    </row>
    <row r="653">
      <c r="A653" s="12">
        <v>652.0</v>
      </c>
      <c r="B653" s="12" t="s">
        <v>129</v>
      </c>
      <c r="C653" s="5" t="s">
        <v>75</v>
      </c>
      <c r="D653" s="8"/>
      <c r="E653" s="8"/>
      <c r="F653" s="8"/>
      <c r="G653" s="8"/>
      <c r="H653" s="11">
        <v>0.43</v>
      </c>
      <c r="I653" s="11">
        <v>0.74</v>
      </c>
      <c r="J653" s="9" t="s">
        <v>62</v>
      </c>
      <c r="K653" s="14" t="str">
        <f>IFERROR(__xludf.DUMMYFUNCTION("ARRAYFORMULA(VLOOKUP(A653,IMPORTRANGE(""https://docs.google.com/spreadsheets/d/1BuTWp7qHGjWhqrnf-OmePP568O4A5Am9ttzvVdP67zw/edit#gid=1603210130"", ""TOURISM!$A$2:$F$2692""), {2,3,4,5,6},0))"),"Europe")</f>
        <v>Europe</v>
      </c>
      <c r="L653" s="14">
        <f>IFERROR(__xludf.DUMMYFUNCTION("""COMPUTED_VALUE"""),4.003E9)</f>
        <v>4003000000</v>
      </c>
      <c r="M653" s="14" t="str">
        <f>IFERROR(__xludf.DUMMYFUNCTION("""COMPUTED_VALUE"""),"Denmark-Europe")</f>
        <v>Denmark-Europe</v>
      </c>
      <c r="N653" s="14" t="str">
        <f>IFERROR(__xludf.DUMMYFUNCTION("""COMPUTED_VALUE"""),"2001")</f>
        <v>2001</v>
      </c>
      <c r="O653" s="14">
        <f>IFERROR(__xludf.DUMMYFUNCTION("""COMPUTED_VALUE"""),4.861E9)</f>
        <v>4861000000</v>
      </c>
      <c r="P653" s="15">
        <f>IFERROR(__xludf.DUMMYFUNCTION("ARRAYFORMULA(VLOOKUP(A653,IMPORTRANGE(""https://docs.google.com/spreadsheets/d/1BuTWp7qHGjWhqrnf-OmePP568O4A5Am9ttzvVdP67zw/edit#gid=771602874"" ,""HUMAN RESOURCES!$A$2:$M$2692""), {2,3,4,5,6,7,8,9,10,11,12,13},0))"),0.012)</f>
        <v>0.012</v>
      </c>
      <c r="Q653" s="14">
        <f>IFERROR(__xludf.DUMMYFUNCTION("""COMPUTED_VALUE"""),0.005)</f>
        <v>0.005</v>
      </c>
      <c r="R653" s="14">
        <f>IFERROR(__xludf.DUMMYFUNCTION("""COMPUTED_VALUE"""),79.0)</f>
        <v>79</v>
      </c>
      <c r="S653" s="14">
        <f>IFERROR(__xludf.DUMMYFUNCTION("""COMPUTED_VALUE"""),75.0)</f>
        <v>75</v>
      </c>
      <c r="T653" s="14">
        <f>IFERROR(__xludf.DUMMYFUNCTION("""COMPUTED_VALUE"""),0.186)</f>
        <v>0.186</v>
      </c>
      <c r="U653" s="14">
        <f>IFERROR(__xludf.DUMMYFUNCTION("""COMPUTED_VALUE"""),0.665)</f>
        <v>0.665</v>
      </c>
      <c r="V653" s="14">
        <f>IFERROR(__xludf.DUMMYFUNCTION("""COMPUTED_VALUE"""),0.148)</f>
        <v>0.148</v>
      </c>
      <c r="W653" s="14">
        <f>IFERROR(__xludf.DUMMYFUNCTION("""COMPUTED_VALUE"""),5358783.0)</f>
        <v>5358783</v>
      </c>
      <c r="X653" s="14">
        <f>IFERROR(__xludf.DUMMYFUNCTION("""COMPUTED_VALUE"""),0.852)</f>
        <v>0.852</v>
      </c>
      <c r="Y653" s="14" t="str">
        <f>IFERROR(__xludf.DUMMYFUNCTION("""COMPUTED_VALUE"""),"Denmark-Europe")</f>
        <v>Denmark-Europe</v>
      </c>
      <c r="Z653" s="14" t="str">
        <f>IFERROR(__xludf.DUMMYFUNCTION("""COMPUTED_VALUE"""),"Europe")</f>
        <v>Europe</v>
      </c>
      <c r="AA653" s="14" t="str">
        <f>IFERROR(__xludf.DUMMYFUNCTION("""COMPUTED_VALUE"""),"2001")</f>
        <v>2001</v>
      </c>
      <c r="AB653" s="15" t="str">
        <f>IFERROR(__xludf.DUMMYFUNCTION("ARRAYFORMULA(VLOOKUP(A653,IMPORTRANGE(""https://docs.google.com/spreadsheets/d/1BuTWp7qHGjWhqrnf-OmePP568O4A5Am9ttzvVdP67zw/edit#gid=1931367683"" ,""ENERGY!$A$2:$F$2692""), {2,3,4,5,6},0))"),"Europe")</f>
        <v>Europe</v>
      </c>
      <c r="AC653" s="14" t="str">
        <f>IFERROR(__xludf.DUMMYFUNCTION("""COMPUTED_VALUE"""),"Denmark-Europe")</f>
        <v>Denmark-Europe</v>
      </c>
      <c r="AD653" s="14" t="str">
        <f>IFERROR(__xludf.DUMMYFUNCTION("""COMPUTED_VALUE"""),"2001")</f>
        <v>2001</v>
      </c>
      <c r="AE653" s="14">
        <f>IFERROR(__xludf.DUMMYFUNCTION("""COMPUTED_VALUE"""),17997.0)</f>
        <v>17997</v>
      </c>
      <c r="AF653" s="14"/>
    </row>
    <row r="654">
      <c r="A654" s="12">
        <v>653.0</v>
      </c>
      <c r="B654" s="12" t="s">
        <v>129</v>
      </c>
      <c r="C654" s="5" t="s">
        <v>75</v>
      </c>
      <c r="D654" s="8"/>
      <c r="E654" s="8"/>
      <c r="F654" s="8"/>
      <c r="G654" s="8"/>
      <c r="H654" s="11">
        <v>0.643</v>
      </c>
      <c r="I654" s="11">
        <v>0.834</v>
      </c>
      <c r="J654" s="9" t="s">
        <v>63</v>
      </c>
      <c r="K654" s="14" t="str">
        <f>IFERROR(__xludf.DUMMYFUNCTION("ARRAYFORMULA(VLOOKUP(A654,IMPORTRANGE(""https://docs.google.com/spreadsheets/d/1BuTWp7qHGjWhqrnf-OmePP568O4A5Am9ttzvVdP67zw/edit#gid=1603210130"", ""TOURISM!$A$2:$F$2692""), {2,3,4,5,6},0))"),"Europe")</f>
        <v>Europe</v>
      </c>
      <c r="L654" s="14">
        <f>IFERROR(__xludf.DUMMYFUNCTION("""COMPUTED_VALUE"""),4.791E9)</f>
        <v>4791000000</v>
      </c>
      <c r="M654" s="14" t="str">
        <f>IFERROR(__xludf.DUMMYFUNCTION("""COMPUTED_VALUE"""),"Denmark-Europe")</f>
        <v>Denmark-Europe</v>
      </c>
      <c r="N654" s="14" t="str">
        <f>IFERROR(__xludf.DUMMYFUNCTION("""COMPUTED_VALUE"""),"2002")</f>
        <v>2002</v>
      </c>
      <c r="O654" s="14">
        <f>IFERROR(__xludf.DUMMYFUNCTION("""COMPUTED_VALUE"""),5.838E9)</f>
        <v>5838000000</v>
      </c>
      <c r="P654" s="15">
        <f>IFERROR(__xludf.DUMMYFUNCTION("ARRAYFORMULA(VLOOKUP(A654,IMPORTRANGE(""https://docs.google.com/spreadsheets/d/1BuTWp7qHGjWhqrnf-OmePP568O4A5Am9ttzvVdP67zw/edit#gid=771602874"" ,""HUMAN RESOURCES!$A$2:$M$2692""), {2,3,4,5,6,7,8,9,10,11,12,13},0))"),0.012)</f>
        <v>0.012</v>
      </c>
      <c r="Q654" s="14">
        <f>IFERROR(__xludf.DUMMYFUNCTION("""COMPUTED_VALUE"""),0.004)</f>
        <v>0.004</v>
      </c>
      <c r="R654" s="14">
        <f>IFERROR(__xludf.DUMMYFUNCTION("""COMPUTED_VALUE"""),79.0)</f>
        <v>79</v>
      </c>
      <c r="S654" s="14">
        <f>IFERROR(__xludf.DUMMYFUNCTION("""COMPUTED_VALUE"""),75.0)</f>
        <v>75</v>
      </c>
      <c r="T654" s="14">
        <f>IFERROR(__xludf.DUMMYFUNCTION("""COMPUTED_VALUE"""),0.187)</f>
        <v>0.187</v>
      </c>
      <c r="U654" s="14">
        <f>IFERROR(__xludf.DUMMYFUNCTION("""COMPUTED_VALUE"""),0.664)</f>
        <v>0.664</v>
      </c>
      <c r="V654" s="14">
        <f>IFERROR(__xludf.DUMMYFUNCTION("""COMPUTED_VALUE"""),0.149)</f>
        <v>0.149</v>
      </c>
      <c r="W654" s="14">
        <f>IFERROR(__xludf.DUMMYFUNCTION("""COMPUTED_VALUE"""),5375931.0)</f>
        <v>5375931</v>
      </c>
      <c r="X654" s="14">
        <f>IFERROR(__xludf.DUMMYFUNCTION("""COMPUTED_VALUE"""),0.853)</f>
        <v>0.853</v>
      </c>
      <c r="Y654" s="14" t="str">
        <f>IFERROR(__xludf.DUMMYFUNCTION("""COMPUTED_VALUE"""),"Denmark-Europe")</f>
        <v>Denmark-Europe</v>
      </c>
      <c r="Z654" s="14" t="str">
        <f>IFERROR(__xludf.DUMMYFUNCTION("""COMPUTED_VALUE"""),"Europe")</f>
        <v>Europe</v>
      </c>
      <c r="AA654" s="14" t="str">
        <f>IFERROR(__xludf.DUMMYFUNCTION("""COMPUTED_VALUE"""),"2002")</f>
        <v>2002</v>
      </c>
      <c r="AB654" s="15" t="str">
        <f>IFERROR(__xludf.DUMMYFUNCTION("ARRAYFORMULA(VLOOKUP(A654,IMPORTRANGE(""https://docs.google.com/spreadsheets/d/1BuTWp7qHGjWhqrnf-OmePP568O4A5Am9ttzvVdP67zw/edit#gid=1931367683"" ,""ENERGY!$A$2:$F$2692""), {2,3,4,5,6},0))"),"Europe")</f>
        <v>Europe</v>
      </c>
      <c r="AC654" s="14" t="str">
        <f>IFERROR(__xludf.DUMMYFUNCTION("""COMPUTED_VALUE"""),"Denmark-Europe")</f>
        <v>Denmark-Europe</v>
      </c>
      <c r="AD654" s="14" t="str">
        <f>IFERROR(__xludf.DUMMYFUNCTION("""COMPUTED_VALUE"""),"2002")</f>
        <v>2002</v>
      </c>
      <c r="AE654" s="14">
        <f>IFERROR(__xludf.DUMMYFUNCTION("""COMPUTED_VALUE"""),19307.0)</f>
        <v>19307</v>
      </c>
      <c r="AF654" s="14">
        <f>IFERROR(__xludf.DUMMYFUNCTION("""COMPUTED_VALUE"""),46303.0)</f>
        <v>46303</v>
      </c>
    </row>
    <row r="655">
      <c r="A655" s="12">
        <v>654.0</v>
      </c>
      <c r="B655" s="12" t="s">
        <v>129</v>
      </c>
      <c r="C655" s="5" t="s">
        <v>75</v>
      </c>
      <c r="D655" s="8"/>
      <c r="E655" s="11">
        <v>7.0</v>
      </c>
      <c r="F655" s="8"/>
      <c r="G655" s="8"/>
      <c r="H655" s="11">
        <v>0.763</v>
      </c>
      <c r="I655" s="11">
        <v>0.886</v>
      </c>
      <c r="J655" s="9" t="s">
        <v>64</v>
      </c>
      <c r="K655" s="14" t="str">
        <f>IFERROR(__xludf.DUMMYFUNCTION("ARRAYFORMULA(VLOOKUP(A655,IMPORTRANGE(""https://docs.google.com/spreadsheets/d/1BuTWp7qHGjWhqrnf-OmePP568O4A5Am9ttzvVdP67zw/edit#gid=1603210130"", ""TOURISM!$A$2:$F$2692""), {2,3,4,5,6},0))"),"Europe")</f>
        <v>Europe</v>
      </c>
      <c r="L655" s="14">
        <f>IFERROR(__xludf.DUMMYFUNCTION("""COMPUTED_VALUE"""),5.271E9)</f>
        <v>5271000000</v>
      </c>
      <c r="M655" s="14" t="str">
        <f>IFERROR(__xludf.DUMMYFUNCTION("""COMPUTED_VALUE"""),"Denmark-Europe")</f>
        <v>Denmark-Europe</v>
      </c>
      <c r="N655" s="14" t="str">
        <f>IFERROR(__xludf.DUMMYFUNCTION("""COMPUTED_VALUE"""),"2003")</f>
        <v>2003</v>
      </c>
      <c r="O655" s="14">
        <f>IFERROR(__xludf.DUMMYFUNCTION("""COMPUTED_VALUE"""),6.659E9)</f>
        <v>6659000000</v>
      </c>
      <c r="P655" s="15">
        <f>IFERROR(__xludf.DUMMYFUNCTION("ARRAYFORMULA(VLOOKUP(A655,IMPORTRANGE(""https://docs.google.com/spreadsheets/d/1BuTWp7qHGjWhqrnf-OmePP568O4A5Am9ttzvVdP67zw/edit#gid=771602874"" ,""HUMAN RESOURCES!$A$2:$M$2692""), {2,3,4,5,6,7,8,9,10,11,12,13},0))"),0.012)</f>
        <v>0.012</v>
      </c>
      <c r="Q655" s="14">
        <f>IFERROR(__xludf.DUMMYFUNCTION("""COMPUTED_VALUE"""),0.004)</f>
        <v>0.004</v>
      </c>
      <c r="R655" s="14">
        <f>IFERROR(__xludf.DUMMYFUNCTION("""COMPUTED_VALUE"""),80.0)</f>
        <v>80</v>
      </c>
      <c r="S655" s="14">
        <f>IFERROR(__xludf.DUMMYFUNCTION("""COMPUTED_VALUE"""),75.0)</f>
        <v>75</v>
      </c>
      <c r="T655" s="14">
        <f>IFERROR(__xludf.DUMMYFUNCTION("""COMPUTED_VALUE"""),0.188)</f>
        <v>0.188</v>
      </c>
      <c r="U655" s="14">
        <f>IFERROR(__xludf.DUMMYFUNCTION("""COMPUTED_VALUE"""),0.663)</f>
        <v>0.663</v>
      </c>
      <c r="V655" s="14">
        <f>IFERROR(__xludf.DUMMYFUNCTION("""COMPUTED_VALUE"""),0.149)</f>
        <v>0.149</v>
      </c>
      <c r="W655" s="14">
        <f>IFERROR(__xludf.DUMMYFUNCTION("""COMPUTED_VALUE"""),5390574.0)</f>
        <v>5390574</v>
      </c>
      <c r="X655" s="14">
        <f>IFERROR(__xludf.DUMMYFUNCTION("""COMPUTED_VALUE"""),0.854)</f>
        <v>0.854</v>
      </c>
      <c r="Y655" s="14" t="str">
        <f>IFERROR(__xludf.DUMMYFUNCTION("""COMPUTED_VALUE"""),"Denmark-Europe")</f>
        <v>Denmark-Europe</v>
      </c>
      <c r="Z655" s="14" t="str">
        <f>IFERROR(__xludf.DUMMYFUNCTION("""COMPUTED_VALUE"""),"Europe")</f>
        <v>Europe</v>
      </c>
      <c r="AA655" s="14" t="str">
        <f>IFERROR(__xludf.DUMMYFUNCTION("""COMPUTED_VALUE"""),"2003")</f>
        <v>2003</v>
      </c>
      <c r="AB655" s="15" t="str">
        <f>IFERROR(__xludf.DUMMYFUNCTION("ARRAYFORMULA(VLOOKUP(A655,IMPORTRANGE(""https://docs.google.com/spreadsheets/d/1BuTWp7qHGjWhqrnf-OmePP568O4A5Am9ttzvVdP67zw/edit#gid=1931367683"" ,""ENERGY!$A$2:$F$2692""), {2,3,4,5,6},0))"),"Europe")</f>
        <v>Europe</v>
      </c>
      <c r="AC655" s="14" t="str">
        <f>IFERROR(__xludf.DUMMYFUNCTION("""COMPUTED_VALUE"""),"Denmark-Europe")</f>
        <v>Denmark-Europe</v>
      </c>
      <c r="AD655" s="14" t="str">
        <f>IFERROR(__xludf.DUMMYFUNCTION("""COMPUTED_VALUE"""),"2003")</f>
        <v>2003</v>
      </c>
      <c r="AE655" s="14">
        <f>IFERROR(__xludf.DUMMYFUNCTION("""COMPUTED_VALUE"""),18358.0)</f>
        <v>18358</v>
      </c>
      <c r="AF655" s="14">
        <f>IFERROR(__xludf.DUMMYFUNCTION("""COMPUTED_VALUE"""),44503.0)</f>
        <v>44503</v>
      </c>
    </row>
    <row r="656">
      <c r="A656" s="12">
        <v>655.0</v>
      </c>
      <c r="B656" s="12" t="s">
        <v>129</v>
      </c>
      <c r="C656" s="5" t="s">
        <v>75</v>
      </c>
      <c r="D656" s="8"/>
      <c r="E656" s="11">
        <v>7.0</v>
      </c>
      <c r="F656" s="8"/>
      <c r="G656" s="8"/>
      <c r="H656" s="11">
        <v>0.809</v>
      </c>
      <c r="I656" s="11">
        <v>0.957</v>
      </c>
      <c r="J656" s="9" t="s">
        <v>65</v>
      </c>
      <c r="K656" s="14" t="str">
        <f>IFERROR(__xludf.DUMMYFUNCTION("ARRAYFORMULA(VLOOKUP(A656,IMPORTRANGE(""https://docs.google.com/spreadsheets/d/1BuTWp7qHGjWhqrnf-OmePP568O4A5Am9ttzvVdP67zw/edit#gid=1603210130"", ""TOURISM!$A$2:$F$2692""), {2,3,4,5,6},0))"),"Europe")</f>
        <v>Europe</v>
      </c>
      <c r="L656" s="14">
        <f>IFERROR(__xludf.DUMMYFUNCTION("""COMPUTED_VALUE"""),5.652E9)</f>
        <v>5652000000</v>
      </c>
      <c r="M656" s="14" t="str">
        <f>IFERROR(__xludf.DUMMYFUNCTION("""COMPUTED_VALUE"""),"Denmark-Europe")</f>
        <v>Denmark-Europe</v>
      </c>
      <c r="N656" s="14" t="str">
        <f>IFERROR(__xludf.DUMMYFUNCTION("""COMPUTED_VALUE"""),"2004")</f>
        <v>2004</v>
      </c>
      <c r="O656" s="14">
        <f>IFERROR(__xludf.DUMMYFUNCTION("""COMPUTED_VALUE"""),7.279E9)</f>
        <v>7279000000</v>
      </c>
      <c r="P656" s="15">
        <f>IFERROR(__xludf.DUMMYFUNCTION("ARRAYFORMULA(VLOOKUP(A656,IMPORTRANGE(""https://docs.google.com/spreadsheets/d/1BuTWp7qHGjWhqrnf-OmePP568O4A5Am9ttzvVdP67zw/edit#gid=771602874"" ,""HUMAN RESOURCES!$A$2:$M$2692""), {2,3,4,5,6,7,8,9,10,11,12,13},0))"),0.012)</f>
        <v>0.012</v>
      </c>
      <c r="Q656" s="14">
        <f>IFERROR(__xludf.DUMMYFUNCTION("""COMPUTED_VALUE"""),0.004)</f>
        <v>0.004</v>
      </c>
      <c r="R656" s="14">
        <f>IFERROR(__xludf.DUMMYFUNCTION("""COMPUTED_VALUE"""),80.0)</f>
        <v>80</v>
      </c>
      <c r="S656" s="14">
        <f>IFERROR(__xludf.DUMMYFUNCTION("""COMPUTED_VALUE"""),75.0)</f>
        <v>75</v>
      </c>
      <c r="T656" s="14">
        <f>IFERROR(__xludf.DUMMYFUNCTION("""COMPUTED_VALUE"""),0.188)</f>
        <v>0.188</v>
      </c>
      <c r="U656" s="14">
        <f>IFERROR(__xludf.DUMMYFUNCTION("""COMPUTED_VALUE"""),0.662)</f>
        <v>0.662</v>
      </c>
      <c r="V656" s="14">
        <f>IFERROR(__xludf.DUMMYFUNCTION("""COMPUTED_VALUE"""),0.15)</f>
        <v>0.15</v>
      </c>
      <c r="W656" s="14">
        <f>IFERROR(__xludf.DUMMYFUNCTION("""COMPUTED_VALUE"""),5404523.0)</f>
        <v>5404523</v>
      </c>
      <c r="X656" s="14">
        <f>IFERROR(__xludf.DUMMYFUNCTION("""COMPUTED_VALUE"""),0.856)</f>
        <v>0.856</v>
      </c>
      <c r="Y656" s="14" t="str">
        <f>IFERROR(__xludf.DUMMYFUNCTION("""COMPUTED_VALUE"""),"Denmark-Europe")</f>
        <v>Denmark-Europe</v>
      </c>
      <c r="Z656" s="14" t="str">
        <f>IFERROR(__xludf.DUMMYFUNCTION("""COMPUTED_VALUE"""),"Europe")</f>
        <v>Europe</v>
      </c>
      <c r="AA656" s="14" t="str">
        <f>IFERROR(__xludf.DUMMYFUNCTION("""COMPUTED_VALUE"""),"2004")</f>
        <v>2004</v>
      </c>
      <c r="AB656" s="15" t="str">
        <f>IFERROR(__xludf.DUMMYFUNCTION("ARRAYFORMULA(VLOOKUP(A656,IMPORTRANGE(""https://docs.google.com/spreadsheets/d/1BuTWp7qHGjWhqrnf-OmePP568O4A5Am9ttzvVdP67zw/edit#gid=1931367683"" ,""ENERGY!$A$2:$F$2692""), {2,3,4,5,6},0))"),"Europe")</f>
        <v>Europe</v>
      </c>
      <c r="AC656" s="14" t="str">
        <f>IFERROR(__xludf.DUMMYFUNCTION("""COMPUTED_VALUE"""),"Denmark-Europe")</f>
        <v>Denmark-Europe</v>
      </c>
      <c r="AD656" s="14" t="str">
        <f>IFERROR(__xludf.DUMMYFUNCTION("""COMPUTED_VALUE"""),"2004")</f>
        <v>2004</v>
      </c>
      <c r="AE656" s="14">
        <f>IFERROR(__xludf.DUMMYFUNCTION("""COMPUTED_VALUE"""),19200.0)</f>
        <v>19200</v>
      </c>
      <c r="AF656" s="14">
        <f>IFERROR(__xludf.DUMMYFUNCTION("""COMPUTED_VALUE"""),46960.0)</f>
        <v>46960</v>
      </c>
    </row>
    <row r="657">
      <c r="A657" s="12">
        <v>656.0</v>
      </c>
      <c r="B657" s="12" t="s">
        <v>129</v>
      </c>
      <c r="C657" s="5" t="s">
        <v>75</v>
      </c>
      <c r="D657" s="11">
        <v>0.333</v>
      </c>
      <c r="E657" s="11">
        <v>6.0</v>
      </c>
      <c r="F657" s="8"/>
      <c r="G657" s="11">
        <v>135.0</v>
      </c>
      <c r="H657" s="11">
        <v>0.827</v>
      </c>
      <c r="I657" s="11">
        <v>1.006</v>
      </c>
      <c r="J657" s="9" t="s">
        <v>66</v>
      </c>
      <c r="K657" s="14" t="str">
        <f>IFERROR(__xludf.DUMMYFUNCTION("ARRAYFORMULA(VLOOKUP(A657,IMPORTRANGE(""https://docs.google.com/spreadsheets/d/1BuTWp7qHGjWhqrnf-OmePP568O4A5Am9ttzvVdP67zw/edit#gid=1603210130"", ""TOURISM!$A$2:$F$2692""), {2,3,4,5,6},0))"),"Europe")</f>
        <v>Europe</v>
      </c>
      <c r="L657" s="14">
        <f>IFERROR(__xludf.DUMMYFUNCTION("""COMPUTED_VALUE"""),5.293E9)</f>
        <v>5293000000</v>
      </c>
      <c r="M657" s="14" t="str">
        <f>IFERROR(__xludf.DUMMYFUNCTION("""COMPUTED_VALUE"""),"Denmark-Europe")</f>
        <v>Denmark-Europe</v>
      </c>
      <c r="N657" s="14" t="str">
        <f>IFERROR(__xludf.DUMMYFUNCTION("""COMPUTED_VALUE"""),"2005")</f>
        <v>2005</v>
      </c>
      <c r="O657" s="14">
        <f>IFERROR(__xludf.DUMMYFUNCTION("""COMPUTED_VALUE"""),6.85E9)</f>
        <v>6850000000</v>
      </c>
      <c r="P657" s="15">
        <f>IFERROR(__xludf.DUMMYFUNCTION("ARRAYFORMULA(VLOOKUP(A657,IMPORTRANGE(""https://docs.google.com/spreadsheets/d/1BuTWp7qHGjWhqrnf-OmePP568O4A5Am9ttzvVdP67zw/edit#gid=771602874"" ,""HUMAN RESOURCES!$A$2:$M$2692""), {2,3,4,5,6,7,8,9,10,11,12,13},0))"),0.012)</f>
        <v>0.012</v>
      </c>
      <c r="Q657" s="14">
        <f>IFERROR(__xludf.DUMMYFUNCTION("""COMPUTED_VALUE"""),0.004)</f>
        <v>0.004</v>
      </c>
      <c r="R657" s="14">
        <f>IFERROR(__xludf.DUMMYFUNCTION("""COMPUTED_VALUE"""),80.0)</f>
        <v>80</v>
      </c>
      <c r="S657" s="14">
        <f>IFERROR(__xludf.DUMMYFUNCTION("""COMPUTED_VALUE"""),76.0)</f>
        <v>76</v>
      </c>
      <c r="T657" s="14">
        <f>IFERROR(__xludf.DUMMYFUNCTION("""COMPUTED_VALUE"""),0.187)</f>
        <v>0.187</v>
      </c>
      <c r="U657" s="14">
        <f>IFERROR(__xludf.DUMMYFUNCTION("""COMPUTED_VALUE"""),0.661)</f>
        <v>0.661</v>
      </c>
      <c r="V657" s="14">
        <f>IFERROR(__xludf.DUMMYFUNCTION("""COMPUTED_VALUE"""),0.151)</f>
        <v>0.151</v>
      </c>
      <c r="W657" s="14">
        <f>IFERROR(__xludf.DUMMYFUNCTION("""COMPUTED_VALUE"""),5419432.0)</f>
        <v>5419432</v>
      </c>
      <c r="X657" s="14">
        <f>IFERROR(__xludf.DUMMYFUNCTION("""COMPUTED_VALUE"""),0.859)</f>
        <v>0.859</v>
      </c>
      <c r="Y657" s="14" t="str">
        <f>IFERROR(__xludf.DUMMYFUNCTION("""COMPUTED_VALUE"""),"Denmark-Europe")</f>
        <v>Denmark-Europe</v>
      </c>
      <c r="Z657" s="14" t="str">
        <f>IFERROR(__xludf.DUMMYFUNCTION("""COMPUTED_VALUE"""),"Europe")</f>
        <v>Europe</v>
      </c>
      <c r="AA657" s="14" t="str">
        <f>IFERROR(__xludf.DUMMYFUNCTION("""COMPUTED_VALUE"""),"2005")</f>
        <v>2005</v>
      </c>
      <c r="AB657" s="15" t="str">
        <f>IFERROR(__xludf.DUMMYFUNCTION("ARRAYFORMULA(VLOOKUP(A657,IMPORTRANGE(""https://docs.google.com/spreadsheets/d/1BuTWp7qHGjWhqrnf-OmePP568O4A5Am9ttzvVdP67zw/edit#gid=1931367683"" ,""ENERGY!$A$2:$F$2692""), {2,3,4,5,6},0))"),"Europe")</f>
        <v>Europe</v>
      </c>
      <c r="AC657" s="14" t="str">
        <f>IFERROR(__xludf.DUMMYFUNCTION("""COMPUTED_VALUE"""),"Denmark-Europe")</f>
        <v>Denmark-Europe</v>
      </c>
      <c r="AD657" s="14" t="str">
        <f>IFERROR(__xludf.DUMMYFUNCTION("""COMPUTED_VALUE"""),"2006")</f>
        <v>2006</v>
      </c>
      <c r="AE657" s="14">
        <f>IFERROR(__xludf.DUMMYFUNCTION("""COMPUTED_VALUE"""),19763.0)</f>
        <v>19763</v>
      </c>
      <c r="AF657" s="14">
        <f>IFERROR(__xludf.DUMMYFUNCTION("""COMPUTED_VALUE"""),50253.0)</f>
        <v>50253</v>
      </c>
    </row>
    <row r="658">
      <c r="A658" s="12">
        <v>657.0</v>
      </c>
      <c r="B658" s="12" t="s">
        <v>129</v>
      </c>
      <c r="C658" s="5" t="s">
        <v>75</v>
      </c>
      <c r="D658" s="11">
        <v>0.315</v>
      </c>
      <c r="E658" s="11">
        <v>6.0</v>
      </c>
      <c r="F658" s="8"/>
      <c r="G658" s="11">
        <v>135.0</v>
      </c>
      <c r="H658" s="11">
        <v>0.867</v>
      </c>
      <c r="I658" s="11">
        <v>1.071</v>
      </c>
      <c r="J658" s="9" t="s">
        <v>67</v>
      </c>
      <c r="K658" s="14" t="str">
        <f>IFERROR(__xludf.DUMMYFUNCTION("ARRAYFORMULA(VLOOKUP(A658,IMPORTRANGE(""https://docs.google.com/spreadsheets/d/1BuTWp7qHGjWhqrnf-OmePP568O4A5Am9ttzvVdP67zw/edit#gid=1603210130"", ""TOURISM!$A$2:$F$2692""), {2,3,4,5,6},0))"),"Europe")</f>
        <v>Europe</v>
      </c>
      <c r="L658" s="14">
        <f>IFERROR(__xludf.DUMMYFUNCTION("""COMPUTED_VALUE"""),5.562E9)</f>
        <v>5562000000</v>
      </c>
      <c r="M658" s="14" t="str">
        <f>IFERROR(__xludf.DUMMYFUNCTION("""COMPUTED_VALUE"""),"Denmark-Europe")</f>
        <v>Denmark-Europe</v>
      </c>
      <c r="N658" s="14" t="str">
        <f>IFERROR(__xludf.DUMMYFUNCTION("""COMPUTED_VALUE"""),"2006")</f>
        <v>2006</v>
      </c>
      <c r="O658" s="14">
        <f>IFERROR(__xludf.DUMMYFUNCTION("""COMPUTED_VALUE"""),7.486E9)</f>
        <v>7486000000</v>
      </c>
      <c r="P658" s="15">
        <f>IFERROR(__xludf.DUMMYFUNCTION("ARRAYFORMULA(VLOOKUP(A658,IMPORTRANGE(""https://docs.google.com/spreadsheets/d/1BuTWp7qHGjWhqrnf-OmePP568O4A5Am9ttzvVdP67zw/edit#gid=771602874"" ,""HUMAN RESOURCES!$A$2:$M$2692""), {2,3,4,5,6,7,8,9,10,11,12,13},0))"),0.012)</f>
        <v>0.012</v>
      </c>
      <c r="Q658" s="14">
        <f>IFERROR(__xludf.DUMMYFUNCTION("""COMPUTED_VALUE"""),0.004)</f>
        <v>0.004</v>
      </c>
      <c r="R658" s="14">
        <f>IFERROR(__xludf.DUMMYFUNCTION("""COMPUTED_VALUE"""),80.0)</f>
        <v>80</v>
      </c>
      <c r="S658" s="14">
        <f>IFERROR(__xludf.DUMMYFUNCTION("""COMPUTED_VALUE"""),76.0)</f>
        <v>76</v>
      </c>
      <c r="T658" s="14">
        <f>IFERROR(__xludf.DUMMYFUNCTION("""COMPUTED_VALUE"""),0.186)</f>
        <v>0.186</v>
      </c>
      <c r="U658" s="14">
        <f>IFERROR(__xludf.DUMMYFUNCTION("""COMPUTED_VALUE"""),0.66)</f>
        <v>0.66</v>
      </c>
      <c r="V658" s="14">
        <f>IFERROR(__xludf.DUMMYFUNCTION("""COMPUTED_VALUE"""),0.154)</f>
        <v>0.154</v>
      </c>
      <c r="W658" s="14">
        <f>IFERROR(__xludf.DUMMYFUNCTION("""COMPUTED_VALUE"""),5437272.0)</f>
        <v>5437272</v>
      </c>
      <c r="X658" s="14">
        <f>IFERROR(__xludf.DUMMYFUNCTION("""COMPUTED_VALUE"""),0.861)</f>
        <v>0.861</v>
      </c>
      <c r="Y658" s="14" t="str">
        <f>IFERROR(__xludf.DUMMYFUNCTION("""COMPUTED_VALUE"""),"Denmark-Europe")</f>
        <v>Denmark-Europe</v>
      </c>
      <c r="Z658" s="14" t="str">
        <f>IFERROR(__xludf.DUMMYFUNCTION("""COMPUTED_VALUE"""),"Europe")</f>
        <v>Europe</v>
      </c>
      <c r="AA658" s="14" t="str">
        <f>IFERROR(__xludf.DUMMYFUNCTION("""COMPUTED_VALUE"""),"2006")</f>
        <v>2006</v>
      </c>
      <c r="AB658" s="15" t="str">
        <f>IFERROR(__xludf.DUMMYFUNCTION("ARRAYFORMULA(VLOOKUP(A658,IMPORTRANGE(""https://docs.google.com/spreadsheets/d/1BuTWp7qHGjWhqrnf-OmePP568O4A5Am9ttzvVdP67zw/edit#gid=1931367683"" ,""ENERGY!$A$2:$F$2692""), {2,3,4,5,6},0))"),"Europe")</f>
        <v>Europe</v>
      </c>
      <c r="AC658" s="14" t="str">
        <f>IFERROR(__xludf.DUMMYFUNCTION("""COMPUTED_VALUE"""),"Denmark-Europe")</f>
        <v>Denmark-Europe</v>
      </c>
      <c r="AD658" s="14" t="str">
        <f>IFERROR(__xludf.DUMMYFUNCTION("""COMPUTED_VALUE"""),"2010")</f>
        <v>2010</v>
      </c>
      <c r="AE658" s="14">
        <f>IFERROR(__xludf.DUMMYFUNCTION("""COMPUTED_VALUE"""),20252.0)</f>
        <v>20252</v>
      </c>
      <c r="AF658" s="14">
        <f>IFERROR(__xludf.DUMMYFUNCTION("""COMPUTED_VALUE"""),55005.0)</f>
        <v>55005</v>
      </c>
    </row>
    <row r="659">
      <c r="A659" s="12">
        <v>658.0</v>
      </c>
      <c r="B659" s="12" t="s">
        <v>129</v>
      </c>
      <c r="C659" s="5" t="s">
        <v>75</v>
      </c>
      <c r="D659" s="11">
        <v>0.32</v>
      </c>
      <c r="E659" s="11">
        <v>6.0</v>
      </c>
      <c r="F659" s="8"/>
      <c r="G659" s="11">
        <v>135.0</v>
      </c>
      <c r="H659" s="11">
        <v>0.85</v>
      </c>
      <c r="I659" s="11">
        <v>1.154</v>
      </c>
      <c r="J659" s="9" t="s">
        <v>68</v>
      </c>
      <c r="K659" s="14" t="str">
        <f>IFERROR(__xludf.DUMMYFUNCTION("ARRAYFORMULA(VLOOKUP(A659,IMPORTRANGE(""https://docs.google.com/spreadsheets/d/1BuTWp7qHGjWhqrnf-OmePP568O4A5Am9ttzvVdP67zw/edit#gid=1603210130"", ""TOURISM!$A$2:$F$2692""), {2,3,4,5,6},0))"),"Europe")</f>
        <v>Europe</v>
      </c>
      <c r="L659" s="14">
        <f>IFERROR(__xludf.DUMMYFUNCTION("""COMPUTED_VALUE"""),5.978E9)</f>
        <v>5978000000</v>
      </c>
      <c r="M659" s="14" t="str">
        <f>IFERROR(__xludf.DUMMYFUNCTION("""COMPUTED_VALUE"""),"Denmark-Europe")</f>
        <v>Denmark-Europe</v>
      </c>
      <c r="N659" s="14" t="str">
        <f>IFERROR(__xludf.DUMMYFUNCTION("""COMPUTED_VALUE"""),"2007")</f>
        <v>2007</v>
      </c>
      <c r="O659" s="14">
        <f>IFERROR(__xludf.DUMMYFUNCTION("""COMPUTED_VALUE"""),8.83E9)</f>
        <v>8830000000</v>
      </c>
      <c r="P659" s="15">
        <f>IFERROR(__xludf.DUMMYFUNCTION("ARRAYFORMULA(VLOOKUP(A659,IMPORTRANGE(""https://docs.google.com/spreadsheets/d/1BuTWp7qHGjWhqrnf-OmePP568O4A5Am9ttzvVdP67zw/edit#gid=771602874"" ,""HUMAN RESOURCES!$A$2:$M$2692""), {2,3,4,5,6,7,8,9,10,11,12,13},0))"),0.012)</f>
        <v>0.012</v>
      </c>
      <c r="Q659" s="14">
        <f>IFERROR(__xludf.DUMMYFUNCTION("""COMPUTED_VALUE"""),0.004)</f>
        <v>0.004</v>
      </c>
      <c r="R659" s="14">
        <f>IFERROR(__xludf.DUMMYFUNCTION("""COMPUTED_VALUE"""),81.0)</f>
        <v>81</v>
      </c>
      <c r="S659" s="14">
        <f>IFERROR(__xludf.DUMMYFUNCTION("""COMPUTED_VALUE"""),76.0)</f>
        <v>76</v>
      </c>
      <c r="T659" s="14">
        <f>IFERROR(__xludf.DUMMYFUNCTION("""COMPUTED_VALUE"""),0.185)</f>
        <v>0.185</v>
      </c>
      <c r="U659" s="14">
        <f>IFERROR(__xludf.DUMMYFUNCTION("""COMPUTED_VALUE"""),0.659)</f>
        <v>0.659</v>
      </c>
      <c r="V659" s="14">
        <f>IFERROR(__xludf.DUMMYFUNCTION("""COMPUTED_VALUE"""),0.156)</f>
        <v>0.156</v>
      </c>
      <c r="W659" s="14">
        <f>IFERROR(__xludf.DUMMYFUNCTION("""COMPUTED_VALUE"""),5461438.0)</f>
        <v>5461438</v>
      </c>
      <c r="X659" s="14">
        <f>IFERROR(__xludf.DUMMYFUNCTION("""COMPUTED_VALUE"""),0.863)</f>
        <v>0.863</v>
      </c>
      <c r="Y659" s="14" t="str">
        <f>IFERROR(__xludf.DUMMYFUNCTION("""COMPUTED_VALUE"""),"Denmark-Europe")</f>
        <v>Denmark-Europe</v>
      </c>
      <c r="Z659" s="14" t="str">
        <f>IFERROR(__xludf.DUMMYFUNCTION("""COMPUTED_VALUE"""),"Europe")</f>
        <v>Europe</v>
      </c>
      <c r="AA659" s="14" t="str">
        <f>IFERROR(__xludf.DUMMYFUNCTION("""COMPUTED_VALUE"""),"2007")</f>
        <v>2007</v>
      </c>
      <c r="AB659" s="15" t="str">
        <f>IFERROR(__xludf.DUMMYFUNCTION("ARRAYFORMULA(VLOOKUP(A659,IMPORTRANGE(""https://docs.google.com/spreadsheets/d/1BuTWp7qHGjWhqrnf-OmePP568O4A5Am9ttzvVdP67zw/edit#gid=1931367683"" ,""ENERGY!$A$2:$F$2692""), {2,3,4,5,6},0))"),"Europe")</f>
        <v>Europe</v>
      </c>
      <c r="AC659" s="14" t="str">
        <f>IFERROR(__xludf.DUMMYFUNCTION("""COMPUTED_VALUE"""),"Denmark-Europe")</f>
        <v>Denmark-Europe</v>
      </c>
      <c r="AD659" s="14" t="str">
        <f>IFERROR(__xludf.DUMMYFUNCTION("""COMPUTED_VALUE"""),"2007")</f>
        <v>2007</v>
      </c>
      <c r="AE659" s="14">
        <f>IFERROR(__xludf.DUMMYFUNCTION("""COMPUTED_VALUE"""),18888.0)</f>
        <v>18888</v>
      </c>
      <c r="AF659" s="14">
        <f>IFERROR(__xludf.DUMMYFUNCTION("""COMPUTED_VALUE"""),47099.0)</f>
        <v>47099</v>
      </c>
    </row>
    <row r="660">
      <c r="A660" s="12">
        <v>659.0</v>
      </c>
      <c r="B660" s="12" t="s">
        <v>129</v>
      </c>
      <c r="C660" s="5" t="s">
        <v>75</v>
      </c>
      <c r="D660" s="11">
        <v>0.292</v>
      </c>
      <c r="E660" s="11">
        <v>6.0</v>
      </c>
      <c r="F660" s="8"/>
      <c r="G660" s="11">
        <v>135.0</v>
      </c>
      <c r="H660" s="11">
        <v>0.85</v>
      </c>
      <c r="I660" s="11">
        <v>1.193</v>
      </c>
      <c r="J660" s="9" t="s">
        <v>69</v>
      </c>
      <c r="K660" s="14" t="str">
        <f>IFERROR(__xludf.DUMMYFUNCTION("ARRAYFORMULA(VLOOKUP(A660,IMPORTRANGE(""https://docs.google.com/spreadsheets/d/1BuTWp7qHGjWhqrnf-OmePP568O4A5Am9ttzvVdP67zw/edit#gid=1603210130"", ""TOURISM!$A$2:$F$2692""), {2,3,4,5,6},0))"),"Europe")</f>
        <v>Europe</v>
      </c>
      <c r="L660" s="14">
        <f>IFERROR(__xludf.DUMMYFUNCTION("""COMPUTED_VALUE"""),6.281E9)</f>
        <v>6281000000</v>
      </c>
      <c r="M660" s="14" t="str">
        <f>IFERROR(__xludf.DUMMYFUNCTION("""COMPUTED_VALUE"""),"Denmark-Europe")</f>
        <v>Denmark-Europe</v>
      </c>
      <c r="N660" s="14" t="str">
        <f>IFERROR(__xludf.DUMMYFUNCTION("""COMPUTED_VALUE"""),"2008")</f>
        <v>2008</v>
      </c>
      <c r="O660" s="14">
        <f>IFERROR(__xludf.DUMMYFUNCTION("""COMPUTED_VALUE"""),9.698E9)</f>
        <v>9698000000</v>
      </c>
      <c r="P660" s="15">
        <f>IFERROR(__xludf.DUMMYFUNCTION("ARRAYFORMULA(VLOOKUP(A660,IMPORTRANGE(""https://docs.google.com/spreadsheets/d/1BuTWp7qHGjWhqrnf-OmePP568O4A5Am9ttzvVdP67zw/edit#gid=771602874"" ,""HUMAN RESOURCES!$A$2:$M$2692""), {2,3,4,5,6,7,8,9,10,11,12,13},0))"),0.012)</f>
        <v>0.012</v>
      </c>
      <c r="Q660" s="14">
        <f>IFERROR(__xludf.DUMMYFUNCTION("""COMPUTED_VALUE"""),0.004)</f>
        <v>0.004</v>
      </c>
      <c r="R660" s="14">
        <f>IFERROR(__xludf.DUMMYFUNCTION("""COMPUTED_VALUE"""),81.0)</f>
        <v>81</v>
      </c>
      <c r="S660" s="14">
        <f>IFERROR(__xludf.DUMMYFUNCTION("""COMPUTED_VALUE"""),76.0)</f>
        <v>76</v>
      </c>
      <c r="T660" s="14">
        <f>IFERROR(__xludf.DUMMYFUNCTION("""COMPUTED_VALUE"""),0.183)</f>
        <v>0.183</v>
      </c>
      <c r="U660" s="14">
        <f>IFERROR(__xludf.DUMMYFUNCTION("""COMPUTED_VALUE"""),0.657)</f>
        <v>0.657</v>
      </c>
      <c r="V660" s="14">
        <f>IFERROR(__xludf.DUMMYFUNCTION("""COMPUTED_VALUE"""),0.159)</f>
        <v>0.159</v>
      </c>
      <c r="W660" s="14">
        <f>IFERROR(__xludf.DUMMYFUNCTION("""COMPUTED_VALUE"""),5493621.0)</f>
        <v>5493621</v>
      </c>
      <c r="X660" s="14">
        <f>IFERROR(__xludf.DUMMYFUNCTION("""COMPUTED_VALUE"""),0.865)</f>
        <v>0.865</v>
      </c>
      <c r="Y660" s="14" t="str">
        <f>IFERROR(__xludf.DUMMYFUNCTION("""COMPUTED_VALUE"""),"Denmark-Europe")</f>
        <v>Denmark-Europe</v>
      </c>
      <c r="Z660" s="14" t="str">
        <f>IFERROR(__xludf.DUMMYFUNCTION("""COMPUTED_VALUE"""),"Europe")</f>
        <v>Europe</v>
      </c>
      <c r="AA660" s="14" t="str">
        <f>IFERROR(__xludf.DUMMYFUNCTION("""COMPUTED_VALUE"""),"2008")</f>
        <v>2008</v>
      </c>
      <c r="AB660" s="15" t="str">
        <f>IFERROR(__xludf.DUMMYFUNCTION("ARRAYFORMULA(VLOOKUP(A660,IMPORTRANGE(""https://docs.google.com/spreadsheets/d/1BuTWp7qHGjWhqrnf-OmePP568O4A5Am9ttzvVdP67zw/edit#gid=1931367683"" ,""ENERGY!$A$2:$F$2692""), {2,3,4,5,6},0))"),"Europe")</f>
        <v>Europe</v>
      </c>
      <c r="AC660" s="14" t="str">
        <f>IFERROR(__xludf.DUMMYFUNCTION("""COMPUTED_VALUE"""),"Denmark-Europe")</f>
        <v>Denmark-Europe</v>
      </c>
      <c r="AD660" s="14" t="str">
        <f>IFERROR(__xludf.DUMMYFUNCTION("""COMPUTED_VALUE"""),"2005")</f>
        <v>2005</v>
      </c>
      <c r="AE660" s="14">
        <f>IFERROR(__xludf.DUMMYFUNCTION("""COMPUTED_VALUE"""),19428.0)</f>
        <v>19428</v>
      </c>
      <c r="AF660" s="14">
        <f>IFERROR(__xludf.DUMMYFUNCTION("""COMPUTED_VALUE"""),50597.0)</f>
        <v>50597</v>
      </c>
    </row>
    <row r="661">
      <c r="A661" s="12">
        <v>660.0</v>
      </c>
      <c r="B661" s="12" t="s">
        <v>129</v>
      </c>
      <c r="C661" s="5" t="s">
        <v>75</v>
      </c>
      <c r="D661" s="11">
        <v>0.282</v>
      </c>
      <c r="E661" s="11">
        <v>6.0</v>
      </c>
      <c r="F661" s="8"/>
      <c r="G661" s="11">
        <v>135.0</v>
      </c>
      <c r="H661" s="11">
        <v>0.868</v>
      </c>
      <c r="I661" s="11">
        <v>1.237</v>
      </c>
      <c r="J661" s="9" t="s">
        <v>70</v>
      </c>
      <c r="K661" s="14" t="str">
        <f>IFERROR(__xludf.DUMMYFUNCTION("ARRAYFORMULA(VLOOKUP(A661,IMPORTRANGE(""https://docs.google.com/spreadsheets/d/1BuTWp7qHGjWhqrnf-OmePP568O4A5Am9ttzvVdP67zw/edit#gid=1603210130"", ""TOURISM!$A$2:$F$2692""), {2,3,4,5,6},0))"),"Europe")</f>
        <v>Europe</v>
      </c>
      <c r="L661" s="14">
        <f>IFERROR(__xludf.DUMMYFUNCTION("""COMPUTED_VALUE"""),5.617E9)</f>
        <v>5617000000</v>
      </c>
      <c r="M661" s="14" t="str">
        <f>IFERROR(__xludf.DUMMYFUNCTION("""COMPUTED_VALUE"""),"Denmark-Europe")</f>
        <v>Denmark-Europe</v>
      </c>
      <c r="N661" s="14" t="str">
        <f>IFERROR(__xludf.DUMMYFUNCTION("""COMPUTED_VALUE"""),"2009")</f>
        <v>2009</v>
      </c>
      <c r="O661" s="14">
        <f>IFERROR(__xludf.DUMMYFUNCTION("""COMPUTED_VALUE"""),8.968E9)</f>
        <v>8968000000</v>
      </c>
      <c r="P661" s="15">
        <f>IFERROR(__xludf.DUMMYFUNCTION("ARRAYFORMULA(VLOOKUP(A661,IMPORTRANGE(""https://docs.google.com/spreadsheets/d/1BuTWp7qHGjWhqrnf-OmePP568O4A5Am9ttzvVdP67zw/edit#gid=771602874"" ,""HUMAN RESOURCES!$A$2:$M$2692""), {2,3,4,5,6,7,8,9,10,11,12,13},0))"),0.011)</f>
        <v>0.011</v>
      </c>
      <c r="Q661" s="14">
        <f>IFERROR(__xludf.DUMMYFUNCTION("""COMPUTED_VALUE"""),0.004)</f>
        <v>0.004</v>
      </c>
      <c r="R661" s="14">
        <f>IFERROR(__xludf.DUMMYFUNCTION("""COMPUTED_VALUE"""),81.0)</f>
        <v>81</v>
      </c>
      <c r="S661" s="14">
        <f>IFERROR(__xludf.DUMMYFUNCTION("""COMPUTED_VALUE"""),77.0)</f>
        <v>77</v>
      </c>
      <c r="T661" s="14">
        <f>IFERROR(__xludf.DUMMYFUNCTION("""COMPUTED_VALUE"""),0.181)</f>
        <v>0.181</v>
      </c>
      <c r="U661" s="14">
        <f>IFERROR(__xludf.DUMMYFUNCTION("""COMPUTED_VALUE"""),0.656)</f>
        <v>0.656</v>
      </c>
      <c r="V661" s="14">
        <f>IFERROR(__xludf.DUMMYFUNCTION("""COMPUTED_VALUE"""),0.163)</f>
        <v>0.163</v>
      </c>
      <c r="W661" s="14">
        <f>IFERROR(__xludf.DUMMYFUNCTION("""COMPUTED_VALUE"""),5523095.0)</f>
        <v>5523095</v>
      </c>
      <c r="X661" s="14">
        <f>IFERROR(__xludf.DUMMYFUNCTION("""COMPUTED_VALUE"""),0.867)</f>
        <v>0.867</v>
      </c>
      <c r="Y661" s="14" t="str">
        <f>IFERROR(__xludf.DUMMYFUNCTION("""COMPUTED_VALUE"""),"Denmark-Europe")</f>
        <v>Denmark-Europe</v>
      </c>
      <c r="Z661" s="14" t="str">
        <f>IFERROR(__xludf.DUMMYFUNCTION("""COMPUTED_VALUE"""),"Europe")</f>
        <v>Europe</v>
      </c>
      <c r="AA661" s="14" t="str">
        <f>IFERROR(__xludf.DUMMYFUNCTION("""COMPUTED_VALUE"""),"2009")</f>
        <v>2009</v>
      </c>
      <c r="AB661" s="15" t="str">
        <f>IFERROR(__xludf.DUMMYFUNCTION("ARRAYFORMULA(VLOOKUP(A661,IMPORTRANGE(""https://docs.google.com/spreadsheets/d/1BuTWp7qHGjWhqrnf-OmePP568O4A5Am9ttzvVdP67zw/edit#gid=1931367683"" ,""ENERGY!$A$2:$F$2692""), {2,3,4,5,6},0))"),"Europe")</f>
        <v>Europe</v>
      </c>
      <c r="AC661" s="14" t="str">
        <f>IFERROR(__xludf.DUMMYFUNCTION("""COMPUTED_VALUE"""),"Denmark-Europe")</f>
        <v>Denmark-Europe</v>
      </c>
      <c r="AD661" s="14" t="str">
        <f>IFERROR(__xludf.DUMMYFUNCTION("""COMPUTED_VALUE"""),"2009")</f>
        <v>2009</v>
      </c>
      <c r="AE661" s="14">
        <f>IFERROR(__xludf.DUMMYFUNCTION("""COMPUTED_VALUE"""),20087.0)</f>
        <v>20087</v>
      </c>
      <c r="AF661" s="14">
        <f>IFERROR(__xludf.DUMMYFUNCTION("""COMPUTED_VALUE"""),55735.0)</f>
        <v>55735</v>
      </c>
    </row>
    <row r="662">
      <c r="A662" s="12">
        <v>661.0</v>
      </c>
      <c r="B662" s="12" t="s">
        <v>129</v>
      </c>
      <c r="C662" s="5" t="s">
        <v>75</v>
      </c>
      <c r="D662" s="11">
        <v>0.281</v>
      </c>
      <c r="E662" s="11">
        <v>6.0</v>
      </c>
      <c r="F662" s="8"/>
      <c r="G662" s="11">
        <v>135.0</v>
      </c>
      <c r="H662" s="11">
        <v>0.887</v>
      </c>
      <c r="I662" s="11">
        <v>1.157</v>
      </c>
      <c r="J662" s="9" t="s">
        <v>71</v>
      </c>
      <c r="K662" s="14" t="str">
        <f>IFERROR(__xludf.DUMMYFUNCTION("ARRAYFORMULA(VLOOKUP(A662,IMPORTRANGE(""https://docs.google.com/spreadsheets/d/1BuTWp7qHGjWhqrnf-OmePP568O4A5Am9ttzvVdP67zw/edit#gid=1603210130"", ""TOURISM!$A$2:$F$2692""), {2,3,4,5,6},0))"),"Europe")</f>
        <v>Europe</v>
      </c>
      <c r="L662" s="14">
        <f>IFERROR(__xludf.DUMMYFUNCTION("""COMPUTED_VALUE"""),5.704E9)</f>
        <v>5704000000</v>
      </c>
      <c r="M662" s="14" t="str">
        <f>IFERROR(__xludf.DUMMYFUNCTION("""COMPUTED_VALUE"""),"Denmark-Europe")</f>
        <v>Denmark-Europe</v>
      </c>
      <c r="N662" s="14" t="str">
        <f>IFERROR(__xludf.DUMMYFUNCTION("""COMPUTED_VALUE"""),"2010")</f>
        <v>2010</v>
      </c>
      <c r="O662" s="14">
        <f>IFERROR(__xludf.DUMMYFUNCTION("""COMPUTED_VALUE"""),9.082E9)</f>
        <v>9082000000</v>
      </c>
      <c r="P662" s="15">
        <f>IFERROR(__xludf.DUMMYFUNCTION("ARRAYFORMULA(VLOOKUP(A662,IMPORTRANGE(""https://docs.google.com/spreadsheets/d/1BuTWp7qHGjWhqrnf-OmePP568O4A5Am9ttzvVdP67zw/edit#gid=771602874"" ,""HUMAN RESOURCES!$A$2:$M$2692""), {2,3,4,5,6,7,8,9,10,11,12,13},0))"),0.011)</f>
        <v>0.011</v>
      </c>
      <c r="Q662" s="14">
        <f>IFERROR(__xludf.DUMMYFUNCTION("""COMPUTED_VALUE"""),0.003)</f>
        <v>0.003</v>
      </c>
      <c r="R662" s="14">
        <f>IFERROR(__xludf.DUMMYFUNCTION("""COMPUTED_VALUE"""),81.0)</f>
        <v>81</v>
      </c>
      <c r="S662" s="14">
        <f>IFERROR(__xludf.DUMMYFUNCTION("""COMPUTED_VALUE"""),77.0)</f>
        <v>77</v>
      </c>
      <c r="T662" s="14">
        <f>IFERROR(__xludf.DUMMYFUNCTION("""COMPUTED_VALUE"""),0.18)</f>
        <v>0.18</v>
      </c>
      <c r="U662" s="14">
        <f>IFERROR(__xludf.DUMMYFUNCTION("""COMPUTED_VALUE"""),0.654)</f>
        <v>0.654</v>
      </c>
      <c r="V662" s="14">
        <f>IFERROR(__xludf.DUMMYFUNCTION("""COMPUTED_VALUE"""),0.167)</f>
        <v>0.167</v>
      </c>
      <c r="W662" s="14">
        <f>IFERROR(__xludf.DUMMYFUNCTION("""COMPUTED_VALUE"""),5547683.0)</f>
        <v>5547683</v>
      </c>
      <c r="X662" s="14">
        <f>IFERROR(__xludf.DUMMYFUNCTION("""COMPUTED_VALUE"""),0.868)</f>
        <v>0.868</v>
      </c>
      <c r="Y662" s="14" t="str">
        <f>IFERROR(__xludf.DUMMYFUNCTION("""COMPUTED_VALUE"""),"Denmark-Europe")</f>
        <v>Denmark-Europe</v>
      </c>
      <c r="Z662" s="14" t="str">
        <f>IFERROR(__xludf.DUMMYFUNCTION("""COMPUTED_VALUE"""),"Europe")</f>
        <v>Europe</v>
      </c>
      <c r="AA662" s="14" t="str">
        <f>IFERROR(__xludf.DUMMYFUNCTION("""COMPUTED_VALUE"""),"2010")</f>
        <v>2010</v>
      </c>
      <c r="AB662" s="15" t="str">
        <f>IFERROR(__xludf.DUMMYFUNCTION("ARRAYFORMULA(VLOOKUP(A662,IMPORTRANGE(""https://docs.google.com/spreadsheets/d/1BuTWp7qHGjWhqrnf-OmePP568O4A5Am9ttzvVdP67zw/edit#gid=1931367683"" ,""ENERGY!$A$2:$F$2692""), {2,3,4,5,6},0))"),"Europe")</f>
        <v>Europe</v>
      </c>
      <c r="AC662" s="14" t="str">
        <f>IFERROR(__xludf.DUMMYFUNCTION("""COMPUTED_VALUE"""),"Denmark-Europe")</f>
        <v>Denmark-Europe</v>
      </c>
      <c r="AD662" s="14" t="str">
        <f>IFERROR(__xludf.DUMMYFUNCTION("""COMPUTED_VALUE"""),"2008")</f>
        <v>2008</v>
      </c>
      <c r="AE662" s="14">
        <f>IFERROR(__xludf.DUMMYFUNCTION("""COMPUTED_VALUE"""),19004.0)</f>
        <v>19004</v>
      </c>
      <c r="AF662" s="14">
        <f>IFERROR(__xludf.DUMMYFUNCTION("""COMPUTED_VALUE"""),49266.0)</f>
        <v>49266</v>
      </c>
    </row>
    <row r="663">
      <c r="A663" s="12">
        <v>662.0</v>
      </c>
      <c r="B663" s="12" t="s">
        <v>129</v>
      </c>
      <c r="C663" s="5" t="s">
        <v>75</v>
      </c>
      <c r="D663" s="11">
        <v>0.264</v>
      </c>
      <c r="E663" s="11">
        <v>6.0</v>
      </c>
      <c r="F663" s="8"/>
      <c r="G663" s="11">
        <v>135.0</v>
      </c>
      <c r="H663" s="11">
        <v>0.898</v>
      </c>
      <c r="I663" s="11">
        <v>1.287</v>
      </c>
      <c r="J663" s="9" t="s">
        <v>72</v>
      </c>
      <c r="K663" s="14" t="str">
        <f>IFERROR(__xludf.DUMMYFUNCTION("ARRAYFORMULA(VLOOKUP(A663,IMPORTRANGE(""https://docs.google.com/spreadsheets/d/1BuTWp7qHGjWhqrnf-OmePP568O4A5Am9ttzvVdP67zw/edit#gid=1603210130"", ""TOURISM!$A$2:$F$2692""), {2,3,4,5,6},0))"),"Europe")</f>
        <v>Europe</v>
      </c>
      <c r="L663" s="14">
        <f>IFERROR(__xludf.DUMMYFUNCTION("""COMPUTED_VALUE"""),6.366E9)</f>
        <v>6366000000</v>
      </c>
      <c r="M663" s="14" t="str">
        <f>IFERROR(__xludf.DUMMYFUNCTION("""COMPUTED_VALUE"""),"Denmark-Europe")</f>
        <v>Denmark-Europe</v>
      </c>
      <c r="N663" s="14" t="str">
        <f>IFERROR(__xludf.DUMMYFUNCTION("""COMPUTED_VALUE"""),"2011")</f>
        <v>2011</v>
      </c>
      <c r="O663" s="14">
        <f>IFERROR(__xludf.DUMMYFUNCTION("""COMPUTED_VALUE"""),9.84E9)</f>
        <v>9840000000</v>
      </c>
      <c r="P663" s="15">
        <f>IFERROR(__xludf.DUMMYFUNCTION("ARRAYFORMULA(VLOOKUP(A663,IMPORTRANGE(""https://docs.google.com/spreadsheets/d/1BuTWp7qHGjWhqrnf-OmePP568O4A5Am9ttzvVdP67zw/edit#gid=771602874"" ,""HUMAN RESOURCES!$A$2:$M$2692""), {2,3,4,5,6,7,8,9,10,11,12,13},0))"),0.011)</f>
        <v>0.011</v>
      </c>
      <c r="Q663" s="14">
        <f>IFERROR(__xludf.DUMMYFUNCTION("""COMPUTED_VALUE"""),0.003)</f>
        <v>0.003</v>
      </c>
      <c r="R663" s="14">
        <f>IFERROR(__xludf.DUMMYFUNCTION("""COMPUTED_VALUE"""),82.0)</f>
        <v>82</v>
      </c>
      <c r="S663" s="14">
        <f>IFERROR(__xludf.DUMMYFUNCTION("""COMPUTED_VALUE"""),78.0)</f>
        <v>78</v>
      </c>
      <c r="T663" s="14">
        <f>IFERROR(__xludf.DUMMYFUNCTION("""COMPUTED_VALUE"""),0.178)</f>
        <v>0.178</v>
      </c>
      <c r="U663" s="14">
        <f>IFERROR(__xludf.DUMMYFUNCTION("""COMPUTED_VALUE"""),0.651)</f>
        <v>0.651</v>
      </c>
      <c r="V663" s="14">
        <f>IFERROR(__xludf.DUMMYFUNCTION("""COMPUTED_VALUE"""),0.171)</f>
        <v>0.171</v>
      </c>
      <c r="W663" s="14">
        <f>IFERROR(__xludf.DUMMYFUNCTION("""COMPUTED_VALUE"""),5570572.0)</f>
        <v>5570572</v>
      </c>
      <c r="X663" s="14">
        <f>IFERROR(__xludf.DUMMYFUNCTION("""COMPUTED_VALUE"""),0.87)</f>
        <v>0.87</v>
      </c>
      <c r="Y663" s="14" t="str">
        <f>IFERROR(__xludf.DUMMYFUNCTION("""COMPUTED_VALUE"""),"Denmark-Europe")</f>
        <v>Denmark-Europe</v>
      </c>
      <c r="Z663" s="14" t="str">
        <f>IFERROR(__xludf.DUMMYFUNCTION("""COMPUTED_VALUE"""),"Europe")</f>
        <v>Europe</v>
      </c>
      <c r="AA663" s="14" t="str">
        <f>IFERROR(__xludf.DUMMYFUNCTION("""COMPUTED_VALUE"""),"2011")</f>
        <v>2011</v>
      </c>
      <c r="AB663" s="15" t="str">
        <f>IFERROR(__xludf.DUMMYFUNCTION("ARRAYFORMULA(VLOOKUP(A663,IMPORTRANGE(""https://docs.google.com/spreadsheets/d/1BuTWp7qHGjWhqrnf-OmePP568O4A5Am9ttzvVdP67zw/edit#gid=1931367683"" ,""ENERGY!$A$2:$F$2692""), {2,3,4,5,6},0))"),"Europe")</f>
        <v>Europe</v>
      </c>
      <c r="AC663" s="14" t="str">
        <f>IFERROR(__xludf.DUMMYFUNCTION("""COMPUTED_VALUE"""),"Denmark-Europe")</f>
        <v>Denmark-Europe</v>
      </c>
      <c r="AD663" s="14" t="str">
        <f>IFERROR(__xludf.DUMMYFUNCTION("""COMPUTED_VALUE"""),"2004")</f>
        <v>2004</v>
      </c>
      <c r="AE663" s="14">
        <f>IFERROR(__xludf.DUMMYFUNCTION("""COMPUTED_VALUE"""),19203.0)</f>
        <v>19203</v>
      </c>
      <c r="AF663" s="14">
        <f>IFERROR(__xludf.DUMMYFUNCTION("""COMPUTED_VALUE"""),49035.0)</f>
        <v>49035</v>
      </c>
    </row>
    <row r="664">
      <c r="A664" s="12">
        <v>663.0</v>
      </c>
      <c r="B664" s="12" t="s">
        <v>129</v>
      </c>
      <c r="C664" s="5" t="s">
        <v>75</v>
      </c>
      <c r="D664" s="11">
        <v>0.27</v>
      </c>
      <c r="E664" s="11">
        <v>6.0</v>
      </c>
      <c r="F664" s="11">
        <v>5.0</v>
      </c>
      <c r="G664" s="11">
        <v>130.0</v>
      </c>
      <c r="H664" s="11">
        <v>0.923</v>
      </c>
      <c r="I664" s="11">
        <v>1.303</v>
      </c>
      <c r="J664" s="9" t="s">
        <v>73</v>
      </c>
      <c r="K664" s="14" t="str">
        <f>IFERROR(__xludf.DUMMYFUNCTION("ARRAYFORMULA(VLOOKUP(A664,IMPORTRANGE(""https://docs.google.com/spreadsheets/d/1BuTWp7qHGjWhqrnf-OmePP568O4A5Am9ttzvVdP67zw/edit#gid=1603210130"", ""TOURISM!$A$2:$F$2692""), {2,3,4,5,6},0))"),"Europe")</f>
        <v>Europe</v>
      </c>
      <c r="L664" s="14">
        <f>IFERROR(__xludf.DUMMYFUNCTION("""COMPUTED_VALUE"""),6.135E9)</f>
        <v>6135000000</v>
      </c>
      <c r="M664" s="14" t="str">
        <f>IFERROR(__xludf.DUMMYFUNCTION("""COMPUTED_VALUE"""),"Denmark-Europe")</f>
        <v>Denmark-Europe</v>
      </c>
      <c r="N664" s="14" t="str">
        <f>IFERROR(__xludf.DUMMYFUNCTION("""COMPUTED_VALUE"""),"2012")</f>
        <v>2012</v>
      </c>
      <c r="O664" s="14">
        <f>IFERROR(__xludf.DUMMYFUNCTION("""COMPUTED_VALUE"""),9.6E9)</f>
        <v>9600000000</v>
      </c>
      <c r="P664" s="15">
        <f>IFERROR(__xludf.DUMMYFUNCTION("ARRAYFORMULA(VLOOKUP(A664,IMPORTRANGE(""https://docs.google.com/spreadsheets/d/1BuTWp7qHGjWhqrnf-OmePP568O4A5Am9ttzvVdP67zw/edit#gid=771602874"" ,""HUMAN RESOURCES!$A$2:$M$2692""), {2,3,4,5,6,7,8,9,10,11,12,13},0))"),0.01)</f>
        <v>0.01</v>
      </c>
      <c r="Q664" s="14">
        <f>IFERROR(__xludf.DUMMYFUNCTION("""COMPUTED_VALUE"""),0.003)</f>
        <v>0.003</v>
      </c>
      <c r="R664" s="14">
        <f>IFERROR(__xludf.DUMMYFUNCTION("""COMPUTED_VALUE"""),82.0)</f>
        <v>82</v>
      </c>
      <c r="S664" s="14">
        <f>IFERROR(__xludf.DUMMYFUNCTION("""COMPUTED_VALUE"""),78.0)</f>
        <v>78</v>
      </c>
      <c r="T664" s="14">
        <f>IFERROR(__xludf.DUMMYFUNCTION("""COMPUTED_VALUE"""),0.177)</f>
        <v>0.177</v>
      </c>
      <c r="U664" s="14">
        <f>IFERROR(__xludf.DUMMYFUNCTION("""COMPUTED_VALUE"""),0.649)</f>
        <v>0.649</v>
      </c>
      <c r="V664" s="14">
        <f>IFERROR(__xludf.DUMMYFUNCTION("""COMPUTED_VALUE"""),0.175)</f>
        <v>0.175</v>
      </c>
      <c r="W664" s="14">
        <f>IFERROR(__xludf.DUMMYFUNCTION("""COMPUTED_VALUE"""),5591572.0)</f>
        <v>5591572</v>
      </c>
      <c r="X664" s="14">
        <f>IFERROR(__xludf.DUMMYFUNCTION("""COMPUTED_VALUE"""),0.871)</f>
        <v>0.871</v>
      </c>
      <c r="Y664" s="14" t="str">
        <f>IFERROR(__xludf.DUMMYFUNCTION("""COMPUTED_VALUE"""),"Denmark-Europe")</f>
        <v>Denmark-Europe</v>
      </c>
      <c r="Z664" s="14" t="str">
        <f>IFERROR(__xludf.DUMMYFUNCTION("""COMPUTED_VALUE"""),"Europe")</f>
        <v>Europe</v>
      </c>
      <c r="AA664" s="14" t="str">
        <f>IFERROR(__xludf.DUMMYFUNCTION("""COMPUTED_VALUE"""),"2012")</f>
        <v>2012</v>
      </c>
      <c r="AB664" s="15" t="str">
        <f>IFERROR(__xludf.DUMMYFUNCTION("ARRAYFORMULA(VLOOKUP(A664,IMPORTRANGE(""https://docs.google.com/spreadsheets/d/1BuTWp7qHGjWhqrnf-OmePP568O4A5Am9ttzvVdP67zw/edit#gid=1931367683"" ,""ENERGY!$A$2:$F$2692""), {2,3,4,5,6},0))"),"Europe")</f>
        <v>Europe</v>
      </c>
      <c r="AC664" s="14" t="str">
        <f>IFERROR(__xludf.DUMMYFUNCTION("""COMPUTED_VALUE"""),"Denmark-Europe")</f>
        <v>Denmark-Europe</v>
      </c>
      <c r="AD664" s="14" t="str">
        <f>IFERROR(__xludf.DUMMYFUNCTION("""COMPUTED_VALUE"""),"2009")</f>
        <v>2009</v>
      </c>
      <c r="AE664" s="14">
        <f>IFERROR(__xludf.DUMMYFUNCTION("""COMPUTED_VALUE"""),18634.0)</f>
        <v>18634</v>
      </c>
      <c r="AF664" s="14">
        <f>IFERROR(__xludf.DUMMYFUNCTION("""COMPUTED_VALUE"""),47260.0)</f>
        <v>47260</v>
      </c>
    </row>
    <row r="665">
      <c r="A665" s="12">
        <v>664.0</v>
      </c>
      <c r="B665" s="12" t="s">
        <v>130</v>
      </c>
      <c r="C665" s="5" t="s">
        <v>77</v>
      </c>
      <c r="D665" s="8"/>
      <c r="E665" s="8"/>
      <c r="F665" s="8"/>
      <c r="G665" s="8"/>
      <c r="H665" s="11">
        <v>0.002</v>
      </c>
      <c r="I665" s="11">
        <v>0.0</v>
      </c>
      <c r="J665" s="9" t="s">
        <v>60</v>
      </c>
      <c r="K665" s="14" t="str">
        <f>IFERROR(__xludf.DUMMYFUNCTION("ARRAYFORMULA(VLOOKUP(A665,IMPORTRANGE(""https://docs.google.com/spreadsheets/d/1BuTWp7qHGjWhqrnf-OmePP568O4A5Am9ttzvVdP67zw/edit#gid=1603210130"", ""TOURISM!$A$2:$F$2692""), {2,3,4,5,6},0))"),"Africa")</f>
        <v>Africa</v>
      </c>
      <c r="L665" s="14">
        <f>IFERROR(__xludf.DUMMYFUNCTION("""COMPUTED_VALUE"""),8100000.0)</f>
        <v>8100000</v>
      </c>
      <c r="M665" s="14" t="str">
        <f>IFERROR(__xludf.DUMMYFUNCTION("""COMPUTED_VALUE"""),"Djibouti-Africa")</f>
        <v>Djibouti-Africa</v>
      </c>
      <c r="N665" s="14" t="str">
        <f>IFERROR(__xludf.DUMMYFUNCTION("""COMPUTED_VALUE"""),"2000")</f>
        <v>2000</v>
      </c>
      <c r="O665" s="14">
        <f>IFERROR(__xludf.DUMMYFUNCTION("""COMPUTED_VALUE"""),1.48E7)</f>
        <v>14800000</v>
      </c>
      <c r="P665" s="15">
        <f>IFERROR(__xludf.DUMMYFUNCTION("ARRAYFORMULA(VLOOKUP(A665,IMPORTRANGE(""https://docs.google.com/spreadsheets/d/1BuTWp7qHGjWhqrnf-OmePP568O4A5Am9ttzvVdP67zw/edit#gid=771602874"" ,""HUMAN RESOURCES!$A$2:$M$2692""), {2,3,4,5,6,7,8,9,10,11,12,13},0))"),0.03)</f>
        <v>0.03</v>
      </c>
      <c r="Q665" s="14">
        <f>IFERROR(__xludf.DUMMYFUNCTION("""COMPUTED_VALUE"""),0.08)</f>
        <v>0.08</v>
      </c>
      <c r="R665" s="14">
        <f>IFERROR(__xludf.DUMMYFUNCTION("""COMPUTED_VALUE"""),59.0)</f>
        <v>59</v>
      </c>
      <c r="S665" s="14">
        <f>IFERROR(__xludf.DUMMYFUNCTION("""COMPUTED_VALUE"""),55.0)</f>
        <v>55</v>
      </c>
      <c r="T665" s="14">
        <f>IFERROR(__xludf.DUMMYFUNCTION("""COMPUTED_VALUE"""),0.414)</f>
        <v>0.414</v>
      </c>
      <c r="U665" s="14">
        <f>IFERROR(__xludf.DUMMYFUNCTION("""COMPUTED_VALUE"""),0.556)</f>
        <v>0.556</v>
      </c>
      <c r="V665" s="14">
        <f>IFERROR(__xludf.DUMMYFUNCTION("""COMPUTED_VALUE"""),0.03)</f>
        <v>0.03</v>
      </c>
      <c r="W665" s="14">
        <f>IFERROR(__xludf.DUMMYFUNCTION("""COMPUTED_VALUE"""),722887.0)</f>
        <v>722887</v>
      </c>
      <c r="X665" s="14">
        <f>IFERROR(__xludf.DUMMYFUNCTION("""COMPUTED_VALUE"""),0.765)</f>
        <v>0.765</v>
      </c>
      <c r="Y665" s="14" t="str">
        <f>IFERROR(__xludf.DUMMYFUNCTION("""COMPUTED_VALUE"""),"Djibouti-Africa")</f>
        <v>Djibouti-Africa</v>
      </c>
      <c r="Z665" s="14" t="str">
        <f>IFERROR(__xludf.DUMMYFUNCTION("""COMPUTED_VALUE"""),"Africa")</f>
        <v>Africa</v>
      </c>
      <c r="AA665" s="14" t="str">
        <f>IFERROR(__xludf.DUMMYFUNCTION("""COMPUTED_VALUE"""),"2000")</f>
        <v>2000</v>
      </c>
      <c r="AB665" s="15" t="str">
        <f>IFERROR(__xludf.DUMMYFUNCTION("ARRAYFORMULA(VLOOKUP(A665,IMPORTRANGE(""https://docs.google.com/spreadsheets/d/1BuTWp7qHGjWhqrnf-OmePP568O4A5Am9ttzvVdP67zw/edit#gid=1931367683"" ,""ENERGY!$A$2:$F$2692""), {2,3,4,5,6},0))"),"Africa")</f>
        <v>Africa</v>
      </c>
      <c r="AC665" s="14" t="str">
        <f>IFERROR(__xludf.DUMMYFUNCTION("""COMPUTED_VALUE"""),"Djibouti-Africa")</f>
        <v>Djibouti-Africa</v>
      </c>
      <c r="AD665" s="14" t="str">
        <f>IFERROR(__xludf.DUMMYFUNCTION("""COMPUTED_VALUE"""),"2000")</f>
        <v>2000</v>
      </c>
      <c r="AE665" s="14"/>
      <c r="AF665" s="14"/>
    </row>
    <row r="666">
      <c r="A666" s="12">
        <v>665.0</v>
      </c>
      <c r="B666" s="12" t="s">
        <v>130</v>
      </c>
      <c r="C666" s="5" t="s">
        <v>77</v>
      </c>
      <c r="D666" s="8"/>
      <c r="E666" s="8"/>
      <c r="F666" s="8"/>
      <c r="G666" s="8"/>
      <c r="H666" s="11">
        <v>0.003</v>
      </c>
      <c r="I666" s="11">
        <v>0.004</v>
      </c>
      <c r="J666" s="9" t="s">
        <v>62</v>
      </c>
      <c r="K666" s="14" t="str">
        <f>IFERROR(__xludf.DUMMYFUNCTION("ARRAYFORMULA(VLOOKUP(A666,IMPORTRANGE(""https://docs.google.com/spreadsheets/d/1BuTWp7qHGjWhqrnf-OmePP568O4A5Am9ttzvVdP67zw/edit#gid=1603210130"", ""TOURISM!$A$2:$F$2692""), {2,3,4,5,6},0))"),"Africa")</f>
        <v>Africa</v>
      </c>
      <c r="L666" s="14">
        <f>IFERROR(__xludf.DUMMYFUNCTION("""COMPUTED_VALUE"""),8600000.0)</f>
        <v>8600000</v>
      </c>
      <c r="M666" s="14" t="str">
        <f>IFERROR(__xludf.DUMMYFUNCTION("""COMPUTED_VALUE"""),"Djibouti-Africa")</f>
        <v>Djibouti-Africa</v>
      </c>
      <c r="N666" s="14" t="str">
        <f>IFERROR(__xludf.DUMMYFUNCTION("""COMPUTED_VALUE"""),"2001")</f>
        <v>2001</v>
      </c>
      <c r="O666" s="14">
        <f>IFERROR(__xludf.DUMMYFUNCTION("""COMPUTED_VALUE"""),1.29E7)</f>
        <v>12900000</v>
      </c>
      <c r="P666" s="15">
        <f>IFERROR(__xludf.DUMMYFUNCTION("ARRAYFORMULA(VLOOKUP(A666,IMPORTRANGE(""https://docs.google.com/spreadsheets/d/1BuTWp7qHGjWhqrnf-OmePP568O4A5Am9ttzvVdP67zw/edit#gid=771602874"" ,""HUMAN RESOURCES!$A$2:$M$2692""), {2,3,4,5,6,7,8,9,10,11,12,13},0))"),0.03)</f>
        <v>0.03</v>
      </c>
      <c r="Q666" s="14">
        <f>IFERROR(__xludf.DUMMYFUNCTION("""COMPUTED_VALUE"""),0.078)</f>
        <v>0.078</v>
      </c>
      <c r="R666" s="14">
        <f>IFERROR(__xludf.DUMMYFUNCTION("""COMPUTED_VALUE"""),59.0)</f>
        <v>59</v>
      </c>
      <c r="S666" s="14">
        <f>IFERROR(__xludf.DUMMYFUNCTION("""COMPUTED_VALUE"""),56.0)</f>
        <v>56</v>
      </c>
      <c r="T666" s="14">
        <f>IFERROR(__xludf.DUMMYFUNCTION("""COMPUTED_VALUE"""),0.407)</f>
        <v>0.407</v>
      </c>
      <c r="U666" s="14">
        <f>IFERROR(__xludf.DUMMYFUNCTION("""COMPUTED_VALUE"""),0.562)</f>
        <v>0.562</v>
      </c>
      <c r="V666" s="14">
        <f>IFERROR(__xludf.DUMMYFUNCTION("""COMPUTED_VALUE"""),0.031)</f>
        <v>0.031</v>
      </c>
      <c r="W666" s="14">
        <f>IFERROR(__xludf.DUMMYFUNCTION("""COMPUTED_VALUE"""),733732.0)</f>
        <v>733732</v>
      </c>
      <c r="X666" s="14">
        <f>IFERROR(__xludf.DUMMYFUNCTION("""COMPUTED_VALUE"""),0.766)</f>
        <v>0.766</v>
      </c>
      <c r="Y666" s="14" t="str">
        <f>IFERROR(__xludf.DUMMYFUNCTION("""COMPUTED_VALUE"""),"Djibouti-Africa")</f>
        <v>Djibouti-Africa</v>
      </c>
      <c r="Z666" s="14" t="str">
        <f>IFERROR(__xludf.DUMMYFUNCTION("""COMPUTED_VALUE"""),"Africa")</f>
        <v>Africa</v>
      </c>
      <c r="AA666" s="14" t="str">
        <f>IFERROR(__xludf.DUMMYFUNCTION("""COMPUTED_VALUE"""),"2001")</f>
        <v>2001</v>
      </c>
      <c r="AB666" s="15" t="str">
        <f>IFERROR(__xludf.DUMMYFUNCTION("ARRAYFORMULA(VLOOKUP(A666,IMPORTRANGE(""https://docs.google.com/spreadsheets/d/1BuTWp7qHGjWhqrnf-OmePP568O4A5Am9ttzvVdP67zw/edit#gid=1931367683"" ,""ENERGY!$A$2:$F$2692""), {2,3,4,5,6},0))"),"Africa")</f>
        <v>Africa</v>
      </c>
      <c r="AC666" s="14" t="str">
        <f>IFERROR(__xludf.DUMMYFUNCTION("""COMPUTED_VALUE"""),"Djibouti-Africa")</f>
        <v>Djibouti-Africa</v>
      </c>
      <c r="AD666" s="14" t="str">
        <f>IFERROR(__xludf.DUMMYFUNCTION("""COMPUTED_VALUE"""),"2001")</f>
        <v>2001</v>
      </c>
      <c r="AE666" s="14"/>
      <c r="AF666" s="14"/>
    </row>
    <row r="667">
      <c r="A667" s="12">
        <v>666.0</v>
      </c>
      <c r="B667" s="12" t="s">
        <v>130</v>
      </c>
      <c r="C667" s="5" t="s">
        <v>77</v>
      </c>
      <c r="D667" s="8"/>
      <c r="E667" s="8"/>
      <c r="F667" s="8"/>
      <c r="G667" s="8"/>
      <c r="H667" s="11">
        <v>0.005</v>
      </c>
      <c r="I667" s="11">
        <v>0.02</v>
      </c>
      <c r="J667" s="9" t="s">
        <v>63</v>
      </c>
      <c r="K667" s="14" t="str">
        <f>IFERROR(__xludf.DUMMYFUNCTION("ARRAYFORMULA(VLOOKUP(A667,IMPORTRANGE(""https://docs.google.com/spreadsheets/d/1BuTWp7qHGjWhqrnf-OmePP568O4A5Am9ttzvVdP67zw/edit#gid=1603210130"", ""TOURISM!$A$2:$F$2692""), {2,3,4,5,6},0))"),"Africa")</f>
        <v>Africa</v>
      </c>
      <c r="L667" s="14">
        <f>IFERROR(__xludf.DUMMYFUNCTION("""COMPUTED_VALUE"""),8900000.0)</f>
        <v>8900000</v>
      </c>
      <c r="M667" s="14" t="str">
        <f>IFERROR(__xludf.DUMMYFUNCTION("""COMPUTED_VALUE"""),"Djibouti-Africa")</f>
        <v>Djibouti-Africa</v>
      </c>
      <c r="N667" s="14" t="str">
        <f>IFERROR(__xludf.DUMMYFUNCTION("""COMPUTED_VALUE"""),"2002")</f>
        <v>2002</v>
      </c>
      <c r="O667" s="14">
        <f>IFERROR(__xludf.DUMMYFUNCTION("""COMPUTED_VALUE"""),7700000.0)</f>
        <v>7700000</v>
      </c>
      <c r="P667" s="15">
        <f>IFERROR(__xludf.DUMMYFUNCTION("ARRAYFORMULA(VLOOKUP(A667,IMPORTRANGE(""https://docs.google.com/spreadsheets/d/1BuTWp7qHGjWhqrnf-OmePP568O4A5Am9ttzvVdP67zw/edit#gid=771602874"" ,""HUMAN RESOURCES!$A$2:$M$2692""), {2,3,4,5,6,7,8,9,10,11,12,13},0))"),0.029)</f>
        <v>0.029</v>
      </c>
      <c r="Q667" s="14">
        <f>IFERROR(__xludf.DUMMYFUNCTION("""COMPUTED_VALUE"""),0.076)</f>
        <v>0.076</v>
      </c>
      <c r="R667" s="14">
        <f>IFERROR(__xludf.DUMMYFUNCTION("""COMPUTED_VALUE"""),59.0)</f>
        <v>59</v>
      </c>
      <c r="S667" s="14">
        <f>IFERROR(__xludf.DUMMYFUNCTION("""COMPUTED_VALUE"""),56.0)</f>
        <v>56</v>
      </c>
      <c r="T667" s="14">
        <f>IFERROR(__xludf.DUMMYFUNCTION("""COMPUTED_VALUE"""),0.398)</f>
        <v>0.398</v>
      </c>
      <c r="U667" s="14">
        <f>IFERROR(__xludf.DUMMYFUNCTION("""COMPUTED_VALUE"""),0.57)</f>
        <v>0.57</v>
      </c>
      <c r="V667" s="14">
        <f>IFERROR(__xludf.DUMMYFUNCTION("""COMPUTED_VALUE"""),0.032)</f>
        <v>0.032</v>
      </c>
      <c r="W667" s="14">
        <f>IFERROR(__xludf.DUMMYFUNCTION("""COMPUTED_VALUE"""),744434.0)</f>
        <v>744434</v>
      </c>
      <c r="X667" s="14">
        <f>IFERROR(__xludf.DUMMYFUNCTION("""COMPUTED_VALUE"""),0.766)</f>
        <v>0.766</v>
      </c>
      <c r="Y667" s="14" t="str">
        <f>IFERROR(__xludf.DUMMYFUNCTION("""COMPUTED_VALUE"""),"Djibouti-Africa")</f>
        <v>Djibouti-Africa</v>
      </c>
      <c r="Z667" s="14" t="str">
        <f>IFERROR(__xludf.DUMMYFUNCTION("""COMPUTED_VALUE"""),"Africa")</f>
        <v>Africa</v>
      </c>
      <c r="AA667" s="14" t="str">
        <f>IFERROR(__xludf.DUMMYFUNCTION("""COMPUTED_VALUE"""),"2002")</f>
        <v>2002</v>
      </c>
      <c r="AB667" s="15" t="str">
        <f>IFERROR(__xludf.DUMMYFUNCTION("ARRAYFORMULA(VLOOKUP(A667,IMPORTRANGE(""https://docs.google.com/spreadsheets/d/1BuTWp7qHGjWhqrnf-OmePP568O4A5Am9ttzvVdP67zw/edit#gid=1931367683"" ,""ENERGY!$A$2:$F$2692""), {2,3,4,5,6},0))"),"Africa")</f>
        <v>Africa</v>
      </c>
      <c r="AC667" s="14" t="str">
        <f>IFERROR(__xludf.DUMMYFUNCTION("""COMPUTED_VALUE"""),"Djibouti-Africa")</f>
        <v>Djibouti-Africa</v>
      </c>
      <c r="AD667" s="14" t="str">
        <f>IFERROR(__xludf.DUMMYFUNCTION("""COMPUTED_VALUE"""),"2002")</f>
        <v>2002</v>
      </c>
      <c r="AE667" s="14"/>
      <c r="AF667" s="14">
        <f>IFERROR(__xludf.DUMMYFUNCTION("""COMPUTED_VALUE"""),539.0)</f>
        <v>539</v>
      </c>
    </row>
    <row r="668">
      <c r="A668" s="12">
        <v>667.0</v>
      </c>
      <c r="B668" s="12" t="s">
        <v>130</v>
      </c>
      <c r="C668" s="5" t="s">
        <v>77</v>
      </c>
      <c r="D668" s="8"/>
      <c r="E668" s="8"/>
      <c r="F668" s="8"/>
      <c r="G668" s="8"/>
      <c r="H668" s="11">
        <v>0.006</v>
      </c>
      <c r="I668" s="11">
        <v>0.03</v>
      </c>
      <c r="J668" s="9" t="s">
        <v>64</v>
      </c>
      <c r="K668" s="14" t="str">
        <f>IFERROR(__xludf.DUMMYFUNCTION("ARRAYFORMULA(VLOOKUP(A668,IMPORTRANGE(""https://docs.google.com/spreadsheets/d/1BuTWp7qHGjWhqrnf-OmePP568O4A5Am9ttzvVdP67zw/edit#gid=1603210130"", ""TOURISM!$A$2:$F$2692""), {2,3,4,5,6},0))"),"Africa")</f>
        <v>Africa</v>
      </c>
      <c r="L668" s="14">
        <f>IFERROR(__xludf.DUMMYFUNCTION("""COMPUTED_VALUE"""),6900000.0)</f>
        <v>6900000</v>
      </c>
      <c r="M668" s="14" t="str">
        <f>IFERROR(__xludf.DUMMYFUNCTION("""COMPUTED_VALUE"""),"Djibouti-Africa")</f>
        <v>Djibouti-Africa</v>
      </c>
      <c r="N668" s="14" t="str">
        <f>IFERROR(__xludf.DUMMYFUNCTION("""COMPUTED_VALUE"""),"2003")</f>
        <v>2003</v>
      </c>
      <c r="O668" s="14">
        <f>IFERROR(__xludf.DUMMYFUNCTION("""COMPUTED_VALUE"""),9900000.0)</f>
        <v>9900000</v>
      </c>
      <c r="P668" s="15">
        <f>IFERROR(__xludf.DUMMYFUNCTION("ARRAYFORMULA(VLOOKUP(A668,IMPORTRANGE(""https://docs.google.com/spreadsheets/d/1BuTWp7qHGjWhqrnf-OmePP568O4A5Am9ttzvVdP67zw/edit#gid=771602874"" ,""HUMAN RESOURCES!$A$2:$M$2692""), {2,3,4,5,6,7,8,9,10,11,12,13},0))"),0.029)</f>
        <v>0.029</v>
      </c>
      <c r="Q668" s="14">
        <f>IFERROR(__xludf.DUMMYFUNCTION("""COMPUTED_VALUE"""),0.075)</f>
        <v>0.075</v>
      </c>
      <c r="R668" s="14">
        <f>IFERROR(__xludf.DUMMYFUNCTION("""COMPUTED_VALUE"""),59.0)</f>
        <v>59</v>
      </c>
      <c r="S668" s="14">
        <f>IFERROR(__xludf.DUMMYFUNCTION("""COMPUTED_VALUE"""),56.0)</f>
        <v>56</v>
      </c>
      <c r="T668" s="14">
        <f>IFERROR(__xludf.DUMMYFUNCTION("""COMPUTED_VALUE"""),0.39)</f>
        <v>0.39</v>
      </c>
      <c r="U668" s="14">
        <f>IFERROR(__xludf.DUMMYFUNCTION("""COMPUTED_VALUE"""),0.578)</f>
        <v>0.578</v>
      </c>
      <c r="V668" s="14">
        <f>IFERROR(__xludf.DUMMYFUNCTION("""COMPUTED_VALUE"""),0.032)</f>
        <v>0.032</v>
      </c>
      <c r="W668" s="14">
        <f>IFERROR(__xludf.DUMMYFUNCTION("""COMPUTED_VALUE"""),755085.0)</f>
        <v>755085</v>
      </c>
      <c r="X668" s="14">
        <f>IFERROR(__xludf.DUMMYFUNCTION("""COMPUTED_VALUE"""),0.767)</f>
        <v>0.767</v>
      </c>
      <c r="Y668" s="14" t="str">
        <f>IFERROR(__xludf.DUMMYFUNCTION("""COMPUTED_VALUE"""),"Djibouti-Africa")</f>
        <v>Djibouti-Africa</v>
      </c>
      <c r="Z668" s="14" t="str">
        <f>IFERROR(__xludf.DUMMYFUNCTION("""COMPUTED_VALUE"""),"Africa")</f>
        <v>Africa</v>
      </c>
      <c r="AA668" s="14" t="str">
        <f>IFERROR(__xludf.DUMMYFUNCTION("""COMPUTED_VALUE"""),"2003")</f>
        <v>2003</v>
      </c>
      <c r="AB668" s="15" t="str">
        <f>IFERROR(__xludf.DUMMYFUNCTION("ARRAYFORMULA(VLOOKUP(A668,IMPORTRANGE(""https://docs.google.com/spreadsheets/d/1BuTWp7qHGjWhqrnf-OmePP568O4A5Am9ttzvVdP67zw/edit#gid=1931367683"" ,""ENERGY!$A$2:$F$2692""), {2,3,4,5,6},0))"),"Africa")</f>
        <v>Africa</v>
      </c>
      <c r="AC668" s="14" t="str">
        <f>IFERROR(__xludf.DUMMYFUNCTION("""COMPUTED_VALUE"""),"Djibouti-Africa")</f>
        <v>Djibouti-Africa</v>
      </c>
      <c r="AD668" s="14" t="str">
        <f>IFERROR(__xludf.DUMMYFUNCTION("""COMPUTED_VALUE"""),"2003")</f>
        <v>2003</v>
      </c>
      <c r="AE668" s="14"/>
      <c r="AF668" s="14">
        <f>IFERROR(__xludf.DUMMYFUNCTION("""COMPUTED_VALUE"""),532.0)</f>
        <v>532</v>
      </c>
    </row>
    <row r="669">
      <c r="A669" s="12">
        <v>668.0</v>
      </c>
      <c r="B669" s="12" t="s">
        <v>130</v>
      </c>
      <c r="C669" s="5" t="s">
        <v>77</v>
      </c>
      <c r="D669" s="8"/>
      <c r="E669" s="8"/>
      <c r="F669" s="8"/>
      <c r="G669" s="8"/>
      <c r="H669" s="11">
        <v>0.008</v>
      </c>
      <c r="I669" s="11">
        <v>0.045</v>
      </c>
      <c r="J669" s="9" t="s">
        <v>65</v>
      </c>
      <c r="K669" s="14" t="str">
        <f>IFERROR(__xludf.DUMMYFUNCTION("ARRAYFORMULA(VLOOKUP(A669,IMPORTRANGE(""https://docs.google.com/spreadsheets/d/1BuTWp7qHGjWhqrnf-OmePP568O4A5Am9ttzvVdP67zw/edit#gid=1603210130"", ""TOURISM!$A$2:$F$2692""), {2,3,4,5,6},0))"),"Africa")</f>
        <v>Africa</v>
      </c>
      <c r="L669" s="14">
        <f>IFERROR(__xludf.DUMMYFUNCTION("""COMPUTED_VALUE"""),6800000.0)</f>
        <v>6800000</v>
      </c>
      <c r="M669" s="14" t="str">
        <f>IFERROR(__xludf.DUMMYFUNCTION("""COMPUTED_VALUE"""),"Djibouti-Africa")</f>
        <v>Djibouti-Africa</v>
      </c>
      <c r="N669" s="14" t="str">
        <f>IFERROR(__xludf.DUMMYFUNCTION("""COMPUTED_VALUE"""),"2004")</f>
        <v>2004</v>
      </c>
      <c r="O669" s="14">
        <f>IFERROR(__xludf.DUMMYFUNCTION("""COMPUTED_VALUE"""),1.4E7)</f>
        <v>14000000</v>
      </c>
      <c r="P669" s="15">
        <f>IFERROR(__xludf.DUMMYFUNCTION("ARRAYFORMULA(VLOOKUP(A669,IMPORTRANGE(""https://docs.google.com/spreadsheets/d/1BuTWp7qHGjWhqrnf-OmePP568O4A5Am9ttzvVdP67zw/edit#gid=771602874"" ,""HUMAN RESOURCES!$A$2:$M$2692""), {2,3,4,5,6,7,8,9,10,11,12,13},0))"),0.029)</f>
        <v>0.029</v>
      </c>
      <c r="Q669" s="14">
        <f>IFERROR(__xludf.DUMMYFUNCTION("""COMPUTED_VALUE"""),0.073)</f>
        <v>0.073</v>
      </c>
      <c r="R669" s="14">
        <f>IFERROR(__xludf.DUMMYFUNCTION("""COMPUTED_VALUE"""),59.0)</f>
        <v>59</v>
      </c>
      <c r="S669" s="14">
        <f>IFERROR(__xludf.DUMMYFUNCTION("""COMPUTED_VALUE"""),56.0)</f>
        <v>56</v>
      </c>
      <c r="T669" s="14">
        <f>IFERROR(__xludf.DUMMYFUNCTION("""COMPUTED_VALUE"""),0.381)</f>
        <v>0.381</v>
      </c>
      <c r="U669" s="14">
        <f>IFERROR(__xludf.DUMMYFUNCTION("""COMPUTED_VALUE"""),0.586)</f>
        <v>0.586</v>
      </c>
      <c r="V669" s="14">
        <f>IFERROR(__xludf.DUMMYFUNCTION("""COMPUTED_VALUE"""),0.033)</f>
        <v>0.033</v>
      </c>
      <c r="W669" s="14">
        <f>IFERROR(__xludf.DUMMYFUNCTION("""COMPUTED_VALUE"""),765776.0)</f>
        <v>765776</v>
      </c>
      <c r="X669" s="14">
        <f>IFERROR(__xludf.DUMMYFUNCTION("""COMPUTED_VALUE"""),0.767)</f>
        <v>0.767</v>
      </c>
      <c r="Y669" s="14" t="str">
        <f>IFERROR(__xludf.DUMMYFUNCTION("""COMPUTED_VALUE"""),"Djibouti-Africa")</f>
        <v>Djibouti-Africa</v>
      </c>
      <c r="Z669" s="14" t="str">
        <f>IFERROR(__xludf.DUMMYFUNCTION("""COMPUTED_VALUE"""),"Africa")</f>
        <v>Africa</v>
      </c>
      <c r="AA669" s="14" t="str">
        <f>IFERROR(__xludf.DUMMYFUNCTION("""COMPUTED_VALUE"""),"2004")</f>
        <v>2004</v>
      </c>
      <c r="AB669" s="15" t="str">
        <f>IFERROR(__xludf.DUMMYFUNCTION("ARRAYFORMULA(VLOOKUP(A669,IMPORTRANGE(""https://docs.google.com/spreadsheets/d/1BuTWp7qHGjWhqrnf-OmePP568O4A5Am9ttzvVdP67zw/edit#gid=1931367683"" ,""ENERGY!$A$2:$F$2692""), {2,3,4,5,6},0))"),"Africa")</f>
        <v>Africa</v>
      </c>
      <c r="AC669" s="14" t="str">
        <f>IFERROR(__xludf.DUMMYFUNCTION("""COMPUTED_VALUE"""),"Djibouti-Africa")</f>
        <v>Djibouti-Africa</v>
      </c>
      <c r="AD669" s="14" t="str">
        <f>IFERROR(__xludf.DUMMYFUNCTION("""COMPUTED_VALUE"""),"2004")</f>
        <v>2004</v>
      </c>
      <c r="AE669" s="14"/>
      <c r="AF669" s="14">
        <f>IFERROR(__xludf.DUMMYFUNCTION("""COMPUTED_VALUE"""),524.0)</f>
        <v>524</v>
      </c>
    </row>
    <row r="670">
      <c r="A670" s="12">
        <v>669.0</v>
      </c>
      <c r="B670" s="12" t="s">
        <v>130</v>
      </c>
      <c r="C670" s="5" t="s">
        <v>77</v>
      </c>
      <c r="D670" s="11">
        <v>0.378</v>
      </c>
      <c r="E670" s="11">
        <v>37.0</v>
      </c>
      <c r="F670" s="8"/>
      <c r="G670" s="11">
        <v>66.0</v>
      </c>
      <c r="H670" s="11">
        <v>0.01</v>
      </c>
      <c r="I670" s="11">
        <v>0.057</v>
      </c>
      <c r="J670" s="9" t="s">
        <v>66</v>
      </c>
      <c r="K670" s="14" t="str">
        <f>IFERROR(__xludf.DUMMYFUNCTION("ARRAYFORMULA(VLOOKUP(A670,IMPORTRANGE(""https://docs.google.com/spreadsheets/d/1BuTWp7qHGjWhqrnf-OmePP568O4A5Am9ttzvVdP67zw/edit#gid=1603210130"", ""TOURISM!$A$2:$F$2692""), {2,3,4,5,6},0))"),"Africa")</f>
        <v>Africa</v>
      </c>
      <c r="L670" s="14">
        <f>IFERROR(__xludf.DUMMYFUNCTION("""COMPUTED_VALUE"""),7100000.0)</f>
        <v>7100000</v>
      </c>
      <c r="M670" s="14" t="str">
        <f>IFERROR(__xludf.DUMMYFUNCTION("""COMPUTED_VALUE"""),"Djibouti-Africa")</f>
        <v>Djibouti-Africa</v>
      </c>
      <c r="N670" s="14" t="str">
        <f>IFERROR(__xludf.DUMMYFUNCTION("""COMPUTED_VALUE"""),"2005")</f>
        <v>2005</v>
      </c>
      <c r="O670" s="14">
        <f>IFERROR(__xludf.DUMMYFUNCTION("""COMPUTED_VALUE"""),1.44E7)</f>
        <v>14400000</v>
      </c>
      <c r="P670" s="15">
        <f>IFERROR(__xludf.DUMMYFUNCTION("ARRAYFORMULA(VLOOKUP(A670,IMPORTRANGE(""https://docs.google.com/spreadsheets/d/1BuTWp7qHGjWhqrnf-OmePP568O4A5Am9ttzvVdP67zw/edit#gid=771602874"" ,""HUMAN RESOURCES!$A$2:$M$2692""), {2,3,4,5,6,7,8,9,10,11,12,13},0))"),0.029)</f>
        <v>0.029</v>
      </c>
      <c r="Q670" s="14">
        <f>IFERROR(__xludf.DUMMYFUNCTION("""COMPUTED_VALUE"""),0.071)</f>
        <v>0.071</v>
      </c>
      <c r="R670" s="14">
        <f>IFERROR(__xludf.DUMMYFUNCTION("""COMPUTED_VALUE"""),59.0)</f>
        <v>59</v>
      </c>
      <c r="S670" s="14">
        <f>IFERROR(__xludf.DUMMYFUNCTION("""COMPUTED_VALUE"""),57.0)</f>
        <v>57</v>
      </c>
      <c r="T670" s="14">
        <f>IFERROR(__xludf.DUMMYFUNCTION("""COMPUTED_VALUE"""),0.373)</f>
        <v>0.373</v>
      </c>
      <c r="U670" s="14">
        <f>IFERROR(__xludf.DUMMYFUNCTION("""COMPUTED_VALUE"""),0.594)</f>
        <v>0.594</v>
      </c>
      <c r="V670" s="14">
        <f>IFERROR(__xludf.DUMMYFUNCTION("""COMPUTED_VALUE"""),0.034)</f>
        <v>0.034</v>
      </c>
      <c r="W670" s="14">
        <f>IFERROR(__xludf.DUMMYFUNCTION("""COMPUTED_VALUE"""),776585.0)</f>
        <v>776585</v>
      </c>
      <c r="X670" s="14">
        <f>IFERROR(__xludf.DUMMYFUNCTION("""COMPUTED_VALUE"""),0.768)</f>
        <v>0.768</v>
      </c>
      <c r="Y670" s="14" t="str">
        <f>IFERROR(__xludf.DUMMYFUNCTION("""COMPUTED_VALUE"""),"Djibouti-Africa")</f>
        <v>Djibouti-Africa</v>
      </c>
      <c r="Z670" s="14" t="str">
        <f>IFERROR(__xludf.DUMMYFUNCTION("""COMPUTED_VALUE"""),"Africa")</f>
        <v>Africa</v>
      </c>
      <c r="AA670" s="14" t="str">
        <f>IFERROR(__xludf.DUMMYFUNCTION("""COMPUTED_VALUE"""),"2005")</f>
        <v>2005</v>
      </c>
      <c r="AB670" s="15" t="str">
        <f>IFERROR(__xludf.DUMMYFUNCTION("ARRAYFORMULA(VLOOKUP(A670,IMPORTRANGE(""https://docs.google.com/spreadsheets/d/1BuTWp7qHGjWhqrnf-OmePP568O4A5Am9ttzvVdP67zw/edit#gid=1931367683"" ,""ENERGY!$A$2:$F$2692""), {2,3,4,5,6},0))"),"Africa")</f>
        <v>Africa</v>
      </c>
      <c r="AC670" s="14" t="str">
        <f>IFERROR(__xludf.DUMMYFUNCTION("""COMPUTED_VALUE"""),"Djibouti-Africa")</f>
        <v>Djibouti-Africa</v>
      </c>
      <c r="AD670" s="14" t="str">
        <f>IFERROR(__xludf.DUMMYFUNCTION("""COMPUTED_VALUE"""),"2006")</f>
        <v>2006</v>
      </c>
      <c r="AE670" s="14">
        <f>IFERROR(__xludf.DUMMYFUNCTION("""COMPUTED_VALUE"""),143.0)</f>
        <v>143</v>
      </c>
      <c r="AF670" s="14">
        <f>IFERROR(__xludf.DUMMYFUNCTION("""COMPUTED_VALUE"""),488.0)</f>
        <v>488</v>
      </c>
    </row>
    <row r="671">
      <c r="A671" s="12">
        <v>670.0</v>
      </c>
      <c r="B671" s="12" t="s">
        <v>130</v>
      </c>
      <c r="C671" s="5" t="s">
        <v>77</v>
      </c>
      <c r="D671" s="11">
        <v>0.378</v>
      </c>
      <c r="E671" s="11">
        <v>37.0</v>
      </c>
      <c r="F671" s="8"/>
      <c r="G671" s="11">
        <v>66.0</v>
      </c>
      <c r="H671" s="11">
        <v>0.013</v>
      </c>
      <c r="I671" s="11">
        <v>0.057</v>
      </c>
      <c r="J671" s="9" t="s">
        <v>67</v>
      </c>
      <c r="K671" s="14" t="str">
        <f>IFERROR(__xludf.DUMMYFUNCTION("ARRAYFORMULA(VLOOKUP(A671,IMPORTRANGE(""https://docs.google.com/spreadsheets/d/1BuTWp7qHGjWhqrnf-OmePP568O4A5Am9ttzvVdP67zw/edit#gid=1603210130"", ""TOURISM!$A$2:$F$2692""), {2,3,4,5,6},0))"),"Africa")</f>
        <v>Africa</v>
      </c>
      <c r="L671" s="14">
        <f>IFERROR(__xludf.DUMMYFUNCTION("""COMPUTED_VALUE"""),9800000.0)</f>
        <v>9800000</v>
      </c>
      <c r="M671" s="14" t="str">
        <f>IFERROR(__xludf.DUMMYFUNCTION("""COMPUTED_VALUE"""),"Djibouti-Africa")</f>
        <v>Djibouti-Africa</v>
      </c>
      <c r="N671" s="14" t="str">
        <f>IFERROR(__xludf.DUMMYFUNCTION("""COMPUTED_VALUE"""),"2006")</f>
        <v>2006</v>
      </c>
      <c r="O671" s="14">
        <f>IFERROR(__xludf.DUMMYFUNCTION("""COMPUTED_VALUE"""),1.5E7)</f>
        <v>15000000</v>
      </c>
      <c r="P671" s="15">
        <f>IFERROR(__xludf.DUMMYFUNCTION("ARRAYFORMULA(VLOOKUP(A671,IMPORTRANGE(""https://docs.google.com/spreadsheets/d/1BuTWp7qHGjWhqrnf-OmePP568O4A5Am9ttzvVdP67zw/edit#gid=771602874"" ,""HUMAN RESOURCES!$A$2:$M$2692""), {2,3,4,5,6,7,8,9,10,11,12,13},0))"),0.029)</f>
        <v>0.029</v>
      </c>
      <c r="Q671" s="14">
        <f>IFERROR(__xludf.DUMMYFUNCTION("""COMPUTED_VALUE"""),0.069)</f>
        <v>0.069</v>
      </c>
      <c r="R671" s="14">
        <f>IFERROR(__xludf.DUMMYFUNCTION("""COMPUTED_VALUE"""),60.0)</f>
        <v>60</v>
      </c>
      <c r="S671" s="14">
        <f>IFERROR(__xludf.DUMMYFUNCTION("""COMPUTED_VALUE"""),57.0)</f>
        <v>57</v>
      </c>
      <c r="T671" s="14">
        <f>IFERROR(__xludf.DUMMYFUNCTION("""COMPUTED_VALUE"""),0.365)</f>
        <v>0.365</v>
      </c>
      <c r="U671" s="14">
        <f>IFERROR(__xludf.DUMMYFUNCTION("""COMPUTED_VALUE"""),0.601)</f>
        <v>0.601</v>
      </c>
      <c r="V671" s="14">
        <f>IFERROR(__xludf.DUMMYFUNCTION("""COMPUTED_VALUE"""),0.034)</f>
        <v>0.034</v>
      </c>
      <c r="W671" s="14">
        <f>IFERROR(__xludf.DUMMYFUNCTION("""COMPUTED_VALUE"""),787544.0)</f>
        <v>787544</v>
      </c>
      <c r="X671" s="14">
        <f>IFERROR(__xludf.DUMMYFUNCTION("""COMPUTED_VALUE"""),0.768)</f>
        <v>0.768</v>
      </c>
      <c r="Y671" s="14" t="str">
        <f>IFERROR(__xludf.DUMMYFUNCTION("""COMPUTED_VALUE"""),"Djibouti-Africa")</f>
        <v>Djibouti-Africa</v>
      </c>
      <c r="Z671" s="14" t="str">
        <f>IFERROR(__xludf.DUMMYFUNCTION("""COMPUTED_VALUE"""),"Africa")</f>
        <v>Africa</v>
      </c>
      <c r="AA671" s="14" t="str">
        <f>IFERROR(__xludf.DUMMYFUNCTION("""COMPUTED_VALUE"""),"2006")</f>
        <v>2006</v>
      </c>
      <c r="AB671" s="15" t="str">
        <f>IFERROR(__xludf.DUMMYFUNCTION("ARRAYFORMULA(VLOOKUP(A671,IMPORTRANGE(""https://docs.google.com/spreadsheets/d/1BuTWp7qHGjWhqrnf-OmePP568O4A5Am9ttzvVdP67zw/edit#gid=1931367683"" ,""ENERGY!$A$2:$F$2692""), {2,3,4,5,6},0))"),"Africa")</f>
        <v>Africa</v>
      </c>
      <c r="AC671" s="14" t="str">
        <f>IFERROR(__xludf.DUMMYFUNCTION("""COMPUTED_VALUE"""),"Djibouti-Africa")</f>
        <v>Djibouti-Africa</v>
      </c>
      <c r="AD671" s="14" t="str">
        <f>IFERROR(__xludf.DUMMYFUNCTION("""COMPUTED_VALUE"""),"2010")</f>
        <v>2010</v>
      </c>
      <c r="AE671" s="14">
        <f>IFERROR(__xludf.DUMMYFUNCTION("""COMPUTED_VALUE"""),143.0)</f>
        <v>143</v>
      </c>
      <c r="AF671" s="14">
        <f>IFERROR(__xludf.DUMMYFUNCTION("""COMPUTED_VALUE"""),488.0)</f>
        <v>488</v>
      </c>
    </row>
    <row r="672">
      <c r="A672" s="12">
        <v>671.0</v>
      </c>
      <c r="B672" s="12" t="s">
        <v>130</v>
      </c>
      <c r="C672" s="5" t="s">
        <v>77</v>
      </c>
      <c r="D672" s="11">
        <v>0.378</v>
      </c>
      <c r="E672" s="11">
        <v>37.0</v>
      </c>
      <c r="F672" s="8"/>
      <c r="G672" s="11">
        <v>66.0</v>
      </c>
      <c r="H672" s="11">
        <v>0.016</v>
      </c>
      <c r="I672" s="11">
        <v>0.087</v>
      </c>
      <c r="J672" s="9" t="s">
        <v>68</v>
      </c>
      <c r="K672" s="14" t="str">
        <f>IFERROR(__xludf.DUMMYFUNCTION("ARRAYFORMULA(VLOOKUP(A672,IMPORTRANGE(""https://docs.google.com/spreadsheets/d/1BuTWp7qHGjWhqrnf-OmePP568O4A5Am9ttzvVdP67zw/edit#gid=1603210130"", ""TOURISM!$A$2:$F$2692""), {2,3,4,5,6},0))"),"Africa")</f>
        <v>Africa</v>
      </c>
      <c r="L672" s="14">
        <f>IFERROR(__xludf.DUMMYFUNCTION("""COMPUTED_VALUE"""),6800000.0)</f>
        <v>6800000</v>
      </c>
      <c r="M672" s="14" t="str">
        <f>IFERROR(__xludf.DUMMYFUNCTION("""COMPUTED_VALUE"""),"Djibouti-Africa")</f>
        <v>Djibouti-Africa</v>
      </c>
      <c r="N672" s="14" t="str">
        <f>IFERROR(__xludf.DUMMYFUNCTION("""COMPUTED_VALUE"""),"2007")</f>
        <v>2007</v>
      </c>
      <c r="O672" s="14">
        <f>IFERROR(__xludf.DUMMYFUNCTION("""COMPUTED_VALUE"""),1.42E7)</f>
        <v>14200000</v>
      </c>
      <c r="P672" s="15">
        <f>IFERROR(__xludf.DUMMYFUNCTION("ARRAYFORMULA(VLOOKUP(A672,IMPORTRANGE(""https://docs.google.com/spreadsheets/d/1BuTWp7qHGjWhqrnf-OmePP568O4A5Am9ttzvVdP67zw/edit#gid=771602874"" ,""HUMAN RESOURCES!$A$2:$M$2692""), {2,3,4,5,6,7,8,9,10,11,12,13},0))"),0.029)</f>
        <v>0.029</v>
      </c>
      <c r="Q672" s="14">
        <f>IFERROR(__xludf.DUMMYFUNCTION("""COMPUTED_VALUE"""),0.067)</f>
        <v>0.067</v>
      </c>
      <c r="R672" s="14">
        <f>IFERROR(__xludf.DUMMYFUNCTION("""COMPUTED_VALUE"""),60.0)</f>
        <v>60</v>
      </c>
      <c r="S672" s="14">
        <f>IFERROR(__xludf.DUMMYFUNCTION("""COMPUTED_VALUE"""),57.0)</f>
        <v>57</v>
      </c>
      <c r="T672" s="14">
        <f>IFERROR(__xludf.DUMMYFUNCTION("""COMPUTED_VALUE"""),0.357)</f>
        <v>0.357</v>
      </c>
      <c r="U672" s="14">
        <f>IFERROR(__xludf.DUMMYFUNCTION("""COMPUTED_VALUE"""),0.608)</f>
        <v>0.608</v>
      </c>
      <c r="V672" s="14">
        <f>IFERROR(__xludf.DUMMYFUNCTION("""COMPUTED_VALUE"""),0.035)</f>
        <v>0.035</v>
      </c>
      <c r="W672" s="14">
        <f>IFERROR(__xludf.DUMMYFUNCTION("""COMPUTED_VALUE"""),798690.0)</f>
        <v>798690</v>
      </c>
      <c r="X672" s="14">
        <f>IFERROR(__xludf.DUMMYFUNCTION("""COMPUTED_VALUE"""),0.769)</f>
        <v>0.769</v>
      </c>
      <c r="Y672" s="14" t="str">
        <f>IFERROR(__xludf.DUMMYFUNCTION("""COMPUTED_VALUE"""),"Djibouti-Africa")</f>
        <v>Djibouti-Africa</v>
      </c>
      <c r="Z672" s="14" t="str">
        <f>IFERROR(__xludf.DUMMYFUNCTION("""COMPUTED_VALUE"""),"Africa")</f>
        <v>Africa</v>
      </c>
      <c r="AA672" s="14" t="str">
        <f>IFERROR(__xludf.DUMMYFUNCTION("""COMPUTED_VALUE"""),"2007")</f>
        <v>2007</v>
      </c>
      <c r="AB672" s="15" t="str">
        <f>IFERROR(__xludf.DUMMYFUNCTION("ARRAYFORMULA(VLOOKUP(A672,IMPORTRANGE(""https://docs.google.com/spreadsheets/d/1BuTWp7qHGjWhqrnf-OmePP568O4A5Am9ttzvVdP67zw/edit#gid=1931367683"" ,""ENERGY!$A$2:$F$2692""), {2,3,4,5,6},0))"),"Africa")</f>
        <v>Africa</v>
      </c>
      <c r="AC672" s="14" t="str">
        <f>IFERROR(__xludf.DUMMYFUNCTION("""COMPUTED_VALUE"""),"Djibouti-Africa")</f>
        <v>Djibouti-Africa</v>
      </c>
      <c r="AD672" s="14" t="str">
        <f>IFERROR(__xludf.DUMMYFUNCTION("""COMPUTED_VALUE"""),"2007")</f>
        <v>2007</v>
      </c>
      <c r="AE672" s="14">
        <f>IFERROR(__xludf.DUMMYFUNCTION("""COMPUTED_VALUE"""),139.0)</f>
        <v>139</v>
      </c>
      <c r="AF672" s="14">
        <f>IFERROR(__xludf.DUMMYFUNCTION("""COMPUTED_VALUE"""),473.0)</f>
        <v>473</v>
      </c>
    </row>
    <row r="673">
      <c r="A673" s="12">
        <v>672.0</v>
      </c>
      <c r="B673" s="12" t="s">
        <v>130</v>
      </c>
      <c r="C673" s="5" t="s">
        <v>77</v>
      </c>
      <c r="D673" s="11">
        <v>0.378</v>
      </c>
      <c r="E673" s="11">
        <v>37.0</v>
      </c>
      <c r="F673" s="8"/>
      <c r="G673" s="11">
        <v>66.0</v>
      </c>
      <c r="H673" s="11">
        <v>0.023</v>
      </c>
      <c r="I673" s="11">
        <v>0.139</v>
      </c>
      <c r="J673" s="9" t="s">
        <v>69</v>
      </c>
      <c r="K673" s="14" t="str">
        <f>IFERROR(__xludf.DUMMYFUNCTION("ARRAYFORMULA(VLOOKUP(A673,IMPORTRANGE(""https://docs.google.com/spreadsheets/d/1BuTWp7qHGjWhqrnf-OmePP568O4A5Am9ttzvVdP67zw/edit#gid=1603210130"", ""TOURISM!$A$2:$F$2692""), {2,3,4,5,6},0))"),"Africa")</f>
        <v>Africa</v>
      </c>
      <c r="L673" s="14">
        <f>IFERROR(__xludf.DUMMYFUNCTION("""COMPUTED_VALUE"""),7800000.0)</f>
        <v>7800000</v>
      </c>
      <c r="M673" s="14" t="str">
        <f>IFERROR(__xludf.DUMMYFUNCTION("""COMPUTED_VALUE"""),"Djibouti-Africa")</f>
        <v>Djibouti-Africa</v>
      </c>
      <c r="N673" s="14" t="str">
        <f>IFERROR(__xludf.DUMMYFUNCTION("""COMPUTED_VALUE"""),"2008")</f>
        <v>2008</v>
      </c>
      <c r="O673" s="14">
        <f>IFERROR(__xludf.DUMMYFUNCTION("""COMPUTED_VALUE"""),1.55E7)</f>
        <v>15500000</v>
      </c>
      <c r="P673" s="15">
        <f>IFERROR(__xludf.DUMMYFUNCTION("ARRAYFORMULA(VLOOKUP(A673,IMPORTRANGE(""https://docs.google.com/spreadsheets/d/1BuTWp7qHGjWhqrnf-OmePP568O4A5Am9ttzvVdP67zw/edit#gid=771602874"" ,""HUMAN RESOURCES!$A$2:$M$2692""), {2,3,4,5,6,7,8,9,10,11,12,13},0))"),0.029)</f>
        <v>0.029</v>
      </c>
      <c r="Q673" s="14">
        <f>IFERROR(__xludf.DUMMYFUNCTION("""COMPUTED_VALUE"""),0.066)</f>
        <v>0.066</v>
      </c>
      <c r="R673" s="14">
        <f>IFERROR(__xludf.DUMMYFUNCTION("""COMPUTED_VALUE"""),61.0)</f>
        <v>61</v>
      </c>
      <c r="S673" s="14">
        <f>IFERROR(__xludf.DUMMYFUNCTION("""COMPUTED_VALUE"""),58.0)</f>
        <v>58</v>
      </c>
      <c r="T673" s="14">
        <f>IFERROR(__xludf.DUMMYFUNCTION("""COMPUTED_VALUE"""),0.351)</f>
        <v>0.351</v>
      </c>
      <c r="U673" s="14">
        <f>IFERROR(__xludf.DUMMYFUNCTION("""COMPUTED_VALUE"""),0.614)</f>
        <v>0.614</v>
      </c>
      <c r="V673" s="14">
        <f>IFERROR(__xludf.DUMMYFUNCTION("""COMPUTED_VALUE"""),0.035)</f>
        <v>0.035</v>
      </c>
      <c r="W673" s="14">
        <f>IFERROR(__xludf.DUMMYFUNCTION("""COMPUTED_VALUE"""),810100.0)</f>
        <v>810100</v>
      </c>
      <c r="X673" s="14">
        <f>IFERROR(__xludf.DUMMYFUNCTION("""COMPUTED_VALUE"""),0.769)</f>
        <v>0.769</v>
      </c>
      <c r="Y673" s="14" t="str">
        <f>IFERROR(__xludf.DUMMYFUNCTION("""COMPUTED_VALUE"""),"Djibouti-Africa")</f>
        <v>Djibouti-Africa</v>
      </c>
      <c r="Z673" s="14" t="str">
        <f>IFERROR(__xludf.DUMMYFUNCTION("""COMPUTED_VALUE"""),"Africa")</f>
        <v>Africa</v>
      </c>
      <c r="AA673" s="14" t="str">
        <f>IFERROR(__xludf.DUMMYFUNCTION("""COMPUTED_VALUE"""),"2008")</f>
        <v>2008</v>
      </c>
      <c r="AB673" s="15" t="str">
        <f>IFERROR(__xludf.DUMMYFUNCTION("ARRAYFORMULA(VLOOKUP(A673,IMPORTRANGE(""https://docs.google.com/spreadsheets/d/1BuTWp7qHGjWhqrnf-OmePP568O4A5Am9ttzvVdP67zw/edit#gid=1931367683"" ,""ENERGY!$A$2:$F$2692""), {2,3,4,5,6},0))"),"Africa")</f>
        <v>Africa</v>
      </c>
      <c r="AC673" s="14" t="str">
        <f>IFERROR(__xludf.DUMMYFUNCTION("""COMPUTED_VALUE"""),"Djibouti-Africa")</f>
        <v>Djibouti-Africa</v>
      </c>
      <c r="AD673" s="14" t="str">
        <f>IFERROR(__xludf.DUMMYFUNCTION("""COMPUTED_VALUE"""),"2005")</f>
        <v>2005</v>
      </c>
      <c r="AE673" s="14">
        <f>IFERROR(__xludf.DUMMYFUNCTION("""COMPUTED_VALUE"""),133.0)</f>
        <v>133</v>
      </c>
      <c r="AF673" s="14">
        <f>IFERROR(__xludf.DUMMYFUNCTION("""COMPUTED_VALUE"""),458.0)</f>
        <v>458</v>
      </c>
    </row>
    <row r="674">
      <c r="A674" s="12">
        <v>673.0</v>
      </c>
      <c r="B674" s="12" t="s">
        <v>130</v>
      </c>
      <c r="C674" s="5" t="s">
        <v>77</v>
      </c>
      <c r="D674" s="11">
        <v>0.378</v>
      </c>
      <c r="E674" s="11">
        <v>37.0</v>
      </c>
      <c r="F674" s="8"/>
      <c r="G674" s="11">
        <v>66.0</v>
      </c>
      <c r="H674" s="11">
        <v>0.04</v>
      </c>
      <c r="I674" s="11">
        <v>0.157</v>
      </c>
      <c r="J674" s="9" t="s">
        <v>70</v>
      </c>
      <c r="K674" s="14" t="str">
        <f>IFERROR(__xludf.DUMMYFUNCTION("ARRAYFORMULA(VLOOKUP(A674,IMPORTRANGE(""https://docs.google.com/spreadsheets/d/1BuTWp7qHGjWhqrnf-OmePP568O4A5Am9ttzvVdP67zw/edit#gid=1603210130"", ""TOURISM!$A$2:$F$2692""), {2,3,4,5,6},0))"),"Africa")</f>
        <v>Africa</v>
      </c>
      <c r="L674" s="14">
        <f>IFERROR(__xludf.DUMMYFUNCTION("""COMPUTED_VALUE"""),1.6E7)</f>
        <v>16000000</v>
      </c>
      <c r="M674" s="14" t="str">
        <f>IFERROR(__xludf.DUMMYFUNCTION("""COMPUTED_VALUE"""),"Djibouti-Africa")</f>
        <v>Djibouti-Africa</v>
      </c>
      <c r="N674" s="14" t="str">
        <f>IFERROR(__xludf.DUMMYFUNCTION("""COMPUTED_VALUE"""),"2009")</f>
        <v>2009</v>
      </c>
      <c r="O674" s="14">
        <f>IFERROR(__xludf.DUMMYFUNCTION("""COMPUTED_VALUE"""),1.75E7)</f>
        <v>17500000</v>
      </c>
      <c r="P674" s="15">
        <f>IFERROR(__xludf.DUMMYFUNCTION("ARRAYFORMULA(VLOOKUP(A674,IMPORTRANGE(""https://docs.google.com/spreadsheets/d/1BuTWp7qHGjWhqrnf-OmePP568O4A5Am9ttzvVdP67zw/edit#gid=771602874"" ,""HUMAN RESOURCES!$A$2:$M$2692""), {2,3,4,5,6,7,8,9,10,11,12,13},0))"),0.029)</f>
        <v>0.029</v>
      </c>
      <c r="Q674" s="14">
        <f>IFERROR(__xludf.DUMMYFUNCTION("""COMPUTED_VALUE"""),0.064)</f>
        <v>0.064</v>
      </c>
      <c r="R674" s="14">
        <f>IFERROR(__xludf.DUMMYFUNCTION("""COMPUTED_VALUE"""),61.0)</f>
        <v>61</v>
      </c>
      <c r="S674" s="14">
        <f>IFERROR(__xludf.DUMMYFUNCTION("""COMPUTED_VALUE"""),58.0)</f>
        <v>58</v>
      </c>
      <c r="T674" s="14">
        <f>IFERROR(__xludf.DUMMYFUNCTION("""COMPUTED_VALUE"""),0.345)</f>
        <v>0.345</v>
      </c>
      <c r="U674" s="14">
        <f>IFERROR(__xludf.DUMMYFUNCTION("""COMPUTED_VALUE"""),0.618)</f>
        <v>0.618</v>
      </c>
      <c r="V674" s="14">
        <f>IFERROR(__xludf.DUMMYFUNCTION("""COMPUTED_VALUE"""),0.036)</f>
        <v>0.036</v>
      </c>
      <c r="W674" s="14">
        <f>IFERROR(__xludf.DUMMYFUNCTION("""COMPUTED_VALUE"""),821865.0)</f>
        <v>821865</v>
      </c>
      <c r="X674" s="14">
        <f>IFERROR(__xludf.DUMMYFUNCTION("""COMPUTED_VALUE"""),0.769)</f>
        <v>0.769</v>
      </c>
      <c r="Y674" s="14" t="str">
        <f>IFERROR(__xludf.DUMMYFUNCTION("""COMPUTED_VALUE"""),"Djibouti-Africa")</f>
        <v>Djibouti-Africa</v>
      </c>
      <c r="Z674" s="14" t="str">
        <f>IFERROR(__xludf.DUMMYFUNCTION("""COMPUTED_VALUE"""),"Africa")</f>
        <v>Africa</v>
      </c>
      <c r="AA674" s="14" t="str">
        <f>IFERROR(__xludf.DUMMYFUNCTION("""COMPUTED_VALUE"""),"2009")</f>
        <v>2009</v>
      </c>
      <c r="AB674" s="15" t="str">
        <f>IFERROR(__xludf.DUMMYFUNCTION("ARRAYFORMULA(VLOOKUP(A674,IMPORTRANGE(""https://docs.google.com/spreadsheets/d/1BuTWp7qHGjWhqrnf-OmePP568O4A5Am9ttzvVdP67zw/edit#gid=1931367683"" ,""ENERGY!$A$2:$F$2692""), {2,3,4,5,6},0))"),"Africa")</f>
        <v>Africa</v>
      </c>
      <c r="AC674" s="14" t="str">
        <f>IFERROR(__xludf.DUMMYFUNCTION("""COMPUTED_VALUE"""),"Djibouti-Africa")</f>
        <v>Djibouti-Africa</v>
      </c>
      <c r="AD674" s="14" t="str">
        <f>IFERROR(__xludf.DUMMYFUNCTION("""COMPUTED_VALUE"""),"2009")</f>
        <v>2009</v>
      </c>
      <c r="AE674" s="14"/>
      <c r="AF674" s="14">
        <f>IFERROR(__xludf.DUMMYFUNCTION("""COMPUTED_VALUE"""),407.0)</f>
        <v>407</v>
      </c>
    </row>
    <row r="675">
      <c r="A675" s="12">
        <v>674.0</v>
      </c>
      <c r="B675" s="12" t="s">
        <v>130</v>
      </c>
      <c r="C675" s="5" t="s">
        <v>77</v>
      </c>
      <c r="D675" s="11">
        <v>0.378</v>
      </c>
      <c r="E675" s="11">
        <v>37.0</v>
      </c>
      <c r="F675" s="8"/>
      <c r="G675" s="11">
        <v>90.0</v>
      </c>
      <c r="H675" s="11">
        <v>0.065</v>
      </c>
      <c r="I675" s="11">
        <v>0.199</v>
      </c>
      <c r="J675" s="9" t="s">
        <v>71</v>
      </c>
      <c r="K675" s="14" t="str">
        <f>IFERROR(__xludf.DUMMYFUNCTION("ARRAYFORMULA(VLOOKUP(A675,IMPORTRANGE(""https://docs.google.com/spreadsheets/d/1BuTWp7qHGjWhqrnf-OmePP568O4A5Am9ttzvVdP67zw/edit#gid=1603210130"", ""TOURISM!$A$2:$F$2692""), {2,3,4,5,6},0))"),"Africa")</f>
        <v>Africa</v>
      </c>
      <c r="L675" s="14">
        <f>IFERROR(__xludf.DUMMYFUNCTION("""COMPUTED_VALUE"""),1.8E7)</f>
        <v>18000000</v>
      </c>
      <c r="M675" s="14" t="str">
        <f>IFERROR(__xludf.DUMMYFUNCTION("""COMPUTED_VALUE"""),"Djibouti-Africa")</f>
        <v>Djibouti-Africa</v>
      </c>
      <c r="N675" s="14" t="str">
        <f>IFERROR(__xludf.DUMMYFUNCTION("""COMPUTED_VALUE"""),"2010")</f>
        <v>2010</v>
      </c>
      <c r="O675" s="14">
        <f>IFERROR(__xludf.DUMMYFUNCTION("""COMPUTED_VALUE"""),2.05E7)</f>
        <v>20500000</v>
      </c>
      <c r="P675" s="15">
        <f>IFERROR(__xludf.DUMMYFUNCTION("ARRAYFORMULA(VLOOKUP(A675,IMPORTRANGE(""https://docs.google.com/spreadsheets/d/1BuTWp7qHGjWhqrnf-OmePP568O4A5Am9ttzvVdP67zw/edit#gid=771602874"" ,""HUMAN RESOURCES!$A$2:$M$2692""), {2,3,4,5,6,7,8,9,10,11,12,13},0))"),0.028)</f>
        <v>0.028</v>
      </c>
      <c r="Q675" s="14">
        <f>IFERROR(__xludf.DUMMYFUNCTION("""COMPUTED_VALUE"""),0.062)</f>
        <v>0.062</v>
      </c>
      <c r="R675" s="14">
        <f>IFERROR(__xludf.DUMMYFUNCTION("""COMPUTED_VALUE"""),62.0)</f>
        <v>62</v>
      </c>
      <c r="S675" s="14">
        <f>IFERROR(__xludf.DUMMYFUNCTION("""COMPUTED_VALUE"""),59.0)</f>
        <v>59</v>
      </c>
      <c r="T675" s="14">
        <f>IFERROR(__xludf.DUMMYFUNCTION("""COMPUTED_VALUE"""),0.341)</f>
        <v>0.341</v>
      </c>
      <c r="U675" s="14">
        <f>IFERROR(__xludf.DUMMYFUNCTION("""COMPUTED_VALUE"""),0.622)</f>
        <v>0.622</v>
      </c>
      <c r="V675" s="14">
        <f>IFERROR(__xludf.DUMMYFUNCTION("""COMPUTED_VALUE"""),0.037)</f>
        <v>0.037</v>
      </c>
      <c r="W675" s="14">
        <f>IFERROR(__xludf.DUMMYFUNCTION("""COMPUTED_VALUE"""),834036.0)</f>
        <v>834036</v>
      </c>
      <c r="X675" s="14">
        <f>IFERROR(__xludf.DUMMYFUNCTION("""COMPUTED_VALUE"""),0.77)</f>
        <v>0.77</v>
      </c>
      <c r="Y675" s="14" t="str">
        <f>IFERROR(__xludf.DUMMYFUNCTION("""COMPUTED_VALUE"""),"Djibouti-Africa")</f>
        <v>Djibouti-Africa</v>
      </c>
      <c r="Z675" s="14" t="str">
        <f>IFERROR(__xludf.DUMMYFUNCTION("""COMPUTED_VALUE"""),"Africa")</f>
        <v>Africa</v>
      </c>
      <c r="AA675" s="14" t="str">
        <f>IFERROR(__xludf.DUMMYFUNCTION("""COMPUTED_VALUE"""),"2010")</f>
        <v>2010</v>
      </c>
      <c r="AB675" s="15" t="str">
        <f>IFERROR(__xludf.DUMMYFUNCTION("ARRAYFORMULA(VLOOKUP(A675,IMPORTRANGE(""https://docs.google.com/spreadsheets/d/1BuTWp7qHGjWhqrnf-OmePP568O4A5Am9ttzvVdP67zw/edit#gid=1931367683"" ,""ENERGY!$A$2:$F$2692""), {2,3,4,5,6},0))"),"Africa")</f>
        <v>Africa</v>
      </c>
      <c r="AC675" s="14" t="str">
        <f>IFERROR(__xludf.DUMMYFUNCTION("""COMPUTED_VALUE"""),"Djibouti-Africa")</f>
        <v>Djibouti-Africa</v>
      </c>
      <c r="AD675" s="14" t="str">
        <f>IFERROR(__xludf.DUMMYFUNCTION("""COMPUTED_VALUE"""),"2008")</f>
        <v>2008</v>
      </c>
      <c r="AE675" s="14"/>
      <c r="AF675" s="14">
        <f>IFERROR(__xludf.DUMMYFUNCTION("""COMPUTED_VALUE"""),400.0)</f>
        <v>400</v>
      </c>
    </row>
    <row r="676">
      <c r="A676" s="12">
        <v>675.0</v>
      </c>
      <c r="B676" s="12" t="s">
        <v>130</v>
      </c>
      <c r="C676" s="5" t="s">
        <v>77</v>
      </c>
      <c r="D676" s="11">
        <v>0.378</v>
      </c>
      <c r="E676" s="11">
        <v>37.0</v>
      </c>
      <c r="F676" s="8"/>
      <c r="G676" s="11">
        <v>82.0</v>
      </c>
      <c r="H676" s="11">
        <v>0.07</v>
      </c>
      <c r="I676" s="11">
        <v>0.228</v>
      </c>
      <c r="J676" s="9" t="s">
        <v>72</v>
      </c>
      <c r="K676" s="14" t="str">
        <f>IFERROR(__xludf.DUMMYFUNCTION("ARRAYFORMULA(VLOOKUP(A676,IMPORTRANGE(""https://docs.google.com/spreadsheets/d/1BuTWp7qHGjWhqrnf-OmePP568O4A5Am9ttzvVdP67zw/edit#gid=1603210130"", ""TOURISM!$A$2:$F$2692""), {2,3,4,5,6},0))"),"Africa")</f>
        <v>Africa</v>
      </c>
      <c r="L676" s="14">
        <f>IFERROR(__xludf.DUMMYFUNCTION("""COMPUTED_VALUE"""),1.92E7)</f>
        <v>19200000</v>
      </c>
      <c r="M676" s="14" t="str">
        <f>IFERROR(__xludf.DUMMYFUNCTION("""COMPUTED_VALUE"""),"Djibouti-Africa")</f>
        <v>Djibouti-Africa</v>
      </c>
      <c r="N676" s="14" t="str">
        <f>IFERROR(__xludf.DUMMYFUNCTION("""COMPUTED_VALUE"""),"2011")</f>
        <v>2011</v>
      </c>
      <c r="O676" s="14">
        <f>IFERROR(__xludf.DUMMYFUNCTION("""COMPUTED_VALUE"""),3.35E7)</f>
        <v>33500000</v>
      </c>
      <c r="P676" s="15">
        <f>IFERROR(__xludf.DUMMYFUNCTION("ARRAYFORMULA(VLOOKUP(A676,IMPORTRANGE(""https://docs.google.com/spreadsheets/d/1BuTWp7qHGjWhqrnf-OmePP568O4A5Am9ttzvVdP67zw/edit#gid=771602874"" ,""HUMAN RESOURCES!$A$2:$M$2692""), {2,3,4,5,6,7,8,9,10,11,12,13},0))"),0.028)</f>
        <v>0.028</v>
      </c>
      <c r="Q676" s="14">
        <f>IFERROR(__xludf.DUMMYFUNCTION("""COMPUTED_VALUE"""),0.061)</f>
        <v>0.061</v>
      </c>
      <c r="R676" s="14">
        <f>IFERROR(__xludf.DUMMYFUNCTION("""COMPUTED_VALUE"""),62.0)</f>
        <v>62</v>
      </c>
      <c r="S676" s="14">
        <f>IFERROR(__xludf.DUMMYFUNCTION("""COMPUTED_VALUE"""),59.0)</f>
        <v>59</v>
      </c>
      <c r="T676" s="14">
        <f>IFERROR(__xludf.DUMMYFUNCTION("""COMPUTED_VALUE"""),0.339)</f>
        <v>0.339</v>
      </c>
      <c r="U676" s="14">
        <f>IFERROR(__xludf.DUMMYFUNCTION("""COMPUTED_VALUE"""),0.623)</f>
        <v>0.623</v>
      </c>
      <c r="V676" s="14">
        <f>IFERROR(__xludf.DUMMYFUNCTION("""COMPUTED_VALUE"""),0.038)</f>
        <v>0.038</v>
      </c>
      <c r="W676" s="14">
        <f>IFERROR(__xludf.DUMMYFUNCTION("""COMPUTED_VALUE"""),846646.0)</f>
        <v>846646</v>
      </c>
      <c r="X676" s="14">
        <f>IFERROR(__xludf.DUMMYFUNCTION("""COMPUTED_VALUE"""),0.771)</f>
        <v>0.771</v>
      </c>
      <c r="Y676" s="14" t="str">
        <f>IFERROR(__xludf.DUMMYFUNCTION("""COMPUTED_VALUE"""),"Djibouti-Africa")</f>
        <v>Djibouti-Africa</v>
      </c>
      <c r="Z676" s="14" t="str">
        <f>IFERROR(__xludf.DUMMYFUNCTION("""COMPUTED_VALUE"""),"Africa")</f>
        <v>Africa</v>
      </c>
      <c r="AA676" s="14" t="str">
        <f>IFERROR(__xludf.DUMMYFUNCTION("""COMPUTED_VALUE"""),"2011")</f>
        <v>2011</v>
      </c>
      <c r="AB676" s="15" t="str">
        <f>IFERROR(__xludf.DUMMYFUNCTION("ARRAYFORMULA(VLOOKUP(A676,IMPORTRANGE(""https://docs.google.com/spreadsheets/d/1BuTWp7qHGjWhqrnf-OmePP568O4A5Am9ttzvVdP67zw/edit#gid=1931367683"" ,""ENERGY!$A$2:$F$2692""), {2,3,4,5,6},0))"),"Africa")</f>
        <v>Africa</v>
      </c>
      <c r="AC676" s="14" t="str">
        <f>IFERROR(__xludf.DUMMYFUNCTION("""COMPUTED_VALUE"""),"Djibouti-Africa")</f>
        <v>Djibouti-Africa</v>
      </c>
      <c r="AD676" s="14" t="str">
        <f>IFERROR(__xludf.DUMMYFUNCTION("""COMPUTED_VALUE"""),"2004")</f>
        <v>2004</v>
      </c>
      <c r="AE676" s="14"/>
      <c r="AF676" s="14">
        <f>IFERROR(__xludf.DUMMYFUNCTION("""COMPUTED_VALUE"""),385.0)</f>
        <v>385</v>
      </c>
    </row>
    <row r="677">
      <c r="A677" s="12">
        <v>676.0</v>
      </c>
      <c r="B677" s="12" t="s">
        <v>130</v>
      </c>
      <c r="C677" s="5" t="s">
        <v>77</v>
      </c>
      <c r="D677" s="11">
        <v>0.378</v>
      </c>
      <c r="E677" s="11">
        <v>37.0</v>
      </c>
      <c r="F677" s="11">
        <v>172.0</v>
      </c>
      <c r="G677" s="11">
        <v>82.0</v>
      </c>
      <c r="H677" s="11">
        <v>0.083</v>
      </c>
      <c r="I677" s="11">
        <v>0.247</v>
      </c>
      <c r="J677" s="9" t="s">
        <v>73</v>
      </c>
      <c r="K677" s="14" t="str">
        <f>IFERROR(__xludf.DUMMYFUNCTION("ARRAYFORMULA(VLOOKUP(A677,IMPORTRANGE(""https://docs.google.com/spreadsheets/d/1BuTWp7qHGjWhqrnf-OmePP568O4A5Am9ttzvVdP67zw/edit#gid=1603210130"", ""TOURISM!$A$2:$F$2692""), {2,3,4,5,6},0))"),"Africa")</f>
        <v>Africa</v>
      </c>
      <c r="L677" s="14">
        <f>IFERROR(__xludf.DUMMYFUNCTION("""COMPUTED_VALUE"""),2.05E7)</f>
        <v>20500000</v>
      </c>
      <c r="M677" s="14" t="str">
        <f>IFERROR(__xludf.DUMMYFUNCTION("""COMPUTED_VALUE"""),"Djibouti-Africa")</f>
        <v>Djibouti-Africa</v>
      </c>
      <c r="N677" s="14" t="str">
        <f>IFERROR(__xludf.DUMMYFUNCTION("""COMPUTED_VALUE"""),"2012")</f>
        <v>2012</v>
      </c>
      <c r="O677" s="14">
        <f>IFERROR(__xludf.DUMMYFUNCTION("""COMPUTED_VALUE"""),2.96E7)</f>
        <v>29600000</v>
      </c>
      <c r="P677" s="15">
        <f>IFERROR(__xludf.DUMMYFUNCTION("ARRAYFORMULA(VLOOKUP(A677,IMPORTRANGE(""https://docs.google.com/spreadsheets/d/1BuTWp7qHGjWhqrnf-OmePP568O4A5Am9ttzvVdP67zw/edit#gid=771602874"" ,""HUMAN RESOURCES!$A$2:$M$2692""), {2,3,4,5,6,7,8,9,10,11,12,13},0))"),0.028)</f>
        <v>0.028</v>
      </c>
      <c r="Q677" s="14">
        <f>IFERROR(__xludf.DUMMYFUNCTION("""COMPUTED_VALUE"""),0.059)</f>
        <v>0.059</v>
      </c>
      <c r="R677" s="14">
        <f>IFERROR(__xludf.DUMMYFUNCTION("""COMPUTED_VALUE"""),63.0)</f>
        <v>63</v>
      </c>
      <c r="S677" s="14">
        <f>IFERROR(__xludf.DUMMYFUNCTION("""COMPUTED_VALUE"""),60.0)</f>
        <v>60</v>
      </c>
      <c r="T677" s="14">
        <f>IFERROR(__xludf.DUMMYFUNCTION("""COMPUTED_VALUE"""),0.337)</f>
        <v>0.337</v>
      </c>
      <c r="U677" s="14">
        <f>IFERROR(__xludf.DUMMYFUNCTION("""COMPUTED_VALUE"""),0.624)</f>
        <v>0.624</v>
      </c>
      <c r="V677" s="14">
        <f>IFERROR(__xludf.DUMMYFUNCTION("""COMPUTED_VALUE"""),0.039)</f>
        <v>0.039</v>
      </c>
      <c r="W677" s="14">
        <f>IFERROR(__xludf.DUMMYFUNCTION("""COMPUTED_VALUE"""),859652.0)</f>
        <v>859652</v>
      </c>
      <c r="X677" s="14">
        <f>IFERROR(__xludf.DUMMYFUNCTION("""COMPUTED_VALUE"""),0.771)</f>
        <v>0.771</v>
      </c>
      <c r="Y677" s="14" t="str">
        <f>IFERROR(__xludf.DUMMYFUNCTION("""COMPUTED_VALUE"""),"Djibouti-Africa")</f>
        <v>Djibouti-Africa</v>
      </c>
      <c r="Z677" s="14" t="str">
        <f>IFERROR(__xludf.DUMMYFUNCTION("""COMPUTED_VALUE"""),"Africa")</f>
        <v>Africa</v>
      </c>
      <c r="AA677" s="14" t="str">
        <f>IFERROR(__xludf.DUMMYFUNCTION("""COMPUTED_VALUE"""),"2012")</f>
        <v>2012</v>
      </c>
      <c r="AB677" s="15" t="str">
        <f>IFERROR(__xludf.DUMMYFUNCTION("ARRAYFORMULA(VLOOKUP(A677,IMPORTRANGE(""https://docs.google.com/spreadsheets/d/1BuTWp7qHGjWhqrnf-OmePP568O4A5Am9ttzvVdP67zw/edit#gid=1931367683"" ,""ENERGY!$A$2:$F$2692""), {2,3,4,5,6},0))"),"Africa")</f>
        <v>Africa</v>
      </c>
      <c r="AC677" s="14" t="str">
        <f>IFERROR(__xludf.DUMMYFUNCTION("""COMPUTED_VALUE"""),"Djibouti-Africa")</f>
        <v>Djibouti-Africa</v>
      </c>
      <c r="AD677" s="14" t="str">
        <f>IFERROR(__xludf.DUMMYFUNCTION("""COMPUTED_VALUE"""),"2009")</f>
        <v>2009</v>
      </c>
      <c r="AE677" s="14"/>
      <c r="AF677" s="14">
        <f>IFERROR(__xludf.DUMMYFUNCTION("""COMPUTED_VALUE"""),403.0)</f>
        <v>403</v>
      </c>
    </row>
    <row r="678">
      <c r="A678" s="12">
        <v>677.0</v>
      </c>
      <c r="B678" s="12" t="s">
        <v>131</v>
      </c>
      <c r="C678" s="5" t="s">
        <v>84</v>
      </c>
      <c r="D678" s="8"/>
      <c r="E678" s="8"/>
      <c r="F678" s="8"/>
      <c r="G678" s="8"/>
      <c r="H678" s="11">
        <v>0.088</v>
      </c>
      <c r="I678" s="11">
        <v>0.017</v>
      </c>
      <c r="J678" s="9" t="s">
        <v>60</v>
      </c>
      <c r="K678" s="14" t="str">
        <f>IFERROR(__xludf.DUMMYFUNCTION("ARRAYFORMULA(VLOOKUP(A678,IMPORTRANGE(""https://docs.google.com/spreadsheets/d/1BuTWp7qHGjWhqrnf-OmePP568O4A5Am9ttzvVdP67zw/edit#gid=1603210130"", ""TOURISM!$A$2:$F$2692""), {2,3,4,5,6},0))"),"The Americas")</f>
        <v>The Americas</v>
      </c>
      <c r="L678" s="14">
        <f>IFERROR(__xludf.DUMMYFUNCTION("""COMPUTED_VALUE"""),4.8E7)</f>
        <v>48000000</v>
      </c>
      <c r="M678" s="14" t="str">
        <f>IFERROR(__xludf.DUMMYFUNCTION("""COMPUTED_VALUE"""),"Dominica-The Americas")</f>
        <v>Dominica-The Americas</v>
      </c>
      <c r="N678" s="14" t="str">
        <f>IFERROR(__xludf.DUMMYFUNCTION("""COMPUTED_VALUE"""),"2000")</f>
        <v>2000</v>
      </c>
      <c r="O678" s="14">
        <f>IFERROR(__xludf.DUMMYFUNCTION("""COMPUTED_VALUE"""),9000000.0)</f>
        <v>9000000</v>
      </c>
      <c r="P678" s="15" t="str">
        <f>IFERROR(__xludf.DUMMYFUNCTION("ARRAYFORMULA(VLOOKUP(A678,IMPORTRANGE(""https://docs.google.com/spreadsheets/d/1BuTWp7qHGjWhqrnf-OmePP568O4A5Am9ttzvVdP67zw/edit#gid=771602874"" ,""HUMAN RESOURCES!$A$2:$M$2692""), {2,3,4,5,6,7,8,9,10,11,12,13},0))"),"")</f>
        <v/>
      </c>
      <c r="Q678" s="14">
        <f>IFERROR(__xludf.DUMMYFUNCTION("""COMPUTED_VALUE"""),0.014)</f>
        <v>0.014</v>
      </c>
      <c r="R678" s="14"/>
      <c r="S678" s="14"/>
      <c r="T678" s="14"/>
      <c r="U678" s="14"/>
      <c r="V678" s="14"/>
      <c r="W678" s="14">
        <f>IFERROR(__xludf.DUMMYFUNCTION("""COMPUTED_VALUE"""),69679.0)</f>
        <v>69679</v>
      </c>
      <c r="X678" s="14">
        <f>IFERROR(__xludf.DUMMYFUNCTION("""COMPUTED_VALUE"""),0.653)</f>
        <v>0.653</v>
      </c>
      <c r="Y678" s="14" t="str">
        <f>IFERROR(__xludf.DUMMYFUNCTION("""COMPUTED_VALUE"""),"Dominica-The Americas")</f>
        <v>Dominica-The Americas</v>
      </c>
      <c r="Z678" s="14" t="str">
        <f>IFERROR(__xludf.DUMMYFUNCTION("""COMPUTED_VALUE"""),"The Americas")</f>
        <v>The Americas</v>
      </c>
      <c r="AA678" s="14" t="str">
        <f>IFERROR(__xludf.DUMMYFUNCTION("""COMPUTED_VALUE"""),"2000")</f>
        <v>2000</v>
      </c>
      <c r="AB678" s="15" t="str">
        <f>IFERROR(__xludf.DUMMYFUNCTION("ARRAYFORMULA(VLOOKUP(A678,IMPORTRANGE(""https://docs.google.com/spreadsheets/d/1BuTWp7qHGjWhqrnf-OmePP568O4A5Am9ttzvVdP67zw/edit#gid=1931367683"" ,""ENERGY!$A$2:$F$2692""), {2,3,4,5,6},0))"),"The Americas")</f>
        <v>The Americas</v>
      </c>
      <c r="AC678" s="14" t="str">
        <f>IFERROR(__xludf.DUMMYFUNCTION("""COMPUTED_VALUE"""),"Dominica-The Americas")</f>
        <v>Dominica-The Americas</v>
      </c>
      <c r="AD678" s="14" t="str">
        <f>IFERROR(__xludf.DUMMYFUNCTION("""COMPUTED_VALUE"""),"2000")</f>
        <v>2000</v>
      </c>
      <c r="AE678" s="14"/>
      <c r="AF678" s="14"/>
    </row>
    <row r="679">
      <c r="A679" s="12">
        <v>678.0</v>
      </c>
      <c r="B679" s="12" t="s">
        <v>131</v>
      </c>
      <c r="C679" s="5" t="s">
        <v>84</v>
      </c>
      <c r="D679" s="8"/>
      <c r="E679" s="8"/>
      <c r="F679" s="8"/>
      <c r="G679" s="8"/>
      <c r="H679" s="11">
        <v>0.132</v>
      </c>
      <c r="I679" s="11">
        <v>0.111</v>
      </c>
      <c r="J679" s="9" t="s">
        <v>62</v>
      </c>
      <c r="K679" s="14" t="str">
        <f>IFERROR(__xludf.DUMMYFUNCTION("ARRAYFORMULA(VLOOKUP(A679,IMPORTRANGE(""https://docs.google.com/spreadsheets/d/1BuTWp7qHGjWhqrnf-OmePP568O4A5Am9ttzvVdP67zw/edit#gid=1603210130"", ""TOURISM!$A$2:$F$2692""), {2,3,4,5,6},0))"),"The Americas")</f>
        <v>The Americas</v>
      </c>
      <c r="L679" s="14">
        <f>IFERROR(__xludf.DUMMYFUNCTION("""COMPUTED_VALUE"""),4.6E7)</f>
        <v>46000000</v>
      </c>
      <c r="M679" s="14" t="str">
        <f>IFERROR(__xludf.DUMMYFUNCTION("""COMPUTED_VALUE"""),"Dominica-The Americas")</f>
        <v>Dominica-The Americas</v>
      </c>
      <c r="N679" s="14" t="str">
        <f>IFERROR(__xludf.DUMMYFUNCTION("""COMPUTED_VALUE"""),"2001")</f>
        <v>2001</v>
      </c>
      <c r="O679" s="14">
        <f>IFERROR(__xludf.DUMMYFUNCTION("""COMPUTED_VALUE"""),9000000.0)</f>
        <v>9000000</v>
      </c>
      <c r="P679" s="15" t="str">
        <f>IFERROR(__xludf.DUMMYFUNCTION("ARRAYFORMULA(VLOOKUP(A679,IMPORTRANGE(""https://docs.google.com/spreadsheets/d/1BuTWp7qHGjWhqrnf-OmePP568O4A5Am9ttzvVdP67zw/edit#gid=771602874"" ,""HUMAN RESOURCES!$A$2:$M$2692""), {2,3,4,5,6,7,8,9,10,11,12,13},0))"),"")</f>
        <v/>
      </c>
      <c r="Q679" s="14">
        <f>IFERROR(__xludf.DUMMYFUNCTION("""COMPUTED_VALUE"""),0.013)</f>
        <v>0.013</v>
      </c>
      <c r="R679" s="14"/>
      <c r="S679" s="14"/>
      <c r="T679" s="14"/>
      <c r="U679" s="14"/>
      <c r="V679" s="14"/>
      <c r="W679" s="14">
        <f>IFERROR(__xludf.DUMMYFUNCTION("""COMPUTED_VALUE"""),69660.0)</f>
        <v>69660</v>
      </c>
      <c r="X679" s="14">
        <f>IFERROR(__xludf.DUMMYFUNCTION("""COMPUTED_VALUE"""),0.654)</f>
        <v>0.654</v>
      </c>
      <c r="Y679" s="14" t="str">
        <f>IFERROR(__xludf.DUMMYFUNCTION("""COMPUTED_VALUE"""),"Dominica-The Americas")</f>
        <v>Dominica-The Americas</v>
      </c>
      <c r="Z679" s="14" t="str">
        <f>IFERROR(__xludf.DUMMYFUNCTION("""COMPUTED_VALUE"""),"The Americas")</f>
        <v>The Americas</v>
      </c>
      <c r="AA679" s="14" t="str">
        <f>IFERROR(__xludf.DUMMYFUNCTION("""COMPUTED_VALUE"""),"2001")</f>
        <v>2001</v>
      </c>
      <c r="AB679" s="15" t="str">
        <f>IFERROR(__xludf.DUMMYFUNCTION("ARRAYFORMULA(VLOOKUP(A679,IMPORTRANGE(""https://docs.google.com/spreadsheets/d/1BuTWp7qHGjWhqrnf-OmePP568O4A5Am9ttzvVdP67zw/edit#gid=1931367683"" ,""ENERGY!$A$2:$F$2692""), {2,3,4,5,6},0))"),"The Americas")</f>
        <v>The Americas</v>
      </c>
      <c r="AC679" s="14" t="str">
        <f>IFERROR(__xludf.DUMMYFUNCTION("""COMPUTED_VALUE"""),"Dominica-The Americas")</f>
        <v>Dominica-The Americas</v>
      </c>
      <c r="AD679" s="14" t="str">
        <f>IFERROR(__xludf.DUMMYFUNCTION("""COMPUTED_VALUE"""),"2001")</f>
        <v>2001</v>
      </c>
      <c r="AE679" s="14"/>
      <c r="AF679" s="14"/>
    </row>
    <row r="680">
      <c r="A680" s="12">
        <v>679.0</v>
      </c>
      <c r="B680" s="12" t="s">
        <v>131</v>
      </c>
      <c r="C680" s="5" t="s">
        <v>84</v>
      </c>
      <c r="D680" s="8"/>
      <c r="E680" s="8"/>
      <c r="F680" s="8"/>
      <c r="G680" s="8"/>
      <c r="H680" s="11">
        <v>0.184</v>
      </c>
      <c r="I680" s="11">
        <v>0.174</v>
      </c>
      <c r="J680" s="9" t="s">
        <v>63</v>
      </c>
      <c r="K680" s="14" t="str">
        <f>IFERROR(__xludf.DUMMYFUNCTION("ARRAYFORMULA(VLOOKUP(A680,IMPORTRANGE(""https://docs.google.com/spreadsheets/d/1BuTWp7qHGjWhqrnf-OmePP568O4A5Am9ttzvVdP67zw/edit#gid=1603210130"", ""TOURISM!$A$2:$F$2692""), {2,3,4,5,6},0))"),"The Americas")</f>
        <v>The Americas</v>
      </c>
      <c r="L680" s="14">
        <f>IFERROR(__xludf.DUMMYFUNCTION("""COMPUTED_VALUE"""),4.6E7)</f>
        <v>46000000</v>
      </c>
      <c r="M680" s="14" t="str">
        <f>IFERROR(__xludf.DUMMYFUNCTION("""COMPUTED_VALUE"""),"Dominica-The Americas")</f>
        <v>Dominica-The Americas</v>
      </c>
      <c r="N680" s="14" t="str">
        <f>IFERROR(__xludf.DUMMYFUNCTION("""COMPUTED_VALUE"""),"2002")</f>
        <v>2002</v>
      </c>
      <c r="O680" s="14">
        <f>IFERROR(__xludf.DUMMYFUNCTION("""COMPUTED_VALUE"""),9000000.0)</f>
        <v>9000000</v>
      </c>
      <c r="P680" s="15">
        <f>IFERROR(__xludf.DUMMYFUNCTION("ARRAYFORMULA(VLOOKUP(A680,IMPORTRANGE(""https://docs.google.com/spreadsheets/d/1BuTWp7qHGjWhqrnf-OmePP568O4A5Am9ttzvVdP67zw/edit#gid=771602874"" ,""HUMAN RESOURCES!$A$2:$M$2692""), {2,3,4,5,6,7,8,9,10,11,12,13},0))"),0.015)</f>
        <v>0.015</v>
      </c>
      <c r="Q680" s="14">
        <f>IFERROR(__xludf.DUMMYFUNCTION("""COMPUTED_VALUE"""),0.013)</f>
        <v>0.013</v>
      </c>
      <c r="R680" s="14">
        <f>IFERROR(__xludf.DUMMYFUNCTION("""COMPUTED_VALUE"""),79.0)</f>
        <v>79</v>
      </c>
      <c r="S680" s="14">
        <f>IFERROR(__xludf.DUMMYFUNCTION("""COMPUTED_VALUE"""),75.0)</f>
        <v>75</v>
      </c>
      <c r="T680" s="14"/>
      <c r="U680" s="14"/>
      <c r="V680" s="14"/>
      <c r="W680" s="14">
        <f>IFERROR(__xludf.DUMMYFUNCTION("""COMPUTED_VALUE"""),69806.0)</f>
        <v>69806</v>
      </c>
      <c r="X680" s="14">
        <f>IFERROR(__xludf.DUMMYFUNCTION("""COMPUTED_VALUE"""),0.657)</f>
        <v>0.657</v>
      </c>
      <c r="Y680" s="14" t="str">
        <f>IFERROR(__xludf.DUMMYFUNCTION("""COMPUTED_VALUE"""),"Dominica-The Americas")</f>
        <v>Dominica-The Americas</v>
      </c>
      <c r="Z680" s="14" t="str">
        <f>IFERROR(__xludf.DUMMYFUNCTION("""COMPUTED_VALUE"""),"The Americas")</f>
        <v>The Americas</v>
      </c>
      <c r="AA680" s="14" t="str">
        <f>IFERROR(__xludf.DUMMYFUNCTION("""COMPUTED_VALUE"""),"2002")</f>
        <v>2002</v>
      </c>
      <c r="AB680" s="15" t="str">
        <f>IFERROR(__xludf.DUMMYFUNCTION("ARRAYFORMULA(VLOOKUP(A680,IMPORTRANGE(""https://docs.google.com/spreadsheets/d/1BuTWp7qHGjWhqrnf-OmePP568O4A5Am9ttzvVdP67zw/edit#gid=1931367683"" ,""ENERGY!$A$2:$F$2692""), {2,3,4,5,6},0))"),"The Americas")</f>
        <v>The Americas</v>
      </c>
      <c r="AC680" s="14" t="str">
        <f>IFERROR(__xludf.DUMMYFUNCTION("""COMPUTED_VALUE"""),"Dominica-The Americas")</f>
        <v>Dominica-The Americas</v>
      </c>
      <c r="AD680" s="14" t="str">
        <f>IFERROR(__xludf.DUMMYFUNCTION("""COMPUTED_VALUE"""),"2002")</f>
        <v>2002</v>
      </c>
      <c r="AE680" s="14"/>
      <c r="AF680" s="14">
        <f>IFERROR(__xludf.DUMMYFUNCTION("""COMPUTED_VALUE"""),136.0)</f>
        <v>136</v>
      </c>
    </row>
    <row r="681">
      <c r="A681" s="12">
        <v>680.0</v>
      </c>
      <c r="B681" s="12" t="s">
        <v>131</v>
      </c>
      <c r="C681" s="5" t="s">
        <v>84</v>
      </c>
      <c r="D681" s="8"/>
      <c r="E681" s="8"/>
      <c r="F681" s="8"/>
      <c r="G681" s="8"/>
      <c r="H681" s="11">
        <v>0.236</v>
      </c>
      <c r="I681" s="11">
        <v>0.34</v>
      </c>
      <c r="J681" s="9" t="s">
        <v>64</v>
      </c>
      <c r="K681" s="14" t="str">
        <f>IFERROR(__xludf.DUMMYFUNCTION("ARRAYFORMULA(VLOOKUP(A681,IMPORTRANGE(""https://docs.google.com/spreadsheets/d/1BuTWp7qHGjWhqrnf-OmePP568O4A5Am9ttzvVdP67zw/edit#gid=1603210130"", ""TOURISM!$A$2:$F$2692""), {2,3,4,5,6},0))"),"The Americas")</f>
        <v>The Americas</v>
      </c>
      <c r="L681" s="14">
        <f>IFERROR(__xludf.DUMMYFUNCTION("""COMPUTED_VALUE"""),5.2E7)</f>
        <v>52000000</v>
      </c>
      <c r="M681" s="14" t="str">
        <f>IFERROR(__xludf.DUMMYFUNCTION("""COMPUTED_VALUE"""),"Dominica-The Americas")</f>
        <v>Dominica-The Americas</v>
      </c>
      <c r="N681" s="14" t="str">
        <f>IFERROR(__xludf.DUMMYFUNCTION("""COMPUTED_VALUE"""),"2003")</f>
        <v>2003</v>
      </c>
      <c r="O681" s="14">
        <f>IFERROR(__xludf.DUMMYFUNCTION("""COMPUTED_VALUE"""),9000000.0)</f>
        <v>9000000</v>
      </c>
      <c r="P681" s="15" t="str">
        <f>IFERROR(__xludf.DUMMYFUNCTION("ARRAYFORMULA(VLOOKUP(A681,IMPORTRANGE(""https://docs.google.com/spreadsheets/d/1BuTWp7qHGjWhqrnf-OmePP568O4A5Am9ttzvVdP67zw/edit#gid=771602874"" ,""HUMAN RESOURCES!$A$2:$M$2692""), {2,3,4,5,6,7,8,9,10,11,12,13},0))"),"")</f>
        <v/>
      </c>
      <c r="Q681" s="14">
        <f>IFERROR(__xludf.DUMMYFUNCTION("""COMPUTED_VALUE"""),0.013)</f>
        <v>0.013</v>
      </c>
      <c r="R681" s="14"/>
      <c r="S681" s="14"/>
      <c r="T681" s="14"/>
      <c r="U681" s="14"/>
      <c r="V681" s="14"/>
      <c r="W681" s="14">
        <f>IFERROR(__xludf.DUMMYFUNCTION("""COMPUTED_VALUE"""),70058.0)</f>
        <v>70058</v>
      </c>
      <c r="X681" s="14">
        <f>IFERROR(__xludf.DUMMYFUNCTION("""COMPUTED_VALUE"""),0.66)</f>
        <v>0.66</v>
      </c>
      <c r="Y681" s="14" t="str">
        <f>IFERROR(__xludf.DUMMYFUNCTION("""COMPUTED_VALUE"""),"Dominica-The Americas")</f>
        <v>Dominica-The Americas</v>
      </c>
      <c r="Z681" s="14" t="str">
        <f>IFERROR(__xludf.DUMMYFUNCTION("""COMPUTED_VALUE"""),"The Americas")</f>
        <v>The Americas</v>
      </c>
      <c r="AA681" s="14" t="str">
        <f>IFERROR(__xludf.DUMMYFUNCTION("""COMPUTED_VALUE"""),"2003")</f>
        <v>2003</v>
      </c>
      <c r="AB681" s="15" t="str">
        <f>IFERROR(__xludf.DUMMYFUNCTION("ARRAYFORMULA(VLOOKUP(A681,IMPORTRANGE(""https://docs.google.com/spreadsheets/d/1BuTWp7qHGjWhqrnf-OmePP568O4A5Am9ttzvVdP67zw/edit#gid=1931367683"" ,""ENERGY!$A$2:$F$2692""), {2,3,4,5,6},0))"),"The Americas")</f>
        <v>The Americas</v>
      </c>
      <c r="AC681" s="14" t="str">
        <f>IFERROR(__xludf.DUMMYFUNCTION("""COMPUTED_VALUE"""),"Dominica-The Americas")</f>
        <v>Dominica-The Americas</v>
      </c>
      <c r="AD681" s="14" t="str">
        <f>IFERROR(__xludf.DUMMYFUNCTION("""COMPUTED_VALUE"""),"2003")</f>
        <v>2003</v>
      </c>
      <c r="AE681" s="14"/>
      <c r="AF681" s="14">
        <f>IFERROR(__xludf.DUMMYFUNCTION("""COMPUTED_VALUE"""),128.0)</f>
        <v>128</v>
      </c>
    </row>
    <row r="682">
      <c r="A682" s="12">
        <v>681.0</v>
      </c>
      <c r="B682" s="12" t="s">
        <v>131</v>
      </c>
      <c r="C682" s="5" t="s">
        <v>84</v>
      </c>
      <c r="D682" s="8"/>
      <c r="E682" s="8"/>
      <c r="F682" s="8"/>
      <c r="G682" s="8"/>
      <c r="H682" s="11">
        <v>0.303</v>
      </c>
      <c r="I682" s="11">
        <v>0.595</v>
      </c>
      <c r="J682" s="9" t="s">
        <v>65</v>
      </c>
      <c r="K682" s="14" t="str">
        <f>IFERROR(__xludf.DUMMYFUNCTION("ARRAYFORMULA(VLOOKUP(A682,IMPORTRANGE(""https://docs.google.com/spreadsheets/d/1BuTWp7qHGjWhqrnf-OmePP568O4A5Am9ttzvVdP67zw/edit#gid=1603210130"", ""TOURISM!$A$2:$F$2692""), {2,3,4,5,6},0))"),"The Americas")</f>
        <v>The Americas</v>
      </c>
      <c r="L682" s="14">
        <f>IFERROR(__xludf.DUMMYFUNCTION("""COMPUTED_VALUE"""),6.1E7)</f>
        <v>61000000</v>
      </c>
      <c r="M682" s="14" t="str">
        <f>IFERROR(__xludf.DUMMYFUNCTION("""COMPUTED_VALUE"""),"Dominica-The Americas")</f>
        <v>Dominica-The Americas</v>
      </c>
      <c r="N682" s="14" t="str">
        <f>IFERROR(__xludf.DUMMYFUNCTION("""COMPUTED_VALUE"""),"2004")</f>
        <v>2004</v>
      </c>
      <c r="O682" s="14">
        <f>IFERROR(__xludf.DUMMYFUNCTION("""COMPUTED_VALUE"""),9000000.0)</f>
        <v>9000000</v>
      </c>
      <c r="P682" s="15" t="str">
        <f>IFERROR(__xludf.DUMMYFUNCTION("ARRAYFORMULA(VLOOKUP(A682,IMPORTRANGE(""https://docs.google.com/spreadsheets/d/1BuTWp7qHGjWhqrnf-OmePP568O4A5Am9ttzvVdP67zw/edit#gid=771602874"" ,""HUMAN RESOURCES!$A$2:$M$2692""), {2,3,4,5,6,7,8,9,10,11,12,13},0))"),"")</f>
        <v/>
      </c>
      <c r="Q682" s="14">
        <f>IFERROR(__xludf.DUMMYFUNCTION("""COMPUTED_VALUE"""),0.013)</f>
        <v>0.013</v>
      </c>
      <c r="R682" s="14"/>
      <c r="S682" s="14"/>
      <c r="T682" s="14"/>
      <c r="U682" s="14"/>
      <c r="V682" s="14"/>
      <c r="W682" s="14">
        <f>IFERROR(__xludf.DUMMYFUNCTION("""COMPUTED_VALUE"""),70325.0)</f>
        <v>70325</v>
      </c>
      <c r="X682" s="14">
        <f>IFERROR(__xludf.DUMMYFUNCTION("""COMPUTED_VALUE"""),0.663)</f>
        <v>0.663</v>
      </c>
      <c r="Y682" s="14" t="str">
        <f>IFERROR(__xludf.DUMMYFUNCTION("""COMPUTED_VALUE"""),"Dominica-The Americas")</f>
        <v>Dominica-The Americas</v>
      </c>
      <c r="Z682" s="14" t="str">
        <f>IFERROR(__xludf.DUMMYFUNCTION("""COMPUTED_VALUE"""),"The Americas")</f>
        <v>The Americas</v>
      </c>
      <c r="AA682" s="14" t="str">
        <f>IFERROR(__xludf.DUMMYFUNCTION("""COMPUTED_VALUE"""),"2004")</f>
        <v>2004</v>
      </c>
      <c r="AB682" s="15" t="str">
        <f>IFERROR(__xludf.DUMMYFUNCTION("ARRAYFORMULA(VLOOKUP(A682,IMPORTRANGE(""https://docs.google.com/spreadsheets/d/1BuTWp7qHGjWhqrnf-OmePP568O4A5Am9ttzvVdP67zw/edit#gid=1931367683"" ,""ENERGY!$A$2:$F$2692""), {2,3,4,5,6},0))"),"The Americas")</f>
        <v>The Americas</v>
      </c>
      <c r="AC682" s="14" t="str">
        <f>IFERROR(__xludf.DUMMYFUNCTION("""COMPUTED_VALUE"""),"Dominica-The Americas")</f>
        <v>Dominica-The Americas</v>
      </c>
      <c r="AD682" s="14" t="str">
        <f>IFERROR(__xludf.DUMMYFUNCTION("""COMPUTED_VALUE"""),"2004")</f>
        <v>2004</v>
      </c>
      <c r="AE682" s="14"/>
      <c r="AF682" s="14">
        <f>IFERROR(__xludf.DUMMYFUNCTION("""COMPUTED_VALUE"""),128.0)</f>
        <v>128</v>
      </c>
    </row>
    <row r="683">
      <c r="A683" s="12">
        <v>682.0</v>
      </c>
      <c r="B683" s="12" t="s">
        <v>131</v>
      </c>
      <c r="C683" s="5" t="s">
        <v>84</v>
      </c>
      <c r="D683" s="11">
        <v>0.37</v>
      </c>
      <c r="E683" s="11">
        <v>14.0</v>
      </c>
      <c r="F683" s="8"/>
      <c r="G683" s="11">
        <v>147.0</v>
      </c>
      <c r="H683" s="11">
        <v>0.385</v>
      </c>
      <c r="I683" s="11">
        <v>0.737</v>
      </c>
      <c r="J683" s="9" t="s">
        <v>66</v>
      </c>
      <c r="K683" s="14" t="str">
        <f>IFERROR(__xludf.DUMMYFUNCTION("ARRAYFORMULA(VLOOKUP(A683,IMPORTRANGE(""https://docs.google.com/spreadsheets/d/1BuTWp7qHGjWhqrnf-OmePP568O4A5Am9ttzvVdP67zw/edit#gid=1603210130"", ""TOURISM!$A$2:$F$2692""), {2,3,4,5,6},0))"),"The Americas")</f>
        <v>The Americas</v>
      </c>
      <c r="L683" s="14">
        <f>IFERROR(__xludf.DUMMYFUNCTION("""COMPUTED_VALUE"""),5.7E7)</f>
        <v>57000000</v>
      </c>
      <c r="M683" s="14" t="str">
        <f>IFERROR(__xludf.DUMMYFUNCTION("""COMPUTED_VALUE"""),"Dominica-The Americas")</f>
        <v>Dominica-The Americas</v>
      </c>
      <c r="N683" s="14" t="str">
        <f>IFERROR(__xludf.DUMMYFUNCTION("""COMPUTED_VALUE"""),"2005")</f>
        <v>2005</v>
      </c>
      <c r="O683" s="14">
        <f>IFERROR(__xludf.DUMMYFUNCTION("""COMPUTED_VALUE"""),1.0E7)</f>
        <v>10000000</v>
      </c>
      <c r="P683" s="15" t="str">
        <f>IFERROR(__xludf.DUMMYFUNCTION("ARRAYFORMULA(VLOOKUP(A683,IMPORTRANGE(""https://docs.google.com/spreadsheets/d/1BuTWp7qHGjWhqrnf-OmePP568O4A5Am9ttzvVdP67zw/edit#gid=771602874"" ,""HUMAN RESOURCES!$A$2:$M$2692""), {2,3,4,5,6,7,8,9,10,11,12,13},0))"),"")</f>
        <v/>
      </c>
      <c r="Q683" s="14">
        <f>IFERROR(__xludf.DUMMYFUNCTION("""COMPUTED_VALUE"""),0.012)</f>
        <v>0.012</v>
      </c>
      <c r="R683" s="14"/>
      <c r="S683" s="14"/>
      <c r="T683" s="14"/>
      <c r="U683" s="14"/>
      <c r="V683" s="14"/>
      <c r="W683" s="14">
        <f>IFERROR(__xludf.DUMMYFUNCTION("""COMPUTED_VALUE"""),70542.0)</f>
        <v>70542</v>
      </c>
      <c r="X683" s="14">
        <f>IFERROR(__xludf.DUMMYFUNCTION("""COMPUTED_VALUE"""),0.666)</f>
        <v>0.666</v>
      </c>
      <c r="Y683" s="14" t="str">
        <f>IFERROR(__xludf.DUMMYFUNCTION("""COMPUTED_VALUE"""),"Dominica-The Americas")</f>
        <v>Dominica-The Americas</v>
      </c>
      <c r="Z683" s="14" t="str">
        <f>IFERROR(__xludf.DUMMYFUNCTION("""COMPUTED_VALUE"""),"The Americas")</f>
        <v>The Americas</v>
      </c>
      <c r="AA683" s="14" t="str">
        <f>IFERROR(__xludf.DUMMYFUNCTION("""COMPUTED_VALUE"""),"2005")</f>
        <v>2005</v>
      </c>
      <c r="AB683" s="15" t="str">
        <f>IFERROR(__xludf.DUMMYFUNCTION("ARRAYFORMULA(VLOOKUP(A683,IMPORTRANGE(""https://docs.google.com/spreadsheets/d/1BuTWp7qHGjWhqrnf-OmePP568O4A5Am9ttzvVdP67zw/edit#gid=1931367683"" ,""ENERGY!$A$2:$F$2692""), {2,3,4,5,6},0))"),"The Americas")</f>
        <v>The Americas</v>
      </c>
      <c r="AC683" s="14" t="str">
        <f>IFERROR(__xludf.DUMMYFUNCTION("""COMPUTED_VALUE"""),"Dominica-The Americas")</f>
        <v>Dominica-The Americas</v>
      </c>
      <c r="AD683" s="14" t="str">
        <f>IFERROR(__xludf.DUMMYFUNCTION("""COMPUTED_VALUE"""),"2006")</f>
        <v>2006</v>
      </c>
      <c r="AE683" s="14">
        <f>IFERROR(__xludf.DUMMYFUNCTION("""COMPUTED_VALUE"""),43.0)</f>
        <v>43</v>
      </c>
      <c r="AF683" s="14">
        <f>IFERROR(__xludf.DUMMYFUNCTION("""COMPUTED_VALUE"""),150.0)</f>
        <v>150</v>
      </c>
    </row>
    <row r="684">
      <c r="A684" s="12">
        <v>683.0</v>
      </c>
      <c r="B684" s="12" t="s">
        <v>131</v>
      </c>
      <c r="C684" s="5" t="s">
        <v>84</v>
      </c>
      <c r="D684" s="11">
        <v>0.37</v>
      </c>
      <c r="E684" s="11">
        <v>14.0</v>
      </c>
      <c r="F684" s="8"/>
      <c r="G684" s="11">
        <v>147.0</v>
      </c>
      <c r="H684" s="11">
        <v>0.394</v>
      </c>
      <c r="I684" s="11">
        <v>1.011</v>
      </c>
      <c r="J684" s="9" t="s">
        <v>67</v>
      </c>
      <c r="K684" s="14" t="str">
        <f>IFERROR(__xludf.DUMMYFUNCTION("ARRAYFORMULA(VLOOKUP(A684,IMPORTRANGE(""https://docs.google.com/spreadsheets/d/1BuTWp7qHGjWhqrnf-OmePP568O4A5Am9ttzvVdP67zw/edit#gid=1603210130"", ""TOURISM!$A$2:$F$2692""), {2,3,4,5,6},0))"),"The Americas")</f>
        <v>The Americas</v>
      </c>
      <c r="L684" s="14">
        <f>IFERROR(__xludf.DUMMYFUNCTION("""COMPUTED_VALUE"""),7.2E7)</f>
        <v>72000000</v>
      </c>
      <c r="M684" s="14" t="str">
        <f>IFERROR(__xludf.DUMMYFUNCTION("""COMPUTED_VALUE"""),"Dominica-The Americas")</f>
        <v>Dominica-The Americas</v>
      </c>
      <c r="N684" s="14" t="str">
        <f>IFERROR(__xludf.DUMMYFUNCTION("""COMPUTED_VALUE"""),"2006")</f>
        <v>2006</v>
      </c>
      <c r="O684" s="14">
        <f>IFERROR(__xludf.DUMMYFUNCTION("""COMPUTED_VALUE"""),1.0E7)</f>
        <v>10000000</v>
      </c>
      <c r="P684" s="15">
        <f>IFERROR(__xludf.DUMMYFUNCTION("ARRAYFORMULA(VLOOKUP(A684,IMPORTRANGE(""https://docs.google.com/spreadsheets/d/1BuTWp7qHGjWhqrnf-OmePP568O4A5Am9ttzvVdP67zw/edit#gid=771602874"" ,""HUMAN RESOURCES!$A$2:$M$2692""), {2,3,4,5,6,7,8,9,10,11,12,13},0))"),0.015)</f>
        <v>0.015</v>
      </c>
      <c r="Q684" s="14">
        <f>IFERROR(__xludf.DUMMYFUNCTION("""COMPUTED_VALUE"""),0.012)</f>
        <v>0.012</v>
      </c>
      <c r="R684" s="14"/>
      <c r="S684" s="14"/>
      <c r="T684" s="14"/>
      <c r="U684" s="14"/>
      <c r="V684" s="14"/>
      <c r="W684" s="14">
        <f>IFERROR(__xludf.DUMMYFUNCTION("""COMPUTED_VALUE"""),70690.0)</f>
        <v>70690</v>
      </c>
      <c r="X684" s="14">
        <f>IFERROR(__xludf.DUMMYFUNCTION("""COMPUTED_VALUE"""),0.669)</f>
        <v>0.669</v>
      </c>
      <c r="Y684" s="14" t="str">
        <f>IFERROR(__xludf.DUMMYFUNCTION("""COMPUTED_VALUE"""),"Dominica-The Americas")</f>
        <v>Dominica-The Americas</v>
      </c>
      <c r="Z684" s="14" t="str">
        <f>IFERROR(__xludf.DUMMYFUNCTION("""COMPUTED_VALUE"""),"The Americas")</f>
        <v>The Americas</v>
      </c>
      <c r="AA684" s="14" t="str">
        <f>IFERROR(__xludf.DUMMYFUNCTION("""COMPUTED_VALUE"""),"2006")</f>
        <v>2006</v>
      </c>
      <c r="AB684" s="15" t="str">
        <f>IFERROR(__xludf.DUMMYFUNCTION("ARRAYFORMULA(VLOOKUP(A684,IMPORTRANGE(""https://docs.google.com/spreadsheets/d/1BuTWp7qHGjWhqrnf-OmePP568O4A5Am9ttzvVdP67zw/edit#gid=1931367683"" ,""ENERGY!$A$2:$F$2692""), {2,3,4,5,6},0))"),"The Americas")</f>
        <v>The Americas</v>
      </c>
      <c r="AC684" s="14" t="str">
        <f>IFERROR(__xludf.DUMMYFUNCTION("""COMPUTED_VALUE"""),"Dominica-The Americas")</f>
        <v>Dominica-The Americas</v>
      </c>
      <c r="AD684" s="14" t="str">
        <f>IFERROR(__xludf.DUMMYFUNCTION("""COMPUTED_VALUE"""),"2010")</f>
        <v>2010</v>
      </c>
      <c r="AE684" s="14">
        <f>IFERROR(__xludf.DUMMYFUNCTION("""COMPUTED_VALUE"""),42.0)</f>
        <v>42</v>
      </c>
      <c r="AF684" s="14">
        <f>IFERROR(__xludf.DUMMYFUNCTION("""COMPUTED_VALUE"""),110.0)</f>
        <v>110</v>
      </c>
    </row>
    <row r="685">
      <c r="A685" s="12">
        <v>684.0</v>
      </c>
      <c r="B685" s="12" t="s">
        <v>131</v>
      </c>
      <c r="C685" s="5" t="s">
        <v>84</v>
      </c>
      <c r="D685" s="11">
        <v>0.37</v>
      </c>
      <c r="E685" s="11">
        <v>14.0</v>
      </c>
      <c r="F685" s="8"/>
      <c r="G685" s="11">
        <v>147.0</v>
      </c>
      <c r="H685" s="11">
        <v>0.403</v>
      </c>
      <c r="I685" s="11">
        <v>1.257</v>
      </c>
      <c r="J685" s="9" t="s">
        <v>68</v>
      </c>
      <c r="K685" s="14" t="str">
        <f>IFERROR(__xludf.DUMMYFUNCTION("ARRAYFORMULA(VLOOKUP(A685,IMPORTRANGE(""https://docs.google.com/spreadsheets/d/1BuTWp7qHGjWhqrnf-OmePP568O4A5Am9ttzvVdP67zw/edit#gid=1603210130"", ""TOURISM!$A$2:$F$2692""), {2,3,4,5,6},0))"),"The Americas")</f>
        <v>The Americas</v>
      </c>
      <c r="L685" s="14">
        <f>IFERROR(__xludf.DUMMYFUNCTION("""COMPUTED_VALUE"""),7.4E7)</f>
        <v>74000000</v>
      </c>
      <c r="M685" s="14" t="str">
        <f>IFERROR(__xludf.DUMMYFUNCTION("""COMPUTED_VALUE"""),"Dominica-The Americas")</f>
        <v>Dominica-The Americas</v>
      </c>
      <c r="N685" s="14" t="str">
        <f>IFERROR(__xludf.DUMMYFUNCTION("""COMPUTED_VALUE"""),"2007")</f>
        <v>2007</v>
      </c>
      <c r="O685" s="14">
        <f>IFERROR(__xludf.DUMMYFUNCTION("""COMPUTED_VALUE"""),1.1E7)</f>
        <v>11000000</v>
      </c>
      <c r="P685" s="15" t="str">
        <f>IFERROR(__xludf.DUMMYFUNCTION("ARRAYFORMULA(VLOOKUP(A685,IMPORTRANGE(""https://docs.google.com/spreadsheets/d/1BuTWp7qHGjWhqrnf-OmePP568O4A5Am9ttzvVdP67zw/edit#gid=771602874"" ,""HUMAN RESOURCES!$A$2:$M$2692""), {2,3,4,5,6,7,8,9,10,11,12,13},0))"),"")</f>
        <v/>
      </c>
      <c r="Q685" s="14">
        <f>IFERROR(__xludf.DUMMYFUNCTION("""COMPUTED_VALUE"""),0.012)</f>
        <v>0.012</v>
      </c>
      <c r="R685" s="14"/>
      <c r="S685" s="14"/>
      <c r="T685" s="14"/>
      <c r="U685" s="14"/>
      <c r="V685" s="14"/>
      <c r="W685" s="14">
        <f>IFERROR(__xludf.DUMMYFUNCTION("""COMPUTED_VALUE"""),70795.0)</f>
        <v>70795</v>
      </c>
      <c r="X685" s="14">
        <f>IFERROR(__xludf.DUMMYFUNCTION("""COMPUTED_VALUE"""),0.672)</f>
        <v>0.672</v>
      </c>
      <c r="Y685" s="14" t="str">
        <f>IFERROR(__xludf.DUMMYFUNCTION("""COMPUTED_VALUE"""),"Dominica-The Americas")</f>
        <v>Dominica-The Americas</v>
      </c>
      <c r="Z685" s="14" t="str">
        <f>IFERROR(__xludf.DUMMYFUNCTION("""COMPUTED_VALUE"""),"The Americas")</f>
        <v>The Americas</v>
      </c>
      <c r="AA685" s="14" t="str">
        <f>IFERROR(__xludf.DUMMYFUNCTION("""COMPUTED_VALUE"""),"2007")</f>
        <v>2007</v>
      </c>
      <c r="AB685" s="15" t="str">
        <f>IFERROR(__xludf.DUMMYFUNCTION("ARRAYFORMULA(VLOOKUP(A685,IMPORTRANGE(""https://docs.google.com/spreadsheets/d/1BuTWp7qHGjWhqrnf-OmePP568O4A5Am9ttzvVdP67zw/edit#gid=1931367683"" ,""ENERGY!$A$2:$F$2692""), {2,3,4,5,6},0))"),"The Americas")</f>
        <v>The Americas</v>
      </c>
      <c r="AC685" s="14" t="str">
        <f>IFERROR(__xludf.DUMMYFUNCTION("""COMPUTED_VALUE"""),"Dominica-The Americas")</f>
        <v>Dominica-The Americas</v>
      </c>
      <c r="AD685" s="14" t="str">
        <f>IFERROR(__xludf.DUMMYFUNCTION("""COMPUTED_VALUE"""),"2007")</f>
        <v>2007</v>
      </c>
      <c r="AE685" s="14">
        <f>IFERROR(__xludf.DUMMYFUNCTION("""COMPUTED_VALUE"""),41.0)</f>
        <v>41</v>
      </c>
      <c r="AF685" s="14">
        <f>IFERROR(__xludf.DUMMYFUNCTION("""COMPUTED_VALUE"""),114.0)</f>
        <v>114</v>
      </c>
    </row>
    <row r="686">
      <c r="A686" s="12">
        <v>685.0</v>
      </c>
      <c r="B686" s="12" t="s">
        <v>131</v>
      </c>
      <c r="C686" s="5" t="s">
        <v>84</v>
      </c>
      <c r="D686" s="11">
        <v>0.37</v>
      </c>
      <c r="E686" s="11">
        <v>13.0</v>
      </c>
      <c r="F686" s="8"/>
      <c r="G686" s="11">
        <v>117.0</v>
      </c>
      <c r="H686" s="11">
        <v>0.412</v>
      </c>
      <c r="I686" s="11">
        <v>1.284</v>
      </c>
      <c r="J686" s="9" t="s">
        <v>69</v>
      </c>
      <c r="K686" s="14" t="str">
        <f>IFERROR(__xludf.DUMMYFUNCTION("ARRAYFORMULA(VLOOKUP(A686,IMPORTRANGE(""https://docs.google.com/spreadsheets/d/1BuTWp7qHGjWhqrnf-OmePP568O4A5Am9ttzvVdP67zw/edit#gid=1603210130"", ""TOURISM!$A$2:$F$2692""), {2,3,4,5,6},0))"),"The Americas")</f>
        <v>The Americas</v>
      </c>
      <c r="L686" s="14">
        <f>IFERROR(__xludf.DUMMYFUNCTION("""COMPUTED_VALUE"""),7.6E7)</f>
        <v>76000000</v>
      </c>
      <c r="M686" s="14" t="str">
        <f>IFERROR(__xludf.DUMMYFUNCTION("""COMPUTED_VALUE"""),"Dominica-The Americas")</f>
        <v>Dominica-The Americas</v>
      </c>
      <c r="N686" s="14" t="str">
        <f>IFERROR(__xludf.DUMMYFUNCTION("""COMPUTED_VALUE"""),"2008")</f>
        <v>2008</v>
      </c>
      <c r="O686" s="14">
        <f>IFERROR(__xludf.DUMMYFUNCTION("""COMPUTED_VALUE"""),1.1E7)</f>
        <v>11000000</v>
      </c>
      <c r="P686" s="15" t="str">
        <f>IFERROR(__xludf.DUMMYFUNCTION("ARRAYFORMULA(VLOOKUP(A686,IMPORTRANGE(""https://docs.google.com/spreadsheets/d/1BuTWp7qHGjWhqrnf-OmePP568O4A5Am9ttzvVdP67zw/edit#gid=771602874"" ,""HUMAN RESOURCES!$A$2:$M$2692""), {2,3,4,5,6,7,8,9,10,11,12,13},0))"),"")</f>
        <v/>
      </c>
      <c r="Q686" s="14">
        <f>IFERROR(__xludf.DUMMYFUNCTION("""COMPUTED_VALUE"""),0.012)</f>
        <v>0.012</v>
      </c>
      <c r="R686" s="14"/>
      <c r="S686" s="14"/>
      <c r="T686" s="14"/>
      <c r="U686" s="14"/>
      <c r="V686" s="14"/>
      <c r="W686" s="14">
        <f>IFERROR(__xludf.DUMMYFUNCTION("""COMPUTED_VALUE"""),70883.0)</f>
        <v>70883</v>
      </c>
      <c r="X686" s="14">
        <f>IFERROR(__xludf.DUMMYFUNCTION("""COMPUTED_VALUE"""),0.675)</f>
        <v>0.675</v>
      </c>
      <c r="Y686" s="14" t="str">
        <f>IFERROR(__xludf.DUMMYFUNCTION("""COMPUTED_VALUE"""),"Dominica-The Americas")</f>
        <v>Dominica-The Americas</v>
      </c>
      <c r="Z686" s="14" t="str">
        <f>IFERROR(__xludf.DUMMYFUNCTION("""COMPUTED_VALUE"""),"The Americas")</f>
        <v>The Americas</v>
      </c>
      <c r="AA686" s="14" t="str">
        <f>IFERROR(__xludf.DUMMYFUNCTION("""COMPUTED_VALUE"""),"2008")</f>
        <v>2008</v>
      </c>
      <c r="AB686" s="15" t="str">
        <f>IFERROR(__xludf.DUMMYFUNCTION("ARRAYFORMULA(VLOOKUP(A686,IMPORTRANGE(""https://docs.google.com/spreadsheets/d/1BuTWp7qHGjWhqrnf-OmePP568O4A5Am9ttzvVdP67zw/edit#gid=1931367683"" ,""ENERGY!$A$2:$F$2692""), {2,3,4,5,6},0))"),"The Americas")</f>
        <v>The Americas</v>
      </c>
      <c r="AC686" s="14" t="str">
        <f>IFERROR(__xludf.DUMMYFUNCTION("""COMPUTED_VALUE"""),"Dominica-The Americas")</f>
        <v>Dominica-The Americas</v>
      </c>
      <c r="AD686" s="14" t="str">
        <f>IFERROR(__xludf.DUMMYFUNCTION("""COMPUTED_VALUE"""),"2005")</f>
        <v>2005</v>
      </c>
      <c r="AE686" s="14">
        <f>IFERROR(__xludf.DUMMYFUNCTION("""COMPUTED_VALUE"""),39.0)</f>
        <v>39</v>
      </c>
      <c r="AF686" s="14">
        <f>IFERROR(__xludf.DUMMYFUNCTION("""COMPUTED_VALUE"""),110.0)</f>
        <v>110</v>
      </c>
    </row>
    <row r="687">
      <c r="A687" s="12">
        <v>686.0</v>
      </c>
      <c r="B687" s="12" t="s">
        <v>131</v>
      </c>
      <c r="C687" s="5" t="s">
        <v>84</v>
      </c>
      <c r="D687" s="11">
        <v>0.37</v>
      </c>
      <c r="E687" s="11">
        <v>13.0</v>
      </c>
      <c r="F687" s="8"/>
      <c r="G687" s="11">
        <v>117.0</v>
      </c>
      <c r="H687" s="11">
        <v>0.42</v>
      </c>
      <c r="I687" s="11">
        <v>1.387</v>
      </c>
      <c r="J687" s="9" t="s">
        <v>70</v>
      </c>
      <c r="K687" s="14" t="str">
        <f>IFERROR(__xludf.DUMMYFUNCTION("ARRAYFORMULA(VLOOKUP(A687,IMPORTRANGE(""https://docs.google.com/spreadsheets/d/1BuTWp7qHGjWhqrnf-OmePP568O4A5Am9ttzvVdP67zw/edit#gid=1603210130"", ""TOURISM!$A$2:$F$2692""), {2,3,4,5,6},0))"),"The Americas")</f>
        <v>The Americas</v>
      </c>
      <c r="L687" s="14">
        <f>IFERROR(__xludf.DUMMYFUNCTION("""COMPUTED_VALUE"""),7.9E7)</f>
        <v>79000000</v>
      </c>
      <c r="M687" s="14" t="str">
        <f>IFERROR(__xludf.DUMMYFUNCTION("""COMPUTED_VALUE"""),"Dominica-The Americas")</f>
        <v>Dominica-The Americas</v>
      </c>
      <c r="N687" s="14" t="str">
        <f>IFERROR(__xludf.DUMMYFUNCTION("""COMPUTED_VALUE"""),"2009")</f>
        <v>2009</v>
      </c>
      <c r="O687" s="14">
        <f>IFERROR(__xludf.DUMMYFUNCTION("""COMPUTED_VALUE"""),1.3E7)</f>
        <v>13000000</v>
      </c>
      <c r="P687" s="15" t="str">
        <f>IFERROR(__xludf.DUMMYFUNCTION("ARRAYFORMULA(VLOOKUP(A687,IMPORTRANGE(""https://docs.google.com/spreadsheets/d/1BuTWp7qHGjWhqrnf-OmePP568O4A5Am9ttzvVdP67zw/edit#gid=771602874"" ,""HUMAN RESOURCES!$A$2:$M$2692""), {2,3,4,5,6,7,8,9,10,11,12,13},0))"),"")</f>
        <v/>
      </c>
      <c r="Q687" s="14">
        <f>IFERROR(__xludf.DUMMYFUNCTION("""COMPUTED_VALUE"""),0.011)</f>
        <v>0.011</v>
      </c>
      <c r="R687" s="14"/>
      <c r="S687" s="14"/>
      <c r="T687" s="14"/>
      <c r="U687" s="14"/>
      <c r="V687" s="14"/>
      <c r="W687" s="14">
        <f>IFERROR(__xludf.DUMMYFUNCTION("""COMPUTED_VALUE"""),70996.0)</f>
        <v>70996</v>
      </c>
      <c r="X687" s="14">
        <f>IFERROR(__xludf.DUMMYFUNCTION("""COMPUTED_VALUE"""),0.678)</f>
        <v>0.678</v>
      </c>
      <c r="Y687" s="14" t="str">
        <f>IFERROR(__xludf.DUMMYFUNCTION("""COMPUTED_VALUE"""),"Dominica-The Americas")</f>
        <v>Dominica-The Americas</v>
      </c>
      <c r="Z687" s="14" t="str">
        <f>IFERROR(__xludf.DUMMYFUNCTION("""COMPUTED_VALUE"""),"The Americas")</f>
        <v>The Americas</v>
      </c>
      <c r="AA687" s="14" t="str">
        <f>IFERROR(__xludf.DUMMYFUNCTION("""COMPUTED_VALUE"""),"2009")</f>
        <v>2009</v>
      </c>
      <c r="AB687" s="15" t="str">
        <f>IFERROR(__xludf.DUMMYFUNCTION("ARRAYFORMULA(VLOOKUP(A687,IMPORTRANGE(""https://docs.google.com/spreadsheets/d/1BuTWp7qHGjWhqrnf-OmePP568O4A5Am9ttzvVdP67zw/edit#gid=1931367683"" ,""ENERGY!$A$2:$F$2692""), {2,3,4,5,6},0))"),"The Americas")</f>
        <v>The Americas</v>
      </c>
      <c r="AC687" s="14" t="str">
        <f>IFERROR(__xludf.DUMMYFUNCTION("""COMPUTED_VALUE"""),"Dominica-The Americas")</f>
        <v>Dominica-The Americas</v>
      </c>
      <c r="AD687" s="14" t="str">
        <f>IFERROR(__xludf.DUMMYFUNCTION("""COMPUTED_VALUE"""),"2009")</f>
        <v>2009</v>
      </c>
      <c r="AE687" s="14"/>
      <c r="AF687" s="14">
        <f>IFERROR(__xludf.DUMMYFUNCTION("""COMPUTED_VALUE"""),114.0)</f>
        <v>114</v>
      </c>
    </row>
    <row r="688">
      <c r="A688" s="12">
        <v>687.0</v>
      </c>
      <c r="B688" s="12" t="s">
        <v>131</v>
      </c>
      <c r="C688" s="5" t="s">
        <v>84</v>
      </c>
      <c r="D688" s="11">
        <v>0.37</v>
      </c>
      <c r="E688" s="11">
        <v>13.0</v>
      </c>
      <c r="F688" s="8"/>
      <c r="G688" s="11">
        <v>117.0</v>
      </c>
      <c r="H688" s="11">
        <v>0.475</v>
      </c>
      <c r="I688" s="11">
        <v>1.483</v>
      </c>
      <c r="J688" s="9" t="s">
        <v>71</v>
      </c>
      <c r="K688" s="14" t="str">
        <f>IFERROR(__xludf.DUMMYFUNCTION("ARRAYFORMULA(VLOOKUP(A688,IMPORTRANGE(""https://docs.google.com/spreadsheets/d/1BuTWp7qHGjWhqrnf-OmePP568O4A5Am9ttzvVdP67zw/edit#gid=1603210130"", ""TOURISM!$A$2:$F$2692""), {2,3,4,5,6},0))"),"The Americas")</f>
        <v>The Americas</v>
      </c>
      <c r="L688" s="14">
        <f>IFERROR(__xludf.DUMMYFUNCTION("""COMPUTED_VALUE"""),9.5E7)</f>
        <v>95000000</v>
      </c>
      <c r="M688" s="14" t="str">
        <f>IFERROR(__xludf.DUMMYFUNCTION("""COMPUTED_VALUE"""),"Dominica-The Americas")</f>
        <v>Dominica-The Americas</v>
      </c>
      <c r="N688" s="14" t="str">
        <f>IFERROR(__xludf.DUMMYFUNCTION("""COMPUTED_VALUE"""),"2010")</f>
        <v>2010</v>
      </c>
      <c r="O688" s="14">
        <f>IFERROR(__xludf.DUMMYFUNCTION("""COMPUTED_VALUE"""),1.3E7)</f>
        <v>13000000</v>
      </c>
      <c r="P688" s="15">
        <f>IFERROR(__xludf.DUMMYFUNCTION("ARRAYFORMULA(VLOOKUP(A688,IMPORTRANGE(""https://docs.google.com/spreadsheets/d/1BuTWp7qHGjWhqrnf-OmePP568O4A5Am9ttzvVdP67zw/edit#gid=771602874"" ,""HUMAN RESOURCES!$A$2:$M$2692""), {2,3,4,5,6,7,8,9,10,11,12,13},0))"),0.013)</f>
        <v>0.013</v>
      </c>
      <c r="Q688" s="14">
        <f>IFERROR(__xludf.DUMMYFUNCTION("""COMPUTED_VALUE"""),0.011)</f>
        <v>0.011</v>
      </c>
      <c r="R688" s="14"/>
      <c r="S688" s="14"/>
      <c r="T688" s="14"/>
      <c r="U688" s="14"/>
      <c r="V688" s="14"/>
      <c r="W688" s="14">
        <f>IFERROR(__xludf.DUMMYFUNCTION("""COMPUTED_VALUE"""),71167.0)</f>
        <v>71167</v>
      </c>
      <c r="X688" s="14">
        <f>IFERROR(__xludf.DUMMYFUNCTION("""COMPUTED_VALUE"""),0.681)</f>
        <v>0.681</v>
      </c>
      <c r="Y688" s="14" t="str">
        <f>IFERROR(__xludf.DUMMYFUNCTION("""COMPUTED_VALUE"""),"Dominica-The Americas")</f>
        <v>Dominica-The Americas</v>
      </c>
      <c r="Z688" s="14" t="str">
        <f>IFERROR(__xludf.DUMMYFUNCTION("""COMPUTED_VALUE"""),"The Americas")</f>
        <v>The Americas</v>
      </c>
      <c r="AA688" s="14" t="str">
        <f>IFERROR(__xludf.DUMMYFUNCTION("""COMPUTED_VALUE"""),"2010")</f>
        <v>2010</v>
      </c>
      <c r="AB688" s="15" t="str">
        <f>IFERROR(__xludf.DUMMYFUNCTION("ARRAYFORMULA(VLOOKUP(A688,IMPORTRANGE(""https://docs.google.com/spreadsheets/d/1BuTWp7qHGjWhqrnf-OmePP568O4A5Am9ttzvVdP67zw/edit#gid=1931367683"" ,""ENERGY!$A$2:$F$2692""), {2,3,4,5,6},0))"),"The Americas")</f>
        <v>The Americas</v>
      </c>
      <c r="AC688" s="14" t="str">
        <f>IFERROR(__xludf.DUMMYFUNCTION("""COMPUTED_VALUE"""),"Dominica-The Americas")</f>
        <v>Dominica-The Americas</v>
      </c>
      <c r="AD688" s="14" t="str">
        <f>IFERROR(__xludf.DUMMYFUNCTION("""COMPUTED_VALUE"""),"2008")</f>
        <v>2008</v>
      </c>
      <c r="AE688" s="14"/>
      <c r="AF688" s="14">
        <f>IFERROR(__xludf.DUMMYFUNCTION("""COMPUTED_VALUE"""),103.0)</f>
        <v>103</v>
      </c>
    </row>
    <row r="689">
      <c r="A689" s="12">
        <v>688.0</v>
      </c>
      <c r="B689" s="12" t="s">
        <v>131</v>
      </c>
      <c r="C689" s="5" t="s">
        <v>84</v>
      </c>
      <c r="D689" s="11">
        <v>0.371</v>
      </c>
      <c r="E689" s="11">
        <v>12.0</v>
      </c>
      <c r="F689" s="8"/>
      <c r="G689" s="11">
        <v>117.0</v>
      </c>
      <c r="H689" s="11">
        <v>0.513</v>
      </c>
      <c r="I689" s="11">
        <v>1.526</v>
      </c>
      <c r="J689" s="9" t="s">
        <v>72</v>
      </c>
      <c r="K689" s="14" t="str">
        <f>IFERROR(__xludf.DUMMYFUNCTION("ARRAYFORMULA(VLOOKUP(A689,IMPORTRANGE(""https://docs.google.com/spreadsheets/d/1BuTWp7qHGjWhqrnf-OmePP568O4A5Am9ttzvVdP67zw/edit#gid=1603210130"", ""TOURISM!$A$2:$F$2692""), {2,3,4,5,6},0))"),"The Americas")</f>
        <v>The Americas</v>
      </c>
      <c r="L689" s="14">
        <f>IFERROR(__xludf.DUMMYFUNCTION("""COMPUTED_VALUE"""),1.13E8)</f>
        <v>113000000</v>
      </c>
      <c r="M689" s="14" t="str">
        <f>IFERROR(__xludf.DUMMYFUNCTION("""COMPUTED_VALUE"""),"Dominica-The Americas")</f>
        <v>Dominica-The Americas</v>
      </c>
      <c r="N689" s="14" t="str">
        <f>IFERROR(__xludf.DUMMYFUNCTION("""COMPUTED_VALUE"""),"2011")</f>
        <v>2011</v>
      </c>
      <c r="O689" s="14">
        <f>IFERROR(__xludf.DUMMYFUNCTION("""COMPUTED_VALUE"""),1.2E7)</f>
        <v>12000000</v>
      </c>
      <c r="P689" s="15" t="str">
        <f>IFERROR(__xludf.DUMMYFUNCTION("ARRAYFORMULA(VLOOKUP(A689,IMPORTRANGE(""https://docs.google.com/spreadsheets/d/1BuTWp7qHGjWhqrnf-OmePP568O4A5Am9ttzvVdP67zw/edit#gid=771602874"" ,""HUMAN RESOURCES!$A$2:$M$2692""), {2,3,4,5,6,7,8,9,10,11,12,13},0))"),"")</f>
        <v/>
      </c>
      <c r="Q689" s="14">
        <f>IFERROR(__xludf.DUMMYFUNCTION("""COMPUTED_VALUE"""),0.011)</f>
        <v>0.011</v>
      </c>
      <c r="R689" s="14"/>
      <c r="S689" s="14"/>
      <c r="T689" s="14"/>
      <c r="U689" s="14"/>
      <c r="V689" s="14"/>
      <c r="W689" s="14">
        <f>IFERROR(__xludf.DUMMYFUNCTION("""COMPUTED_VALUE"""),71401.0)</f>
        <v>71401</v>
      </c>
      <c r="X689" s="14">
        <f>IFERROR(__xludf.DUMMYFUNCTION("""COMPUTED_VALUE"""),0.684)</f>
        <v>0.684</v>
      </c>
      <c r="Y689" s="14" t="str">
        <f>IFERROR(__xludf.DUMMYFUNCTION("""COMPUTED_VALUE"""),"Dominica-The Americas")</f>
        <v>Dominica-The Americas</v>
      </c>
      <c r="Z689" s="14" t="str">
        <f>IFERROR(__xludf.DUMMYFUNCTION("""COMPUTED_VALUE"""),"The Americas")</f>
        <v>The Americas</v>
      </c>
      <c r="AA689" s="14" t="str">
        <f>IFERROR(__xludf.DUMMYFUNCTION("""COMPUTED_VALUE"""),"2011")</f>
        <v>2011</v>
      </c>
      <c r="AB689" s="15" t="str">
        <f>IFERROR(__xludf.DUMMYFUNCTION("ARRAYFORMULA(VLOOKUP(A689,IMPORTRANGE(""https://docs.google.com/spreadsheets/d/1BuTWp7qHGjWhqrnf-OmePP568O4A5Am9ttzvVdP67zw/edit#gid=1931367683"" ,""ENERGY!$A$2:$F$2692""), {2,3,4,5,6},0))"),"The Americas")</f>
        <v>The Americas</v>
      </c>
      <c r="AC689" s="14" t="str">
        <f>IFERROR(__xludf.DUMMYFUNCTION("""COMPUTED_VALUE"""),"Dominica-The Americas")</f>
        <v>Dominica-The Americas</v>
      </c>
      <c r="AD689" s="14" t="str">
        <f>IFERROR(__xludf.DUMMYFUNCTION("""COMPUTED_VALUE"""),"2004")</f>
        <v>2004</v>
      </c>
      <c r="AE689" s="14"/>
      <c r="AF689" s="14">
        <f>IFERROR(__xludf.DUMMYFUNCTION("""COMPUTED_VALUE"""),114.0)</f>
        <v>114</v>
      </c>
    </row>
    <row r="690">
      <c r="A690" s="12">
        <v>689.0</v>
      </c>
      <c r="B690" s="12" t="s">
        <v>131</v>
      </c>
      <c r="C690" s="5" t="s">
        <v>84</v>
      </c>
      <c r="D690" s="11">
        <v>0.371</v>
      </c>
      <c r="E690" s="11">
        <v>12.0</v>
      </c>
      <c r="F690" s="11">
        <v>69.0</v>
      </c>
      <c r="G690" s="11">
        <v>117.0</v>
      </c>
      <c r="H690" s="11">
        <v>0.552</v>
      </c>
      <c r="I690" s="11">
        <v>1.525</v>
      </c>
      <c r="J690" s="9" t="s">
        <v>73</v>
      </c>
      <c r="K690" s="14" t="str">
        <f>IFERROR(__xludf.DUMMYFUNCTION("ARRAYFORMULA(VLOOKUP(A690,IMPORTRANGE(""https://docs.google.com/spreadsheets/d/1BuTWp7qHGjWhqrnf-OmePP568O4A5Am9ttzvVdP67zw/edit#gid=1603210130"", ""TOURISM!$A$2:$F$2692""), {2,3,4,5,6},0))"),"The Americas")</f>
        <v>The Americas</v>
      </c>
      <c r="L690" s="14">
        <f>IFERROR(__xludf.DUMMYFUNCTION("""COMPUTED_VALUE"""),1.1E8)</f>
        <v>110000000</v>
      </c>
      <c r="M690" s="14" t="str">
        <f>IFERROR(__xludf.DUMMYFUNCTION("""COMPUTED_VALUE"""),"Dominica-The Americas")</f>
        <v>Dominica-The Americas</v>
      </c>
      <c r="N690" s="14" t="str">
        <f>IFERROR(__xludf.DUMMYFUNCTION("""COMPUTED_VALUE"""),"2012")</f>
        <v>2012</v>
      </c>
      <c r="O690" s="14">
        <f>IFERROR(__xludf.DUMMYFUNCTION("""COMPUTED_VALUE"""),1.3E7)</f>
        <v>13000000</v>
      </c>
      <c r="P690" s="15" t="str">
        <f>IFERROR(__xludf.DUMMYFUNCTION("ARRAYFORMULA(VLOOKUP(A690,IMPORTRANGE(""https://docs.google.com/spreadsheets/d/1BuTWp7qHGjWhqrnf-OmePP568O4A5Am9ttzvVdP67zw/edit#gid=771602874"" ,""HUMAN RESOURCES!$A$2:$M$2692""), {2,3,4,5,6,7,8,9,10,11,12,13},0))"),"")</f>
        <v/>
      </c>
      <c r="Q690" s="14">
        <f>IFERROR(__xludf.DUMMYFUNCTION("""COMPUTED_VALUE"""),0.011)</f>
        <v>0.011</v>
      </c>
      <c r="R690" s="14"/>
      <c r="S690" s="14"/>
      <c r="T690" s="14"/>
      <c r="U690" s="14"/>
      <c r="V690" s="14"/>
      <c r="W690" s="14">
        <f>IFERROR(__xludf.DUMMYFUNCTION("""COMPUTED_VALUE"""),71684.0)</f>
        <v>71684</v>
      </c>
      <c r="X690" s="14">
        <f>IFERROR(__xludf.DUMMYFUNCTION("""COMPUTED_VALUE"""),0.687)</f>
        <v>0.687</v>
      </c>
      <c r="Y690" s="14" t="str">
        <f>IFERROR(__xludf.DUMMYFUNCTION("""COMPUTED_VALUE"""),"Dominica-The Americas")</f>
        <v>Dominica-The Americas</v>
      </c>
      <c r="Z690" s="14" t="str">
        <f>IFERROR(__xludf.DUMMYFUNCTION("""COMPUTED_VALUE"""),"The Americas")</f>
        <v>The Americas</v>
      </c>
      <c r="AA690" s="14" t="str">
        <f>IFERROR(__xludf.DUMMYFUNCTION("""COMPUTED_VALUE"""),"2012")</f>
        <v>2012</v>
      </c>
      <c r="AB690" s="15" t="str">
        <f>IFERROR(__xludf.DUMMYFUNCTION("ARRAYFORMULA(VLOOKUP(A690,IMPORTRANGE(""https://docs.google.com/spreadsheets/d/1BuTWp7qHGjWhqrnf-OmePP568O4A5Am9ttzvVdP67zw/edit#gid=1931367683"" ,""ENERGY!$A$2:$F$2692""), {2,3,4,5,6},0))"),"The Americas")</f>
        <v>The Americas</v>
      </c>
      <c r="AC690" s="14" t="str">
        <f>IFERROR(__xludf.DUMMYFUNCTION("""COMPUTED_VALUE"""),"Dominica-The Americas")</f>
        <v>Dominica-The Americas</v>
      </c>
      <c r="AD690" s="14" t="str">
        <f>IFERROR(__xludf.DUMMYFUNCTION("""COMPUTED_VALUE"""),"2009")</f>
        <v>2009</v>
      </c>
      <c r="AE690" s="14"/>
      <c r="AF690" s="14">
        <f>IFERROR(__xludf.DUMMYFUNCTION("""COMPUTED_VALUE"""),103.0)</f>
        <v>103</v>
      </c>
    </row>
    <row r="691">
      <c r="A691" s="12">
        <v>690.0</v>
      </c>
      <c r="B691" s="12" t="s">
        <v>132</v>
      </c>
      <c r="C691" s="5" t="s">
        <v>84</v>
      </c>
      <c r="D691" s="8"/>
      <c r="E691" s="8"/>
      <c r="F691" s="8"/>
      <c r="G691" s="8"/>
      <c r="H691" s="11">
        <v>0.037</v>
      </c>
      <c r="I691" s="11">
        <v>0.081</v>
      </c>
      <c r="J691" s="9" t="s">
        <v>60</v>
      </c>
      <c r="K691" s="14" t="str">
        <f>IFERROR(__xludf.DUMMYFUNCTION("ARRAYFORMULA(VLOOKUP(A691,IMPORTRANGE(""https://docs.google.com/spreadsheets/d/1BuTWp7qHGjWhqrnf-OmePP568O4A5Am9ttzvVdP67zw/edit#gid=1603210130"", ""TOURISM!$A$2:$F$2692""), {2,3,4,5,6},0))"),"The Americas")</f>
        <v>The Americas</v>
      </c>
      <c r="L691" s="14">
        <f>IFERROR(__xludf.DUMMYFUNCTION("""COMPUTED_VALUE"""),2.86E9)</f>
        <v>2860000000</v>
      </c>
      <c r="M691" s="14" t="str">
        <f>IFERROR(__xludf.DUMMYFUNCTION("""COMPUTED_VALUE"""),"Dominican Republic-The Americas")</f>
        <v>Dominican Republic-The Americas</v>
      </c>
      <c r="N691" s="14" t="str">
        <f>IFERROR(__xludf.DUMMYFUNCTION("""COMPUTED_VALUE"""),"2000")</f>
        <v>2000</v>
      </c>
      <c r="O691" s="14">
        <f>IFERROR(__xludf.DUMMYFUNCTION("""COMPUTED_VALUE"""),4.4E8)</f>
        <v>440000000</v>
      </c>
      <c r="P691" s="15">
        <f>IFERROR(__xludf.DUMMYFUNCTION("ARRAYFORMULA(VLOOKUP(A691,IMPORTRANGE(""https://docs.google.com/spreadsheets/d/1BuTWp7qHGjWhqrnf-OmePP568O4A5Am9ttzvVdP67zw/edit#gid=771602874"" ,""HUMAN RESOURCES!$A$2:$M$2692""), {2,3,4,5,6,7,8,9,10,11,12,13},0))"),0.025)</f>
        <v>0.025</v>
      </c>
      <c r="Q691" s="14">
        <f>IFERROR(__xludf.DUMMYFUNCTION("""COMPUTED_VALUE"""),0.033)</f>
        <v>0.033</v>
      </c>
      <c r="R691" s="14">
        <f>IFERROR(__xludf.DUMMYFUNCTION("""COMPUTED_VALUE"""),74.0)</f>
        <v>74</v>
      </c>
      <c r="S691" s="14">
        <f>IFERROR(__xludf.DUMMYFUNCTION("""COMPUTED_VALUE"""),68.0)</f>
        <v>68</v>
      </c>
      <c r="T691" s="14">
        <f>IFERROR(__xludf.DUMMYFUNCTION("""COMPUTED_VALUE"""),0.349)</f>
        <v>0.349</v>
      </c>
      <c r="U691" s="14">
        <f>IFERROR(__xludf.DUMMYFUNCTION("""COMPUTED_VALUE"""),0.599)</f>
        <v>0.599</v>
      </c>
      <c r="V691" s="14">
        <f>IFERROR(__xludf.DUMMYFUNCTION("""COMPUTED_VALUE"""),0.051)</f>
        <v>0.051</v>
      </c>
      <c r="W691" s="14">
        <f>IFERROR(__xludf.DUMMYFUNCTION("""COMPUTED_VALUE"""),8663421.0)</f>
        <v>8663421</v>
      </c>
      <c r="X691" s="14">
        <f>IFERROR(__xludf.DUMMYFUNCTION("""COMPUTED_VALUE"""),0.617)</f>
        <v>0.617</v>
      </c>
      <c r="Y691" s="14" t="str">
        <f>IFERROR(__xludf.DUMMYFUNCTION("""COMPUTED_VALUE"""),"Dominican Republic-The Americas")</f>
        <v>Dominican Republic-The Americas</v>
      </c>
      <c r="Z691" s="14" t="str">
        <f>IFERROR(__xludf.DUMMYFUNCTION("""COMPUTED_VALUE"""),"The Americas")</f>
        <v>The Americas</v>
      </c>
      <c r="AA691" s="14" t="str">
        <f>IFERROR(__xludf.DUMMYFUNCTION("""COMPUTED_VALUE"""),"2000")</f>
        <v>2000</v>
      </c>
      <c r="AB691" s="15" t="str">
        <f>IFERROR(__xludf.DUMMYFUNCTION("ARRAYFORMULA(VLOOKUP(A691,IMPORTRANGE(""https://docs.google.com/spreadsheets/d/1BuTWp7qHGjWhqrnf-OmePP568O4A5Am9ttzvVdP67zw/edit#gid=1931367683"" ,""ENERGY!$A$2:$F$2692""), {2,3,4,5,6},0))"),"The Americas")</f>
        <v>The Americas</v>
      </c>
      <c r="AC691" s="14" t="str">
        <f>IFERROR(__xludf.DUMMYFUNCTION("""COMPUTED_VALUE"""),"Dominican Republic-The Americas")</f>
        <v>Dominican Republic-The Americas</v>
      </c>
      <c r="AD691" s="14" t="str">
        <f>IFERROR(__xludf.DUMMYFUNCTION("""COMPUTED_VALUE"""),"2000")</f>
        <v>2000</v>
      </c>
      <c r="AE691" s="14"/>
      <c r="AF691" s="14"/>
    </row>
    <row r="692">
      <c r="A692" s="12">
        <v>691.0</v>
      </c>
      <c r="B692" s="12" t="s">
        <v>132</v>
      </c>
      <c r="C692" s="5" t="s">
        <v>84</v>
      </c>
      <c r="D692" s="8"/>
      <c r="E692" s="8"/>
      <c r="F692" s="8"/>
      <c r="G692" s="8"/>
      <c r="H692" s="11">
        <v>0.044</v>
      </c>
      <c r="I692" s="11">
        <v>0.144</v>
      </c>
      <c r="J692" s="9" t="s">
        <v>62</v>
      </c>
      <c r="K692" s="14" t="str">
        <f>IFERROR(__xludf.DUMMYFUNCTION("ARRAYFORMULA(VLOOKUP(A692,IMPORTRANGE(""https://docs.google.com/spreadsheets/d/1BuTWp7qHGjWhqrnf-OmePP568O4A5Am9ttzvVdP67zw/edit#gid=1603210130"", ""TOURISM!$A$2:$F$2692""), {2,3,4,5,6},0))"),"The Americas")</f>
        <v>The Americas</v>
      </c>
      <c r="L692" s="14">
        <f>IFERROR(__xludf.DUMMYFUNCTION("""COMPUTED_VALUE"""),2.798E9)</f>
        <v>2798000000</v>
      </c>
      <c r="M692" s="14" t="str">
        <f>IFERROR(__xludf.DUMMYFUNCTION("""COMPUTED_VALUE"""),"Dominican Republic-The Americas")</f>
        <v>Dominican Republic-The Americas</v>
      </c>
      <c r="N692" s="14" t="str">
        <f>IFERROR(__xludf.DUMMYFUNCTION("""COMPUTED_VALUE"""),"2001")</f>
        <v>2001</v>
      </c>
      <c r="O692" s="14">
        <f>IFERROR(__xludf.DUMMYFUNCTION("""COMPUTED_VALUE"""),4.25E8)</f>
        <v>425000000</v>
      </c>
      <c r="P692" s="15">
        <f>IFERROR(__xludf.DUMMYFUNCTION("ARRAYFORMULA(VLOOKUP(A692,IMPORTRANGE(""https://docs.google.com/spreadsheets/d/1BuTWp7qHGjWhqrnf-OmePP568O4A5Am9ttzvVdP67zw/edit#gid=771602874"" ,""HUMAN RESOURCES!$A$2:$M$2692""), {2,3,4,5,6,7,8,9,10,11,12,13},0))"),0.025)</f>
        <v>0.025</v>
      </c>
      <c r="Q692" s="14">
        <f>IFERROR(__xludf.DUMMYFUNCTION("""COMPUTED_VALUE"""),0.032)</f>
        <v>0.032</v>
      </c>
      <c r="R692" s="14">
        <f>IFERROR(__xludf.DUMMYFUNCTION("""COMPUTED_VALUE"""),74.0)</f>
        <v>74</v>
      </c>
      <c r="S692" s="14">
        <f>IFERROR(__xludf.DUMMYFUNCTION("""COMPUTED_VALUE"""),68.0)</f>
        <v>68</v>
      </c>
      <c r="T692" s="14">
        <f>IFERROR(__xludf.DUMMYFUNCTION("""COMPUTED_VALUE"""),0.345)</f>
        <v>0.345</v>
      </c>
      <c r="U692" s="14">
        <f>IFERROR(__xludf.DUMMYFUNCTION("""COMPUTED_VALUE"""),0.602)</f>
        <v>0.602</v>
      </c>
      <c r="V692" s="14">
        <f>IFERROR(__xludf.DUMMYFUNCTION("""COMPUTED_VALUE"""),0.053)</f>
        <v>0.053</v>
      </c>
      <c r="W692" s="14">
        <f>IFERROR(__xludf.DUMMYFUNCTION("""COMPUTED_VALUE"""),8799298.0)</f>
        <v>8799298</v>
      </c>
      <c r="X692" s="14">
        <f>IFERROR(__xludf.DUMMYFUNCTION("""COMPUTED_VALUE"""),0.626)</f>
        <v>0.626</v>
      </c>
      <c r="Y692" s="14" t="str">
        <f>IFERROR(__xludf.DUMMYFUNCTION("""COMPUTED_VALUE"""),"Dominican Republic-The Americas")</f>
        <v>Dominican Republic-The Americas</v>
      </c>
      <c r="Z692" s="14" t="str">
        <f>IFERROR(__xludf.DUMMYFUNCTION("""COMPUTED_VALUE"""),"The Americas")</f>
        <v>The Americas</v>
      </c>
      <c r="AA692" s="14" t="str">
        <f>IFERROR(__xludf.DUMMYFUNCTION("""COMPUTED_VALUE"""),"2001")</f>
        <v>2001</v>
      </c>
      <c r="AB692" s="15" t="str">
        <f>IFERROR(__xludf.DUMMYFUNCTION("ARRAYFORMULA(VLOOKUP(A692,IMPORTRANGE(""https://docs.google.com/spreadsheets/d/1BuTWp7qHGjWhqrnf-OmePP568O4A5Am9ttzvVdP67zw/edit#gid=1931367683"" ,""ENERGY!$A$2:$F$2692""), {2,3,4,5,6},0))"),"The Americas")</f>
        <v>The Americas</v>
      </c>
      <c r="AC692" s="14" t="str">
        <f>IFERROR(__xludf.DUMMYFUNCTION("""COMPUTED_VALUE"""),"Dominican Republic-The Americas")</f>
        <v>Dominican Republic-The Americas</v>
      </c>
      <c r="AD692" s="14" t="str">
        <f>IFERROR(__xludf.DUMMYFUNCTION("""COMPUTED_VALUE"""),"2001")</f>
        <v>2001</v>
      </c>
      <c r="AE692" s="14">
        <f>IFERROR(__xludf.DUMMYFUNCTION("""COMPUTED_VALUE"""),7382.0)</f>
        <v>7382</v>
      </c>
      <c r="AF692" s="14"/>
    </row>
    <row r="693">
      <c r="A693" s="12">
        <v>692.0</v>
      </c>
      <c r="B693" s="12" t="s">
        <v>132</v>
      </c>
      <c r="C693" s="5" t="s">
        <v>84</v>
      </c>
      <c r="D693" s="8"/>
      <c r="E693" s="8"/>
      <c r="F693" s="8"/>
      <c r="G693" s="8"/>
      <c r="H693" s="11">
        <v>0.068</v>
      </c>
      <c r="I693" s="11">
        <v>0.19</v>
      </c>
      <c r="J693" s="9" t="s">
        <v>63</v>
      </c>
      <c r="K693" s="14" t="str">
        <f>IFERROR(__xludf.DUMMYFUNCTION("ARRAYFORMULA(VLOOKUP(A693,IMPORTRANGE(""https://docs.google.com/spreadsheets/d/1BuTWp7qHGjWhqrnf-OmePP568O4A5Am9ttzvVdP67zw/edit#gid=1603210130"", ""TOURISM!$A$2:$F$2692""), {2,3,4,5,6},0))"),"The Americas")</f>
        <v>The Americas</v>
      </c>
      <c r="L693" s="14">
        <f>IFERROR(__xludf.DUMMYFUNCTION("""COMPUTED_VALUE"""),2.73E9)</f>
        <v>2730000000</v>
      </c>
      <c r="M693" s="14" t="str">
        <f>IFERROR(__xludf.DUMMYFUNCTION("""COMPUTED_VALUE"""),"Dominican Republic-The Americas")</f>
        <v>Dominican Republic-The Americas</v>
      </c>
      <c r="N693" s="14" t="str">
        <f>IFERROR(__xludf.DUMMYFUNCTION("""COMPUTED_VALUE"""),"2002")</f>
        <v>2002</v>
      </c>
      <c r="O693" s="14">
        <f>IFERROR(__xludf.DUMMYFUNCTION("""COMPUTED_VALUE"""),4.29E8)</f>
        <v>429000000</v>
      </c>
      <c r="P693" s="15">
        <f>IFERROR(__xludf.DUMMYFUNCTION("ARRAYFORMULA(VLOOKUP(A693,IMPORTRANGE(""https://docs.google.com/spreadsheets/d/1BuTWp7qHGjWhqrnf-OmePP568O4A5Am9ttzvVdP67zw/edit#gid=771602874"" ,""HUMAN RESOURCES!$A$2:$M$2692""), {2,3,4,5,6,7,8,9,10,11,12,13},0))"),0.024)</f>
        <v>0.024</v>
      </c>
      <c r="Q693" s="14">
        <f>IFERROR(__xludf.DUMMYFUNCTION("""COMPUTED_VALUE"""),0.032)</f>
        <v>0.032</v>
      </c>
      <c r="R693" s="14">
        <f>IFERROR(__xludf.DUMMYFUNCTION("""COMPUTED_VALUE"""),74.0)</f>
        <v>74</v>
      </c>
      <c r="S693" s="14">
        <f>IFERROR(__xludf.DUMMYFUNCTION("""COMPUTED_VALUE"""),68.0)</f>
        <v>68</v>
      </c>
      <c r="T693" s="14">
        <f>IFERROR(__xludf.DUMMYFUNCTION("""COMPUTED_VALUE"""),0.342)</f>
        <v>0.342</v>
      </c>
      <c r="U693" s="14">
        <f>IFERROR(__xludf.DUMMYFUNCTION("""COMPUTED_VALUE"""),0.604)</f>
        <v>0.604</v>
      </c>
      <c r="V693" s="14">
        <f>IFERROR(__xludf.DUMMYFUNCTION("""COMPUTED_VALUE"""),0.054)</f>
        <v>0.054</v>
      </c>
      <c r="W693" s="14">
        <f>IFERROR(__xludf.DUMMYFUNCTION("""COMPUTED_VALUE"""),8935261.0)</f>
        <v>8935261</v>
      </c>
      <c r="X693" s="14">
        <f>IFERROR(__xludf.DUMMYFUNCTION("""COMPUTED_VALUE"""),0.634)</f>
        <v>0.634</v>
      </c>
      <c r="Y693" s="14" t="str">
        <f>IFERROR(__xludf.DUMMYFUNCTION("""COMPUTED_VALUE"""),"Dominican Republic-The Americas")</f>
        <v>Dominican Republic-The Americas</v>
      </c>
      <c r="Z693" s="14" t="str">
        <f>IFERROR(__xludf.DUMMYFUNCTION("""COMPUTED_VALUE"""),"The Americas")</f>
        <v>The Americas</v>
      </c>
      <c r="AA693" s="14" t="str">
        <f>IFERROR(__xludf.DUMMYFUNCTION("""COMPUTED_VALUE"""),"2002")</f>
        <v>2002</v>
      </c>
      <c r="AB693" s="15" t="str">
        <f>IFERROR(__xludf.DUMMYFUNCTION("ARRAYFORMULA(VLOOKUP(A693,IMPORTRANGE(""https://docs.google.com/spreadsheets/d/1BuTWp7qHGjWhqrnf-OmePP568O4A5Am9ttzvVdP67zw/edit#gid=1931367683"" ,""ENERGY!$A$2:$F$2692""), {2,3,4,5,6},0))"),"The Americas")</f>
        <v>The Americas</v>
      </c>
      <c r="AC693" s="14" t="str">
        <f>IFERROR(__xludf.DUMMYFUNCTION("""COMPUTED_VALUE"""),"Dominican Republic-The Americas")</f>
        <v>Dominican Republic-The Americas</v>
      </c>
      <c r="AD693" s="14" t="str">
        <f>IFERROR(__xludf.DUMMYFUNCTION("""COMPUTED_VALUE"""),"2002")</f>
        <v>2002</v>
      </c>
      <c r="AE693" s="14">
        <f>IFERROR(__xludf.DUMMYFUNCTION("""COMPUTED_VALUE"""),7178.0)</f>
        <v>7178</v>
      </c>
      <c r="AF693" s="14">
        <f>IFERROR(__xludf.DUMMYFUNCTION("""COMPUTED_VALUE"""),20964.0)</f>
        <v>20964</v>
      </c>
    </row>
    <row r="694">
      <c r="A694" s="12">
        <v>693.0</v>
      </c>
      <c r="B694" s="12" t="s">
        <v>132</v>
      </c>
      <c r="C694" s="5" t="s">
        <v>84</v>
      </c>
      <c r="D694" s="8"/>
      <c r="E694" s="11">
        <v>77.0</v>
      </c>
      <c r="F694" s="8"/>
      <c r="G694" s="8"/>
      <c r="H694" s="11">
        <v>0.079</v>
      </c>
      <c r="I694" s="11">
        <v>0.231</v>
      </c>
      <c r="J694" s="9" t="s">
        <v>64</v>
      </c>
      <c r="K694" s="14" t="str">
        <f>IFERROR(__xludf.DUMMYFUNCTION("ARRAYFORMULA(VLOOKUP(A694,IMPORTRANGE(""https://docs.google.com/spreadsheets/d/1BuTWp7qHGjWhqrnf-OmePP568O4A5Am9ttzvVdP67zw/edit#gid=1603210130"", ""TOURISM!$A$2:$F$2692""), {2,3,4,5,6},0))"),"The Americas")</f>
        <v>The Americas</v>
      </c>
      <c r="L694" s="14">
        <f>IFERROR(__xludf.DUMMYFUNCTION("""COMPUTED_VALUE"""),3.128E9)</f>
        <v>3128000000</v>
      </c>
      <c r="M694" s="14" t="str">
        <f>IFERROR(__xludf.DUMMYFUNCTION("""COMPUTED_VALUE"""),"Dominican Republic-The Americas")</f>
        <v>Dominican Republic-The Americas</v>
      </c>
      <c r="N694" s="14" t="str">
        <f>IFERROR(__xludf.DUMMYFUNCTION("""COMPUTED_VALUE"""),"2003")</f>
        <v>2003</v>
      </c>
      <c r="O694" s="14">
        <f>IFERROR(__xludf.DUMMYFUNCTION("""COMPUTED_VALUE"""),4.08E8)</f>
        <v>408000000</v>
      </c>
      <c r="P694" s="15">
        <f>IFERROR(__xludf.DUMMYFUNCTION("ARRAYFORMULA(VLOOKUP(A694,IMPORTRANGE(""https://docs.google.com/spreadsheets/d/1BuTWp7qHGjWhqrnf-OmePP568O4A5Am9ttzvVdP67zw/edit#gid=771602874"" ,""HUMAN RESOURCES!$A$2:$M$2692""), {2,3,4,5,6,7,8,9,10,11,12,13},0))"),0.024)</f>
        <v>0.024</v>
      </c>
      <c r="Q694" s="14">
        <f>IFERROR(__xludf.DUMMYFUNCTION("""COMPUTED_VALUE"""),0.031)</f>
        <v>0.031</v>
      </c>
      <c r="R694" s="14">
        <f>IFERROR(__xludf.DUMMYFUNCTION("""COMPUTED_VALUE"""),74.0)</f>
        <v>74</v>
      </c>
      <c r="S694" s="14">
        <f>IFERROR(__xludf.DUMMYFUNCTION("""COMPUTED_VALUE"""),68.0)</f>
        <v>68</v>
      </c>
      <c r="T694" s="14">
        <f>IFERROR(__xludf.DUMMYFUNCTION("""COMPUTED_VALUE"""),0.338)</f>
        <v>0.338</v>
      </c>
      <c r="U694" s="14">
        <f>IFERROR(__xludf.DUMMYFUNCTION("""COMPUTED_VALUE"""),0.607)</f>
        <v>0.607</v>
      </c>
      <c r="V694" s="14">
        <f>IFERROR(__xludf.DUMMYFUNCTION("""COMPUTED_VALUE"""),0.055)</f>
        <v>0.055</v>
      </c>
      <c r="W694" s="14">
        <f>IFERROR(__xludf.DUMMYFUNCTION("""COMPUTED_VALUE"""),9071318.0)</f>
        <v>9071318</v>
      </c>
      <c r="X694" s="14">
        <f>IFERROR(__xludf.DUMMYFUNCTION("""COMPUTED_VALUE"""),0.646)</f>
        <v>0.646</v>
      </c>
      <c r="Y694" s="14" t="str">
        <f>IFERROR(__xludf.DUMMYFUNCTION("""COMPUTED_VALUE"""),"Dominican Republic-The Americas")</f>
        <v>Dominican Republic-The Americas</v>
      </c>
      <c r="Z694" s="14" t="str">
        <f>IFERROR(__xludf.DUMMYFUNCTION("""COMPUTED_VALUE"""),"The Americas")</f>
        <v>The Americas</v>
      </c>
      <c r="AA694" s="14" t="str">
        <f>IFERROR(__xludf.DUMMYFUNCTION("""COMPUTED_VALUE"""),"2003")</f>
        <v>2003</v>
      </c>
      <c r="AB694" s="15" t="str">
        <f>IFERROR(__xludf.DUMMYFUNCTION("ARRAYFORMULA(VLOOKUP(A694,IMPORTRANGE(""https://docs.google.com/spreadsheets/d/1BuTWp7qHGjWhqrnf-OmePP568O4A5Am9ttzvVdP67zw/edit#gid=1931367683"" ,""ENERGY!$A$2:$F$2692""), {2,3,4,5,6},0))"),"The Americas")</f>
        <v>The Americas</v>
      </c>
      <c r="AC694" s="14" t="str">
        <f>IFERROR(__xludf.DUMMYFUNCTION("""COMPUTED_VALUE"""),"Dominican Republic-The Americas")</f>
        <v>Dominican Republic-The Americas</v>
      </c>
      <c r="AD694" s="14" t="str">
        <f>IFERROR(__xludf.DUMMYFUNCTION("""COMPUTED_VALUE"""),"2003")</f>
        <v>2003</v>
      </c>
      <c r="AE694" s="14">
        <f>IFERROR(__xludf.DUMMYFUNCTION("""COMPUTED_VALUE"""),6941.0)</f>
        <v>6941</v>
      </c>
      <c r="AF694" s="14">
        <f>IFERROR(__xludf.DUMMYFUNCTION("""COMPUTED_VALUE"""),20323.0)</f>
        <v>20323</v>
      </c>
    </row>
    <row r="695">
      <c r="A695" s="12">
        <v>694.0</v>
      </c>
      <c r="B695" s="12" t="s">
        <v>132</v>
      </c>
      <c r="C695" s="5" t="s">
        <v>84</v>
      </c>
      <c r="D695" s="8"/>
      <c r="E695" s="11">
        <v>77.0</v>
      </c>
      <c r="F695" s="8"/>
      <c r="G695" s="8"/>
      <c r="H695" s="11">
        <v>0.089</v>
      </c>
      <c r="I695" s="11">
        <v>0.275</v>
      </c>
      <c r="J695" s="9" t="s">
        <v>65</v>
      </c>
      <c r="K695" s="14" t="str">
        <f>IFERROR(__xludf.DUMMYFUNCTION("ARRAYFORMULA(VLOOKUP(A695,IMPORTRANGE(""https://docs.google.com/spreadsheets/d/1BuTWp7qHGjWhqrnf-OmePP568O4A5Am9ttzvVdP67zw/edit#gid=1603210130"", ""TOURISM!$A$2:$F$2692""), {2,3,4,5,6},0))"),"The Americas")</f>
        <v>The Americas</v>
      </c>
      <c r="L695" s="14">
        <f>IFERROR(__xludf.DUMMYFUNCTION("""COMPUTED_VALUE"""),3.152E9)</f>
        <v>3152000000</v>
      </c>
      <c r="M695" s="14" t="str">
        <f>IFERROR(__xludf.DUMMYFUNCTION("""COMPUTED_VALUE"""),"Dominican Republic-The Americas")</f>
        <v>Dominican Republic-The Americas</v>
      </c>
      <c r="N695" s="14" t="str">
        <f>IFERROR(__xludf.DUMMYFUNCTION("""COMPUTED_VALUE"""),"2004")</f>
        <v>2004</v>
      </c>
      <c r="O695" s="14">
        <f>IFERROR(__xludf.DUMMYFUNCTION("""COMPUTED_VALUE"""),4.48E8)</f>
        <v>448000000</v>
      </c>
      <c r="P695" s="15">
        <f>IFERROR(__xludf.DUMMYFUNCTION("ARRAYFORMULA(VLOOKUP(A695,IMPORTRANGE(""https://docs.google.com/spreadsheets/d/1BuTWp7qHGjWhqrnf-OmePP568O4A5Am9ttzvVdP67zw/edit#gid=771602874"" ,""HUMAN RESOURCES!$A$2:$M$2692""), {2,3,4,5,6,7,8,9,10,11,12,13},0))"),0.024)</f>
        <v>0.024</v>
      </c>
      <c r="Q695" s="14">
        <f>IFERROR(__xludf.DUMMYFUNCTION("""COMPUTED_VALUE"""),0.03)</f>
        <v>0.03</v>
      </c>
      <c r="R695" s="14">
        <f>IFERROR(__xludf.DUMMYFUNCTION("""COMPUTED_VALUE"""),75.0)</f>
        <v>75</v>
      </c>
      <c r="S695" s="14">
        <f>IFERROR(__xludf.DUMMYFUNCTION("""COMPUTED_VALUE"""),68.0)</f>
        <v>68</v>
      </c>
      <c r="T695" s="14">
        <f>IFERROR(__xludf.DUMMYFUNCTION("""COMPUTED_VALUE"""),0.334)</f>
        <v>0.334</v>
      </c>
      <c r="U695" s="14">
        <f>IFERROR(__xludf.DUMMYFUNCTION("""COMPUTED_VALUE"""),0.61)</f>
        <v>0.61</v>
      </c>
      <c r="V695" s="14">
        <f>IFERROR(__xludf.DUMMYFUNCTION("""COMPUTED_VALUE"""),0.056)</f>
        <v>0.056</v>
      </c>
      <c r="W695" s="14">
        <f>IFERROR(__xludf.DUMMYFUNCTION("""COMPUTED_VALUE"""),9207389.0)</f>
        <v>9207389</v>
      </c>
      <c r="X695" s="14">
        <f>IFERROR(__xludf.DUMMYFUNCTION("""COMPUTED_VALUE"""),0.66)</f>
        <v>0.66</v>
      </c>
      <c r="Y695" s="14" t="str">
        <f>IFERROR(__xludf.DUMMYFUNCTION("""COMPUTED_VALUE"""),"Dominican Republic-The Americas")</f>
        <v>Dominican Republic-The Americas</v>
      </c>
      <c r="Z695" s="14" t="str">
        <f>IFERROR(__xludf.DUMMYFUNCTION("""COMPUTED_VALUE"""),"The Americas")</f>
        <v>The Americas</v>
      </c>
      <c r="AA695" s="14" t="str">
        <f>IFERROR(__xludf.DUMMYFUNCTION("""COMPUTED_VALUE"""),"2004")</f>
        <v>2004</v>
      </c>
      <c r="AB695" s="15" t="str">
        <f>IFERROR(__xludf.DUMMYFUNCTION("ARRAYFORMULA(VLOOKUP(A695,IMPORTRANGE(""https://docs.google.com/spreadsheets/d/1BuTWp7qHGjWhqrnf-OmePP568O4A5Am9ttzvVdP67zw/edit#gid=1931367683"" ,""ENERGY!$A$2:$F$2692""), {2,3,4,5,6},0))"),"The Americas")</f>
        <v>The Americas</v>
      </c>
      <c r="AC695" s="14" t="str">
        <f>IFERROR(__xludf.DUMMYFUNCTION("""COMPUTED_VALUE"""),"Dominican Republic-The Americas")</f>
        <v>Dominican Republic-The Americas</v>
      </c>
      <c r="AD695" s="14" t="str">
        <f>IFERROR(__xludf.DUMMYFUNCTION("""COMPUTED_VALUE"""),"2004")</f>
        <v>2004</v>
      </c>
      <c r="AE695" s="14">
        <f>IFERROR(__xludf.DUMMYFUNCTION("""COMPUTED_VALUE"""),7104.0)</f>
        <v>7104</v>
      </c>
      <c r="AF695" s="14">
        <f>IFERROR(__xludf.DUMMYFUNCTION("""COMPUTED_VALUE"""),21019.0)</f>
        <v>21019</v>
      </c>
    </row>
    <row r="696">
      <c r="A696" s="12">
        <v>695.0</v>
      </c>
      <c r="B696" s="12" t="s">
        <v>132</v>
      </c>
      <c r="C696" s="5" t="s">
        <v>84</v>
      </c>
      <c r="D696" s="11">
        <v>0.355</v>
      </c>
      <c r="E696" s="11">
        <v>74.0</v>
      </c>
      <c r="F696" s="8"/>
      <c r="G696" s="11">
        <v>232.0</v>
      </c>
      <c r="H696" s="11">
        <v>0.115</v>
      </c>
      <c r="I696" s="11">
        <v>0.388</v>
      </c>
      <c r="J696" s="9" t="s">
        <v>66</v>
      </c>
      <c r="K696" s="14" t="str">
        <f>IFERROR(__xludf.DUMMYFUNCTION("ARRAYFORMULA(VLOOKUP(A696,IMPORTRANGE(""https://docs.google.com/spreadsheets/d/1BuTWp7qHGjWhqrnf-OmePP568O4A5Am9ttzvVdP67zw/edit#gid=1603210130"", ""TOURISM!$A$2:$F$2692""), {2,3,4,5,6},0))"),"The Americas")</f>
        <v>The Americas</v>
      </c>
      <c r="L696" s="14">
        <f>IFERROR(__xludf.DUMMYFUNCTION("""COMPUTED_VALUE"""),3.518E9)</f>
        <v>3518000000</v>
      </c>
      <c r="M696" s="14" t="str">
        <f>IFERROR(__xludf.DUMMYFUNCTION("""COMPUTED_VALUE"""),"Dominican Republic-The Americas")</f>
        <v>Dominican Republic-The Americas</v>
      </c>
      <c r="N696" s="14" t="str">
        <f>IFERROR(__xludf.DUMMYFUNCTION("""COMPUTED_VALUE"""),"2005")</f>
        <v>2005</v>
      </c>
      <c r="O696" s="14">
        <f>IFERROR(__xludf.DUMMYFUNCTION("""COMPUTED_VALUE"""),5.11E8)</f>
        <v>511000000</v>
      </c>
      <c r="P696" s="15">
        <f>IFERROR(__xludf.DUMMYFUNCTION("ARRAYFORMULA(VLOOKUP(A696,IMPORTRANGE(""https://docs.google.com/spreadsheets/d/1BuTWp7qHGjWhqrnf-OmePP568O4A5Am9ttzvVdP67zw/edit#gid=771602874"" ,""HUMAN RESOURCES!$A$2:$M$2692""), {2,3,4,5,6,7,8,9,10,11,12,13},0))"),0.024)</f>
        <v>0.024</v>
      </c>
      <c r="Q696" s="14">
        <f>IFERROR(__xludf.DUMMYFUNCTION("""COMPUTED_VALUE"""),0.029)</f>
        <v>0.029</v>
      </c>
      <c r="R696" s="14">
        <f>IFERROR(__xludf.DUMMYFUNCTION("""COMPUTED_VALUE"""),75.0)</f>
        <v>75</v>
      </c>
      <c r="S696" s="14">
        <f>IFERROR(__xludf.DUMMYFUNCTION("""COMPUTED_VALUE"""),69.0)</f>
        <v>69</v>
      </c>
      <c r="T696" s="14">
        <f>IFERROR(__xludf.DUMMYFUNCTION("""COMPUTED_VALUE"""),0.331)</f>
        <v>0.331</v>
      </c>
      <c r="U696" s="14">
        <f>IFERROR(__xludf.DUMMYFUNCTION("""COMPUTED_VALUE"""),0.613)</f>
        <v>0.613</v>
      </c>
      <c r="V696" s="14">
        <f>IFERROR(__xludf.DUMMYFUNCTION("""COMPUTED_VALUE"""),0.057)</f>
        <v>0.057</v>
      </c>
      <c r="W696" s="14">
        <f>IFERROR(__xludf.DUMMYFUNCTION("""COMPUTED_VALUE"""),9343362.0)</f>
        <v>9343362</v>
      </c>
      <c r="X696" s="14">
        <f>IFERROR(__xludf.DUMMYFUNCTION("""COMPUTED_VALUE"""),0.674)</f>
        <v>0.674</v>
      </c>
      <c r="Y696" s="14" t="str">
        <f>IFERROR(__xludf.DUMMYFUNCTION("""COMPUTED_VALUE"""),"Dominican Republic-The Americas")</f>
        <v>Dominican Republic-The Americas</v>
      </c>
      <c r="Z696" s="14" t="str">
        <f>IFERROR(__xludf.DUMMYFUNCTION("""COMPUTED_VALUE"""),"The Americas")</f>
        <v>The Americas</v>
      </c>
      <c r="AA696" s="14" t="str">
        <f>IFERROR(__xludf.DUMMYFUNCTION("""COMPUTED_VALUE"""),"2005")</f>
        <v>2005</v>
      </c>
      <c r="AB696" s="15" t="str">
        <f>IFERROR(__xludf.DUMMYFUNCTION("ARRAYFORMULA(VLOOKUP(A696,IMPORTRANGE(""https://docs.google.com/spreadsheets/d/1BuTWp7qHGjWhqrnf-OmePP568O4A5Am9ttzvVdP67zw/edit#gid=1931367683"" ,""ENERGY!$A$2:$F$2692""), {2,3,4,5,6},0))"),"The Americas")</f>
        <v>The Americas</v>
      </c>
      <c r="AC696" s="14" t="str">
        <f>IFERROR(__xludf.DUMMYFUNCTION("""COMPUTED_VALUE"""),"Dominican Republic-The Americas")</f>
        <v>Dominican Republic-The Americas</v>
      </c>
      <c r="AD696" s="14" t="str">
        <f>IFERROR(__xludf.DUMMYFUNCTION("""COMPUTED_VALUE"""),"2006")</f>
        <v>2006</v>
      </c>
      <c r="AE696" s="14">
        <f>IFERROR(__xludf.DUMMYFUNCTION("""COMPUTED_VALUE"""),7058.0)</f>
        <v>7058</v>
      </c>
      <c r="AF696" s="14">
        <f>IFERROR(__xludf.DUMMYFUNCTION("""COMPUTED_VALUE"""),21430.0)</f>
        <v>21430</v>
      </c>
    </row>
    <row r="697">
      <c r="A697" s="12">
        <v>696.0</v>
      </c>
      <c r="B697" s="12" t="s">
        <v>132</v>
      </c>
      <c r="C697" s="5" t="s">
        <v>84</v>
      </c>
      <c r="D697" s="11">
        <v>0.358</v>
      </c>
      <c r="E697" s="11">
        <v>72.0</v>
      </c>
      <c r="F697" s="8"/>
      <c r="G697" s="11">
        <v>286.0</v>
      </c>
      <c r="H697" s="11">
        <v>0.148</v>
      </c>
      <c r="I697" s="11">
        <v>0.486</v>
      </c>
      <c r="J697" s="9" t="s">
        <v>67</v>
      </c>
      <c r="K697" s="14" t="str">
        <f>IFERROR(__xludf.DUMMYFUNCTION("ARRAYFORMULA(VLOOKUP(A697,IMPORTRANGE(""https://docs.google.com/spreadsheets/d/1BuTWp7qHGjWhqrnf-OmePP568O4A5Am9ttzvVdP67zw/edit#gid=1603210130"", ""TOURISM!$A$2:$F$2692""), {2,3,4,5,6},0))"),"The Americas")</f>
        <v>The Americas</v>
      </c>
      <c r="L697" s="14">
        <f>IFERROR(__xludf.DUMMYFUNCTION("""COMPUTED_VALUE"""),3.917E9)</f>
        <v>3917000000</v>
      </c>
      <c r="M697" s="14" t="str">
        <f>IFERROR(__xludf.DUMMYFUNCTION("""COMPUTED_VALUE"""),"Dominican Republic-The Americas")</f>
        <v>Dominican Republic-The Americas</v>
      </c>
      <c r="N697" s="14" t="str">
        <f>IFERROR(__xludf.DUMMYFUNCTION("""COMPUTED_VALUE"""),"2006")</f>
        <v>2006</v>
      </c>
      <c r="O697" s="14">
        <f>IFERROR(__xludf.DUMMYFUNCTION("""COMPUTED_VALUE"""),4.95E8)</f>
        <v>495000000</v>
      </c>
      <c r="P697" s="15">
        <f>IFERROR(__xludf.DUMMYFUNCTION("ARRAYFORMULA(VLOOKUP(A697,IMPORTRANGE(""https://docs.google.com/spreadsheets/d/1BuTWp7qHGjWhqrnf-OmePP568O4A5Am9ttzvVdP67zw/edit#gid=771602874"" ,""HUMAN RESOURCES!$A$2:$M$2692""), {2,3,4,5,6,7,8,9,10,11,12,13},0))"),0.023)</f>
        <v>0.023</v>
      </c>
      <c r="Q697" s="14">
        <f>IFERROR(__xludf.DUMMYFUNCTION("""COMPUTED_VALUE"""),0.028)</f>
        <v>0.028</v>
      </c>
      <c r="R697" s="14">
        <f>IFERROR(__xludf.DUMMYFUNCTION("""COMPUTED_VALUE"""),75.0)</f>
        <v>75</v>
      </c>
      <c r="S697" s="14">
        <f>IFERROR(__xludf.DUMMYFUNCTION("""COMPUTED_VALUE"""),69.0)</f>
        <v>69</v>
      </c>
      <c r="T697" s="14">
        <f>IFERROR(__xludf.DUMMYFUNCTION("""COMPUTED_VALUE"""),0.327)</f>
        <v>0.327</v>
      </c>
      <c r="U697" s="14">
        <f>IFERROR(__xludf.DUMMYFUNCTION("""COMPUTED_VALUE"""),0.616)</f>
        <v>0.616</v>
      </c>
      <c r="V697" s="14">
        <f>IFERROR(__xludf.DUMMYFUNCTION("""COMPUTED_VALUE"""),0.057)</f>
        <v>0.057</v>
      </c>
      <c r="W697" s="14">
        <f>IFERROR(__xludf.DUMMYFUNCTION("""COMPUTED_VALUE"""),9479269.0)</f>
        <v>9479269</v>
      </c>
      <c r="X697" s="14">
        <f>IFERROR(__xludf.DUMMYFUNCTION("""COMPUTED_VALUE"""),0.687)</f>
        <v>0.687</v>
      </c>
      <c r="Y697" s="14" t="str">
        <f>IFERROR(__xludf.DUMMYFUNCTION("""COMPUTED_VALUE"""),"Dominican Republic-The Americas")</f>
        <v>Dominican Republic-The Americas</v>
      </c>
      <c r="Z697" s="14" t="str">
        <f>IFERROR(__xludf.DUMMYFUNCTION("""COMPUTED_VALUE"""),"The Americas")</f>
        <v>The Americas</v>
      </c>
      <c r="AA697" s="14" t="str">
        <f>IFERROR(__xludf.DUMMYFUNCTION("""COMPUTED_VALUE"""),"2006")</f>
        <v>2006</v>
      </c>
      <c r="AB697" s="15" t="str">
        <f>IFERROR(__xludf.DUMMYFUNCTION("ARRAYFORMULA(VLOOKUP(A697,IMPORTRANGE(""https://docs.google.com/spreadsheets/d/1BuTWp7qHGjWhqrnf-OmePP568O4A5Am9ttzvVdP67zw/edit#gid=1931367683"" ,""ENERGY!$A$2:$F$2692""), {2,3,4,5,6},0))"),"The Americas")</f>
        <v>The Americas</v>
      </c>
      <c r="AC697" s="14" t="str">
        <f>IFERROR(__xludf.DUMMYFUNCTION("""COMPUTED_VALUE"""),"Dominican Republic-The Americas")</f>
        <v>Dominican Republic-The Americas</v>
      </c>
      <c r="AD697" s="14" t="str">
        <f>IFERROR(__xludf.DUMMYFUNCTION("""COMPUTED_VALUE"""),"2010")</f>
        <v>2010</v>
      </c>
      <c r="AE697" s="14">
        <f>IFERROR(__xludf.DUMMYFUNCTION("""COMPUTED_VALUE"""),7068.0)</f>
        <v>7068</v>
      </c>
      <c r="AF697" s="14">
        <f>IFERROR(__xludf.DUMMYFUNCTION("""COMPUTED_VALUE"""),20693.0)</f>
        <v>20693</v>
      </c>
    </row>
    <row r="698">
      <c r="A698" s="12">
        <v>697.0</v>
      </c>
      <c r="B698" s="12" t="s">
        <v>132</v>
      </c>
      <c r="C698" s="5" t="s">
        <v>84</v>
      </c>
      <c r="D698" s="11">
        <v>0.395</v>
      </c>
      <c r="E698" s="11">
        <v>22.0</v>
      </c>
      <c r="F698" s="8"/>
      <c r="G698" s="11">
        <v>286.0</v>
      </c>
      <c r="H698" s="11">
        <v>0.177</v>
      </c>
      <c r="I698" s="11">
        <v>0.573</v>
      </c>
      <c r="J698" s="9" t="s">
        <v>68</v>
      </c>
      <c r="K698" s="14" t="str">
        <f>IFERROR(__xludf.DUMMYFUNCTION("ARRAYFORMULA(VLOOKUP(A698,IMPORTRANGE(""https://docs.google.com/spreadsheets/d/1BuTWp7qHGjWhqrnf-OmePP568O4A5Am9ttzvVdP67zw/edit#gid=1603210130"", ""TOURISM!$A$2:$F$2692""), {2,3,4,5,6},0))"),"The Americas")</f>
        <v>The Americas</v>
      </c>
      <c r="L698" s="14">
        <f>IFERROR(__xludf.DUMMYFUNCTION("""COMPUTED_VALUE"""),4.064E9)</f>
        <v>4064000000</v>
      </c>
      <c r="M698" s="14" t="str">
        <f>IFERROR(__xludf.DUMMYFUNCTION("""COMPUTED_VALUE"""),"Dominican Republic-The Americas")</f>
        <v>Dominican Republic-The Americas</v>
      </c>
      <c r="N698" s="14" t="str">
        <f>IFERROR(__xludf.DUMMYFUNCTION("""COMPUTED_VALUE"""),"2007")</f>
        <v>2007</v>
      </c>
      <c r="O698" s="14">
        <f>IFERROR(__xludf.DUMMYFUNCTION("""COMPUTED_VALUE"""),5.31E8)</f>
        <v>531000000</v>
      </c>
      <c r="P698" s="15">
        <f>IFERROR(__xludf.DUMMYFUNCTION("ARRAYFORMULA(VLOOKUP(A698,IMPORTRANGE(""https://docs.google.com/spreadsheets/d/1BuTWp7qHGjWhqrnf-OmePP568O4A5Am9ttzvVdP67zw/edit#gid=771602874"" ,""HUMAN RESOURCES!$A$2:$M$2692""), {2,3,4,5,6,7,8,9,10,11,12,13},0))"),0.023)</f>
        <v>0.023</v>
      </c>
      <c r="Q698" s="14">
        <f>IFERROR(__xludf.DUMMYFUNCTION("""COMPUTED_VALUE"""),0.028)</f>
        <v>0.028</v>
      </c>
      <c r="R698" s="14">
        <f>IFERROR(__xludf.DUMMYFUNCTION("""COMPUTED_VALUE"""),75.0)</f>
        <v>75</v>
      </c>
      <c r="S698" s="14">
        <f>IFERROR(__xludf.DUMMYFUNCTION("""COMPUTED_VALUE"""),69.0)</f>
        <v>69</v>
      </c>
      <c r="T698" s="14">
        <f>IFERROR(__xludf.DUMMYFUNCTION("""COMPUTED_VALUE"""),0.323)</f>
        <v>0.323</v>
      </c>
      <c r="U698" s="14">
        <f>IFERROR(__xludf.DUMMYFUNCTION("""COMPUTED_VALUE"""),0.619)</f>
        <v>0.619</v>
      </c>
      <c r="V698" s="14">
        <f>IFERROR(__xludf.DUMMYFUNCTION("""COMPUTED_VALUE"""),0.058)</f>
        <v>0.058</v>
      </c>
      <c r="W698" s="14">
        <f>IFERROR(__xludf.DUMMYFUNCTION("""COMPUTED_VALUE"""),9615015.0)</f>
        <v>9615015</v>
      </c>
      <c r="X698" s="14">
        <f>IFERROR(__xludf.DUMMYFUNCTION("""COMPUTED_VALUE"""),0.7)</f>
        <v>0.7</v>
      </c>
      <c r="Y698" s="14" t="str">
        <f>IFERROR(__xludf.DUMMYFUNCTION("""COMPUTED_VALUE"""),"Dominican Republic-The Americas")</f>
        <v>Dominican Republic-The Americas</v>
      </c>
      <c r="Z698" s="14" t="str">
        <f>IFERROR(__xludf.DUMMYFUNCTION("""COMPUTED_VALUE"""),"The Americas")</f>
        <v>The Americas</v>
      </c>
      <c r="AA698" s="14" t="str">
        <f>IFERROR(__xludf.DUMMYFUNCTION("""COMPUTED_VALUE"""),"2007")</f>
        <v>2007</v>
      </c>
      <c r="AB698" s="15" t="str">
        <f>IFERROR(__xludf.DUMMYFUNCTION("ARRAYFORMULA(VLOOKUP(A698,IMPORTRANGE(""https://docs.google.com/spreadsheets/d/1BuTWp7qHGjWhqrnf-OmePP568O4A5Am9ttzvVdP67zw/edit#gid=1931367683"" ,""ENERGY!$A$2:$F$2692""), {2,3,4,5,6},0))"),"The Americas")</f>
        <v>The Americas</v>
      </c>
      <c r="AC698" s="14" t="str">
        <f>IFERROR(__xludf.DUMMYFUNCTION("""COMPUTED_VALUE"""),"Dominican Republic-The Americas")</f>
        <v>Dominican Republic-The Americas</v>
      </c>
      <c r="AD698" s="14" t="str">
        <f>IFERROR(__xludf.DUMMYFUNCTION("""COMPUTED_VALUE"""),"2007")</f>
        <v>2007</v>
      </c>
      <c r="AE698" s="14">
        <f>IFERROR(__xludf.DUMMYFUNCTION("""COMPUTED_VALUE"""),6840.0)</f>
        <v>6840</v>
      </c>
      <c r="AF698" s="14">
        <f>IFERROR(__xludf.DUMMYFUNCTION("""COMPUTED_VALUE"""),19651.0)</f>
        <v>19651</v>
      </c>
    </row>
    <row r="699">
      <c r="A699" s="12">
        <v>698.0</v>
      </c>
      <c r="B699" s="12" t="s">
        <v>132</v>
      </c>
      <c r="C699" s="5" t="s">
        <v>84</v>
      </c>
      <c r="D699" s="11">
        <v>0.352</v>
      </c>
      <c r="E699" s="11">
        <v>19.0</v>
      </c>
      <c r="F699" s="8"/>
      <c r="G699" s="11">
        <v>480.0</v>
      </c>
      <c r="H699" s="11">
        <v>0.208</v>
      </c>
      <c r="I699" s="11">
        <v>0.74</v>
      </c>
      <c r="J699" s="9" t="s">
        <v>69</v>
      </c>
      <c r="K699" s="14" t="str">
        <f>IFERROR(__xludf.DUMMYFUNCTION("ARRAYFORMULA(VLOOKUP(A699,IMPORTRANGE(""https://docs.google.com/spreadsheets/d/1BuTWp7qHGjWhqrnf-OmePP568O4A5Am9ttzvVdP67zw/edit#gid=1603210130"", ""TOURISM!$A$2:$F$2692""), {2,3,4,5,6},0))"),"The Americas")</f>
        <v>The Americas</v>
      </c>
      <c r="L699" s="14">
        <f>IFERROR(__xludf.DUMMYFUNCTION("""COMPUTED_VALUE"""),4.166E9)</f>
        <v>4166000000</v>
      </c>
      <c r="M699" s="14" t="str">
        <f>IFERROR(__xludf.DUMMYFUNCTION("""COMPUTED_VALUE"""),"Dominican Republic-The Americas")</f>
        <v>Dominican Republic-The Americas</v>
      </c>
      <c r="N699" s="14" t="str">
        <f>IFERROR(__xludf.DUMMYFUNCTION("""COMPUTED_VALUE"""),"2008")</f>
        <v>2008</v>
      </c>
      <c r="O699" s="14">
        <f>IFERROR(__xludf.DUMMYFUNCTION("""COMPUTED_VALUE"""),5.32E8)</f>
        <v>532000000</v>
      </c>
      <c r="P699" s="15">
        <f>IFERROR(__xludf.DUMMYFUNCTION("ARRAYFORMULA(VLOOKUP(A699,IMPORTRANGE(""https://docs.google.com/spreadsheets/d/1BuTWp7qHGjWhqrnf-OmePP568O4A5Am9ttzvVdP67zw/edit#gid=771602874"" ,""HUMAN RESOURCES!$A$2:$M$2692""), {2,3,4,5,6,7,8,9,10,11,12,13},0))"),0.023)</f>
        <v>0.023</v>
      </c>
      <c r="Q699" s="14">
        <f>IFERROR(__xludf.DUMMYFUNCTION("""COMPUTED_VALUE"""),0.027)</f>
        <v>0.027</v>
      </c>
      <c r="R699" s="14">
        <f>IFERROR(__xludf.DUMMYFUNCTION("""COMPUTED_VALUE"""),76.0)</f>
        <v>76</v>
      </c>
      <c r="S699" s="14">
        <f>IFERROR(__xludf.DUMMYFUNCTION("""COMPUTED_VALUE"""),69.0)</f>
        <v>69</v>
      </c>
      <c r="T699" s="14">
        <f>IFERROR(__xludf.DUMMYFUNCTION("""COMPUTED_VALUE"""),0.319)</f>
        <v>0.319</v>
      </c>
      <c r="U699" s="14">
        <f>IFERROR(__xludf.DUMMYFUNCTION("""COMPUTED_VALUE"""),0.622)</f>
        <v>0.622</v>
      </c>
      <c r="V699" s="14">
        <f>IFERROR(__xludf.DUMMYFUNCTION("""COMPUTED_VALUE"""),0.059)</f>
        <v>0.059</v>
      </c>
      <c r="W699" s="14">
        <f>IFERROR(__xludf.DUMMYFUNCTION("""COMPUTED_VALUE"""),9750195.0)</f>
        <v>9750195</v>
      </c>
      <c r="X699" s="14">
        <f>IFERROR(__xludf.DUMMYFUNCTION("""COMPUTED_VALUE"""),0.713)</f>
        <v>0.713</v>
      </c>
      <c r="Y699" s="14" t="str">
        <f>IFERROR(__xludf.DUMMYFUNCTION("""COMPUTED_VALUE"""),"Dominican Republic-The Americas")</f>
        <v>Dominican Republic-The Americas</v>
      </c>
      <c r="Z699" s="14" t="str">
        <f>IFERROR(__xludf.DUMMYFUNCTION("""COMPUTED_VALUE"""),"The Americas")</f>
        <v>The Americas</v>
      </c>
      <c r="AA699" s="14" t="str">
        <f>IFERROR(__xludf.DUMMYFUNCTION("""COMPUTED_VALUE"""),"2008")</f>
        <v>2008</v>
      </c>
      <c r="AB699" s="15" t="str">
        <f>IFERROR(__xludf.DUMMYFUNCTION("ARRAYFORMULA(VLOOKUP(A699,IMPORTRANGE(""https://docs.google.com/spreadsheets/d/1BuTWp7qHGjWhqrnf-OmePP568O4A5Am9ttzvVdP67zw/edit#gid=1931367683"" ,""ENERGY!$A$2:$F$2692""), {2,3,4,5,6},0))"),"The Americas")</f>
        <v>The Americas</v>
      </c>
      <c r="AC699" s="14" t="str">
        <f>IFERROR(__xludf.DUMMYFUNCTION("""COMPUTED_VALUE"""),"Dominican Republic-The Americas")</f>
        <v>Dominican Republic-The Americas</v>
      </c>
      <c r="AD699" s="14" t="str">
        <f>IFERROR(__xludf.DUMMYFUNCTION("""COMPUTED_VALUE"""),"2005")</f>
        <v>2005</v>
      </c>
      <c r="AE699" s="14">
        <f>IFERROR(__xludf.DUMMYFUNCTION("""COMPUTED_VALUE"""),6528.0)</f>
        <v>6528</v>
      </c>
      <c r="AF699" s="14">
        <f>IFERROR(__xludf.DUMMYFUNCTION("""COMPUTED_VALUE"""),18786.0)</f>
        <v>18786</v>
      </c>
    </row>
    <row r="700">
      <c r="A700" s="12">
        <v>699.0</v>
      </c>
      <c r="B700" s="12" t="s">
        <v>132</v>
      </c>
      <c r="C700" s="5" t="s">
        <v>84</v>
      </c>
      <c r="D700" s="11">
        <v>0.384</v>
      </c>
      <c r="E700" s="11">
        <v>13.0</v>
      </c>
      <c r="F700" s="8"/>
      <c r="G700" s="11">
        <v>324.0</v>
      </c>
      <c r="H700" s="11">
        <v>0.277</v>
      </c>
      <c r="I700" s="11">
        <v>0.873</v>
      </c>
      <c r="J700" s="9" t="s">
        <v>70</v>
      </c>
      <c r="K700" s="14" t="str">
        <f>IFERROR(__xludf.DUMMYFUNCTION("ARRAYFORMULA(VLOOKUP(A700,IMPORTRANGE(""https://docs.google.com/spreadsheets/d/1BuTWp7qHGjWhqrnf-OmePP568O4A5Am9ttzvVdP67zw/edit#gid=1603210130"", ""TOURISM!$A$2:$F$2692""), {2,3,4,5,6},0))"),"The Americas")</f>
        <v>The Americas</v>
      </c>
      <c r="L700" s="14">
        <f>IFERROR(__xludf.DUMMYFUNCTION("""COMPUTED_VALUE"""),4.049E9)</f>
        <v>4049000000</v>
      </c>
      <c r="M700" s="14" t="str">
        <f>IFERROR(__xludf.DUMMYFUNCTION("""COMPUTED_VALUE"""),"Dominican Republic-The Americas")</f>
        <v>Dominican Republic-The Americas</v>
      </c>
      <c r="N700" s="14" t="str">
        <f>IFERROR(__xludf.DUMMYFUNCTION("""COMPUTED_VALUE"""),"2009")</f>
        <v>2009</v>
      </c>
      <c r="O700" s="14">
        <f>IFERROR(__xludf.DUMMYFUNCTION("""COMPUTED_VALUE"""),5.23E8)</f>
        <v>523000000</v>
      </c>
      <c r="P700" s="15">
        <f>IFERROR(__xludf.DUMMYFUNCTION("ARRAYFORMULA(VLOOKUP(A700,IMPORTRANGE(""https://docs.google.com/spreadsheets/d/1BuTWp7qHGjWhqrnf-OmePP568O4A5Am9ttzvVdP67zw/edit#gid=771602874"" ,""HUMAN RESOURCES!$A$2:$M$2692""), {2,3,4,5,6,7,8,9,10,11,12,13},0))"),0.022)</f>
        <v>0.022</v>
      </c>
      <c r="Q700" s="14">
        <f>IFERROR(__xludf.DUMMYFUNCTION("""COMPUTED_VALUE"""),0.026)</f>
        <v>0.026</v>
      </c>
      <c r="R700" s="14">
        <f>IFERROR(__xludf.DUMMYFUNCTION("""COMPUTED_VALUE"""),76.0)</f>
        <v>76</v>
      </c>
      <c r="S700" s="14">
        <f>IFERROR(__xludf.DUMMYFUNCTION("""COMPUTED_VALUE"""),70.0)</f>
        <v>70</v>
      </c>
      <c r="T700" s="14">
        <f>IFERROR(__xludf.DUMMYFUNCTION("""COMPUTED_VALUE"""),0.315)</f>
        <v>0.315</v>
      </c>
      <c r="U700" s="14">
        <f>IFERROR(__xludf.DUMMYFUNCTION("""COMPUTED_VALUE"""),0.625)</f>
        <v>0.625</v>
      </c>
      <c r="V700" s="14">
        <f>IFERROR(__xludf.DUMMYFUNCTION("""COMPUTED_VALUE"""),0.059)</f>
        <v>0.059</v>
      </c>
      <c r="W700" s="14">
        <f>IFERROR(__xludf.DUMMYFUNCTION("""COMPUTED_VALUE"""),9884265.0)</f>
        <v>9884265</v>
      </c>
      <c r="X700" s="14">
        <f>IFERROR(__xludf.DUMMYFUNCTION("""COMPUTED_VALUE"""),0.725)</f>
        <v>0.725</v>
      </c>
      <c r="Y700" s="14" t="str">
        <f>IFERROR(__xludf.DUMMYFUNCTION("""COMPUTED_VALUE"""),"Dominican Republic-The Americas")</f>
        <v>Dominican Republic-The Americas</v>
      </c>
      <c r="Z700" s="14" t="str">
        <f>IFERROR(__xludf.DUMMYFUNCTION("""COMPUTED_VALUE"""),"The Americas")</f>
        <v>The Americas</v>
      </c>
      <c r="AA700" s="14" t="str">
        <f>IFERROR(__xludf.DUMMYFUNCTION("""COMPUTED_VALUE"""),"2009")</f>
        <v>2009</v>
      </c>
      <c r="AB700" s="15" t="str">
        <f>IFERROR(__xludf.DUMMYFUNCTION("ARRAYFORMULA(VLOOKUP(A700,IMPORTRANGE(""https://docs.google.com/spreadsheets/d/1BuTWp7qHGjWhqrnf-OmePP568O4A5Am9ttzvVdP67zw/edit#gid=1931367683"" ,""ENERGY!$A$2:$F$2692""), {2,3,4,5,6},0))"),"The Americas")</f>
        <v>The Americas</v>
      </c>
      <c r="AC700" s="14" t="str">
        <f>IFERROR(__xludf.DUMMYFUNCTION("""COMPUTED_VALUE"""),"Dominican Republic-The Americas")</f>
        <v>Dominican Republic-The Americas</v>
      </c>
      <c r="AD700" s="14" t="str">
        <f>IFERROR(__xludf.DUMMYFUNCTION("""COMPUTED_VALUE"""),"2009")</f>
        <v>2009</v>
      </c>
      <c r="AE700" s="14">
        <f>IFERROR(__xludf.DUMMYFUNCTION("""COMPUTED_VALUE"""),7479.0)</f>
        <v>7479</v>
      </c>
      <c r="AF700" s="14">
        <f>IFERROR(__xludf.DUMMYFUNCTION("""COMPUTED_VALUE"""),21888.0)</f>
        <v>21888</v>
      </c>
    </row>
    <row r="701">
      <c r="A701" s="12">
        <v>700.0</v>
      </c>
      <c r="B701" s="12" t="s">
        <v>132</v>
      </c>
      <c r="C701" s="5" t="s">
        <v>84</v>
      </c>
      <c r="D701" s="11">
        <v>0.401</v>
      </c>
      <c r="E701" s="11">
        <v>19.0</v>
      </c>
      <c r="F701" s="8"/>
      <c r="G701" s="11">
        <v>324.0</v>
      </c>
      <c r="H701" s="11">
        <v>0.314</v>
      </c>
      <c r="I701" s="11">
        <v>0.888</v>
      </c>
      <c r="J701" s="9" t="s">
        <v>71</v>
      </c>
      <c r="K701" s="14" t="str">
        <f>IFERROR(__xludf.DUMMYFUNCTION("ARRAYFORMULA(VLOOKUP(A701,IMPORTRANGE(""https://docs.google.com/spreadsheets/d/1BuTWp7qHGjWhqrnf-OmePP568O4A5Am9ttzvVdP67zw/edit#gid=1603210130"", ""TOURISM!$A$2:$F$2692""), {2,3,4,5,6},0))"),"The Americas")</f>
        <v>The Americas</v>
      </c>
      <c r="L701" s="14">
        <f>IFERROR(__xludf.DUMMYFUNCTION("""COMPUTED_VALUE"""),4.209E9)</f>
        <v>4209000000</v>
      </c>
      <c r="M701" s="14" t="str">
        <f>IFERROR(__xludf.DUMMYFUNCTION("""COMPUTED_VALUE"""),"Dominican Republic-The Americas")</f>
        <v>Dominican Republic-The Americas</v>
      </c>
      <c r="N701" s="14" t="str">
        <f>IFERROR(__xludf.DUMMYFUNCTION("""COMPUTED_VALUE"""),"2010")</f>
        <v>2010</v>
      </c>
      <c r="O701" s="14">
        <f>IFERROR(__xludf.DUMMYFUNCTION("""COMPUTED_VALUE"""),5.54E8)</f>
        <v>554000000</v>
      </c>
      <c r="P701" s="15">
        <f>IFERROR(__xludf.DUMMYFUNCTION("ARRAYFORMULA(VLOOKUP(A701,IMPORTRANGE(""https://docs.google.com/spreadsheets/d/1BuTWp7qHGjWhqrnf-OmePP568O4A5Am9ttzvVdP67zw/edit#gid=771602874"" ,""HUMAN RESOURCES!$A$2:$M$2692""), {2,3,4,5,6,7,8,9,10,11,12,13},0))"),0.022)</f>
        <v>0.022</v>
      </c>
      <c r="Q701" s="14">
        <f>IFERROR(__xludf.DUMMYFUNCTION("""COMPUTED_VALUE"""),0.026)</f>
        <v>0.026</v>
      </c>
      <c r="R701" s="14">
        <f>IFERROR(__xludf.DUMMYFUNCTION("""COMPUTED_VALUE"""),76.0)</f>
        <v>76</v>
      </c>
      <c r="S701" s="14">
        <f>IFERROR(__xludf.DUMMYFUNCTION("""COMPUTED_VALUE"""),70.0)</f>
        <v>70</v>
      </c>
      <c r="T701" s="14">
        <f>IFERROR(__xludf.DUMMYFUNCTION("""COMPUTED_VALUE"""),0.312)</f>
        <v>0.312</v>
      </c>
      <c r="U701" s="14">
        <f>IFERROR(__xludf.DUMMYFUNCTION("""COMPUTED_VALUE"""),0.628)</f>
        <v>0.628</v>
      </c>
      <c r="V701" s="14">
        <f>IFERROR(__xludf.DUMMYFUNCTION("""COMPUTED_VALUE"""),0.06)</f>
        <v>0.06</v>
      </c>
      <c r="W701" s="14">
        <f>IFERROR(__xludf.DUMMYFUNCTION("""COMPUTED_VALUE"""),1.0016797E7)</f>
        <v>10016797</v>
      </c>
      <c r="X701" s="14">
        <f>IFERROR(__xludf.DUMMYFUNCTION("""COMPUTED_VALUE"""),0.738)</f>
        <v>0.738</v>
      </c>
      <c r="Y701" s="14" t="str">
        <f>IFERROR(__xludf.DUMMYFUNCTION("""COMPUTED_VALUE"""),"Dominican Republic-The Americas")</f>
        <v>Dominican Republic-The Americas</v>
      </c>
      <c r="Z701" s="14" t="str">
        <f>IFERROR(__xludf.DUMMYFUNCTION("""COMPUTED_VALUE"""),"The Americas")</f>
        <v>The Americas</v>
      </c>
      <c r="AA701" s="14" t="str">
        <f>IFERROR(__xludf.DUMMYFUNCTION("""COMPUTED_VALUE"""),"2010")</f>
        <v>2010</v>
      </c>
      <c r="AB701" s="15" t="str">
        <f>IFERROR(__xludf.DUMMYFUNCTION("ARRAYFORMULA(VLOOKUP(A701,IMPORTRANGE(""https://docs.google.com/spreadsheets/d/1BuTWp7qHGjWhqrnf-OmePP568O4A5Am9ttzvVdP67zw/edit#gid=1931367683"" ,""ENERGY!$A$2:$F$2692""), {2,3,4,5,6},0))"),"The Americas")</f>
        <v>The Americas</v>
      </c>
      <c r="AC701" s="14" t="str">
        <f>IFERROR(__xludf.DUMMYFUNCTION("""COMPUTED_VALUE"""),"Dominican Republic-The Americas")</f>
        <v>Dominican Republic-The Americas</v>
      </c>
      <c r="AD701" s="14" t="str">
        <f>IFERROR(__xludf.DUMMYFUNCTION("""COMPUTED_VALUE"""),"2008")</f>
        <v>2008</v>
      </c>
      <c r="AE701" s="14">
        <f>IFERROR(__xludf.DUMMYFUNCTION("""COMPUTED_VALUE"""),7476.0)</f>
        <v>7476</v>
      </c>
      <c r="AF701" s="14">
        <f>IFERROR(__xludf.DUMMYFUNCTION("""COMPUTED_VALUE"""),21500.0)</f>
        <v>21500</v>
      </c>
    </row>
    <row r="702">
      <c r="A702" s="12">
        <v>701.0</v>
      </c>
      <c r="B702" s="12" t="s">
        <v>132</v>
      </c>
      <c r="C702" s="5" t="s">
        <v>84</v>
      </c>
      <c r="D702" s="11">
        <v>0.412</v>
      </c>
      <c r="E702" s="11">
        <v>19.0</v>
      </c>
      <c r="F702" s="8"/>
      <c r="G702" s="11">
        <v>324.0</v>
      </c>
      <c r="H702" s="11">
        <v>0.38</v>
      </c>
      <c r="I702" s="11">
        <v>0.864</v>
      </c>
      <c r="J702" s="9" t="s">
        <v>72</v>
      </c>
      <c r="K702" s="14" t="str">
        <f>IFERROR(__xludf.DUMMYFUNCTION("ARRAYFORMULA(VLOOKUP(A702,IMPORTRANGE(""https://docs.google.com/spreadsheets/d/1BuTWp7qHGjWhqrnf-OmePP568O4A5Am9ttzvVdP67zw/edit#gid=1603210130"", ""TOURISM!$A$2:$F$2692""), {2,3,4,5,6},0))"),"The Americas")</f>
        <v>The Americas</v>
      </c>
      <c r="L702" s="14">
        <f>IFERROR(__xludf.DUMMYFUNCTION("""COMPUTED_VALUE"""),4.436E9)</f>
        <v>4436000000</v>
      </c>
      <c r="M702" s="14" t="str">
        <f>IFERROR(__xludf.DUMMYFUNCTION("""COMPUTED_VALUE"""),"Dominican Republic-The Americas")</f>
        <v>Dominican Republic-The Americas</v>
      </c>
      <c r="N702" s="14" t="str">
        <f>IFERROR(__xludf.DUMMYFUNCTION("""COMPUTED_VALUE"""),"2011")</f>
        <v>2011</v>
      </c>
      <c r="O702" s="14">
        <f>IFERROR(__xludf.DUMMYFUNCTION("""COMPUTED_VALUE"""),5.45E8)</f>
        <v>545000000</v>
      </c>
      <c r="P702" s="15">
        <f>IFERROR(__xludf.DUMMYFUNCTION("ARRAYFORMULA(VLOOKUP(A702,IMPORTRANGE(""https://docs.google.com/spreadsheets/d/1BuTWp7qHGjWhqrnf-OmePP568O4A5Am9ttzvVdP67zw/edit#gid=771602874"" ,""HUMAN RESOURCES!$A$2:$M$2692""), {2,3,4,5,6,7,8,9,10,11,12,13},0))"),0.022)</f>
        <v>0.022</v>
      </c>
      <c r="Q702" s="14">
        <f>IFERROR(__xludf.DUMMYFUNCTION("""COMPUTED_VALUE"""),0.025)</f>
        <v>0.025</v>
      </c>
      <c r="R702" s="14">
        <f>IFERROR(__xludf.DUMMYFUNCTION("""COMPUTED_VALUE"""),76.0)</f>
        <v>76</v>
      </c>
      <c r="S702" s="14">
        <f>IFERROR(__xludf.DUMMYFUNCTION("""COMPUTED_VALUE"""),70.0)</f>
        <v>70</v>
      </c>
      <c r="T702" s="14">
        <f>IFERROR(__xludf.DUMMYFUNCTION("""COMPUTED_VALUE"""),0.308)</f>
        <v>0.308</v>
      </c>
      <c r="U702" s="14">
        <f>IFERROR(__xludf.DUMMYFUNCTION("""COMPUTED_VALUE"""),0.631)</f>
        <v>0.631</v>
      </c>
      <c r="V702" s="14">
        <f>IFERROR(__xludf.DUMMYFUNCTION("""COMPUTED_VALUE"""),0.061)</f>
        <v>0.061</v>
      </c>
      <c r="W702" s="14">
        <f>IFERROR(__xludf.DUMMYFUNCTION("""COMPUTED_VALUE"""),1.0147598E7)</f>
        <v>10147598</v>
      </c>
      <c r="X702" s="14">
        <f>IFERROR(__xludf.DUMMYFUNCTION("""COMPUTED_VALUE"""),0.749)</f>
        <v>0.749</v>
      </c>
      <c r="Y702" s="14" t="str">
        <f>IFERROR(__xludf.DUMMYFUNCTION("""COMPUTED_VALUE"""),"Dominican Republic-The Americas")</f>
        <v>Dominican Republic-The Americas</v>
      </c>
      <c r="Z702" s="14" t="str">
        <f>IFERROR(__xludf.DUMMYFUNCTION("""COMPUTED_VALUE"""),"The Americas")</f>
        <v>The Americas</v>
      </c>
      <c r="AA702" s="14" t="str">
        <f>IFERROR(__xludf.DUMMYFUNCTION("""COMPUTED_VALUE"""),"2011")</f>
        <v>2011</v>
      </c>
      <c r="AB702" s="15" t="str">
        <f>IFERROR(__xludf.DUMMYFUNCTION("ARRAYFORMULA(VLOOKUP(A702,IMPORTRANGE(""https://docs.google.com/spreadsheets/d/1BuTWp7qHGjWhqrnf-OmePP568O4A5Am9ttzvVdP67zw/edit#gid=1931367683"" ,""ENERGY!$A$2:$F$2692""), {2,3,4,5,6},0))"),"The Americas")</f>
        <v>The Americas</v>
      </c>
      <c r="AC702" s="14" t="str">
        <f>IFERROR(__xludf.DUMMYFUNCTION("""COMPUTED_VALUE"""),"Dominican Republic-The Americas")</f>
        <v>Dominican Republic-The Americas</v>
      </c>
      <c r="AD702" s="14" t="str">
        <f>IFERROR(__xludf.DUMMYFUNCTION("""COMPUTED_VALUE"""),"2004")</f>
        <v>2004</v>
      </c>
      <c r="AE702" s="14">
        <f>IFERROR(__xludf.DUMMYFUNCTION("""COMPUTED_VALUE"""),7291.0)</f>
        <v>7291</v>
      </c>
      <c r="AF702" s="14">
        <f>IFERROR(__xludf.DUMMYFUNCTION("""COMPUTED_VALUE"""),20235.0)</f>
        <v>20235</v>
      </c>
    </row>
    <row r="703">
      <c r="A703" s="12">
        <v>702.0</v>
      </c>
      <c r="B703" s="12" t="s">
        <v>132</v>
      </c>
      <c r="C703" s="5" t="s">
        <v>84</v>
      </c>
      <c r="D703" s="11">
        <v>0.434</v>
      </c>
      <c r="E703" s="11">
        <v>19.0</v>
      </c>
      <c r="F703" s="11">
        <v>112.0</v>
      </c>
      <c r="G703" s="11">
        <v>324.0</v>
      </c>
      <c r="H703" s="11">
        <v>0.412</v>
      </c>
      <c r="I703" s="11">
        <v>0.869</v>
      </c>
      <c r="J703" s="9" t="s">
        <v>73</v>
      </c>
      <c r="K703" s="14" t="str">
        <f>IFERROR(__xludf.DUMMYFUNCTION("ARRAYFORMULA(VLOOKUP(A703,IMPORTRANGE(""https://docs.google.com/spreadsheets/d/1BuTWp7qHGjWhqrnf-OmePP568O4A5Am9ttzvVdP67zw/edit#gid=1603210130"", ""TOURISM!$A$2:$F$2692""), {2,3,4,5,6},0))"),"The Americas")</f>
        <v>The Americas</v>
      </c>
      <c r="L703" s="14">
        <f>IFERROR(__xludf.DUMMYFUNCTION("""COMPUTED_VALUE"""),4.736E9)</f>
        <v>4736000000</v>
      </c>
      <c r="M703" s="14" t="str">
        <f>IFERROR(__xludf.DUMMYFUNCTION("""COMPUTED_VALUE"""),"Dominican Republic-The Americas")</f>
        <v>Dominican Republic-The Americas</v>
      </c>
      <c r="N703" s="14" t="str">
        <f>IFERROR(__xludf.DUMMYFUNCTION("""COMPUTED_VALUE"""),"2012")</f>
        <v>2012</v>
      </c>
      <c r="O703" s="14">
        <f>IFERROR(__xludf.DUMMYFUNCTION("""COMPUTED_VALUE"""),5.45E8)</f>
        <v>545000000</v>
      </c>
      <c r="P703" s="15">
        <f>IFERROR(__xludf.DUMMYFUNCTION("ARRAYFORMULA(VLOOKUP(A703,IMPORTRANGE(""https://docs.google.com/spreadsheets/d/1BuTWp7qHGjWhqrnf-OmePP568O4A5Am9ttzvVdP67zw/edit#gid=771602874"" ,""HUMAN RESOURCES!$A$2:$M$2692""), {2,3,4,5,6,7,8,9,10,11,12,13},0))"),0.021)</f>
        <v>0.021</v>
      </c>
      <c r="Q703" s="14">
        <f>IFERROR(__xludf.DUMMYFUNCTION("""COMPUTED_VALUE"""),0.024)</f>
        <v>0.024</v>
      </c>
      <c r="R703" s="14">
        <f>IFERROR(__xludf.DUMMYFUNCTION("""COMPUTED_VALUE"""),76.0)</f>
        <v>76</v>
      </c>
      <c r="S703" s="14">
        <f>IFERROR(__xludf.DUMMYFUNCTION("""COMPUTED_VALUE"""),70.0)</f>
        <v>70</v>
      </c>
      <c r="T703" s="14">
        <f>IFERROR(__xludf.DUMMYFUNCTION("""COMPUTED_VALUE"""),0.305)</f>
        <v>0.305</v>
      </c>
      <c r="U703" s="14">
        <f>IFERROR(__xludf.DUMMYFUNCTION("""COMPUTED_VALUE"""),0.633)</f>
        <v>0.633</v>
      </c>
      <c r="V703" s="14">
        <f>IFERROR(__xludf.DUMMYFUNCTION("""COMPUTED_VALUE"""),0.062)</f>
        <v>0.062</v>
      </c>
      <c r="W703" s="14">
        <f>IFERROR(__xludf.DUMMYFUNCTION("""COMPUTED_VALUE"""),1.0276621E7)</f>
        <v>10276621</v>
      </c>
      <c r="X703" s="14">
        <f>IFERROR(__xludf.DUMMYFUNCTION("""COMPUTED_VALUE"""),0.76)</f>
        <v>0.76</v>
      </c>
      <c r="Y703" s="14" t="str">
        <f>IFERROR(__xludf.DUMMYFUNCTION("""COMPUTED_VALUE"""),"Dominican Republic-The Americas")</f>
        <v>Dominican Republic-The Americas</v>
      </c>
      <c r="Z703" s="14" t="str">
        <f>IFERROR(__xludf.DUMMYFUNCTION("""COMPUTED_VALUE"""),"The Americas")</f>
        <v>The Americas</v>
      </c>
      <c r="AA703" s="14" t="str">
        <f>IFERROR(__xludf.DUMMYFUNCTION("""COMPUTED_VALUE"""),"2012")</f>
        <v>2012</v>
      </c>
      <c r="AB703" s="15" t="str">
        <f>IFERROR(__xludf.DUMMYFUNCTION("ARRAYFORMULA(VLOOKUP(A703,IMPORTRANGE(""https://docs.google.com/spreadsheets/d/1BuTWp7qHGjWhqrnf-OmePP568O4A5Am9ttzvVdP67zw/edit#gid=1931367683"" ,""ENERGY!$A$2:$F$2692""), {2,3,4,5,6},0))"),"The Americas")</f>
        <v>The Americas</v>
      </c>
      <c r="AC703" s="14" t="str">
        <f>IFERROR(__xludf.DUMMYFUNCTION("""COMPUTED_VALUE"""),"Dominican Republic-The Americas")</f>
        <v>Dominican Republic-The Americas</v>
      </c>
      <c r="AD703" s="14" t="str">
        <f>IFERROR(__xludf.DUMMYFUNCTION("""COMPUTED_VALUE"""),"2009")</f>
        <v>2009</v>
      </c>
      <c r="AE703" s="14">
        <f>IFERROR(__xludf.DUMMYFUNCTION("""COMPUTED_VALUE"""),7499.0)</f>
        <v>7499</v>
      </c>
      <c r="AF703" s="14">
        <f>IFERROR(__xludf.DUMMYFUNCTION("""COMPUTED_VALUE"""),20117.0)</f>
        <v>20117</v>
      </c>
    </row>
    <row r="704">
      <c r="A704" s="12">
        <v>703.0</v>
      </c>
      <c r="B704" s="12" t="s">
        <v>133</v>
      </c>
      <c r="C704" s="5" t="s">
        <v>84</v>
      </c>
      <c r="D704" s="8"/>
      <c r="E704" s="8"/>
      <c r="F704" s="8"/>
      <c r="G704" s="8"/>
      <c r="H704" s="11">
        <v>0.015</v>
      </c>
      <c r="I704" s="11">
        <v>0.038</v>
      </c>
      <c r="J704" s="9" t="s">
        <v>60</v>
      </c>
      <c r="K704" s="14" t="str">
        <f>IFERROR(__xludf.DUMMYFUNCTION("ARRAYFORMULA(VLOOKUP(A704,IMPORTRANGE(""https://docs.google.com/spreadsheets/d/1BuTWp7qHGjWhqrnf-OmePP568O4A5Am9ttzvVdP67zw/edit#gid=1603210130"", ""TOURISM!$A$2:$F$2692""), {2,3,4,5,6},0))"),"The Americas")</f>
        <v>The Americas</v>
      </c>
      <c r="L704" s="14">
        <f>IFERROR(__xludf.DUMMYFUNCTION("""COMPUTED_VALUE"""),4.51E8)</f>
        <v>451000000</v>
      </c>
      <c r="M704" s="14" t="str">
        <f>IFERROR(__xludf.DUMMYFUNCTION("""COMPUTED_VALUE"""),"Ecuador-The Americas")</f>
        <v>Ecuador-The Americas</v>
      </c>
      <c r="N704" s="14" t="str">
        <f>IFERROR(__xludf.DUMMYFUNCTION("""COMPUTED_VALUE"""),"2000")</f>
        <v>2000</v>
      </c>
      <c r="O704" s="14">
        <f>IFERROR(__xludf.DUMMYFUNCTION("""COMPUTED_VALUE"""),4.16E8)</f>
        <v>416000000</v>
      </c>
      <c r="P704" s="15">
        <f>IFERROR(__xludf.DUMMYFUNCTION("ARRAYFORMULA(VLOOKUP(A704,IMPORTRANGE(""https://docs.google.com/spreadsheets/d/1BuTWp7qHGjWhqrnf-OmePP568O4A5Am9ttzvVdP67zw/edit#gid=771602874"" ,""HUMAN RESOURCES!$A$2:$M$2692""), {2,3,4,5,6,7,8,9,10,11,12,13},0))"),0.025)</f>
        <v>0.025</v>
      </c>
      <c r="Q704" s="14">
        <f>IFERROR(__xludf.DUMMYFUNCTION("""COMPUTED_VALUE"""),0.028)</f>
        <v>0.028</v>
      </c>
      <c r="R704" s="14">
        <f>IFERROR(__xludf.DUMMYFUNCTION("""COMPUTED_VALUE"""),76.0)</f>
        <v>76</v>
      </c>
      <c r="S704" s="14">
        <f>IFERROR(__xludf.DUMMYFUNCTION("""COMPUTED_VALUE"""),71.0)</f>
        <v>71</v>
      </c>
      <c r="T704" s="14">
        <f>IFERROR(__xludf.DUMMYFUNCTION("""COMPUTED_VALUE"""),0.345)</f>
        <v>0.345</v>
      </c>
      <c r="U704" s="14">
        <f>IFERROR(__xludf.DUMMYFUNCTION("""COMPUTED_VALUE"""),0.604)</f>
        <v>0.604</v>
      </c>
      <c r="V704" s="14">
        <f>IFERROR(__xludf.DUMMYFUNCTION("""COMPUTED_VALUE"""),0.051)</f>
        <v>0.051</v>
      </c>
      <c r="W704" s="14">
        <f>IFERROR(__xludf.DUMMYFUNCTION("""COMPUTED_VALUE"""),1.2533087E7)</f>
        <v>12533087</v>
      </c>
      <c r="X704" s="14">
        <f>IFERROR(__xludf.DUMMYFUNCTION("""COMPUTED_VALUE"""),0.603)</f>
        <v>0.603</v>
      </c>
      <c r="Y704" s="14" t="str">
        <f>IFERROR(__xludf.DUMMYFUNCTION("""COMPUTED_VALUE"""),"Ecuador-The Americas")</f>
        <v>Ecuador-The Americas</v>
      </c>
      <c r="Z704" s="14" t="str">
        <f>IFERROR(__xludf.DUMMYFUNCTION("""COMPUTED_VALUE"""),"The Americas")</f>
        <v>The Americas</v>
      </c>
      <c r="AA704" s="14" t="str">
        <f>IFERROR(__xludf.DUMMYFUNCTION("""COMPUTED_VALUE"""),"2000")</f>
        <v>2000</v>
      </c>
      <c r="AB704" s="15" t="str">
        <f>IFERROR(__xludf.DUMMYFUNCTION("ARRAYFORMULA(VLOOKUP(A704,IMPORTRANGE(""https://docs.google.com/spreadsheets/d/1BuTWp7qHGjWhqrnf-OmePP568O4A5Am9ttzvVdP67zw/edit#gid=1931367683"" ,""ENERGY!$A$2:$F$2692""), {2,3,4,5,6},0))"),"The Americas")</f>
        <v>The Americas</v>
      </c>
      <c r="AC704" s="14" t="str">
        <f>IFERROR(__xludf.DUMMYFUNCTION("""COMPUTED_VALUE"""),"Ecuador-The Americas")</f>
        <v>Ecuador-The Americas</v>
      </c>
      <c r="AD704" s="14" t="str">
        <f>IFERROR(__xludf.DUMMYFUNCTION("""COMPUTED_VALUE"""),"2000")</f>
        <v>2000</v>
      </c>
      <c r="AE704" s="14"/>
      <c r="AF704" s="14"/>
    </row>
    <row r="705">
      <c r="A705" s="12">
        <v>704.0</v>
      </c>
      <c r="B705" s="12" t="s">
        <v>133</v>
      </c>
      <c r="C705" s="5" t="s">
        <v>84</v>
      </c>
      <c r="D705" s="8"/>
      <c r="E705" s="8"/>
      <c r="F705" s="8"/>
      <c r="G705" s="8"/>
      <c r="H705" s="11">
        <v>0.027</v>
      </c>
      <c r="I705" s="11">
        <v>0.067</v>
      </c>
      <c r="J705" s="9" t="s">
        <v>62</v>
      </c>
      <c r="K705" s="14" t="str">
        <f>IFERROR(__xludf.DUMMYFUNCTION("ARRAYFORMULA(VLOOKUP(A705,IMPORTRANGE(""https://docs.google.com/spreadsheets/d/1BuTWp7qHGjWhqrnf-OmePP568O4A5Am9ttzvVdP67zw/edit#gid=1603210130"", ""TOURISM!$A$2:$F$2692""), {2,3,4,5,6},0))"),"The Americas")</f>
        <v>The Americas</v>
      </c>
      <c r="L705" s="14">
        <f>IFERROR(__xludf.DUMMYFUNCTION("""COMPUTED_VALUE"""),4.38E8)</f>
        <v>438000000</v>
      </c>
      <c r="M705" s="14" t="str">
        <f>IFERROR(__xludf.DUMMYFUNCTION("""COMPUTED_VALUE"""),"Ecuador-The Americas")</f>
        <v>Ecuador-The Americas</v>
      </c>
      <c r="N705" s="14" t="str">
        <f>IFERROR(__xludf.DUMMYFUNCTION("""COMPUTED_VALUE"""),"2001")</f>
        <v>2001</v>
      </c>
      <c r="O705" s="14">
        <f>IFERROR(__xludf.DUMMYFUNCTION("""COMPUTED_VALUE"""),4.65E8)</f>
        <v>465000000</v>
      </c>
      <c r="P705" s="15">
        <f>IFERROR(__xludf.DUMMYFUNCTION("ARRAYFORMULA(VLOOKUP(A705,IMPORTRANGE(""https://docs.google.com/spreadsheets/d/1BuTWp7qHGjWhqrnf-OmePP568O4A5Am9ttzvVdP67zw/edit#gid=771602874"" ,""HUMAN RESOURCES!$A$2:$M$2692""), {2,3,4,5,6,7,8,9,10,11,12,13},0))"),0.025)</f>
        <v>0.025</v>
      </c>
      <c r="Q705" s="14">
        <f>IFERROR(__xludf.DUMMYFUNCTION("""COMPUTED_VALUE"""),0.027)</f>
        <v>0.027</v>
      </c>
      <c r="R705" s="14">
        <f>IFERROR(__xludf.DUMMYFUNCTION("""COMPUTED_VALUE"""),77.0)</f>
        <v>77</v>
      </c>
      <c r="S705" s="14">
        <f>IFERROR(__xludf.DUMMYFUNCTION("""COMPUTED_VALUE"""),71.0)</f>
        <v>71</v>
      </c>
      <c r="T705" s="14">
        <f>IFERROR(__xludf.DUMMYFUNCTION("""COMPUTED_VALUE"""),0.342)</f>
        <v>0.342</v>
      </c>
      <c r="U705" s="14">
        <f>IFERROR(__xludf.DUMMYFUNCTION("""COMPUTED_VALUE"""),0.606)</f>
        <v>0.606</v>
      </c>
      <c r="V705" s="14">
        <f>IFERROR(__xludf.DUMMYFUNCTION("""COMPUTED_VALUE"""),0.052)</f>
        <v>0.052</v>
      </c>
      <c r="W705" s="14">
        <f>IFERROR(__xludf.DUMMYFUNCTION("""COMPUTED_VALUE"""),1.2780869E7)</f>
        <v>12780869</v>
      </c>
      <c r="X705" s="14">
        <f>IFERROR(__xludf.DUMMYFUNCTION("""COMPUTED_VALUE"""),0.608)</f>
        <v>0.608</v>
      </c>
      <c r="Y705" s="14" t="str">
        <f>IFERROR(__xludf.DUMMYFUNCTION("""COMPUTED_VALUE"""),"Ecuador-The Americas")</f>
        <v>Ecuador-The Americas</v>
      </c>
      <c r="Z705" s="14" t="str">
        <f>IFERROR(__xludf.DUMMYFUNCTION("""COMPUTED_VALUE"""),"The Americas")</f>
        <v>The Americas</v>
      </c>
      <c r="AA705" s="14" t="str">
        <f>IFERROR(__xludf.DUMMYFUNCTION("""COMPUTED_VALUE"""),"2001")</f>
        <v>2001</v>
      </c>
      <c r="AB705" s="15" t="str">
        <f>IFERROR(__xludf.DUMMYFUNCTION("ARRAYFORMULA(VLOOKUP(A705,IMPORTRANGE(""https://docs.google.com/spreadsheets/d/1BuTWp7qHGjWhqrnf-OmePP568O4A5Am9ttzvVdP67zw/edit#gid=1931367683"" ,""ENERGY!$A$2:$F$2692""), {2,3,4,5,6},0))"),"The Americas")</f>
        <v>The Americas</v>
      </c>
      <c r="AC705" s="14" t="str">
        <f>IFERROR(__xludf.DUMMYFUNCTION("""COMPUTED_VALUE"""),"Ecuador-The Americas")</f>
        <v>Ecuador-The Americas</v>
      </c>
      <c r="AD705" s="14" t="str">
        <f>IFERROR(__xludf.DUMMYFUNCTION("""COMPUTED_VALUE"""),"2001")</f>
        <v>2001</v>
      </c>
      <c r="AE705" s="14">
        <f>IFERROR(__xludf.DUMMYFUNCTION("""COMPUTED_VALUE"""),12942.0)</f>
        <v>12942</v>
      </c>
      <c r="AF705" s="14"/>
    </row>
    <row r="706">
      <c r="A706" s="12">
        <v>705.0</v>
      </c>
      <c r="B706" s="12" t="s">
        <v>133</v>
      </c>
      <c r="C706" s="5" t="s">
        <v>84</v>
      </c>
      <c r="D706" s="8"/>
      <c r="E706" s="8"/>
      <c r="F706" s="8"/>
      <c r="G706" s="8"/>
      <c r="H706" s="11">
        <v>0.043</v>
      </c>
      <c r="I706" s="11">
        <v>0.12</v>
      </c>
      <c r="J706" s="9" t="s">
        <v>63</v>
      </c>
      <c r="K706" s="14" t="str">
        <f>IFERROR(__xludf.DUMMYFUNCTION("ARRAYFORMULA(VLOOKUP(A706,IMPORTRANGE(""https://docs.google.com/spreadsheets/d/1BuTWp7qHGjWhqrnf-OmePP568O4A5Am9ttzvVdP67zw/edit#gid=1603210130"", ""TOURISM!$A$2:$F$2692""), {2,3,4,5,6},0))"),"The Americas")</f>
        <v>The Americas</v>
      </c>
      <c r="L706" s="14">
        <f>IFERROR(__xludf.DUMMYFUNCTION("""COMPUTED_VALUE"""),4.49E8)</f>
        <v>449000000</v>
      </c>
      <c r="M706" s="14" t="str">
        <f>IFERROR(__xludf.DUMMYFUNCTION("""COMPUTED_VALUE"""),"Ecuador-The Americas")</f>
        <v>Ecuador-The Americas</v>
      </c>
      <c r="N706" s="14" t="str">
        <f>IFERROR(__xludf.DUMMYFUNCTION("""COMPUTED_VALUE"""),"2002")</f>
        <v>2002</v>
      </c>
      <c r="O706" s="14">
        <f>IFERROR(__xludf.DUMMYFUNCTION("""COMPUTED_VALUE"""),5.07E8)</f>
        <v>507000000</v>
      </c>
      <c r="P706" s="15">
        <f>IFERROR(__xludf.DUMMYFUNCTION("ARRAYFORMULA(VLOOKUP(A706,IMPORTRANGE(""https://docs.google.com/spreadsheets/d/1BuTWp7qHGjWhqrnf-OmePP568O4A5Am9ttzvVdP67zw/edit#gid=771602874"" ,""HUMAN RESOURCES!$A$2:$M$2692""), {2,3,4,5,6,7,8,9,10,11,12,13},0))"),0.025)</f>
        <v>0.025</v>
      </c>
      <c r="Q706" s="14">
        <f>IFERROR(__xludf.DUMMYFUNCTION("""COMPUTED_VALUE"""),0.026)</f>
        <v>0.026</v>
      </c>
      <c r="R706" s="14">
        <f>IFERROR(__xludf.DUMMYFUNCTION("""COMPUTED_VALUE"""),77.0)</f>
        <v>77</v>
      </c>
      <c r="S706" s="14">
        <f>IFERROR(__xludf.DUMMYFUNCTION("""COMPUTED_VALUE"""),71.0)</f>
        <v>71</v>
      </c>
      <c r="T706" s="14">
        <f>IFERROR(__xludf.DUMMYFUNCTION("""COMPUTED_VALUE"""),0.338)</f>
        <v>0.338</v>
      </c>
      <c r="U706" s="14">
        <f>IFERROR(__xludf.DUMMYFUNCTION("""COMPUTED_VALUE"""),0.609)</f>
        <v>0.609</v>
      </c>
      <c r="V706" s="14">
        <f>IFERROR(__xludf.DUMMYFUNCTION("""COMPUTED_VALUE"""),0.053)</f>
        <v>0.053</v>
      </c>
      <c r="W706" s="14">
        <f>IFERROR(__xludf.DUMMYFUNCTION("""COMPUTED_VALUE"""),1.3030041E7)</f>
        <v>13030041</v>
      </c>
      <c r="X706" s="14">
        <f>IFERROR(__xludf.DUMMYFUNCTION("""COMPUTED_VALUE"""),0.611)</f>
        <v>0.611</v>
      </c>
      <c r="Y706" s="14" t="str">
        <f>IFERROR(__xludf.DUMMYFUNCTION("""COMPUTED_VALUE"""),"Ecuador-The Americas")</f>
        <v>Ecuador-The Americas</v>
      </c>
      <c r="Z706" s="14" t="str">
        <f>IFERROR(__xludf.DUMMYFUNCTION("""COMPUTED_VALUE"""),"The Americas")</f>
        <v>The Americas</v>
      </c>
      <c r="AA706" s="14" t="str">
        <f>IFERROR(__xludf.DUMMYFUNCTION("""COMPUTED_VALUE"""),"2002")</f>
        <v>2002</v>
      </c>
      <c r="AB706" s="15" t="str">
        <f>IFERROR(__xludf.DUMMYFUNCTION("ARRAYFORMULA(VLOOKUP(A706,IMPORTRANGE(""https://docs.google.com/spreadsheets/d/1BuTWp7qHGjWhqrnf-OmePP568O4A5Am9ttzvVdP67zw/edit#gid=1931367683"" ,""ENERGY!$A$2:$F$2692""), {2,3,4,5,6},0))"),"The Americas")</f>
        <v>The Americas</v>
      </c>
      <c r="AC706" s="14" t="str">
        <f>IFERROR(__xludf.DUMMYFUNCTION("""COMPUTED_VALUE"""),"Ecuador-The Americas")</f>
        <v>Ecuador-The Americas</v>
      </c>
      <c r="AD706" s="14" t="str">
        <f>IFERROR(__xludf.DUMMYFUNCTION("""COMPUTED_VALUE"""),"2002")</f>
        <v>2002</v>
      </c>
      <c r="AE706" s="14">
        <f>IFERROR(__xludf.DUMMYFUNCTION("""COMPUTED_VALUE"""),12428.0)</f>
        <v>12428</v>
      </c>
      <c r="AF706" s="14">
        <f>IFERROR(__xludf.DUMMYFUNCTION("""COMPUTED_VALUE"""),32636.0)</f>
        <v>32636</v>
      </c>
    </row>
    <row r="707">
      <c r="A707" s="12">
        <v>706.0</v>
      </c>
      <c r="B707" s="12" t="s">
        <v>133</v>
      </c>
      <c r="C707" s="5" t="s">
        <v>84</v>
      </c>
      <c r="D707" s="8"/>
      <c r="E707" s="11">
        <v>92.0</v>
      </c>
      <c r="F707" s="8"/>
      <c r="G707" s="8"/>
      <c r="H707" s="11">
        <v>0.045</v>
      </c>
      <c r="I707" s="11">
        <v>0.181</v>
      </c>
      <c r="J707" s="9" t="s">
        <v>64</v>
      </c>
      <c r="K707" s="14" t="str">
        <f>IFERROR(__xludf.DUMMYFUNCTION("ARRAYFORMULA(VLOOKUP(A707,IMPORTRANGE(""https://docs.google.com/spreadsheets/d/1BuTWp7qHGjWhqrnf-OmePP568O4A5Am9ttzvVdP67zw/edit#gid=1603210130"", ""TOURISM!$A$2:$F$2692""), {2,3,4,5,6},0))"),"The Americas")</f>
        <v>The Americas</v>
      </c>
      <c r="L707" s="14">
        <f>IFERROR(__xludf.DUMMYFUNCTION("""COMPUTED_VALUE"""),4.08E8)</f>
        <v>408000000</v>
      </c>
      <c r="M707" s="14" t="str">
        <f>IFERROR(__xludf.DUMMYFUNCTION("""COMPUTED_VALUE"""),"Ecuador-The Americas")</f>
        <v>Ecuador-The Americas</v>
      </c>
      <c r="N707" s="14" t="str">
        <f>IFERROR(__xludf.DUMMYFUNCTION("""COMPUTED_VALUE"""),"2003")</f>
        <v>2003</v>
      </c>
      <c r="O707" s="14">
        <f>IFERROR(__xludf.DUMMYFUNCTION("""COMPUTED_VALUE"""),5.0E8)</f>
        <v>500000000</v>
      </c>
      <c r="P707" s="15">
        <f>IFERROR(__xludf.DUMMYFUNCTION("ARRAYFORMULA(VLOOKUP(A707,IMPORTRANGE(""https://docs.google.com/spreadsheets/d/1BuTWp7qHGjWhqrnf-OmePP568O4A5Am9ttzvVdP67zw/edit#gid=771602874"" ,""HUMAN RESOURCES!$A$2:$M$2692""), {2,3,4,5,6,7,8,9,10,11,12,13},0))"),0.024)</f>
        <v>0.024</v>
      </c>
      <c r="Q707" s="14">
        <f>IFERROR(__xludf.DUMMYFUNCTION("""COMPUTED_VALUE"""),0.026)</f>
        <v>0.026</v>
      </c>
      <c r="R707" s="14">
        <f>IFERROR(__xludf.DUMMYFUNCTION("""COMPUTED_VALUE"""),77.0)</f>
        <v>77</v>
      </c>
      <c r="S707" s="14">
        <f>IFERROR(__xludf.DUMMYFUNCTION("""COMPUTED_VALUE"""),71.0)</f>
        <v>71</v>
      </c>
      <c r="T707" s="14">
        <f>IFERROR(__xludf.DUMMYFUNCTION("""COMPUTED_VALUE"""),0.334)</f>
        <v>0.334</v>
      </c>
      <c r="U707" s="14">
        <f>IFERROR(__xludf.DUMMYFUNCTION("""COMPUTED_VALUE"""),0.612)</f>
        <v>0.612</v>
      </c>
      <c r="V707" s="14">
        <f>IFERROR(__xludf.DUMMYFUNCTION("""COMPUTED_VALUE"""),0.054)</f>
        <v>0.054</v>
      </c>
      <c r="W707" s="14">
        <f>IFERROR(__xludf.DUMMYFUNCTION("""COMPUTED_VALUE"""),1.3279806E7)</f>
        <v>13279806</v>
      </c>
      <c r="X707" s="14">
        <f>IFERROR(__xludf.DUMMYFUNCTION("""COMPUTED_VALUE"""),0.613)</f>
        <v>0.613</v>
      </c>
      <c r="Y707" s="14" t="str">
        <f>IFERROR(__xludf.DUMMYFUNCTION("""COMPUTED_VALUE"""),"Ecuador-The Americas")</f>
        <v>Ecuador-The Americas</v>
      </c>
      <c r="Z707" s="14" t="str">
        <f>IFERROR(__xludf.DUMMYFUNCTION("""COMPUTED_VALUE"""),"The Americas")</f>
        <v>The Americas</v>
      </c>
      <c r="AA707" s="14" t="str">
        <f>IFERROR(__xludf.DUMMYFUNCTION("""COMPUTED_VALUE"""),"2003")</f>
        <v>2003</v>
      </c>
      <c r="AB707" s="15" t="str">
        <f>IFERROR(__xludf.DUMMYFUNCTION("ARRAYFORMULA(VLOOKUP(A707,IMPORTRANGE(""https://docs.google.com/spreadsheets/d/1BuTWp7qHGjWhqrnf-OmePP568O4A5Am9ttzvVdP67zw/edit#gid=1931367683"" ,""ENERGY!$A$2:$F$2692""), {2,3,4,5,6},0))"),"The Americas")</f>
        <v>The Americas</v>
      </c>
      <c r="AC707" s="14" t="str">
        <f>IFERROR(__xludf.DUMMYFUNCTION("""COMPUTED_VALUE"""),"Ecuador-The Americas")</f>
        <v>Ecuador-The Americas</v>
      </c>
      <c r="AD707" s="14" t="str">
        <f>IFERROR(__xludf.DUMMYFUNCTION("""COMPUTED_VALUE"""),"2003")</f>
        <v>2003</v>
      </c>
      <c r="AE707" s="14">
        <f>IFERROR(__xludf.DUMMYFUNCTION("""COMPUTED_VALUE"""),12678.0)</f>
        <v>12678</v>
      </c>
      <c r="AF707" s="14">
        <f>IFERROR(__xludf.DUMMYFUNCTION("""COMPUTED_VALUE"""),30473.0)</f>
        <v>30473</v>
      </c>
    </row>
    <row r="708">
      <c r="A708" s="12">
        <v>707.0</v>
      </c>
      <c r="B708" s="12" t="s">
        <v>133</v>
      </c>
      <c r="C708" s="5" t="s">
        <v>84</v>
      </c>
      <c r="D708" s="8"/>
      <c r="E708" s="11">
        <v>92.0</v>
      </c>
      <c r="F708" s="8"/>
      <c r="G708" s="8"/>
      <c r="H708" s="11">
        <v>0.048</v>
      </c>
      <c r="I708" s="11">
        <v>0.262</v>
      </c>
      <c r="J708" s="9" t="s">
        <v>65</v>
      </c>
      <c r="K708" s="14" t="str">
        <f>IFERROR(__xludf.DUMMYFUNCTION("ARRAYFORMULA(VLOOKUP(A708,IMPORTRANGE(""https://docs.google.com/spreadsheets/d/1BuTWp7qHGjWhqrnf-OmePP568O4A5Am9ttzvVdP67zw/edit#gid=1603210130"", ""TOURISM!$A$2:$F$2692""), {2,3,4,5,6},0))"),"The Americas")</f>
        <v>The Americas</v>
      </c>
      <c r="L708" s="14">
        <f>IFERROR(__xludf.DUMMYFUNCTION("""COMPUTED_VALUE"""),4.64E8)</f>
        <v>464000000</v>
      </c>
      <c r="M708" s="14" t="str">
        <f>IFERROR(__xludf.DUMMYFUNCTION("""COMPUTED_VALUE"""),"Ecuador-The Americas")</f>
        <v>Ecuador-The Americas</v>
      </c>
      <c r="N708" s="14" t="str">
        <f>IFERROR(__xludf.DUMMYFUNCTION("""COMPUTED_VALUE"""),"2004")</f>
        <v>2004</v>
      </c>
      <c r="O708" s="14">
        <f>IFERROR(__xludf.DUMMYFUNCTION("""COMPUTED_VALUE"""),5.77E8)</f>
        <v>577000000</v>
      </c>
      <c r="P708" s="15">
        <f>IFERROR(__xludf.DUMMYFUNCTION("ARRAYFORMULA(VLOOKUP(A708,IMPORTRANGE(""https://docs.google.com/spreadsheets/d/1BuTWp7qHGjWhqrnf-OmePP568O4A5Am9ttzvVdP67zw/edit#gid=771602874"" ,""HUMAN RESOURCES!$A$2:$M$2692""), {2,3,4,5,6,7,8,9,10,11,12,13},0))"),0.024)</f>
        <v>0.024</v>
      </c>
      <c r="Q708" s="14">
        <f>IFERROR(__xludf.DUMMYFUNCTION("""COMPUTED_VALUE"""),0.025)</f>
        <v>0.025</v>
      </c>
      <c r="R708" s="14">
        <f>IFERROR(__xludf.DUMMYFUNCTION("""COMPUTED_VALUE"""),77.0)</f>
        <v>77</v>
      </c>
      <c r="S708" s="14">
        <f>IFERROR(__xludf.DUMMYFUNCTION("""COMPUTED_VALUE"""),72.0)</f>
        <v>72</v>
      </c>
      <c r="T708" s="14">
        <f>IFERROR(__xludf.DUMMYFUNCTION("""COMPUTED_VALUE"""),0.33)</f>
        <v>0.33</v>
      </c>
      <c r="U708" s="14">
        <f>IFERROR(__xludf.DUMMYFUNCTION("""COMPUTED_VALUE"""),0.615)</f>
        <v>0.615</v>
      </c>
      <c r="V708" s="14">
        <f>IFERROR(__xludf.DUMMYFUNCTION("""COMPUTED_VALUE"""),0.055)</f>
        <v>0.055</v>
      </c>
      <c r="W708" s="14">
        <f>IFERROR(__xludf.DUMMYFUNCTION("""COMPUTED_VALUE"""),1.3529091E7)</f>
        <v>13529091</v>
      </c>
      <c r="X708" s="14">
        <f>IFERROR(__xludf.DUMMYFUNCTION("""COMPUTED_VALUE"""),0.615)</f>
        <v>0.615</v>
      </c>
      <c r="Y708" s="14" t="str">
        <f>IFERROR(__xludf.DUMMYFUNCTION("""COMPUTED_VALUE"""),"Ecuador-The Americas")</f>
        <v>Ecuador-The Americas</v>
      </c>
      <c r="Z708" s="14" t="str">
        <f>IFERROR(__xludf.DUMMYFUNCTION("""COMPUTED_VALUE"""),"The Americas")</f>
        <v>The Americas</v>
      </c>
      <c r="AA708" s="14" t="str">
        <f>IFERROR(__xludf.DUMMYFUNCTION("""COMPUTED_VALUE"""),"2004")</f>
        <v>2004</v>
      </c>
      <c r="AB708" s="15" t="str">
        <f>IFERROR(__xludf.DUMMYFUNCTION("ARRAYFORMULA(VLOOKUP(A708,IMPORTRANGE(""https://docs.google.com/spreadsheets/d/1BuTWp7qHGjWhqrnf-OmePP568O4A5Am9ttzvVdP67zw/edit#gid=1931367683"" ,""ENERGY!$A$2:$F$2692""), {2,3,4,5,6},0))"),"The Americas")</f>
        <v>The Americas</v>
      </c>
      <c r="AC708" s="14" t="str">
        <f>IFERROR(__xludf.DUMMYFUNCTION("""COMPUTED_VALUE"""),"Ecuador-The Americas")</f>
        <v>Ecuador-The Americas</v>
      </c>
      <c r="AD708" s="14" t="str">
        <f>IFERROR(__xludf.DUMMYFUNCTION("""COMPUTED_VALUE"""),"2004")</f>
        <v>2004</v>
      </c>
      <c r="AE708" s="14">
        <f>IFERROR(__xludf.DUMMYFUNCTION("""COMPUTED_VALUE"""),10973.0)</f>
        <v>10973</v>
      </c>
      <c r="AF708" s="14">
        <f>IFERROR(__xludf.DUMMYFUNCTION("""COMPUTED_VALUE"""),29670.0)</f>
        <v>29670</v>
      </c>
    </row>
    <row r="709">
      <c r="A709" s="12">
        <v>708.0</v>
      </c>
      <c r="B709" s="12" t="s">
        <v>133</v>
      </c>
      <c r="C709" s="5" t="s">
        <v>84</v>
      </c>
      <c r="D709" s="11">
        <v>0.353</v>
      </c>
      <c r="E709" s="11">
        <v>69.0</v>
      </c>
      <c r="F709" s="8"/>
      <c r="G709" s="11">
        <v>600.0</v>
      </c>
      <c r="H709" s="11">
        <v>0.06</v>
      </c>
      <c r="I709" s="11">
        <v>0.453</v>
      </c>
      <c r="J709" s="9" t="s">
        <v>66</v>
      </c>
      <c r="K709" s="14" t="str">
        <f>IFERROR(__xludf.DUMMYFUNCTION("ARRAYFORMULA(VLOOKUP(A709,IMPORTRANGE(""https://docs.google.com/spreadsheets/d/1BuTWp7qHGjWhqrnf-OmePP568O4A5Am9ttzvVdP67zw/edit#gid=1603210130"", ""TOURISM!$A$2:$F$2692""), {2,3,4,5,6},0))"),"The Americas")</f>
        <v>The Americas</v>
      </c>
      <c r="L709" s="14">
        <f>IFERROR(__xludf.DUMMYFUNCTION("""COMPUTED_VALUE"""),4.88E8)</f>
        <v>488000000</v>
      </c>
      <c r="M709" s="14" t="str">
        <f>IFERROR(__xludf.DUMMYFUNCTION("""COMPUTED_VALUE"""),"Ecuador-The Americas")</f>
        <v>Ecuador-The Americas</v>
      </c>
      <c r="N709" s="14" t="str">
        <f>IFERROR(__xludf.DUMMYFUNCTION("""COMPUTED_VALUE"""),"2005")</f>
        <v>2005</v>
      </c>
      <c r="O709" s="14">
        <f>IFERROR(__xludf.DUMMYFUNCTION("""COMPUTED_VALUE"""),6.44E8)</f>
        <v>644000000</v>
      </c>
      <c r="P709" s="15">
        <f>IFERROR(__xludf.DUMMYFUNCTION("ARRAYFORMULA(VLOOKUP(A709,IMPORTRANGE(""https://docs.google.com/spreadsheets/d/1BuTWp7qHGjWhqrnf-OmePP568O4A5Am9ttzvVdP67zw/edit#gid=771602874"" ,""HUMAN RESOURCES!$A$2:$M$2692""), {2,3,4,5,6,7,8,9,10,11,12,13},0))"),0.024)</f>
        <v>0.024</v>
      </c>
      <c r="Q709" s="14">
        <f>IFERROR(__xludf.DUMMYFUNCTION("""COMPUTED_VALUE"""),0.024)</f>
        <v>0.024</v>
      </c>
      <c r="R709" s="14">
        <f>IFERROR(__xludf.DUMMYFUNCTION("""COMPUTED_VALUE"""),78.0)</f>
        <v>78</v>
      </c>
      <c r="S709" s="14">
        <f>IFERROR(__xludf.DUMMYFUNCTION("""COMPUTED_VALUE"""),72.0)</f>
        <v>72</v>
      </c>
      <c r="T709" s="14">
        <f>IFERROR(__xludf.DUMMYFUNCTION("""COMPUTED_VALUE"""),0.327)</f>
        <v>0.327</v>
      </c>
      <c r="U709" s="14">
        <f>IFERROR(__xludf.DUMMYFUNCTION("""COMPUTED_VALUE"""),0.617)</f>
        <v>0.617</v>
      </c>
      <c r="V709" s="14">
        <f>IFERROR(__xludf.DUMMYFUNCTION("""COMPUTED_VALUE"""),0.056)</f>
        <v>0.056</v>
      </c>
      <c r="W709" s="14">
        <f>IFERROR(__xludf.DUMMYFUNCTION("""COMPUTED_VALUE"""),1.3777131E7)</f>
        <v>13777131</v>
      </c>
      <c r="X709" s="14">
        <f>IFERROR(__xludf.DUMMYFUNCTION("""COMPUTED_VALUE"""),0.617)</f>
        <v>0.617</v>
      </c>
      <c r="Y709" s="14" t="str">
        <f>IFERROR(__xludf.DUMMYFUNCTION("""COMPUTED_VALUE"""),"Ecuador-The Americas")</f>
        <v>Ecuador-The Americas</v>
      </c>
      <c r="Z709" s="14" t="str">
        <f>IFERROR(__xludf.DUMMYFUNCTION("""COMPUTED_VALUE"""),"The Americas")</f>
        <v>The Americas</v>
      </c>
      <c r="AA709" s="14" t="str">
        <f>IFERROR(__xludf.DUMMYFUNCTION("""COMPUTED_VALUE"""),"2005")</f>
        <v>2005</v>
      </c>
      <c r="AB709" s="15" t="str">
        <f>IFERROR(__xludf.DUMMYFUNCTION("ARRAYFORMULA(VLOOKUP(A709,IMPORTRANGE(""https://docs.google.com/spreadsheets/d/1BuTWp7qHGjWhqrnf-OmePP568O4A5Am9ttzvVdP67zw/edit#gid=1931367683"" ,""ENERGY!$A$2:$F$2692""), {2,3,4,5,6},0))"),"The Americas")</f>
        <v>The Americas</v>
      </c>
      <c r="AC709" s="14" t="str">
        <f>IFERROR(__xludf.DUMMYFUNCTION("""COMPUTED_VALUE"""),"Ecuador-The Americas")</f>
        <v>Ecuador-The Americas</v>
      </c>
      <c r="AD709" s="14" t="str">
        <f>IFERROR(__xludf.DUMMYFUNCTION("""COMPUTED_VALUE"""),"2006")</f>
        <v>2006</v>
      </c>
      <c r="AE709" s="14">
        <f>IFERROR(__xludf.DUMMYFUNCTION("""COMPUTED_VALUE"""),11332.0)</f>
        <v>11332</v>
      </c>
      <c r="AF709" s="14">
        <f>IFERROR(__xludf.DUMMYFUNCTION("""COMPUTED_VALUE"""),30759.0)</f>
        <v>30759</v>
      </c>
    </row>
    <row r="710">
      <c r="A710" s="12">
        <v>709.0</v>
      </c>
      <c r="B710" s="12" t="s">
        <v>133</v>
      </c>
      <c r="C710" s="5" t="s">
        <v>84</v>
      </c>
      <c r="D710" s="11">
        <v>0.353</v>
      </c>
      <c r="E710" s="11">
        <v>65.0</v>
      </c>
      <c r="F710" s="8"/>
      <c r="G710" s="11">
        <v>600.0</v>
      </c>
      <c r="H710" s="11">
        <v>0.072</v>
      </c>
      <c r="I710" s="11">
        <v>0.605</v>
      </c>
      <c r="J710" s="9" t="s">
        <v>67</v>
      </c>
      <c r="K710" s="14" t="str">
        <f>IFERROR(__xludf.DUMMYFUNCTION("ARRAYFORMULA(VLOOKUP(A710,IMPORTRANGE(""https://docs.google.com/spreadsheets/d/1BuTWp7qHGjWhqrnf-OmePP568O4A5Am9ttzvVdP67zw/edit#gid=1603210130"", ""TOURISM!$A$2:$F$2692""), {2,3,4,5,6},0))"),"The Americas")</f>
        <v>The Americas</v>
      </c>
      <c r="L710" s="14">
        <f>IFERROR(__xludf.DUMMYFUNCTION("""COMPUTED_VALUE"""),4.92E8)</f>
        <v>492000000</v>
      </c>
      <c r="M710" s="14" t="str">
        <f>IFERROR(__xludf.DUMMYFUNCTION("""COMPUTED_VALUE"""),"Ecuador-The Americas")</f>
        <v>Ecuador-The Americas</v>
      </c>
      <c r="N710" s="14" t="str">
        <f>IFERROR(__xludf.DUMMYFUNCTION("""COMPUTED_VALUE"""),"2006")</f>
        <v>2006</v>
      </c>
      <c r="O710" s="14">
        <f>IFERROR(__xludf.DUMMYFUNCTION("""COMPUTED_VALUE"""),7.06E8)</f>
        <v>706000000</v>
      </c>
      <c r="P710" s="15">
        <f>IFERROR(__xludf.DUMMYFUNCTION("ARRAYFORMULA(VLOOKUP(A710,IMPORTRANGE(""https://docs.google.com/spreadsheets/d/1BuTWp7qHGjWhqrnf-OmePP568O4A5Am9ttzvVdP67zw/edit#gid=771602874"" ,""HUMAN RESOURCES!$A$2:$M$2692""), {2,3,4,5,6,7,8,9,10,11,12,13},0))"),0.023)</f>
        <v>0.023</v>
      </c>
      <c r="Q710" s="14">
        <f>IFERROR(__xludf.DUMMYFUNCTION("""COMPUTED_VALUE"""),0.023)</f>
        <v>0.023</v>
      </c>
      <c r="R710" s="14">
        <f>IFERROR(__xludf.DUMMYFUNCTION("""COMPUTED_VALUE"""),78.0)</f>
        <v>78</v>
      </c>
      <c r="S710" s="14">
        <f>IFERROR(__xludf.DUMMYFUNCTION("""COMPUTED_VALUE"""),72.0)</f>
        <v>72</v>
      </c>
      <c r="T710" s="14">
        <f>IFERROR(__xludf.DUMMYFUNCTION("""COMPUTED_VALUE"""),0.323)</f>
        <v>0.323</v>
      </c>
      <c r="U710" s="14">
        <f>IFERROR(__xludf.DUMMYFUNCTION("""COMPUTED_VALUE"""),0.62)</f>
        <v>0.62</v>
      </c>
      <c r="V710" s="14">
        <f>IFERROR(__xludf.DUMMYFUNCTION("""COMPUTED_VALUE"""),0.057)</f>
        <v>0.057</v>
      </c>
      <c r="W710" s="14">
        <f>IFERROR(__xludf.DUMMYFUNCTION("""COMPUTED_VALUE"""),1.4023503E7)</f>
        <v>14023503</v>
      </c>
      <c r="X710" s="14">
        <f>IFERROR(__xludf.DUMMYFUNCTION("""COMPUTED_VALUE"""),0.619)</f>
        <v>0.619</v>
      </c>
      <c r="Y710" s="14" t="str">
        <f>IFERROR(__xludf.DUMMYFUNCTION("""COMPUTED_VALUE"""),"Ecuador-The Americas")</f>
        <v>Ecuador-The Americas</v>
      </c>
      <c r="Z710" s="14" t="str">
        <f>IFERROR(__xludf.DUMMYFUNCTION("""COMPUTED_VALUE"""),"The Americas")</f>
        <v>The Americas</v>
      </c>
      <c r="AA710" s="14" t="str">
        <f>IFERROR(__xludf.DUMMYFUNCTION("""COMPUTED_VALUE"""),"2006")</f>
        <v>2006</v>
      </c>
      <c r="AB710" s="15" t="str">
        <f>IFERROR(__xludf.DUMMYFUNCTION("ARRAYFORMULA(VLOOKUP(A710,IMPORTRANGE(""https://docs.google.com/spreadsheets/d/1BuTWp7qHGjWhqrnf-OmePP568O4A5Am9ttzvVdP67zw/edit#gid=1931367683"" ,""ENERGY!$A$2:$F$2692""), {2,3,4,5,6},0))"),"The Americas")</f>
        <v>The Americas</v>
      </c>
      <c r="AC710" s="14" t="str">
        <f>IFERROR(__xludf.DUMMYFUNCTION("""COMPUTED_VALUE"""),"Ecuador-The Americas")</f>
        <v>Ecuador-The Americas</v>
      </c>
      <c r="AD710" s="14" t="str">
        <f>IFERROR(__xludf.DUMMYFUNCTION("""COMPUTED_VALUE"""),"2010")</f>
        <v>2010</v>
      </c>
      <c r="AE710" s="14">
        <f>IFERROR(__xludf.DUMMYFUNCTION("""COMPUTED_VALUE"""),10255.0)</f>
        <v>10255</v>
      </c>
      <c r="AF710" s="14">
        <f>IFERROR(__xludf.DUMMYFUNCTION("""COMPUTED_VALUE"""),29688.0)</f>
        <v>29688</v>
      </c>
    </row>
    <row r="711">
      <c r="A711" s="12">
        <v>710.0</v>
      </c>
      <c r="B711" s="12" t="s">
        <v>133</v>
      </c>
      <c r="C711" s="5" t="s">
        <v>84</v>
      </c>
      <c r="D711" s="11">
        <v>0.353</v>
      </c>
      <c r="E711" s="11">
        <v>65.0</v>
      </c>
      <c r="F711" s="8"/>
      <c r="G711" s="11">
        <v>600.0</v>
      </c>
      <c r="H711" s="11">
        <v>0.108</v>
      </c>
      <c r="I711" s="11">
        <v>0.697</v>
      </c>
      <c r="J711" s="9" t="s">
        <v>68</v>
      </c>
      <c r="K711" s="14" t="str">
        <f>IFERROR(__xludf.DUMMYFUNCTION("ARRAYFORMULA(VLOOKUP(A711,IMPORTRANGE(""https://docs.google.com/spreadsheets/d/1BuTWp7qHGjWhqrnf-OmePP568O4A5Am9ttzvVdP67zw/edit#gid=1603210130"", ""TOURISM!$A$2:$F$2692""), {2,3,4,5,6},0))"),"The Americas")</f>
        <v>The Americas</v>
      </c>
      <c r="L711" s="14">
        <f>IFERROR(__xludf.DUMMYFUNCTION("""COMPUTED_VALUE"""),6.26E8)</f>
        <v>626000000</v>
      </c>
      <c r="M711" s="14" t="str">
        <f>IFERROR(__xludf.DUMMYFUNCTION("""COMPUTED_VALUE"""),"Ecuador-The Americas")</f>
        <v>Ecuador-The Americas</v>
      </c>
      <c r="N711" s="14" t="str">
        <f>IFERROR(__xludf.DUMMYFUNCTION("""COMPUTED_VALUE"""),"2007")</f>
        <v>2007</v>
      </c>
      <c r="O711" s="14">
        <f>IFERROR(__xludf.DUMMYFUNCTION("""COMPUTED_VALUE"""),7.33E8)</f>
        <v>733000000</v>
      </c>
      <c r="P711" s="15">
        <f>IFERROR(__xludf.DUMMYFUNCTION("ARRAYFORMULA(VLOOKUP(A711,IMPORTRANGE(""https://docs.google.com/spreadsheets/d/1BuTWp7qHGjWhqrnf-OmePP568O4A5Am9ttzvVdP67zw/edit#gid=771602874"" ,""HUMAN RESOURCES!$A$2:$M$2692""), {2,3,4,5,6,7,8,9,10,11,12,13},0))"),0.023)</f>
        <v>0.023</v>
      </c>
      <c r="Q711" s="14">
        <f>IFERROR(__xludf.DUMMYFUNCTION("""COMPUTED_VALUE"""),0.023)</f>
        <v>0.023</v>
      </c>
      <c r="R711" s="14">
        <f>IFERROR(__xludf.DUMMYFUNCTION("""COMPUTED_VALUE"""),78.0)</f>
        <v>78</v>
      </c>
      <c r="S711" s="14">
        <f>IFERROR(__xludf.DUMMYFUNCTION("""COMPUTED_VALUE"""),72.0)</f>
        <v>72</v>
      </c>
      <c r="T711" s="14">
        <f>IFERROR(__xludf.DUMMYFUNCTION("""COMPUTED_VALUE"""),0.32)</f>
        <v>0.32</v>
      </c>
      <c r="U711" s="14">
        <f>IFERROR(__xludf.DUMMYFUNCTION("""COMPUTED_VALUE"""),0.622)</f>
        <v>0.622</v>
      </c>
      <c r="V711" s="14">
        <f>IFERROR(__xludf.DUMMYFUNCTION("""COMPUTED_VALUE"""),0.058)</f>
        <v>0.058</v>
      </c>
      <c r="W711" s="14">
        <f>IFERROR(__xludf.DUMMYFUNCTION("""COMPUTED_VALUE"""),1.4268397E7)</f>
        <v>14268397</v>
      </c>
      <c r="X711" s="14">
        <f>IFERROR(__xludf.DUMMYFUNCTION("""COMPUTED_VALUE"""),0.621)</f>
        <v>0.621</v>
      </c>
      <c r="Y711" s="14" t="str">
        <f>IFERROR(__xludf.DUMMYFUNCTION("""COMPUTED_VALUE"""),"Ecuador-The Americas")</f>
        <v>Ecuador-The Americas</v>
      </c>
      <c r="Z711" s="14" t="str">
        <f>IFERROR(__xludf.DUMMYFUNCTION("""COMPUTED_VALUE"""),"The Americas")</f>
        <v>The Americas</v>
      </c>
      <c r="AA711" s="14" t="str">
        <f>IFERROR(__xludf.DUMMYFUNCTION("""COMPUTED_VALUE"""),"2007")</f>
        <v>2007</v>
      </c>
      <c r="AB711" s="15" t="str">
        <f>IFERROR(__xludf.DUMMYFUNCTION("ARRAYFORMULA(VLOOKUP(A711,IMPORTRANGE(""https://docs.google.com/spreadsheets/d/1BuTWp7qHGjWhqrnf-OmePP568O4A5Am9ttzvVdP67zw/edit#gid=1931367683"" ,""ENERGY!$A$2:$F$2692""), {2,3,4,5,6},0))"),"The Americas")</f>
        <v>The Americas</v>
      </c>
      <c r="AC711" s="14" t="str">
        <f>IFERROR(__xludf.DUMMYFUNCTION("""COMPUTED_VALUE"""),"Ecuador-The Americas")</f>
        <v>Ecuador-The Americas</v>
      </c>
      <c r="AD711" s="14" t="str">
        <f>IFERROR(__xludf.DUMMYFUNCTION("""COMPUTED_VALUE"""),"2007")</f>
        <v>2007</v>
      </c>
      <c r="AE711" s="14">
        <f>IFERROR(__xludf.DUMMYFUNCTION("""COMPUTED_VALUE"""),11048.0)</f>
        <v>11048</v>
      </c>
      <c r="AF711" s="14">
        <f>IFERROR(__xludf.DUMMYFUNCTION("""COMPUTED_VALUE"""),29908.0)</f>
        <v>29908</v>
      </c>
    </row>
    <row r="712">
      <c r="A712" s="12">
        <v>711.0</v>
      </c>
      <c r="B712" s="12" t="s">
        <v>133</v>
      </c>
      <c r="C712" s="5" t="s">
        <v>84</v>
      </c>
      <c r="D712" s="11">
        <v>0.349</v>
      </c>
      <c r="E712" s="11">
        <v>65.0</v>
      </c>
      <c r="F712" s="8"/>
      <c r="G712" s="11">
        <v>600.0</v>
      </c>
      <c r="H712" s="11">
        <v>0.188</v>
      </c>
      <c r="I712" s="11">
        <v>0.805</v>
      </c>
      <c r="J712" s="9" t="s">
        <v>69</v>
      </c>
      <c r="K712" s="14" t="str">
        <f>IFERROR(__xludf.DUMMYFUNCTION("ARRAYFORMULA(VLOOKUP(A712,IMPORTRANGE(""https://docs.google.com/spreadsheets/d/1BuTWp7qHGjWhqrnf-OmePP568O4A5Am9ttzvVdP67zw/edit#gid=1603210130"", ""TOURISM!$A$2:$F$2692""), {2,3,4,5,6},0))"),"The Americas")</f>
        <v>The Americas</v>
      </c>
      <c r="L712" s="14">
        <f>IFERROR(__xludf.DUMMYFUNCTION("""COMPUTED_VALUE"""),7.45E8)</f>
        <v>745000000</v>
      </c>
      <c r="M712" s="14" t="str">
        <f>IFERROR(__xludf.DUMMYFUNCTION("""COMPUTED_VALUE"""),"Ecuador-The Americas")</f>
        <v>Ecuador-The Americas</v>
      </c>
      <c r="N712" s="14" t="str">
        <f>IFERROR(__xludf.DUMMYFUNCTION("""COMPUTED_VALUE"""),"2008")</f>
        <v>2008</v>
      </c>
      <c r="O712" s="14">
        <f>IFERROR(__xludf.DUMMYFUNCTION("""COMPUTED_VALUE"""),7.9E8)</f>
        <v>790000000</v>
      </c>
      <c r="P712" s="15">
        <f>IFERROR(__xludf.DUMMYFUNCTION("ARRAYFORMULA(VLOOKUP(A712,IMPORTRANGE(""https://docs.google.com/spreadsheets/d/1BuTWp7qHGjWhqrnf-OmePP568O4A5Am9ttzvVdP67zw/edit#gid=771602874"" ,""HUMAN RESOURCES!$A$2:$M$2692""), {2,3,4,5,6,7,8,9,10,11,12,13},0))"),0.022)</f>
        <v>0.022</v>
      </c>
      <c r="Q712" s="14">
        <f>IFERROR(__xludf.DUMMYFUNCTION("""COMPUTED_VALUE"""),0.022)</f>
        <v>0.022</v>
      </c>
      <c r="R712" s="14">
        <f>IFERROR(__xludf.DUMMYFUNCTION("""COMPUTED_VALUE"""),78.0)</f>
        <v>78</v>
      </c>
      <c r="S712" s="14">
        <f>IFERROR(__xludf.DUMMYFUNCTION("""COMPUTED_VALUE"""),72.0)</f>
        <v>72</v>
      </c>
      <c r="T712" s="14">
        <f>IFERROR(__xludf.DUMMYFUNCTION("""COMPUTED_VALUE"""),0.316)</f>
        <v>0.316</v>
      </c>
      <c r="U712" s="14">
        <f>IFERROR(__xludf.DUMMYFUNCTION("""COMPUTED_VALUE"""),0.624)</f>
        <v>0.624</v>
      </c>
      <c r="V712" s="14">
        <f>IFERROR(__xludf.DUMMYFUNCTION("""COMPUTED_VALUE"""),0.059)</f>
        <v>0.059</v>
      </c>
      <c r="W712" s="14">
        <f>IFERROR(__xludf.DUMMYFUNCTION("""COMPUTED_VALUE"""),1.4512402E7)</f>
        <v>14512402</v>
      </c>
      <c r="X712" s="14">
        <f>IFERROR(__xludf.DUMMYFUNCTION("""COMPUTED_VALUE"""),0.623)</f>
        <v>0.623</v>
      </c>
      <c r="Y712" s="14" t="str">
        <f>IFERROR(__xludf.DUMMYFUNCTION("""COMPUTED_VALUE"""),"Ecuador-The Americas")</f>
        <v>Ecuador-The Americas</v>
      </c>
      <c r="Z712" s="14" t="str">
        <f>IFERROR(__xludf.DUMMYFUNCTION("""COMPUTED_VALUE"""),"The Americas")</f>
        <v>The Americas</v>
      </c>
      <c r="AA712" s="14" t="str">
        <f>IFERROR(__xludf.DUMMYFUNCTION("""COMPUTED_VALUE"""),"2008")</f>
        <v>2008</v>
      </c>
      <c r="AB712" s="15" t="str">
        <f>IFERROR(__xludf.DUMMYFUNCTION("ARRAYFORMULA(VLOOKUP(A712,IMPORTRANGE(""https://docs.google.com/spreadsheets/d/1BuTWp7qHGjWhqrnf-OmePP568O4A5Am9ttzvVdP67zw/edit#gid=1931367683"" ,""ENERGY!$A$2:$F$2692""), {2,3,4,5,6},0))"),"The Americas")</f>
        <v>The Americas</v>
      </c>
      <c r="AC712" s="14" t="str">
        <f>IFERROR(__xludf.DUMMYFUNCTION("""COMPUTED_VALUE"""),"Ecuador-The Americas")</f>
        <v>Ecuador-The Americas</v>
      </c>
      <c r="AD712" s="14" t="str">
        <f>IFERROR(__xludf.DUMMYFUNCTION("""COMPUTED_VALUE"""),"2005")</f>
        <v>2005</v>
      </c>
      <c r="AE712" s="14">
        <f>IFERROR(__xludf.DUMMYFUNCTION("""COMPUTED_VALUE"""),10278.0)</f>
        <v>10278</v>
      </c>
      <c r="AF712" s="14">
        <f>IFERROR(__xludf.DUMMYFUNCTION("""COMPUTED_VALUE"""),28658.0)</f>
        <v>28658</v>
      </c>
    </row>
    <row r="713">
      <c r="A713" s="12">
        <v>712.0</v>
      </c>
      <c r="B713" s="12" t="s">
        <v>133</v>
      </c>
      <c r="C713" s="5" t="s">
        <v>84</v>
      </c>
      <c r="D713" s="11">
        <v>0.349</v>
      </c>
      <c r="E713" s="11">
        <v>64.0</v>
      </c>
      <c r="F713" s="8"/>
      <c r="G713" s="11">
        <v>600.0</v>
      </c>
      <c r="H713" s="11">
        <v>0.246</v>
      </c>
      <c r="I713" s="11">
        <v>0.897</v>
      </c>
      <c r="J713" s="9" t="s">
        <v>70</v>
      </c>
      <c r="K713" s="14" t="str">
        <f>IFERROR(__xludf.DUMMYFUNCTION("ARRAYFORMULA(VLOOKUP(A713,IMPORTRANGE(""https://docs.google.com/spreadsheets/d/1BuTWp7qHGjWhqrnf-OmePP568O4A5Am9ttzvVdP67zw/edit#gid=1603210130"", ""TOURISM!$A$2:$F$2692""), {2,3,4,5,6},0))"),"The Americas")</f>
        <v>The Americas</v>
      </c>
      <c r="L713" s="14">
        <f>IFERROR(__xludf.DUMMYFUNCTION("""COMPUTED_VALUE"""),6.74E8)</f>
        <v>674000000</v>
      </c>
      <c r="M713" s="14" t="str">
        <f>IFERROR(__xludf.DUMMYFUNCTION("""COMPUTED_VALUE"""),"Ecuador-The Americas")</f>
        <v>Ecuador-The Americas</v>
      </c>
      <c r="N713" s="14" t="str">
        <f>IFERROR(__xludf.DUMMYFUNCTION("""COMPUTED_VALUE"""),"2009")</f>
        <v>2009</v>
      </c>
      <c r="O713" s="14">
        <f>IFERROR(__xludf.DUMMYFUNCTION("""COMPUTED_VALUE"""),8.06E8)</f>
        <v>806000000</v>
      </c>
      <c r="P713" s="15">
        <f>IFERROR(__xludf.DUMMYFUNCTION("ARRAYFORMULA(VLOOKUP(A713,IMPORTRANGE(""https://docs.google.com/spreadsheets/d/1BuTWp7qHGjWhqrnf-OmePP568O4A5Am9ttzvVdP67zw/edit#gid=771602874"" ,""HUMAN RESOURCES!$A$2:$M$2692""), {2,3,4,5,6,7,8,9,10,11,12,13},0))"),0.022)</f>
        <v>0.022</v>
      </c>
      <c r="Q713" s="14">
        <f>IFERROR(__xludf.DUMMYFUNCTION("""COMPUTED_VALUE"""),0.022)</f>
        <v>0.022</v>
      </c>
      <c r="R713" s="14">
        <f>IFERROR(__xludf.DUMMYFUNCTION("""COMPUTED_VALUE"""),78.0)</f>
        <v>78</v>
      </c>
      <c r="S713" s="14">
        <f>IFERROR(__xludf.DUMMYFUNCTION("""COMPUTED_VALUE"""),73.0)</f>
        <v>73</v>
      </c>
      <c r="T713" s="14">
        <f>IFERROR(__xludf.DUMMYFUNCTION("""COMPUTED_VALUE"""),0.313)</f>
        <v>0.313</v>
      </c>
      <c r="U713" s="14">
        <f>IFERROR(__xludf.DUMMYFUNCTION("""COMPUTED_VALUE"""),0.627)</f>
        <v>0.627</v>
      </c>
      <c r="V713" s="14">
        <f>IFERROR(__xludf.DUMMYFUNCTION("""COMPUTED_VALUE"""),0.061)</f>
        <v>0.061</v>
      </c>
      <c r="W713" s="14">
        <f>IFERROR(__xludf.DUMMYFUNCTION("""COMPUTED_VALUE"""),1.4756424E7)</f>
        <v>14756424</v>
      </c>
      <c r="X713" s="14">
        <f>IFERROR(__xludf.DUMMYFUNCTION("""COMPUTED_VALUE"""),0.625)</f>
        <v>0.625</v>
      </c>
      <c r="Y713" s="14" t="str">
        <f>IFERROR(__xludf.DUMMYFUNCTION("""COMPUTED_VALUE"""),"Ecuador-The Americas")</f>
        <v>Ecuador-The Americas</v>
      </c>
      <c r="Z713" s="14" t="str">
        <f>IFERROR(__xludf.DUMMYFUNCTION("""COMPUTED_VALUE"""),"The Americas")</f>
        <v>The Americas</v>
      </c>
      <c r="AA713" s="14" t="str">
        <f>IFERROR(__xludf.DUMMYFUNCTION("""COMPUTED_VALUE"""),"2009")</f>
        <v>2009</v>
      </c>
      <c r="AB713" s="15" t="str">
        <f>IFERROR(__xludf.DUMMYFUNCTION("ARRAYFORMULA(VLOOKUP(A713,IMPORTRANGE(""https://docs.google.com/spreadsheets/d/1BuTWp7qHGjWhqrnf-OmePP568O4A5Am9ttzvVdP67zw/edit#gid=1931367683"" ,""ENERGY!$A$2:$F$2692""), {2,3,4,5,6},0))"),"The Americas")</f>
        <v>The Americas</v>
      </c>
      <c r="AC713" s="14" t="str">
        <f>IFERROR(__xludf.DUMMYFUNCTION("""COMPUTED_VALUE"""),"Ecuador-The Americas")</f>
        <v>Ecuador-The Americas</v>
      </c>
      <c r="AD713" s="14" t="str">
        <f>IFERROR(__xludf.DUMMYFUNCTION("""COMPUTED_VALUE"""),"2009")</f>
        <v>2009</v>
      </c>
      <c r="AE713" s="14">
        <f>IFERROR(__xludf.DUMMYFUNCTION("""COMPUTED_VALUE"""),9712.0)</f>
        <v>9712</v>
      </c>
      <c r="AF713" s="14">
        <f>IFERROR(__xludf.DUMMYFUNCTION("""COMPUTED_VALUE"""),26523.0)</f>
        <v>26523</v>
      </c>
    </row>
    <row r="714">
      <c r="A714" s="12">
        <v>713.0</v>
      </c>
      <c r="B714" s="12" t="s">
        <v>133</v>
      </c>
      <c r="C714" s="5" t="s">
        <v>84</v>
      </c>
      <c r="D714" s="11">
        <v>0.353</v>
      </c>
      <c r="E714" s="11">
        <v>56.0</v>
      </c>
      <c r="F714" s="8"/>
      <c r="G714" s="11">
        <v>654.0</v>
      </c>
      <c r="H714" s="11">
        <v>0.29</v>
      </c>
      <c r="I714" s="11">
        <v>0.985</v>
      </c>
      <c r="J714" s="9" t="s">
        <v>71</v>
      </c>
      <c r="K714" s="14" t="str">
        <f>IFERROR(__xludf.DUMMYFUNCTION("ARRAYFORMULA(VLOOKUP(A714,IMPORTRANGE(""https://docs.google.com/spreadsheets/d/1BuTWp7qHGjWhqrnf-OmePP568O4A5Am9ttzvVdP67zw/edit#gid=1603210130"", ""TOURISM!$A$2:$F$2692""), {2,3,4,5,6},0))"),"The Americas")</f>
        <v>The Americas</v>
      </c>
      <c r="L714" s="14">
        <f>IFERROR(__xludf.DUMMYFUNCTION("""COMPUTED_VALUE"""),7.86E8)</f>
        <v>786000000</v>
      </c>
      <c r="M714" s="14" t="str">
        <f>IFERROR(__xludf.DUMMYFUNCTION("""COMPUTED_VALUE"""),"Ecuador-The Americas")</f>
        <v>Ecuador-The Americas</v>
      </c>
      <c r="N714" s="14" t="str">
        <f>IFERROR(__xludf.DUMMYFUNCTION("""COMPUTED_VALUE"""),"2010")</f>
        <v>2010</v>
      </c>
      <c r="O714" s="14">
        <f>IFERROR(__xludf.DUMMYFUNCTION("""COMPUTED_VALUE"""),8.63E8)</f>
        <v>863000000</v>
      </c>
      <c r="P714" s="15">
        <f>IFERROR(__xludf.DUMMYFUNCTION("ARRAYFORMULA(VLOOKUP(A714,IMPORTRANGE(""https://docs.google.com/spreadsheets/d/1BuTWp7qHGjWhqrnf-OmePP568O4A5Am9ttzvVdP67zw/edit#gid=771602874"" ,""HUMAN RESOURCES!$A$2:$M$2692""), {2,3,4,5,6,7,8,9,10,11,12,13},0))"),0.022)</f>
        <v>0.022</v>
      </c>
      <c r="Q714" s="14">
        <f>IFERROR(__xludf.DUMMYFUNCTION("""COMPUTED_VALUE"""),0.021)</f>
        <v>0.021</v>
      </c>
      <c r="R714" s="14">
        <f>IFERROR(__xludf.DUMMYFUNCTION("""COMPUTED_VALUE"""),79.0)</f>
        <v>79</v>
      </c>
      <c r="S714" s="14">
        <f>IFERROR(__xludf.DUMMYFUNCTION("""COMPUTED_VALUE"""),73.0)</f>
        <v>73</v>
      </c>
      <c r="T714" s="14">
        <f>IFERROR(__xludf.DUMMYFUNCTION("""COMPUTED_VALUE"""),0.31)</f>
        <v>0.31</v>
      </c>
      <c r="U714" s="14">
        <f>IFERROR(__xludf.DUMMYFUNCTION("""COMPUTED_VALUE"""),0.629)</f>
        <v>0.629</v>
      </c>
      <c r="V714" s="14">
        <f>IFERROR(__xludf.DUMMYFUNCTION("""COMPUTED_VALUE"""),0.062)</f>
        <v>0.062</v>
      </c>
      <c r="W714" s="14">
        <f>IFERROR(__xludf.DUMMYFUNCTION("""COMPUTED_VALUE"""),1.5001072E7)</f>
        <v>15001072</v>
      </c>
      <c r="X714" s="14">
        <f>IFERROR(__xludf.DUMMYFUNCTION("""COMPUTED_VALUE"""),0.627)</f>
        <v>0.627</v>
      </c>
      <c r="Y714" s="14" t="str">
        <f>IFERROR(__xludf.DUMMYFUNCTION("""COMPUTED_VALUE"""),"Ecuador-The Americas")</f>
        <v>Ecuador-The Americas</v>
      </c>
      <c r="Z714" s="14" t="str">
        <f>IFERROR(__xludf.DUMMYFUNCTION("""COMPUTED_VALUE"""),"The Americas")</f>
        <v>The Americas</v>
      </c>
      <c r="AA714" s="14" t="str">
        <f>IFERROR(__xludf.DUMMYFUNCTION("""COMPUTED_VALUE"""),"2010")</f>
        <v>2010</v>
      </c>
      <c r="AB714" s="15" t="str">
        <f>IFERROR(__xludf.DUMMYFUNCTION("ARRAYFORMULA(VLOOKUP(A714,IMPORTRANGE(""https://docs.google.com/spreadsheets/d/1BuTWp7qHGjWhqrnf-OmePP568O4A5Am9ttzvVdP67zw/edit#gid=1931367683"" ,""ENERGY!$A$2:$F$2692""), {2,3,4,5,6},0))"),"The Americas")</f>
        <v>The Americas</v>
      </c>
      <c r="AC714" s="14" t="str">
        <f>IFERROR(__xludf.DUMMYFUNCTION("""COMPUTED_VALUE"""),"Ecuador-The Americas")</f>
        <v>Ecuador-The Americas</v>
      </c>
      <c r="AD714" s="14" t="str">
        <f>IFERROR(__xludf.DUMMYFUNCTION("""COMPUTED_VALUE"""),"2008")</f>
        <v>2008</v>
      </c>
      <c r="AE714" s="14">
        <f>IFERROR(__xludf.DUMMYFUNCTION("""COMPUTED_VALUE"""),9177.0)</f>
        <v>9177</v>
      </c>
      <c r="AF714" s="14">
        <f>IFERROR(__xludf.DUMMYFUNCTION("""COMPUTED_VALUE"""),24690.0)</f>
        <v>24690</v>
      </c>
    </row>
    <row r="715">
      <c r="A715" s="12">
        <v>714.0</v>
      </c>
      <c r="B715" s="12" t="s">
        <v>133</v>
      </c>
      <c r="C715" s="5" t="s">
        <v>84</v>
      </c>
      <c r="D715" s="11">
        <v>0.353</v>
      </c>
      <c r="E715" s="11">
        <v>56.0</v>
      </c>
      <c r="F715" s="8"/>
      <c r="G715" s="11">
        <v>654.0</v>
      </c>
      <c r="H715" s="11">
        <v>0.314</v>
      </c>
      <c r="I715" s="11">
        <v>1.006</v>
      </c>
      <c r="J715" s="9" t="s">
        <v>72</v>
      </c>
      <c r="K715" s="14" t="str">
        <f>IFERROR(__xludf.DUMMYFUNCTION("ARRAYFORMULA(VLOOKUP(A715,IMPORTRANGE(""https://docs.google.com/spreadsheets/d/1BuTWp7qHGjWhqrnf-OmePP568O4A5Am9ttzvVdP67zw/edit#gid=1603210130"", ""TOURISM!$A$2:$F$2692""), {2,3,4,5,6},0))"),"The Americas")</f>
        <v>The Americas</v>
      </c>
      <c r="L715" s="14">
        <f>IFERROR(__xludf.DUMMYFUNCTION("""COMPUTED_VALUE"""),8.49E8)</f>
        <v>849000000</v>
      </c>
      <c r="M715" s="14" t="str">
        <f>IFERROR(__xludf.DUMMYFUNCTION("""COMPUTED_VALUE"""),"Ecuador-The Americas")</f>
        <v>Ecuador-The Americas</v>
      </c>
      <c r="N715" s="14" t="str">
        <f>IFERROR(__xludf.DUMMYFUNCTION("""COMPUTED_VALUE"""),"2011")</f>
        <v>2011</v>
      </c>
      <c r="O715" s="14">
        <f>IFERROR(__xludf.DUMMYFUNCTION("""COMPUTED_VALUE"""),9.17E8)</f>
        <v>917000000</v>
      </c>
      <c r="P715" s="15">
        <f>IFERROR(__xludf.DUMMYFUNCTION("ARRAYFORMULA(VLOOKUP(A715,IMPORTRANGE(""https://docs.google.com/spreadsheets/d/1BuTWp7qHGjWhqrnf-OmePP568O4A5Am9ttzvVdP67zw/edit#gid=771602874"" ,""HUMAN RESOURCES!$A$2:$M$2692""), {2,3,4,5,6,7,8,9,10,11,12,13},0))"),0.021)</f>
        <v>0.021</v>
      </c>
      <c r="Q715" s="14">
        <f>IFERROR(__xludf.DUMMYFUNCTION("""COMPUTED_VALUE"""),0.02)</f>
        <v>0.02</v>
      </c>
      <c r="R715" s="14">
        <f>IFERROR(__xludf.DUMMYFUNCTION("""COMPUTED_VALUE"""),79.0)</f>
        <v>79</v>
      </c>
      <c r="S715" s="14">
        <f>IFERROR(__xludf.DUMMYFUNCTION("""COMPUTED_VALUE"""),73.0)</f>
        <v>73</v>
      </c>
      <c r="T715" s="14">
        <f>IFERROR(__xludf.DUMMYFUNCTION("""COMPUTED_VALUE"""),0.306)</f>
        <v>0.306</v>
      </c>
      <c r="U715" s="14">
        <f>IFERROR(__xludf.DUMMYFUNCTION("""COMPUTED_VALUE"""),0.631)</f>
        <v>0.631</v>
      </c>
      <c r="V715" s="14">
        <f>IFERROR(__xludf.DUMMYFUNCTION("""COMPUTED_VALUE"""),0.063)</f>
        <v>0.063</v>
      </c>
      <c r="W715" s="14">
        <f>IFERROR(__xludf.DUMMYFUNCTION("""COMPUTED_VALUE"""),1.5246481E7)</f>
        <v>15246481</v>
      </c>
      <c r="X715" s="14">
        <f>IFERROR(__xludf.DUMMYFUNCTION("""COMPUTED_VALUE"""),0.629)</f>
        <v>0.629</v>
      </c>
      <c r="Y715" s="14" t="str">
        <f>IFERROR(__xludf.DUMMYFUNCTION("""COMPUTED_VALUE"""),"Ecuador-The Americas")</f>
        <v>Ecuador-The Americas</v>
      </c>
      <c r="Z715" s="14" t="str">
        <f>IFERROR(__xludf.DUMMYFUNCTION("""COMPUTED_VALUE"""),"The Americas")</f>
        <v>The Americas</v>
      </c>
      <c r="AA715" s="14" t="str">
        <f>IFERROR(__xludf.DUMMYFUNCTION("""COMPUTED_VALUE"""),"2011")</f>
        <v>2011</v>
      </c>
      <c r="AB715" s="15" t="str">
        <f>IFERROR(__xludf.DUMMYFUNCTION("ARRAYFORMULA(VLOOKUP(A715,IMPORTRANGE(""https://docs.google.com/spreadsheets/d/1BuTWp7qHGjWhqrnf-OmePP568O4A5Am9ttzvVdP67zw/edit#gid=1931367683"" ,""ENERGY!$A$2:$F$2692""), {2,3,4,5,6},0))"),"The Americas")</f>
        <v>The Americas</v>
      </c>
      <c r="AC715" s="14" t="str">
        <f>IFERROR(__xludf.DUMMYFUNCTION("""COMPUTED_VALUE"""),"Ecuador-The Americas")</f>
        <v>Ecuador-The Americas</v>
      </c>
      <c r="AD715" s="14" t="str">
        <f>IFERROR(__xludf.DUMMYFUNCTION("""COMPUTED_VALUE"""),"2004")</f>
        <v>2004</v>
      </c>
      <c r="AE715" s="14">
        <f>IFERROR(__xludf.DUMMYFUNCTION("""COMPUTED_VALUE"""),8442.0)</f>
        <v>8442</v>
      </c>
      <c r="AF715" s="14">
        <f>IFERROR(__xludf.DUMMYFUNCTION("""COMPUTED_VALUE"""),23447.0)</f>
        <v>23447</v>
      </c>
    </row>
    <row r="716">
      <c r="A716" s="12">
        <v>715.0</v>
      </c>
      <c r="B716" s="12" t="s">
        <v>133</v>
      </c>
      <c r="C716" s="5" t="s">
        <v>84</v>
      </c>
      <c r="D716" s="11">
        <v>0.346</v>
      </c>
      <c r="E716" s="11">
        <v>56.0</v>
      </c>
      <c r="F716" s="11">
        <v>134.0</v>
      </c>
      <c r="G716" s="11">
        <v>654.0</v>
      </c>
      <c r="H716" s="11">
        <v>0.351</v>
      </c>
      <c r="I716" s="11">
        <v>1.062</v>
      </c>
      <c r="J716" s="9" t="s">
        <v>73</v>
      </c>
      <c r="K716" s="14" t="str">
        <f>IFERROR(__xludf.DUMMYFUNCTION("ARRAYFORMULA(VLOOKUP(A716,IMPORTRANGE(""https://docs.google.com/spreadsheets/d/1BuTWp7qHGjWhqrnf-OmePP568O4A5Am9ttzvVdP67zw/edit#gid=1603210130"", ""TOURISM!$A$2:$F$2692""), {2,3,4,5,6},0))"),"The Americas")</f>
        <v>The Americas</v>
      </c>
      <c r="L716" s="14">
        <f>IFERROR(__xludf.DUMMYFUNCTION("""COMPUTED_VALUE"""),1.039E9)</f>
        <v>1039000000</v>
      </c>
      <c r="M716" s="14" t="str">
        <f>IFERROR(__xludf.DUMMYFUNCTION("""COMPUTED_VALUE"""),"Ecuador-The Americas")</f>
        <v>Ecuador-The Americas</v>
      </c>
      <c r="N716" s="14" t="str">
        <f>IFERROR(__xludf.DUMMYFUNCTION("""COMPUTED_VALUE"""),"2012")</f>
        <v>2012</v>
      </c>
      <c r="O716" s="14">
        <f>IFERROR(__xludf.DUMMYFUNCTION("""COMPUTED_VALUE"""),9.44E8)</f>
        <v>944000000</v>
      </c>
      <c r="P716" s="15">
        <f>IFERROR(__xludf.DUMMYFUNCTION("ARRAYFORMULA(VLOOKUP(A716,IMPORTRANGE(""https://docs.google.com/spreadsheets/d/1BuTWp7qHGjWhqrnf-OmePP568O4A5Am9ttzvVdP67zw/edit#gid=771602874"" ,""HUMAN RESOURCES!$A$2:$M$2692""), {2,3,4,5,6,7,8,9,10,11,12,13},0))"),0.021)</f>
        <v>0.021</v>
      </c>
      <c r="Q716" s="14">
        <f>IFERROR(__xludf.DUMMYFUNCTION("""COMPUTED_VALUE"""),0.02)</f>
        <v>0.02</v>
      </c>
      <c r="R716" s="14">
        <f>IFERROR(__xludf.DUMMYFUNCTION("""COMPUTED_VALUE"""),79.0)</f>
        <v>79</v>
      </c>
      <c r="S716" s="14">
        <f>IFERROR(__xludf.DUMMYFUNCTION("""COMPUTED_VALUE"""),73.0)</f>
        <v>73</v>
      </c>
      <c r="T716" s="14">
        <f>IFERROR(__xludf.DUMMYFUNCTION("""COMPUTED_VALUE"""),0.303)</f>
        <v>0.303</v>
      </c>
      <c r="U716" s="14">
        <f>IFERROR(__xludf.DUMMYFUNCTION("""COMPUTED_VALUE"""),0.633)</f>
        <v>0.633</v>
      </c>
      <c r="V716" s="14">
        <f>IFERROR(__xludf.DUMMYFUNCTION("""COMPUTED_VALUE"""),0.064)</f>
        <v>0.064</v>
      </c>
      <c r="W716" s="14">
        <f>IFERROR(__xludf.DUMMYFUNCTION("""COMPUTED_VALUE"""),1.5492264E7)</f>
        <v>15492264</v>
      </c>
      <c r="X716" s="14">
        <f>IFERROR(__xludf.DUMMYFUNCTION("""COMPUTED_VALUE"""),0.631)</f>
        <v>0.631</v>
      </c>
      <c r="Y716" s="14" t="str">
        <f>IFERROR(__xludf.DUMMYFUNCTION("""COMPUTED_VALUE"""),"Ecuador-The Americas")</f>
        <v>Ecuador-The Americas</v>
      </c>
      <c r="Z716" s="14" t="str">
        <f>IFERROR(__xludf.DUMMYFUNCTION("""COMPUTED_VALUE"""),"The Americas")</f>
        <v>The Americas</v>
      </c>
      <c r="AA716" s="14" t="str">
        <f>IFERROR(__xludf.DUMMYFUNCTION("""COMPUTED_VALUE"""),"2012")</f>
        <v>2012</v>
      </c>
      <c r="AB716" s="15" t="str">
        <f>IFERROR(__xludf.DUMMYFUNCTION("ARRAYFORMULA(VLOOKUP(A716,IMPORTRANGE(""https://docs.google.com/spreadsheets/d/1BuTWp7qHGjWhqrnf-OmePP568O4A5Am9ttzvVdP67zw/edit#gid=1931367683"" ,""ENERGY!$A$2:$F$2692""), {2,3,4,5,6},0))"),"The Americas")</f>
        <v>The Americas</v>
      </c>
      <c r="AC716" s="14" t="str">
        <f>IFERROR(__xludf.DUMMYFUNCTION("""COMPUTED_VALUE"""),"Ecuador-The Americas")</f>
        <v>Ecuador-The Americas</v>
      </c>
      <c r="AD716" s="14" t="str">
        <f>IFERROR(__xludf.DUMMYFUNCTION("""COMPUTED_VALUE"""),"2009")</f>
        <v>2009</v>
      </c>
      <c r="AE716" s="14">
        <f>IFERROR(__xludf.DUMMYFUNCTION("""COMPUTED_VALUE"""),7815.0)</f>
        <v>7815</v>
      </c>
      <c r="AF716" s="14">
        <f>IFERROR(__xludf.DUMMYFUNCTION("""COMPUTED_VALUE"""),20942.0)</f>
        <v>20942</v>
      </c>
    </row>
    <row r="717">
      <c r="A717" s="12">
        <v>716.0</v>
      </c>
      <c r="B717" s="12" t="s">
        <v>134</v>
      </c>
      <c r="C717" s="5" t="s">
        <v>77</v>
      </c>
      <c r="D717" s="8"/>
      <c r="E717" s="8"/>
      <c r="F717" s="8"/>
      <c r="G717" s="8"/>
      <c r="H717" s="11">
        <v>0.006</v>
      </c>
      <c r="I717" s="11">
        <v>0.021</v>
      </c>
      <c r="J717" s="9" t="s">
        <v>60</v>
      </c>
      <c r="K717" s="14" t="str">
        <f>IFERROR(__xludf.DUMMYFUNCTION("ARRAYFORMULA(VLOOKUP(A717,IMPORTRANGE(""https://docs.google.com/spreadsheets/d/1BuTWp7qHGjWhqrnf-OmePP568O4A5Am9ttzvVdP67zw/edit#gid=1603210130"", ""TOURISM!$A$2:$F$2692""), {2,3,4,5,6},0))"),"Africa")</f>
        <v>Africa</v>
      </c>
      <c r="L717" s="14">
        <f>IFERROR(__xludf.DUMMYFUNCTION("""COMPUTED_VALUE"""),4.657E9)</f>
        <v>4657000000</v>
      </c>
      <c r="M717" s="14" t="str">
        <f>IFERROR(__xludf.DUMMYFUNCTION("""COMPUTED_VALUE"""),"Egypt-Africa")</f>
        <v>Egypt-Africa</v>
      </c>
      <c r="N717" s="14" t="str">
        <f>IFERROR(__xludf.DUMMYFUNCTION("""COMPUTED_VALUE"""),"2000")</f>
        <v>2000</v>
      </c>
      <c r="O717" s="14">
        <f>IFERROR(__xludf.DUMMYFUNCTION("""COMPUTED_VALUE"""),1.206E9)</f>
        <v>1206000000</v>
      </c>
      <c r="P717" s="15">
        <f>IFERROR(__xludf.DUMMYFUNCTION("ARRAYFORMULA(VLOOKUP(A717,IMPORTRANGE(""https://docs.google.com/spreadsheets/d/1BuTWp7qHGjWhqrnf-OmePP568O4A5Am9ttzvVdP67zw/edit#gid=771602874"" ,""HUMAN RESOURCES!$A$2:$M$2692""), {2,3,4,5,6,7,8,9,10,11,12,13},0))"),0.025)</f>
        <v>0.025</v>
      </c>
      <c r="Q717" s="14">
        <f>IFERROR(__xludf.DUMMYFUNCTION("""COMPUTED_VALUE"""),0.036)</f>
        <v>0.036</v>
      </c>
      <c r="R717" s="14">
        <f>IFERROR(__xludf.DUMMYFUNCTION("""COMPUTED_VALUE"""),71.0)</f>
        <v>71</v>
      </c>
      <c r="S717" s="14">
        <f>IFERROR(__xludf.DUMMYFUNCTION("""COMPUTED_VALUE"""),66.0)</f>
        <v>66</v>
      </c>
      <c r="T717" s="14">
        <f>IFERROR(__xludf.DUMMYFUNCTION("""COMPUTED_VALUE"""),0.354)</f>
        <v>0.354</v>
      </c>
      <c r="U717" s="14">
        <f>IFERROR(__xludf.DUMMYFUNCTION("""COMPUTED_VALUE"""),0.592)</f>
        <v>0.592</v>
      </c>
      <c r="V717" s="14">
        <f>IFERROR(__xludf.DUMMYFUNCTION("""COMPUTED_VALUE"""),0.053)</f>
        <v>0.053</v>
      </c>
      <c r="W717" s="14">
        <f>IFERROR(__xludf.DUMMYFUNCTION("""COMPUTED_VALUE"""),6.613659E7)</f>
        <v>66136590</v>
      </c>
      <c r="X717" s="14">
        <f>IFERROR(__xludf.DUMMYFUNCTION("""COMPUTED_VALUE"""),0.428)</f>
        <v>0.428</v>
      </c>
      <c r="Y717" s="14" t="str">
        <f>IFERROR(__xludf.DUMMYFUNCTION("""COMPUTED_VALUE"""),"Egypt-Africa")</f>
        <v>Egypt-Africa</v>
      </c>
      <c r="Z717" s="14" t="str">
        <f>IFERROR(__xludf.DUMMYFUNCTION("""COMPUTED_VALUE"""),"Africa")</f>
        <v>Africa</v>
      </c>
      <c r="AA717" s="14" t="str">
        <f>IFERROR(__xludf.DUMMYFUNCTION("""COMPUTED_VALUE"""),"2000")</f>
        <v>2000</v>
      </c>
      <c r="AB717" s="15" t="str">
        <f>IFERROR(__xludf.DUMMYFUNCTION("ARRAYFORMULA(VLOOKUP(A717,IMPORTRANGE(""https://docs.google.com/spreadsheets/d/1BuTWp7qHGjWhqrnf-OmePP568O4A5Am9ttzvVdP67zw/edit#gid=1931367683"" ,""ENERGY!$A$2:$F$2692""), {2,3,4,5,6},0))"),"Africa")</f>
        <v>Africa</v>
      </c>
      <c r="AC717" s="14" t="str">
        <f>IFERROR(__xludf.DUMMYFUNCTION("""COMPUTED_VALUE"""),"Egypt-Africa")</f>
        <v>Egypt-Africa</v>
      </c>
      <c r="AD717" s="14" t="str">
        <f>IFERROR(__xludf.DUMMYFUNCTION("""COMPUTED_VALUE"""),"2000")</f>
        <v>2000</v>
      </c>
      <c r="AE717" s="14"/>
      <c r="AF717" s="14"/>
    </row>
    <row r="718">
      <c r="A718" s="12">
        <v>717.0</v>
      </c>
      <c r="B718" s="12" t="s">
        <v>134</v>
      </c>
      <c r="C718" s="5" t="s">
        <v>77</v>
      </c>
      <c r="D718" s="8"/>
      <c r="E718" s="8"/>
      <c r="F718" s="8"/>
      <c r="G718" s="8"/>
      <c r="H718" s="11">
        <v>0.008</v>
      </c>
      <c r="I718" s="11">
        <v>0.042</v>
      </c>
      <c r="J718" s="9" t="s">
        <v>62</v>
      </c>
      <c r="K718" s="14" t="str">
        <f>IFERROR(__xludf.DUMMYFUNCTION("ARRAYFORMULA(VLOOKUP(A718,IMPORTRANGE(""https://docs.google.com/spreadsheets/d/1BuTWp7qHGjWhqrnf-OmePP568O4A5Am9ttzvVdP67zw/edit#gid=1603210130"", ""TOURISM!$A$2:$F$2692""), {2,3,4,5,6},0))"),"Africa")</f>
        <v>Africa</v>
      </c>
      <c r="L718" s="14">
        <f>IFERROR(__xludf.DUMMYFUNCTION("""COMPUTED_VALUE"""),4.119E9)</f>
        <v>4119000000</v>
      </c>
      <c r="M718" s="14" t="str">
        <f>IFERROR(__xludf.DUMMYFUNCTION("""COMPUTED_VALUE"""),"Egypt-Africa")</f>
        <v>Egypt-Africa</v>
      </c>
      <c r="N718" s="14" t="str">
        <f>IFERROR(__xludf.DUMMYFUNCTION("""COMPUTED_VALUE"""),"2001")</f>
        <v>2001</v>
      </c>
      <c r="O718" s="14">
        <f>IFERROR(__xludf.DUMMYFUNCTION("""COMPUTED_VALUE"""),1.248E9)</f>
        <v>1248000000</v>
      </c>
      <c r="P718" s="15">
        <f>IFERROR(__xludf.DUMMYFUNCTION("ARRAYFORMULA(VLOOKUP(A718,IMPORTRANGE(""https://docs.google.com/spreadsheets/d/1BuTWp7qHGjWhqrnf-OmePP568O4A5Am9ttzvVdP67zw/edit#gid=771602874"" ,""HUMAN RESOURCES!$A$2:$M$2692""), {2,3,4,5,6,7,8,9,10,11,12,13},0))"),0.025)</f>
        <v>0.025</v>
      </c>
      <c r="Q718" s="14">
        <f>IFERROR(__xludf.DUMMYFUNCTION("""COMPUTED_VALUE"""),0.034)</f>
        <v>0.034</v>
      </c>
      <c r="R718" s="14">
        <f>IFERROR(__xludf.DUMMYFUNCTION("""COMPUTED_VALUE"""),71.0)</f>
        <v>71</v>
      </c>
      <c r="S718" s="14">
        <f>IFERROR(__xludf.DUMMYFUNCTION("""COMPUTED_VALUE"""),66.0)</f>
        <v>66</v>
      </c>
      <c r="T718" s="14">
        <f>IFERROR(__xludf.DUMMYFUNCTION("""COMPUTED_VALUE"""),0.348)</f>
        <v>0.348</v>
      </c>
      <c r="U718" s="14">
        <f>IFERROR(__xludf.DUMMYFUNCTION("""COMPUTED_VALUE"""),0.598)</f>
        <v>0.598</v>
      </c>
      <c r="V718" s="14">
        <f>IFERROR(__xludf.DUMMYFUNCTION("""COMPUTED_VALUE"""),0.054)</f>
        <v>0.054</v>
      </c>
      <c r="W718" s="14">
        <f>IFERROR(__xludf.DUMMYFUNCTION("""COMPUTED_VALUE"""),6.7204189E7)</f>
        <v>67204189</v>
      </c>
      <c r="X718" s="14">
        <f>IFERROR(__xludf.DUMMYFUNCTION("""COMPUTED_VALUE"""),0.428)</f>
        <v>0.428</v>
      </c>
      <c r="Y718" s="14" t="str">
        <f>IFERROR(__xludf.DUMMYFUNCTION("""COMPUTED_VALUE"""),"Egypt-Africa")</f>
        <v>Egypt-Africa</v>
      </c>
      <c r="Z718" s="14" t="str">
        <f>IFERROR(__xludf.DUMMYFUNCTION("""COMPUTED_VALUE"""),"Africa")</f>
        <v>Africa</v>
      </c>
      <c r="AA718" s="14" t="str">
        <f>IFERROR(__xludf.DUMMYFUNCTION("""COMPUTED_VALUE"""),"2001")</f>
        <v>2001</v>
      </c>
      <c r="AB718" s="15" t="str">
        <f>IFERROR(__xludf.DUMMYFUNCTION("ARRAYFORMULA(VLOOKUP(A718,IMPORTRANGE(""https://docs.google.com/spreadsheets/d/1BuTWp7qHGjWhqrnf-OmePP568O4A5Am9ttzvVdP67zw/edit#gid=1931367683"" ,""ENERGY!$A$2:$F$2692""), {2,3,4,5,6},0))"),"Africa")</f>
        <v>Africa</v>
      </c>
      <c r="AC718" s="14" t="str">
        <f>IFERROR(__xludf.DUMMYFUNCTION("""COMPUTED_VALUE"""),"Egypt-Africa")</f>
        <v>Egypt-Africa</v>
      </c>
      <c r="AD718" s="14" t="str">
        <f>IFERROR(__xludf.DUMMYFUNCTION("""COMPUTED_VALUE"""),"2001")</f>
        <v>2001</v>
      </c>
      <c r="AE718" s="14">
        <f>IFERROR(__xludf.DUMMYFUNCTION("""COMPUTED_VALUE"""),77649.0)</f>
        <v>77649</v>
      </c>
      <c r="AF718" s="14"/>
    </row>
    <row r="719">
      <c r="A719" s="12">
        <v>718.0</v>
      </c>
      <c r="B719" s="12" t="s">
        <v>134</v>
      </c>
      <c r="C719" s="5" t="s">
        <v>77</v>
      </c>
      <c r="D719" s="8"/>
      <c r="E719" s="8"/>
      <c r="F719" s="8"/>
      <c r="G719" s="8"/>
      <c r="H719" s="11">
        <v>0.027</v>
      </c>
      <c r="I719" s="11">
        <v>0.066</v>
      </c>
      <c r="J719" s="9" t="s">
        <v>63</v>
      </c>
      <c r="K719" s="14" t="str">
        <f>IFERROR(__xludf.DUMMYFUNCTION("ARRAYFORMULA(VLOOKUP(A719,IMPORTRANGE(""https://docs.google.com/spreadsheets/d/1BuTWp7qHGjWhqrnf-OmePP568O4A5Am9ttzvVdP67zw/edit#gid=1603210130"", ""TOURISM!$A$2:$F$2692""), {2,3,4,5,6},0))"),"Africa")</f>
        <v>Africa</v>
      </c>
      <c r="L719" s="14">
        <f>IFERROR(__xludf.DUMMYFUNCTION("""COMPUTED_VALUE"""),4.133E9)</f>
        <v>4133000000</v>
      </c>
      <c r="M719" s="14" t="str">
        <f>IFERROR(__xludf.DUMMYFUNCTION("""COMPUTED_VALUE"""),"Egypt-Africa")</f>
        <v>Egypt-Africa</v>
      </c>
      <c r="N719" s="14" t="str">
        <f>IFERROR(__xludf.DUMMYFUNCTION("""COMPUTED_VALUE"""),"2002")</f>
        <v>2002</v>
      </c>
      <c r="O719" s="14">
        <f>IFERROR(__xludf.DUMMYFUNCTION("""COMPUTED_VALUE"""),1.309E9)</f>
        <v>1309000000</v>
      </c>
      <c r="P719" s="15">
        <f>IFERROR(__xludf.DUMMYFUNCTION("ARRAYFORMULA(VLOOKUP(A719,IMPORTRANGE(""https://docs.google.com/spreadsheets/d/1BuTWp7qHGjWhqrnf-OmePP568O4A5Am9ttzvVdP67zw/edit#gid=771602874"" ,""HUMAN RESOURCES!$A$2:$M$2692""), {2,3,4,5,6,7,8,9,10,11,12,13},0))"),0.024)</f>
        <v>0.024</v>
      </c>
      <c r="Q719" s="14">
        <f>IFERROR(__xludf.DUMMYFUNCTION("""COMPUTED_VALUE"""),0.031)</f>
        <v>0.031</v>
      </c>
      <c r="R719" s="14">
        <f>IFERROR(__xludf.DUMMYFUNCTION("""COMPUTED_VALUE"""),71.0)</f>
        <v>71</v>
      </c>
      <c r="S719" s="14">
        <f>IFERROR(__xludf.DUMMYFUNCTION("""COMPUTED_VALUE"""),67.0)</f>
        <v>67</v>
      </c>
      <c r="T719" s="14">
        <f>IFERROR(__xludf.DUMMYFUNCTION("""COMPUTED_VALUE"""),0.342)</f>
        <v>0.342</v>
      </c>
      <c r="U719" s="14">
        <f>IFERROR(__xludf.DUMMYFUNCTION("""COMPUTED_VALUE"""),0.604)</f>
        <v>0.604</v>
      </c>
      <c r="V719" s="14">
        <f>IFERROR(__xludf.DUMMYFUNCTION("""COMPUTED_VALUE"""),0.054)</f>
        <v>0.054</v>
      </c>
      <c r="W719" s="14">
        <f>IFERROR(__xludf.DUMMYFUNCTION("""COMPUTED_VALUE"""),6.8302914E7)</f>
        <v>68302914</v>
      </c>
      <c r="X719" s="14">
        <f>IFERROR(__xludf.DUMMYFUNCTION("""COMPUTED_VALUE"""),0.429)</f>
        <v>0.429</v>
      </c>
      <c r="Y719" s="14" t="str">
        <f>IFERROR(__xludf.DUMMYFUNCTION("""COMPUTED_VALUE"""),"Egypt-Africa")</f>
        <v>Egypt-Africa</v>
      </c>
      <c r="Z719" s="14" t="str">
        <f>IFERROR(__xludf.DUMMYFUNCTION("""COMPUTED_VALUE"""),"Africa")</f>
        <v>Africa</v>
      </c>
      <c r="AA719" s="14" t="str">
        <f>IFERROR(__xludf.DUMMYFUNCTION("""COMPUTED_VALUE"""),"2002")</f>
        <v>2002</v>
      </c>
      <c r="AB719" s="15" t="str">
        <f>IFERROR(__xludf.DUMMYFUNCTION("ARRAYFORMULA(VLOOKUP(A719,IMPORTRANGE(""https://docs.google.com/spreadsheets/d/1BuTWp7qHGjWhqrnf-OmePP568O4A5Am9ttzvVdP67zw/edit#gid=1931367683"" ,""ENERGY!$A$2:$F$2692""), {2,3,4,5,6},0))"),"Africa")</f>
        <v>Africa</v>
      </c>
      <c r="AC719" s="14" t="str">
        <f>IFERROR(__xludf.DUMMYFUNCTION("""COMPUTED_VALUE"""),"Egypt-Africa")</f>
        <v>Egypt-Africa</v>
      </c>
      <c r="AD719" s="14" t="str">
        <f>IFERROR(__xludf.DUMMYFUNCTION("""COMPUTED_VALUE"""),"2002")</f>
        <v>2002</v>
      </c>
      <c r="AE719" s="14">
        <f>IFERROR(__xludf.DUMMYFUNCTION("""COMPUTED_VALUE"""),73575.0)</f>
        <v>73575</v>
      </c>
      <c r="AF719" s="14">
        <f>IFERROR(__xludf.DUMMYFUNCTION("""COMPUTED_VALUE"""),204776.0)</f>
        <v>204776</v>
      </c>
    </row>
    <row r="720">
      <c r="A720" s="12">
        <v>719.0</v>
      </c>
      <c r="B720" s="12" t="s">
        <v>134</v>
      </c>
      <c r="C720" s="5" t="s">
        <v>77</v>
      </c>
      <c r="D720" s="8"/>
      <c r="E720" s="11">
        <v>37.0</v>
      </c>
      <c r="F720" s="8"/>
      <c r="G720" s="8"/>
      <c r="H720" s="11">
        <v>0.04</v>
      </c>
      <c r="I720" s="11">
        <v>0.083</v>
      </c>
      <c r="J720" s="9" t="s">
        <v>64</v>
      </c>
      <c r="K720" s="14" t="str">
        <f>IFERROR(__xludf.DUMMYFUNCTION("ARRAYFORMULA(VLOOKUP(A720,IMPORTRANGE(""https://docs.google.com/spreadsheets/d/1BuTWp7qHGjWhqrnf-OmePP568O4A5Am9ttzvVdP67zw/edit#gid=1603210130"", ""TOURISM!$A$2:$F$2692""), {2,3,4,5,6},0))"),"Africa")</f>
        <v>Africa</v>
      </c>
      <c r="L720" s="14">
        <f>IFERROR(__xludf.DUMMYFUNCTION("""COMPUTED_VALUE"""),4.704E9)</f>
        <v>4704000000</v>
      </c>
      <c r="M720" s="14" t="str">
        <f>IFERROR(__xludf.DUMMYFUNCTION("""COMPUTED_VALUE"""),"Egypt-Africa")</f>
        <v>Egypt-Africa</v>
      </c>
      <c r="N720" s="14" t="str">
        <f>IFERROR(__xludf.DUMMYFUNCTION("""COMPUTED_VALUE"""),"2003")</f>
        <v>2003</v>
      </c>
      <c r="O720" s="14">
        <f>IFERROR(__xludf.DUMMYFUNCTION("""COMPUTED_VALUE"""),1.465E9)</f>
        <v>1465000000</v>
      </c>
      <c r="P720" s="15">
        <f>IFERROR(__xludf.DUMMYFUNCTION("ARRAYFORMULA(VLOOKUP(A720,IMPORTRANGE(""https://docs.google.com/spreadsheets/d/1BuTWp7qHGjWhqrnf-OmePP568O4A5Am9ttzvVdP67zw/edit#gid=771602874"" ,""HUMAN RESOURCES!$A$2:$M$2692""), {2,3,4,5,6,7,8,9,10,11,12,13},0))"),0.024)</f>
        <v>0.024</v>
      </c>
      <c r="Q720" s="14">
        <f>IFERROR(__xludf.DUMMYFUNCTION("""COMPUTED_VALUE"""),0.029)</f>
        <v>0.029</v>
      </c>
      <c r="R720" s="14">
        <f>IFERROR(__xludf.DUMMYFUNCTION("""COMPUTED_VALUE"""),72.0)</f>
        <v>72</v>
      </c>
      <c r="S720" s="14">
        <f>IFERROR(__xludf.DUMMYFUNCTION("""COMPUTED_VALUE"""),67.0)</f>
        <v>67</v>
      </c>
      <c r="T720" s="14">
        <f>IFERROR(__xludf.DUMMYFUNCTION("""COMPUTED_VALUE"""),0.335)</f>
        <v>0.335</v>
      </c>
      <c r="U720" s="14">
        <f>IFERROR(__xludf.DUMMYFUNCTION("""COMPUTED_VALUE"""),0.61)</f>
        <v>0.61</v>
      </c>
      <c r="V720" s="14">
        <f>IFERROR(__xludf.DUMMYFUNCTION("""COMPUTED_VALUE"""),0.054)</f>
        <v>0.054</v>
      </c>
      <c r="W720" s="14">
        <f>IFERROR(__xludf.DUMMYFUNCTION("""COMPUTED_VALUE"""),6.9432477E7)</f>
        <v>69432477</v>
      </c>
      <c r="X720" s="14">
        <f>IFERROR(__xludf.DUMMYFUNCTION("""COMPUTED_VALUE"""),0.429)</f>
        <v>0.429</v>
      </c>
      <c r="Y720" s="14" t="str">
        <f>IFERROR(__xludf.DUMMYFUNCTION("""COMPUTED_VALUE"""),"Egypt-Africa")</f>
        <v>Egypt-Africa</v>
      </c>
      <c r="Z720" s="14" t="str">
        <f>IFERROR(__xludf.DUMMYFUNCTION("""COMPUTED_VALUE"""),"Africa")</f>
        <v>Africa</v>
      </c>
      <c r="AA720" s="14" t="str">
        <f>IFERROR(__xludf.DUMMYFUNCTION("""COMPUTED_VALUE"""),"2003")</f>
        <v>2003</v>
      </c>
      <c r="AB720" s="15" t="str">
        <f>IFERROR(__xludf.DUMMYFUNCTION("ARRAYFORMULA(VLOOKUP(A720,IMPORTRANGE(""https://docs.google.com/spreadsheets/d/1BuTWp7qHGjWhqrnf-OmePP568O4A5Am9ttzvVdP67zw/edit#gid=1931367683"" ,""ENERGY!$A$2:$F$2692""), {2,3,4,5,6},0))"),"Africa")</f>
        <v>Africa</v>
      </c>
      <c r="AC720" s="14" t="str">
        <f>IFERROR(__xludf.DUMMYFUNCTION("""COMPUTED_VALUE"""),"Egypt-Africa")</f>
        <v>Egypt-Africa</v>
      </c>
      <c r="AD720" s="14" t="str">
        <f>IFERROR(__xludf.DUMMYFUNCTION("""COMPUTED_VALUE"""),"2003")</f>
        <v>2003</v>
      </c>
      <c r="AE720" s="14">
        <f>IFERROR(__xludf.DUMMYFUNCTION("""COMPUTED_VALUE"""),71465.0)</f>
        <v>71465</v>
      </c>
      <c r="AF720" s="14">
        <f>IFERROR(__xludf.DUMMYFUNCTION("""COMPUTED_VALUE"""),197871.0)</f>
        <v>197871</v>
      </c>
    </row>
    <row r="721">
      <c r="A721" s="12">
        <v>720.0</v>
      </c>
      <c r="B721" s="12" t="s">
        <v>134</v>
      </c>
      <c r="C721" s="5" t="s">
        <v>77</v>
      </c>
      <c r="D721" s="8"/>
      <c r="E721" s="11">
        <v>37.0</v>
      </c>
      <c r="F721" s="8"/>
      <c r="G721" s="8"/>
      <c r="H721" s="11">
        <v>0.119</v>
      </c>
      <c r="I721" s="11">
        <v>0.108</v>
      </c>
      <c r="J721" s="9" t="s">
        <v>65</v>
      </c>
      <c r="K721" s="14" t="str">
        <f>IFERROR(__xludf.DUMMYFUNCTION("ARRAYFORMULA(VLOOKUP(A721,IMPORTRANGE(""https://docs.google.com/spreadsheets/d/1BuTWp7qHGjWhqrnf-OmePP568O4A5Am9ttzvVdP67zw/edit#gid=1603210130"", ""TOURISM!$A$2:$F$2692""), {2,3,4,5,6},0))"),"Africa")</f>
        <v>Africa</v>
      </c>
      <c r="L721" s="14">
        <f>IFERROR(__xludf.DUMMYFUNCTION("""COMPUTED_VALUE"""),6.328E9)</f>
        <v>6328000000</v>
      </c>
      <c r="M721" s="14" t="str">
        <f>IFERROR(__xludf.DUMMYFUNCTION("""COMPUTED_VALUE"""),"Egypt-Africa")</f>
        <v>Egypt-Africa</v>
      </c>
      <c r="N721" s="14" t="str">
        <f>IFERROR(__xludf.DUMMYFUNCTION("""COMPUTED_VALUE"""),"2004")</f>
        <v>2004</v>
      </c>
      <c r="O721" s="14">
        <f>IFERROR(__xludf.DUMMYFUNCTION("""COMPUTED_VALUE"""),1.543E9)</f>
        <v>1543000000</v>
      </c>
      <c r="P721" s="15">
        <f>IFERROR(__xludf.DUMMYFUNCTION("ARRAYFORMULA(VLOOKUP(A721,IMPORTRANGE(""https://docs.google.com/spreadsheets/d/1BuTWp7qHGjWhqrnf-OmePP568O4A5Am9ttzvVdP67zw/edit#gid=771602874"" ,""HUMAN RESOURCES!$A$2:$M$2692""), {2,3,4,5,6,7,8,9,10,11,12,13},0))"),0.024)</f>
        <v>0.024</v>
      </c>
      <c r="Q721" s="14">
        <f>IFERROR(__xludf.DUMMYFUNCTION("""COMPUTED_VALUE"""),0.027)</f>
        <v>0.027</v>
      </c>
      <c r="R721" s="14">
        <f>IFERROR(__xludf.DUMMYFUNCTION("""COMPUTED_VALUE"""),72.0)</f>
        <v>72</v>
      </c>
      <c r="S721" s="14">
        <f>IFERROR(__xludf.DUMMYFUNCTION("""COMPUTED_VALUE"""),67.0)</f>
        <v>67</v>
      </c>
      <c r="T721" s="14">
        <f>IFERROR(__xludf.DUMMYFUNCTION("""COMPUTED_VALUE"""),0.33)</f>
        <v>0.33</v>
      </c>
      <c r="U721" s="14">
        <f>IFERROR(__xludf.DUMMYFUNCTION("""COMPUTED_VALUE"""),0.616)</f>
        <v>0.616</v>
      </c>
      <c r="V721" s="14">
        <f>IFERROR(__xludf.DUMMYFUNCTION("""COMPUTED_VALUE"""),0.054)</f>
        <v>0.054</v>
      </c>
      <c r="W721" s="14">
        <f>IFERROR(__xludf.DUMMYFUNCTION("""COMPUTED_VALUE"""),7.0591288E7)</f>
        <v>70591288</v>
      </c>
      <c r="X721" s="14">
        <f>IFERROR(__xludf.DUMMYFUNCTION("""COMPUTED_VALUE"""),0.43)</f>
        <v>0.43</v>
      </c>
      <c r="Y721" s="14" t="str">
        <f>IFERROR(__xludf.DUMMYFUNCTION("""COMPUTED_VALUE"""),"Egypt-Africa")</f>
        <v>Egypt-Africa</v>
      </c>
      <c r="Z721" s="14" t="str">
        <f>IFERROR(__xludf.DUMMYFUNCTION("""COMPUTED_VALUE"""),"Africa")</f>
        <v>Africa</v>
      </c>
      <c r="AA721" s="14" t="str">
        <f>IFERROR(__xludf.DUMMYFUNCTION("""COMPUTED_VALUE"""),"2004")</f>
        <v>2004</v>
      </c>
      <c r="AB721" s="15" t="str">
        <f>IFERROR(__xludf.DUMMYFUNCTION("ARRAYFORMULA(VLOOKUP(A721,IMPORTRANGE(""https://docs.google.com/spreadsheets/d/1BuTWp7qHGjWhqrnf-OmePP568O4A5Am9ttzvVdP67zw/edit#gid=1931367683"" ,""ENERGY!$A$2:$F$2692""), {2,3,4,5,6},0))"),"Africa")</f>
        <v>Africa</v>
      </c>
      <c r="AC721" s="14" t="str">
        <f>IFERROR(__xludf.DUMMYFUNCTION("""COMPUTED_VALUE"""),"Egypt-Africa")</f>
        <v>Egypt-Africa</v>
      </c>
      <c r="AD721" s="14" t="str">
        <f>IFERROR(__xludf.DUMMYFUNCTION("""COMPUTED_VALUE"""),"2004")</f>
        <v>2004</v>
      </c>
      <c r="AE721" s="14">
        <f>IFERROR(__xludf.DUMMYFUNCTION("""COMPUTED_VALUE"""),72050.0)</f>
        <v>72050</v>
      </c>
      <c r="AF721" s="14">
        <f>IFERROR(__xludf.DUMMYFUNCTION("""COMPUTED_VALUE"""),196797.0)</f>
        <v>196797</v>
      </c>
    </row>
    <row r="722">
      <c r="A722" s="12">
        <v>721.0</v>
      </c>
      <c r="B722" s="12" t="s">
        <v>134</v>
      </c>
      <c r="C722" s="5" t="s">
        <v>77</v>
      </c>
      <c r="D722" s="11">
        <v>0.543</v>
      </c>
      <c r="E722" s="11">
        <v>22.0</v>
      </c>
      <c r="F722" s="8"/>
      <c r="G722" s="11">
        <v>504.0</v>
      </c>
      <c r="H722" s="11">
        <v>0.128</v>
      </c>
      <c r="I722" s="11">
        <v>0.19</v>
      </c>
      <c r="J722" s="9" t="s">
        <v>66</v>
      </c>
      <c r="K722" s="14" t="str">
        <f>IFERROR(__xludf.DUMMYFUNCTION("ARRAYFORMULA(VLOOKUP(A722,IMPORTRANGE(""https://docs.google.com/spreadsheets/d/1BuTWp7qHGjWhqrnf-OmePP568O4A5Am9ttzvVdP67zw/edit#gid=1603210130"", ""TOURISM!$A$2:$F$2692""), {2,3,4,5,6},0))"),"Africa")</f>
        <v>Africa</v>
      </c>
      <c r="L722" s="14">
        <f>IFERROR(__xludf.DUMMYFUNCTION("""COMPUTED_VALUE"""),7.206E9)</f>
        <v>7206000000</v>
      </c>
      <c r="M722" s="14" t="str">
        <f>IFERROR(__xludf.DUMMYFUNCTION("""COMPUTED_VALUE"""),"Egypt-Africa")</f>
        <v>Egypt-Africa</v>
      </c>
      <c r="N722" s="14" t="str">
        <f>IFERROR(__xludf.DUMMYFUNCTION("""COMPUTED_VALUE"""),"2005")</f>
        <v>2005</v>
      </c>
      <c r="O722" s="14">
        <f>IFERROR(__xludf.DUMMYFUNCTION("""COMPUTED_VALUE"""),1.932E9)</f>
        <v>1932000000</v>
      </c>
      <c r="P722" s="15">
        <f>IFERROR(__xludf.DUMMYFUNCTION("ARRAYFORMULA(VLOOKUP(A722,IMPORTRANGE(""https://docs.google.com/spreadsheets/d/1BuTWp7qHGjWhqrnf-OmePP568O4A5Am9ttzvVdP67zw/edit#gid=771602874"" ,""HUMAN RESOURCES!$A$2:$M$2692""), {2,3,4,5,6,7,8,9,10,11,12,13},0))"),0.024)</f>
        <v>0.024</v>
      </c>
      <c r="Q722" s="14">
        <f>IFERROR(__xludf.DUMMYFUNCTION("""COMPUTED_VALUE"""),0.026)</f>
        <v>0.026</v>
      </c>
      <c r="R722" s="14">
        <f>IFERROR(__xludf.DUMMYFUNCTION("""COMPUTED_VALUE"""),72.0)</f>
        <v>72</v>
      </c>
      <c r="S722" s="14">
        <f>IFERROR(__xludf.DUMMYFUNCTION("""COMPUTED_VALUE"""),67.0)</f>
        <v>67</v>
      </c>
      <c r="T722" s="14">
        <f>IFERROR(__xludf.DUMMYFUNCTION("""COMPUTED_VALUE"""),0.325)</f>
        <v>0.325</v>
      </c>
      <c r="U722" s="14">
        <f>IFERROR(__xludf.DUMMYFUNCTION("""COMPUTED_VALUE"""),0.62)</f>
        <v>0.62</v>
      </c>
      <c r="V722" s="14">
        <f>IFERROR(__xludf.DUMMYFUNCTION("""COMPUTED_VALUE"""),0.055)</f>
        <v>0.055</v>
      </c>
      <c r="W722" s="14">
        <f>IFERROR(__xludf.DUMMYFUNCTION("""COMPUTED_VALUE"""),7.1777678E7)</f>
        <v>71777678</v>
      </c>
      <c r="X722" s="14">
        <f>IFERROR(__xludf.DUMMYFUNCTION("""COMPUTED_VALUE"""),0.43)</f>
        <v>0.43</v>
      </c>
      <c r="Y722" s="14" t="str">
        <f>IFERROR(__xludf.DUMMYFUNCTION("""COMPUTED_VALUE"""),"Egypt-Africa")</f>
        <v>Egypt-Africa</v>
      </c>
      <c r="Z722" s="14" t="str">
        <f>IFERROR(__xludf.DUMMYFUNCTION("""COMPUTED_VALUE"""),"Africa")</f>
        <v>Africa</v>
      </c>
      <c r="AA722" s="14" t="str">
        <f>IFERROR(__xludf.DUMMYFUNCTION("""COMPUTED_VALUE"""),"2005")</f>
        <v>2005</v>
      </c>
      <c r="AB722" s="15" t="str">
        <f>IFERROR(__xludf.DUMMYFUNCTION("ARRAYFORMULA(VLOOKUP(A722,IMPORTRANGE(""https://docs.google.com/spreadsheets/d/1BuTWp7qHGjWhqrnf-OmePP568O4A5Am9ttzvVdP67zw/edit#gid=1931367683"" ,""ENERGY!$A$2:$F$2692""), {2,3,4,5,6},0))"),"Africa")</f>
        <v>Africa</v>
      </c>
      <c r="AC722" s="14" t="str">
        <f>IFERROR(__xludf.DUMMYFUNCTION("""COMPUTED_VALUE"""),"Egypt-Africa")</f>
        <v>Egypt-Africa</v>
      </c>
      <c r="AD722" s="14" t="str">
        <f>IFERROR(__xludf.DUMMYFUNCTION("""COMPUTED_VALUE"""),"2006")</f>
        <v>2006</v>
      </c>
      <c r="AE722" s="14">
        <f>IFERROR(__xludf.DUMMYFUNCTION("""COMPUTED_VALUE"""),71189.0)</f>
        <v>71189</v>
      </c>
      <c r="AF722" s="14">
        <f>IFERROR(__xludf.DUMMYFUNCTION("""COMPUTED_VALUE"""),192382.0)</f>
        <v>192382</v>
      </c>
    </row>
    <row r="723">
      <c r="A723" s="12">
        <v>722.0</v>
      </c>
      <c r="B723" s="12" t="s">
        <v>134</v>
      </c>
      <c r="C723" s="5" t="s">
        <v>77</v>
      </c>
      <c r="D723" s="11">
        <v>0.464</v>
      </c>
      <c r="E723" s="11">
        <v>19.0</v>
      </c>
      <c r="F723" s="8"/>
      <c r="G723" s="11">
        <v>596.0</v>
      </c>
      <c r="H723" s="11">
        <v>0.137</v>
      </c>
      <c r="I723" s="11">
        <v>0.247</v>
      </c>
      <c r="J723" s="9" t="s">
        <v>67</v>
      </c>
      <c r="K723" s="14" t="str">
        <f>IFERROR(__xludf.DUMMYFUNCTION("ARRAYFORMULA(VLOOKUP(A723,IMPORTRANGE(""https://docs.google.com/spreadsheets/d/1BuTWp7qHGjWhqrnf-OmePP568O4A5Am9ttzvVdP67zw/edit#gid=1603210130"", ""TOURISM!$A$2:$F$2692""), {2,3,4,5,6},0))"),"Africa")</f>
        <v>Africa</v>
      </c>
      <c r="L723" s="14">
        <f>IFERROR(__xludf.DUMMYFUNCTION("""COMPUTED_VALUE"""),8.133E9)</f>
        <v>8133000000</v>
      </c>
      <c r="M723" s="14" t="str">
        <f>IFERROR(__xludf.DUMMYFUNCTION("""COMPUTED_VALUE"""),"Egypt-Africa")</f>
        <v>Egypt-Africa</v>
      </c>
      <c r="N723" s="14" t="str">
        <f>IFERROR(__xludf.DUMMYFUNCTION("""COMPUTED_VALUE"""),"2006")</f>
        <v>2006</v>
      </c>
      <c r="O723" s="14">
        <f>IFERROR(__xludf.DUMMYFUNCTION("""COMPUTED_VALUE"""),2.156E9)</f>
        <v>2156000000</v>
      </c>
      <c r="P723" s="15">
        <f>IFERROR(__xludf.DUMMYFUNCTION("ARRAYFORMULA(VLOOKUP(A723,IMPORTRANGE(""https://docs.google.com/spreadsheets/d/1BuTWp7qHGjWhqrnf-OmePP568O4A5Am9ttzvVdP67zw/edit#gid=771602874"" ,""HUMAN RESOURCES!$A$2:$M$2692""), {2,3,4,5,6,7,8,9,10,11,12,13},0))"),0.024)</f>
        <v>0.024</v>
      </c>
      <c r="Q723" s="14">
        <f>IFERROR(__xludf.DUMMYFUNCTION("""COMPUTED_VALUE"""),0.024)</f>
        <v>0.024</v>
      </c>
      <c r="R723" s="14">
        <f>IFERROR(__xludf.DUMMYFUNCTION("""COMPUTED_VALUE"""),72.0)</f>
        <v>72</v>
      </c>
      <c r="S723" s="14">
        <f>IFERROR(__xludf.DUMMYFUNCTION("""COMPUTED_VALUE"""),67.0)</f>
        <v>67</v>
      </c>
      <c r="T723" s="14">
        <f>IFERROR(__xludf.DUMMYFUNCTION("""COMPUTED_VALUE"""),0.322)</f>
        <v>0.322</v>
      </c>
      <c r="U723" s="14">
        <f>IFERROR(__xludf.DUMMYFUNCTION("""COMPUTED_VALUE"""),0.624)</f>
        <v>0.624</v>
      </c>
      <c r="V723" s="14">
        <f>IFERROR(__xludf.DUMMYFUNCTION("""COMPUTED_VALUE"""),0.055)</f>
        <v>0.055</v>
      </c>
      <c r="W723" s="14">
        <f>IFERROR(__xludf.DUMMYFUNCTION("""COMPUTED_VALUE"""),7.2990754E7)</f>
        <v>72990754</v>
      </c>
      <c r="X723" s="14">
        <f>IFERROR(__xludf.DUMMYFUNCTION("""COMPUTED_VALUE"""),0.431)</f>
        <v>0.431</v>
      </c>
      <c r="Y723" s="14" t="str">
        <f>IFERROR(__xludf.DUMMYFUNCTION("""COMPUTED_VALUE"""),"Egypt-Africa")</f>
        <v>Egypt-Africa</v>
      </c>
      <c r="Z723" s="14" t="str">
        <f>IFERROR(__xludf.DUMMYFUNCTION("""COMPUTED_VALUE"""),"Africa")</f>
        <v>Africa</v>
      </c>
      <c r="AA723" s="14" t="str">
        <f>IFERROR(__xludf.DUMMYFUNCTION("""COMPUTED_VALUE"""),"2006")</f>
        <v>2006</v>
      </c>
      <c r="AB723" s="15" t="str">
        <f>IFERROR(__xludf.DUMMYFUNCTION("ARRAYFORMULA(VLOOKUP(A723,IMPORTRANGE(""https://docs.google.com/spreadsheets/d/1BuTWp7qHGjWhqrnf-OmePP568O4A5Am9ttzvVdP67zw/edit#gid=1931367683"" ,""ENERGY!$A$2:$F$2692""), {2,3,4,5,6},0))"),"Africa")</f>
        <v>Africa</v>
      </c>
      <c r="AC723" s="14" t="str">
        <f>IFERROR(__xludf.DUMMYFUNCTION("""COMPUTED_VALUE"""),"Egypt-Africa")</f>
        <v>Egypt-Africa</v>
      </c>
      <c r="AD723" s="14" t="str">
        <f>IFERROR(__xludf.DUMMYFUNCTION("""COMPUTED_VALUE"""),"2010")</f>
        <v>2010</v>
      </c>
      <c r="AE723" s="14">
        <f>IFERROR(__xludf.DUMMYFUNCTION("""COMPUTED_VALUE"""),66269.0)</f>
        <v>66269</v>
      </c>
      <c r="AF723" s="14">
        <f>IFERROR(__xludf.DUMMYFUNCTION("""COMPUTED_VALUE"""),178616.0)</f>
        <v>178616</v>
      </c>
    </row>
    <row r="724">
      <c r="A724" s="12">
        <v>723.0</v>
      </c>
      <c r="B724" s="12" t="s">
        <v>134</v>
      </c>
      <c r="C724" s="5" t="s">
        <v>77</v>
      </c>
      <c r="D724" s="11">
        <v>0.451</v>
      </c>
      <c r="E724" s="11">
        <v>10.0</v>
      </c>
      <c r="F724" s="8"/>
      <c r="G724" s="11">
        <v>711.0</v>
      </c>
      <c r="H724" s="11">
        <v>0.16</v>
      </c>
      <c r="I724" s="11">
        <v>0.405</v>
      </c>
      <c r="J724" s="9" t="s">
        <v>68</v>
      </c>
      <c r="K724" s="14" t="str">
        <f>IFERROR(__xludf.DUMMYFUNCTION("ARRAYFORMULA(VLOOKUP(A724,IMPORTRANGE(""https://docs.google.com/spreadsheets/d/1BuTWp7qHGjWhqrnf-OmePP568O4A5Am9ttzvVdP67zw/edit#gid=1603210130"", ""TOURISM!$A$2:$F$2692""), {2,3,4,5,6},0))"),"Africa")</f>
        <v>Africa</v>
      </c>
      <c r="L724" s="14">
        <f>IFERROR(__xludf.DUMMYFUNCTION("""COMPUTED_VALUE"""),1.0327E10)</f>
        <v>10327000000</v>
      </c>
      <c r="M724" s="14" t="str">
        <f>IFERROR(__xludf.DUMMYFUNCTION("""COMPUTED_VALUE"""),"Egypt-Africa")</f>
        <v>Egypt-Africa</v>
      </c>
      <c r="N724" s="14" t="str">
        <f>IFERROR(__xludf.DUMMYFUNCTION("""COMPUTED_VALUE"""),"2007")</f>
        <v>2007</v>
      </c>
      <c r="O724" s="14">
        <f>IFERROR(__xludf.DUMMYFUNCTION("""COMPUTED_VALUE"""),2.886E9)</f>
        <v>2886000000</v>
      </c>
      <c r="P724" s="15">
        <f>IFERROR(__xludf.DUMMYFUNCTION("ARRAYFORMULA(VLOOKUP(A724,IMPORTRANGE(""https://docs.google.com/spreadsheets/d/1BuTWp7qHGjWhqrnf-OmePP568O4A5Am9ttzvVdP67zw/edit#gid=771602874"" ,""HUMAN RESOURCES!$A$2:$M$2692""), {2,3,4,5,6,7,8,9,10,11,12,13},0))"),0.024)</f>
        <v>0.024</v>
      </c>
      <c r="Q724" s="14">
        <f>IFERROR(__xludf.DUMMYFUNCTION("""COMPUTED_VALUE"""),0.023)</f>
        <v>0.023</v>
      </c>
      <c r="R724" s="14">
        <f>IFERROR(__xludf.DUMMYFUNCTION("""COMPUTED_VALUE"""),72.0)</f>
        <v>72</v>
      </c>
      <c r="S724" s="14">
        <f>IFERROR(__xludf.DUMMYFUNCTION("""COMPUTED_VALUE"""),68.0)</f>
        <v>68</v>
      </c>
      <c r="T724" s="14">
        <f>IFERROR(__xludf.DUMMYFUNCTION("""COMPUTED_VALUE"""),0.319)</f>
        <v>0.319</v>
      </c>
      <c r="U724" s="14">
        <f>IFERROR(__xludf.DUMMYFUNCTION("""COMPUTED_VALUE"""),0.626)</f>
        <v>0.626</v>
      </c>
      <c r="V724" s="14">
        <f>IFERROR(__xludf.DUMMYFUNCTION("""COMPUTED_VALUE"""),0.054)</f>
        <v>0.054</v>
      </c>
      <c r="W724" s="14">
        <f>IFERROR(__xludf.DUMMYFUNCTION("""COMPUTED_VALUE"""),7.4229577E7)</f>
        <v>74229577</v>
      </c>
      <c r="X724" s="14">
        <f>IFERROR(__xludf.DUMMYFUNCTION("""COMPUTED_VALUE"""),0.431)</f>
        <v>0.431</v>
      </c>
      <c r="Y724" s="14" t="str">
        <f>IFERROR(__xludf.DUMMYFUNCTION("""COMPUTED_VALUE"""),"Egypt-Africa")</f>
        <v>Egypt-Africa</v>
      </c>
      <c r="Z724" s="14" t="str">
        <f>IFERROR(__xludf.DUMMYFUNCTION("""COMPUTED_VALUE"""),"Africa")</f>
        <v>Africa</v>
      </c>
      <c r="AA724" s="14" t="str">
        <f>IFERROR(__xludf.DUMMYFUNCTION("""COMPUTED_VALUE"""),"2007")</f>
        <v>2007</v>
      </c>
      <c r="AB724" s="15" t="str">
        <f>IFERROR(__xludf.DUMMYFUNCTION("ARRAYFORMULA(VLOOKUP(A724,IMPORTRANGE(""https://docs.google.com/spreadsheets/d/1BuTWp7qHGjWhqrnf-OmePP568O4A5Am9ttzvVdP67zw/edit#gid=1931367683"" ,""ENERGY!$A$2:$F$2692""), {2,3,4,5,6},0))"),"Africa")</f>
        <v>Africa</v>
      </c>
      <c r="AC724" s="14" t="str">
        <f>IFERROR(__xludf.DUMMYFUNCTION("""COMPUTED_VALUE"""),"Egypt-Africa")</f>
        <v>Egypt-Africa</v>
      </c>
      <c r="AD724" s="14" t="str">
        <f>IFERROR(__xludf.DUMMYFUNCTION("""COMPUTED_VALUE"""),"2007")</f>
        <v>2007</v>
      </c>
      <c r="AE724" s="14">
        <f>IFERROR(__xludf.DUMMYFUNCTION("""COMPUTED_VALUE"""),62741.0)</f>
        <v>62741</v>
      </c>
      <c r="AF724" s="14">
        <f>IFERROR(__xludf.DUMMYFUNCTION("""COMPUTED_VALUE"""),167208.0)</f>
        <v>167208</v>
      </c>
    </row>
    <row r="725">
      <c r="A725" s="12">
        <v>724.0</v>
      </c>
      <c r="B725" s="12" t="s">
        <v>134</v>
      </c>
      <c r="C725" s="5" t="s">
        <v>77</v>
      </c>
      <c r="D725" s="11">
        <v>0.44</v>
      </c>
      <c r="E725" s="11">
        <v>8.0</v>
      </c>
      <c r="F725" s="8"/>
      <c r="G725" s="11">
        <v>711.0</v>
      </c>
      <c r="H725" s="11">
        <v>0.18</v>
      </c>
      <c r="I725" s="11">
        <v>0.547</v>
      </c>
      <c r="J725" s="9" t="s">
        <v>69</v>
      </c>
      <c r="K725" s="14" t="str">
        <f>IFERROR(__xludf.DUMMYFUNCTION("ARRAYFORMULA(VLOOKUP(A725,IMPORTRANGE(""https://docs.google.com/spreadsheets/d/1BuTWp7qHGjWhqrnf-OmePP568O4A5Am9ttzvVdP67zw/edit#gid=1603210130"", ""TOURISM!$A$2:$F$2692""), {2,3,4,5,6},0))"),"Africa")</f>
        <v>Africa</v>
      </c>
      <c r="L725" s="14">
        <f>IFERROR(__xludf.DUMMYFUNCTION("""COMPUTED_VALUE"""),1.2104E10)</f>
        <v>12104000000</v>
      </c>
      <c r="M725" s="14" t="str">
        <f>IFERROR(__xludf.DUMMYFUNCTION("""COMPUTED_VALUE"""),"Egypt-Africa")</f>
        <v>Egypt-Africa</v>
      </c>
      <c r="N725" s="14" t="str">
        <f>IFERROR(__xludf.DUMMYFUNCTION("""COMPUTED_VALUE"""),"2008")</f>
        <v>2008</v>
      </c>
      <c r="O725" s="14">
        <f>IFERROR(__xludf.DUMMYFUNCTION("""COMPUTED_VALUE"""),3.39E9)</f>
        <v>3390000000</v>
      </c>
      <c r="P725" s="15">
        <f>IFERROR(__xludf.DUMMYFUNCTION("ARRAYFORMULA(VLOOKUP(A725,IMPORTRANGE(""https://docs.google.com/spreadsheets/d/1BuTWp7qHGjWhqrnf-OmePP568O4A5Am9ttzvVdP67zw/edit#gid=771602874"" ,""HUMAN RESOURCES!$A$2:$M$2692""), {2,3,4,5,6,7,8,9,10,11,12,13},0))"),0.024)</f>
        <v>0.024</v>
      </c>
      <c r="Q725" s="14">
        <f>IFERROR(__xludf.DUMMYFUNCTION("""COMPUTED_VALUE"""),0.021)</f>
        <v>0.021</v>
      </c>
      <c r="R725" s="14">
        <f>IFERROR(__xludf.DUMMYFUNCTION("""COMPUTED_VALUE"""),72.0)</f>
        <v>72</v>
      </c>
      <c r="S725" s="14">
        <f>IFERROR(__xludf.DUMMYFUNCTION("""COMPUTED_VALUE"""),68.0)</f>
        <v>68</v>
      </c>
      <c r="T725" s="14">
        <f>IFERROR(__xludf.DUMMYFUNCTION("""COMPUTED_VALUE"""),0.318)</f>
        <v>0.318</v>
      </c>
      <c r="U725" s="14">
        <f>IFERROR(__xludf.DUMMYFUNCTION("""COMPUTED_VALUE"""),0.628)</f>
        <v>0.628</v>
      </c>
      <c r="V725" s="14">
        <f>IFERROR(__xludf.DUMMYFUNCTION("""COMPUTED_VALUE"""),0.054)</f>
        <v>0.054</v>
      </c>
      <c r="W725" s="14">
        <f>IFERROR(__xludf.DUMMYFUNCTION("""COMPUTED_VALUE"""),7.5491922E7)</f>
        <v>75491922</v>
      </c>
      <c r="X725" s="14">
        <f>IFERROR(__xludf.DUMMYFUNCTION("""COMPUTED_VALUE"""),0.431)</f>
        <v>0.431</v>
      </c>
      <c r="Y725" s="14" t="str">
        <f>IFERROR(__xludf.DUMMYFUNCTION("""COMPUTED_VALUE"""),"Egypt-Africa")</f>
        <v>Egypt-Africa</v>
      </c>
      <c r="Z725" s="14" t="str">
        <f>IFERROR(__xludf.DUMMYFUNCTION("""COMPUTED_VALUE"""),"Africa")</f>
        <v>Africa</v>
      </c>
      <c r="AA725" s="14" t="str">
        <f>IFERROR(__xludf.DUMMYFUNCTION("""COMPUTED_VALUE"""),"2008")</f>
        <v>2008</v>
      </c>
      <c r="AB725" s="15" t="str">
        <f>IFERROR(__xludf.DUMMYFUNCTION("ARRAYFORMULA(VLOOKUP(A725,IMPORTRANGE(""https://docs.google.com/spreadsheets/d/1BuTWp7qHGjWhqrnf-OmePP568O4A5Am9ttzvVdP67zw/edit#gid=1931367683"" ,""ENERGY!$A$2:$F$2692""), {2,3,4,5,6},0))"),"Africa")</f>
        <v>Africa</v>
      </c>
      <c r="AC725" s="14" t="str">
        <f>IFERROR(__xludf.DUMMYFUNCTION("""COMPUTED_VALUE"""),"Egypt-Africa")</f>
        <v>Egypt-Africa</v>
      </c>
      <c r="AD725" s="14" t="str">
        <f>IFERROR(__xludf.DUMMYFUNCTION("""COMPUTED_VALUE"""),"2005")</f>
        <v>2005</v>
      </c>
      <c r="AE725" s="14">
        <f>IFERROR(__xludf.DUMMYFUNCTION("""COMPUTED_VALUE"""),53536.0)</f>
        <v>53536</v>
      </c>
      <c r="AF725" s="14">
        <f>IFERROR(__xludf.DUMMYFUNCTION("""COMPUTED_VALUE"""),150912.0)</f>
        <v>150912</v>
      </c>
    </row>
    <row r="726">
      <c r="A726" s="12">
        <v>725.0</v>
      </c>
      <c r="B726" s="12" t="s">
        <v>134</v>
      </c>
      <c r="C726" s="5" t="s">
        <v>77</v>
      </c>
      <c r="D726" s="11">
        <v>0.43</v>
      </c>
      <c r="E726" s="11">
        <v>8.0</v>
      </c>
      <c r="F726" s="8"/>
      <c r="G726" s="11">
        <v>480.0</v>
      </c>
      <c r="H726" s="11">
        <v>0.257</v>
      </c>
      <c r="I726" s="11">
        <v>0.721</v>
      </c>
      <c r="J726" s="9" t="s">
        <v>70</v>
      </c>
      <c r="K726" s="14" t="str">
        <f>IFERROR(__xludf.DUMMYFUNCTION("ARRAYFORMULA(VLOOKUP(A726,IMPORTRANGE(""https://docs.google.com/spreadsheets/d/1BuTWp7qHGjWhqrnf-OmePP568O4A5Am9ttzvVdP67zw/edit#gid=1603210130"", ""TOURISM!$A$2:$F$2692""), {2,3,4,5,6},0))"),"Africa")</f>
        <v>Africa</v>
      </c>
      <c r="L726" s="14">
        <f>IFERROR(__xludf.DUMMYFUNCTION("""COMPUTED_VALUE"""),1.1757E10)</f>
        <v>11757000000</v>
      </c>
      <c r="M726" s="14" t="str">
        <f>IFERROR(__xludf.DUMMYFUNCTION("""COMPUTED_VALUE"""),"Egypt-Africa")</f>
        <v>Egypt-Africa</v>
      </c>
      <c r="N726" s="14" t="str">
        <f>IFERROR(__xludf.DUMMYFUNCTION("""COMPUTED_VALUE"""),"2009")</f>
        <v>2009</v>
      </c>
      <c r="O726" s="14">
        <f>IFERROR(__xludf.DUMMYFUNCTION("""COMPUTED_VALUE"""),2.941E9)</f>
        <v>2941000000</v>
      </c>
      <c r="P726" s="15">
        <f>IFERROR(__xludf.DUMMYFUNCTION("ARRAYFORMULA(VLOOKUP(A726,IMPORTRANGE(""https://docs.google.com/spreadsheets/d/1BuTWp7qHGjWhqrnf-OmePP568O4A5Am9ttzvVdP67zw/edit#gid=771602874"" ,""HUMAN RESOURCES!$A$2:$M$2692""), {2,3,4,5,6,7,8,9,10,11,12,13},0))"),0.024)</f>
        <v>0.024</v>
      </c>
      <c r="Q726" s="14">
        <f>IFERROR(__xludf.DUMMYFUNCTION("""COMPUTED_VALUE"""),0.021)</f>
        <v>0.021</v>
      </c>
      <c r="R726" s="14">
        <f>IFERROR(__xludf.DUMMYFUNCTION("""COMPUTED_VALUE"""),73.0)</f>
        <v>73</v>
      </c>
      <c r="S726" s="14">
        <f>IFERROR(__xludf.DUMMYFUNCTION("""COMPUTED_VALUE"""),68.0)</f>
        <v>68</v>
      </c>
      <c r="T726" s="14">
        <f>IFERROR(__xludf.DUMMYFUNCTION("""COMPUTED_VALUE"""),0.316)</f>
        <v>0.316</v>
      </c>
      <c r="U726" s="14">
        <f>IFERROR(__xludf.DUMMYFUNCTION("""COMPUTED_VALUE"""),0.629)</f>
        <v>0.629</v>
      </c>
      <c r="V726" s="14">
        <f>IFERROR(__xludf.DUMMYFUNCTION("""COMPUTED_VALUE"""),0.055)</f>
        <v>0.055</v>
      </c>
      <c r="W726" s="14">
        <f>IFERROR(__xludf.DUMMYFUNCTION("""COMPUTED_VALUE"""),7.6775023E7)</f>
        <v>76775023</v>
      </c>
      <c r="X726" s="14">
        <f>IFERROR(__xludf.DUMMYFUNCTION("""COMPUTED_VALUE"""),0.43)</f>
        <v>0.43</v>
      </c>
      <c r="Y726" s="14" t="str">
        <f>IFERROR(__xludf.DUMMYFUNCTION("""COMPUTED_VALUE"""),"Egypt-Africa")</f>
        <v>Egypt-Africa</v>
      </c>
      <c r="Z726" s="14" t="str">
        <f>IFERROR(__xludf.DUMMYFUNCTION("""COMPUTED_VALUE"""),"Africa")</f>
        <v>Africa</v>
      </c>
      <c r="AA726" s="14" t="str">
        <f>IFERROR(__xludf.DUMMYFUNCTION("""COMPUTED_VALUE"""),"2009")</f>
        <v>2009</v>
      </c>
      <c r="AB726" s="15" t="str">
        <f>IFERROR(__xludf.DUMMYFUNCTION("ARRAYFORMULA(VLOOKUP(A726,IMPORTRANGE(""https://docs.google.com/spreadsheets/d/1BuTWp7qHGjWhqrnf-OmePP568O4A5Am9ttzvVdP67zw/edit#gid=1931367683"" ,""ENERGY!$A$2:$F$2692""), {2,3,4,5,6},0))"),"Africa")</f>
        <v>Africa</v>
      </c>
      <c r="AC726" s="14" t="str">
        <f>IFERROR(__xludf.DUMMYFUNCTION("""COMPUTED_VALUE"""),"Egypt-Africa")</f>
        <v>Egypt-Africa</v>
      </c>
      <c r="AD726" s="14" t="str">
        <f>IFERROR(__xludf.DUMMYFUNCTION("""COMPUTED_VALUE"""),"2009")</f>
        <v>2009</v>
      </c>
      <c r="AE726" s="14">
        <f>IFERROR(__xludf.DUMMYFUNCTION("""COMPUTED_VALUE"""),48971.0)</f>
        <v>48971</v>
      </c>
      <c r="AF726" s="14">
        <f>IFERROR(__xludf.DUMMYFUNCTION("""COMPUTED_VALUE"""),147963.0)</f>
        <v>147963</v>
      </c>
    </row>
    <row r="727">
      <c r="A727" s="12">
        <v>726.0</v>
      </c>
      <c r="B727" s="12" t="s">
        <v>134</v>
      </c>
      <c r="C727" s="5" t="s">
        <v>77</v>
      </c>
      <c r="D727" s="11">
        <v>0.426</v>
      </c>
      <c r="E727" s="11">
        <v>8.0</v>
      </c>
      <c r="F727" s="8"/>
      <c r="G727" s="11">
        <v>433.0</v>
      </c>
      <c r="H727" s="11">
        <v>0.314</v>
      </c>
      <c r="I727" s="11">
        <v>0.905</v>
      </c>
      <c r="J727" s="9" t="s">
        <v>71</v>
      </c>
      <c r="K727" s="14" t="str">
        <f>IFERROR(__xludf.DUMMYFUNCTION("ARRAYFORMULA(VLOOKUP(A727,IMPORTRANGE(""https://docs.google.com/spreadsheets/d/1BuTWp7qHGjWhqrnf-OmePP568O4A5Am9ttzvVdP67zw/edit#gid=1603210130"", ""TOURISM!$A$2:$F$2692""), {2,3,4,5,6},0))"),"Africa")</f>
        <v>Africa</v>
      </c>
      <c r="L727" s="14">
        <f>IFERROR(__xludf.DUMMYFUNCTION("""COMPUTED_VALUE"""),1.3633E10)</f>
        <v>13633000000</v>
      </c>
      <c r="M727" s="14" t="str">
        <f>IFERROR(__xludf.DUMMYFUNCTION("""COMPUTED_VALUE"""),"Egypt-Africa")</f>
        <v>Egypt-Africa</v>
      </c>
      <c r="N727" s="14" t="str">
        <f>IFERROR(__xludf.DUMMYFUNCTION("""COMPUTED_VALUE"""),"2010")</f>
        <v>2010</v>
      </c>
      <c r="O727" s="14">
        <f>IFERROR(__xludf.DUMMYFUNCTION("""COMPUTED_VALUE"""),2.696E9)</f>
        <v>2696000000</v>
      </c>
      <c r="P727" s="15">
        <f>IFERROR(__xludf.DUMMYFUNCTION("ARRAYFORMULA(VLOOKUP(A727,IMPORTRANGE(""https://docs.google.com/spreadsheets/d/1BuTWp7qHGjWhqrnf-OmePP568O4A5Am9ttzvVdP67zw/edit#gid=771602874"" ,""HUMAN RESOURCES!$A$2:$M$2692""), {2,3,4,5,6,7,8,9,10,11,12,13},0))"),0.024)</f>
        <v>0.024</v>
      </c>
      <c r="Q727" s="14">
        <f>IFERROR(__xludf.DUMMYFUNCTION("""COMPUTED_VALUE"""),0.02)</f>
        <v>0.02</v>
      </c>
      <c r="R727" s="14">
        <f>IFERROR(__xludf.DUMMYFUNCTION("""COMPUTED_VALUE"""),73.0)</f>
        <v>73</v>
      </c>
      <c r="S727" s="14">
        <f>IFERROR(__xludf.DUMMYFUNCTION("""COMPUTED_VALUE"""),68.0)</f>
        <v>68</v>
      </c>
      <c r="T727" s="14">
        <f>IFERROR(__xludf.DUMMYFUNCTION("""COMPUTED_VALUE"""),0.315)</f>
        <v>0.315</v>
      </c>
      <c r="U727" s="14">
        <f>IFERROR(__xludf.DUMMYFUNCTION("""COMPUTED_VALUE"""),0.63)</f>
        <v>0.63</v>
      </c>
      <c r="V727" s="14">
        <f>IFERROR(__xludf.DUMMYFUNCTION("""COMPUTED_VALUE"""),0.055)</f>
        <v>0.055</v>
      </c>
      <c r="W727" s="14">
        <f>IFERROR(__xludf.DUMMYFUNCTION("""COMPUTED_VALUE"""),7.8075705E7)</f>
        <v>78075705</v>
      </c>
      <c r="X727" s="14">
        <f>IFERROR(__xludf.DUMMYFUNCTION("""COMPUTED_VALUE"""),0.43)</f>
        <v>0.43</v>
      </c>
      <c r="Y727" s="14" t="str">
        <f>IFERROR(__xludf.DUMMYFUNCTION("""COMPUTED_VALUE"""),"Egypt-Africa")</f>
        <v>Egypt-Africa</v>
      </c>
      <c r="Z727" s="14" t="str">
        <f>IFERROR(__xludf.DUMMYFUNCTION("""COMPUTED_VALUE"""),"Africa")</f>
        <v>Africa</v>
      </c>
      <c r="AA727" s="14" t="str">
        <f>IFERROR(__xludf.DUMMYFUNCTION("""COMPUTED_VALUE"""),"2010")</f>
        <v>2010</v>
      </c>
      <c r="AB727" s="15" t="str">
        <f>IFERROR(__xludf.DUMMYFUNCTION("ARRAYFORMULA(VLOOKUP(A727,IMPORTRANGE(""https://docs.google.com/spreadsheets/d/1BuTWp7qHGjWhqrnf-OmePP568O4A5Am9ttzvVdP67zw/edit#gid=1931367683"" ,""ENERGY!$A$2:$F$2692""), {2,3,4,5,6},0))"),"Africa")</f>
        <v>Africa</v>
      </c>
      <c r="AC727" s="14" t="str">
        <f>IFERROR(__xludf.DUMMYFUNCTION("""COMPUTED_VALUE"""),"Egypt-Africa")</f>
        <v>Egypt-Africa</v>
      </c>
      <c r="AD727" s="14" t="str">
        <f>IFERROR(__xludf.DUMMYFUNCTION("""COMPUTED_VALUE"""),"2008")</f>
        <v>2008</v>
      </c>
      <c r="AE727" s="14">
        <f>IFERROR(__xludf.DUMMYFUNCTION("""COMPUTED_VALUE"""),47162.0)</f>
        <v>47162</v>
      </c>
      <c r="AF727" s="14">
        <f>IFERROR(__xludf.DUMMYFUNCTION("""COMPUTED_VALUE"""),127194.0)</f>
        <v>127194</v>
      </c>
    </row>
    <row r="728">
      <c r="A728" s="12">
        <v>727.0</v>
      </c>
      <c r="B728" s="12" t="s">
        <v>134</v>
      </c>
      <c r="C728" s="5" t="s">
        <v>77</v>
      </c>
      <c r="D728" s="11">
        <v>0.436</v>
      </c>
      <c r="E728" s="11">
        <v>8.0</v>
      </c>
      <c r="F728" s="8"/>
      <c r="G728" s="11">
        <v>433.0</v>
      </c>
      <c r="H728" s="11">
        <v>0.398</v>
      </c>
      <c r="I728" s="11">
        <v>1.051</v>
      </c>
      <c r="J728" s="9" t="s">
        <v>72</v>
      </c>
      <c r="K728" s="14" t="str">
        <f>IFERROR(__xludf.DUMMYFUNCTION("ARRAYFORMULA(VLOOKUP(A728,IMPORTRANGE(""https://docs.google.com/spreadsheets/d/1BuTWp7qHGjWhqrnf-OmePP568O4A5Am9ttzvVdP67zw/edit#gid=1603210130"", ""TOURISM!$A$2:$F$2692""), {2,3,4,5,6},0))"),"Africa")</f>
        <v>Africa</v>
      </c>
      <c r="L728" s="14">
        <f>IFERROR(__xludf.DUMMYFUNCTION("""COMPUTED_VALUE"""),9.333E9)</f>
        <v>9333000000</v>
      </c>
      <c r="M728" s="14" t="str">
        <f>IFERROR(__xludf.DUMMYFUNCTION("""COMPUTED_VALUE"""),"Egypt-Africa")</f>
        <v>Egypt-Africa</v>
      </c>
      <c r="N728" s="14" t="str">
        <f>IFERROR(__xludf.DUMMYFUNCTION("""COMPUTED_VALUE"""),"2011")</f>
        <v>2011</v>
      </c>
      <c r="O728" s="14">
        <f>IFERROR(__xludf.DUMMYFUNCTION("""COMPUTED_VALUE"""),2.575E9)</f>
        <v>2575000000</v>
      </c>
      <c r="P728" s="15">
        <f>IFERROR(__xludf.DUMMYFUNCTION("ARRAYFORMULA(VLOOKUP(A728,IMPORTRANGE(""https://docs.google.com/spreadsheets/d/1BuTWp7qHGjWhqrnf-OmePP568O4A5Am9ttzvVdP67zw/edit#gid=771602874"" ,""HUMAN RESOURCES!$A$2:$M$2692""), {2,3,4,5,6,7,8,9,10,11,12,13},0))"),0.024)</f>
        <v>0.024</v>
      </c>
      <c r="Q728" s="14">
        <f>IFERROR(__xludf.DUMMYFUNCTION("""COMPUTED_VALUE"""),0.019)</f>
        <v>0.019</v>
      </c>
      <c r="R728" s="14">
        <f>IFERROR(__xludf.DUMMYFUNCTION("""COMPUTED_VALUE"""),73.0)</f>
        <v>73</v>
      </c>
      <c r="S728" s="14">
        <f>IFERROR(__xludf.DUMMYFUNCTION("""COMPUTED_VALUE"""),68.0)</f>
        <v>68</v>
      </c>
      <c r="T728" s="14">
        <f>IFERROR(__xludf.DUMMYFUNCTION("""COMPUTED_VALUE"""),0.314)</f>
        <v>0.314</v>
      </c>
      <c r="U728" s="14">
        <f>IFERROR(__xludf.DUMMYFUNCTION("""COMPUTED_VALUE"""),0.631)</f>
        <v>0.631</v>
      </c>
      <c r="V728" s="14">
        <f>IFERROR(__xludf.DUMMYFUNCTION("""COMPUTED_VALUE"""),0.056)</f>
        <v>0.056</v>
      </c>
      <c r="W728" s="14">
        <f>IFERROR(__xludf.DUMMYFUNCTION("""COMPUTED_VALUE"""),7.9392466E7)</f>
        <v>79392466</v>
      </c>
      <c r="X728" s="14">
        <f>IFERROR(__xludf.DUMMYFUNCTION("""COMPUTED_VALUE"""),0.43)</f>
        <v>0.43</v>
      </c>
      <c r="Y728" s="14" t="str">
        <f>IFERROR(__xludf.DUMMYFUNCTION("""COMPUTED_VALUE"""),"Egypt-Africa")</f>
        <v>Egypt-Africa</v>
      </c>
      <c r="Z728" s="14" t="str">
        <f>IFERROR(__xludf.DUMMYFUNCTION("""COMPUTED_VALUE"""),"Africa")</f>
        <v>Africa</v>
      </c>
      <c r="AA728" s="14" t="str">
        <f>IFERROR(__xludf.DUMMYFUNCTION("""COMPUTED_VALUE"""),"2011")</f>
        <v>2011</v>
      </c>
      <c r="AB728" s="15" t="str">
        <f>IFERROR(__xludf.DUMMYFUNCTION("ARRAYFORMULA(VLOOKUP(A728,IMPORTRANGE(""https://docs.google.com/spreadsheets/d/1BuTWp7qHGjWhqrnf-OmePP568O4A5Am9ttzvVdP67zw/edit#gid=1931367683"" ,""ENERGY!$A$2:$F$2692""), {2,3,4,5,6},0))"),"Africa")</f>
        <v>Africa</v>
      </c>
      <c r="AC728" s="14" t="str">
        <f>IFERROR(__xludf.DUMMYFUNCTION("""COMPUTED_VALUE"""),"Egypt-Africa")</f>
        <v>Egypt-Africa</v>
      </c>
      <c r="AD728" s="14" t="str">
        <f>IFERROR(__xludf.DUMMYFUNCTION("""COMPUTED_VALUE"""),"2004")</f>
        <v>2004</v>
      </c>
      <c r="AE728" s="14">
        <f>IFERROR(__xludf.DUMMYFUNCTION("""COMPUTED_VALUE"""),45698.0)</f>
        <v>45698</v>
      </c>
      <c r="AF728" s="14">
        <f>IFERROR(__xludf.DUMMYFUNCTION("""COMPUTED_VALUE"""),125452.0)</f>
        <v>125452</v>
      </c>
    </row>
    <row r="729">
      <c r="A729" s="12">
        <v>728.0</v>
      </c>
      <c r="B729" s="12" t="s">
        <v>134</v>
      </c>
      <c r="C729" s="5" t="s">
        <v>77</v>
      </c>
      <c r="D729" s="11">
        <v>0.426</v>
      </c>
      <c r="E729" s="11">
        <v>8.0</v>
      </c>
      <c r="F729" s="11">
        <v>127.0</v>
      </c>
      <c r="G729" s="11">
        <v>392.0</v>
      </c>
      <c r="H729" s="11">
        <v>0.44</v>
      </c>
      <c r="I729" s="11">
        <v>1.199</v>
      </c>
      <c r="J729" s="9" t="s">
        <v>73</v>
      </c>
      <c r="K729" s="14" t="str">
        <f>IFERROR(__xludf.DUMMYFUNCTION("ARRAYFORMULA(VLOOKUP(A729,IMPORTRANGE(""https://docs.google.com/spreadsheets/d/1BuTWp7qHGjWhqrnf-OmePP568O4A5Am9ttzvVdP67zw/edit#gid=1603210130"", ""TOURISM!$A$2:$F$2692""), {2,3,4,5,6},0))"),"Africa")</f>
        <v>Africa</v>
      </c>
      <c r="L729" s="14">
        <f>IFERROR(__xludf.DUMMYFUNCTION("""COMPUTED_VALUE"""),1.0823E10)</f>
        <v>10823000000</v>
      </c>
      <c r="M729" s="14" t="str">
        <f>IFERROR(__xludf.DUMMYFUNCTION("""COMPUTED_VALUE"""),"Egypt-Africa")</f>
        <v>Egypt-Africa</v>
      </c>
      <c r="N729" s="14" t="str">
        <f>IFERROR(__xludf.DUMMYFUNCTION("""COMPUTED_VALUE"""),"2012")</f>
        <v>2012</v>
      </c>
      <c r="O729" s="14">
        <f>IFERROR(__xludf.DUMMYFUNCTION("""COMPUTED_VALUE"""),3.037E9)</f>
        <v>3037000000</v>
      </c>
      <c r="P729" s="15">
        <f>IFERROR(__xludf.DUMMYFUNCTION("ARRAYFORMULA(VLOOKUP(A729,IMPORTRANGE(""https://docs.google.com/spreadsheets/d/1BuTWp7qHGjWhqrnf-OmePP568O4A5Am9ttzvVdP67zw/edit#gid=771602874"" ,""HUMAN RESOURCES!$A$2:$M$2692""), {2,3,4,5,6,7,8,9,10,11,12,13},0))"),0.024)</f>
        <v>0.024</v>
      </c>
      <c r="Q729" s="14">
        <f>IFERROR(__xludf.DUMMYFUNCTION("""COMPUTED_VALUE"""),0.019)</f>
        <v>0.019</v>
      </c>
      <c r="R729" s="14">
        <f>IFERROR(__xludf.DUMMYFUNCTION("""COMPUTED_VALUE"""),73.0)</f>
        <v>73</v>
      </c>
      <c r="S729" s="14">
        <f>IFERROR(__xludf.DUMMYFUNCTION("""COMPUTED_VALUE"""),69.0)</f>
        <v>69</v>
      </c>
      <c r="T729" s="14">
        <f>IFERROR(__xludf.DUMMYFUNCTION("""COMPUTED_VALUE"""),0.312)</f>
        <v>0.312</v>
      </c>
      <c r="U729" s="14">
        <f>IFERROR(__xludf.DUMMYFUNCTION("""COMPUTED_VALUE"""),0.631)</f>
        <v>0.631</v>
      </c>
      <c r="V729" s="14">
        <f>IFERROR(__xludf.DUMMYFUNCTION("""COMPUTED_VALUE"""),0.056)</f>
        <v>0.056</v>
      </c>
      <c r="W729" s="14">
        <f>IFERROR(__xludf.DUMMYFUNCTION("""COMPUTED_VALUE"""),8.0721874E7)</f>
        <v>80721874</v>
      </c>
      <c r="X729" s="14">
        <f>IFERROR(__xludf.DUMMYFUNCTION("""COMPUTED_VALUE"""),0.43)</f>
        <v>0.43</v>
      </c>
      <c r="Y729" s="14" t="str">
        <f>IFERROR(__xludf.DUMMYFUNCTION("""COMPUTED_VALUE"""),"Egypt-Africa")</f>
        <v>Egypt-Africa</v>
      </c>
      <c r="Z729" s="14" t="str">
        <f>IFERROR(__xludf.DUMMYFUNCTION("""COMPUTED_VALUE"""),"Africa")</f>
        <v>Africa</v>
      </c>
      <c r="AA729" s="14" t="str">
        <f>IFERROR(__xludf.DUMMYFUNCTION("""COMPUTED_VALUE"""),"2012")</f>
        <v>2012</v>
      </c>
      <c r="AB729" s="15" t="str">
        <f>IFERROR(__xludf.DUMMYFUNCTION("ARRAYFORMULA(VLOOKUP(A729,IMPORTRANGE(""https://docs.google.com/spreadsheets/d/1BuTWp7qHGjWhqrnf-OmePP568O4A5Am9ttzvVdP67zw/edit#gid=1931367683"" ,""ENERGY!$A$2:$F$2692""), {2,3,4,5,6},0))"),"Africa")</f>
        <v>Africa</v>
      </c>
      <c r="AC729" s="14" t="str">
        <f>IFERROR(__xludf.DUMMYFUNCTION("""COMPUTED_VALUE"""),"Egypt-Africa")</f>
        <v>Egypt-Africa</v>
      </c>
      <c r="AD729" s="14" t="str">
        <f>IFERROR(__xludf.DUMMYFUNCTION("""COMPUTED_VALUE"""),"2009")</f>
        <v>2009</v>
      </c>
      <c r="AE729" s="14">
        <f>IFERROR(__xludf.DUMMYFUNCTION("""COMPUTED_VALUE"""),40658.0)</f>
        <v>40658</v>
      </c>
      <c r="AF729" s="14">
        <f>IFERROR(__xludf.DUMMYFUNCTION("""COMPUTED_VALUE"""),141326.0)</f>
        <v>141326</v>
      </c>
    </row>
    <row r="730">
      <c r="A730" s="12">
        <v>729.0</v>
      </c>
      <c r="B730" s="12" t="s">
        <v>135</v>
      </c>
      <c r="C730" s="5" t="s">
        <v>84</v>
      </c>
      <c r="D730" s="8"/>
      <c r="E730" s="8"/>
      <c r="F730" s="8"/>
      <c r="G730" s="8"/>
      <c r="H730" s="11">
        <v>0.012</v>
      </c>
      <c r="I730" s="11">
        <v>0.125</v>
      </c>
      <c r="J730" s="9" t="s">
        <v>60</v>
      </c>
      <c r="K730" s="14" t="str">
        <f>IFERROR(__xludf.DUMMYFUNCTION("ARRAYFORMULA(VLOOKUP(A730,IMPORTRANGE(""https://docs.google.com/spreadsheets/d/1BuTWp7qHGjWhqrnf-OmePP568O4A5Am9ttzvVdP67zw/edit#gid=1603210130"", ""TOURISM!$A$2:$F$2692""), {2,3,4,5,6},0))"),"The Americas")</f>
        <v>The Americas</v>
      </c>
      <c r="L730" s="14">
        <f>IFERROR(__xludf.DUMMYFUNCTION("""COMPUTED_VALUE"""),4.37E8)</f>
        <v>437000000</v>
      </c>
      <c r="M730" s="14" t="str">
        <f>IFERROR(__xludf.DUMMYFUNCTION("""COMPUTED_VALUE"""),"El Salvador-The Americas")</f>
        <v>El Salvador-The Americas</v>
      </c>
      <c r="N730" s="14" t="str">
        <f>IFERROR(__xludf.DUMMYFUNCTION("""COMPUTED_VALUE"""),"2000")</f>
        <v>2000</v>
      </c>
      <c r="O730" s="14">
        <f>IFERROR(__xludf.DUMMYFUNCTION("""COMPUTED_VALUE"""),2.19E8)</f>
        <v>219000000</v>
      </c>
      <c r="P730" s="15">
        <f>IFERROR(__xludf.DUMMYFUNCTION("ARRAYFORMULA(VLOOKUP(A730,IMPORTRANGE(""https://docs.google.com/spreadsheets/d/1BuTWp7qHGjWhqrnf-OmePP568O4A5Am9ttzvVdP67zw/edit#gid=771602874"" ,""HUMAN RESOURCES!$A$2:$M$2692""), {2,3,4,5,6,7,8,9,10,11,12,13},0))"),0.025)</f>
        <v>0.025</v>
      </c>
      <c r="Q730" s="14">
        <f>IFERROR(__xludf.DUMMYFUNCTION("""COMPUTED_VALUE"""),0.027)</f>
        <v>0.027</v>
      </c>
      <c r="R730" s="14">
        <f>IFERROR(__xludf.DUMMYFUNCTION("""COMPUTED_VALUE"""),74.0)</f>
        <v>74</v>
      </c>
      <c r="S730" s="14">
        <f>IFERROR(__xludf.DUMMYFUNCTION("""COMPUTED_VALUE"""),65.0)</f>
        <v>65</v>
      </c>
      <c r="T730" s="14">
        <f>IFERROR(__xludf.DUMMYFUNCTION("""COMPUTED_VALUE"""),0.383)</f>
        <v>0.383</v>
      </c>
      <c r="U730" s="14">
        <f>IFERROR(__xludf.DUMMYFUNCTION("""COMPUTED_VALUE"""),0.562)</f>
        <v>0.562</v>
      </c>
      <c r="V730" s="14">
        <f>IFERROR(__xludf.DUMMYFUNCTION("""COMPUTED_VALUE"""),0.055)</f>
        <v>0.055</v>
      </c>
      <c r="W730" s="14">
        <f>IFERROR(__xludf.DUMMYFUNCTION("""COMPUTED_VALUE"""),5958794.0)</f>
        <v>5958794</v>
      </c>
      <c r="X730" s="14">
        <f>IFERROR(__xludf.DUMMYFUNCTION("""COMPUTED_VALUE"""),0.589)</f>
        <v>0.589</v>
      </c>
      <c r="Y730" s="14" t="str">
        <f>IFERROR(__xludf.DUMMYFUNCTION("""COMPUTED_VALUE"""),"El Salvador-The Americas")</f>
        <v>El Salvador-The Americas</v>
      </c>
      <c r="Z730" s="14" t="str">
        <f>IFERROR(__xludf.DUMMYFUNCTION("""COMPUTED_VALUE"""),"The Americas")</f>
        <v>The Americas</v>
      </c>
      <c r="AA730" s="14" t="str">
        <f>IFERROR(__xludf.DUMMYFUNCTION("""COMPUTED_VALUE"""),"2000")</f>
        <v>2000</v>
      </c>
      <c r="AB730" s="15" t="str">
        <f>IFERROR(__xludf.DUMMYFUNCTION("ARRAYFORMULA(VLOOKUP(A730,IMPORTRANGE(""https://docs.google.com/spreadsheets/d/1BuTWp7qHGjWhqrnf-OmePP568O4A5Am9ttzvVdP67zw/edit#gid=1931367683"" ,""ENERGY!$A$2:$F$2692""), {2,3,4,5,6},0))"),"The Americas")</f>
        <v>The Americas</v>
      </c>
      <c r="AC730" s="14" t="str">
        <f>IFERROR(__xludf.DUMMYFUNCTION("""COMPUTED_VALUE"""),"El Salvador-The Americas")</f>
        <v>El Salvador-The Americas</v>
      </c>
      <c r="AD730" s="14" t="str">
        <f>IFERROR(__xludf.DUMMYFUNCTION("""COMPUTED_VALUE"""),"2000")</f>
        <v>2000</v>
      </c>
      <c r="AE730" s="14"/>
      <c r="AF730" s="14"/>
    </row>
    <row r="731">
      <c r="A731" s="12">
        <v>730.0</v>
      </c>
      <c r="B731" s="12" t="s">
        <v>135</v>
      </c>
      <c r="C731" s="5" t="s">
        <v>84</v>
      </c>
      <c r="D731" s="8"/>
      <c r="E731" s="8"/>
      <c r="F731" s="8"/>
      <c r="G731" s="8"/>
      <c r="H731" s="11">
        <v>0.015</v>
      </c>
      <c r="I731" s="11">
        <v>0.143</v>
      </c>
      <c r="J731" s="9" t="s">
        <v>62</v>
      </c>
      <c r="K731" s="14" t="str">
        <f>IFERROR(__xludf.DUMMYFUNCTION("ARRAYFORMULA(VLOOKUP(A731,IMPORTRANGE(""https://docs.google.com/spreadsheets/d/1BuTWp7qHGjWhqrnf-OmePP568O4A5Am9ttzvVdP67zw/edit#gid=1603210130"", ""TOURISM!$A$2:$F$2692""), {2,3,4,5,6},0))"),"The Americas")</f>
        <v>The Americas</v>
      </c>
      <c r="L731" s="14">
        <f>IFERROR(__xludf.DUMMYFUNCTION("""COMPUTED_VALUE"""),4.52E8)</f>
        <v>452000000</v>
      </c>
      <c r="M731" s="14" t="str">
        <f>IFERROR(__xludf.DUMMYFUNCTION("""COMPUTED_VALUE"""),"El Salvador-The Americas")</f>
        <v>El Salvador-The Americas</v>
      </c>
      <c r="N731" s="14" t="str">
        <f>IFERROR(__xludf.DUMMYFUNCTION("""COMPUTED_VALUE"""),"2001")</f>
        <v>2001</v>
      </c>
      <c r="O731" s="14">
        <f>IFERROR(__xludf.DUMMYFUNCTION("""COMPUTED_VALUE"""),2.47E8)</f>
        <v>247000000</v>
      </c>
      <c r="P731" s="15">
        <f>IFERROR(__xludf.DUMMYFUNCTION("ARRAYFORMULA(VLOOKUP(A731,IMPORTRANGE(""https://docs.google.com/spreadsheets/d/1BuTWp7qHGjWhqrnf-OmePP568O4A5Am9ttzvVdP67zw/edit#gid=771602874"" ,""HUMAN RESOURCES!$A$2:$M$2692""), {2,3,4,5,6,7,8,9,10,11,12,13},0))"),0.024)</f>
        <v>0.024</v>
      </c>
      <c r="Q731" s="14">
        <f>IFERROR(__xludf.DUMMYFUNCTION("""COMPUTED_VALUE"""),0.025)</f>
        <v>0.025</v>
      </c>
      <c r="R731" s="14">
        <f>IFERROR(__xludf.DUMMYFUNCTION("""COMPUTED_VALUE"""),75.0)</f>
        <v>75</v>
      </c>
      <c r="S731" s="14">
        <f>IFERROR(__xludf.DUMMYFUNCTION("""COMPUTED_VALUE"""),65.0)</f>
        <v>65</v>
      </c>
      <c r="T731" s="14">
        <f>IFERROR(__xludf.DUMMYFUNCTION("""COMPUTED_VALUE"""),0.379)</f>
        <v>0.379</v>
      </c>
      <c r="U731" s="14">
        <f>IFERROR(__xludf.DUMMYFUNCTION("""COMPUTED_VALUE"""),0.564)</f>
        <v>0.564</v>
      </c>
      <c r="V731" s="14">
        <f>IFERROR(__xludf.DUMMYFUNCTION("""COMPUTED_VALUE"""),0.057)</f>
        <v>0.057</v>
      </c>
      <c r="W731" s="14">
        <f>IFERROR(__xludf.DUMMYFUNCTION("""COMPUTED_VALUE"""),5985299.0)</f>
        <v>5985299</v>
      </c>
      <c r="X731" s="14">
        <f>IFERROR(__xludf.DUMMYFUNCTION("""COMPUTED_VALUE"""),0.595)</f>
        <v>0.595</v>
      </c>
      <c r="Y731" s="14" t="str">
        <f>IFERROR(__xludf.DUMMYFUNCTION("""COMPUTED_VALUE"""),"El Salvador-The Americas")</f>
        <v>El Salvador-The Americas</v>
      </c>
      <c r="Z731" s="14" t="str">
        <f>IFERROR(__xludf.DUMMYFUNCTION("""COMPUTED_VALUE"""),"The Americas")</f>
        <v>The Americas</v>
      </c>
      <c r="AA731" s="14" t="str">
        <f>IFERROR(__xludf.DUMMYFUNCTION("""COMPUTED_VALUE"""),"2001")</f>
        <v>2001</v>
      </c>
      <c r="AB731" s="15" t="str">
        <f>IFERROR(__xludf.DUMMYFUNCTION("ARRAYFORMULA(VLOOKUP(A731,IMPORTRANGE(""https://docs.google.com/spreadsheets/d/1BuTWp7qHGjWhqrnf-OmePP568O4A5Am9ttzvVdP67zw/edit#gid=1931367683"" ,""ENERGY!$A$2:$F$2692""), {2,3,4,5,6},0))"),"The Americas")</f>
        <v>The Americas</v>
      </c>
      <c r="AC731" s="14" t="str">
        <f>IFERROR(__xludf.DUMMYFUNCTION("""COMPUTED_VALUE"""),"El Salvador-The Americas")</f>
        <v>El Salvador-The Americas</v>
      </c>
      <c r="AD731" s="14" t="str">
        <f>IFERROR(__xludf.DUMMYFUNCTION("""COMPUTED_VALUE"""),"2001")</f>
        <v>2001</v>
      </c>
      <c r="AE731" s="14">
        <f>IFERROR(__xludf.DUMMYFUNCTION("""COMPUTED_VALUE"""),4319.0)</f>
        <v>4319</v>
      </c>
      <c r="AF731" s="14"/>
    </row>
    <row r="732">
      <c r="A732" s="12">
        <v>731.0</v>
      </c>
      <c r="B732" s="12" t="s">
        <v>135</v>
      </c>
      <c r="C732" s="5" t="s">
        <v>84</v>
      </c>
      <c r="D732" s="8"/>
      <c r="E732" s="8"/>
      <c r="F732" s="8"/>
      <c r="G732" s="8"/>
      <c r="H732" s="11">
        <v>0.019</v>
      </c>
      <c r="I732" s="11">
        <v>0.148</v>
      </c>
      <c r="J732" s="9" t="s">
        <v>63</v>
      </c>
      <c r="K732" s="14" t="str">
        <f>IFERROR(__xludf.DUMMYFUNCTION("ARRAYFORMULA(VLOOKUP(A732,IMPORTRANGE(""https://docs.google.com/spreadsheets/d/1BuTWp7qHGjWhqrnf-OmePP568O4A5Am9ttzvVdP67zw/edit#gid=1603210130"", ""TOURISM!$A$2:$F$2692""), {2,3,4,5,6},0))"),"The Americas")</f>
        <v>The Americas</v>
      </c>
      <c r="L732" s="14">
        <f>IFERROR(__xludf.DUMMYFUNCTION("""COMPUTED_VALUE"""),5.21E8)</f>
        <v>521000000</v>
      </c>
      <c r="M732" s="14" t="str">
        <f>IFERROR(__xludf.DUMMYFUNCTION("""COMPUTED_VALUE"""),"El Salvador-The Americas")</f>
        <v>El Salvador-The Americas</v>
      </c>
      <c r="N732" s="14" t="str">
        <f>IFERROR(__xludf.DUMMYFUNCTION("""COMPUTED_VALUE"""),"2002")</f>
        <v>2002</v>
      </c>
      <c r="O732" s="14">
        <f>IFERROR(__xludf.DUMMYFUNCTION("""COMPUTED_VALUE"""),2.66E8)</f>
        <v>266000000</v>
      </c>
      <c r="P732" s="15">
        <f>IFERROR(__xludf.DUMMYFUNCTION("ARRAYFORMULA(VLOOKUP(A732,IMPORTRANGE(""https://docs.google.com/spreadsheets/d/1BuTWp7qHGjWhqrnf-OmePP568O4A5Am9ttzvVdP67zw/edit#gid=771602874"" ,""HUMAN RESOURCES!$A$2:$M$2692""), {2,3,4,5,6,7,8,9,10,11,12,13},0))"),0.023)</f>
        <v>0.023</v>
      </c>
      <c r="Q732" s="14">
        <f>IFERROR(__xludf.DUMMYFUNCTION("""COMPUTED_VALUE"""),0.024)</f>
        <v>0.024</v>
      </c>
      <c r="R732" s="14">
        <f>IFERROR(__xludf.DUMMYFUNCTION("""COMPUTED_VALUE"""),75.0)</f>
        <v>75</v>
      </c>
      <c r="S732" s="14">
        <f>IFERROR(__xludf.DUMMYFUNCTION("""COMPUTED_VALUE"""),65.0)</f>
        <v>65</v>
      </c>
      <c r="T732" s="14">
        <f>IFERROR(__xludf.DUMMYFUNCTION("""COMPUTED_VALUE"""),0.374)</f>
        <v>0.374</v>
      </c>
      <c r="U732" s="14">
        <f>IFERROR(__xludf.DUMMYFUNCTION("""COMPUTED_VALUE"""),0.568)</f>
        <v>0.568</v>
      </c>
      <c r="V732" s="14">
        <f>IFERROR(__xludf.DUMMYFUNCTION("""COMPUTED_VALUE"""),0.058)</f>
        <v>0.058</v>
      </c>
      <c r="W732" s="14">
        <f>IFERROR(__xludf.DUMMYFUNCTION("""COMPUTED_VALUE"""),6008308.0)</f>
        <v>6008308</v>
      </c>
      <c r="X732" s="14">
        <f>IFERROR(__xludf.DUMMYFUNCTION("""COMPUTED_VALUE"""),0.6)</f>
        <v>0.6</v>
      </c>
      <c r="Y732" s="14" t="str">
        <f>IFERROR(__xludf.DUMMYFUNCTION("""COMPUTED_VALUE"""),"El Salvador-The Americas")</f>
        <v>El Salvador-The Americas</v>
      </c>
      <c r="Z732" s="14" t="str">
        <f>IFERROR(__xludf.DUMMYFUNCTION("""COMPUTED_VALUE"""),"The Americas")</f>
        <v>The Americas</v>
      </c>
      <c r="AA732" s="14" t="str">
        <f>IFERROR(__xludf.DUMMYFUNCTION("""COMPUTED_VALUE"""),"2002")</f>
        <v>2002</v>
      </c>
      <c r="AB732" s="15" t="str">
        <f>IFERROR(__xludf.DUMMYFUNCTION("ARRAYFORMULA(VLOOKUP(A732,IMPORTRANGE(""https://docs.google.com/spreadsheets/d/1BuTWp7qHGjWhqrnf-OmePP568O4A5Am9ttzvVdP67zw/edit#gid=1931367683"" ,""ENERGY!$A$2:$F$2692""), {2,3,4,5,6},0))"),"The Americas")</f>
        <v>The Americas</v>
      </c>
      <c r="AC732" s="14" t="str">
        <f>IFERROR(__xludf.DUMMYFUNCTION("""COMPUTED_VALUE"""),"El Salvador-The Americas")</f>
        <v>El Salvador-The Americas</v>
      </c>
      <c r="AD732" s="14" t="str">
        <f>IFERROR(__xludf.DUMMYFUNCTION("""COMPUTED_VALUE"""),"2002")</f>
        <v>2002</v>
      </c>
      <c r="AE732" s="14">
        <f>IFERROR(__xludf.DUMMYFUNCTION("""COMPUTED_VALUE"""),4210.0)</f>
        <v>4210</v>
      </c>
      <c r="AF732" s="14">
        <f>IFERROR(__xludf.DUMMYFUNCTION("""COMPUTED_VALUE"""),6249.0)</f>
        <v>6249</v>
      </c>
    </row>
    <row r="733">
      <c r="A733" s="12">
        <v>732.0</v>
      </c>
      <c r="B733" s="12" t="s">
        <v>135</v>
      </c>
      <c r="C733" s="5" t="s">
        <v>84</v>
      </c>
      <c r="D733" s="8"/>
      <c r="E733" s="11">
        <v>115.0</v>
      </c>
      <c r="F733" s="8"/>
      <c r="G733" s="8"/>
      <c r="H733" s="11">
        <v>0.025</v>
      </c>
      <c r="I733" s="11">
        <v>0.191</v>
      </c>
      <c r="J733" s="9" t="s">
        <v>64</v>
      </c>
      <c r="K733" s="14" t="str">
        <f>IFERROR(__xludf.DUMMYFUNCTION("ARRAYFORMULA(VLOOKUP(A733,IMPORTRANGE(""https://docs.google.com/spreadsheets/d/1BuTWp7qHGjWhqrnf-OmePP568O4A5Am9ttzvVdP67zw/edit#gid=1603210130"", ""TOURISM!$A$2:$F$2692""), {2,3,4,5,6},0))"),"The Americas")</f>
        <v>The Americas</v>
      </c>
      <c r="L733" s="14">
        <f>IFERROR(__xludf.DUMMYFUNCTION("""COMPUTED_VALUE"""),6.64E8)</f>
        <v>664000000</v>
      </c>
      <c r="M733" s="14" t="str">
        <f>IFERROR(__xludf.DUMMYFUNCTION("""COMPUTED_VALUE"""),"El Salvador-The Americas")</f>
        <v>El Salvador-The Americas</v>
      </c>
      <c r="N733" s="14" t="str">
        <f>IFERROR(__xludf.DUMMYFUNCTION("""COMPUTED_VALUE"""),"2003")</f>
        <v>2003</v>
      </c>
      <c r="O733" s="14">
        <f>IFERROR(__xludf.DUMMYFUNCTION("""COMPUTED_VALUE"""),3.11E8)</f>
        <v>311000000</v>
      </c>
      <c r="P733" s="15">
        <f>IFERROR(__xludf.DUMMYFUNCTION("ARRAYFORMULA(VLOOKUP(A733,IMPORTRANGE(""https://docs.google.com/spreadsheets/d/1BuTWp7qHGjWhqrnf-OmePP568O4A5Am9ttzvVdP67zw/edit#gid=771602874"" ,""HUMAN RESOURCES!$A$2:$M$2692""), {2,3,4,5,6,7,8,9,10,11,12,13},0))"),0.022)</f>
        <v>0.022</v>
      </c>
      <c r="Q733" s="14">
        <f>IFERROR(__xludf.DUMMYFUNCTION("""COMPUTED_VALUE"""),0.023)</f>
        <v>0.023</v>
      </c>
      <c r="R733" s="14">
        <f>IFERROR(__xludf.DUMMYFUNCTION("""COMPUTED_VALUE"""),75.0)</f>
        <v>75</v>
      </c>
      <c r="S733" s="14">
        <f>IFERROR(__xludf.DUMMYFUNCTION("""COMPUTED_VALUE"""),66.0)</f>
        <v>66</v>
      </c>
      <c r="T733" s="14">
        <f>IFERROR(__xludf.DUMMYFUNCTION("""COMPUTED_VALUE"""),0.369)</f>
        <v>0.369</v>
      </c>
      <c r="U733" s="14">
        <f>IFERROR(__xludf.DUMMYFUNCTION("""COMPUTED_VALUE"""),0.572)</f>
        <v>0.572</v>
      </c>
      <c r="V733" s="14">
        <f>IFERROR(__xludf.DUMMYFUNCTION("""COMPUTED_VALUE"""),0.059)</f>
        <v>0.059</v>
      </c>
      <c r="W733" s="14">
        <f>IFERROR(__xludf.DUMMYFUNCTION("""COMPUTED_VALUE"""),6029366.0)</f>
        <v>6029366</v>
      </c>
      <c r="X733" s="14">
        <f>IFERROR(__xludf.DUMMYFUNCTION("""COMPUTED_VALUE"""),0.606)</f>
        <v>0.606</v>
      </c>
      <c r="Y733" s="14" t="str">
        <f>IFERROR(__xludf.DUMMYFUNCTION("""COMPUTED_VALUE"""),"El Salvador-The Americas")</f>
        <v>El Salvador-The Americas</v>
      </c>
      <c r="Z733" s="14" t="str">
        <f>IFERROR(__xludf.DUMMYFUNCTION("""COMPUTED_VALUE"""),"The Americas")</f>
        <v>The Americas</v>
      </c>
      <c r="AA733" s="14" t="str">
        <f>IFERROR(__xludf.DUMMYFUNCTION("""COMPUTED_VALUE"""),"2003")</f>
        <v>2003</v>
      </c>
      <c r="AB733" s="15" t="str">
        <f>IFERROR(__xludf.DUMMYFUNCTION("ARRAYFORMULA(VLOOKUP(A733,IMPORTRANGE(""https://docs.google.com/spreadsheets/d/1BuTWp7qHGjWhqrnf-OmePP568O4A5Am9ttzvVdP67zw/edit#gid=1931367683"" ,""ENERGY!$A$2:$F$2692""), {2,3,4,5,6},0))"),"The Americas")</f>
        <v>The Americas</v>
      </c>
      <c r="AC733" s="14" t="str">
        <f>IFERROR(__xludf.DUMMYFUNCTION("""COMPUTED_VALUE"""),"El Salvador-The Americas")</f>
        <v>El Salvador-The Americas</v>
      </c>
      <c r="AD733" s="14" t="str">
        <f>IFERROR(__xludf.DUMMYFUNCTION("""COMPUTED_VALUE"""),"2003")</f>
        <v>2003</v>
      </c>
      <c r="AE733" s="14">
        <f>IFERROR(__xludf.DUMMYFUNCTION("""COMPUTED_VALUE"""),4214.0)</f>
        <v>4214</v>
      </c>
      <c r="AF733" s="14">
        <f>IFERROR(__xludf.DUMMYFUNCTION("""COMPUTED_VALUE"""),6476.0)</f>
        <v>6476</v>
      </c>
    </row>
    <row r="734">
      <c r="A734" s="12">
        <v>733.0</v>
      </c>
      <c r="B734" s="12" t="s">
        <v>135</v>
      </c>
      <c r="C734" s="5" t="s">
        <v>84</v>
      </c>
      <c r="D734" s="8"/>
      <c r="E734" s="11">
        <v>115.0</v>
      </c>
      <c r="F734" s="8"/>
      <c r="G734" s="8"/>
      <c r="H734" s="11">
        <v>0.032</v>
      </c>
      <c r="I734" s="11">
        <v>0.303</v>
      </c>
      <c r="J734" s="9" t="s">
        <v>65</v>
      </c>
      <c r="K734" s="14" t="str">
        <f>IFERROR(__xludf.DUMMYFUNCTION("ARRAYFORMULA(VLOOKUP(A734,IMPORTRANGE(""https://docs.google.com/spreadsheets/d/1BuTWp7qHGjWhqrnf-OmePP568O4A5Am9ttzvVdP67zw/edit#gid=1603210130"", ""TOURISM!$A$2:$F$2692""), {2,3,4,5,6},0))"),"The Americas")</f>
        <v>The Americas</v>
      </c>
      <c r="L734" s="14">
        <f>IFERROR(__xludf.DUMMYFUNCTION("""COMPUTED_VALUE"""),7.48E8)</f>
        <v>748000000</v>
      </c>
      <c r="M734" s="14" t="str">
        <f>IFERROR(__xludf.DUMMYFUNCTION("""COMPUTED_VALUE"""),"El Salvador-The Americas")</f>
        <v>El Salvador-The Americas</v>
      </c>
      <c r="N734" s="14" t="str">
        <f>IFERROR(__xludf.DUMMYFUNCTION("""COMPUTED_VALUE"""),"2004")</f>
        <v>2004</v>
      </c>
      <c r="O734" s="14">
        <f>IFERROR(__xludf.DUMMYFUNCTION("""COMPUTED_VALUE"""),3.73E8)</f>
        <v>373000000</v>
      </c>
      <c r="P734" s="15">
        <f>IFERROR(__xludf.DUMMYFUNCTION("ARRAYFORMULA(VLOOKUP(A734,IMPORTRANGE(""https://docs.google.com/spreadsheets/d/1BuTWp7qHGjWhqrnf-OmePP568O4A5Am9ttzvVdP67zw/edit#gid=771602874"" ,""HUMAN RESOURCES!$A$2:$M$2692""), {2,3,4,5,6,7,8,9,10,11,12,13},0))"),0.021)</f>
        <v>0.021</v>
      </c>
      <c r="Q734" s="14">
        <f>IFERROR(__xludf.DUMMYFUNCTION("""COMPUTED_VALUE"""),0.021)</f>
        <v>0.021</v>
      </c>
      <c r="R734" s="14">
        <f>IFERROR(__xludf.DUMMYFUNCTION("""COMPUTED_VALUE"""),75.0)</f>
        <v>75</v>
      </c>
      <c r="S734" s="14">
        <f>IFERROR(__xludf.DUMMYFUNCTION("""COMPUTED_VALUE"""),66.0)</f>
        <v>66</v>
      </c>
      <c r="T734" s="14">
        <f>IFERROR(__xludf.DUMMYFUNCTION("""COMPUTED_VALUE"""),0.363)</f>
        <v>0.363</v>
      </c>
      <c r="U734" s="14">
        <f>IFERROR(__xludf.DUMMYFUNCTION("""COMPUTED_VALUE"""),0.576)</f>
        <v>0.576</v>
      </c>
      <c r="V734" s="14">
        <f>IFERROR(__xludf.DUMMYFUNCTION("""COMPUTED_VALUE"""),0.061)</f>
        <v>0.061</v>
      </c>
      <c r="W734" s="14">
        <f>IFERROR(__xludf.DUMMYFUNCTION("""COMPUTED_VALUE"""),6050297.0)</f>
        <v>6050297</v>
      </c>
      <c r="X734" s="14">
        <f>IFERROR(__xludf.DUMMYFUNCTION("""COMPUTED_VALUE"""),0.611)</f>
        <v>0.611</v>
      </c>
      <c r="Y734" s="14" t="str">
        <f>IFERROR(__xludf.DUMMYFUNCTION("""COMPUTED_VALUE"""),"El Salvador-The Americas")</f>
        <v>El Salvador-The Americas</v>
      </c>
      <c r="Z734" s="14" t="str">
        <f>IFERROR(__xludf.DUMMYFUNCTION("""COMPUTED_VALUE"""),"The Americas")</f>
        <v>The Americas</v>
      </c>
      <c r="AA734" s="14" t="str">
        <f>IFERROR(__xludf.DUMMYFUNCTION("""COMPUTED_VALUE"""),"2004")</f>
        <v>2004</v>
      </c>
      <c r="AB734" s="15" t="str">
        <f>IFERROR(__xludf.DUMMYFUNCTION("ARRAYFORMULA(VLOOKUP(A734,IMPORTRANGE(""https://docs.google.com/spreadsheets/d/1BuTWp7qHGjWhqrnf-OmePP568O4A5Am9ttzvVdP67zw/edit#gid=1931367683"" ,""ENERGY!$A$2:$F$2692""), {2,3,4,5,6},0))"),"The Americas")</f>
        <v>The Americas</v>
      </c>
      <c r="AC734" s="14" t="str">
        <f>IFERROR(__xludf.DUMMYFUNCTION("""COMPUTED_VALUE"""),"El Salvador-The Americas")</f>
        <v>El Salvador-The Americas</v>
      </c>
      <c r="AD734" s="14" t="str">
        <f>IFERROR(__xludf.DUMMYFUNCTION("""COMPUTED_VALUE"""),"2004")</f>
        <v>2004</v>
      </c>
      <c r="AE734" s="14">
        <f>IFERROR(__xludf.DUMMYFUNCTION("""COMPUTED_VALUE"""),4499.0)</f>
        <v>4499</v>
      </c>
      <c r="AF734" s="14">
        <f>IFERROR(__xludf.DUMMYFUNCTION("""COMPUTED_VALUE"""),6546.0)</f>
        <v>6546</v>
      </c>
    </row>
    <row r="735">
      <c r="A735" s="12">
        <v>734.0</v>
      </c>
      <c r="B735" s="12" t="s">
        <v>135</v>
      </c>
      <c r="C735" s="5" t="s">
        <v>84</v>
      </c>
      <c r="D735" s="11">
        <v>0.347</v>
      </c>
      <c r="E735" s="11">
        <v>40.0</v>
      </c>
      <c r="F735" s="8"/>
      <c r="G735" s="11">
        <v>320.0</v>
      </c>
      <c r="H735" s="11">
        <v>0.042</v>
      </c>
      <c r="I735" s="11">
        <v>0.397</v>
      </c>
      <c r="J735" s="9" t="s">
        <v>66</v>
      </c>
      <c r="K735" s="14" t="str">
        <f>IFERROR(__xludf.DUMMYFUNCTION("ARRAYFORMULA(VLOOKUP(A735,IMPORTRANGE(""https://docs.google.com/spreadsheets/d/1BuTWp7qHGjWhqrnf-OmePP568O4A5Am9ttzvVdP67zw/edit#gid=1603210130"", ""TOURISM!$A$2:$F$2692""), {2,3,4,5,6},0))"),"The Americas")</f>
        <v>The Americas</v>
      </c>
      <c r="L735" s="14">
        <f>IFERROR(__xludf.DUMMYFUNCTION("""COMPUTED_VALUE"""),6.56E8)</f>
        <v>656000000</v>
      </c>
      <c r="M735" s="14" t="str">
        <f>IFERROR(__xludf.DUMMYFUNCTION("""COMPUTED_VALUE"""),"El Salvador-The Americas")</f>
        <v>El Salvador-The Americas</v>
      </c>
      <c r="N735" s="14" t="str">
        <f>IFERROR(__xludf.DUMMYFUNCTION("""COMPUTED_VALUE"""),"2005")</f>
        <v>2005</v>
      </c>
      <c r="O735" s="14">
        <f>IFERROR(__xludf.DUMMYFUNCTION("""COMPUTED_VALUE"""),2.88E8)</f>
        <v>288000000</v>
      </c>
      <c r="P735" s="15">
        <f>IFERROR(__xludf.DUMMYFUNCTION("ARRAYFORMULA(VLOOKUP(A735,IMPORTRANGE(""https://docs.google.com/spreadsheets/d/1BuTWp7qHGjWhqrnf-OmePP568O4A5Am9ttzvVdP67zw/edit#gid=771602874"" ,""HUMAN RESOURCES!$A$2:$M$2692""), {2,3,4,5,6,7,8,9,10,11,12,13},0))"),0.021)</f>
        <v>0.021</v>
      </c>
      <c r="Q735" s="14">
        <f>IFERROR(__xludf.DUMMYFUNCTION("""COMPUTED_VALUE"""),0.02)</f>
        <v>0.02</v>
      </c>
      <c r="R735" s="14">
        <f>IFERROR(__xludf.DUMMYFUNCTION("""COMPUTED_VALUE"""),75.0)</f>
        <v>75</v>
      </c>
      <c r="S735" s="14">
        <f>IFERROR(__xludf.DUMMYFUNCTION("""COMPUTED_VALUE"""),66.0)</f>
        <v>66</v>
      </c>
      <c r="T735" s="14">
        <f>IFERROR(__xludf.DUMMYFUNCTION("""COMPUTED_VALUE"""),0.357)</f>
        <v>0.357</v>
      </c>
      <c r="U735" s="14">
        <f>IFERROR(__xludf.DUMMYFUNCTION("""COMPUTED_VALUE"""),0.581)</f>
        <v>0.581</v>
      </c>
      <c r="V735" s="14">
        <f>IFERROR(__xludf.DUMMYFUNCTION("""COMPUTED_VALUE"""),0.062)</f>
        <v>0.062</v>
      </c>
      <c r="W735" s="14">
        <f>IFERROR(__xludf.DUMMYFUNCTION("""COMPUTED_VALUE"""),6072538.0)</f>
        <v>6072538</v>
      </c>
      <c r="X735" s="14">
        <f>IFERROR(__xludf.DUMMYFUNCTION("""COMPUTED_VALUE"""),0.616)</f>
        <v>0.616</v>
      </c>
      <c r="Y735" s="14" t="str">
        <f>IFERROR(__xludf.DUMMYFUNCTION("""COMPUTED_VALUE"""),"El Salvador-The Americas")</f>
        <v>El Salvador-The Americas</v>
      </c>
      <c r="Z735" s="14" t="str">
        <f>IFERROR(__xludf.DUMMYFUNCTION("""COMPUTED_VALUE"""),"The Americas")</f>
        <v>The Americas</v>
      </c>
      <c r="AA735" s="14" t="str">
        <f>IFERROR(__xludf.DUMMYFUNCTION("""COMPUTED_VALUE"""),"2005")</f>
        <v>2005</v>
      </c>
      <c r="AB735" s="15" t="str">
        <f>IFERROR(__xludf.DUMMYFUNCTION("ARRAYFORMULA(VLOOKUP(A735,IMPORTRANGE(""https://docs.google.com/spreadsheets/d/1BuTWp7qHGjWhqrnf-OmePP568O4A5Am9ttzvVdP67zw/edit#gid=1931367683"" ,""ENERGY!$A$2:$F$2692""), {2,3,4,5,6},0))"),"The Americas")</f>
        <v>The Americas</v>
      </c>
      <c r="AC735" s="14" t="str">
        <f>IFERROR(__xludf.DUMMYFUNCTION("""COMPUTED_VALUE"""),"El Salvador-The Americas")</f>
        <v>El Salvador-The Americas</v>
      </c>
      <c r="AD735" s="14" t="str">
        <f>IFERROR(__xludf.DUMMYFUNCTION("""COMPUTED_VALUE"""),"2006")</f>
        <v>2006</v>
      </c>
      <c r="AE735" s="14">
        <f>IFERROR(__xludf.DUMMYFUNCTION("""COMPUTED_VALUE"""),4479.0)</f>
        <v>4479</v>
      </c>
      <c r="AF735" s="14">
        <f>IFERROR(__xludf.DUMMYFUNCTION("""COMPUTED_VALUE"""),6898.0)</f>
        <v>6898</v>
      </c>
    </row>
    <row r="736">
      <c r="A736" s="12">
        <v>735.0</v>
      </c>
      <c r="B736" s="12" t="s">
        <v>135</v>
      </c>
      <c r="C736" s="5" t="s">
        <v>84</v>
      </c>
      <c r="D736" s="11">
        <v>0.347</v>
      </c>
      <c r="E736" s="11">
        <v>26.0</v>
      </c>
      <c r="F736" s="8"/>
      <c r="G736" s="11">
        <v>320.0</v>
      </c>
      <c r="H736" s="11">
        <v>0.055</v>
      </c>
      <c r="I736" s="11">
        <v>0.632</v>
      </c>
      <c r="J736" s="9" t="s">
        <v>67</v>
      </c>
      <c r="K736" s="14" t="str">
        <f>IFERROR(__xludf.DUMMYFUNCTION("ARRAYFORMULA(VLOOKUP(A736,IMPORTRANGE(""https://docs.google.com/spreadsheets/d/1BuTWp7qHGjWhqrnf-OmePP568O4A5Am9ttzvVdP67zw/edit#gid=1603210130"", ""TOURISM!$A$2:$F$2692""), {2,3,4,5,6},0))"),"The Americas")</f>
        <v>The Americas</v>
      </c>
      <c r="L736" s="14">
        <f>IFERROR(__xludf.DUMMYFUNCTION("""COMPUTED_VALUE"""),6.86E8)</f>
        <v>686000000</v>
      </c>
      <c r="M736" s="14" t="str">
        <f>IFERROR(__xludf.DUMMYFUNCTION("""COMPUTED_VALUE"""),"El Salvador-The Americas")</f>
        <v>El Salvador-The Americas</v>
      </c>
      <c r="N736" s="14" t="str">
        <f>IFERROR(__xludf.DUMMYFUNCTION("""COMPUTED_VALUE"""),"2006")</f>
        <v>2006</v>
      </c>
      <c r="O736" s="14">
        <f>IFERROR(__xludf.DUMMYFUNCTION("""COMPUTED_VALUE"""),3.07E8)</f>
        <v>307000000</v>
      </c>
      <c r="P736" s="15">
        <f>IFERROR(__xludf.DUMMYFUNCTION("ARRAYFORMULA(VLOOKUP(A736,IMPORTRANGE(""https://docs.google.com/spreadsheets/d/1BuTWp7qHGjWhqrnf-OmePP568O4A5Am9ttzvVdP67zw/edit#gid=771602874"" ,""HUMAN RESOURCES!$A$2:$M$2692""), {2,3,4,5,6,7,8,9,10,11,12,13},0))"),0.021)</f>
        <v>0.021</v>
      </c>
      <c r="Q736" s="14">
        <f>IFERROR(__xludf.DUMMYFUNCTION("""COMPUTED_VALUE"""),0.019)</f>
        <v>0.019</v>
      </c>
      <c r="R736" s="14">
        <f>IFERROR(__xludf.DUMMYFUNCTION("""COMPUTED_VALUE"""),76.0)</f>
        <v>76</v>
      </c>
      <c r="S736" s="14">
        <f>IFERROR(__xludf.DUMMYFUNCTION("""COMPUTED_VALUE"""),66.0)</f>
        <v>66</v>
      </c>
      <c r="T736" s="14">
        <f>IFERROR(__xludf.DUMMYFUNCTION("""COMPUTED_VALUE"""),0.35)</f>
        <v>0.35</v>
      </c>
      <c r="U736" s="14">
        <f>IFERROR(__xludf.DUMMYFUNCTION("""COMPUTED_VALUE"""),0.586)</f>
        <v>0.586</v>
      </c>
      <c r="V736" s="14">
        <f>IFERROR(__xludf.DUMMYFUNCTION("""COMPUTED_VALUE"""),0.064)</f>
        <v>0.064</v>
      </c>
      <c r="W736" s="14">
        <f>IFERROR(__xludf.DUMMYFUNCTION("""COMPUTED_VALUE"""),6096692.0)</f>
        <v>6096692</v>
      </c>
      <c r="X736" s="14">
        <f>IFERROR(__xludf.DUMMYFUNCTION("""COMPUTED_VALUE"""),0.622)</f>
        <v>0.622</v>
      </c>
      <c r="Y736" s="14" t="str">
        <f>IFERROR(__xludf.DUMMYFUNCTION("""COMPUTED_VALUE"""),"El Salvador-The Americas")</f>
        <v>El Salvador-The Americas</v>
      </c>
      <c r="Z736" s="14" t="str">
        <f>IFERROR(__xludf.DUMMYFUNCTION("""COMPUTED_VALUE"""),"The Americas")</f>
        <v>The Americas</v>
      </c>
      <c r="AA736" s="14" t="str">
        <f>IFERROR(__xludf.DUMMYFUNCTION("""COMPUTED_VALUE"""),"2006")</f>
        <v>2006</v>
      </c>
      <c r="AB736" s="15" t="str">
        <f>IFERROR(__xludf.DUMMYFUNCTION("ARRAYFORMULA(VLOOKUP(A736,IMPORTRANGE(""https://docs.google.com/spreadsheets/d/1BuTWp7qHGjWhqrnf-OmePP568O4A5Am9ttzvVdP67zw/edit#gid=1931367683"" ,""ENERGY!$A$2:$F$2692""), {2,3,4,5,6},0))"),"The Americas")</f>
        <v>The Americas</v>
      </c>
      <c r="AC736" s="14" t="str">
        <f>IFERROR(__xludf.DUMMYFUNCTION("""COMPUTED_VALUE"""),"El Salvador-The Americas")</f>
        <v>El Salvador-The Americas</v>
      </c>
      <c r="AD736" s="14" t="str">
        <f>IFERROR(__xludf.DUMMYFUNCTION("""COMPUTED_VALUE"""),"2010")</f>
        <v>2010</v>
      </c>
      <c r="AE736" s="14">
        <f>IFERROR(__xludf.DUMMYFUNCTION("""COMPUTED_VALUE"""),4735.0)</f>
        <v>4735</v>
      </c>
      <c r="AF736" s="14">
        <f>IFERROR(__xludf.DUMMYFUNCTION("""COMPUTED_VALUE"""),6846.0)</f>
        <v>6846</v>
      </c>
    </row>
    <row r="737">
      <c r="A737" s="12">
        <v>736.0</v>
      </c>
      <c r="B737" s="12" t="s">
        <v>135</v>
      </c>
      <c r="C737" s="5" t="s">
        <v>84</v>
      </c>
      <c r="D737" s="11">
        <v>0.347</v>
      </c>
      <c r="E737" s="11">
        <v>22.0</v>
      </c>
      <c r="F737" s="8"/>
      <c r="G737" s="11">
        <v>320.0</v>
      </c>
      <c r="H737" s="11">
        <v>0.061</v>
      </c>
      <c r="I737" s="11">
        <v>1.002</v>
      </c>
      <c r="J737" s="9" t="s">
        <v>68</v>
      </c>
      <c r="K737" s="14" t="str">
        <f>IFERROR(__xludf.DUMMYFUNCTION("ARRAYFORMULA(VLOOKUP(A737,IMPORTRANGE(""https://docs.google.com/spreadsheets/d/1BuTWp7qHGjWhqrnf-OmePP568O4A5Am9ttzvVdP67zw/edit#gid=1603210130"", ""TOURISM!$A$2:$F$2692""), {2,3,4,5,6},0))"),"The Americas")</f>
        <v>The Americas</v>
      </c>
      <c r="L737" s="14">
        <f>IFERROR(__xludf.DUMMYFUNCTION("""COMPUTED_VALUE"""),7.93E8)</f>
        <v>793000000</v>
      </c>
      <c r="M737" s="14" t="str">
        <f>IFERROR(__xludf.DUMMYFUNCTION("""COMPUTED_VALUE"""),"El Salvador-The Americas")</f>
        <v>El Salvador-The Americas</v>
      </c>
      <c r="N737" s="14" t="str">
        <f>IFERROR(__xludf.DUMMYFUNCTION("""COMPUTED_VALUE"""),"2007")</f>
        <v>2007</v>
      </c>
      <c r="O737" s="14">
        <f>IFERROR(__xludf.DUMMYFUNCTION("""COMPUTED_VALUE"""),3.63E8)</f>
        <v>363000000</v>
      </c>
      <c r="P737" s="15">
        <f>IFERROR(__xludf.DUMMYFUNCTION("ARRAYFORMULA(VLOOKUP(A737,IMPORTRANGE(""https://docs.google.com/spreadsheets/d/1BuTWp7qHGjWhqrnf-OmePP568O4A5Am9ttzvVdP67zw/edit#gid=771602874"" ,""HUMAN RESOURCES!$A$2:$M$2692""), {2,3,4,5,6,7,8,9,10,11,12,13},0))"),0.021)</f>
        <v>0.021</v>
      </c>
      <c r="Q737" s="14">
        <f>IFERROR(__xludf.DUMMYFUNCTION("""COMPUTED_VALUE"""),0.018)</f>
        <v>0.018</v>
      </c>
      <c r="R737" s="14">
        <f>IFERROR(__xludf.DUMMYFUNCTION("""COMPUTED_VALUE"""),76.0)</f>
        <v>76</v>
      </c>
      <c r="S737" s="14">
        <f>IFERROR(__xludf.DUMMYFUNCTION("""COMPUTED_VALUE"""),66.0)</f>
        <v>66</v>
      </c>
      <c r="T737" s="14">
        <f>IFERROR(__xludf.DUMMYFUNCTION("""COMPUTED_VALUE"""),0.343)</f>
        <v>0.343</v>
      </c>
      <c r="U737" s="14">
        <f>IFERROR(__xludf.DUMMYFUNCTION("""COMPUTED_VALUE"""),0.592)</f>
        <v>0.592</v>
      </c>
      <c r="V737" s="14">
        <f>IFERROR(__xludf.DUMMYFUNCTION("""COMPUTED_VALUE"""),0.065)</f>
        <v>0.065</v>
      </c>
      <c r="W737" s="14">
        <f>IFERROR(__xludf.DUMMYFUNCTION("""COMPUTED_VALUE"""),6122952.0)</f>
        <v>6122952</v>
      </c>
      <c r="X737" s="14">
        <f>IFERROR(__xludf.DUMMYFUNCTION("""COMPUTED_VALUE"""),0.627)</f>
        <v>0.627</v>
      </c>
      <c r="Y737" s="14" t="str">
        <f>IFERROR(__xludf.DUMMYFUNCTION("""COMPUTED_VALUE"""),"El Salvador-The Americas")</f>
        <v>El Salvador-The Americas</v>
      </c>
      <c r="Z737" s="14" t="str">
        <f>IFERROR(__xludf.DUMMYFUNCTION("""COMPUTED_VALUE"""),"The Americas")</f>
        <v>The Americas</v>
      </c>
      <c r="AA737" s="14" t="str">
        <f>IFERROR(__xludf.DUMMYFUNCTION("""COMPUTED_VALUE"""),"2007")</f>
        <v>2007</v>
      </c>
      <c r="AB737" s="15" t="str">
        <f>IFERROR(__xludf.DUMMYFUNCTION("ARRAYFORMULA(VLOOKUP(A737,IMPORTRANGE(""https://docs.google.com/spreadsheets/d/1BuTWp7qHGjWhqrnf-OmePP568O4A5Am9ttzvVdP67zw/edit#gid=1931367683"" ,""ENERGY!$A$2:$F$2692""), {2,3,4,5,6},0))"),"The Americas")</f>
        <v>The Americas</v>
      </c>
      <c r="AC737" s="14" t="str">
        <f>IFERROR(__xludf.DUMMYFUNCTION("""COMPUTED_VALUE"""),"El Salvador-The Americas")</f>
        <v>El Salvador-The Americas</v>
      </c>
      <c r="AD737" s="14" t="str">
        <f>IFERROR(__xludf.DUMMYFUNCTION("""COMPUTED_VALUE"""),"2007")</f>
        <v>2007</v>
      </c>
      <c r="AE737" s="14">
        <f>IFERROR(__xludf.DUMMYFUNCTION("""COMPUTED_VALUE"""),4509.0)</f>
        <v>4509</v>
      </c>
      <c r="AF737" s="14">
        <f>IFERROR(__xludf.DUMMYFUNCTION("""COMPUTED_VALUE"""),6454.0)</f>
        <v>6454</v>
      </c>
    </row>
    <row r="738">
      <c r="A738" s="12">
        <v>737.0</v>
      </c>
      <c r="B738" s="12" t="s">
        <v>135</v>
      </c>
      <c r="C738" s="5" t="s">
        <v>84</v>
      </c>
      <c r="D738" s="11">
        <v>0.347</v>
      </c>
      <c r="E738" s="11">
        <v>17.0</v>
      </c>
      <c r="F738" s="8"/>
      <c r="G738" s="11">
        <v>320.0</v>
      </c>
      <c r="H738" s="11">
        <v>0.101</v>
      </c>
      <c r="I738" s="11">
        <v>1.13</v>
      </c>
      <c r="J738" s="9" t="s">
        <v>69</v>
      </c>
      <c r="K738" s="14" t="str">
        <f>IFERROR(__xludf.DUMMYFUNCTION("ARRAYFORMULA(VLOOKUP(A738,IMPORTRANGE(""https://docs.google.com/spreadsheets/d/1BuTWp7qHGjWhqrnf-OmePP568O4A5Am9ttzvVdP67zw/edit#gid=1603210130"", ""TOURISM!$A$2:$F$2692""), {2,3,4,5,6},0))"),"The Americas")</f>
        <v>The Americas</v>
      </c>
      <c r="L738" s="14">
        <f>IFERROR(__xludf.DUMMYFUNCTION("""COMPUTED_VALUE"""),7.11E8)</f>
        <v>711000000</v>
      </c>
      <c r="M738" s="14" t="str">
        <f>IFERROR(__xludf.DUMMYFUNCTION("""COMPUTED_VALUE"""),"El Salvador-The Americas")</f>
        <v>El Salvador-The Americas</v>
      </c>
      <c r="N738" s="14" t="str">
        <f>IFERROR(__xludf.DUMMYFUNCTION("""COMPUTED_VALUE"""),"2008")</f>
        <v>2008</v>
      </c>
      <c r="O738" s="14">
        <f>IFERROR(__xludf.DUMMYFUNCTION("""COMPUTED_VALUE"""),3.26E8)</f>
        <v>326000000</v>
      </c>
      <c r="P738" s="15">
        <f>IFERROR(__xludf.DUMMYFUNCTION("ARRAYFORMULA(VLOOKUP(A738,IMPORTRANGE(""https://docs.google.com/spreadsheets/d/1BuTWp7qHGjWhqrnf-OmePP568O4A5Am9ttzvVdP67zw/edit#gid=771602874"" ,""HUMAN RESOURCES!$A$2:$M$2692""), {2,3,4,5,6,7,8,9,10,11,12,13},0))"),0.021)</f>
        <v>0.021</v>
      </c>
      <c r="Q738" s="14">
        <f>IFERROR(__xludf.DUMMYFUNCTION("""COMPUTED_VALUE"""),0.017)</f>
        <v>0.017</v>
      </c>
      <c r="R738" s="14">
        <f>IFERROR(__xludf.DUMMYFUNCTION("""COMPUTED_VALUE"""),76.0)</f>
        <v>76</v>
      </c>
      <c r="S738" s="14">
        <f>IFERROR(__xludf.DUMMYFUNCTION("""COMPUTED_VALUE"""),67.0)</f>
        <v>67</v>
      </c>
      <c r="T738" s="14">
        <f>IFERROR(__xludf.DUMMYFUNCTION("""COMPUTED_VALUE"""),0.336)</f>
        <v>0.336</v>
      </c>
      <c r="U738" s="14">
        <f>IFERROR(__xludf.DUMMYFUNCTION("""COMPUTED_VALUE"""),0.598)</f>
        <v>0.598</v>
      </c>
      <c r="V738" s="14">
        <f>IFERROR(__xludf.DUMMYFUNCTION("""COMPUTED_VALUE"""),0.066)</f>
        <v>0.066</v>
      </c>
      <c r="W738" s="14">
        <f>IFERROR(__xludf.DUMMYFUNCTION("""COMPUTED_VALUE"""),6151776.0)</f>
        <v>6151776</v>
      </c>
      <c r="X738" s="14">
        <f>IFERROR(__xludf.DUMMYFUNCTION("""COMPUTED_VALUE"""),0.633)</f>
        <v>0.633</v>
      </c>
      <c r="Y738" s="14" t="str">
        <f>IFERROR(__xludf.DUMMYFUNCTION("""COMPUTED_VALUE"""),"El Salvador-The Americas")</f>
        <v>El Salvador-The Americas</v>
      </c>
      <c r="Z738" s="14" t="str">
        <f>IFERROR(__xludf.DUMMYFUNCTION("""COMPUTED_VALUE"""),"The Americas")</f>
        <v>The Americas</v>
      </c>
      <c r="AA738" s="14" t="str">
        <f>IFERROR(__xludf.DUMMYFUNCTION("""COMPUTED_VALUE"""),"2008")</f>
        <v>2008</v>
      </c>
      <c r="AB738" s="15" t="str">
        <f>IFERROR(__xludf.DUMMYFUNCTION("ARRAYFORMULA(VLOOKUP(A738,IMPORTRANGE(""https://docs.google.com/spreadsheets/d/1BuTWp7qHGjWhqrnf-OmePP568O4A5Am9ttzvVdP67zw/edit#gid=1931367683"" ,""ENERGY!$A$2:$F$2692""), {2,3,4,5,6},0))"),"The Americas")</f>
        <v>The Americas</v>
      </c>
      <c r="AC738" s="14" t="str">
        <f>IFERROR(__xludf.DUMMYFUNCTION("""COMPUTED_VALUE"""),"El Salvador-The Americas")</f>
        <v>El Salvador-The Americas</v>
      </c>
      <c r="AD738" s="14" t="str">
        <f>IFERROR(__xludf.DUMMYFUNCTION("""COMPUTED_VALUE"""),"2005")</f>
        <v>2005</v>
      </c>
      <c r="AE738" s="14">
        <f>IFERROR(__xludf.DUMMYFUNCTION("""COMPUTED_VALUE"""),4382.0)</f>
        <v>4382</v>
      </c>
      <c r="AF738" s="14">
        <f>IFERROR(__xludf.DUMMYFUNCTION("""COMPUTED_VALUE"""),6366.0)</f>
        <v>6366</v>
      </c>
    </row>
    <row r="739">
      <c r="A739" s="12">
        <v>738.0</v>
      </c>
      <c r="B739" s="12" t="s">
        <v>135</v>
      </c>
      <c r="C739" s="5" t="s">
        <v>84</v>
      </c>
      <c r="D739" s="11">
        <v>0.348</v>
      </c>
      <c r="E739" s="11">
        <v>17.0</v>
      </c>
      <c r="F739" s="8"/>
      <c r="G739" s="11">
        <v>320.0</v>
      </c>
      <c r="H739" s="11">
        <v>0.121</v>
      </c>
      <c r="I739" s="11">
        <v>1.224</v>
      </c>
      <c r="J739" s="9" t="s">
        <v>70</v>
      </c>
      <c r="K739" s="14" t="str">
        <f>IFERROR(__xludf.DUMMYFUNCTION("ARRAYFORMULA(VLOOKUP(A739,IMPORTRANGE(""https://docs.google.com/spreadsheets/d/1BuTWp7qHGjWhqrnf-OmePP568O4A5Am9ttzvVdP67zw/edit#gid=1603210130"", ""TOURISM!$A$2:$F$2692""), {2,3,4,5,6},0))"),"The Americas")</f>
        <v>The Americas</v>
      </c>
      <c r="L739" s="14">
        <f>IFERROR(__xludf.DUMMYFUNCTION("""COMPUTED_VALUE"""),5.49E8)</f>
        <v>549000000</v>
      </c>
      <c r="M739" s="14" t="str">
        <f>IFERROR(__xludf.DUMMYFUNCTION("""COMPUTED_VALUE"""),"El Salvador-The Americas")</f>
        <v>El Salvador-The Americas</v>
      </c>
      <c r="N739" s="14" t="str">
        <f>IFERROR(__xludf.DUMMYFUNCTION("""COMPUTED_VALUE"""),"2009")</f>
        <v>2009</v>
      </c>
      <c r="O739" s="14">
        <f>IFERROR(__xludf.DUMMYFUNCTION("""COMPUTED_VALUE"""),2.53E8)</f>
        <v>253000000</v>
      </c>
      <c r="P739" s="15">
        <f>IFERROR(__xludf.DUMMYFUNCTION("ARRAYFORMULA(VLOOKUP(A739,IMPORTRANGE(""https://docs.google.com/spreadsheets/d/1BuTWp7qHGjWhqrnf-OmePP568O4A5Am9ttzvVdP67zw/edit#gid=771602874"" ,""HUMAN RESOURCES!$A$2:$M$2692""), {2,3,4,5,6,7,8,9,10,11,12,13},0))"),0.021)</f>
        <v>0.021</v>
      </c>
      <c r="Q739" s="14">
        <f>IFERROR(__xludf.DUMMYFUNCTION("""COMPUTED_VALUE"""),0.016)</f>
        <v>0.016</v>
      </c>
      <c r="R739" s="14">
        <f>IFERROR(__xludf.DUMMYFUNCTION("""COMPUTED_VALUE"""),76.0)</f>
        <v>76</v>
      </c>
      <c r="S739" s="14">
        <f>IFERROR(__xludf.DUMMYFUNCTION("""COMPUTED_VALUE"""),67.0)</f>
        <v>67</v>
      </c>
      <c r="T739" s="14">
        <f>IFERROR(__xludf.DUMMYFUNCTION("""COMPUTED_VALUE"""),0.328)</f>
        <v>0.328</v>
      </c>
      <c r="U739" s="14">
        <f>IFERROR(__xludf.DUMMYFUNCTION("""COMPUTED_VALUE"""),0.604)</f>
        <v>0.604</v>
      </c>
      <c r="V739" s="14">
        <f>IFERROR(__xludf.DUMMYFUNCTION("""COMPUTED_VALUE"""),0.068)</f>
        <v>0.068</v>
      </c>
      <c r="W739" s="14">
        <f>IFERROR(__xludf.DUMMYFUNCTION("""COMPUTED_VALUE"""),6183484.0)</f>
        <v>6183484</v>
      </c>
      <c r="X739" s="14">
        <f>IFERROR(__xludf.DUMMYFUNCTION("""COMPUTED_VALUE"""),0.638)</f>
        <v>0.638</v>
      </c>
      <c r="Y739" s="14" t="str">
        <f>IFERROR(__xludf.DUMMYFUNCTION("""COMPUTED_VALUE"""),"El Salvador-The Americas")</f>
        <v>El Salvador-The Americas</v>
      </c>
      <c r="Z739" s="14" t="str">
        <f>IFERROR(__xludf.DUMMYFUNCTION("""COMPUTED_VALUE"""),"The Americas")</f>
        <v>The Americas</v>
      </c>
      <c r="AA739" s="14" t="str">
        <f>IFERROR(__xludf.DUMMYFUNCTION("""COMPUTED_VALUE"""),"2009")</f>
        <v>2009</v>
      </c>
      <c r="AB739" s="15" t="str">
        <f>IFERROR(__xludf.DUMMYFUNCTION("ARRAYFORMULA(VLOOKUP(A739,IMPORTRANGE(""https://docs.google.com/spreadsheets/d/1BuTWp7qHGjWhqrnf-OmePP568O4A5Am9ttzvVdP67zw/edit#gid=1931367683"" ,""ENERGY!$A$2:$F$2692""), {2,3,4,5,6},0))"),"The Americas")</f>
        <v>The Americas</v>
      </c>
      <c r="AC739" s="14" t="str">
        <f>IFERROR(__xludf.DUMMYFUNCTION("""COMPUTED_VALUE"""),"El Salvador-The Americas")</f>
        <v>El Salvador-The Americas</v>
      </c>
      <c r="AD739" s="14" t="str">
        <f>IFERROR(__xludf.DUMMYFUNCTION("""COMPUTED_VALUE"""),"2009")</f>
        <v>2009</v>
      </c>
      <c r="AE739" s="14">
        <f>IFERROR(__xludf.DUMMYFUNCTION("""COMPUTED_VALUE"""),4418.0)</f>
        <v>4418</v>
      </c>
      <c r="AF739" s="14">
        <f>IFERROR(__xludf.DUMMYFUNCTION("""COMPUTED_VALUE"""),6553.0)</f>
        <v>6553</v>
      </c>
    </row>
    <row r="740">
      <c r="A740" s="12">
        <v>739.0</v>
      </c>
      <c r="B740" s="12" t="s">
        <v>135</v>
      </c>
      <c r="C740" s="5" t="s">
        <v>84</v>
      </c>
      <c r="D740" s="11">
        <v>0.348</v>
      </c>
      <c r="E740" s="11">
        <v>17.0</v>
      </c>
      <c r="F740" s="8"/>
      <c r="G740" s="11">
        <v>320.0</v>
      </c>
      <c r="H740" s="11">
        <v>0.159</v>
      </c>
      <c r="I740" s="11">
        <v>1.238</v>
      </c>
      <c r="J740" s="9" t="s">
        <v>71</v>
      </c>
      <c r="K740" s="14" t="str">
        <f>IFERROR(__xludf.DUMMYFUNCTION("ARRAYFORMULA(VLOOKUP(A740,IMPORTRANGE(""https://docs.google.com/spreadsheets/d/1BuTWp7qHGjWhqrnf-OmePP568O4A5Am9ttzvVdP67zw/edit#gid=1603210130"", ""TOURISM!$A$2:$F$2692""), {2,3,4,5,6},0))"),"The Americas")</f>
        <v>The Americas</v>
      </c>
      <c r="L740" s="14">
        <f>IFERROR(__xludf.DUMMYFUNCTION("""COMPUTED_VALUE"""),6.46E8)</f>
        <v>646000000</v>
      </c>
      <c r="M740" s="14" t="str">
        <f>IFERROR(__xludf.DUMMYFUNCTION("""COMPUTED_VALUE"""),"El Salvador-The Americas")</f>
        <v>El Salvador-The Americas</v>
      </c>
      <c r="N740" s="14" t="str">
        <f>IFERROR(__xludf.DUMMYFUNCTION("""COMPUTED_VALUE"""),"2010")</f>
        <v>2010</v>
      </c>
      <c r="O740" s="14">
        <f>IFERROR(__xludf.DUMMYFUNCTION("""COMPUTED_VALUE"""),2.8E8)</f>
        <v>280000000</v>
      </c>
      <c r="P740" s="15">
        <f>IFERROR(__xludf.DUMMYFUNCTION("ARRAYFORMULA(VLOOKUP(A740,IMPORTRANGE(""https://docs.google.com/spreadsheets/d/1BuTWp7qHGjWhqrnf-OmePP568O4A5Am9ttzvVdP67zw/edit#gid=771602874"" ,""HUMAN RESOURCES!$A$2:$M$2692""), {2,3,4,5,6,7,8,9,10,11,12,13},0))"),0.02)</f>
        <v>0.02</v>
      </c>
      <c r="Q740" s="14">
        <f>IFERROR(__xludf.DUMMYFUNCTION("""COMPUTED_VALUE"""),0.015)</f>
        <v>0.015</v>
      </c>
      <c r="R740" s="14">
        <f>IFERROR(__xludf.DUMMYFUNCTION("""COMPUTED_VALUE"""),76.0)</f>
        <v>76</v>
      </c>
      <c r="S740" s="14">
        <f>IFERROR(__xludf.DUMMYFUNCTION("""COMPUTED_VALUE"""),67.0)</f>
        <v>67</v>
      </c>
      <c r="T740" s="14">
        <f>IFERROR(__xludf.DUMMYFUNCTION("""COMPUTED_VALUE"""),0.321)</f>
        <v>0.321</v>
      </c>
      <c r="U740" s="14">
        <f>IFERROR(__xludf.DUMMYFUNCTION("""COMPUTED_VALUE"""),0.61)</f>
        <v>0.61</v>
      </c>
      <c r="V740" s="14">
        <f>IFERROR(__xludf.DUMMYFUNCTION("""COMPUTED_VALUE"""),0.069)</f>
        <v>0.069</v>
      </c>
      <c r="W740" s="14">
        <f>IFERROR(__xludf.DUMMYFUNCTION("""COMPUTED_VALUE"""),6218195.0)</f>
        <v>6218195</v>
      </c>
      <c r="X740" s="14">
        <f>IFERROR(__xludf.DUMMYFUNCTION("""COMPUTED_VALUE"""),0.643)</f>
        <v>0.643</v>
      </c>
      <c r="Y740" s="14" t="str">
        <f>IFERROR(__xludf.DUMMYFUNCTION("""COMPUTED_VALUE"""),"El Salvador-The Americas")</f>
        <v>El Salvador-The Americas</v>
      </c>
      <c r="Z740" s="14" t="str">
        <f>IFERROR(__xludf.DUMMYFUNCTION("""COMPUTED_VALUE"""),"The Americas")</f>
        <v>The Americas</v>
      </c>
      <c r="AA740" s="14" t="str">
        <f>IFERROR(__xludf.DUMMYFUNCTION("""COMPUTED_VALUE"""),"2010")</f>
        <v>2010</v>
      </c>
      <c r="AB740" s="15" t="str">
        <f>IFERROR(__xludf.DUMMYFUNCTION("ARRAYFORMULA(VLOOKUP(A740,IMPORTRANGE(""https://docs.google.com/spreadsheets/d/1BuTWp7qHGjWhqrnf-OmePP568O4A5Am9ttzvVdP67zw/edit#gid=1931367683"" ,""ENERGY!$A$2:$F$2692""), {2,3,4,5,6},0))"),"The Americas")</f>
        <v>The Americas</v>
      </c>
      <c r="AC740" s="14" t="str">
        <f>IFERROR(__xludf.DUMMYFUNCTION("""COMPUTED_VALUE"""),"El Salvador-The Americas")</f>
        <v>El Salvador-The Americas</v>
      </c>
      <c r="AD740" s="14" t="str">
        <f>IFERROR(__xludf.DUMMYFUNCTION("""COMPUTED_VALUE"""),"2008")</f>
        <v>2008</v>
      </c>
      <c r="AE740" s="14">
        <f>IFERROR(__xludf.DUMMYFUNCTION("""COMPUTED_VALUE"""),4232.0)</f>
        <v>4232</v>
      </c>
      <c r="AF740" s="14">
        <f>IFERROR(__xludf.DUMMYFUNCTION("""COMPUTED_VALUE"""),6040.0)</f>
        <v>6040</v>
      </c>
    </row>
    <row r="741">
      <c r="A741" s="12">
        <v>740.0</v>
      </c>
      <c r="B741" s="12" t="s">
        <v>135</v>
      </c>
      <c r="C741" s="5" t="s">
        <v>84</v>
      </c>
      <c r="D741" s="11">
        <v>0.348</v>
      </c>
      <c r="E741" s="11">
        <v>17.0</v>
      </c>
      <c r="F741" s="8"/>
      <c r="G741" s="11">
        <v>320.0</v>
      </c>
      <c r="H741" s="11">
        <v>0.189</v>
      </c>
      <c r="I741" s="11">
        <v>1.329</v>
      </c>
      <c r="J741" s="9" t="s">
        <v>72</v>
      </c>
      <c r="K741" s="14" t="str">
        <f>IFERROR(__xludf.DUMMYFUNCTION("ARRAYFORMULA(VLOOKUP(A741,IMPORTRANGE(""https://docs.google.com/spreadsheets/d/1BuTWp7qHGjWhqrnf-OmePP568O4A5Am9ttzvVdP67zw/edit#gid=1603210130"", ""TOURISM!$A$2:$F$2692""), {2,3,4,5,6},0))"),"The Americas")</f>
        <v>The Americas</v>
      </c>
      <c r="L741" s="14">
        <f>IFERROR(__xludf.DUMMYFUNCTION("""COMPUTED_VALUE"""),7.29E8)</f>
        <v>729000000</v>
      </c>
      <c r="M741" s="14" t="str">
        <f>IFERROR(__xludf.DUMMYFUNCTION("""COMPUTED_VALUE"""),"El Salvador-The Americas")</f>
        <v>El Salvador-The Americas</v>
      </c>
      <c r="N741" s="14" t="str">
        <f>IFERROR(__xludf.DUMMYFUNCTION("""COMPUTED_VALUE"""),"2011")</f>
        <v>2011</v>
      </c>
      <c r="O741" s="14">
        <f>IFERROR(__xludf.DUMMYFUNCTION("""COMPUTED_VALUE"""),2.44E8)</f>
        <v>244000000</v>
      </c>
      <c r="P741" s="15">
        <f>IFERROR(__xludf.DUMMYFUNCTION("ARRAYFORMULA(VLOOKUP(A741,IMPORTRANGE(""https://docs.google.com/spreadsheets/d/1BuTWp7qHGjWhqrnf-OmePP568O4A5Am9ttzvVdP67zw/edit#gid=771602874"" ,""HUMAN RESOURCES!$A$2:$M$2692""), {2,3,4,5,6,7,8,9,10,11,12,13},0))"),0.02)</f>
        <v>0.02</v>
      </c>
      <c r="Q741" s="14">
        <f>IFERROR(__xludf.DUMMYFUNCTION("""COMPUTED_VALUE"""),0.015)</f>
        <v>0.015</v>
      </c>
      <c r="R741" s="14">
        <f>IFERROR(__xludf.DUMMYFUNCTION("""COMPUTED_VALUE"""),77.0)</f>
        <v>77</v>
      </c>
      <c r="S741" s="14">
        <f>IFERROR(__xludf.DUMMYFUNCTION("""COMPUTED_VALUE"""),67.0)</f>
        <v>67</v>
      </c>
      <c r="T741" s="14">
        <f>IFERROR(__xludf.DUMMYFUNCTION("""COMPUTED_VALUE"""),0.313)</f>
        <v>0.313</v>
      </c>
      <c r="U741" s="14">
        <f>IFERROR(__xludf.DUMMYFUNCTION("""COMPUTED_VALUE"""),0.617)</f>
        <v>0.617</v>
      </c>
      <c r="V741" s="14">
        <f>IFERROR(__xludf.DUMMYFUNCTION("""COMPUTED_VALUE"""),0.07)</f>
        <v>0.07</v>
      </c>
      <c r="W741" s="14">
        <f>IFERROR(__xludf.DUMMYFUNCTION("""COMPUTED_VALUE"""),6256242.0)</f>
        <v>6256242</v>
      </c>
      <c r="X741" s="14">
        <f>IFERROR(__xludf.DUMMYFUNCTION("""COMPUTED_VALUE"""),0.648)</f>
        <v>0.648</v>
      </c>
      <c r="Y741" s="14" t="str">
        <f>IFERROR(__xludf.DUMMYFUNCTION("""COMPUTED_VALUE"""),"El Salvador-The Americas")</f>
        <v>El Salvador-The Americas</v>
      </c>
      <c r="Z741" s="14" t="str">
        <f>IFERROR(__xludf.DUMMYFUNCTION("""COMPUTED_VALUE"""),"The Americas")</f>
        <v>The Americas</v>
      </c>
      <c r="AA741" s="14" t="str">
        <f>IFERROR(__xludf.DUMMYFUNCTION("""COMPUTED_VALUE"""),"2011")</f>
        <v>2011</v>
      </c>
      <c r="AB741" s="15" t="str">
        <f>IFERROR(__xludf.DUMMYFUNCTION("ARRAYFORMULA(VLOOKUP(A741,IMPORTRANGE(""https://docs.google.com/spreadsheets/d/1BuTWp7qHGjWhqrnf-OmePP568O4A5Am9ttzvVdP67zw/edit#gid=1931367683"" ,""ENERGY!$A$2:$F$2692""), {2,3,4,5,6},0))"),"The Americas")</f>
        <v>The Americas</v>
      </c>
      <c r="AC741" s="14" t="str">
        <f>IFERROR(__xludf.DUMMYFUNCTION("""COMPUTED_VALUE"""),"El Salvador-The Americas")</f>
        <v>El Salvador-The Americas</v>
      </c>
      <c r="AD741" s="14" t="str">
        <f>IFERROR(__xludf.DUMMYFUNCTION("""COMPUTED_VALUE"""),"2004")</f>
        <v>2004</v>
      </c>
      <c r="AE741" s="14">
        <f>IFERROR(__xludf.DUMMYFUNCTION("""COMPUTED_VALUE"""),4151.0)</f>
        <v>4151</v>
      </c>
      <c r="AF741" s="14">
        <f>IFERROR(__xludf.DUMMYFUNCTION("""COMPUTED_VALUE"""),5948.0)</f>
        <v>5948</v>
      </c>
    </row>
    <row r="742">
      <c r="A742" s="12">
        <v>741.0</v>
      </c>
      <c r="B742" s="12" t="s">
        <v>135</v>
      </c>
      <c r="C742" s="5" t="s">
        <v>84</v>
      </c>
      <c r="D742" s="11">
        <v>0.348</v>
      </c>
      <c r="E742" s="11">
        <v>17.0</v>
      </c>
      <c r="F742" s="11">
        <v>115.0</v>
      </c>
      <c r="G742" s="11">
        <v>320.0</v>
      </c>
      <c r="H742" s="11">
        <v>0.203</v>
      </c>
      <c r="I742" s="11">
        <v>1.373</v>
      </c>
      <c r="J742" s="9" t="s">
        <v>73</v>
      </c>
      <c r="K742" s="14" t="str">
        <f>IFERROR(__xludf.DUMMYFUNCTION("ARRAYFORMULA(VLOOKUP(A742,IMPORTRANGE(""https://docs.google.com/spreadsheets/d/1BuTWp7qHGjWhqrnf-OmePP568O4A5Am9ttzvVdP67zw/edit#gid=1603210130"", ""TOURISM!$A$2:$F$2692""), {2,3,4,5,6},0))"),"The Americas")</f>
        <v>The Americas</v>
      </c>
      <c r="L742" s="14">
        <f>IFERROR(__xludf.DUMMYFUNCTION("""COMPUTED_VALUE"""),8.94E8)</f>
        <v>894000000</v>
      </c>
      <c r="M742" s="14" t="str">
        <f>IFERROR(__xludf.DUMMYFUNCTION("""COMPUTED_VALUE"""),"El Salvador-The Americas")</f>
        <v>El Salvador-The Americas</v>
      </c>
      <c r="N742" s="14" t="str">
        <f>IFERROR(__xludf.DUMMYFUNCTION("""COMPUTED_VALUE"""),"2012")</f>
        <v>2012</v>
      </c>
      <c r="O742" s="14">
        <f>IFERROR(__xludf.DUMMYFUNCTION("""COMPUTED_VALUE"""),2.86E8)</f>
        <v>286000000</v>
      </c>
      <c r="P742" s="15">
        <f>IFERROR(__xludf.DUMMYFUNCTION("ARRAYFORMULA(VLOOKUP(A742,IMPORTRANGE(""https://docs.google.com/spreadsheets/d/1BuTWp7qHGjWhqrnf-OmePP568O4A5Am9ttzvVdP67zw/edit#gid=771602874"" ,""HUMAN RESOURCES!$A$2:$M$2692""), {2,3,4,5,6,7,8,9,10,11,12,13},0))"),0.02)</f>
        <v>0.02</v>
      </c>
      <c r="Q742" s="14">
        <f>IFERROR(__xludf.DUMMYFUNCTION("""COMPUTED_VALUE"""),0.014)</f>
        <v>0.014</v>
      </c>
      <c r="R742" s="14">
        <f>IFERROR(__xludf.DUMMYFUNCTION("""COMPUTED_VALUE"""),77.0)</f>
        <v>77</v>
      </c>
      <c r="S742" s="14">
        <f>IFERROR(__xludf.DUMMYFUNCTION("""COMPUTED_VALUE"""),68.0)</f>
        <v>68</v>
      </c>
      <c r="T742" s="14">
        <f>IFERROR(__xludf.DUMMYFUNCTION("""COMPUTED_VALUE"""),0.306)</f>
        <v>0.306</v>
      </c>
      <c r="U742" s="14">
        <f>IFERROR(__xludf.DUMMYFUNCTION("""COMPUTED_VALUE"""),0.623)</f>
        <v>0.623</v>
      </c>
      <c r="V742" s="14">
        <f>IFERROR(__xludf.DUMMYFUNCTION("""COMPUTED_VALUE"""),0.071)</f>
        <v>0.071</v>
      </c>
      <c r="W742" s="14">
        <f>IFERROR(__xludf.DUMMYFUNCTION("""COMPUTED_VALUE"""),6297394.0)</f>
        <v>6297394</v>
      </c>
      <c r="X742" s="14">
        <f>IFERROR(__xludf.DUMMYFUNCTION("""COMPUTED_VALUE"""),0.653)</f>
        <v>0.653</v>
      </c>
      <c r="Y742" s="14" t="str">
        <f>IFERROR(__xludf.DUMMYFUNCTION("""COMPUTED_VALUE"""),"El Salvador-The Americas")</f>
        <v>El Salvador-The Americas</v>
      </c>
      <c r="Z742" s="14" t="str">
        <f>IFERROR(__xludf.DUMMYFUNCTION("""COMPUTED_VALUE"""),"The Americas")</f>
        <v>The Americas</v>
      </c>
      <c r="AA742" s="14" t="str">
        <f>IFERROR(__xludf.DUMMYFUNCTION("""COMPUTED_VALUE"""),"2012")</f>
        <v>2012</v>
      </c>
      <c r="AB742" s="15" t="str">
        <f>IFERROR(__xludf.DUMMYFUNCTION("ARRAYFORMULA(VLOOKUP(A742,IMPORTRANGE(""https://docs.google.com/spreadsheets/d/1BuTWp7qHGjWhqrnf-OmePP568O4A5Am9ttzvVdP67zw/edit#gid=1931367683"" ,""ENERGY!$A$2:$F$2692""), {2,3,4,5,6},0))"),"The Americas")</f>
        <v>The Americas</v>
      </c>
      <c r="AC742" s="14" t="str">
        <f>IFERROR(__xludf.DUMMYFUNCTION("""COMPUTED_VALUE"""),"El Salvador-The Americas")</f>
        <v>El Salvador-The Americas</v>
      </c>
      <c r="AD742" s="14" t="str">
        <f>IFERROR(__xludf.DUMMYFUNCTION("""COMPUTED_VALUE"""),"2009")</f>
        <v>2009</v>
      </c>
      <c r="AE742" s="14">
        <f>IFERROR(__xludf.DUMMYFUNCTION("""COMPUTED_VALUE"""),3968.0)</f>
        <v>3968</v>
      </c>
      <c r="AF742" s="14">
        <f>IFERROR(__xludf.DUMMYFUNCTION("""COMPUTED_VALUE"""),5743.0)</f>
        <v>5743</v>
      </c>
    </row>
    <row r="743">
      <c r="A743" s="12">
        <v>742.0</v>
      </c>
      <c r="B743" s="12" t="s">
        <v>136</v>
      </c>
      <c r="C743" s="5" t="s">
        <v>77</v>
      </c>
      <c r="D743" s="8"/>
      <c r="E743" s="8"/>
      <c r="F743" s="8"/>
      <c r="G743" s="8"/>
      <c r="H743" s="11">
        <v>0.001</v>
      </c>
      <c r="I743" s="11">
        <v>0.01</v>
      </c>
      <c r="J743" s="9" t="s">
        <v>60</v>
      </c>
      <c r="K743" s="14" t="str">
        <f>IFERROR(__xludf.DUMMYFUNCTION("ARRAYFORMULA(VLOOKUP(A743,IMPORTRANGE(""https://docs.google.com/spreadsheets/d/1BuTWp7qHGjWhqrnf-OmePP568O4A5Am9ttzvVdP67zw/edit#gid=1603210130"", ""TOURISM!$A$2:$F$2692""), {2,3,4,5,6},0))"),"Africa")</f>
        <v>Africa</v>
      </c>
      <c r="L743" s="14">
        <f>IFERROR(__xludf.DUMMYFUNCTION("""COMPUTED_VALUE"""),5000000.0)</f>
        <v>5000000</v>
      </c>
      <c r="M743" s="14" t="str">
        <f>IFERROR(__xludf.DUMMYFUNCTION("""COMPUTED_VALUE"""),"Equatorial Guinea-Africa")</f>
        <v>Equatorial Guinea-Africa</v>
      </c>
      <c r="N743" s="14" t="str">
        <f>IFERROR(__xludf.DUMMYFUNCTION("""COMPUTED_VALUE"""),"2000")</f>
        <v>2000</v>
      </c>
      <c r="O743" s="14">
        <f>IFERROR(__xludf.DUMMYFUNCTION("""COMPUTED_VALUE"""),1.9E7)</f>
        <v>19000000</v>
      </c>
      <c r="P743" s="15">
        <f>IFERROR(__xludf.DUMMYFUNCTION("ARRAYFORMULA(VLOOKUP(A743,IMPORTRANGE(""https://docs.google.com/spreadsheets/d/1BuTWp7qHGjWhqrnf-OmePP568O4A5Am9ttzvVdP67zw/edit#gid=771602874"" ,""HUMAN RESOURCES!$A$2:$M$2692""), {2,3,4,5,6,7,8,9,10,11,12,13},0))"),0.04)</f>
        <v>0.04</v>
      </c>
      <c r="Q743" s="14">
        <f>IFERROR(__xludf.DUMMYFUNCTION("""COMPUTED_VALUE"""),0.099)</f>
        <v>0.099</v>
      </c>
      <c r="R743" s="14">
        <f>IFERROR(__xludf.DUMMYFUNCTION("""COMPUTED_VALUE"""),49.0)</f>
        <v>49</v>
      </c>
      <c r="S743" s="14">
        <f>IFERROR(__xludf.DUMMYFUNCTION("""COMPUTED_VALUE"""),46.0)</f>
        <v>46</v>
      </c>
      <c r="T743" s="14">
        <f>IFERROR(__xludf.DUMMYFUNCTION("""COMPUTED_VALUE"""),0.426)</f>
        <v>0.426</v>
      </c>
      <c r="U743" s="14">
        <f>IFERROR(__xludf.DUMMYFUNCTION("""COMPUTED_VALUE"""),0.537)</f>
        <v>0.537</v>
      </c>
      <c r="V743" s="14">
        <f>IFERROR(__xludf.DUMMYFUNCTION("""COMPUTED_VALUE"""),0.037)</f>
        <v>0.037</v>
      </c>
      <c r="W743" s="14">
        <f>IFERROR(__xludf.DUMMYFUNCTION("""COMPUTED_VALUE"""),518179.0)</f>
        <v>518179</v>
      </c>
      <c r="X743" s="14">
        <f>IFERROR(__xludf.DUMMYFUNCTION("""COMPUTED_VALUE"""),0.388)</f>
        <v>0.388</v>
      </c>
      <c r="Y743" s="14" t="str">
        <f>IFERROR(__xludf.DUMMYFUNCTION("""COMPUTED_VALUE"""),"Equatorial Guinea-Africa")</f>
        <v>Equatorial Guinea-Africa</v>
      </c>
      <c r="Z743" s="14" t="str">
        <f>IFERROR(__xludf.DUMMYFUNCTION("""COMPUTED_VALUE"""),"Africa")</f>
        <v>Africa</v>
      </c>
      <c r="AA743" s="14" t="str">
        <f>IFERROR(__xludf.DUMMYFUNCTION("""COMPUTED_VALUE"""),"2000")</f>
        <v>2000</v>
      </c>
      <c r="AB743" s="15" t="str">
        <f>IFERROR(__xludf.DUMMYFUNCTION("ARRAYFORMULA(VLOOKUP(A743,IMPORTRANGE(""https://docs.google.com/spreadsheets/d/1BuTWp7qHGjWhqrnf-OmePP568O4A5Am9ttzvVdP67zw/edit#gid=1931367683"" ,""ENERGY!$A$2:$F$2692""), {2,3,4,5,6},0))"),"Africa")</f>
        <v>Africa</v>
      </c>
      <c r="AC743" s="14" t="str">
        <f>IFERROR(__xludf.DUMMYFUNCTION("""COMPUTED_VALUE"""),"Equatorial Guinea-Africa")</f>
        <v>Equatorial Guinea-Africa</v>
      </c>
      <c r="AD743" s="14" t="str">
        <f>IFERROR(__xludf.DUMMYFUNCTION("""COMPUTED_VALUE"""),"2000")</f>
        <v>2000</v>
      </c>
      <c r="AE743" s="14"/>
      <c r="AF743" s="14"/>
    </row>
    <row r="744">
      <c r="A744" s="12">
        <v>743.0</v>
      </c>
      <c r="B744" s="12" t="s">
        <v>136</v>
      </c>
      <c r="C744" s="5" t="s">
        <v>77</v>
      </c>
      <c r="D744" s="8"/>
      <c r="E744" s="8"/>
      <c r="F744" s="8"/>
      <c r="G744" s="8"/>
      <c r="H744" s="11">
        <v>0.002</v>
      </c>
      <c r="I744" s="11">
        <v>0.028</v>
      </c>
      <c r="J744" s="9" t="s">
        <v>62</v>
      </c>
      <c r="K744" s="14" t="str">
        <f>IFERROR(__xludf.DUMMYFUNCTION("ARRAYFORMULA(VLOOKUP(A744,IMPORTRANGE(""https://docs.google.com/spreadsheets/d/1BuTWp7qHGjWhqrnf-OmePP568O4A5Am9ttzvVdP67zw/edit#gid=1603210130"", ""TOURISM!$A$2:$F$2692""), {2,3,4,5,6},0))"),"Africa")</f>
        <v>Africa</v>
      </c>
      <c r="L744" s="14">
        <f>IFERROR(__xludf.DUMMYFUNCTION("""COMPUTED_VALUE"""),1.4E7)</f>
        <v>14000000</v>
      </c>
      <c r="M744" s="14" t="str">
        <f>IFERROR(__xludf.DUMMYFUNCTION("""COMPUTED_VALUE"""),"Equatorial Guinea-Africa")</f>
        <v>Equatorial Guinea-Africa</v>
      </c>
      <c r="N744" s="14" t="str">
        <f>IFERROR(__xludf.DUMMYFUNCTION("""COMPUTED_VALUE"""),"2001")</f>
        <v>2001</v>
      </c>
      <c r="O744" s="14">
        <f>IFERROR(__xludf.DUMMYFUNCTION("""COMPUTED_VALUE"""),3.0E7)</f>
        <v>30000000</v>
      </c>
      <c r="P744" s="15">
        <f>IFERROR(__xludf.DUMMYFUNCTION("ARRAYFORMULA(VLOOKUP(A744,IMPORTRANGE(""https://docs.google.com/spreadsheets/d/1BuTWp7qHGjWhqrnf-OmePP568O4A5Am9ttzvVdP67zw/edit#gid=771602874"" ,""HUMAN RESOURCES!$A$2:$M$2692""), {2,3,4,5,6,7,8,9,10,11,12,13},0))"),0.039)</f>
        <v>0.039</v>
      </c>
      <c r="Q744" s="14">
        <f>IFERROR(__xludf.DUMMYFUNCTION("""COMPUTED_VALUE"""),0.096)</f>
        <v>0.096</v>
      </c>
      <c r="R744" s="14">
        <f>IFERROR(__xludf.DUMMYFUNCTION("""COMPUTED_VALUE"""),49.0)</f>
        <v>49</v>
      </c>
      <c r="S744" s="14">
        <f>IFERROR(__xludf.DUMMYFUNCTION("""COMPUTED_VALUE"""),47.0)</f>
        <v>47</v>
      </c>
      <c r="T744" s="14">
        <f>IFERROR(__xludf.DUMMYFUNCTION("""COMPUTED_VALUE"""),0.423)</f>
        <v>0.423</v>
      </c>
      <c r="U744" s="14">
        <f>IFERROR(__xludf.DUMMYFUNCTION("""COMPUTED_VALUE"""),0.541)</f>
        <v>0.541</v>
      </c>
      <c r="V744" s="14">
        <f>IFERROR(__xludf.DUMMYFUNCTION("""COMPUTED_VALUE"""),0.036)</f>
        <v>0.036</v>
      </c>
      <c r="W744" s="14">
        <f>IFERROR(__xludf.DUMMYFUNCTION("""COMPUTED_VALUE"""),534592.0)</f>
        <v>534592</v>
      </c>
      <c r="X744" s="14">
        <f>IFERROR(__xludf.DUMMYFUNCTION("""COMPUTED_VALUE"""),0.388)</f>
        <v>0.388</v>
      </c>
      <c r="Y744" s="14" t="str">
        <f>IFERROR(__xludf.DUMMYFUNCTION("""COMPUTED_VALUE"""),"Equatorial Guinea-Africa")</f>
        <v>Equatorial Guinea-Africa</v>
      </c>
      <c r="Z744" s="14" t="str">
        <f>IFERROR(__xludf.DUMMYFUNCTION("""COMPUTED_VALUE"""),"Africa")</f>
        <v>Africa</v>
      </c>
      <c r="AA744" s="14" t="str">
        <f>IFERROR(__xludf.DUMMYFUNCTION("""COMPUTED_VALUE"""),"2001")</f>
        <v>2001</v>
      </c>
      <c r="AB744" s="15" t="str">
        <f>IFERROR(__xludf.DUMMYFUNCTION("ARRAYFORMULA(VLOOKUP(A744,IMPORTRANGE(""https://docs.google.com/spreadsheets/d/1BuTWp7qHGjWhqrnf-OmePP568O4A5Am9ttzvVdP67zw/edit#gid=1931367683"" ,""ENERGY!$A$2:$F$2692""), {2,3,4,5,6},0))"),"Africa")</f>
        <v>Africa</v>
      </c>
      <c r="AC744" s="14" t="str">
        <f>IFERROR(__xludf.DUMMYFUNCTION("""COMPUTED_VALUE"""),"Equatorial Guinea-Africa")</f>
        <v>Equatorial Guinea-Africa</v>
      </c>
      <c r="AD744" s="14" t="str">
        <f>IFERROR(__xludf.DUMMYFUNCTION("""COMPUTED_VALUE"""),"2001")</f>
        <v>2001</v>
      </c>
      <c r="AE744" s="14"/>
      <c r="AF744" s="14"/>
    </row>
    <row r="745">
      <c r="A745" s="12">
        <v>744.0</v>
      </c>
      <c r="B745" s="12" t="s">
        <v>136</v>
      </c>
      <c r="C745" s="5" t="s">
        <v>77</v>
      </c>
      <c r="D745" s="8"/>
      <c r="E745" s="8"/>
      <c r="F745" s="8"/>
      <c r="G745" s="8"/>
      <c r="H745" s="11">
        <v>0.003</v>
      </c>
      <c r="I745" s="11">
        <v>0.058</v>
      </c>
      <c r="J745" s="9" t="s">
        <v>63</v>
      </c>
      <c r="K745" s="14" t="str">
        <f>IFERROR(__xludf.DUMMYFUNCTION("ARRAYFORMULA(VLOOKUP(A745,IMPORTRANGE(""https://docs.google.com/spreadsheets/d/1BuTWp7qHGjWhqrnf-OmePP568O4A5Am9ttzvVdP67zw/edit#gid=1603210130"", ""TOURISM!$A$2:$F$2692""), {2,3,4,5,6},0))"),"Africa")</f>
        <v>Africa</v>
      </c>
      <c r="L745" s="14"/>
      <c r="M745" s="14" t="str">
        <f>IFERROR(__xludf.DUMMYFUNCTION("""COMPUTED_VALUE"""),"Equatorial Guinea-Africa")</f>
        <v>Equatorial Guinea-Africa</v>
      </c>
      <c r="N745" s="14" t="str">
        <f>IFERROR(__xludf.DUMMYFUNCTION("""COMPUTED_VALUE"""),"2002")</f>
        <v>2002</v>
      </c>
      <c r="O745" s="14"/>
      <c r="P745" s="15">
        <f>IFERROR(__xludf.DUMMYFUNCTION("ARRAYFORMULA(VLOOKUP(A745,IMPORTRANGE(""https://docs.google.com/spreadsheets/d/1BuTWp7qHGjWhqrnf-OmePP568O4A5Am9ttzvVdP67zw/edit#gid=771602874"" ,""HUMAN RESOURCES!$A$2:$M$2692""), {2,3,4,5,6,7,8,9,10,11,12,13},0))"),0.039)</f>
        <v>0.039</v>
      </c>
      <c r="Q745" s="14">
        <f>IFERROR(__xludf.DUMMYFUNCTION("""COMPUTED_VALUE"""),0.094)</f>
        <v>0.094</v>
      </c>
      <c r="R745" s="14">
        <f>IFERROR(__xludf.DUMMYFUNCTION("""COMPUTED_VALUE"""),49.0)</f>
        <v>49</v>
      </c>
      <c r="S745" s="14">
        <f>IFERROR(__xludf.DUMMYFUNCTION("""COMPUTED_VALUE"""),47.0)</f>
        <v>47</v>
      </c>
      <c r="T745" s="14">
        <f>IFERROR(__xludf.DUMMYFUNCTION("""COMPUTED_VALUE"""),0.419)</f>
        <v>0.419</v>
      </c>
      <c r="U745" s="14">
        <f>IFERROR(__xludf.DUMMYFUNCTION("""COMPUTED_VALUE"""),0.546)</f>
        <v>0.546</v>
      </c>
      <c r="V745" s="14">
        <f>IFERROR(__xludf.DUMMYFUNCTION("""COMPUTED_VALUE"""),0.035)</f>
        <v>0.035</v>
      </c>
      <c r="W745" s="14">
        <f>IFERROR(__xludf.DUMMYFUNCTION("""COMPUTED_VALUE"""),551399.0)</f>
        <v>551399</v>
      </c>
      <c r="X745" s="14">
        <f>IFERROR(__xludf.DUMMYFUNCTION("""COMPUTED_VALUE"""),0.388)</f>
        <v>0.388</v>
      </c>
      <c r="Y745" s="14" t="str">
        <f>IFERROR(__xludf.DUMMYFUNCTION("""COMPUTED_VALUE"""),"Equatorial Guinea-Africa")</f>
        <v>Equatorial Guinea-Africa</v>
      </c>
      <c r="Z745" s="14" t="str">
        <f>IFERROR(__xludf.DUMMYFUNCTION("""COMPUTED_VALUE"""),"Africa")</f>
        <v>Africa</v>
      </c>
      <c r="AA745" s="14" t="str">
        <f>IFERROR(__xludf.DUMMYFUNCTION("""COMPUTED_VALUE"""),"2002")</f>
        <v>2002</v>
      </c>
      <c r="AB745" s="15" t="str">
        <f>IFERROR(__xludf.DUMMYFUNCTION("ARRAYFORMULA(VLOOKUP(A745,IMPORTRANGE(""https://docs.google.com/spreadsheets/d/1BuTWp7qHGjWhqrnf-OmePP568O4A5Am9ttzvVdP67zw/edit#gid=1931367683"" ,""ENERGY!$A$2:$F$2692""), {2,3,4,5,6},0))"),"Africa")</f>
        <v>Africa</v>
      </c>
      <c r="AC745" s="14" t="str">
        <f>IFERROR(__xludf.DUMMYFUNCTION("""COMPUTED_VALUE"""),"Equatorial Guinea-Africa")</f>
        <v>Equatorial Guinea-Africa</v>
      </c>
      <c r="AD745" s="14" t="str">
        <f>IFERROR(__xludf.DUMMYFUNCTION("""COMPUTED_VALUE"""),"2002")</f>
        <v>2002</v>
      </c>
      <c r="AE745" s="14"/>
      <c r="AF745" s="14">
        <f>IFERROR(__xludf.DUMMYFUNCTION("""COMPUTED_VALUE"""),4679.0)</f>
        <v>4679</v>
      </c>
    </row>
    <row r="746">
      <c r="A746" s="12">
        <v>745.0</v>
      </c>
      <c r="B746" s="12" t="s">
        <v>136</v>
      </c>
      <c r="C746" s="5" t="s">
        <v>77</v>
      </c>
      <c r="D746" s="8"/>
      <c r="E746" s="8"/>
      <c r="F746" s="8"/>
      <c r="G746" s="8"/>
      <c r="H746" s="11">
        <v>0.005</v>
      </c>
      <c r="I746" s="11">
        <v>0.073</v>
      </c>
      <c r="J746" s="9" t="s">
        <v>64</v>
      </c>
      <c r="K746" s="14" t="str">
        <f>IFERROR(__xludf.DUMMYFUNCTION("ARRAYFORMULA(VLOOKUP(A746,IMPORTRANGE(""https://docs.google.com/spreadsheets/d/1BuTWp7qHGjWhqrnf-OmePP568O4A5Am9ttzvVdP67zw/edit#gid=1603210130"", ""TOURISM!$A$2:$F$2692""), {2,3,4,5,6},0))"),"Africa")</f>
        <v>Africa</v>
      </c>
      <c r="L746" s="14"/>
      <c r="M746" s="14" t="str">
        <f>IFERROR(__xludf.DUMMYFUNCTION("""COMPUTED_VALUE"""),"Equatorial Guinea-Africa")</f>
        <v>Equatorial Guinea-Africa</v>
      </c>
      <c r="N746" s="14" t="str">
        <f>IFERROR(__xludf.DUMMYFUNCTION("""COMPUTED_VALUE"""),"2003")</f>
        <v>2003</v>
      </c>
      <c r="O746" s="14"/>
      <c r="P746" s="15">
        <f>IFERROR(__xludf.DUMMYFUNCTION("ARRAYFORMULA(VLOOKUP(A746,IMPORTRANGE(""https://docs.google.com/spreadsheets/d/1BuTWp7qHGjWhqrnf-OmePP568O4A5Am9ttzvVdP67zw/edit#gid=771602874"" ,""HUMAN RESOURCES!$A$2:$M$2692""), {2,3,4,5,6,7,8,9,10,11,12,13},0))"),0.038)</f>
        <v>0.038</v>
      </c>
      <c r="Q746" s="14">
        <f>IFERROR(__xludf.DUMMYFUNCTION("""COMPUTED_VALUE"""),0.092)</f>
        <v>0.092</v>
      </c>
      <c r="R746" s="14">
        <f>IFERROR(__xludf.DUMMYFUNCTION("""COMPUTED_VALUE"""),49.0)</f>
        <v>49</v>
      </c>
      <c r="S746" s="14">
        <f>IFERROR(__xludf.DUMMYFUNCTION("""COMPUTED_VALUE"""),47.0)</f>
        <v>47</v>
      </c>
      <c r="T746" s="14">
        <f>IFERROR(__xludf.DUMMYFUNCTION("""COMPUTED_VALUE"""),0.415)</f>
        <v>0.415</v>
      </c>
      <c r="U746" s="14">
        <f>IFERROR(__xludf.DUMMYFUNCTION("""COMPUTED_VALUE"""),0.551)</f>
        <v>0.551</v>
      </c>
      <c r="V746" s="14">
        <f>IFERROR(__xludf.DUMMYFUNCTION("""COMPUTED_VALUE"""),0.034)</f>
        <v>0.034</v>
      </c>
      <c r="W746" s="14">
        <f>IFERROR(__xludf.DUMMYFUNCTION("""COMPUTED_VALUE"""),568552.0)</f>
        <v>568552</v>
      </c>
      <c r="X746" s="14">
        <f>IFERROR(__xludf.DUMMYFUNCTION("""COMPUTED_VALUE"""),0.388)</f>
        <v>0.388</v>
      </c>
      <c r="Y746" s="14" t="str">
        <f>IFERROR(__xludf.DUMMYFUNCTION("""COMPUTED_VALUE"""),"Equatorial Guinea-Africa")</f>
        <v>Equatorial Guinea-Africa</v>
      </c>
      <c r="Z746" s="14" t="str">
        <f>IFERROR(__xludf.DUMMYFUNCTION("""COMPUTED_VALUE"""),"Africa")</f>
        <v>Africa</v>
      </c>
      <c r="AA746" s="14" t="str">
        <f>IFERROR(__xludf.DUMMYFUNCTION("""COMPUTED_VALUE"""),"2003")</f>
        <v>2003</v>
      </c>
      <c r="AB746" s="15" t="str">
        <f>IFERROR(__xludf.DUMMYFUNCTION("ARRAYFORMULA(VLOOKUP(A746,IMPORTRANGE(""https://docs.google.com/spreadsheets/d/1BuTWp7qHGjWhqrnf-OmePP568O4A5Am9ttzvVdP67zw/edit#gid=1931367683"" ,""ENERGY!$A$2:$F$2692""), {2,3,4,5,6},0))"),"Africa")</f>
        <v>Africa</v>
      </c>
      <c r="AC746" s="14" t="str">
        <f>IFERROR(__xludf.DUMMYFUNCTION("""COMPUTED_VALUE"""),"Equatorial Guinea-Africa")</f>
        <v>Equatorial Guinea-Africa</v>
      </c>
      <c r="AD746" s="14" t="str">
        <f>IFERROR(__xludf.DUMMYFUNCTION("""COMPUTED_VALUE"""),"2003")</f>
        <v>2003</v>
      </c>
      <c r="AE746" s="14"/>
      <c r="AF746" s="14">
        <f>IFERROR(__xludf.DUMMYFUNCTION("""COMPUTED_VALUE"""),4620.0)</f>
        <v>4620</v>
      </c>
    </row>
    <row r="747">
      <c r="A747" s="12">
        <v>746.0</v>
      </c>
      <c r="B747" s="12" t="s">
        <v>136</v>
      </c>
      <c r="C747" s="5" t="s">
        <v>77</v>
      </c>
      <c r="D747" s="8"/>
      <c r="E747" s="8"/>
      <c r="F747" s="8"/>
      <c r="G747" s="8"/>
      <c r="H747" s="11">
        <v>0.008</v>
      </c>
      <c r="I747" s="11">
        <v>0.106</v>
      </c>
      <c r="J747" s="9" t="s">
        <v>65</v>
      </c>
      <c r="K747" s="14" t="str">
        <f>IFERROR(__xludf.DUMMYFUNCTION("ARRAYFORMULA(VLOOKUP(A747,IMPORTRANGE(""https://docs.google.com/spreadsheets/d/1BuTWp7qHGjWhqrnf-OmePP568O4A5Am9ttzvVdP67zw/edit#gid=1603210130"", ""TOURISM!$A$2:$F$2692""), {2,3,4,5,6},0))"),"Africa")</f>
        <v>Africa</v>
      </c>
      <c r="L747" s="14"/>
      <c r="M747" s="14" t="str">
        <f>IFERROR(__xludf.DUMMYFUNCTION("""COMPUTED_VALUE"""),"Equatorial Guinea-Africa")</f>
        <v>Equatorial Guinea-Africa</v>
      </c>
      <c r="N747" s="14" t="str">
        <f>IFERROR(__xludf.DUMMYFUNCTION("""COMPUTED_VALUE"""),"2004")</f>
        <v>2004</v>
      </c>
      <c r="O747" s="14"/>
      <c r="P747" s="15">
        <f>IFERROR(__xludf.DUMMYFUNCTION("ARRAYFORMULA(VLOOKUP(A747,IMPORTRANGE(""https://docs.google.com/spreadsheets/d/1BuTWp7qHGjWhqrnf-OmePP568O4A5Am9ttzvVdP67zw/edit#gid=771602874"" ,""HUMAN RESOURCES!$A$2:$M$2692""), {2,3,4,5,6,7,8,9,10,11,12,13},0))"),0.038)</f>
        <v>0.038</v>
      </c>
      <c r="Q747" s="14">
        <f>IFERROR(__xludf.DUMMYFUNCTION("""COMPUTED_VALUE"""),0.089)</f>
        <v>0.089</v>
      </c>
      <c r="R747" s="14">
        <f>IFERROR(__xludf.DUMMYFUNCTION("""COMPUTED_VALUE"""),50.0)</f>
        <v>50</v>
      </c>
      <c r="S747" s="14">
        <f>IFERROR(__xludf.DUMMYFUNCTION("""COMPUTED_VALUE"""),47.0)</f>
        <v>47</v>
      </c>
      <c r="T747" s="14">
        <f>IFERROR(__xludf.DUMMYFUNCTION("""COMPUTED_VALUE"""),0.41)</f>
        <v>0.41</v>
      </c>
      <c r="U747" s="14">
        <f>IFERROR(__xludf.DUMMYFUNCTION("""COMPUTED_VALUE"""),0.557)</f>
        <v>0.557</v>
      </c>
      <c r="V747" s="14">
        <f>IFERROR(__xludf.DUMMYFUNCTION("""COMPUTED_VALUE"""),0.033)</f>
        <v>0.033</v>
      </c>
      <c r="W747" s="14">
        <f>IFERROR(__xludf.DUMMYFUNCTION("""COMPUTED_VALUE"""),585983.0)</f>
        <v>585983</v>
      </c>
      <c r="X747" s="14">
        <f>IFERROR(__xludf.DUMMYFUNCTION("""COMPUTED_VALUE"""),0.388)</f>
        <v>0.388</v>
      </c>
      <c r="Y747" s="14" t="str">
        <f>IFERROR(__xludf.DUMMYFUNCTION("""COMPUTED_VALUE"""),"Equatorial Guinea-Africa")</f>
        <v>Equatorial Guinea-Africa</v>
      </c>
      <c r="Z747" s="14" t="str">
        <f>IFERROR(__xludf.DUMMYFUNCTION("""COMPUTED_VALUE"""),"Africa")</f>
        <v>Africa</v>
      </c>
      <c r="AA747" s="14" t="str">
        <f>IFERROR(__xludf.DUMMYFUNCTION("""COMPUTED_VALUE"""),"2004")</f>
        <v>2004</v>
      </c>
      <c r="AB747" s="15" t="str">
        <f>IFERROR(__xludf.DUMMYFUNCTION("ARRAYFORMULA(VLOOKUP(A747,IMPORTRANGE(""https://docs.google.com/spreadsheets/d/1BuTWp7qHGjWhqrnf-OmePP568O4A5Am9ttzvVdP67zw/edit#gid=1931367683"" ,""ENERGY!$A$2:$F$2692""), {2,3,4,5,6},0))"),"Africa")</f>
        <v>Africa</v>
      </c>
      <c r="AC747" s="14" t="str">
        <f>IFERROR(__xludf.DUMMYFUNCTION("""COMPUTED_VALUE"""),"Equatorial Guinea-Africa")</f>
        <v>Equatorial Guinea-Africa</v>
      </c>
      <c r="AD747" s="14" t="str">
        <f>IFERROR(__xludf.DUMMYFUNCTION("""COMPUTED_VALUE"""),"2004")</f>
        <v>2004</v>
      </c>
      <c r="AE747" s="14"/>
      <c r="AF747" s="14">
        <f>IFERROR(__xludf.DUMMYFUNCTION("""COMPUTED_VALUE"""),4503.0)</f>
        <v>4503</v>
      </c>
    </row>
    <row r="748">
      <c r="A748" s="12">
        <v>747.0</v>
      </c>
      <c r="B748" s="12" t="s">
        <v>136</v>
      </c>
      <c r="C748" s="5" t="s">
        <v>77</v>
      </c>
      <c r="D748" s="11">
        <v>0.441</v>
      </c>
      <c r="E748" s="11">
        <v>137.0</v>
      </c>
      <c r="F748" s="8"/>
      <c r="G748" s="11">
        <v>492.0</v>
      </c>
      <c r="H748" s="11">
        <v>0.011</v>
      </c>
      <c r="I748" s="11">
        <v>0.161</v>
      </c>
      <c r="J748" s="9" t="s">
        <v>66</v>
      </c>
      <c r="K748" s="14" t="str">
        <f>IFERROR(__xludf.DUMMYFUNCTION("ARRAYFORMULA(VLOOKUP(A748,IMPORTRANGE(""https://docs.google.com/spreadsheets/d/1BuTWp7qHGjWhqrnf-OmePP568O4A5Am9ttzvVdP67zw/edit#gid=1603210130"", ""TOURISM!$A$2:$F$2692""), {2,3,4,5,6},0))"),"Africa")</f>
        <v>Africa</v>
      </c>
      <c r="L748" s="14"/>
      <c r="M748" s="14" t="str">
        <f>IFERROR(__xludf.DUMMYFUNCTION("""COMPUTED_VALUE"""),"Equatorial Guinea-Africa")</f>
        <v>Equatorial Guinea-Africa</v>
      </c>
      <c r="N748" s="14" t="str">
        <f>IFERROR(__xludf.DUMMYFUNCTION("""COMPUTED_VALUE"""),"2005")</f>
        <v>2005</v>
      </c>
      <c r="O748" s="14"/>
      <c r="P748" s="15">
        <f>IFERROR(__xludf.DUMMYFUNCTION("ARRAYFORMULA(VLOOKUP(A748,IMPORTRANGE(""https://docs.google.com/spreadsheets/d/1BuTWp7qHGjWhqrnf-OmePP568O4A5Am9ttzvVdP67zw/edit#gid=771602874"" ,""HUMAN RESOURCES!$A$2:$M$2692""), {2,3,4,5,6,7,8,9,10,11,12,13},0))"),0.038)</f>
        <v>0.038</v>
      </c>
      <c r="Q748" s="14">
        <f>IFERROR(__xludf.DUMMYFUNCTION("""COMPUTED_VALUE"""),0.087)</f>
        <v>0.087</v>
      </c>
      <c r="R748" s="14">
        <f>IFERROR(__xludf.DUMMYFUNCTION("""COMPUTED_VALUE"""),50.0)</f>
        <v>50</v>
      </c>
      <c r="S748" s="14">
        <f>IFERROR(__xludf.DUMMYFUNCTION("""COMPUTED_VALUE"""),48.0)</f>
        <v>48</v>
      </c>
      <c r="T748" s="14">
        <f>IFERROR(__xludf.DUMMYFUNCTION("""COMPUTED_VALUE"""),0.406)</f>
        <v>0.406</v>
      </c>
      <c r="U748" s="14">
        <f>IFERROR(__xludf.DUMMYFUNCTION("""COMPUTED_VALUE"""),0.561)</f>
        <v>0.561</v>
      </c>
      <c r="V748" s="14">
        <f>IFERROR(__xludf.DUMMYFUNCTION("""COMPUTED_VALUE"""),0.032)</f>
        <v>0.032</v>
      </c>
      <c r="W748" s="14">
        <f>IFERROR(__xludf.DUMMYFUNCTION("""COMPUTED_VALUE"""),603648.0)</f>
        <v>603648</v>
      </c>
      <c r="X748" s="14">
        <f>IFERROR(__xludf.DUMMYFUNCTION("""COMPUTED_VALUE"""),0.389)</f>
        <v>0.389</v>
      </c>
      <c r="Y748" s="14" t="str">
        <f>IFERROR(__xludf.DUMMYFUNCTION("""COMPUTED_VALUE"""),"Equatorial Guinea-Africa")</f>
        <v>Equatorial Guinea-Africa</v>
      </c>
      <c r="Z748" s="14" t="str">
        <f>IFERROR(__xludf.DUMMYFUNCTION("""COMPUTED_VALUE"""),"Africa")</f>
        <v>Africa</v>
      </c>
      <c r="AA748" s="14" t="str">
        <f>IFERROR(__xludf.DUMMYFUNCTION("""COMPUTED_VALUE"""),"2005")</f>
        <v>2005</v>
      </c>
      <c r="AB748" s="15" t="str">
        <f>IFERROR(__xludf.DUMMYFUNCTION("ARRAYFORMULA(VLOOKUP(A748,IMPORTRANGE(""https://docs.google.com/spreadsheets/d/1BuTWp7qHGjWhqrnf-OmePP568O4A5Am9ttzvVdP67zw/edit#gid=1931367683"" ,""ENERGY!$A$2:$F$2692""), {2,3,4,5,6},0))"),"Africa")</f>
        <v>Africa</v>
      </c>
      <c r="AC748" s="14" t="str">
        <f>IFERROR(__xludf.DUMMYFUNCTION("""COMPUTED_VALUE"""),"Equatorial Guinea-Africa")</f>
        <v>Equatorial Guinea-Africa</v>
      </c>
      <c r="AD748" s="14" t="str">
        <f>IFERROR(__xludf.DUMMYFUNCTION("""COMPUTED_VALUE"""),"2006")</f>
        <v>2006</v>
      </c>
      <c r="AE748" s="14">
        <f>IFERROR(__xludf.DUMMYFUNCTION("""COMPUTED_VALUE"""),1759.0)</f>
        <v>1759</v>
      </c>
      <c r="AF748" s="14">
        <f>IFERROR(__xludf.DUMMYFUNCTION("""COMPUTED_VALUE"""),4796.0)</f>
        <v>4796</v>
      </c>
    </row>
    <row r="749">
      <c r="A749" s="12">
        <v>748.0</v>
      </c>
      <c r="B749" s="12" t="s">
        <v>136</v>
      </c>
      <c r="C749" s="5" t="s">
        <v>77</v>
      </c>
      <c r="D749" s="11">
        <v>0.441</v>
      </c>
      <c r="E749" s="11">
        <v>135.0</v>
      </c>
      <c r="F749" s="8"/>
      <c r="G749" s="11">
        <v>492.0</v>
      </c>
      <c r="H749" s="11">
        <v>0.013</v>
      </c>
      <c r="I749" s="11">
        <v>0.193</v>
      </c>
      <c r="J749" s="9" t="s">
        <v>67</v>
      </c>
      <c r="K749" s="14" t="str">
        <f>IFERROR(__xludf.DUMMYFUNCTION("ARRAYFORMULA(VLOOKUP(A749,IMPORTRANGE(""https://docs.google.com/spreadsheets/d/1BuTWp7qHGjWhqrnf-OmePP568O4A5Am9ttzvVdP67zw/edit#gid=1603210130"", ""TOURISM!$A$2:$F$2692""), {2,3,4,5,6},0))"),"Africa")</f>
        <v>Africa</v>
      </c>
      <c r="L749" s="14"/>
      <c r="M749" s="14" t="str">
        <f>IFERROR(__xludf.DUMMYFUNCTION("""COMPUTED_VALUE"""),"Equatorial Guinea-Africa")</f>
        <v>Equatorial Guinea-Africa</v>
      </c>
      <c r="N749" s="14" t="str">
        <f>IFERROR(__xludf.DUMMYFUNCTION("""COMPUTED_VALUE"""),"2006")</f>
        <v>2006</v>
      </c>
      <c r="O749" s="14"/>
      <c r="P749" s="15">
        <f>IFERROR(__xludf.DUMMYFUNCTION("ARRAYFORMULA(VLOOKUP(A749,IMPORTRANGE(""https://docs.google.com/spreadsheets/d/1BuTWp7qHGjWhqrnf-OmePP568O4A5Am9ttzvVdP67zw/edit#gid=771602874"" ,""HUMAN RESOURCES!$A$2:$M$2692""), {2,3,4,5,6,7,8,9,10,11,12,13},0))"),0.038)</f>
        <v>0.038</v>
      </c>
      <c r="Q749" s="14">
        <f>IFERROR(__xludf.DUMMYFUNCTION("""COMPUTED_VALUE"""),0.085)</f>
        <v>0.085</v>
      </c>
      <c r="R749" s="14">
        <f>IFERROR(__xludf.DUMMYFUNCTION("""COMPUTED_VALUE"""),51.0)</f>
        <v>51</v>
      </c>
      <c r="S749" s="14">
        <f>IFERROR(__xludf.DUMMYFUNCTION("""COMPUTED_VALUE"""),48.0)</f>
        <v>48</v>
      </c>
      <c r="T749" s="14">
        <f>IFERROR(__xludf.DUMMYFUNCTION("""COMPUTED_VALUE"""),0.403)</f>
        <v>0.403</v>
      </c>
      <c r="U749" s="14">
        <f>IFERROR(__xludf.DUMMYFUNCTION("""COMPUTED_VALUE"""),0.566)</f>
        <v>0.566</v>
      </c>
      <c r="V749" s="14">
        <f>IFERROR(__xludf.DUMMYFUNCTION("""COMPUTED_VALUE"""),0.032)</f>
        <v>0.032</v>
      </c>
      <c r="W749" s="14">
        <f>IFERROR(__xludf.DUMMYFUNCTION("""COMPUTED_VALUE"""),621517.0)</f>
        <v>621517</v>
      </c>
      <c r="X749" s="14">
        <f>IFERROR(__xludf.DUMMYFUNCTION("""COMPUTED_VALUE"""),0.389)</f>
        <v>0.389</v>
      </c>
      <c r="Y749" s="14" t="str">
        <f>IFERROR(__xludf.DUMMYFUNCTION("""COMPUTED_VALUE"""),"Equatorial Guinea-Africa")</f>
        <v>Equatorial Guinea-Africa</v>
      </c>
      <c r="Z749" s="14" t="str">
        <f>IFERROR(__xludf.DUMMYFUNCTION("""COMPUTED_VALUE"""),"Africa")</f>
        <v>Africa</v>
      </c>
      <c r="AA749" s="14" t="str">
        <f>IFERROR(__xludf.DUMMYFUNCTION("""COMPUTED_VALUE"""),"2006")</f>
        <v>2006</v>
      </c>
      <c r="AB749" s="15" t="str">
        <f>IFERROR(__xludf.DUMMYFUNCTION("ARRAYFORMULA(VLOOKUP(A749,IMPORTRANGE(""https://docs.google.com/spreadsheets/d/1BuTWp7qHGjWhqrnf-OmePP568O4A5Am9ttzvVdP67zw/edit#gid=1931367683"" ,""ENERGY!$A$2:$F$2692""), {2,3,4,5,6},0))"),"Africa")</f>
        <v>Africa</v>
      </c>
      <c r="AC749" s="14" t="str">
        <f>IFERROR(__xludf.DUMMYFUNCTION("""COMPUTED_VALUE"""),"Equatorial Guinea-Africa")</f>
        <v>Equatorial Guinea-Africa</v>
      </c>
      <c r="AD749" s="14" t="str">
        <f>IFERROR(__xludf.DUMMYFUNCTION("""COMPUTED_VALUE"""),"2010")</f>
        <v>2010</v>
      </c>
      <c r="AE749" s="14">
        <f>IFERROR(__xludf.DUMMYFUNCTION("""COMPUTED_VALUE"""),1503.0)</f>
        <v>1503</v>
      </c>
      <c r="AF749" s="14">
        <f>IFERROR(__xludf.DUMMYFUNCTION("""COMPUTED_VALUE"""),4752.0)</f>
        <v>4752</v>
      </c>
    </row>
    <row r="750">
      <c r="A750" s="12">
        <v>749.0</v>
      </c>
      <c r="B750" s="12" t="s">
        <v>136</v>
      </c>
      <c r="C750" s="5" t="s">
        <v>77</v>
      </c>
      <c r="D750" s="11">
        <v>0.441</v>
      </c>
      <c r="E750" s="11">
        <v>135.0</v>
      </c>
      <c r="F750" s="8"/>
      <c r="G750" s="11">
        <v>492.0</v>
      </c>
      <c r="H750" s="11">
        <v>0.016</v>
      </c>
      <c r="I750" s="11">
        <v>0.235</v>
      </c>
      <c r="J750" s="9" t="s">
        <v>68</v>
      </c>
      <c r="K750" s="14" t="str">
        <f>IFERROR(__xludf.DUMMYFUNCTION("ARRAYFORMULA(VLOOKUP(A750,IMPORTRANGE(""https://docs.google.com/spreadsheets/d/1BuTWp7qHGjWhqrnf-OmePP568O4A5Am9ttzvVdP67zw/edit#gid=1603210130"", ""TOURISM!$A$2:$F$2692""), {2,3,4,5,6},0))"),"Africa")</f>
        <v>Africa</v>
      </c>
      <c r="L750" s="14"/>
      <c r="M750" s="14" t="str">
        <f>IFERROR(__xludf.DUMMYFUNCTION("""COMPUTED_VALUE"""),"Equatorial Guinea-Africa")</f>
        <v>Equatorial Guinea-Africa</v>
      </c>
      <c r="N750" s="14" t="str">
        <f>IFERROR(__xludf.DUMMYFUNCTION("""COMPUTED_VALUE"""),"2007")</f>
        <v>2007</v>
      </c>
      <c r="O750" s="14"/>
      <c r="P750" s="15">
        <f>IFERROR(__xludf.DUMMYFUNCTION("ARRAYFORMULA(VLOOKUP(A750,IMPORTRANGE(""https://docs.google.com/spreadsheets/d/1BuTWp7qHGjWhqrnf-OmePP568O4A5Am9ttzvVdP67zw/edit#gid=771602874"" ,""HUMAN RESOURCES!$A$2:$M$2692""), {2,3,4,5,6,7,8,9,10,11,12,13},0))"),0.038)</f>
        <v>0.038</v>
      </c>
      <c r="Q750" s="14">
        <f>IFERROR(__xludf.DUMMYFUNCTION("""COMPUTED_VALUE"""),0.082)</f>
        <v>0.082</v>
      </c>
      <c r="R750" s="14">
        <f>IFERROR(__xludf.DUMMYFUNCTION("""COMPUTED_VALUE"""),51.0)</f>
        <v>51</v>
      </c>
      <c r="S750" s="14">
        <f>IFERROR(__xludf.DUMMYFUNCTION("""COMPUTED_VALUE"""),49.0)</f>
        <v>49</v>
      </c>
      <c r="T750" s="14">
        <f>IFERROR(__xludf.DUMMYFUNCTION("""COMPUTED_VALUE"""),0.4)</f>
        <v>0.4</v>
      </c>
      <c r="U750" s="14">
        <f>IFERROR(__xludf.DUMMYFUNCTION("""COMPUTED_VALUE"""),0.569)</f>
        <v>0.569</v>
      </c>
      <c r="V750" s="14">
        <f>IFERROR(__xludf.DUMMYFUNCTION("""COMPUTED_VALUE"""),0.031)</f>
        <v>0.031</v>
      </c>
      <c r="W750" s="14">
        <f>IFERROR(__xludf.DUMMYFUNCTION("""COMPUTED_VALUE"""),639618.0)</f>
        <v>639618</v>
      </c>
      <c r="X750" s="14">
        <f>IFERROR(__xludf.DUMMYFUNCTION("""COMPUTED_VALUE"""),0.39)</f>
        <v>0.39</v>
      </c>
      <c r="Y750" s="14" t="str">
        <f>IFERROR(__xludf.DUMMYFUNCTION("""COMPUTED_VALUE"""),"Equatorial Guinea-Africa")</f>
        <v>Equatorial Guinea-Africa</v>
      </c>
      <c r="Z750" s="14" t="str">
        <f>IFERROR(__xludf.DUMMYFUNCTION("""COMPUTED_VALUE"""),"Africa")</f>
        <v>Africa</v>
      </c>
      <c r="AA750" s="14" t="str">
        <f>IFERROR(__xludf.DUMMYFUNCTION("""COMPUTED_VALUE"""),"2007")</f>
        <v>2007</v>
      </c>
      <c r="AB750" s="15" t="str">
        <f>IFERROR(__xludf.DUMMYFUNCTION("ARRAYFORMULA(VLOOKUP(A750,IMPORTRANGE(""https://docs.google.com/spreadsheets/d/1BuTWp7qHGjWhqrnf-OmePP568O4A5Am9ttzvVdP67zw/edit#gid=1931367683"" ,""ENERGY!$A$2:$F$2692""), {2,3,4,5,6},0))"),"Africa")</f>
        <v>Africa</v>
      </c>
      <c r="AC750" s="14" t="str">
        <f>IFERROR(__xludf.DUMMYFUNCTION("""COMPUTED_VALUE"""),"Equatorial Guinea-Africa")</f>
        <v>Equatorial Guinea-Africa</v>
      </c>
      <c r="AD750" s="14" t="str">
        <f>IFERROR(__xludf.DUMMYFUNCTION("""COMPUTED_VALUE"""),"2007")</f>
        <v>2007</v>
      </c>
      <c r="AE750" s="14">
        <f>IFERROR(__xludf.DUMMYFUNCTION("""COMPUTED_VALUE"""),1249.0)</f>
        <v>1249</v>
      </c>
      <c r="AF750" s="14">
        <f>IFERROR(__xludf.DUMMYFUNCTION("""COMPUTED_VALUE"""),4712.0)</f>
        <v>4712</v>
      </c>
    </row>
    <row r="751">
      <c r="A751" s="12">
        <v>750.0</v>
      </c>
      <c r="B751" s="12" t="s">
        <v>136</v>
      </c>
      <c r="C751" s="5" t="s">
        <v>77</v>
      </c>
      <c r="D751" s="11">
        <v>0.441</v>
      </c>
      <c r="E751" s="11">
        <v>135.0</v>
      </c>
      <c r="F751" s="8"/>
      <c r="G751" s="11">
        <v>492.0</v>
      </c>
      <c r="H751" s="11">
        <v>0.018</v>
      </c>
      <c r="I751" s="11">
        <v>0.274</v>
      </c>
      <c r="J751" s="9" t="s">
        <v>69</v>
      </c>
      <c r="K751" s="14" t="str">
        <f>IFERROR(__xludf.DUMMYFUNCTION("ARRAYFORMULA(VLOOKUP(A751,IMPORTRANGE(""https://docs.google.com/spreadsheets/d/1BuTWp7qHGjWhqrnf-OmePP568O4A5Am9ttzvVdP67zw/edit#gid=1603210130"", ""TOURISM!$A$2:$F$2692""), {2,3,4,5,6},0))"),"Africa")</f>
        <v>Africa</v>
      </c>
      <c r="L751" s="14"/>
      <c r="M751" s="14" t="str">
        <f>IFERROR(__xludf.DUMMYFUNCTION("""COMPUTED_VALUE"""),"Equatorial Guinea-Africa")</f>
        <v>Equatorial Guinea-Africa</v>
      </c>
      <c r="N751" s="14" t="str">
        <f>IFERROR(__xludf.DUMMYFUNCTION("""COMPUTED_VALUE"""),"2008")</f>
        <v>2008</v>
      </c>
      <c r="O751" s="14"/>
      <c r="P751" s="15">
        <f>IFERROR(__xludf.DUMMYFUNCTION("ARRAYFORMULA(VLOOKUP(A751,IMPORTRANGE(""https://docs.google.com/spreadsheets/d/1BuTWp7qHGjWhqrnf-OmePP568O4A5Am9ttzvVdP67zw/edit#gid=771602874"" ,""HUMAN RESOURCES!$A$2:$M$2692""), {2,3,4,5,6,7,8,9,10,11,12,13},0))"),0.037)</f>
        <v>0.037</v>
      </c>
      <c r="Q751" s="14">
        <f>IFERROR(__xludf.DUMMYFUNCTION("""COMPUTED_VALUE"""),0.08)</f>
        <v>0.08</v>
      </c>
      <c r="R751" s="14">
        <f>IFERROR(__xludf.DUMMYFUNCTION("""COMPUTED_VALUE"""),52.0)</f>
        <v>52</v>
      </c>
      <c r="S751" s="14">
        <f>IFERROR(__xludf.DUMMYFUNCTION("""COMPUTED_VALUE"""),49.0)</f>
        <v>49</v>
      </c>
      <c r="T751" s="14">
        <f>IFERROR(__xludf.DUMMYFUNCTION("""COMPUTED_VALUE"""),0.397)</f>
        <v>0.397</v>
      </c>
      <c r="U751" s="14">
        <f>IFERROR(__xludf.DUMMYFUNCTION("""COMPUTED_VALUE"""),0.572)</f>
        <v>0.572</v>
      </c>
      <c r="V751" s="14">
        <f>IFERROR(__xludf.DUMMYFUNCTION("""COMPUTED_VALUE"""),0.03)</f>
        <v>0.03</v>
      </c>
      <c r="W751" s="14">
        <f>IFERROR(__xludf.DUMMYFUNCTION("""COMPUTED_VALUE"""),658025.0)</f>
        <v>658025</v>
      </c>
      <c r="X751" s="14">
        <f>IFERROR(__xludf.DUMMYFUNCTION("""COMPUTED_VALUE"""),0.39)</f>
        <v>0.39</v>
      </c>
      <c r="Y751" s="14" t="str">
        <f>IFERROR(__xludf.DUMMYFUNCTION("""COMPUTED_VALUE"""),"Equatorial Guinea-Africa")</f>
        <v>Equatorial Guinea-Africa</v>
      </c>
      <c r="Z751" s="14" t="str">
        <f>IFERROR(__xludf.DUMMYFUNCTION("""COMPUTED_VALUE"""),"Africa")</f>
        <v>Africa</v>
      </c>
      <c r="AA751" s="14" t="str">
        <f>IFERROR(__xludf.DUMMYFUNCTION("""COMPUTED_VALUE"""),"2008")</f>
        <v>2008</v>
      </c>
      <c r="AB751" s="15" t="str">
        <f>IFERROR(__xludf.DUMMYFUNCTION("ARRAYFORMULA(VLOOKUP(A751,IMPORTRANGE(""https://docs.google.com/spreadsheets/d/1BuTWp7qHGjWhqrnf-OmePP568O4A5Am9ttzvVdP67zw/edit#gid=1931367683"" ,""ENERGY!$A$2:$F$2692""), {2,3,4,5,6},0))"),"Africa")</f>
        <v>Africa</v>
      </c>
      <c r="AC751" s="14" t="str">
        <f>IFERROR(__xludf.DUMMYFUNCTION("""COMPUTED_VALUE"""),"Equatorial Guinea-Africa")</f>
        <v>Equatorial Guinea-Africa</v>
      </c>
      <c r="AD751" s="14" t="str">
        <f>IFERROR(__xludf.DUMMYFUNCTION("""COMPUTED_VALUE"""),"2005")</f>
        <v>2005</v>
      </c>
      <c r="AE751" s="14">
        <f>IFERROR(__xludf.DUMMYFUNCTION("""COMPUTED_VALUE"""),762.0)</f>
        <v>762</v>
      </c>
      <c r="AF751" s="14">
        <f>IFERROR(__xludf.DUMMYFUNCTION("""COMPUTED_VALUE"""),5218.0)</f>
        <v>5218</v>
      </c>
    </row>
    <row r="752">
      <c r="A752" s="12">
        <v>751.0</v>
      </c>
      <c r="B752" s="12" t="s">
        <v>136</v>
      </c>
      <c r="C752" s="5" t="s">
        <v>77</v>
      </c>
      <c r="D752" s="11">
        <v>0.441</v>
      </c>
      <c r="E752" s="11">
        <v>135.0</v>
      </c>
      <c r="F752" s="8"/>
      <c r="G752" s="11">
        <v>492.0</v>
      </c>
      <c r="H752" s="11">
        <v>0.021</v>
      </c>
      <c r="I752" s="11">
        <v>0.295</v>
      </c>
      <c r="J752" s="9" t="s">
        <v>70</v>
      </c>
      <c r="K752" s="14" t="str">
        <f>IFERROR(__xludf.DUMMYFUNCTION("ARRAYFORMULA(VLOOKUP(A752,IMPORTRANGE(""https://docs.google.com/spreadsheets/d/1BuTWp7qHGjWhqrnf-OmePP568O4A5Am9ttzvVdP67zw/edit#gid=1603210130"", ""TOURISM!$A$2:$F$2692""), {2,3,4,5,6},0))"),"Africa")</f>
        <v>Africa</v>
      </c>
      <c r="L752" s="14"/>
      <c r="M752" s="14" t="str">
        <f>IFERROR(__xludf.DUMMYFUNCTION("""COMPUTED_VALUE"""),"Equatorial Guinea-Africa")</f>
        <v>Equatorial Guinea-Africa</v>
      </c>
      <c r="N752" s="14" t="str">
        <f>IFERROR(__xludf.DUMMYFUNCTION("""COMPUTED_VALUE"""),"2009")</f>
        <v>2009</v>
      </c>
      <c r="O752" s="14"/>
      <c r="P752" s="15">
        <f>IFERROR(__xludf.DUMMYFUNCTION("ARRAYFORMULA(VLOOKUP(A752,IMPORTRANGE(""https://docs.google.com/spreadsheets/d/1BuTWp7qHGjWhqrnf-OmePP568O4A5Am9ttzvVdP67zw/edit#gid=771602874"" ,""HUMAN RESOURCES!$A$2:$M$2692""), {2,3,4,5,6,7,8,9,10,11,12,13},0))"),0.037)</f>
        <v>0.037</v>
      </c>
      <c r="Q752" s="14">
        <f>IFERROR(__xludf.DUMMYFUNCTION("""COMPUTED_VALUE"""),0.078)</f>
        <v>0.078</v>
      </c>
      <c r="R752" s="14">
        <f>IFERROR(__xludf.DUMMYFUNCTION("""COMPUTED_VALUE"""),52.0)</f>
        <v>52</v>
      </c>
      <c r="S752" s="14">
        <f>IFERROR(__xludf.DUMMYFUNCTION("""COMPUTED_VALUE"""),50.0)</f>
        <v>50</v>
      </c>
      <c r="T752" s="14">
        <f>IFERROR(__xludf.DUMMYFUNCTION("""COMPUTED_VALUE"""),0.395)</f>
        <v>0.395</v>
      </c>
      <c r="U752" s="14">
        <f>IFERROR(__xludf.DUMMYFUNCTION("""COMPUTED_VALUE"""),0.575)</f>
        <v>0.575</v>
      </c>
      <c r="V752" s="14">
        <f>IFERROR(__xludf.DUMMYFUNCTION("""COMPUTED_VALUE"""),0.03)</f>
        <v>0.03</v>
      </c>
      <c r="W752" s="14">
        <f>IFERROR(__xludf.DUMMYFUNCTION("""COMPUTED_VALUE"""),676851.0)</f>
        <v>676851</v>
      </c>
      <c r="X752" s="14">
        <f>IFERROR(__xludf.DUMMYFUNCTION("""COMPUTED_VALUE"""),0.391)</f>
        <v>0.391</v>
      </c>
      <c r="Y752" s="14" t="str">
        <f>IFERROR(__xludf.DUMMYFUNCTION("""COMPUTED_VALUE"""),"Equatorial Guinea-Africa")</f>
        <v>Equatorial Guinea-Africa</v>
      </c>
      <c r="Z752" s="14" t="str">
        <f>IFERROR(__xludf.DUMMYFUNCTION("""COMPUTED_VALUE"""),"Africa")</f>
        <v>Africa</v>
      </c>
      <c r="AA752" s="14" t="str">
        <f>IFERROR(__xludf.DUMMYFUNCTION("""COMPUTED_VALUE"""),"2009")</f>
        <v>2009</v>
      </c>
      <c r="AB752" s="15" t="str">
        <f>IFERROR(__xludf.DUMMYFUNCTION("ARRAYFORMULA(VLOOKUP(A752,IMPORTRANGE(""https://docs.google.com/spreadsheets/d/1BuTWp7qHGjWhqrnf-OmePP568O4A5Am9ttzvVdP67zw/edit#gid=1931367683"" ,""ENERGY!$A$2:$F$2692""), {2,3,4,5,6},0))"),"Africa")</f>
        <v>Africa</v>
      </c>
      <c r="AC752" s="14" t="str">
        <f>IFERROR(__xludf.DUMMYFUNCTION("""COMPUTED_VALUE"""),"Equatorial Guinea-Africa")</f>
        <v>Equatorial Guinea-Africa</v>
      </c>
      <c r="AD752" s="14" t="str">
        <f>IFERROR(__xludf.DUMMYFUNCTION("""COMPUTED_VALUE"""),"2009")</f>
        <v>2009</v>
      </c>
      <c r="AE752" s="14"/>
      <c r="AF752" s="14">
        <f>IFERROR(__xludf.DUMMYFUNCTION("""COMPUTED_VALUE"""),6018.0)</f>
        <v>6018</v>
      </c>
    </row>
    <row r="753">
      <c r="A753" s="12">
        <v>752.0</v>
      </c>
      <c r="B753" s="12" t="s">
        <v>136</v>
      </c>
      <c r="C753" s="5" t="s">
        <v>77</v>
      </c>
      <c r="D753" s="11">
        <v>0.441</v>
      </c>
      <c r="E753" s="11">
        <v>135.0</v>
      </c>
      <c r="F753" s="8"/>
      <c r="G753" s="11">
        <v>492.0</v>
      </c>
      <c r="H753" s="11">
        <v>0.06</v>
      </c>
      <c r="I753" s="11">
        <v>0.574</v>
      </c>
      <c r="J753" s="9" t="s">
        <v>71</v>
      </c>
      <c r="K753" s="14" t="str">
        <f>IFERROR(__xludf.DUMMYFUNCTION("ARRAYFORMULA(VLOOKUP(A753,IMPORTRANGE(""https://docs.google.com/spreadsheets/d/1BuTWp7qHGjWhqrnf-OmePP568O4A5Am9ttzvVdP67zw/edit#gid=1603210130"", ""TOURISM!$A$2:$F$2692""), {2,3,4,5,6},0))"),"Africa")</f>
        <v>Africa</v>
      </c>
      <c r="L753" s="14"/>
      <c r="M753" s="14" t="str">
        <f>IFERROR(__xludf.DUMMYFUNCTION("""COMPUTED_VALUE"""),"Equatorial Guinea-Africa")</f>
        <v>Equatorial Guinea-Africa</v>
      </c>
      <c r="N753" s="14" t="str">
        <f>IFERROR(__xludf.DUMMYFUNCTION("""COMPUTED_VALUE"""),"2010")</f>
        <v>2010</v>
      </c>
      <c r="O753" s="14"/>
      <c r="P753" s="15">
        <f>IFERROR(__xludf.DUMMYFUNCTION("ARRAYFORMULA(VLOOKUP(A753,IMPORTRANGE(""https://docs.google.com/spreadsheets/d/1BuTWp7qHGjWhqrnf-OmePP568O4A5Am9ttzvVdP67zw/edit#gid=771602874"" ,""HUMAN RESOURCES!$A$2:$M$2692""), {2,3,4,5,6,7,8,9,10,11,12,13},0))"),0.037)</f>
        <v>0.037</v>
      </c>
      <c r="Q753" s="14">
        <f>IFERROR(__xludf.DUMMYFUNCTION("""COMPUTED_VALUE"""),0.076)</f>
        <v>0.076</v>
      </c>
      <c r="R753" s="14">
        <f>IFERROR(__xludf.DUMMYFUNCTION("""COMPUTED_VALUE"""),53.0)</f>
        <v>53</v>
      </c>
      <c r="S753" s="14">
        <f>IFERROR(__xludf.DUMMYFUNCTION("""COMPUTED_VALUE"""),50.0)</f>
        <v>50</v>
      </c>
      <c r="T753" s="14">
        <f>IFERROR(__xludf.DUMMYFUNCTION("""COMPUTED_VALUE"""),0.393)</f>
        <v>0.393</v>
      </c>
      <c r="U753" s="14">
        <f>IFERROR(__xludf.DUMMYFUNCTION("""COMPUTED_VALUE"""),0.578)</f>
        <v>0.578</v>
      </c>
      <c r="V753" s="14">
        <f>IFERROR(__xludf.DUMMYFUNCTION("""COMPUTED_VALUE"""),0.029)</f>
        <v>0.029</v>
      </c>
      <c r="W753" s="14">
        <f>IFERROR(__xludf.DUMMYFUNCTION("""COMPUTED_VALUE"""),696167.0)</f>
        <v>696167</v>
      </c>
      <c r="X753" s="14">
        <f>IFERROR(__xludf.DUMMYFUNCTION("""COMPUTED_VALUE"""),0.392)</f>
        <v>0.392</v>
      </c>
      <c r="Y753" s="14" t="str">
        <f>IFERROR(__xludf.DUMMYFUNCTION("""COMPUTED_VALUE"""),"Equatorial Guinea-Africa")</f>
        <v>Equatorial Guinea-Africa</v>
      </c>
      <c r="Z753" s="14" t="str">
        <f>IFERROR(__xludf.DUMMYFUNCTION("""COMPUTED_VALUE"""),"Africa")</f>
        <v>Africa</v>
      </c>
      <c r="AA753" s="14" t="str">
        <f>IFERROR(__xludf.DUMMYFUNCTION("""COMPUTED_VALUE"""),"2010")</f>
        <v>2010</v>
      </c>
      <c r="AB753" s="15" t="str">
        <f>IFERROR(__xludf.DUMMYFUNCTION("ARRAYFORMULA(VLOOKUP(A753,IMPORTRANGE(""https://docs.google.com/spreadsheets/d/1BuTWp7qHGjWhqrnf-OmePP568O4A5Am9ttzvVdP67zw/edit#gid=1931367683"" ,""ENERGY!$A$2:$F$2692""), {2,3,4,5,6},0))"),"Africa")</f>
        <v>Africa</v>
      </c>
      <c r="AC753" s="14" t="str">
        <f>IFERROR(__xludf.DUMMYFUNCTION("""COMPUTED_VALUE"""),"Equatorial Guinea-Africa")</f>
        <v>Equatorial Guinea-Africa</v>
      </c>
      <c r="AD753" s="14" t="str">
        <f>IFERROR(__xludf.DUMMYFUNCTION("""COMPUTED_VALUE"""),"2008")</f>
        <v>2008</v>
      </c>
      <c r="AE753" s="14"/>
      <c r="AF753" s="14">
        <f>IFERROR(__xludf.DUMMYFUNCTION("""COMPUTED_VALUE"""),4980.0)</f>
        <v>4980</v>
      </c>
    </row>
    <row r="754">
      <c r="A754" s="12">
        <v>753.0</v>
      </c>
      <c r="B754" s="12" t="s">
        <v>136</v>
      </c>
      <c r="C754" s="5" t="s">
        <v>77</v>
      </c>
      <c r="D754" s="11">
        <v>0.441</v>
      </c>
      <c r="E754" s="11">
        <v>135.0</v>
      </c>
      <c r="F754" s="8"/>
      <c r="G754" s="11">
        <v>492.0</v>
      </c>
      <c r="H754" s="11">
        <v>0.115</v>
      </c>
      <c r="I754" s="11">
        <v>0.669</v>
      </c>
      <c r="J754" s="9" t="s">
        <v>72</v>
      </c>
      <c r="K754" s="14" t="str">
        <f>IFERROR(__xludf.DUMMYFUNCTION("ARRAYFORMULA(VLOOKUP(A754,IMPORTRANGE(""https://docs.google.com/spreadsheets/d/1BuTWp7qHGjWhqrnf-OmePP568O4A5Am9ttzvVdP67zw/edit#gid=1603210130"", ""TOURISM!$A$2:$F$2692""), {2,3,4,5,6},0))"),"Africa")</f>
        <v>Africa</v>
      </c>
      <c r="L754" s="14"/>
      <c r="M754" s="14" t="str">
        <f>IFERROR(__xludf.DUMMYFUNCTION("""COMPUTED_VALUE"""),"Equatorial Guinea-Africa")</f>
        <v>Equatorial Guinea-Africa</v>
      </c>
      <c r="N754" s="14" t="str">
        <f>IFERROR(__xludf.DUMMYFUNCTION("""COMPUTED_VALUE"""),"2011")</f>
        <v>2011</v>
      </c>
      <c r="O754" s="14"/>
      <c r="P754" s="15">
        <f>IFERROR(__xludf.DUMMYFUNCTION("ARRAYFORMULA(VLOOKUP(A754,IMPORTRANGE(""https://docs.google.com/spreadsheets/d/1BuTWp7qHGjWhqrnf-OmePP568O4A5Am9ttzvVdP67zw/edit#gid=771602874"" ,""HUMAN RESOURCES!$A$2:$M$2692""), {2,3,4,5,6,7,8,9,10,11,12,13},0))"),0.036)</f>
        <v>0.036</v>
      </c>
      <c r="Q754" s="14">
        <f>IFERROR(__xludf.DUMMYFUNCTION("""COMPUTED_VALUE"""),0.073)</f>
        <v>0.073</v>
      </c>
      <c r="R754" s="14">
        <f>IFERROR(__xludf.DUMMYFUNCTION("""COMPUTED_VALUE"""),54.0)</f>
        <v>54</v>
      </c>
      <c r="S754" s="14">
        <f>IFERROR(__xludf.DUMMYFUNCTION("""COMPUTED_VALUE"""),51.0)</f>
        <v>51</v>
      </c>
      <c r="T754" s="14">
        <f>IFERROR(__xludf.DUMMYFUNCTION("""COMPUTED_VALUE"""),0.391)</f>
        <v>0.391</v>
      </c>
      <c r="U754" s="14">
        <f>IFERROR(__xludf.DUMMYFUNCTION("""COMPUTED_VALUE"""),0.58)</f>
        <v>0.58</v>
      </c>
      <c r="V754" s="14">
        <f>IFERROR(__xludf.DUMMYFUNCTION("""COMPUTED_VALUE"""),0.029)</f>
        <v>0.029</v>
      </c>
      <c r="W754" s="14">
        <f>IFERROR(__xludf.DUMMYFUNCTION("""COMPUTED_VALUE"""),715996.0)</f>
        <v>715996</v>
      </c>
      <c r="X754" s="14">
        <f>IFERROR(__xludf.DUMMYFUNCTION("""COMPUTED_VALUE"""),0.393)</f>
        <v>0.393</v>
      </c>
      <c r="Y754" s="14" t="str">
        <f>IFERROR(__xludf.DUMMYFUNCTION("""COMPUTED_VALUE"""),"Equatorial Guinea-Africa")</f>
        <v>Equatorial Guinea-Africa</v>
      </c>
      <c r="Z754" s="14" t="str">
        <f>IFERROR(__xludf.DUMMYFUNCTION("""COMPUTED_VALUE"""),"Africa")</f>
        <v>Africa</v>
      </c>
      <c r="AA754" s="14" t="str">
        <f>IFERROR(__xludf.DUMMYFUNCTION("""COMPUTED_VALUE"""),"2011")</f>
        <v>2011</v>
      </c>
      <c r="AB754" s="15" t="str">
        <f>IFERROR(__xludf.DUMMYFUNCTION("ARRAYFORMULA(VLOOKUP(A754,IMPORTRANGE(""https://docs.google.com/spreadsheets/d/1BuTWp7qHGjWhqrnf-OmePP568O4A5Am9ttzvVdP67zw/edit#gid=1931367683"" ,""ENERGY!$A$2:$F$2692""), {2,3,4,5,6},0))"),"Africa")</f>
        <v>Africa</v>
      </c>
      <c r="AC754" s="14" t="str">
        <f>IFERROR(__xludf.DUMMYFUNCTION("""COMPUTED_VALUE"""),"Equatorial Guinea-Africa")</f>
        <v>Equatorial Guinea-Africa</v>
      </c>
      <c r="AD754" s="14" t="str">
        <f>IFERROR(__xludf.DUMMYFUNCTION("""COMPUTED_VALUE"""),"2004")</f>
        <v>2004</v>
      </c>
      <c r="AE754" s="14"/>
      <c r="AF754" s="14">
        <f>IFERROR(__xludf.DUMMYFUNCTION("""COMPUTED_VALUE"""),3095.0)</f>
        <v>3095</v>
      </c>
    </row>
    <row r="755">
      <c r="A755" s="12">
        <v>754.0</v>
      </c>
      <c r="B755" s="12" t="s">
        <v>136</v>
      </c>
      <c r="C755" s="5" t="s">
        <v>77</v>
      </c>
      <c r="D755" s="11">
        <v>0.441</v>
      </c>
      <c r="E755" s="11">
        <v>135.0</v>
      </c>
      <c r="F755" s="11">
        <v>164.0</v>
      </c>
      <c r="G755" s="11">
        <v>492.0</v>
      </c>
      <c r="H755" s="11">
        <v>0.139</v>
      </c>
      <c r="I755" s="11">
        <v>0.681</v>
      </c>
      <c r="J755" s="9" t="s">
        <v>73</v>
      </c>
      <c r="K755" s="14" t="str">
        <f>IFERROR(__xludf.DUMMYFUNCTION("ARRAYFORMULA(VLOOKUP(A755,IMPORTRANGE(""https://docs.google.com/spreadsheets/d/1BuTWp7qHGjWhqrnf-OmePP568O4A5Am9ttzvVdP67zw/edit#gid=1603210130"", ""TOURISM!$A$2:$F$2692""), {2,3,4,5,6},0))"),"Africa")</f>
        <v>Africa</v>
      </c>
      <c r="L755" s="14"/>
      <c r="M755" s="14" t="str">
        <f>IFERROR(__xludf.DUMMYFUNCTION("""COMPUTED_VALUE"""),"Equatorial Guinea-Africa")</f>
        <v>Equatorial Guinea-Africa</v>
      </c>
      <c r="N755" s="14" t="str">
        <f>IFERROR(__xludf.DUMMYFUNCTION("""COMPUTED_VALUE"""),"2012")</f>
        <v>2012</v>
      </c>
      <c r="O755" s="14"/>
      <c r="P755" s="15">
        <f>IFERROR(__xludf.DUMMYFUNCTION("ARRAYFORMULA(VLOOKUP(A755,IMPORTRANGE(""https://docs.google.com/spreadsheets/d/1BuTWp7qHGjWhqrnf-OmePP568O4A5Am9ttzvVdP67zw/edit#gid=771602874"" ,""HUMAN RESOURCES!$A$2:$M$2692""), {2,3,4,5,6,7,8,9,10,11,12,13},0))"),0.036)</f>
        <v>0.036</v>
      </c>
      <c r="Q755" s="14">
        <f>IFERROR(__xludf.DUMMYFUNCTION("""COMPUTED_VALUE"""),0.071)</f>
        <v>0.071</v>
      </c>
      <c r="R755" s="14">
        <f>IFERROR(__xludf.DUMMYFUNCTION("""COMPUTED_VALUE"""),54.0)</f>
        <v>54</v>
      </c>
      <c r="S755" s="14">
        <f>IFERROR(__xludf.DUMMYFUNCTION("""COMPUTED_VALUE"""),51.0)</f>
        <v>51</v>
      </c>
      <c r="T755" s="14">
        <f>IFERROR(__xludf.DUMMYFUNCTION("""COMPUTED_VALUE"""),0.39)</f>
        <v>0.39</v>
      </c>
      <c r="U755" s="14">
        <f>IFERROR(__xludf.DUMMYFUNCTION("""COMPUTED_VALUE"""),0.582)</f>
        <v>0.582</v>
      </c>
      <c r="V755" s="14">
        <f>IFERROR(__xludf.DUMMYFUNCTION("""COMPUTED_VALUE"""),0.028)</f>
        <v>0.028</v>
      </c>
      <c r="W755" s="14">
        <f>IFERROR(__xludf.DUMMYFUNCTION("""COMPUTED_VALUE"""),736296.0)</f>
        <v>736296</v>
      </c>
      <c r="X755" s="14">
        <f>IFERROR(__xludf.DUMMYFUNCTION("""COMPUTED_VALUE"""),0.395)</f>
        <v>0.395</v>
      </c>
      <c r="Y755" s="14" t="str">
        <f>IFERROR(__xludf.DUMMYFUNCTION("""COMPUTED_VALUE"""),"Equatorial Guinea-Africa")</f>
        <v>Equatorial Guinea-Africa</v>
      </c>
      <c r="Z755" s="14" t="str">
        <f>IFERROR(__xludf.DUMMYFUNCTION("""COMPUTED_VALUE"""),"Africa")</f>
        <v>Africa</v>
      </c>
      <c r="AA755" s="14" t="str">
        <f>IFERROR(__xludf.DUMMYFUNCTION("""COMPUTED_VALUE"""),"2012")</f>
        <v>2012</v>
      </c>
      <c r="AB755" s="15" t="str">
        <f>IFERROR(__xludf.DUMMYFUNCTION("ARRAYFORMULA(VLOOKUP(A755,IMPORTRANGE(""https://docs.google.com/spreadsheets/d/1BuTWp7qHGjWhqrnf-OmePP568O4A5Am9ttzvVdP67zw/edit#gid=1931367683"" ,""ENERGY!$A$2:$F$2692""), {2,3,4,5,6},0))"),"Africa")</f>
        <v>Africa</v>
      </c>
      <c r="AC755" s="14" t="str">
        <f>IFERROR(__xludf.DUMMYFUNCTION("""COMPUTED_VALUE"""),"Equatorial Guinea-Africa")</f>
        <v>Equatorial Guinea-Africa</v>
      </c>
      <c r="AD755" s="14" t="str">
        <f>IFERROR(__xludf.DUMMYFUNCTION("""COMPUTED_VALUE"""),"2009")</f>
        <v>2009</v>
      </c>
      <c r="AE755" s="14"/>
      <c r="AF755" s="14">
        <f>IFERROR(__xludf.DUMMYFUNCTION("""COMPUTED_VALUE"""),455.0)</f>
        <v>455</v>
      </c>
    </row>
    <row r="756">
      <c r="A756" s="12">
        <v>755.0</v>
      </c>
      <c r="B756" s="12" t="s">
        <v>137</v>
      </c>
      <c r="C756" s="5" t="s">
        <v>77</v>
      </c>
      <c r="D756" s="8"/>
      <c r="E756" s="8"/>
      <c r="F756" s="8"/>
      <c r="G756" s="8"/>
      <c r="H756" s="11">
        <v>0.001</v>
      </c>
      <c r="I756" s="8"/>
      <c r="J756" s="9" t="s">
        <v>60</v>
      </c>
      <c r="K756" s="14" t="str">
        <f>IFERROR(__xludf.DUMMYFUNCTION("ARRAYFORMULA(VLOOKUP(A756,IMPORTRANGE(""https://docs.google.com/spreadsheets/d/1BuTWp7qHGjWhqrnf-OmePP568O4A5Am9ttzvVdP67zw/edit#gid=1603210130"", ""TOURISM!$A$2:$F$2692""), {2,3,4,5,6},0))"),"Africa")</f>
        <v>Africa</v>
      </c>
      <c r="L756" s="14">
        <f>IFERROR(__xludf.DUMMYFUNCTION("""COMPUTED_VALUE"""),3.6E7)</f>
        <v>36000000</v>
      </c>
      <c r="M756" s="14" t="str">
        <f>IFERROR(__xludf.DUMMYFUNCTION("""COMPUTED_VALUE"""),"Eritrea-Africa")</f>
        <v>Eritrea-Africa</v>
      </c>
      <c r="N756" s="14" t="str">
        <f>IFERROR(__xludf.DUMMYFUNCTION("""COMPUTED_VALUE"""),"2000")</f>
        <v>2000</v>
      </c>
      <c r="O756" s="14"/>
      <c r="P756" s="15">
        <f>IFERROR(__xludf.DUMMYFUNCTION("ARRAYFORMULA(VLOOKUP(A756,IMPORTRANGE(""https://docs.google.com/spreadsheets/d/1BuTWp7qHGjWhqrnf-OmePP568O4A5Am9ttzvVdP67zw/edit#gid=771602874"" ,""HUMAN RESOURCES!$A$2:$M$2692""), {2,3,4,5,6,7,8,9,10,11,12,13},0))"),0.04)</f>
        <v>0.04</v>
      </c>
      <c r="Q756" s="14">
        <f>IFERROR(__xludf.DUMMYFUNCTION("""COMPUTED_VALUE"""),0.058)</f>
        <v>0.058</v>
      </c>
      <c r="R756" s="14">
        <f>IFERROR(__xludf.DUMMYFUNCTION("""COMPUTED_VALUE"""),58.0)</f>
        <v>58</v>
      </c>
      <c r="S756" s="14">
        <f>IFERROR(__xludf.DUMMYFUNCTION("""COMPUTED_VALUE"""),54.0)</f>
        <v>54</v>
      </c>
      <c r="T756" s="14">
        <f>IFERROR(__xludf.DUMMYFUNCTION("""COMPUTED_VALUE"""),0.47)</f>
        <v>0.47</v>
      </c>
      <c r="U756" s="14">
        <f>IFERROR(__xludf.DUMMYFUNCTION("""COMPUTED_VALUE"""),0.512)</f>
        <v>0.512</v>
      </c>
      <c r="V756" s="14">
        <f>IFERROR(__xludf.DUMMYFUNCTION("""COMPUTED_VALUE"""),0.018)</f>
        <v>0.018</v>
      </c>
      <c r="W756" s="14">
        <f>IFERROR(__xludf.DUMMYFUNCTION("""COMPUTED_VALUE"""),3939348.0)</f>
        <v>3939348</v>
      </c>
      <c r="X756" s="14">
        <f>IFERROR(__xludf.DUMMYFUNCTION("""COMPUTED_VALUE"""),0.176)</f>
        <v>0.176</v>
      </c>
      <c r="Y756" s="14" t="str">
        <f>IFERROR(__xludf.DUMMYFUNCTION("""COMPUTED_VALUE"""),"Eritrea-Africa")</f>
        <v>Eritrea-Africa</v>
      </c>
      <c r="Z756" s="14" t="str">
        <f>IFERROR(__xludf.DUMMYFUNCTION("""COMPUTED_VALUE"""),"Africa")</f>
        <v>Africa</v>
      </c>
      <c r="AA756" s="14" t="str">
        <f>IFERROR(__xludf.DUMMYFUNCTION("""COMPUTED_VALUE"""),"2000")</f>
        <v>2000</v>
      </c>
      <c r="AB756" s="15" t="str">
        <f>IFERROR(__xludf.DUMMYFUNCTION("ARRAYFORMULA(VLOOKUP(A756,IMPORTRANGE(""https://docs.google.com/spreadsheets/d/1BuTWp7qHGjWhqrnf-OmePP568O4A5Am9ttzvVdP67zw/edit#gid=1931367683"" ,""ENERGY!$A$2:$F$2692""), {2,3,4,5,6},0))"),"Africa")</f>
        <v>Africa</v>
      </c>
      <c r="AC756" s="14" t="str">
        <f>IFERROR(__xludf.DUMMYFUNCTION("""COMPUTED_VALUE"""),"Eritrea-Africa")</f>
        <v>Eritrea-Africa</v>
      </c>
      <c r="AD756" s="14" t="str">
        <f>IFERROR(__xludf.DUMMYFUNCTION("""COMPUTED_VALUE"""),"2000")</f>
        <v>2000</v>
      </c>
      <c r="AE756" s="14"/>
      <c r="AF756" s="14"/>
    </row>
    <row r="757">
      <c r="A757" s="12">
        <v>756.0</v>
      </c>
      <c r="B757" s="12" t="s">
        <v>137</v>
      </c>
      <c r="C757" s="5" t="s">
        <v>77</v>
      </c>
      <c r="D757" s="8"/>
      <c r="E757" s="8"/>
      <c r="F757" s="8"/>
      <c r="G757" s="8"/>
      <c r="H757" s="11">
        <v>0.002</v>
      </c>
      <c r="I757" s="8"/>
      <c r="J757" s="9" t="s">
        <v>62</v>
      </c>
      <c r="K757" s="14" t="str">
        <f>IFERROR(__xludf.DUMMYFUNCTION("ARRAYFORMULA(VLOOKUP(A757,IMPORTRANGE(""https://docs.google.com/spreadsheets/d/1BuTWp7qHGjWhqrnf-OmePP568O4A5Am9ttzvVdP67zw/edit#gid=1603210130"", ""TOURISM!$A$2:$F$2692""), {2,3,4,5,6},0))"),"Africa")</f>
        <v>Africa</v>
      </c>
      <c r="L757" s="14">
        <f>IFERROR(__xludf.DUMMYFUNCTION("""COMPUTED_VALUE"""),7.4E7)</f>
        <v>74000000</v>
      </c>
      <c r="M757" s="14" t="str">
        <f>IFERROR(__xludf.DUMMYFUNCTION("""COMPUTED_VALUE"""),"Eritrea-Africa")</f>
        <v>Eritrea-Africa</v>
      </c>
      <c r="N757" s="14" t="str">
        <f>IFERROR(__xludf.DUMMYFUNCTION("""COMPUTED_VALUE"""),"2001")</f>
        <v>2001</v>
      </c>
      <c r="O757" s="14"/>
      <c r="P757" s="15">
        <f>IFERROR(__xludf.DUMMYFUNCTION("ARRAYFORMULA(VLOOKUP(A757,IMPORTRANGE(""https://docs.google.com/spreadsheets/d/1BuTWp7qHGjWhqrnf-OmePP568O4A5Am9ttzvVdP67zw/edit#gid=771602874"" ,""HUMAN RESOURCES!$A$2:$M$2692""), {2,3,4,5,6,7,8,9,10,11,12,13},0))"),0.04)</f>
        <v>0.04</v>
      </c>
      <c r="Q757" s="14">
        <f>IFERROR(__xludf.DUMMYFUNCTION("""COMPUTED_VALUE"""),0.056)</f>
        <v>0.056</v>
      </c>
      <c r="R757" s="14">
        <f>IFERROR(__xludf.DUMMYFUNCTION("""COMPUTED_VALUE"""),59.0)</f>
        <v>59</v>
      </c>
      <c r="S757" s="14">
        <f>IFERROR(__xludf.DUMMYFUNCTION("""COMPUTED_VALUE"""),54.0)</f>
        <v>54</v>
      </c>
      <c r="T757" s="14">
        <f>IFERROR(__xludf.DUMMYFUNCTION("""COMPUTED_VALUE"""),0.462)</f>
        <v>0.462</v>
      </c>
      <c r="U757" s="14">
        <f>IFERROR(__xludf.DUMMYFUNCTION("""COMPUTED_VALUE"""),0.519)</f>
        <v>0.519</v>
      </c>
      <c r="V757" s="14">
        <f>IFERROR(__xludf.DUMMYFUNCTION("""COMPUTED_VALUE"""),0.019)</f>
        <v>0.019</v>
      </c>
      <c r="W757" s="14">
        <f>IFERROR(__xludf.DUMMYFUNCTION("""COMPUTED_VALUE"""),4101609.0)</f>
        <v>4101609</v>
      </c>
      <c r="X757" s="14">
        <f>IFERROR(__xludf.DUMMYFUNCTION("""COMPUTED_VALUE"""),0.178)</f>
        <v>0.178</v>
      </c>
      <c r="Y757" s="14" t="str">
        <f>IFERROR(__xludf.DUMMYFUNCTION("""COMPUTED_VALUE"""),"Eritrea-Africa")</f>
        <v>Eritrea-Africa</v>
      </c>
      <c r="Z757" s="14" t="str">
        <f>IFERROR(__xludf.DUMMYFUNCTION("""COMPUTED_VALUE"""),"Africa")</f>
        <v>Africa</v>
      </c>
      <c r="AA757" s="14" t="str">
        <f>IFERROR(__xludf.DUMMYFUNCTION("""COMPUTED_VALUE"""),"2001")</f>
        <v>2001</v>
      </c>
      <c r="AB757" s="15" t="str">
        <f>IFERROR(__xludf.DUMMYFUNCTION("ARRAYFORMULA(VLOOKUP(A757,IMPORTRANGE(""https://docs.google.com/spreadsheets/d/1BuTWp7qHGjWhqrnf-OmePP568O4A5Am9ttzvVdP67zw/edit#gid=1931367683"" ,""ENERGY!$A$2:$F$2692""), {2,3,4,5,6},0))"),"Africa")</f>
        <v>Africa</v>
      </c>
      <c r="AC757" s="14" t="str">
        <f>IFERROR(__xludf.DUMMYFUNCTION("""COMPUTED_VALUE"""),"Eritrea-Africa")</f>
        <v>Eritrea-Africa</v>
      </c>
      <c r="AD757" s="14" t="str">
        <f>IFERROR(__xludf.DUMMYFUNCTION("""COMPUTED_VALUE"""),"2001")</f>
        <v>2001</v>
      </c>
      <c r="AE757" s="14">
        <f>IFERROR(__xludf.DUMMYFUNCTION("""COMPUTED_VALUE"""),765.0)</f>
        <v>765</v>
      </c>
      <c r="AF757" s="14"/>
    </row>
    <row r="758">
      <c r="A758" s="12">
        <v>757.0</v>
      </c>
      <c r="B758" s="12" t="s">
        <v>137</v>
      </c>
      <c r="C758" s="5" t="s">
        <v>77</v>
      </c>
      <c r="D758" s="8"/>
      <c r="E758" s="8"/>
      <c r="F758" s="8"/>
      <c r="G758" s="8"/>
      <c r="H758" s="11">
        <v>0.002</v>
      </c>
      <c r="I758" s="8"/>
      <c r="J758" s="9" t="s">
        <v>63</v>
      </c>
      <c r="K758" s="14" t="str">
        <f>IFERROR(__xludf.DUMMYFUNCTION("ARRAYFORMULA(VLOOKUP(A758,IMPORTRANGE(""https://docs.google.com/spreadsheets/d/1BuTWp7qHGjWhqrnf-OmePP568O4A5Am9ttzvVdP67zw/edit#gid=1603210130"", ""TOURISM!$A$2:$F$2692""), {2,3,4,5,6},0))"),"Africa")</f>
        <v>Africa</v>
      </c>
      <c r="L758" s="14">
        <f>IFERROR(__xludf.DUMMYFUNCTION("""COMPUTED_VALUE"""),7.3E7)</f>
        <v>73000000</v>
      </c>
      <c r="M758" s="14" t="str">
        <f>IFERROR(__xludf.DUMMYFUNCTION("""COMPUTED_VALUE"""),"Eritrea-Africa")</f>
        <v>Eritrea-Africa</v>
      </c>
      <c r="N758" s="14" t="str">
        <f>IFERROR(__xludf.DUMMYFUNCTION("""COMPUTED_VALUE"""),"2002")</f>
        <v>2002</v>
      </c>
      <c r="O758" s="14"/>
      <c r="P758" s="15">
        <f>IFERROR(__xludf.DUMMYFUNCTION("ARRAYFORMULA(VLOOKUP(A758,IMPORTRANGE(""https://docs.google.com/spreadsheets/d/1BuTWp7qHGjWhqrnf-OmePP568O4A5Am9ttzvVdP67zw/edit#gid=771602874"" ,""HUMAN RESOURCES!$A$2:$M$2692""), {2,3,4,5,6,7,8,9,10,11,12,13},0))"),0.04)</f>
        <v>0.04</v>
      </c>
      <c r="Q758" s="14">
        <f>IFERROR(__xludf.DUMMYFUNCTION("""COMPUTED_VALUE"""),0.054)</f>
        <v>0.054</v>
      </c>
      <c r="R758" s="14">
        <f>IFERROR(__xludf.DUMMYFUNCTION("""COMPUTED_VALUE"""),59.0)</f>
        <v>59</v>
      </c>
      <c r="S758" s="14">
        <f>IFERROR(__xludf.DUMMYFUNCTION("""COMPUTED_VALUE"""),55.0)</f>
        <v>55</v>
      </c>
      <c r="T758" s="14">
        <f>IFERROR(__xludf.DUMMYFUNCTION("""COMPUTED_VALUE"""),0.454)</f>
        <v>0.454</v>
      </c>
      <c r="U758" s="14">
        <f>IFERROR(__xludf.DUMMYFUNCTION("""COMPUTED_VALUE"""),0.527)</f>
        <v>0.527</v>
      </c>
      <c r="V758" s="14">
        <f>IFERROR(__xludf.DUMMYFUNCTION("""COMPUTED_VALUE"""),0.019)</f>
        <v>0.019</v>
      </c>
      <c r="W758" s="14">
        <f>IFERROR(__xludf.DUMMYFUNCTION("""COMPUTED_VALUE"""),4281576.0)</f>
        <v>4281576</v>
      </c>
      <c r="X758" s="14">
        <f>IFERROR(__xludf.DUMMYFUNCTION("""COMPUTED_VALUE"""),0.18)</f>
        <v>0.18</v>
      </c>
      <c r="Y758" s="14" t="str">
        <f>IFERROR(__xludf.DUMMYFUNCTION("""COMPUTED_VALUE"""),"Eritrea-Africa")</f>
        <v>Eritrea-Africa</v>
      </c>
      <c r="Z758" s="14" t="str">
        <f>IFERROR(__xludf.DUMMYFUNCTION("""COMPUTED_VALUE"""),"Africa")</f>
        <v>Africa</v>
      </c>
      <c r="AA758" s="14" t="str">
        <f>IFERROR(__xludf.DUMMYFUNCTION("""COMPUTED_VALUE"""),"2002")</f>
        <v>2002</v>
      </c>
      <c r="AB758" s="15" t="str">
        <f>IFERROR(__xludf.DUMMYFUNCTION("ARRAYFORMULA(VLOOKUP(A758,IMPORTRANGE(""https://docs.google.com/spreadsheets/d/1BuTWp7qHGjWhqrnf-OmePP568O4A5Am9ttzvVdP67zw/edit#gid=1931367683"" ,""ENERGY!$A$2:$F$2692""), {2,3,4,5,6},0))"),"Africa")</f>
        <v>Africa</v>
      </c>
      <c r="AC758" s="14" t="str">
        <f>IFERROR(__xludf.DUMMYFUNCTION("""COMPUTED_VALUE"""),"Eritrea-Africa")</f>
        <v>Eritrea-Africa</v>
      </c>
      <c r="AD758" s="14" t="str">
        <f>IFERROR(__xludf.DUMMYFUNCTION("""COMPUTED_VALUE"""),"2002")</f>
        <v>2002</v>
      </c>
      <c r="AE758" s="14">
        <f>IFERROR(__xludf.DUMMYFUNCTION("""COMPUTED_VALUE"""),745.0)</f>
        <v>745</v>
      </c>
      <c r="AF758" s="14">
        <f>IFERROR(__xludf.DUMMYFUNCTION("""COMPUTED_VALUE"""),513.0)</f>
        <v>513</v>
      </c>
    </row>
    <row r="759">
      <c r="A759" s="12">
        <v>758.0</v>
      </c>
      <c r="B759" s="12" t="s">
        <v>137</v>
      </c>
      <c r="C759" s="5" t="s">
        <v>77</v>
      </c>
      <c r="D759" s="8"/>
      <c r="E759" s="8"/>
      <c r="F759" s="8"/>
      <c r="G759" s="8"/>
      <c r="H759" s="8"/>
      <c r="I759" s="8"/>
      <c r="J759" s="9" t="s">
        <v>64</v>
      </c>
      <c r="K759" s="14" t="str">
        <f>IFERROR(__xludf.DUMMYFUNCTION("ARRAYFORMULA(VLOOKUP(A759,IMPORTRANGE(""https://docs.google.com/spreadsheets/d/1BuTWp7qHGjWhqrnf-OmePP568O4A5Am9ttzvVdP67zw/edit#gid=1603210130"", ""TOURISM!$A$2:$F$2692""), {2,3,4,5,6},0))"),"Africa")</f>
        <v>Africa</v>
      </c>
      <c r="L759" s="14">
        <f>IFERROR(__xludf.DUMMYFUNCTION("""COMPUTED_VALUE"""),7.4E7)</f>
        <v>74000000</v>
      </c>
      <c r="M759" s="14" t="str">
        <f>IFERROR(__xludf.DUMMYFUNCTION("""COMPUTED_VALUE"""),"Eritrea-Africa")</f>
        <v>Eritrea-Africa</v>
      </c>
      <c r="N759" s="14" t="str">
        <f>IFERROR(__xludf.DUMMYFUNCTION("""COMPUTED_VALUE"""),"2003")</f>
        <v>2003</v>
      </c>
      <c r="O759" s="14"/>
      <c r="P759" s="15">
        <f>IFERROR(__xludf.DUMMYFUNCTION("ARRAYFORMULA(VLOOKUP(A759,IMPORTRANGE(""https://docs.google.com/spreadsheets/d/1BuTWp7qHGjWhqrnf-OmePP568O4A5Am9ttzvVdP67zw/edit#gid=771602874"" ,""HUMAN RESOURCES!$A$2:$M$2692""), {2,3,4,5,6,7,8,9,10,11,12,13},0))"),0.04)</f>
        <v>0.04</v>
      </c>
      <c r="Q759" s="14">
        <f>IFERROR(__xludf.DUMMYFUNCTION("""COMPUTED_VALUE"""),0.051)</f>
        <v>0.051</v>
      </c>
      <c r="R759" s="14">
        <f>IFERROR(__xludf.DUMMYFUNCTION("""COMPUTED_VALUE"""),60.0)</f>
        <v>60</v>
      </c>
      <c r="S759" s="14">
        <f>IFERROR(__xludf.DUMMYFUNCTION("""COMPUTED_VALUE"""),55.0)</f>
        <v>55</v>
      </c>
      <c r="T759" s="14">
        <f>IFERROR(__xludf.DUMMYFUNCTION("""COMPUTED_VALUE"""),0.446)</f>
        <v>0.446</v>
      </c>
      <c r="U759" s="14">
        <f>IFERROR(__xludf.DUMMYFUNCTION("""COMPUTED_VALUE"""),0.535)</f>
        <v>0.535</v>
      </c>
      <c r="V759" s="14">
        <f>IFERROR(__xludf.DUMMYFUNCTION("""COMPUTED_VALUE"""),0.019)</f>
        <v>0.019</v>
      </c>
      <c r="W759" s="14">
        <f>IFERROR(__xludf.DUMMYFUNCTION("""COMPUTED_VALUE"""),4472533.0)</f>
        <v>4472533</v>
      </c>
      <c r="X759" s="14">
        <f>IFERROR(__xludf.DUMMYFUNCTION("""COMPUTED_VALUE"""),0.183)</f>
        <v>0.183</v>
      </c>
      <c r="Y759" s="14" t="str">
        <f>IFERROR(__xludf.DUMMYFUNCTION("""COMPUTED_VALUE"""),"Eritrea-Africa")</f>
        <v>Eritrea-Africa</v>
      </c>
      <c r="Z759" s="14" t="str">
        <f>IFERROR(__xludf.DUMMYFUNCTION("""COMPUTED_VALUE"""),"Africa")</f>
        <v>Africa</v>
      </c>
      <c r="AA759" s="14" t="str">
        <f>IFERROR(__xludf.DUMMYFUNCTION("""COMPUTED_VALUE"""),"2003")</f>
        <v>2003</v>
      </c>
      <c r="AB759" s="15" t="str">
        <f>IFERROR(__xludf.DUMMYFUNCTION("ARRAYFORMULA(VLOOKUP(A759,IMPORTRANGE(""https://docs.google.com/spreadsheets/d/1BuTWp7qHGjWhqrnf-OmePP568O4A5Am9ttzvVdP67zw/edit#gid=1931367683"" ,""ENERGY!$A$2:$F$2692""), {2,3,4,5,6},0))"),"Africa")</f>
        <v>Africa</v>
      </c>
      <c r="AC759" s="14" t="str">
        <f>IFERROR(__xludf.DUMMYFUNCTION("""COMPUTED_VALUE"""),"Eritrea-Africa")</f>
        <v>Eritrea-Africa</v>
      </c>
      <c r="AD759" s="14" t="str">
        <f>IFERROR(__xludf.DUMMYFUNCTION("""COMPUTED_VALUE"""),"2003")</f>
        <v>2003</v>
      </c>
      <c r="AE759" s="14">
        <f>IFERROR(__xludf.DUMMYFUNCTION("""COMPUTED_VALUE"""),726.0)</f>
        <v>726</v>
      </c>
      <c r="AF759" s="14">
        <f>IFERROR(__xludf.DUMMYFUNCTION("""COMPUTED_VALUE"""),513.0)</f>
        <v>513</v>
      </c>
    </row>
    <row r="760">
      <c r="A760" s="12">
        <v>759.0</v>
      </c>
      <c r="B760" s="12" t="s">
        <v>137</v>
      </c>
      <c r="C760" s="5" t="s">
        <v>77</v>
      </c>
      <c r="D760" s="8"/>
      <c r="E760" s="11">
        <v>91.0</v>
      </c>
      <c r="F760" s="8"/>
      <c r="G760" s="8"/>
      <c r="H760" s="8"/>
      <c r="I760" s="11">
        <v>0.004</v>
      </c>
      <c r="J760" s="9" t="s">
        <v>65</v>
      </c>
      <c r="K760" s="14" t="str">
        <f>IFERROR(__xludf.DUMMYFUNCTION("ARRAYFORMULA(VLOOKUP(A760,IMPORTRANGE(""https://docs.google.com/spreadsheets/d/1BuTWp7qHGjWhqrnf-OmePP568O4A5Am9ttzvVdP67zw/edit#gid=1603210130"", ""TOURISM!$A$2:$F$2692""), {2,3,4,5,6},0))"),"Africa")</f>
        <v>Africa</v>
      </c>
      <c r="L760" s="14">
        <f>IFERROR(__xludf.DUMMYFUNCTION("""COMPUTED_VALUE"""),7.3E7)</f>
        <v>73000000</v>
      </c>
      <c r="M760" s="14" t="str">
        <f>IFERROR(__xludf.DUMMYFUNCTION("""COMPUTED_VALUE"""),"Eritrea-Africa")</f>
        <v>Eritrea-Africa</v>
      </c>
      <c r="N760" s="14" t="str">
        <f>IFERROR(__xludf.DUMMYFUNCTION("""COMPUTED_VALUE"""),"2004")</f>
        <v>2004</v>
      </c>
      <c r="O760" s="14"/>
      <c r="P760" s="15">
        <f>IFERROR(__xludf.DUMMYFUNCTION("ARRAYFORMULA(VLOOKUP(A760,IMPORTRANGE(""https://docs.google.com/spreadsheets/d/1BuTWp7qHGjWhqrnf-OmePP568O4A5Am9ttzvVdP67zw/edit#gid=771602874"" ,""HUMAN RESOURCES!$A$2:$M$2692""), {2,3,4,5,6,7,8,9,10,11,12,13},0))"),0.04)</f>
        <v>0.04</v>
      </c>
      <c r="Q760" s="14">
        <f>IFERROR(__xludf.DUMMYFUNCTION("""COMPUTED_VALUE"""),0.049)</f>
        <v>0.049</v>
      </c>
      <c r="R760" s="14">
        <f>IFERROR(__xludf.DUMMYFUNCTION("""COMPUTED_VALUE"""),60.0)</f>
        <v>60</v>
      </c>
      <c r="S760" s="14">
        <f>IFERROR(__xludf.DUMMYFUNCTION("""COMPUTED_VALUE"""),56.0)</f>
        <v>56</v>
      </c>
      <c r="T760" s="14">
        <f>IFERROR(__xludf.DUMMYFUNCTION("""COMPUTED_VALUE"""),0.44)</f>
        <v>0.44</v>
      </c>
      <c r="U760" s="14">
        <f>IFERROR(__xludf.DUMMYFUNCTION("""COMPUTED_VALUE"""),0.541)</f>
        <v>0.541</v>
      </c>
      <c r="V760" s="14">
        <f>IFERROR(__xludf.DUMMYFUNCTION("""COMPUTED_VALUE"""),0.019)</f>
        <v>0.019</v>
      </c>
      <c r="W760" s="14">
        <f>IFERROR(__xludf.DUMMYFUNCTION("""COMPUTED_VALUE"""),4665522.0)</f>
        <v>4665522</v>
      </c>
      <c r="X760" s="14">
        <f>IFERROR(__xludf.DUMMYFUNCTION("""COMPUTED_VALUE"""),0.186)</f>
        <v>0.186</v>
      </c>
      <c r="Y760" s="14" t="str">
        <f>IFERROR(__xludf.DUMMYFUNCTION("""COMPUTED_VALUE"""),"Eritrea-Africa")</f>
        <v>Eritrea-Africa</v>
      </c>
      <c r="Z760" s="14" t="str">
        <f>IFERROR(__xludf.DUMMYFUNCTION("""COMPUTED_VALUE"""),"Africa")</f>
        <v>Africa</v>
      </c>
      <c r="AA760" s="14" t="str">
        <f>IFERROR(__xludf.DUMMYFUNCTION("""COMPUTED_VALUE"""),"2004")</f>
        <v>2004</v>
      </c>
      <c r="AB760" s="15" t="str">
        <f>IFERROR(__xludf.DUMMYFUNCTION("ARRAYFORMULA(VLOOKUP(A760,IMPORTRANGE(""https://docs.google.com/spreadsheets/d/1BuTWp7qHGjWhqrnf-OmePP568O4A5Am9ttzvVdP67zw/edit#gid=1931367683"" ,""ENERGY!$A$2:$F$2692""), {2,3,4,5,6},0))"),"Africa")</f>
        <v>Africa</v>
      </c>
      <c r="AC760" s="14" t="str">
        <f>IFERROR(__xludf.DUMMYFUNCTION("""COMPUTED_VALUE"""),"Eritrea-Africa")</f>
        <v>Eritrea-Africa</v>
      </c>
      <c r="AD760" s="14" t="str">
        <f>IFERROR(__xludf.DUMMYFUNCTION("""COMPUTED_VALUE"""),"2004")</f>
        <v>2004</v>
      </c>
      <c r="AE760" s="14">
        <f>IFERROR(__xludf.DUMMYFUNCTION("""COMPUTED_VALUE"""),677.0)</f>
        <v>677</v>
      </c>
      <c r="AF760" s="14">
        <f>IFERROR(__xludf.DUMMYFUNCTION("""COMPUTED_VALUE"""),414.0)</f>
        <v>414</v>
      </c>
    </row>
    <row r="761">
      <c r="A761" s="12">
        <v>760.0</v>
      </c>
      <c r="B761" s="12" t="s">
        <v>137</v>
      </c>
      <c r="C761" s="5" t="s">
        <v>77</v>
      </c>
      <c r="D761" s="11">
        <v>0.845</v>
      </c>
      <c r="E761" s="11">
        <v>76.0</v>
      </c>
      <c r="F761" s="8"/>
      <c r="G761" s="11">
        <v>216.0</v>
      </c>
      <c r="H761" s="8"/>
      <c r="I761" s="11">
        <v>0.008</v>
      </c>
      <c r="J761" s="9" t="s">
        <v>66</v>
      </c>
      <c r="K761" s="14" t="str">
        <f>IFERROR(__xludf.DUMMYFUNCTION("ARRAYFORMULA(VLOOKUP(A761,IMPORTRANGE(""https://docs.google.com/spreadsheets/d/1BuTWp7qHGjWhqrnf-OmePP568O4A5Am9ttzvVdP67zw/edit#gid=1603210130"", ""TOURISM!$A$2:$F$2692""), {2,3,4,5,6},0))"),"Africa")</f>
        <v>Africa</v>
      </c>
      <c r="L761" s="14">
        <f>IFERROR(__xludf.DUMMYFUNCTION("""COMPUTED_VALUE"""),6.6E7)</f>
        <v>66000000</v>
      </c>
      <c r="M761" s="14" t="str">
        <f>IFERROR(__xludf.DUMMYFUNCTION("""COMPUTED_VALUE"""),"Eritrea-Africa")</f>
        <v>Eritrea-Africa</v>
      </c>
      <c r="N761" s="14" t="str">
        <f>IFERROR(__xludf.DUMMYFUNCTION("""COMPUTED_VALUE"""),"2005")</f>
        <v>2005</v>
      </c>
      <c r="O761" s="14"/>
      <c r="P761" s="15">
        <f>IFERROR(__xludf.DUMMYFUNCTION("ARRAYFORMULA(VLOOKUP(A761,IMPORTRANGE(""https://docs.google.com/spreadsheets/d/1BuTWp7qHGjWhqrnf-OmePP568O4A5Am9ttzvVdP67zw/edit#gid=771602874"" ,""HUMAN RESOURCES!$A$2:$M$2692""), {2,3,4,5,6,7,8,9,10,11,12,13},0))"),0.04)</f>
        <v>0.04</v>
      </c>
      <c r="Q761" s="14">
        <f>IFERROR(__xludf.DUMMYFUNCTION("""COMPUTED_VALUE"""),0.047)</f>
        <v>0.047</v>
      </c>
      <c r="R761" s="14">
        <f>IFERROR(__xludf.DUMMYFUNCTION("""COMPUTED_VALUE"""),61.0)</f>
        <v>61</v>
      </c>
      <c r="S761" s="14">
        <f>IFERROR(__xludf.DUMMYFUNCTION("""COMPUTED_VALUE"""),56.0)</f>
        <v>56</v>
      </c>
      <c r="T761" s="14">
        <f>IFERROR(__xludf.DUMMYFUNCTION("""COMPUTED_VALUE"""),0.435)</f>
        <v>0.435</v>
      </c>
      <c r="U761" s="14">
        <f>IFERROR(__xludf.DUMMYFUNCTION("""COMPUTED_VALUE"""),0.545)</f>
        <v>0.545</v>
      </c>
      <c r="V761" s="14">
        <f>IFERROR(__xludf.DUMMYFUNCTION("""COMPUTED_VALUE"""),0.02)</f>
        <v>0.02</v>
      </c>
      <c r="W761" s="14">
        <f>IFERROR(__xludf.DUMMYFUNCTION("""COMPUTED_VALUE"""),4854066.0)</f>
        <v>4854066</v>
      </c>
      <c r="X761" s="14">
        <f>IFERROR(__xludf.DUMMYFUNCTION("""COMPUTED_VALUE"""),0.189)</f>
        <v>0.189</v>
      </c>
      <c r="Y761" s="14" t="str">
        <f>IFERROR(__xludf.DUMMYFUNCTION("""COMPUTED_VALUE"""),"Eritrea-Africa")</f>
        <v>Eritrea-Africa</v>
      </c>
      <c r="Z761" s="14" t="str">
        <f>IFERROR(__xludf.DUMMYFUNCTION("""COMPUTED_VALUE"""),"Africa")</f>
        <v>Africa</v>
      </c>
      <c r="AA761" s="14" t="str">
        <f>IFERROR(__xludf.DUMMYFUNCTION("""COMPUTED_VALUE"""),"2005")</f>
        <v>2005</v>
      </c>
      <c r="AB761" s="15" t="str">
        <f>IFERROR(__xludf.DUMMYFUNCTION("ARRAYFORMULA(VLOOKUP(A761,IMPORTRANGE(""https://docs.google.com/spreadsheets/d/1BuTWp7qHGjWhqrnf-OmePP568O4A5Am9ttzvVdP67zw/edit#gid=1931367683"" ,""ENERGY!$A$2:$F$2692""), {2,3,4,5,6},0))"),"Africa")</f>
        <v>Africa</v>
      </c>
      <c r="AC761" s="14" t="str">
        <f>IFERROR(__xludf.DUMMYFUNCTION("""COMPUTED_VALUE"""),"Eritrea-Africa")</f>
        <v>Eritrea-Africa</v>
      </c>
      <c r="AD761" s="14" t="str">
        <f>IFERROR(__xludf.DUMMYFUNCTION("""COMPUTED_VALUE"""),"2006")</f>
        <v>2006</v>
      </c>
      <c r="AE761" s="14">
        <f>IFERROR(__xludf.DUMMYFUNCTION("""COMPUTED_VALUE"""),721.0)</f>
        <v>721</v>
      </c>
      <c r="AF761" s="14">
        <f>IFERROR(__xludf.DUMMYFUNCTION("""COMPUTED_VALUE"""),579.0)</f>
        <v>579</v>
      </c>
    </row>
    <row r="762">
      <c r="A762" s="12">
        <v>761.0</v>
      </c>
      <c r="B762" s="12" t="s">
        <v>137</v>
      </c>
      <c r="C762" s="5" t="s">
        <v>77</v>
      </c>
      <c r="D762" s="11">
        <v>0.845</v>
      </c>
      <c r="E762" s="11">
        <v>76.0</v>
      </c>
      <c r="F762" s="8"/>
      <c r="G762" s="11">
        <v>216.0</v>
      </c>
      <c r="H762" s="8"/>
      <c r="I762" s="11">
        <v>0.012</v>
      </c>
      <c r="J762" s="9" t="s">
        <v>67</v>
      </c>
      <c r="K762" s="14" t="str">
        <f>IFERROR(__xludf.DUMMYFUNCTION("ARRAYFORMULA(VLOOKUP(A762,IMPORTRANGE(""https://docs.google.com/spreadsheets/d/1BuTWp7qHGjWhqrnf-OmePP568O4A5Am9ttzvVdP67zw/edit#gid=1603210130"", ""TOURISM!$A$2:$F$2692""), {2,3,4,5,6},0))"),"Africa")</f>
        <v>Africa</v>
      </c>
      <c r="L762" s="14">
        <f>IFERROR(__xludf.DUMMYFUNCTION("""COMPUTED_VALUE"""),6.0E7)</f>
        <v>60000000</v>
      </c>
      <c r="M762" s="14" t="str">
        <f>IFERROR(__xludf.DUMMYFUNCTION("""COMPUTED_VALUE"""),"Eritrea-Africa")</f>
        <v>Eritrea-Africa</v>
      </c>
      <c r="N762" s="14" t="str">
        <f>IFERROR(__xludf.DUMMYFUNCTION("""COMPUTED_VALUE"""),"2006")</f>
        <v>2006</v>
      </c>
      <c r="O762" s="14"/>
      <c r="P762" s="15">
        <f>IFERROR(__xludf.DUMMYFUNCTION("ARRAYFORMULA(VLOOKUP(A762,IMPORTRANGE(""https://docs.google.com/spreadsheets/d/1BuTWp7qHGjWhqrnf-OmePP568O4A5Am9ttzvVdP67zw/edit#gid=771602874"" ,""HUMAN RESOURCES!$A$2:$M$2692""), {2,3,4,5,6,7,8,9,10,11,12,13},0))"),0.04)</f>
        <v>0.04</v>
      </c>
      <c r="Q762" s="14">
        <f>IFERROR(__xludf.DUMMYFUNCTION("""COMPUTED_VALUE"""),0.046)</f>
        <v>0.046</v>
      </c>
      <c r="R762" s="14">
        <f>IFERROR(__xludf.DUMMYFUNCTION("""COMPUTED_VALUE"""),61.0)</f>
        <v>61</v>
      </c>
      <c r="S762" s="14">
        <f>IFERROR(__xludf.DUMMYFUNCTION("""COMPUTED_VALUE"""),57.0)</f>
        <v>57</v>
      </c>
      <c r="T762" s="14">
        <f>IFERROR(__xludf.DUMMYFUNCTION("""COMPUTED_VALUE"""),0.432)</f>
        <v>0.432</v>
      </c>
      <c r="U762" s="14">
        <f>IFERROR(__xludf.DUMMYFUNCTION("""COMPUTED_VALUE"""),0.548)</f>
        <v>0.548</v>
      </c>
      <c r="V762" s="14">
        <f>IFERROR(__xludf.DUMMYFUNCTION("""COMPUTED_VALUE"""),0.02)</f>
        <v>0.02</v>
      </c>
      <c r="W762" s="14">
        <f>IFERROR(__xludf.DUMMYFUNCTION("""COMPUTED_VALUE"""),5035036.0)</f>
        <v>5035036</v>
      </c>
      <c r="X762" s="14">
        <f>IFERROR(__xludf.DUMMYFUNCTION("""COMPUTED_VALUE"""),0.192)</f>
        <v>0.192</v>
      </c>
      <c r="Y762" s="14" t="str">
        <f>IFERROR(__xludf.DUMMYFUNCTION("""COMPUTED_VALUE"""),"Eritrea-Africa")</f>
        <v>Eritrea-Africa</v>
      </c>
      <c r="Z762" s="14" t="str">
        <f>IFERROR(__xludf.DUMMYFUNCTION("""COMPUTED_VALUE"""),"Africa")</f>
        <v>Africa</v>
      </c>
      <c r="AA762" s="14" t="str">
        <f>IFERROR(__xludf.DUMMYFUNCTION("""COMPUTED_VALUE"""),"2006")</f>
        <v>2006</v>
      </c>
      <c r="AB762" s="15" t="str">
        <f>IFERROR(__xludf.DUMMYFUNCTION("ARRAYFORMULA(VLOOKUP(A762,IMPORTRANGE(""https://docs.google.com/spreadsheets/d/1BuTWp7qHGjWhqrnf-OmePP568O4A5Am9ttzvVdP67zw/edit#gid=1931367683"" ,""ENERGY!$A$2:$F$2692""), {2,3,4,5,6},0))"),"Africa")</f>
        <v>Africa</v>
      </c>
      <c r="AC762" s="14" t="str">
        <f>IFERROR(__xludf.DUMMYFUNCTION("""COMPUTED_VALUE"""),"Eritrea-Africa")</f>
        <v>Eritrea-Africa</v>
      </c>
      <c r="AD762" s="14" t="str">
        <f>IFERROR(__xludf.DUMMYFUNCTION("""COMPUTED_VALUE"""),"2010")</f>
        <v>2010</v>
      </c>
      <c r="AE762" s="14">
        <f>IFERROR(__xludf.DUMMYFUNCTION("""COMPUTED_VALUE"""),697.0)</f>
        <v>697</v>
      </c>
      <c r="AF762" s="14">
        <f>IFERROR(__xludf.DUMMYFUNCTION("""COMPUTED_VALUE"""),561.0)</f>
        <v>561</v>
      </c>
    </row>
    <row r="763">
      <c r="A763" s="12">
        <v>762.0</v>
      </c>
      <c r="B763" s="12" t="s">
        <v>137</v>
      </c>
      <c r="C763" s="5" t="s">
        <v>77</v>
      </c>
      <c r="D763" s="11">
        <v>0.845</v>
      </c>
      <c r="E763" s="11">
        <v>84.0</v>
      </c>
      <c r="F763" s="8"/>
      <c r="G763" s="11">
        <v>216.0</v>
      </c>
      <c r="H763" s="11">
        <v>0.004</v>
      </c>
      <c r="I763" s="11">
        <v>0.016</v>
      </c>
      <c r="J763" s="9" t="s">
        <v>68</v>
      </c>
      <c r="K763" s="14" t="str">
        <f>IFERROR(__xludf.DUMMYFUNCTION("ARRAYFORMULA(VLOOKUP(A763,IMPORTRANGE(""https://docs.google.com/spreadsheets/d/1BuTWp7qHGjWhqrnf-OmePP568O4A5Am9ttzvVdP67zw/edit#gid=1603210130"", ""TOURISM!$A$2:$F$2692""), {2,3,4,5,6},0))"),"Africa")</f>
        <v>Africa</v>
      </c>
      <c r="L763" s="14">
        <f>IFERROR(__xludf.DUMMYFUNCTION("""COMPUTED_VALUE"""),6.1E7)</f>
        <v>61000000</v>
      </c>
      <c r="M763" s="14" t="str">
        <f>IFERROR(__xludf.DUMMYFUNCTION("""COMPUTED_VALUE"""),"Eritrea-Africa")</f>
        <v>Eritrea-Africa</v>
      </c>
      <c r="N763" s="14" t="str">
        <f>IFERROR(__xludf.DUMMYFUNCTION("""COMPUTED_VALUE"""),"2007")</f>
        <v>2007</v>
      </c>
      <c r="O763" s="14"/>
      <c r="P763" s="15">
        <f>IFERROR(__xludf.DUMMYFUNCTION("ARRAYFORMULA(VLOOKUP(A763,IMPORTRANGE(""https://docs.google.com/spreadsheets/d/1BuTWp7qHGjWhqrnf-OmePP568O4A5Am9ttzvVdP67zw/edit#gid=771602874"" ,""HUMAN RESOURCES!$A$2:$M$2692""), {2,3,4,5,6,7,8,9,10,11,12,13},0))"),0.04)</f>
        <v>0.04</v>
      </c>
      <c r="Q763" s="14">
        <f>IFERROR(__xludf.DUMMYFUNCTION("""COMPUTED_VALUE"""),0.044)</f>
        <v>0.044</v>
      </c>
      <c r="R763" s="14">
        <f>IFERROR(__xludf.DUMMYFUNCTION("""COMPUTED_VALUE"""),62.0)</f>
        <v>62</v>
      </c>
      <c r="S763" s="14">
        <f>IFERROR(__xludf.DUMMYFUNCTION("""COMPUTED_VALUE"""),57.0)</f>
        <v>57</v>
      </c>
      <c r="T763" s="14">
        <f>IFERROR(__xludf.DUMMYFUNCTION("""COMPUTED_VALUE"""),0.431)</f>
        <v>0.431</v>
      </c>
      <c r="U763" s="14">
        <f>IFERROR(__xludf.DUMMYFUNCTION("""COMPUTED_VALUE"""),0.549)</f>
        <v>0.549</v>
      </c>
      <c r="V763" s="14">
        <f>IFERROR(__xludf.DUMMYFUNCTION("""COMPUTED_VALUE"""),0.02)</f>
        <v>0.02</v>
      </c>
      <c r="W763" s="14">
        <f>IFERROR(__xludf.DUMMYFUNCTION("""COMPUTED_VALUE"""),5209846.0)</f>
        <v>5209846</v>
      </c>
      <c r="X763" s="14">
        <f>IFERROR(__xludf.DUMMYFUNCTION("""COMPUTED_VALUE"""),0.195)</f>
        <v>0.195</v>
      </c>
      <c r="Y763" s="14" t="str">
        <f>IFERROR(__xludf.DUMMYFUNCTION("""COMPUTED_VALUE"""),"Eritrea-Africa")</f>
        <v>Eritrea-Africa</v>
      </c>
      <c r="Z763" s="14" t="str">
        <f>IFERROR(__xludf.DUMMYFUNCTION("""COMPUTED_VALUE"""),"Africa")</f>
        <v>Africa</v>
      </c>
      <c r="AA763" s="14" t="str">
        <f>IFERROR(__xludf.DUMMYFUNCTION("""COMPUTED_VALUE"""),"2007")</f>
        <v>2007</v>
      </c>
      <c r="AB763" s="15" t="str">
        <f>IFERROR(__xludf.DUMMYFUNCTION("ARRAYFORMULA(VLOOKUP(A763,IMPORTRANGE(""https://docs.google.com/spreadsheets/d/1BuTWp7qHGjWhqrnf-OmePP568O4A5Am9ttzvVdP67zw/edit#gid=1931367683"" ,""ENERGY!$A$2:$F$2692""), {2,3,4,5,6},0))"),"Africa")</f>
        <v>Africa</v>
      </c>
      <c r="AC763" s="14" t="str">
        <f>IFERROR(__xludf.DUMMYFUNCTION("""COMPUTED_VALUE"""),"Eritrea-Africa")</f>
        <v>Eritrea-Africa</v>
      </c>
      <c r="AD763" s="14" t="str">
        <f>IFERROR(__xludf.DUMMYFUNCTION("""COMPUTED_VALUE"""),"2007")</f>
        <v>2007</v>
      </c>
      <c r="AE763" s="14">
        <f>IFERROR(__xludf.DUMMYFUNCTION("""COMPUTED_VALUE"""),763.0)</f>
        <v>763</v>
      </c>
      <c r="AF763" s="14">
        <f>IFERROR(__xludf.DUMMYFUNCTION("""COMPUTED_VALUE"""),766.0)</f>
        <v>766</v>
      </c>
    </row>
    <row r="764">
      <c r="A764" s="12">
        <v>763.0</v>
      </c>
      <c r="B764" s="12" t="s">
        <v>137</v>
      </c>
      <c r="C764" s="5" t="s">
        <v>77</v>
      </c>
      <c r="D764" s="11">
        <v>0.845</v>
      </c>
      <c r="E764" s="11">
        <v>84.0</v>
      </c>
      <c r="F764" s="8"/>
      <c r="G764" s="11">
        <v>216.0</v>
      </c>
      <c r="H764" s="11">
        <v>0.005</v>
      </c>
      <c r="I764" s="11">
        <v>0.02</v>
      </c>
      <c r="J764" s="9" t="s">
        <v>69</v>
      </c>
      <c r="K764" s="14" t="str">
        <f>IFERROR(__xludf.DUMMYFUNCTION("ARRAYFORMULA(VLOOKUP(A764,IMPORTRANGE(""https://docs.google.com/spreadsheets/d/1BuTWp7qHGjWhqrnf-OmePP568O4A5Am9ttzvVdP67zw/edit#gid=1603210130"", ""TOURISM!$A$2:$F$2692""), {2,3,4,5,6},0))"),"Africa")</f>
        <v>Africa</v>
      </c>
      <c r="L764" s="14">
        <f>IFERROR(__xludf.DUMMYFUNCTION("""COMPUTED_VALUE"""),4.6E7)</f>
        <v>46000000</v>
      </c>
      <c r="M764" s="14" t="str">
        <f>IFERROR(__xludf.DUMMYFUNCTION("""COMPUTED_VALUE"""),"Eritrea-Africa")</f>
        <v>Eritrea-Africa</v>
      </c>
      <c r="N764" s="14" t="str">
        <f>IFERROR(__xludf.DUMMYFUNCTION("""COMPUTED_VALUE"""),"2008")</f>
        <v>2008</v>
      </c>
      <c r="O764" s="14"/>
      <c r="P764" s="15">
        <f>IFERROR(__xludf.DUMMYFUNCTION("ARRAYFORMULA(VLOOKUP(A764,IMPORTRANGE(""https://docs.google.com/spreadsheets/d/1BuTWp7qHGjWhqrnf-OmePP568O4A5Am9ttzvVdP67zw/edit#gid=771602874"" ,""HUMAN RESOURCES!$A$2:$M$2692""), {2,3,4,5,6,7,8,9,10,11,12,13},0))"),0.039)</f>
        <v>0.039</v>
      </c>
      <c r="Q764" s="14">
        <f>IFERROR(__xludf.DUMMYFUNCTION("""COMPUTED_VALUE"""),0.042)</f>
        <v>0.042</v>
      </c>
      <c r="R764" s="14">
        <f>IFERROR(__xludf.DUMMYFUNCTION("""COMPUTED_VALUE"""),63.0)</f>
        <v>63</v>
      </c>
      <c r="S764" s="14">
        <f>IFERROR(__xludf.DUMMYFUNCTION("""COMPUTED_VALUE"""),58.0)</f>
        <v>58</v>
      </c>
      <c r="T764" s="14">
        <f>IFERROR(__xludf.DUMMYFUNCTION("""COMPUTED_VALUE"""),0.43)</f>
        <v>0.43</v>
      </c>
      <c r="U764" s="14">
        <f>IFERROR(__xludf.DUMMYFUNCTION("""COMPUTED_VALUE"""),0.549)</f>
        <v>0.549</v>
      </c>
      <c r="V764" s="14">
        <f>IFERROR(__xludf.DUMMYFUNCTION("""COMPUTED_VALUE"""),0.02)</f>
        <v>0.02</v>
      </c>
      <c r="W764" s="14">
        <f>IFERROR(__xludf.DUMMYFUNCTION("""COMPUTED_VALUE"""),5382163.0)</f>
        <v>5382163</v>
      </c>
      <c r="X764" s="14">
        <f>IFERROR(__xludf.DUMMYFUNCTION("""COMPUTED_VALUE"""),0.199)</f>
        <v>0.199</v>
      </c>
      <c r="Y764" s="14" t="str">
        <f>IFERROR(__xludf.DUMMYFUNCTION("""COMPUTED_VALUE"""),"Eritrea-Africa")</f>
        <v>Eritrea-Africa</v>
      </c>
      <c r="Z764" s="14" t="str">
        <f>IFERROR(__xludf.DUMMYFUNCTION("""COMPUTED_VALUE"""),"Africa")</f>
        <v>Africa</v>
      </c>
      <c r="AA764" s="14" t="str">
        <f>IFERROR(__xludf.DUMMYFUNCTION("""COMPUTED_VALUE"""),"2008")</f>
        <v>2008</v>
      </c>
      <c r="AB764" s="15" t="str">
        <f>IFERROR(__xludf.DUMMYFUNCTION("ARRAYFORMULA(VLOOKUP(A764,IMPORTRANGE(""https://docs.google.com/spreadsheets/d/1BuTWp7qHGjWhqrnf-OmePP568O4A5Am9ttzvVdP67zw/edit#gid=1931367683"" ,""ENERGY!$A$2:$F$2692""), {2,3,4,5,6},0))"),"Africa")</f>
        <v>Africa</v>
      </c>
      <c r="AC764" s="14" t="str">
        <f>IFERROR(__xludf.DUMMYFUNCTION("""COMPUTED_VALUE"""),"Eritrea-Africa")</f>
        <v>Eritrea-Africa</v>
      </c>
      <c r="AD764" s="14" t="str">
        <f>IFERROR(__xludf.DUMMYFUNCTION("""COMPUTED_VALUE"""),"2005")</f>
        <v>2005</v>
      </c>
      <c r="AE764" s="14">
        <f>IFERROR(__xludf.DUMMYFUNCTION("""COMPUTED_VALUE"""),744.0)</f>
        <v>744</v>
      </c>
      <c r="AF764" s="14">
        <f>IFERROR(__xludf.DUMMYFUNCTION("""COMPUTED_VALUE"""),770.0)</f>
        <v>770</v>
      </c>
    </row>
    <row r="765">
      <c r="A765" s="12">
        <v>764.0</v>
      </c>
      <c r="B765" s="12" t="s">
        <v>137</v>
      </c>
      <c r="C765" s="5" t="s">
        <v>77</v>
      </c>
      <c r="D765" s="11">
        <v>0.845</v>
      </c>
      <c r="E765" s="11">
        <v>84.0</v>
      </c>
      <c r="F765" s="8"/>
      <c r="G765" s="11">
        <v>216.0</v>
      </c>
      <c r="H765" s="11">
        <v>0.005</v>
      </c>
      <c r="I765" s="11">
        <v>0.025</v>
      </c>
      <c r="J765" s="9" t="s">
        <v>70</v>
      </c>
      <c r="K765" s="14" t="str">
        <f>IFERROR(__xludf.DUMMYFUNCTION("ARRAYFORMULA(VLOOKUP(A765,IMPORTRANGE(""https://docs.google.com/spreadsheets/d/1BuTWp7qHGjWhqrnf-OmePP568O4A5Am9ttzvVdP67zw/edit#gid=1603210130"", ""TOURISM!$A$2:$F$2692""), {2,3,4,5,6},0))"),"Africa")</f>
        <v>Africa</v>
      </c>
      <c r="L765" s="14">
        <f>IFERROR(__xludf.DUMMYFUNCTION("""COMPUTED_VALUE"""),2.6E7)</f>
        <v>26000000</v>
      </c>
      <c r="M765" s="14" t="str">
        <f>IFERROR(__xludf.DUMMYFUNCTION("""COMPUTED_VALUE"""),"Eritrea-Africa")</f>
        <v>Eritrea-Africa</v>
      </c>
      <c r="N765" s="14" t="str">
        <f>IFERROR(__xludf.DUMMYFUNCTION("""COMPUTED_VALUE"""),"2009")</f>
        <v>2009</v>
      </c>
      <c r="O765" s="14"/>
      <c r="P765" s="15">
        <f>IFERROR(__xludf.DUMMYFUNCTION("ARRAYFORMULA(VLOOKUP(A765,IMPORTRANGE(""https://docs.google.com/spreadsheets/d/1BuTWp7qHGjWhqrnf-OmePP568O4A5Am9ttzvVdP67zw/edit#gid=771602874"" ,""HUMAN RESOURCES!$A$2:$M$2692""), {2,3,4,5,6,7,8,9,10,11,12,13},0))"),0.039)</f>
        <v>0.039</v>
      </c>
      <c r="Q765" s="14">
        <f>IFERROR(__xludf.DUMMYFUNCTION("""COMPUTED_VALUE"""),0.041)</f>
        <v>0.041</v>
      </c>
      <c r="R765" s="14">
        <f>IFERROR(__xludf.DUMMYFUNCTION("""COMPUTED_VALUE"""),63.0)</f>
        <v>63</v>
      </c>
      <c r="S765" s="14">
        <f>IFERROR(__xludf.DUMMYFUNCTION("""COMPUTED_VALUE"""),58.0)</f>
        <v>58</v>
      </c>
      <c r="T765" s="14">
        <f>IFERROR(__xludf.DUMMYFUNCTION("""COMPUTED_VALUE"""),0.43)</f>
        <v>0.43</v>
      </c>
      <c r="U765" s="14">
        <f>IFERROR(__xludf.DUMMYFUNCTION("""COMPUTED_VALUE"""),0.549)</f>
        <v>0.549</v>
      </c>
      <c r="V765" s="14">
        <f>IFERROR(__xludf.DUMMYFUNCTION("""COMPUTED_VALUE"""),0.021)</f>
        <v>0.021</v>
      </c>
      <c r="W765" s="14">
        <f>IFERROR(__xludf.DUMMYFUNCTION("""COMPUTED_VALUE"""),5557889.0)</f>
        <v>5557889</v>
      </c>
      <c r="X765" s="14">
        <f>IFERROR(__xludf.DUMMYFUNCTION("""COMPUTED_VALUE"""),0.202)</f>
        <v>0.202</v>
      </c>
      <c r="Y765" s="14" t="str">
        <f>IFERROR(__xludf.DUMMYFUNCTION("""COMPUTED_VALUE"""),"Eritrea-Africa")</f>
        <v>Eritrea-Africa</v>
      </c>
      <c r="Z765" s="14" t="str">
        <f>IFERROR(__xludf.DUMMYFUNCTION("""COMPUTED_VALUE"""),"Africa")</f>
        <v>Africa</v>
      </c>
      <c r="AA765" s="14" t="str">
        <f>IFERROR(__xludf.DUMMYFUNCTION("""COMPUTED_VALUE"""),"2009")</f>
        <v>2009</v>
      </c>
      <c r="AB765" s="15" t="str">
        <f>IFERROR(__xludf.DUMMYFUNCTION("ARRAYFORMULA(VLOOKUP(A765,IMPORTRANGE(""https://docs.google.com/spreadsheets/d/1BuTWp7qHGjWhqrnf-OmePP568O4A5Am9ttzvVdP67zw/edit#gid=1931367683"" ,""ENERGY!$A$2:$F$2692""), {2,3,4,5,6},0))"),"Africa")</f>
        <v>Africa</v>
      </c>
      <c r="AC765" s="14" t="str">
        <f>IFERROR(__xludf.DUMMYFUNCTION("""COMPUTED_VALUE"""),"Eritrea-Africa")</f>
        <v>Eritrea-Africa</v>
      </c>
      <c r="AD765" s="14" t="str">
        <f>IFERROR(__xludf.DUMMYFUNCTION("""COMPUTED_VALUE"""),"2009")</f>
        <v>2009</v>
      </c>
      <c r="AE765" s="14">
        <f>IFERROR(__xludf.DUMMYFUNCTION("""COMPUTED_VALUE"""),804.0)</f>
        <v>804</v>
      </c>
      <c r="AF765" s="14">
        <f>IFERROR(__xludf.DUMMYFUNCTION("""COMPUTED_VALUE"""),726.0)</f>
        <v>726</v>
      </c>
    </row>
    <row r="766">
      <c r="A766" s="12">
        <v>765.0</v>
      </c>
      <c r="B766" s="12" t="s">
        <v>137</v>
      </c>
      <c r="C766" s="5" t="s">
        <v>77</v>
      </c>
      <c r="D766" s="11">
        <v>0.845</v>
      </c>
      <c r="E766" s="11">
        <v>84.0</v>
      </c>
      <c r="F766" s="8"/>
      <c r="G766" s="11">
        <v>216.0</v>
      </c>
      <c r="H766" s="11">
        <v>0.006</v>
      </c>
      <c r="I766" s="11">
        <v>0.032</v>
      </c>
      <c r="J766" s="9" t="s">
        <v>71</v>
      </c>
      <c r="K766" s="14" t="str">
        <f>IFERROR(__xludf.DUMMYFUNCTION("ARRAYFORMULA(VLOOKUP(A766,IMPORTRANGE(""https://docs.google.com/spreadsheets/d/1BuTWp7qHGjWhqrnf-OmePP568O4A5Am9ttzvVdP67zw/edit#gid=1603210130"", ""TOURISM!$A$2:$F$2692""), {2,3,4,5,6},0))"),"Africa")</f>
        <v>Africa</v>
      </c>
      <c r="L766" s="14"/>
      <c r="M766" s="14" t="str">
        <f>IFERROR(__xludf.DUMMYFUNCTION("""COMPUTED_VALUE"""),"Eritrea-Africa")</f>
        <v>Eritrea-Africa</v>
      </c>
      <c r="N766" s="14" t="str">
        <f>IFERROR(__xludf.DUMMYFUNCTION("""COMPUTED_VALUE"""),"2010")</f>
        <v>2010</v>
      </c>
      <c r="O766" s="14"/>
      <c r="P766" s="15">
        <f>IFERROR(__xludf.DUMMYFUNCTION("ARRAYFORMULA(VLOOKUP(A766,IMPORTRANGE(""https://docs.google.com/spreadsheets/d/1BuTWp7qHGjWhqrnf-OmePP568O4A5Am9ttzvVdP67zw/edit#gid=771602874"" ,""HUMAN RESOURCES!$A$2:$M$2692""), {2,3,4,5,6,7,8,9,10,11,12,13},0))"),0.038)</f>
        <v>0.038</v>
      </c>
      <c r="Q766" s="14">
        <f>IFERROR(__xludf.DUMMYFUNCTION("""COMPUTED_VALUE"""),0.039)</f>
        <v>0.039</v>
      </c>
      <c r="R766" s="14">
        <f>IFERROR(__xludf.DUMMYFUNCTION("""COMPUTED_VALUE"""),64.0)</f>
        <v>64</v>
      </c>
      <c r="S766" s="14">
        <f>IFERROR(__xludf.DUMMYFUNCTION("""COMPUTED_VALUE"""),59.0)</f>
        <v>59</v>
      </c>
      <c r="T766" s="14">
        <f>IFERROR(__xludf.DUMMYFUNCTION("""COMPUTED_VALUE"""),0.43)</f>
        <v>0.43</v>
      </c>
      <c r="U766" s="14">
        <f>IFERROR(__xludf.DUMMYFUNCTION("""COMPUTED_VALUE"""),0.549)</f>
        <v>0.549</v>
      </c>
      <c r="V766" s="14">
        <f>IFERROR(__xludf.DUMMYFUNCTION("""COMPUTED_VALUE"""),0.021)</f>
        <v>0.021</v>
      </c>
      <c r="W766" s="14">
        <f>IFERROR(__xludf.DUMMYFUNCTION("""COMPUTED_VALUE"""),5741159.0)</f>
        <v>5741159</v>
      </c>
      <c r="X766" s="14">
        <f>IFERROR(__xludf.DUMMYFUNCTION("""COMPUTED_VALUE"""),0.206)</f>
        <v>0.206</v>
      </c>
      <c r="Y766" s="14" t="str">
        <f>IFERROR(__xludf.DUMMYFUNCTION("""COMPUTED_VALUE"""),"Eritrea-Africa")</f>
        <v>Eritrea-Africa</v>
      </c>
      <c r="Z766" s="14" t="str">
        <f>IFERROR(__xludf.DUMMYFUNCTION("""COMPUTED_VALUE"""),"Africa")</f>
        <v>Africa</v>
      </c>
      <c r="AA766" s="14" t="str">
        <f>IFERROR(__xludf.DUMMYFUNCTION("""COMPUTED_VALUE"""),"2010")</f>
        <v>2010</v>
      </c>
      <c r="AB766" s="15" t="str">
        <f>IFERROR(__xludf.DUMMYFUNCTION("ARRAYFORMULA(VLOOKUP(A766,IMPORTRANGE(""https://docs.google.com/spreadsheets/d/1BuTWp7qHGjWhqrnf-OmePP568O4A5Am9ttzvVdP67zw/edit#gid=1931367683"" ,""ENERGY!$A$2:$F$2692""), {2,3,4,5,6},0))"),"Africa")</f>
        <v>Africa</v>
      </c>
      <c r="AC766" s="14" t="str">
        <f>IFERROR(__xludf.DUMMYFUNCTION("""COMPUTED_VALUE"""),"Eritrea-Africa")</f>
        <v>Eritrea-Africa</v>
      </c>
      <c r="AD766" s="14" t="str">
        <f>IFERROR(__xludf.DUMMYFUNCTION("""COMPUTED_VALUE"""),"2008")</f>
        <v>2008</v>
      </c>
      <c r="AE766" s="14">
        <f>IFERROR(__xludf.DUMMYFUNCTION("""COMPUTED_VALUE"""),748.0)</f>
        <v>748</v>
      </c>
      <c r="AF766" s="14">
        <f>IFERROR(__xludf.DUMMYFUNCTION("""COMPUTED_VALUE"""),605.0)</f>
        <v>605</v>
      </c>
    </row>
    <row r="767">
      <c r="A767" s="12">
        <v>766.0</v>
      </c>
      <c r="B767" s="12" t="s">
        <v>137</v>
      </c>
      <c r="C767" s="5" t="s">
        <v>77</v>
      </c>
      <c r="D767" s="11">
        <v>0.845</v>
      </c>
      <c r="E767" s="11">
        <v>84.0</v>
      </c>
      <c r="F767" s="8"/>
      <c r="G767" s="11">
        <v>216.0</v>
      </c>
      <c r="H767" s="11">
        <v>0.007</v>
      </c>
      <c r="I767" s="11">
        <v>0.041</v>
      </c>
      <c r="J767" s="9" t="s">
        <v>72</v>
      </c>
      <c r="K767" s="14" t="str">
        <f>IFERROR(__xludf.DUMMYFUNCTION("ARRAYFORMULA(VLOOKUP(A767,IMPORTRANGE(""https://docs.google.com/spreadsheets/d/1BuTWp7qHGjWhqrnf-OmePP568O4A5Am9ttzvVdP67zw/edit#gid=1603210130"", ""TOURISM!$A$2:$F$2692""), {2,3,4,5,6},0))"),"Africa")</f>
        <v>Africa</v>
      </c>
      <c r="L767" s="14"/>
      <c r="M767" s="14" t="str">
        <f>IFERROR(__xludf.DUMMYFUNCTION("""COMPUTED_VALUE"""),"Eritrea-Africa")</f>
        <v>Eritrea-Africa</v>
      </c>
      <c r="N767" s="14" t="str">
        <f>IFERROR(__xludf.DUMMYFUNCTION("""COMPUTED_VALUE"""),"2011")</f>
        <v>2011</v>
      </c>
      <c r="O767" s="14"/>
      <c r="P767" s="15">
        <f>IFERROR(__xludf.DUMMYFUNCTION("ARRAYFORMULA(VLOOKUP(A767,IMPORTRANGE(""https://docs.google.com/spreadsheets/d/1BuTWp7qHGjWhqrnf-OmePP568O4A5Am9ttzvVdP67zw/edit#gid=771602874"" ,""HUMAN RESOURCES!$A$2:$M$2692""), {2,3,4,5,6,7,8,9,10,11,12,13},0))"),0.038)</f>
        <v>0.038</v>
      </c>
      <c r="Q767" s="14">
        <f>IFERROR(__xludf.DUMMYFUNCTION("""COMPUTED_VALUE"""),0.038)</f>
        <v>0.038</v>
      </c>
      <c r="R767" s="14">
        <f>IFERROR(__xludf.DUMMYFUNCTION("""COMPUTED_VALUE"""),64.0)</f>
        <v>64</v>
      </c>
      <c r="S767" s="14">
        <f>IFERROR(__xludf.DUMMYFUNCTION("""COMPUTED_VALUE"""),59.0)</f>
        <v>59</v>
      </c>
      <c r="T767" s="14">
        <f>IFERROR(__xludf.DUMMYFUNCTION("""COMPUTED_VALUE"""),0.431)</f>
        <v>0.431</v>
      </c>
      <c r="U767" s="14">
        <f>IFERROR(__xludf.DUMMYFUNCTION("""COMPUTED_VALUE"""),0.548)</f>
        <v>0.548</v>
      </c>
      <c r="V767" s="14">
        <f>IFERROR(__xludf.DUMMYFUNCTION("""COMPUTED_VALUE"""),0.022)</f>
        <v>0.022</v>
      </c>
      <c r="W767" s="14">
        <f>IFERROR(__xludf.DUMMYFUNCTION("""COMPUTED_VALUE"""),5932852.0)</f>
        <v>5932852</v>
      </c>
      <c r="X767" s="14">
        <f>IFERROR(__xludf.DUMMYFUNCTION("""COMPUTED_VALUE"""),0.21)</f>
        <v>0.21</v>
      </c>
      <c r="Y767" s="14" t="str">
        <f>IFERROR(__xludf.DUMMYFUNCTION("""COMPUTED_VALUE"""),"Eritrea-Africa")</f>
        <v>Eritrea-Africa</v>
      </c>
      <c r="Z767" s="14" t="str">
        <f>IFERROR(__xludf.DUMMYFUNCTION("""COMPUTED_VALUE"""),"Africa")</f>
        <v>Africa</v>
      </c>
      <c r="AA767" s="14" t="str">
        <f>IFERROR(__xludf.DUMMYFUNCTION("""COMPUTED_VALUE"""),"2011")</f>
        <v>2011</v>
      </c>
      <c r="AB767" s="15" t="str">
        <f>IFERROR(__xludf.DUMMYFUNCTION("ARRAYFORMULA(VLOOKUP(A767,IMPORTRANGE(""https://docs.google.com/spreadsheets/d/1BuTWp7qHGjWhqrnf-OmePP568O4A5Am9ttzvVdP67zw/edit#gid=1931367683"" ,""ENERGY!$A$2:$F$2692""), {2,3,4,5,6},0))"),"Africa")</f>
        <v>Africa</v>
      </c>
      <c r="AC767" s="14" t="str">
        <f>IFERROR(__xludf.DUMMYFUNCTION("""COMPUTED_VALUE"""),"Eritrea-Africa")</f>
        <v>Eritrea-Africa</v>
      </c>
      <c r="AD767" s="14" t="str">
        <f>IFERROR(__xludf.DUMMYFUNCTION("""COMPUTED_VALUE"""),"2004")</f>
        <v>2004</v>
      </c>
      <c r="AE767" s="14">
        <f>IFERROR(__xludf.DUMMYFUNCTION("""COMPUTED_VALUE"""),742.0)</f>
        <v>742</v>
      </c>
      <c r="AF767" s="14">
        <f>IFERROR(__xludf.DUMMYFUNCTION("""COMPUTED_VALUE"""),631.0)</f>
        <v>631</v>
      </c>
    </row>
    <row r="768">
      <c r="A768" s="12">
        <v>767.0</v>
      </c>
      <c r="B768" s="12" t="s">
        <v>137</v>
      </c>
      <c r="C768" s="5" t="s">
        <v>77</v>
      </c>
      <c r="D768" s="11">
        <v>0.845</v>
      </c>
      <c r="E768" s="11">
        <v>84.0</v>
      </c>
      <c r="F768" s="11">
        <v>185.0</v>
      </c>
      <c r="G768" s="11">
        <v>216.0</v>
      </c>
      <c r="H768" s="11">
        <v>0.008</v>
      </c>
      <c r="I768" s="11">
        <v>0.05</v>
      </c>
      <c r="J768" s="9" t="s">
        <v>73</v>
      </c>
      <c r="K768" s="14" t="str">
        <f>IFERROR(__xludf.DUMMYFUNCTION("ARRAYFORMULA(VLOOKUP(A768,IMPORTRANGE(""https://docs.google.com/spreadsheets/d/1BuTWp7qHGjWhqrnf-OmePP568O4A5Am9ttzvVdP67zw/edit#gid=1603210130"", ""TOURISM!$A$2:$F$2692""), {2,3,4,5,6},0))"),"Africa")</f>
        <v>Africa</v>
      </c>
      <c r="L768" s="14"/>
      <c r="M768" s="14" t="str">
        <f>IFERROR(__xludf.DUMMYFUNCTION("""COMPUTED_VALUE"""),"Eritrea-Africa")</f>
        <v>Eritrea-Africa</v>
      </c>
      <c r="N768" s="14" t="str">
        <f>IFERROR(__xludf.DUMMYFUNCTION("""COMPUTED_VALUE"""),"2012")</f>
        <v>2012</v>
      </c>
      <c r="O768" s="14"/>
      <c r="P768" s="15">
        <f>IFERROR(__xludf.DUMMYFUNCTION("ARRAYFORMULA(VLOOKUP(A768,IMPORTRANGE(""https://docs.google.com/spreadsheets/d/1BuTWp7qHGjWhqrnf-OmePP568O4A5Am9ttzvVdP67zw/edit#gid=771602874"" ,""HUMAN RESOURCES!$A$2:$M$2692""), {2,3,4,5,6,7,8,9,10,11,12,13},0))"),0.037)</f>
        <v>0.037</v>
      </c>
      <c r="Q768" s="14">
        <f>IFERROR(__xludf.DUMMYFUNCTION("""COMPUTED_VALUE"""),0.037)</f>
        <v>0.037</v>
      </c>
      <c r="R768" s="14">
        <f>IFERROR(__xludf.DUMMYFUNCTION("""COMPUTED_VALUE"""),65.0)</f>
        <v>65</v>
      </c>
      <c r="S768" s="14">
        <f>IFERROR(__xludf.DUMMYFUNCTION("""COMPUTED_VALUE"""),60.0)</f>
        <v>60</v>
      </c>
      <c r="T768" s="14">
        <f>IFERROR(__xludf.DUMMYFUNCTION("""COMPUTED_VALUE"""),0.431)</f>
        <v>0.431</v>
      </c>
      <c r="U768" s="14">
        <f>IFERROR(__xludf.DUMMYFUNCTION("""COMPUTED_VALUE"""),0.547)</f>
        <v>0.547</v>
      </c>
      <c r="V768" s="14">
        <f>IFERROR(__xludf.DUMMYFUNCTION("""COMPUTED_VALUE"""),0.022)</f>
        <v>0.022</v>
      </c>
      <c r="W768" s="14">
        <f>IFERROR(__xludf.DUMMYFUNCTION("""COMPUTED_VALUE"""),6130922.0)</f>
        <v>6130922</v>
      </c>
      <c r="X768" s="14">
        <f>IFERROR(__xludf.DUMMYFUNCTION("""COMPUTED_VALUE"""),0.214)</f>
        <v>0.214</v>
      </c>
      <c r="Y768" s="14" t="str">
        <f>IFERROR(__xludf.DUMMYFUNCTION("""COMPUTED_VALUE"""),"Eritrea-Africa")</f>
        <v>Eritrea-Africa</v>
      </c>
      <c r="Z768" s="14" t="str">
        <f>IFERROR(__xludf.DUMMYFUNCTION("""COMPUTED_VALUE"""),"Africa")</f>
        <v>Africa</v>
      </c>
      <c r="AA768" s="14" t="str">
        <f>IFERROR(__xludf.DUMMYFUNCTION("""COMPUTED_VALUE"""),"2012")</f>
        <v>2012</v>
      </c>
      <c r="AB768" s="15" t="str">
        <f>IFERROR(__xludf.DUMMYFUNCTION("ARRAYFORMULA(VLOOKUP(A768,IMPORTRANGE(""https://docs.google.com/spreadsheets/d/1BuTWp7qHGjWhqrnf-OmePP568O4A5Am9ttzvVdP67zw/edit#gid=1931367683"" ,""ENERGY!$A$2:$F$2692""), {2,3,4,5,6},0))"),"Africa")</f>
        <v>Africa</v>
      </c>
      <c r="AC768" s="14" t="str">
        <f>IFERROR(__xludf.DUMMYFUNCTION("""COMPUTED_VALUE"""),"Eritrea-Africa")</f>
        <v>Eritrea-Africa</v>
      </c>
      <c r="AD768" s="14" t="str">
        <f>IFERROR(__xludf.DUMMYFUNCTION("""COMPUTED_VALUE"""),"2009")</f>
        <v>2009</v>
      </c>
      <c r="AE768" s="14">
        <f>IFERROR(__xludf.DUMMYFUNCTION("""COMPUTED_VALUE"""),708.0)</f>
        <v>708</v>
      </c>
      <c r="AF768" s="14">
        <f>IFERROR(__xludf.DUMMYFUNCTION("""COMPUTED_VALUE"""),609.0)</f>
        <v>609</v>
      </c>
    </row>
    <row r="769">
      <c r="A769" s="12">
        <v>768.0</v>
      </c>
      <c r="B769" s="12" t="s">
        <v>138</v>
      </c>
      <c r="C769" s="5" t="s">
        <v>75</v>
      </c>
      <c r="D769" s="8"/>
      <c r="E769" s="8"/>
      <c r="F769" s="8"/>
      <c r="G769" s="8"/>
      <c r="H769" s="11">
        <v>0.286</v>
      </c>
      <c r="I769" s="11">
        <v>0.408</v>
      </c>
      <c r="J769" s="9" t="s">
        <v>60</v>
      </c>
      <c r="K769" s="14" t="str">
        <f>IFERROR(__xludf.DUMMYFUNCTION("ARRAYFORMULA(VLOOKUP(A769,IMPORTRANGE(""https://docs.google.com/spreadsheets/d/1BuTWp7qHGjWhqrnf-OmePP568O4A5Am9ttzvVdP67zw/edit#gid=1603210130"", ""TOURISM!$A$2:$F$2692""), {2,3,4,5,6},0))"),"Europe")</f>
        <v>Europe</v>
      </c>
      <c r="L769" s="14">
        <f>IFERROR(__xludf.DUMMYFUNCTION("""COMPUTED_VALUE"""),6.57E8)</f>
        <v>657000000</v>
      </c>
      <c r="M769" s="14" t="str">
        <f>IFERROR(__xludf.DUMMYFUNCTION("""COMPUTED_VALUE"""),"Estonia-Europe")</f>
        <v>Estonia-Europe</v>
      </c>
      <c r="N769" s="14" t="str">
        <f>IFERROR(__xludf.DUMMYFUNCTION("""COMPUTED_VALUE"""),"2000")</f>
        <v>2000</v>
      </c>
      <c r="O769" s="14">
        <f>IFERROR(__xludf.DUMMYFUNCTION("""COMPUTED_VALUE"""),2.53E8)</f>
        <v>253000000</v>
      </c>
      <c r="P769" s="15">
        <f>IFERROR(__xludf.DUMMYFUNCTION("ARRAYFORMULA(VLOOKUP(A769,IMPORTRANGE(""https://docs.google.com/spreadsheets/d/1BuTWp7qHGjWhqrnf-OmePP568O4A5Am9ttzvVdP67zw/edit#gid=771602874"" ,""HUMAN RESOURCES!$A$2:$M$2692""), {2,3,4,5,6,7,8,9,10,11,12,13},0))"),0.01)</f>
        <v>0.01</v>
      </c>
      <c r="Q769" s="14">
        <f>IFERROR(__xludf.DUMMYFUNCTION("""COMPUTED_VALUE"""),0.009)</f>
        <v>0.009</v>
      </c>
      <c r="R769" s="14">
        <f>IFERROR(__xludf.DUMMYFUNCTION("""COMPUTED_VALUE"""),76.0)</f>
        <v>76</v>
      </c>
      <c r="S769" s="14">
        <f>IFERROR(__xludf.DUMMYFUNCTION("""COMPUTED_VALUE"""),65.0)</f>
        <v>65</v>
      </c>
      <c r="T769" s="14">
        <f>IFERROR(__xludf.DUMMYFUNCTION("""COMPUTED_VALUE"""),0.18)</f>
        <v>0.18</v>
      </c>
      <c r="U769" s="14">
        <f>IFERROR(__xludf.DUMMYFUNCTION("""COMPUTED_VALUE"""),0.669)</f>
        <v>0.669</v>
      </c>
      <c r="V769" s="14">
        <f>IFERROR(__xludf.DUMMYFUNCTION("""COMPUTED_VALUE"""),0.152)</f>
        <v>0.152</v>
      </c>
      <c r="W769" s="14">
        <f>IFERROR(__xludf.DUMMYFUNCTION("""COMPUTED_VALUE"""),1396985.0)</f>
        <v>1396985</v>
      </c>
      <c r="X769" s="14">
        <f>IFERROR(__xludf.DUMMYFUNCTION("""COMPUTED_VALUE"""),0.694)</f>
        <v>0.694</v>
      </c>
      <c r="Y769" s="14" t="str">
        <f>IFERROR(__xludf.DUMMYFUNCTION("""COMPUTED_VALUE"""),"Estonia-Europe")</f>
        <v>Estonia-Europe</v>
      </c>
      <c r="Z769" s="14" t="str">
        <f>IFERROR(__xludf.DUMMYFUNCTION("""COMPUTED_VALUE"""),"Europe")</f>
        <v>Europe</v>
      </c>
      <c r="AA769" s="14" t="str">
        <f>IFERROR(__xludf.DUMMYFUNCTION("""COMPUTED_VALUE"""),"2000")</f>
        <v>2000</v>
      </c>
      <c r="AB769" s="15" t="str">
        <f>IFERROR(__xludf.DUMMYFUNCTION("ARRAYFORMULA(VLOOKUP(A769,IMPORTRANGE(""https://docs.google.com/spreadsheets/d/1BuTWp7qHGjWhqrnf-OmePP568O4A5Am9ttzvVdP67zw/edit#gid=1931367683"" ,""ENERGY!$A$2:$F$2692""), {2,3,4,5,6},0))"),"Europe")</f>
        <v>Europe</v>
      </c>
      <c r="AC769" s="14" t="str">
        <f>IFERROR(__xludf.DUMMYFUNCTION("""COMPUTED_VALUE"""),"Estonia-Europe")</f>
        <v>Estonia-Europe</v>
      </c>
      <c r="AD769" s="14" t="str">
        <f>IFERROR(__xludf.DUMMYFUNCTION("""COMPUTED_VALUE"""),"2000")</f>
        <v>2000</v>
      </c>
      <c r="AE769" s="14">
        <f>IFERROR(__xludf.DUMMYFUNCTION("""COMPUTED_VALUE"""),5721.0)</f>
        <v>5721</v>
      </c>
      <c r="AF769" s="14"/>
    </row>
    <row r="770">
      <c r="A770" s="12">
        <v>769.0</v>
      </c>
      <c r="B770" s="12" t="s">
        <v>138</v>
      </c>
      <c r="C770" s="5" t="s">
        <v>75</v>
      </c>
      <c r="D770" s="8"/>
      <c r="E770" s="8"/>
      <c r="F770" s="8"/>
      <c r="G770" s="8"/>
      <c r="H770" s="11">
        <v>0.315</v>
      </c>
      <c r="I770" s="11">
        <v>0.48</v>
      </c>
      <c r="J770" s="9" t="s">
        <v>62</v>
      </c>
      <c r="K770" s="14" t="str">
        <f>IFERROR(__xludf.DUMMYFUNCTION("ARRAYFORMULA(VLOOKUP(A770,IMPORTRANGE(""https://docs.google.com/spreadsheets/d/1BuTWp7qHGjWhqrnf-OmePP568O4A5Am9ttzvVdP67zw/edit#gid=1603210130"", ""TOURISM!$A$2:$F$2692""), {2,3,4,5,6},0))"),"Europe")</f>
        <v>Europe</v>
      </c>
      <c r="L770" s="14">
        <f>IFERROR(__xludf.DUMMYFUNCTION("""COMPUTED_VALUE"""),6.61E8)</f>
        <v>661000000</v>
      </c>
      <c r="M770" s="14" t="str">
        <f>IFERROR(__xludf.DUMMYFUNCTION("""COMPUTED_VALUE"""),"Estonia-Europe")</f>
        <v>Estonia-Europe</v>
      </c>
      <c r="N770" s="14" t="str">
        <f>IFERROR(__xludf.DUMMYFUNCTION("""COMPUTED_VALUE"""),"2001")</f>
        <v>2001</v>
      </c>
      <c r="O770" s="14">
        <f>IFERROR(__xludf.DUMMYFUNCTION("""COMPUTED_VALUE"""),2.53E8)</f>
        <v>253000000</v>
      </c>
      <c r="P770" s="15">
        <f>IFERROR(__xludf.DUMMYFUNCTION("ARRAYFORMULA(VLOOKUP(A770,IMPORTRANGE(""https://docs.google.com/spreadsheets/d/1BuTWp7qHGjWhqrnf-OmePP568O4A5Am9ttzvVdP67zw/edit#gid=771602874"" ,""HUMAN RESOURCES!$A$2:$M$2692""), {2,3,4,5,6,7,8,9,10,11,12,13},0))"),0.009)</f>
        <v>0.009</v>
      </c>
      <c r="Q770" s="14">
        <f>IFERROR(__xludf.DUMMYFUNCTION("""COMPUTED_VALUE"""),0.008)</f>
        <v>0.008</v>
      </c>
      <c r="R770" s="14">
        <f>IFERROR(__xludf.DUMMYFUNCTION("""COMPUTED_VALUE"""),76.0)</f>
        <v>76</v>
      </c>
      <c r="S770" s="14">
        <f>IFERROR(__xludf.DUMMYFUNCTION("""COMPUTED_VALUE"""),65.0)</f>
        <v>65</v>
      </c>
      <c r="T770" s="14">
        <f>IFERROR(__xludf.DUMMYFUNCTION("""COMPUTED_VALUE"""),0.174)</f>
        <v>0.174</v>
      </c>
      <c r="U770" s="14">
        <f>IFERROR(__xludf.DUMMYFUNCTION("""COMPUTED_VALUE"""),0.671)</f>
        <v>0.671</v>
      </c>
      <c r="V770" s="14">
        <f>IFERROR(__xludf.DUMMYFUNCTION("""COMPUTED_VALUE"""),0.155)</f>
        <v>0.155</v>
      </c>
      <c r="W770" s="14">
        <f>IFERROR(__xludf.DUMMYFUNCTION("""COMPUTED_VALUE"""),1388115.0)</f>
        <v>1388115</v>
      </c>
      <c r="X770" s="14">
        <f>IFERROR(__xludf.DUMMYFUNCTION("""COMPUTED_VALUE"""),0.692)</f>
        <v>0.692</v>
      </c>
      <c r="Y770" s="14" t="str">
        <f>IFERROR(__xludf.DUMMYFUNCTION("""COMPUTED_VALUE"""),"Estonia-Europe")</f>
        <v>Estonia-Europe</v>
      </c>
      <c r="Z770" s="14" t="str">
        <f>IFERROR(__xludf.DUMMYFUNCTION("""COMPUTED_VALUE"""),"Europe")</f>
        <v>Europe</v>
      </c>
      <c r="AA770" s="14" t="str">
        <f>IFERROR(__xludf.DUMMYFUNCTION("""COMPUTED_VALUE"""),"2001")</f>
        <v>2001</v>
      </c>
      <c r="AB770" s="15" t="str">
        <f>IFERROR(__xludf.DUMMYFUNCTION("ARRAYFORMULA(VLOOKUP(A770,IMPORTRANGE(""https://docs.google.com/spreadsheets/d/1BuTWp7qHGjWhqrnf-OmePP568O4A5Am9ttzvVdP67zw/edit#gid=1931367683"" ,""ENERGY!$A$2:$F$2692""), {2,3,4,5,6},0))"),"Europe")</f>
        <v>Europe</v>
      </c>
      <c r="AC770" s="14" t="str">
        <f>IFERROR(__xludf.DUMMYFUNCTION("""COMPUTED_VALUE"""),"Estonia-Europe")</f>
        <v>Estonia-Europe</v>
      </c>
      <c r="AD770" s="14" t="str">
        <f>IFERROR(__xludf.DUMMYFUNCTION("""COMPUTED_VALUE"""),"2001")</f>
        <v>2001</v>
      </c>
      <c r="AE770" s="14">
        <f>IFERROR(__xludf.DUMMYFUNCTION("""COMPUTED_VALUE"""),5603.0)</f>
        <v>5603</v>
      </c>
      <c r="AF770" s="14"/>
    </row>
    <row r="771">
      <c r="A771" s="12">
        <v>770.0</v>
      </c>
      <c r="B771" s="12" t="s">
        <v>138</v>
      </c>
      <c r="C771" s="5" t="s">
        <v>75</v>
      </c>
      <c r="D771" s="8"/>
      <c r="E771" s="8"/>
      <c r="F771" s="8"/>
      <c r="G771" s="8"/>
      <c r="H771" s="11">
        <v>0.415</v>
      </c>
      <c r="I771" s="11">
        <v>0.654</v>
      </c>
      <c r="J771" s="9" t="s">
        <v>63</v>
      </c>
      <c r="K771" s="14" t="str">
        <f>IFERROR(__xludf.DUMMYFUNCTION("ARRAYFORMULA(VLOOKUP(A771,IMPORTRANGE(""https://docs.google.com/spreadsheets/d/1BuTWp7qHGjWhqrnf-OmePP568O4A5Am9ttzvVdP67zw/edit#gid=1603210130"", ""TOURISM!$A$2:$F$2692""), {2,3,4,5,6},0))"),"Europe")</f>
        <v>Europe</v>
      </c>
      <c r="L771" s="14">
        <f>IFERROR(__xludf.DUMMYFUNCTION("""COMPUTED_VALUE"""),7.37E8)</f>
        <v>737000000</v>
      </c>
      <c r="M771" s="14" t="str">
        <f>IFERROR(__xludf.DUMMYFUNCTION("""COMPUTED_VALUE"""),"Estonia-Europe")</f>
        <v>Estonia-Europe</v>
      </c>
      <c r="N771" s="14" t="str">
        <f>IFERROR(__xludf.DUMMYFUNCTION("""COMPUTED_VALUE"""),"2002")</f>
        <v>2002</v>
      </c>
      <c r="O771" s="14">
        <f>IFERROR(__xludf.DUMMYFUNCTION("""COMPUTED_VALUE"""),3.05E8)</f>
        <v>305000000</v>
      </c>
      <c r="P771" s="15">
        <f>IFERROR(__xludf.DUMMYFUNCTION("ARRAYFORMULA(VLOOKUP(A771,IMPORTRANGE(""https://docs.google.com/spreadsheets/d/1BuTWp7qHGjWhqrnf-OmePP568O4A5Am9ttzvVdP67zw/edit#gid=771602874"" ,""HUMAN RESOURCES!$A$2:$M$2692""), {2,3,4,5,6,7,8,9,10,11,12,13},0))"),0.01)</f>
        <v>0.01</v>
      </c>
      <c r="Q771" s="14">
        <f>IFERROR(__xludf.DUMMYFUNCTION("""COMPUTED_VALUE"""),0.008)</f>
        <v>0.008</v>
      </c>
      <c r="R771" s="14">
        <f>IFERROR(__xludf.DUMMYFUNCTION("""COMPUTED_VALUE"""),77.0)</f>
        <v>77</v>
      </c>
      <c r="S771" s="14">
        <f>IFERROR(__xludf.DUMMYFUNCTION("""COMPUTED_VALUE"""),65.0)</f>
        <v>65</v>
      </c>
      <c r="T771" s="14">
        <f>IFERROR(__xludf.DUMMYFUNCTION("""COMPUTED_VALUE"""),0.167)</f>
        <v>0.167</v>
      </c>
      <c r="U771" s="14">
        <f>IFERROR(__xludf.DUMMYFUNCTION("""COMPUTED_VALUE"""),0.674)</f>
        <v>0.674</v>
      </c>
      <c r="V771" s="14">
        <f>IFERROR(__xludf.DUMMYFUNCTION("""COMPUTED_VALUE"""),0.159)</f>
        <v>0.159</v>
      </c>
      <c r="W771" s="14">
        <f>IFERROR(__xludf.DUMMYFUNCTION("""COMPUTED_VALUE"""),1379350.0)</f>
        <v>1379350</v>
      </c>
      <c r="X771" s="14">
        <f>IFERROR(__xludf.DUMMYFUNCTION("""COMPUTED_VALUE"""),0.691)</f>
        <v>0.691</v>
      </c>
      <c r="Y771" s="14" t="str">
        <f>IFERROR(__xludf.DUMMYFUNCTION("""COMPUTED_VALUE"""),"Estonia-Europe")</f>
        <v>Estonia-Europe</v>
      </c>
      <c r="Z771" s="14" t="str">
        <f>IFERROR(__xludf.DUMMYFUNCTION("""COMPUTED_VALUE"""),"Europe")</f>
        <v>Europe</v>
      </c>
      <c r="AA771" s="14" t="str">
        <f>IFERROR(__xludf.DUMMYFUNCTION("""COMPUTED_VALUE"""),"2002")</f>
        <v>2002</v>
      </c>
      <c r="AB771" s="15" t="str">
        <f>IFERROR(__xludf.DUMMYFUNCTION("ARRAYFORMULA(VLOOKUP(A771,IMPORTRANGE(""https://docs.google.com/spreadsheets/d/1BuTWp7qHGjWhqrnf-OmePP568O4A5Am9ttzvVdP67zw/edit#gid=1931367683"" ,""ENERGY!$A$2:$F$2692""), {2,3,4,5,6},0))"),"Europe")</f>
        <v>Europe</v>
      </c>
      <c r="AC771" s="14" t="str">
        <f>IFERROR(__xludf.DUMMYFUNCTION("""COMPUTED_VALUE"""),"Estonia-Europe")</f>
        <v>Estonia-Europe</v>
      </c>
      <c r="AD771" s="14" t="str">
        <f>IFERROR(__xludf.DUMMYFUNCTION("""COMPUTED_VALUE"""),"2002")</f>
        <v>2002</v>
      </c>
      <c r="AE771" s="14">
        <f>IFERROR(__xludf.DUMMYFUNCTION("""COMPUTED_VALUE"""),5568.0)</f>
        <v>5568</v>
      </c>
      <c r="AF771" s="14">
        <f>IFERROR(__xludf.DUMMYFUNCTION("""COMPUTED_VALUE"""),18339.0)</f>
        <v>18339</v>
      </c>
    </row>
    <row r="772">
      <c r="A772" s="12">
        <v>771.0</v>
      </c>
      <c r="B772" s="12" t="s">
        <v>138</v>
      </c>
      <c r="C772" s="5" t="s">
        <v>75</v>
      </c>
      <c r="D772" s="8"/>
      <c r="E772" s="11">
        <v>72.0</v>
      </c>
      <c r="F772" s="8"/>
      <c r="G772" s="8"/>
      <c r="H772" s="11">
        <v>0.453</v>
      </c>
      <c r="I772" s="11">
        <v>0.784</v>
      </c>
      <c r="J772" s="9" t="s">
        <v>64</v>
      </c>
      <c r="K772" s="14" t="str">
        <f>IFERROR(__xludf.DUMMYFUNCTION("ARRAYFORMULA(VLOOKUP(A772,IMPORTRANGE(""https://docs.google.com/spreadsheets/d/1BuTWp7qHGjWhqrnf-OmePP568O4A5Am9ttzvVdP67zw/edit#gid=1603210130"", ""TOURISM!$A$2:$F$2692""), {2,3,4,5,6},0))"),"Europe")</f>
        <v>Europe</v>
      </c>
      <c r="L772" s="14">
        <f>IFERROR(__xludf.DUMMYFUNCTION("""COMPUTED_VALUE"""),8.83E8)</f>
        <v>883000000</v>
      </c>
      <c r="M772" s="14" t="str">
        <f>IFERROR(__xludf.DUMMYFUNCTION("""COMPUTED_VALUE"""),"Estonia-Europe")</f>
        <v>Estonia-Europe</v>
      </c>
      <c r="N772" s="14" t="str">
        <f>IFERROR(__xludf.DUMMYFUNCTION("""COMPUTED_VALUE"""),"2003")</f>
        <v>2003</v>
      </c>
      <c r="O772" s="14">
        <f>IFERROR(__xludf.DUMMYFUNCTION("""COMPUTED_VALUE"""),4.04E8)</f>
        <v>404000000</v>
      </c>
      <c r="P772" s="15">
        <f>IFERROR(__xludf.DUMMYFUNCTION("ARRAYFORMULA(VLOOKUP(A772,IMPORTRANGE(""https://docs.google.com/spreadsheets/d/1BuTWp7qHGjWhqrnf-OmePP568O4A5Am9ttzvVdP67zw/edit#gid=771602874"" ,""HUMAN RESOURCES!$A$2:$M$2692""), {2,3,4,5,6,7,8,9,10,11,12,13},0))"),0.01)</f>
        <v>0.01</v>
      </c>
      <c r="Q772" s="14">
        <f>IFERROR(__xludf.DUMMYFUNCTION("""COMPUTED_VALUE"""),0.007)</f>
        <v>0.007</v>
      </c>
      <c r="R772" s="14">
        <f>IFERROR(__xludf.DUMMYFUNCTION("""COMPUTED_VALUE"""),77.0)</f>
        <v>77</v>
      </c>
      <c r="S772" s="14">
        <f>IFERROR(__xludf.DUMMYFUNCTION("""COMPUTED_VALUE"""),66.0)</f>
        <v>66</v>
      </c>
      <c r="T772" s="14">
        <f>IFERROR(__xludf.DUMMYFUNCTION("""COMPUTED_VALUE"""),0.161)</f>
        <v>0.161</v>
      </c>
      <c r="U772" s="14">
        <f>IFERROR(__xludf.DUMMYFUNCTION("""COMPUTED_VALUE"""),0.676)</f>
        <v>0.676</v>
      </c>
      <c r="V772" s="14">
        <f>IFERROR(__xludf.DUMMYFUNCTION("""COMPUTED_VALUE"""),0.163)</f>
        <v>0.163</v>
      </c>
      <c r="W772" s="14">
        <f>IFERROR(__xludf.DUMMYFUNCTION("""COMPUTED_VALUE"""),1370720.0)</f>
        <v>1370720</v>
      </c>
      <c r="X772" s="14">
        <f>IFERROR(__xludf.DUMMYFUNCTION("""COMPUTED_VALUE"""),0.69)</f>
        <v>0.69</v>
      </c>
      <c r="Y772" s="14" t="str">
        <f>IFERROR(__xludf.DUMMYFUNCTION("""COMPUTED_VALUE"""),"Estonia-Europe")</f>
        <v>Estonia-Europe</v>
      </c>
      <c r="Z772" s="14" t="str">
        <f>IFERROR(__xludf.DUMMYFUNCTION("""COMPUTED_VALUE"""),"Europe")</f>
        <v>Europe</v>
      </c>
      <c r="AA772" s="14" t="str">
        <f>IFERROR(__xludf.DUMMYFUNCTION("""COMPUTED_VALUE"""),"2003")</f>
        <v>2003</v>
      </c>
      <c r="AB772" s="15" t="str">
        <f>IFERROR(__xludf.DUMMYFUNCTION("ARRAYFORMULA(VLOOKUP(A772,IMPORTRANGE(""https://docs.google.com/spreadsheets/d/1BuTWp7qHGjWhqrnf-OmePP568O4A5Am9ttzvVdP67zw/edit#gid=1931367683"" ,""ENERGY!$A$2:$F$2692""), {2,3,4,5,6},0))"),"Europe")</f>
        <v>Europe</v>
      </c>
      <c r="AC772" s="14" t="str">
        <f>IFERROR(__xludf.DUMMYFUNCTION("""COMPUTED_VALUE"""),"Estonia-Europe")</f>
        <v>Estonia-Europe</v>
      </c>
      <c r="AD772" s="14" t="str">
        <f>IFERROR(__xludf.DUMMYFUNCTION("""COMPUTED_VALUE"""),"2003")</f>
        <v>2003</v>
      </c>
      <c r="AE772" s="14">
        <f>IFERROR(__xludf.DUMMYFUNCTION("""COMPUTED_VALUE"""),4749.0)</f>
        <v>4749</v>
      </c>
      <c r="AF772" s="14">
        <f>IFERROR(__xludf.DUMMYFUNCTION("""COMPUTED_VALUE"""),14745.0)</f>
        <v>14745</v>
      </c>
    </row>
    <row r="773">
      <c r="A773" s="12">
        <v>772.0</v>
      </c>
      <c r="B773" s="12" t="s">
        <v>138</v>
      </c>
      <c r="C773" s="5" t="s">
        <v>75</v>
      </c>
      <c r="D773" s="8"/>
      <c r="E773" s="11">
        <v>72.0</v>
      </c>
      <c r="F773" s="8"/>
      <c r="G773" s="8"/>
      <c r="H773" s="11">
        <v>0.532</v>
      </c>
      <c r="I773" s="11">
        <v>0.943</v>
      </c>
      <c r="J773" s="9" t="s">
        <v>65</v>
      </c>
      <c r="K773" s="14" t="str">
        <f>IFERROR(__xludf.DUMMYFUNCTION("ARRAYFORMULA(VLOOKUP(A773,IMPORTRANGE(""https://docs.google.com/spreadsheets/d/1BuTWp7qHGjWhqrnf-OmePP568O4A5Am9ttzvVdP67zw/edit#gid=1603210130"", ""TOURISM!$A$2:$F$2692""), {2,3,4,5,6},0))"),"Europe")</f>
        <v>Europe</v>
      </c>
      <c r="L773" s="14">
        <f>IFERROR(__xludf.DUMMYFUNCTION("""COMPUTED_VALUE"""),1.111E9)</f>
        <v>1111000000</v>
      </c>
      <c r="M773" s="14" t="str">
        <f>IFERROR(__xludf.DUMMYFUNCTION("""COMPUTED_VALUE"""),"Estonia-Europe")</f>
        <v>Estonia-Europe</v>
      </c>
      <c r="N773" s="14" t="str">
        <f>IFERROR(__xludf.DUMMYFUNCTION("""COMPUTED_VALUE"""),"2004")</f>
        <v>2004</v>
      </c>
      <c r="O773" s="14">
        <f>IFERROR(__xludf.DUMMYFUNCTION("""COMPUTED_VALUE"""),4.86E8)</f>
        <v>486000000</v>
      </c>
      <c r="P773" s="15">
        <f>IFERROR(__xludf.DUMMYFUNCTION("ARRAYFORMULA(VLOOKUP(A773,IMPORTRANGE(""https://docs.google.com/spreadsheets/d/1BuTWp7qHGjWhqrnf-OmePP568O4A5Am9ttzvVdP67zw/edit#gid=771602874"" ,""HUMAN RESOURCES!$A$2:$M$2692""), {2,3,4,5,6,7,8,9,10,11,12,13},0))"),0.01)</f>
        <v>0.01</v>
      </c>
      <c r="Q773" s="14">
        <f>IFERROR(__xludf.DUMMYFUNCTION("""COMPUTED_VALUE"""),0.006)</f>
        <v>0.006</v>
      </c>
      <c r="R773" s="14">
        <f>IFERROR(__xludf.DUMMYFUNCTION("""COMPUTED_VALUE"""),78.0)</f>
        <v>78</v>
      </c>
      <c r="S773" s="14">
        <f>IFERROR(__xludf.DUMMYFUNCTION("""COMPUTED_VALUE"""),66.0)</f>
        <v>66</v>
      </c>
      <c r="T773" s="14">
        <f>IFERROR(__xludf.DUMMYFUNCTION("""COMPUTED_VALUE"""),0.156)</f>
        <v>0.156</v>
      </c>
      <c r="U773" s="14">
        <f>IFERROR(__xludf.DUMMYFUNCTION("""COMPUTED_VALUE"""),0.678)</f>
        <v>0.678</v>
      </c>
      <c r="V773" s="14">
        <f>IFERROR(__xludf.DUMMYFUNCTION("""COMPUTED_VALUE"""),0.166)</f>
        <v>0.166</v>
      </c>
      <c r="W773" s="14">
        <f>IFERROR(__xludf.DUMMYFUNCTION("""COMPUTED_VALUE"""),1362550.0)</f>
        <v>1362550</v>
      </c>
      <c r="X773" s="14">
        <f>IFERROR(__xludf.DUMMYFUNCTION("""COMPUTED_VALUE"""),0.689)</f>
        <v>0.689</v>
      </c>
      <c r="Y773" s="14" t="str">
        <f>IFERROR(__xludf.DUMMYFUNCTION("""COMPUTED_VALUE"""),"Estonia-Europe")</f>
        <v>Estonia-Europe</v>
      </c>
      <c r="Z773" s="14" t="str">
        <f>IFERROR(__xludf.DUMMYFUNCTION("""COMPUTED_VALUE"""),"Europe")</f>
        <v>Europe</v>
      </c>
      <c r="AA773" s="14" t="str">
        <f>IFERROR(__xludf.DUMMYFUNCTION("""COMPUTED_VALUE"""),"2004")</f>
        <v>2004</v>
      </c>
      <c r="AB773" s="15" t="str">
        <f>IFERROR(__xludf.DUMMYFUNCTION("ARRAYFORMULA(VLOOKUP(A773,IMPORTRANGE(""https://docs.google.com/spreadsheets/d/1BuTWp7qHGjWhqrnf-OmePP568O4A5Am9ttzvVdP67zw/edit#gid=1931367683"" ,""ENERGY!$A$2:$F$2692""), {2,3,4,5,6},0))"),"Europe")</f>
        <v>Europe</v>
      </c>
      <c r="AC773" s="14" t="str">
        <f>IFERROR(__xludf.DUMMYFUNCTION("""COMPUTED_VALUE"""),"Estonia-Europe")</f>
        <v>Estonia-Europe</v>
      </c>
      <c r="AD773" s="14" t="str">
        <f>IFERROR(__xludf.DUMMYFUNCTION("""COMPUTED_VALUE"""),"2004")</f>
        <v>2004</v>
      </c>
      <c r="AE773" s="14">
        <f>IFERROR(__xludf.DUMMYFUNCTION("""COMPUTED_VALUE"""),5440.0)</f>
        <v>5440</v>
      </c>
      <c r="AF773" s="14">
        <f>IFERROR(__xludf.DUMMYFUNCTION("""COMPUTED_VALUE"""),17492.0)</f>
        <v>17492</v>
      </c>
    </row>
    <row r="774">
      <c r="A774" s="12">
        <v>773.0</v>
      </c>
      <c r="B774" s="12" t="s">
        <v>138</v>
      </c>
      <c r="C774" s="5" t="s">
        <v>75</v>
      </c>
      <c r="D774" s="11">
        <v>0.503</v>
      </c>
      <c r="E774" s="11">
        <v>35.0</v>
      </c>
      <c r="F774" s="8"/>
      <c r="G774" s="11">
        <v>81.0</v>
      </c>
      <c r="H774" s="11">
        <v>0.615</v>
      </c>
      <c r="I774" s="11">
        <v>1.091</v>
      </c>
      <c r="J774" s="9" t="s">
        <v>66</v>
      </c>
      <c r="K774" s="14" t="str">
        <f>IFERROR(__xludf.DUMMYFUNCTION("ARRAYFORMULA(VLOOKUP(A774,IMPORTRANGE(""https://docs.google.com/spreadsheets/d/1BuTWp7qHGjWhqrnf-OmePP568O4A5Am9ttzvVdP67zw/edit#gid=1603210130"", ""TOURISM!$A$2:$F$2692""), {2,3,4,5,6},0))"),"Europe")</f>
        <v>Europe</v>
      </c>
      <c r="L774" s="14">
        <f>IFERROR(__xludf.DUMMYFUNCTION("""COMPUTED_VALUE"""),1.229E9)</f>
        <v>1229000000</v>
      </c>
      <c r="M774" s="14" t="str">
        <f>IFERROR(__xludf.DUMMYFUNCTION("""COMPUTED_VALUE"""),"Estonia-Europe")</f>
        <v>Estonia-Europe</v>
      </c>
      <c r="N774" s="14" t="str">
        <f>IFERROR(__xludf.DUMMYFUNCTION("""COMPUTED_VALUE"""),"2005")</f>
        <v>2005</v>
      </c>
      <c r="O774" s="14">
        <f>IFERROR(__xludf.DUMMYFUNCTION("""COMPUTED_VALUE"""),5.3E8)</f>
        <v>530000000</v>
      </c>
      <c r="P774" s="15">
        <f>IFERROR(__xludf.DUMMYFUNCTION("ARRAYFORMULA(VLOOKUP(A774,IMPORTRANGE(""https://docs.google.com/spreadsheets/d/1BuTWp7qHGjWhqrnf-OmePP568O4A5Am9ttzvVdP67zw/edit#gid=771602874"" ,""HUMAN RESOURCES!$A$2:$M$2692""), {2,3,4,5,6,7,8,9,10,11,12,13},0))"),0.011)</f>
        <v>0.011</v>
      </c>
      <c r="Q774" s="14">
        <f>IFERROR(__xludf.DUMMYFUNCTION("""COMPUTED_VALUE"""),0.006)</f>
        <v>0.006</v>
      </c>
      <c r="R774" s="14">
        <f>IFERROR(__xludf.DUMMYFUNCTION("""COMPUTED_VALUE"""),78.0)</f>
        <v>78</v>
      </c>
      <c r="S774" s="14">
        <f>IFERROR(__xludf.DUMMYFUNCTION("""COMPUTED_VALUE"""),67.0)</f>
        <v>67</v>
      </c>
      <c r="T774" s="14">
        <f>IFERROR(__xludf.DUMMYFUNCTION("""COMPUTED_VALUE"""),0.153)</f>
        <v>0.153</v>
      </c>
      <c r="U774" s="14">
        <f>IFERROR(__xludf.DUMMYFUNCTION("""COMPUTED_VALUE"""),0.679)</f>
        <v>0.679</v>
      </c>
      <c r="V774" s="14">
        <f>IFERROR(__xludf.DUMMYFUNCTION("""COMPUTED_VALUE"""),0.168)</f>
        <v>0.168</v>
      </c>
      <c r="W774" s="14">
        <f>IFERROR(__xludf.DUMMYFUNCTION("""COMPUTED_VALUE"""),1354775.0)</f>
        <v>1354775</v>
      </c>
      <c r="X774" s="14">
        <f>IFERROR(__xludf.DUMMYFUNCTION("""COMPUTED_VALUE"""),0.687)</f>
        <v>0.687</v>
      </c>
      <c r="Y774" s="14" t="str">
        <f>IFERROR(__xludf.DUMMYFUNCTION("""COMPUTED_VALUE"""),"Estonia-Europe")</f>
        <v>Estonia-Europe</v>
      </c>
      <c r="Z774" s="14" t="str">
        <f>IFERROR(__xludf.DUMMYFUNCTION("""COMPUTED_VALUE"""),"Europe")</f>
        <v>Europe</v>
      </c>
      <c r="AA774" s="14" t="str">
        <f>IFERROR(__xludf.DUMMYFUNCTION("""COMPUTED_VALUE"""),"2005")</f>
        <v>2005</v>
      </c>
      <c r="AB774" s="15" t="str">
        <f>IFERROR(__xludf.DUMMYFUNCTION("ARRAYFORMULA(VLOOKUP(A774,IMPORTRANGE(""https://docs.google.com/spreadsheets/d/1BuTWp7qHGjWhqrnf-OmePP568O4A5Am9ttzvVdP67zw/edit#gid=1931367683"" ,""ENERGY!$A$2:$F$2692""), {2,3,4,5,6},0))"),"Europe")</f>
        <v>Europe</v>
      </c>
      <c r="AC774" s="14" t="str">
        <f>IFERROR(__xludf.DUMMYFUNCTION("""COMPUTED_VALUE"""),"Estonia-Europe")</f>
        <v>Estonia-Europe</v>
      </c>
      <c r="AD774" s="14" t="str">
        <f>IFERROR(__xludf.DUMMYFUNCTION("""COMPUTED_VALUE"""),"2006")</f>
        <v>2006</v>
      </c>
      <c r="AE774" s="14">
        <f>IFERROR(__xludf.DUMMYFUNCTION("""COMPUTED_VALUE"""),5624.0)</f>
        <v>5624</v>
      </c>
      <c r="AF774" s="14">
        <f>IFERROR(__xludf.DUMMYFUNCTION("""COMPUTED_VALUE"""),18845.0)</f>
        <v>18845</v>
      </c>
    </row>
    <row r="775">
      <c r="A775" s="12">
        <v>774.0</v>
      </c>
      <c r="B775" s="12" t="s">
        <v>138</v>
      </c>
      <c r="C775" s="5" t="s">
        <v>75</v>
      </c>
      <c r="D775" s="11">
        <v>0.491</v>
      </c>
      <c r="E775" s="11">
        <v>35.0</v>
      </c>
      <c r="F775" s="8"/>
      <c r="G775" s="11">
        <v>81.0</v>
      </c>
      <c r="H775" s="11">
        <v>0.635</v>
      </c>
      <c r="I775" s="11">
        <v>1.258</v>
      </c>
      <c r="J775" s="9" t="s">
        <v>67</v>
      </c>
      <c r="K775" s="14" t="str">
        <f>IFERROR(__xludf.DUMMYFUNCTION("ARRAYFORMULA(VLOOKUP(A775,IMPORTRANGE(""https://docs.google.com/spreadsheets/d/1BuTWp7qHGjWhqrnf-OmePP568O4A5Am9ttzvVdP67zw/edit#gid=1603210130"", ""TOURISM!$A$2:$F$2692""), {2,3,4,5,6},0))"),"Europe")</f>
        <v>Europe</v>
      </c>
      <c r="L775" s="14">
        <f>IFERROR(__xludf.DUMMYFUNCTION("""COMPUTED_VALUE"""),1.361E9)</f>
        <v>1361000000</v>
      </c>
      <c r="M775" s="14" t="str">
        <f>IFERROR(__xludf.DUMMYFUNCTION("""COMPUTED_VALUE"""),"Estonia-Europe")</f>
        <v>Estonia-Europe</v>
      </c>
      <c r="N775" s="14" t="str">
        <f>IFERROR(__xludf.DUMMYFUNCTION("""COMPUTED_VALUE"""),"2006")</f>
        <v>2006</v>
      </c>
      <c r="O775" s="14">
        <f>IFERROR(__xludf.DUMMYFUNCTION("""COMPUTED_VALUE"""),7.06E8)</f>
        <v>706000000</v>
      </c>
      <c r="P775" s="15">
        <f>IFERROR(__xludf.DUMMYFUNCTION("ARRAYFORMULA(VLOOKUP(A775,IMPORTRANGE(""https://docs.google.com/spreadsheets/d/1BuTWp7qHGjWhqrnf-OmePP568O4A5Am9ttzvVdP67zw/edit#gid=771602874"" ,""HUMAN RESOURCES!$A$2:$M$2692""), {2,3,4,5,6,7,8,9,10,11,12,13},0))"),0.011)</f>
        <v>0.011</v>
      </c>
      <c r="Q775" s="14">
        <f>IFERROR(__xludf.DUMMYFUNCTION("""COMPUTED_VALUE"""),0.005)</f>
        <v>0.005</v>
      </c>
      <c r="R775" s="14">
        <f>IFERROR(__xludf.DUMMYFUNCTION("""COMPUTED_VALUE"""),78.0)</f>
        <v>78</v>
      </c>
      <c r="S775" s="14">
        <f>IFERROR(__xludf.DUMMYFUNCTION("""COMPUTED_VALUE"""),67.0)</f>
        <v>67</v>
      </c>
      <c r="T775" s="14">
        <f>IFERROR(__xludf.DUMMYFUNCTION("""COMPUTED_VALUE"""),0.151)</f>
        <v>0.151</v>
      </c>
      <c r="U775" s="14">
        <f>IFERROR(__xludf.DUMMYFUNCTION("""COMPUTED_VALUE"""),0.679)</f>
        <v>0.679</v>
      </c>
      <c r="V775" s="14">
        <f>IFERROR(__xludf.DUMMYFUNCTION("""COMPUTED_VALUE"""),0.17)</f>
        <v>0.17</v>
      </c>
      <c r="W775" s="14">
        <f>IFERROR(__xludf.DUMMYFUNCTION("""COMPUTED_VALUE"""),1346810.0)</f>
        <v>1346810</v>
      </c>
      <c r="X775" s="14">
        <f>IFERROR(__xludf.DUMMYFUNCTION("""COMPUTED_VALUE"""),0.686)</f>
        <v>0.686</v>
      </c>
      <c r="Y775" s="14" t="str">
        <f>IFERROR(__xludf.DUMMYFUNCTION("""COMPUTED_VALUE"""),"Estonia-Europe")</f>
        <v>Estonia-Europe</v>
      </c>
      <c r="Z775" s="14" t="str">
        <f>IFERROR(__xludf.DUMMYFUNCTION("""COMPUTED_VALUE"""),"Europe")</f>
        <v>Europe</v>
      </c>
      <c r="AA775" s="14" t="str">
        <f>IFERROR(__xludf.DUMMYFUNCTION("""COMPUTED_VALUE"""),"2006")</f>
        <v>2006</v>
      </c>
      <c r="AB775" s="15" t="str">
        <f>IFERROR(__xludf.DUMMYFUNCTION("ARRAYFORMULA(VLOOKUP(A775,IMPORTRANGE(""https://docs.google.com/spreadsheets/d/1BuTWp7qHGjWhqrnf-OmePP568O4A5Am9ttzvVdP67zw/edit#gid=1931367683"" ,""ENERGY!$A$2:$F$2692""), {2,3,4,5,6},0))"),"Europe")</f>
        <v>Europe</v>
      </c>
      <c r="AC775" s="14" t="str">
        <f>IFERROR(__xludf.DUMMYFUNCTION("""COMPUTED_VALUE"""),"Estonia-Europe")</f>
        <v>Estonia-Europe</v>
      </c>
      <c r="AD775" s="14" t="str">
        <f>IFERROR(__xludf.DUMMYFUNCTION("""COMPUTED_VALUE"""),"2010")</f>
        <v>2010</v>
      </c>
      <c r="AE775" s="14">
        <f>IFERROR(__xludf.DUMMYFUNCTION("""COMPUTED_VALUE"""),5038.0)</f>
        <v>5038</v>
      </c>
      <c r="AF775" s="14">
        <f>IFERROR(__xludf.DUMMYFUNCTION("""COMPUTED_VALUE"""),16190.0)</f>
        <v>16190</v>
      </c>
    </row>
    <row r="776">
      <c r="A776" s="12">
        <v>775.0</v>
      </c>
      <c r="B776" s="12" t="s">
        <v>138</v>
      </c>
      <c r="C776" s="5" t="s">
        <v>75</v>
      </c>
      <c r="D776" s="11">
        <v>0.484</v>
      </c>
      <c r="E776" s="11">
        <v>7.0</v>
      </c>
      <c r="F776" s="8"/>
      <c r="G776" s="11">
        <v>81.0</v>
      </c>
      <c r="H776" s="11">
        <v>0.662</v>
      </c>
      <c r="I776" s="11">
        <v>1.281</v>
      </c>
      <c r="J776" s="9" t="s">
        <v>68</v>
      </c>
      <c r="K776" s="14" t="str">
        <f>IFERROR(__xludf.DUMMYFUNCTION("ARRAYFORMULA(VLOOKUP(A776,IMPORTRANGE(""https://docs.google.com/spreadsheets/d/1BuTWp7qHGjWhqrnf-OmePP568O4A5Am9ttzvVdP67zw/edit#gid=1603210130"", ""TOURISM!$A$2:$F$2692""), {2,3,4,5,6},0))"),"Europe")</f>
        <v>Europe</v>
      </c>
      <c r="L776" s="14">
        <f>IFERROR(__xludf.DUMMYFUNCTION("""COMPUTED_VALUE"""),1.416E9)</f>
        <v>1416000000</v>
      </c>
      <c r="M776" s="14" t="str">
        <f>IFERROR(__xludf.DUMMYFUNCTION("""COMPUTED_VALUE"""),"Estonia-Europe")</f>
        <v>Estonia-Europe</v>
      </c>
      <c r="N776" s="14" t="str">
        <f>IFERROR(__xludf.DUMMYFUNCTION("""COMPUTED_VALUE"""),"2007")</f>
        <v>2007</v>
      </c>
      <c r="O776" s="14">
        <f>IFERROR(__xludf.DUMMYFUNCTION("""COMPUTED_VALUE"""),8.04E8)</f>
        <v>804000000</v>
      </c>
      <c r="P776" s="15">
        <f>IFERROR(__xludf.DUMMYFUNCTION("ARRAYFORMULA(VLOOKUP(A776,IMPORTRANGE(""https://docs.google.com/spreadsheets/d/1BuTWp7qHGjWhqrnf-OmePP568O4A5Am9ttzvVdP67zw/edit#gid=771602874"" ,""HUMAN RESOURCES!$A$2:$M$2692""), {2,3,4,5,6,7,8,9,10,11,12,13},0))"),0.012)</f>
        <v>0.012</v>
      </c>
      <c r="Q776" s="14">
        <f>IFERROR(__xludf.DUMMYFUNCTION("""COMPUTED_VALUE"""),0.005)</f>
        <v>0.005</v>
      </c>
      <c r="R776" s="14">
        <f>IFERROR(__xludf.DUMMYFUNCTION("""COMPUTED_VALUE"""),79.0)</f>
        <v>79</v>
      </c>
      <c r="S776" s="14">
        <f>IFERROR(__xludf.DUMMYFUNCTION("""COMPUTED_VALUE"""),67.0)</f>
        <v>67</v>
      </c>
      <c r="T776" s="14">
        <f>IFERROR(__xludf.DUMMYFUNCTION("""COMPUTED_VALUE"""),0.151)</f>
        <v>0.151</v>
      </c>
      <c r="U776" s="14">
        <f>IFERROR(__xludf.DUMMYFUNCTION("""COMPUTED_VALUE"""),0.678)</f>
        <v>0.678</v>
      </c>
      <c r="V776" s="14">
        <f>IFERROR(__xludf.DUMMYFUNCTION("""COMPUTED_VALUE"""),0.172)</f>
        <v>0.172</v>
      </c>
      <c r="W776" s="14">
        <f>IFERROR(__xludf.DUMMYFUNCTION("""COMPUTED_VALUE"""),1340680.0)</f>
        <v>1340680</v>
      </c>
      <c r="X776" s="14">
        <f>IFERROR(__xludf.DUMMYFUNCTION("""COMPUTED_VALUE"""),0.685)</f>
        <v>0.685</v>
      </c>
      <c r="Y776" s="14" t="str">
        <f>IFERROR(__xludf.DUMMYFUNCTION("""COMPUTED_VALUE"""),"Estonia-Europe")</f>
        <v>Estonia-Europe</v>
      </c>
      <c r="Z776" s="14" t="str">
        <f>IFERROR(__xludf.DUMMYFUNCTION("""COMPUTED_VALUE"""),"Europe")</f>
        <v>Europe</v>
      </c>
      <c r="AA776" s="14" t="str">
        <f>IFERROR(__xludf.DUMMYFUNCTION("""COMPUTED_VALUE"""),"2007")</f>
        <v>2007</v>
      </c>
      <c r="AB776" s="15" t="str">
        <f>IFERROR(__xludf.DUMMYFUNCTION("ARRAYFORMULA(VLOOKUP(A776,IMPORTRANGE(""https://docs.google.com/spreadsheets/d/1BuTWp7qHGjWhqrnf-OmePP568O4A5Am9ttzvVdP67zw/edit#gid=1931367683"" ,""ENERGY!$A$2:$F$2692""), {2,3,4,5,6},0))"),"Europe")</f>
        <v>Europe</v>
      </c>
      <c r="AC776" s="14" t="str">
        <f>IFERROR(__xludf.DUMMYFUNCTION("""COMPUTED_VALUE"""),"Estonia-Europe")</f>
        <v>Estonia-Europe</v>
      </c>
      <c r="AD776" s="14" t="str">
        <f>IFERROR(__xludf.DUMMYFUNCTION("""COMPUTED_VALUE"""),"2007")</f>
        <v>2007</v>
      </c>
      <c r="AE776" s="14">
        <f>IFERROR(__xludf.DUMMYFUNCTION("""COMPUTED_VALUE"""),5164.0)</f>
        <v>5164</v>
      </c>
      <c r="AF776" s="14">
        <f>IFERROR(__xludf.DUMMYFUNCTION("""COMPUTED_VALUE"""),16780.0)</f>
        <v>16780</v>
      </c>
    </row>
    <row r="777">
      <c r="A777" s="12">
        <v>776.0</v>
      </c>
      <c r="B777" s="12" t="s">
        <v>138</v>
      </c>
      <c r="C777" s="5" t="s">
        <v>75</v>
      </c>
      <c r="D777" s="11">
        <v>0.479</v>
      </c>
      <c r="E777" s="11">
        <v>7.0</v>
      </c>
      <c r="F777" s="8"/>
      <c r="G777" s="11">
        <v>81.0</v>
      </c>
      <c r="H777" s="11">
        <v>0.706</v>
      </c>
      <c r="I777" s="11">
        <v>1.242</v>
      </c>
      <c r="J777" s="9" t="s">
        <v>69</v>
      </c>
      <c r="K777" s="14" t="str">
        <f>IFERROR(__xludf.DUMMYFUNCTION("ARRAYFORMULA(VLOOKUP(A777,IMPORTRANGE(""https://docs.google.com/spreadsheets/d/1BuTWp7qHGjWhqrnf-OmePP568O4A5Am9ttzvVdP67zw/edit#gid=1603210130"", ""TOURISM!$A$2:$F$2692""), {2,3,4,5,6},0))"),"Europe")</f>
        <v>Europe</v>
      </c>
      <c r="L777" s="14">
        <f>IFERROR(__xludf.DUMMYFUNCTION("""COMPUTED_VALUE"""),1.643E9)</f>
        <v>1643000000</v>
      </c>
      <c r="M777" s="14" t="str">
        <f>IFERROR(__xludf.DUMMYFUNCTION("""COMPUTED_VALUE"""),"Estonia-Europe")</f>
        <v>Estonia-Europe</v>
      </c>
      <c r="N777" s="14" t="str">
        <f>IFERROR(__xludf.DUMMYFUNCTION("""COMPUTED_VALUE"""),"2008")</f>
        <v>2008</v>
      </c>
      <c r="O777" s="14">
        <f>IFERROR(__xludf.DUMMYFUNCTION("""COMPUTED_VALUE"""),9.39E8)</f>
        <v>939000000</v>
      </c>
      <c r="P777" s="15">
        <f>IFERROR(__xludf.DUMMYFUNCTION("ARRAYFORMULA(VLOOKUP(A777,IMPORTRANGE(""https://docs.google.com/spreadsheets/d/1BuTWp7qHGjWhqrnf-OmePP568O4A5Am9ttzvVdP67zw/edit#gid=771602874"" ,""HUMAN RESOURCES!$A$2:$M$2692""), {2,3,4,5,6,7,8,9,10,11,12,13},0))"),0.012)</f>
        <v>0.012</v>
      </c>
      <c r="Q777" s="14">
        <f>IFERROR(__xludf.DUMMYFUNCTION("""COMPUTED_VALUE"""),0.004)</f>
        <v>0.004</v>
      </c>
      <c r="R777" s="14">
        <f>IFERROR(__xludf.DUMMYFUNCTION("""COMPUTED_VALUE"""),79.0)</f>
        <v>79</v>
      </c>
      <c r="S777" s="14">
        <f>IFERROR(__xludf.DUMMYFUNCTION("""COMPUTED_VALUE"""),69.0)</f>
        <v>69</v>
      </c>
      <c r="T777" s="14">
        <f>IFERROR(__xludf.DUMMYFUNCTION("""COMPUTED_VALUE"""),0.151)</f>
        <v>0.151</v>
      </c>
      <c r="U777" s="14">
        <f>IFERROR(__xludf.DUMMYFUNCTION("""COMPUTED_VALUE"""),0.676)</f>
        <v>0.676</v>
      </c>
      <c r="V777" s="14">
        <f>IFERROR(__xludf.DUMMYFUNCTION("""COMPUTED_VALUE"""),0.173)</f>
        <v>0.173</v>
      </c>
      <c r="W777" s="14">
        <f>IFERROR(__xludf.DUMMYFUNCTION("""COMPUTED_VALUE"""),1337090.0)</f>
        <v>1337090</v>
      </c>
      <c r="X777" s="14">
        <f>IFERROR(__xludf.DUMMYFUNCTION("""COMPUTED_VALUE"""),0.684)</f>
        <v>0.684</v>
      </c>
      <c r="Y777" s="14" t="str">
        <f>IFERROR(__xludf.DUMMYFUNCTION("""COMPUTED_VALUE"""),"Estonia-Europe")</f>
        <v>Estonia-Europe</v>
      </c>
      <c r="Z777" s="14" t="str">
        <f>IFERROR(__xludf.DUMMYFUNCTION("""COMPUTED_VALUE"""),"Europe")</f>
        <v>Europe</v>
      </c>
      <c r="AA777" s="14" t="str">
        <f>IFERROR(__xludf.DUMMYFUNCTION("""COMPUTED_VALUE"""),"2008")</f>
        <v>2008</v>
      </c>
      <c r="AB777" s="15" t="str">
        <f>IFERROR(__xludf.DUMMYFUNCTION("ARRAYFORMULA(VLOOKUP(A777,IMPORTRANGE(""https://docs.google.com/spreadsheets/d/1BuTWp7qHGjWhqrnf-OmePP568O4A5Am9ttzvVdP67zw/edit#gid=1931367683"" ,""ENERGY!$A$2:$F$2692""), {2,3,4,5,6},0))"),"Europe")</f>
        <v>Europe</v>
      </c>
      <c r="AC777" s="14" t="str">
        <f>IFERROR(__xludf.DUMMYFUNCTION("""COMPUTED_VALUE"""),"Estonia-Europe")</f>
        <v>Estonia-Europe</v>
      </c>
      <c r="AD777" s="14" t="str">
        <f>IFERROR(__xludf.DUMMYFUNCTION("""COMPUTED_VALUE"""),"2005")</f>
        <v>2005</v>
      </c>
      <c r="AE777" s="14">
        <f>IFERROR(__xludf.DUMMYFUNCTION("""COMPUTED_VALUE"""),5282.0)</f>
        <v>5282</v>
      </c>
      <c r="AF777" s="14">
        <f>IFERROR(__xludf.DUMMYFUNCTION("""COMPUTED_VALUE"""),17217.0)</f>
        <v>17217</v>
      </c>
    </row>
    <row r="778">
      <c r="A778" s="12">
        <v>777.0</v>
      </c>
      <c r="B778" s="12" t="s">
        <v>138</v>
      </c>
      <c r="C778" s="5" t="s">
        <v>75</v>
      </c>
      <c r="D778" s="11">
        <v>0.481</v>
      </c>
      <c r="E778" s="11">
        <v>7.0</v>
      </c>
      <c r="F778" s="8"/>
      <c r="G778" s="11">
        <v>81.0</v>
      </c>
      <c r="H778" s="11">
        <v>0.725</v>
      </c>
      <c r="I778" s="11">
        <v>1.205</v>
      </c>
      <c r="J778" s="9" t="s">
        <v>70</v>
      </c>
      <c r="K778" s="14" t="str">
        <f>IFERROR(__xludf.DUMMYFUNCTION("ARRAYFORMULA(VLOOKUP(A778,IMPORTRANGE(""https://docs.google.com/spreadsheets/d/1BuTWp7qHGjWhqrnf-OmePP568O4A5Am9ttzvVdP67zw/edit#gid=1603210130"", ""TOURISM!$A$2:$F$2692""), {2,3,4,5,6},0))"),"Europe")</f>
        <v>Europe</v>
      </c>
      <c r="L778" s="14">
        <f>IFERROR(__xludf.DUMMYFUNCTION("""COMPUTED_VALUE"""),1.445E9)</f>
        <v>1445000000</v>
      </c>
      <c r="M778" s="14" t="str">
        <f>IFERROR(__xludf.DUMMYFUNCTION("""COMPUTED_VALUE"""),"Estonia-Europe")</f>
        <v>Estonia-Europe</v>
      </c>
      <c r="N778" s="14" t="str">
        <f>IFERROR(__xludf.DUMMYFUNCTION("""COMPUTED_VALUE"""),"2009")</f>
        <v>2009</v>
      </c>
      <c r="O778" s="14">
        <f>IFERROR(__xludf.DUMMYFUNCTION("""COMPUTED_VALUE"""),6.96E8)</f>
        <v>696000000</v>
      </c>
      <c r="P778" s="15">
        <f>IFERROR(__xludf.DUMMYFUNCTION("ARRAYFORMULA(VLOOKUP(A778,IMPORTRANGE(""https://docs.google.com/spreadsheets/d/1BuTWp7qHGjWhqrnf-OmePP568O4A5Am9ttzvVdP67zw/edit#gid=771602874"" ,""HUMAN RESOURCES!$A$2:$M$2692""), {2,3,4,5,6,7,8,9,10,11,12,13},0))"),0.012)</f>
        <v>0.012</v>
      </c>
      <c r="Q778" s="14">
        <f>IFERROR(__xludf.DUMMYFUNCTION("""COMPUTED_VALUE"""),0.004)</f>
        <v>0.004</v>
      </c>
      <c r="R778" s="14">
        <f>IFERROR(__xludf.DUMMYFUNCTION("""COMPUTED_VALUE"""),80.0)</f>
        <v>80</v>
      </c>
      <c r="S778" s="14">
        <f>IFERROR(__xludf.DUMMYFUNCTION("""COMPUTED_VALUE"""),70.0)</f>
        <v>70</v>
      </c>
      <c r="T778" s="14">
        <f>IFERROR(__xludf.DUMMYFUNCTION("""COMPUTED_VALUE"""),0.153)</f>
        <v>0.153</v>
      </c>
      <c r="U778" s="14">
        <f>IFERROR(__xludf.DUMMYFUNCTION("""COMPUTED_VALUE"""),0.674)</f>
        <v>0.674</v>
      </c>
      <c r="V778" s="14">
        <f>IFERROR(__xludf.DUMMYFUNCTION("""COMPUTED_VALUE"""),0.174)</f>
        <v>0.174</v>
      </c>
      <c r="W778" s="14">
        <f>IFERROR(__xludf.DUMMYFUNCTION("""COMPUTED_VALUE"""),1334515.0)</f>
        <v>1334515</v>
      </c>
      <c r="X778" s="14">
        <f>IFERROR(__xludf.DUMMYFUNCTION("""COMPUTED_VALUE"""),0.682)</f>
        <v>0.682</v>
      </c>
      <c r="Y778" s="14" t="str">
        <f>IFERROR(__xludf.DUMMYFUNCTION("""COMPUTED_VALUE"""),"Estonia-Europe")</f>
        <v>Estonia-Europe</v>
      </c>
      <c r="Z778" s="14" t="str">
        <f>IFERROR(__xludf.DUMMYFUNCTION("""COMPUTED_VALUE"""),"Europe")</f>
        <v>Europe</v>
      </c>
      <c r="AA778" s="14" t="str">
        <f>IFERROR(__xludf.DUMMYFUNCTION("""COMPUTED_VALUE"""),"2009")</f>
        <v>2009</v>
      </c>
      <c r="AB778" s="15" t="str">
        <f>IFERROR(__xludf.DUMMYFUNCTION("ARRAYFORMULA(VLOOKUP(A778,IMPORTRANGE(""https://docs.google.com/spreadsheets/d/1BuTWp7qHGjWhqrnf-OmePP568O4A5Am9ttzvVdP67zw/edit#gid=1931367683"" ,""ENERGY!$A$2:$F$2692""), {2,3,4,5,6},0))"),"Europe")</f>
        <v>Europe</v>
      </c>
      <c r="AC778" s="14" t="str">
        <f>IFERROR(__xludf.DUMMYFUNCTION("""COMPUTED_VALUE"""),"Estonia-Europe")</f>
        <v>Estonia-Europe</v>
      </c>
      <c r="AD778" s="14" t="str">
        <f>IFERROR(__xludf.DUMMYFUNCTION("""COMPUTED_VALUE"""),"2009")</f>
        <v>2009</v>
      </c>
      <c r="AE778" s="14">
        <f>IFERROR(__xludf.DUMMYFUNCTION("""COMPUTED_VALUE"""),5188.0)</f>
        <v>5188</v>
      </c>
      <c r="AF778" s="14">
        <f>IFERROR(__xludf.DUMMYFUNCTION("""COMPUTED_VALUE"""),17052.0)</f>
        <v>17052</v>
      </c>
    </row>
    <row r="779">
      <c r="A779" s="12">
        <v>778.0</v>
      </c>
      <c r="B779" s="12" t="s">
        <v>138</v>
      </c>
      <c r="C779" s="5" t="s">
        <v>75</v>
      </c>
      <c r="D779" s="11">
        <v>0.486</v>
      </c>
      <c r="E779" s="11">
        <v>7.0</v>
      </c>
      <c r="F779" s="8"/>
      <c r="G779" s="11">
        <v>81.0</v>
      </c>
      <c r="H779" s="11">
        <v>0.741</v>
      </c>
      <c r="I779" s="11">
        <v>1.273</v>
      </c>
      <c r="J779" s="9" t="s">
        <v>71</v>
      </c>
      <c r="K779" s="14" t="str">
        <f>IFERROR(__xludf.DUMMYFUNCTION("ARRAYFORMULA(VLOOKUP(A779,IMPORTRANGE(""https://docs.google.com/spreadsheets/d/1BuTWp7qHGjWhqrnf-OmePP568O4A5Am9ttzvVdP67zw/edit#gid=1603210130"", ""TOURISM!$A$2:$F$2692""), {2,3,4,5,6},0))"),"Europe")</f>
        <v>Europe</v>
      </c>
      <c r="L779" s="14">
        <f>IFERROR(__xludf.DUMMYFUNCTION("""COMPUTED_VALUE"""),1.412E9)</f>
        <v>1412000000</v>
      </c>
      <c r="M779" s="14" t="str">
        <f>IFERROR(__xludf.DUMMYFUNCTION("""COMPUTED_VALUE"""),"Estonia-Europe")</f>
        <v>Estonia-Europe</v>
      </c>
      <c r="N779" s="14" t="str">
        <f>IFERROR(__xludf.DUMMYFUNCTION("""COMPUTED_VALUE"""),"2010")</f>
        <v>2010</v>
      </c>
      <c r="O779" s="14">
        <f>IFERROR(__xludf.DUMMYFUNCTION("""COMPUTED_VALUE"""),7.23E8)</f>
        <v>723000000</v>
      </c>
      <c r="P779" s="15">
        <f>IFERROR(__xludf.DUMMYFUNCTION("ARRAYFORMULA(VLOOKUP(A779,IMPORTRANGE(""https://docs.google.com/spreadsheets/d/1BuTWp7qHGjWhqrnf-OmePP568O4A5Am9ttzvVdP67zw/edit#gid=771602874"" ,""HUMAN RESOURCES!$A$2:$M$2692""), {2,3,4,5,6,7,8,9,10,11,12,13},0))"),0.012)</f>
        <v>0.012</v>
      </c>
      <c r="Q779" s="14">
        <f>IFERROR(__xludf.DUMMYFUNCTION("""COMPUTED_VALUE"""),0.004)</f>
        <v>0.004</v>
      </c>
      <c r="R779" s="14">
        <f>IFERROR(__xludf.DUMMYFUNCTION("""COMPUTED_VALUE"""),81.0)</f>
        <v>81</v>
      </c>
      <c r="S779" s="14">
        <f>IFERROR(__xludf.DUMMYFUNCTION("""COMPUTED_VALUE"""),71.0)</f>
        <v>71</v>
      </c>
      <c r="T779" s="14">
        <f>IFERROR(__xludf.DUMMYFUNCTION("""COMPUTED_VALUE"""),0.154)</f>
        <v>0.154</v>
      </c>
      <c r="U779" s="14">
        <f>IFERROR(__xludf.DUMMYFUNCTION("""COMPUTED_VALUE"""),0.671)</f>
        <v>0.671</v>
      </c>
      <c r="V779" s="14">
        <f>IFERROR(__xludf.DUMMYFUNCTION("""COMPUTED_VALUE"""),0.175)</f>
        <v>0.175</v>
      </c>
      <c r="W779" s="14">
        <f>IFERROR(__xludf.DUMMYFUNCTION("""COMPUTED_VALUE"""),1331475.0)</f>
        <v>1331475</v>
      </c>
      <c r="X779" s="14">
        <f>IFERROR(__xludf.DUMMYFUNCTION("""COMPUTED_VALUE"""),0.681)</f>
        <v>0.681</v>
      </c>
      <c r="Y779" s="14" t="str">
        <f>IFERROR(__xludf.DUMMYFUNCTION("""COMPUTED_VALUE"""),"Estonia-Europe")</f>
        <v>Estonia-Europe</v>
      </c>
      <c r="Z779" s="14" t="str">
        <f>IFERROR(__xludf.DUMMYFUNCTION("""COMPUTED_VALUE"""),"Europe")</f>
        <v>Europe</v>
      </c>
      <c r="AA779" s="14" t="str">
        <f>IFERROR(__xludf.DUMMYFUNCTION("""COMPUTED_VALUE"""),"2010")</f>
        <v>2010</v>
      </c>
      <c r="AB779" s="15" t="str">
        <f>IFERROR(__xludf.DUMMYFUNCTION("ARRAYFORMULA(VLOOKUP(A779,IMPORTRANGE(""https://docs.google.com/spreadsheets/d/1BuTWp7qHGjWhqrnf-OmePP568O4A5Am9ttzvVdP67zw/edit#gid=1931367683"" ,""ENERGY!$A$2:$F$2692""), {2,3,4,5,6},0))"),"Europe")</f>
        <v>Europe</v>
      </c>
      <c r="AC779" s="14" t="str">
        <f>IFERROR(__xludf.DUMMYFUNCTION("""COMPUTED_VALUE"""),"Estonia-Europe")</f>
        <v>Estonia-Europe</v>
      </c>
      <c r="AD779" s="14" t="str">
        <f>IFERROR(__xludf.DUMMYFUNCTION("""COMPUTED_VALUE"""),"2008")</f>
        <v>2008</v>
      </c>
      <c r="AE779" s="14">
        <f>IFERROR(__xludf.DUMMYFUNCTION("""COMPUTED_VALUE"""),4713.0)</f>
        <v>4713</v>
      </c>
      <c r="AF779" s="14">
        <f>IFERROR(__xludf.DUMMYFUNCTION("""COMPUTED_VALUE"""),14936.0)</f>
        <v>14936</v>
      </c>
    </row>
    <row r="780">
      <c r="A780" s="12">
        <v>779.0</v>
      </c>
      <c r="B780" s="12" t="s">
        <v>138</v>
      </c>
      <c r="C780" s="5" t="s">
        <v>75</v>
      </c>
      <c r="D780" s="11">
        <v>0.576</v>
      </c>
      <c r="E780" s="11">
        <v>7.0</v>
      </c>
      <c r="F780" s="8"/>
      <c r="G780" s="11">
        <v>81.0</v>
      </c>
      <c r="H780" s="11">
        <v>0.765</v>
      </c>
      <c r="I780" s="11">
        <v>1.439</v>
      </c>
      <c r="J780" s="9" t="s">
        <v>72</v>
      </c>
      <c r="K780" s="14" t="str">
        <f>IFERROR(__xludf.DUMMYFUNCTION("ARRAYFORMULA(VLOOKUP(A780,IMPORTRANGE(""https://docs.google.com/spreadsheets/d/1BuTWp7qHGjWhqrnf-OmePP568O4A5Am9ttzvVdP67zw/edit#gid=1603210130"", ""TOURISM!$A$2:$F$2692""), {2,3,4,5,6},0))"),"Europe")</f>
        <v>Europe</v>
      </c>
      <c r="L780" s="14">
        <f>IFERROR(__xludf.DUMMYFUNCTION("""COMPUTED_VALUE"""),1.683E9)</f>
        <v>1683000000</v>
      </c>
      <c r="M780" s="14" t="str">
        <f>IFERROR(__xludf.DUMMYFUNCTION("""COMPUTED_VALUE"""),"Estonia-Europe")</f>
        <v>Estonia-Europe</v>
      </c>
      <c r="N780" s="14" t="str">
        <f>IFERROR(__xludf.DUMMYFUNCTION("""COMPUTED_VALUE"""),"2011")</f>
        <v>2011</v>
      </c>
      <c r="O780" s="14">
        <f>IFERROR(__xludf.DUMMYFUNCTION("""COMPUTED_VALUE"""),9.39E8)</f>
        <v>939000000</v>
      </c>
      <c r="P780" s="15">
        <f>IFERROR(__xludf.DUMMYFUNCTION("ARRAYFORMULA(VLOOKUP(A780,IMPORTRANGE(""https://docs.google.com/spreadsheets/d/1BuTWp7qHGjWhqrnf-OmePP568O4A5Am9ttzvVdP67zw/edit#gid=771602874"" ,""HUMAN RESOURCES!$A$2:$M$2692""), {2,3,4,5,6,7,8,9,10,11,12,13},0))"),0.011)</f>
        <v>0.011</v>
      </c>
      <c r="Q780" s="14">
        <f>IFERROR(__xludf.DUMMYFUNCTION("""COMPUTED_VALUE"""),0.003)</f>
        <v>0.003</v>
      </c>
      <c r="R780" s="14">
        <f>IFERROR(__xludf.DUMMYFUNCTION("""COMPUTED_VALUE"""),81.0)</f>
        <v>81</v>
      </c>
      <c r="S780" s="14">
        <f>IFERROR(__xludf.DUMMYFUNCTION("""COMPUTED_VALUE"""),71.0)</f>
        <v>71</v>
      </c>
      <c r="T780" s="14">
        <f>IFERROR(__xludf.DUMMYFUNCTION("""COMPUTED_VALUE"""),0.155)</f>
        <v>0.155</v>
      </c>
      <c r="U780" s="14">
        <f>IFERROR(__xludf.DUMMYFUNCTION("""COMPUTED_VALUE"""),0.668)</f>
        <v>0.668</v>
      </c>
      <c r="V780" s="14">
        <f>IFERROR(__xludf.DUMMYFUNCTION("""COMPUTED_VALUE"""),0.176)</f>
        <v>0.176</v>
      </c>
      <c r="W780" s="14">
        <f>IFERROR(__xludf.DUMMYFUNCTION("""COMPUTED_VALUE"""),1327439.0)</f>
        <v>1327439</v>
      </c>
      <c r="X780" s="14">
        <f>IFERROR(__xludf.DUMMYFUNCTION("""COMPUTED_VALUE"""),0.68)</f>
        <v>0.68</v>
      </c>
      <c r="Y780" s="14" t="str">
        <f>IFERROR(__xludf.DUMMYFUNCTION("""COMPUTED_VALUE"""),"Estonia-Europe")</f>
        <v>Estonia-Europe</v>
      </c>
      <c r="Z780" s="14" t="str">
        <f>IFERROR(__xludf.DUMMYFUNCTION("""COMPUTED_VALUE"""),"Europe")</f>
        <v>Europe</v>
      </c>
      <c r="AA780" s="14" t="str">
        <f>IFERROR(__xludf.DUMMYFUNCTION("""COMPUTED_VALUE"""),"2011")</f>
        <v>2011</v>
      </c>
      <c r="AB780" s="15" t="str">
        <f>IFERROR(__xludf.DUMMYFUNCTION("ARRAYFORMULA(VLOOKUP(A780,IMPORTRANGE(""https://docs.google.com/spreadsheets/d/1BuTWp7qHGjWhqrnf-OmePP568O4A5Am9ttzvVdP67zw/edit#gid=1931367683"" ,""ENERGY!$A$2:$F$2692""), {2,3,4,5,6},0))"),"Europe")</f>
        <v>Europe</v>
      </c>
      <c r="AC780" s="14" t="str">
        <f>IFERROR(__xludf.DUMMYFUNCTION("""COMPUTED_VALUE"""),"Estonia-Europe")</f>
        <v>Estonia-Europe</v>
      </c>
      <c r="AD780" s="14" t="str">
        <f>IFERROR(__xludf.DUMMYFUNCTION("""COMPUTED_VALUE"""),"2004")</f>
        <v>2004</v>
      </c>
      <c r="AE780" s="14">
        <f>IFERROR(__xludf.DUMMYFUNCTION("""COMPUTED_VALUE"""),4919.0)</f>
        <v>4919</v>
      </c>
      <c r="AF780" s="14">
        <f>IFERROR(__xludf.DUMMYFUNCTION("""COMPUTED_VALUE"""),15596.0)</f>
        <v>15596</v>
      </c>
    </row>
    <row r="781">
      <c r="A781" s="12">
        <v>780.0</v>
      </c>
      <c r="B781" s="12" t="s">
        <v>138</v>
      </c>
      <c r="C781" s="5" t="s">
        <v>75</v>
      </c>
      <c r="D781" s="11">
        <v>0.664</v>
      </c>
      <c r="E781" s="11">
        <v>7.0</v>
      </c>
      <c r="F781" s="11">
        <v>21.0</v>
      </c>
      <c r="G781" s="11">
        <v>81.0</v>
      </c>
      <c r="H781" s="11">
        <v>0.784</v>
      </c>
      <c r="I781" s="11">
        <v>1.604</v>
      </c>
      <c r="J781" s="9" t="s">
        <v>73</v>
      </c>
      <c r="K781" s="14" t="str">
        <f>IFERROR(__xludf.DUMMYFUNCTION("ARRAYFORMULA(VLOOKUP(A781,IMPORTRANGE(""https://docs.google.com/spreadsheets/d/1BuTWp7qHGjWhqrnf-OmePP568O4A5Am9ttzvVdP67zw/edit#gid=1603210130"", ""TOURISM!$A$2:$F$2692""), {2,3,4,5,6},0))"),"Europe")</f>
        <v>Europe</v>
      </c>
      <c r="L781" s="14">
        <f>IFERROR(__xludf.DUMMYFUNCTION("""COMPUTED_VALUE"""),1.588E9)</f>
        <v>1588000000</v>
      </c>
      <c r="M781" s="14" t="str">
        <f>IFERROR(__xludf.DUMMYFUNCTION("""COMPUTED_VALUE"""),"Estonia-Europe")</f>
        <v>Estonia-Europe</v>
      </c>
      <c r="N781" s="14" t="str">
        <f>IFERROR(__xludf.DUMMYFUNCTION("""COMPUTED_VALUE"""),"2012")</f>
        <v>2012</v>
      </c>
      <c r="O781" s="14">
        <f>IFERROR(__xludf.DUMMYFUNCTION("""COMPUTED_VALUE"""),9.58E8)</f>
        <v>958000000</v>
      </c>
      <c r="P781" s="15">
        <f>IFERROR(__xludf.DUMMYFUNCTION("ARRAYFORMULA(VLOOKUP(A781,IMPORTRANGE(""https://docs.google.com/spreadsheets/d/1BuTWp7qHGjWhqrnf-OmePP568O4A5Am9ttzvVdP67zw/edit#gid=771602874"" ,""HUMAN RESOURCES!$A$2:$M$2692""), {2,3,4,5,6,7,8,9,10,11,12,13},0))"),0.011)</f>
        <v>0.011</v>
      </c>
      <c r="Q781" s="14">
        <f>IFERROR(__xludf.DUMMYFUNCTION("""COMPUTED_VALUE"""),0.003)</f>
        <v>0.003</v>
      </c>
      <c r="R781" s="14">
        <f>IFERROR(__xludf.DUMMYFUNCTION("""COMPUTED_VALUE"""),82.0)</f>
        <v>82</v>
      </c>
      <c r="S781" s="14">
        <f>IFERROR(__xludf.DUMMYFUNCTION("""COMPUTED_VALUE"""),72.0)</f>
        <v>72</v>
      </c>
      <c r="T781" s="14">
        <f>IFERROR(__xludf.DUMMYFUNCTION("""COMPUTED_VALUE"""),0.157)</f>
        <v>0.157</v>
      </c>
      <c r="U781" s="14">
        <f>IFERROR(__xludf.DUMMYFUNCTION("""COMPUTED_VALUE"""),0.665)</f>
        <v>0.665</v>
      </c>
      <c r="V781" s="14">
        <f>IFERROR(__xludf.DUMMYFUNCTION("""COMPUTED_VALUE"""),0.178)</f>
        <v>0.178</v>
      </c>
      <c r="W781" s="14">
        <f>IFERROR(__xludf.DUMMYFUNCTION("""COMPUTED_VALUE"""),1325016.0)</f>
        <v>1325016</v>
      </c>
      <c r="X781" s="14">
        <f>IFERROR(__xludf.DUMMYFUNCTION("""COMPUTED_VALUE"""),0.678)</f>
        <v>0.678</v>
      </c>
      <c r="Y781" s="14" t="str">
        <f>IFERROR(__xludf.DUMMYFUNCTION("""COMPUTED_VALUE"""),"Estonia-Europe")</f>
        <v>Estonia-Europe</v>
      </c>
      <c r="Z781" s="14" t="str">
        <f>IFERROR(__xludf.DUMMYFUNCTION("""COMPUTED_VALUE"""),"Europe")</f>
        <v>Europe</v>
      </c>
      <c r="AA781" s="14" t="str">
        <f>IFERROR(__xludf.DUMMYFUNCTION("""COMPUTED_VALUE"""),"2012")</f>
        <v>2012</v>
      </c>
      <c r="AB781" s="15" t="str">
        <f>IFERROR(__xludf.DUMMYFUNCTION("ARRAYFORMULA(VLOOKUP(A781,IMPORTRANGE(""https://docs.google.com/spreadsheets/d/1BuTWp7qHGjWhqrnf-OmePP568O4A5Am9ttzvVdP67zw/edit#gid=1931367683"" ,""ENERGY!$A$2:$F$2692""), {2,3,4,5,6},0))"),"Europe")</f>
        <v>Europe</v>
      </c>
      <c r="AC781" s="14" t="str">
        <f>IFERROR(__xludf.DUMMYFUNCTION("""COMPUTED_VALUE"""),"Estonia-Europe")</f>
        <v>Estonia-Europe</v>
      </c>
      <c r="AD781" s="14" t="str">
        <f>IFERROR(__xludf.DUMMYFUNCTION("""COMPUTED_VALUE"""),"2009")</f>
        <v>2009</v>
      </c>
      <c r="AE781" s="14">
        <f>IFERROR(__xludf.DUMMYFUNCTION("""COMPUTED_VALUE"""),4715.0)</f>
        <v>4715</v>
      </c>
      <c r="AF781" s="14">
        <f>IFERROR(__xludf.DUMMYFUNCTION("""COMPUTED_VALUE"""),15181.0)</f>
        <v>15181</v>
      </c>
    </row>
    <row r="782">
      <c r="A782" s="12">
        <v>781.0</v>
      </c>
      <c r="B782" s="12" t="s">
        <v>139</v>
      </c>
      <c r="C782" s="5" t="s">
        <v>77</v>
      </c>
      <c r="D782" s="8"/>
      <c r="E782" s="8"/>
      <c r="F782" s="8"/>
      <c r="G782" s="8"/>
      <c r="H782" s="11">
        <v>0.0</v>
      </c>
      <c r="I782" s="11">
        <v>0.0</v>
      </c>
      <c r="J782" s="9" t="s">
        <v>60</v>
      </c>
      <c r="K782" s="14" t="str">
        <f>IFERROR(__xludf.DUMMYFUNCTION("ARRAYFORMULA(VLOOKUP(A782,IMPORTRANGE(""https://docs.google.com/spreadsheets/d/1BuTWp7qHGjWhqrnf-OmePP568O4A5Am9ttzvVdP67zw/edit#gid=1603210130"", ""TOURISM!$A$2:$F$2692""), {2,3,4,5,6},0))"),"Africa")</f>
        <v>Africa</v>
      </c>
      <c r="L782" s="14">
        <f>IFERROR(__xludf.DUMMYFUNCTION("""COMPUTED_VALUE"""),2.05E8)</f>
        <v>205000000</v>
      </c>
      <c r="M782" s="14" t="str">
        <f>IFERROR(__xludf.DUMMYFUNCTION("""COMPUTED_VALUE"""),"Ethiopia-Africa")</f>
        <v>Ethiopia-Africa</v>
      </c>
      <c r="N782" s="14" t="str">
        <f>IFERROR(__xludf.DUMMYFUNCTION("""COMPUTED_VALUE"""),"2000")</f>
        <v>2000</v>
      </c>
      <c r="O782" s="14">
        <f>IFERROR(__xludf.DUMMYFUNCTION("""COMPUTED_VALUE"""),8.0E7)</f>
        <v>80000000</v>
      </c>
      <c r="P782" s="15">
        <f>IFERROR(__xludf.DUMMYFUNCTION("ARRAYFORMULA(VLOOKUP(A782,IMPORTRANGE(""https://docs.google.com/spreadsheets/d/1BuTWp7qHGjWhqrnf-OmePP568O4A5Am9ttzvVdP67zw/edit#gid=771602874"" ,""HUMAN RESOURCES!$A$2:$M$2692""), {2,3,4,5,6,7,8,9,10,11,12,13},0))"),0.044)</f>
        <v>0.044</v>
      </c>
      <c r="Q782" s="14">
        <f>IFERROR(__xludf.DUMMYFUNCTION("""COMPUTED_VALUE"""),0.09)</f>
        <v>0.09</v>
      </c>
      <c r="R782" s="14">
        <f>IFERROR(__xludf.DUMMYFUNCTION("""COMPUTED_VALUE"""),53.0)</f>
        <v>53</v>
      </c>
      <c r="S782" s="14">
        <f>IFERROR(__xludf.DUMMYFUNCTION("""COMPUTED_VALUE"""),51.0)</f>
        <v>51</v>
      </c>
      <c r="T782" s="14">
        <f>IFERROR(__xludf.DUMMYFUNCTION("""COMPUTED_VALUE"""),0.466)</f>
        <v>0.466</v>
      </c>
      <c r="U782" s="14">
        <f>IFERROR(__xludf.DUMMYFUNCTION("""COMPUTED_VALUE"""),0.503)</f>
        <v>0.503</v>
      </c>
      <c r="V782" s="14">
        <f>IFERROR(__xludf.DUMMYFUNCTION("""COMPUTED_VALUE"""),0.031)</f>
        <v>0.031</v>
      </c>
      <c r="W782" s="14">
        <f>IFERROR(__xludf.DUMMYFUNCTION("""COMPUTED_VALUE"""),6.6024199E7)</f>
        <v>66024199</v>
      </c>
      <c r="X782" s="14">
        <f>IFERROR(__xludf.DUMMYFUNCTION("""COMPUTED_VALUE"""),0.147)</f>
        <v>0.147</v>
      </c>
      <c r="Y782" s="14" t="str">
        <f>IFERROR(__xludf.DUMMYFUNCTION("""COMPUTED_VALUE"""),"Ethiopia-Africa")</f>
        <v>Ethiopia-Africa</v>
      </c>
      <c r="Z782" s="14" t="str">
        <f>IFERROR(__xludf.DUMMYFUNCTION("""COMPUTED_VALUE"""),"Africa")</f>
        <v>Africa</v>
      </c>
      <c r="AA782" s="14" t="str">
        <f>IFERROR(__xludf.DUMMYFUNCTION("""COMPUTED_VALUE"""),"2000")</f>
        <v>2000</v>
      </c>
      <c r="AB782" s="15" t="str">
        <f>IFERROR(__xludf.DUMMYFUNCTION("ARRAYFORMULA(VLOOKUP(A782,IMPORTRANGE(""https://docs.google.com/spreadsheets/d/1BuTWp7qHGjWhqrnf-OmePP568O4A5Am9ttzvVdP67zw/edit#gid=1931367683"" ,""ENERGY!$A$2:$F$2692""), {2,3,4,5,6},0))"),"Africa")</f>
        <v>Africa</v>
      </c>
      <c r="AC782" s="14" t="str">
        <f>IFERROR(__xludf.DUMMYFUNCTION("""COMPUTED_VALUE"""),"Ethiopia-Africa")</f>
        <v>Ethiopia-Africa</v>
      </c>
      <c r="AD782" s="14" t="str">
        <f>IFERROR(__xludf.DUMMYFUNCTION("""COMPUTED_VALUE"""),"2000")</f>
        <v>2000</v>
      </c>
      <c r="AE782" s="14"/>
      <c r="AF782" s="14"/>
    </row>
    <row r="783">
      <c r="A783" s="12">
        <v>782.0</v>
      </c>
      <c r="B783" s="12" t="s">
        <v>139</v>
      </c>
      <c r="C783" s="5" t="s">
        <v>77</v>
      </c>
      <c r="D783" s="8"/>
      <c r="E783" s="8"/>
      <c r="F783" s="8"/>
      <c r="G783" s="8"/>
      <c r="H783" s="11">
        <v>0.0</v>
      </c>
      <c r="I783" s="11">
        <v>0.0</v>
      </c>
      <c r="J783" s="9" t="s">
        <v>62</v>
      </c>
      <c r="K783" s="14" t="str">
        <f>IFERROR(__xludf.DUMMYFUNCTION("ARRAYFORMULA(VLOOKUP(A783,IMPORTRANGE(""https://docs.google.com/spreadsheets/d/1BuTWp7qHGjWhqrnf-OmePP568O4A5Am9ttzvVdP67zw/edit#gid=1603210130"", ""TOURISM!$A$2:$F$2692""), {2,3,4,5,6},0))"),"Africa")</f>
        <v>Africa</v>
      </c>
      <c r="L783" s="14">
        <f>IFERROR(__xludf.DUMMYFUNCTION("""COMPUTED_VALUE"""),2.18E8)</f>
        <v>218000000</v>
      </c>
      <c r="M783" s="14" t="str">
        <f>IFERROR(__xludf.DUMMYFUNCTION("""COMPUTED_VALUE"""),"Ethiopia-Africa")</f>
        <v>Ethiopia-Africa</v>
      </c>
      <c r="N783" s="14" t="str">
        <f>IFERROR(__xludf.DUMMYFUNCTION("""COMPUTED_VALUE"""),"2001")</f>
        <v>2001</v>
      </c>
      <c r="O783" s="14">
        <f>IFERROR(__xludf.DUMMYFUNCTION("""COMPUTED_VALUE"""),5.0E7)</f>
        <v>50000000</v>
      </c>
      <c r="P783" s="15">
        <f>IFERROR(__xludf.DUMMYFUNCTION("ARRAYFORMULA(VLOOKUP(A783,IMPORTRANGE(""https://docs.google.com/spreadsheets/d/1BuTWp7qHGjWhqrnf-OmePP568O4A5Am9ttzvVdP67zw/edit#gid=771602874"" ,""HUMAN RESOURCES!$A$2:$M$2692""), {2,3,4,5,6,7,8,9,10,11,12,13},0))"),0.043)</f>
        <v>0.043</v>
      </c>
      <c r="Q783" s="14">
        <f>IFERROR(__xludf.DUMMYFUNCTION("""COMPUTED_VALUE"""),0.087)</f>
        <v>0.087</v>
      </c>
      <c r="R783" s="14">
        <f>IFERROR(__xludf.DUMMYFUNCTION("""COMPUTED_VALUE"""),54.0)</f>
        <v>54</v>
      </c>
      <c r="S783" s="14">
        <f>IFERROR(__xludf.DUMMYFUNCTION("""COMPUTED_VALUE"""),52.0)</f>
        <v>52</v>
      </c>
      <c r="T783" s="14">
        <f>IFERROR(__xludf.DUMMYFUNCTION("""COMPUTED_VALUE"""),0.466)</f>
        <v>0.466</v>
      </c>
      <c r="U783" s="14">
        <f>IFERROR(__xludf.DUMMYFUNCTION("""COMPUTED_VALUE"""),0.504)</f>
        <v>0.504</v>
      </c>
      <c r="V783" s="14">
        <f>IFERROR(__xludf.DUMMYFUNCTION("""COMPUTED_VALUE"""),0.031)</f>
        <v>0.031</v>
      </c>
      <c r="W783" s="14">
        <f>IFERROR(__xludf.DUMMYFUNCTION("""COMPUTED_VALUE"""),6.7956866E7)</f>
        <v>67956866</v>
      </c>
      <c r="X783" s="14">
        <f>IFERROR(__xludf.DUMMYFUNCTION("""COMPUTED_VALUE"""),0.149)</f>
        <v>0.149</v>
      </c>
      <c r="Y783" s="14" t="str">
        <f>IFERROR(__xludf.DUMMYFUNCTION("""COMPUTED_VALUE"""),"Ethiopia-Africa")</f>
        <v>Ethiopia-Africa</v>
      </c>
      <c r="Z783" s="14" t="str">
        <f>IFERROR(__xludf.DUMMYFUNCTION("""COMPUTED_VALUE"""),"Africa")</f>
        <v>Africa</v>
      </c>
      <c r="AA783" s="14" t="str">
        <f>IFERROR(__xludf.DUMMYFUNCTION("""COMPUTED_VALUE"""),"2001")</f>
        <v>2001</v>
      </c>
      <c r="AB783" s="15" t="str">
        <f>IFERROR(__xludf.DUMMYFUNCTION("ARRAYFORMULA(VLOOKUP(A783,IMPORTRANGE(""https://docs.google.com/spreadsheets/d/1BuTWp7qHGjWhqrnf-OmePP568O4A5Am9ttzvVdP67zw/edit#gid=1931367683"" ,""ENERGY!$A$2:$F$2692""), {2,3,4,5,6},0))"),"Africa")</f>
        <v>Africa</v>
      </c>
      <c r="AC783" s="14" t="str">
        <f>IFERROR(__xludf.DUMMYFUNCTION("""COMPUTED_VALUE"""),"Ethiopia-Africa")</f>
        <v>Ethiopia-Africa</v>
      </c>
      <c r="AD783" s="14" t="str">
        <f>IFERROR(__xludf.DUMMYFUNCTION("""COMPUTED_VALUE"""),"2001")</f>
        <v>2001</v>
      </c>
      <c r="AE783" s="14">
        <f>IFERROR(__xludf.DUMMYFUNCTION("""COMPUTED_VALUE"""),34064.0)</f>
        <v>34064</v>
      </c>
      <c r="AF783" s="14"/>
    </row>
    <row r="784">
      <c r="A784" s="12">
        <v>783.0</v>
      </c>
      <c r="B784" s="12" t="s">
        <v>139</v>
      </c>
      <c r="C784" s="5" t="s">
        <v>77</v>
      </c>
      <c r="D784" s="8"/>
      <c r="E784" s="8"/>
      <c r="F784" s="8"/>
      <c r="G784" s="8"/>
      <c r="H784" s="11">
        <v>0.001</v>
      </c>
      <c r="I784" s="11">
        <v>0.001</v>
      </c>
      <c r="J784" s="9" t="s">
        <v>63</v>
      </c>
      <c r="K784" s="14" t="str">
        <f>IFERROR(__xludf.DUMMYFUNCTION("ARRAYFORMULA(VLOOKUP(A784,IMPORTRANGE(""https://docs.google.com/spreadsheets/d/1BuTWp7qHGjWhqrnf-OmePP568O4A5Am9ttzvVdP67zw/edit#gid=1603210130"", ""TOURISM!$A$2:$F$2692""), {2,3,4,5,6},0))"),"Africa")</f>
        <v>Africa</v>
      </c>
      <c r="L784" s="14">
        <f>IFERROR(__xludf.DUMMYFUNCTION("""COMPUTED_VALUE"""),2.61E8)</f>
        <v>261000000</v>
      </c>
      <c r="M784" s="14" t="str">
        <f>IFERROR(__xludf.DUMMYFUNCTION("""COMPUTED_VALUE"""),"Ethiopia-Africa")</f>
        <v>Ethiopia-Africa</v>
      </c>
      <c r="N784" s="14" t="str">
        <f>IFERROR(__xludf.DUMMYFUNCTION("""COMPUTED_VALUE"""),"2002")</f>
        <v>2002</v>
      </c>
      <c r="O784" s="14">
        <f>IFERROR(__xludf.DUMMYFUNCTION("""COMPUTED_VALUE"""),5.5E7)</f>
        <v>55000000</v>
      </c>
      <c r="P784" s="15">
        <f>IFERROR(__xludf.DUMMYFUNCTION("ARRAYFORMULA(VLOOKUP(A784,IMPORTRANGE(""https://docs.google.com/spreadsheets/d/1BuTWp7qHGjWhqrnf-OmePP568O4A5Am9ttzvVdP67zw/edit#gid=771602874"" ,""HUMAN RESOURCES!$A$2:$M$2692""), {2,3,4,5,6,7,8,9,10,11,12,13},0))"),0.042)</f>
        <v>0.042</v>
      </c>
      <c r="Q784" s="14">
        <f>IFERROR(__xludf.DUMMYFUNCTION("""COMPUTED_VALUE"""),0.083)</f>
        <v>0.083</v>
      </c>
      <c r="R784" s="14">
        <f>IFERROR(__xludf.DUMMYFUNCTION("""COMPUTED_VALUE"""),55.0)</f>
        <v>55</v>
      </c>
      <c r="S784" s="14">
        <f>IFERROR(__xludf.DUMMYFUNCTION("""COMPUTED_VALUE"""),53.0)</f>
        <v>53</v>
      </c>
      <c r="T784" s="14">
        <f>IFERROR(__xludf.DUMMYFUNCTION("""COMPUTED_VALUE"""),0.465)</f>
        <v>0.465</v>
      </c>
      <c r="U784" s="14">
        <f>IFERROR(__xludf.DUMMYFUNCTION("""COMPUTED_VALUE"""),0.504)</f>
        <v>0.504</v>
      </c>
      <c r="V784" s="14">
        <f>IFERROR(__xludf.DUMMYFUNCTION("""COMPUTED_VALUE"""),0.031)</f>
        <v>0.031</v>
      </c>
      <c r="W784" s="14">
        <f>IFERROR(__xludf.DUMMYFUNCTION("""COMPUTED_VALUE"""),6.9948344E7)</f>
        <v>69948344</v>
      </c>
      <c r="X784" s="14">
        <f>IFERROR(__xludf.DUMMYFUNCTION("""COMPUTED_VALUE"""),0.151)</f>
        <v>0.151</v>
      </c>
      <c r="Y784" s="14" t="str">
        <f>IFERROR(__xludf.DUMMYFUNCTION("""COMPUTED_VALUE"""),"Ethiopia-Africa")</f>
        <v>Ethiopia-Africa</v>
      </c>
      <c r="Z784" s="14" t="str">
        <f>IFERROR(__xludf.DUMMYFUNCTION("""COMPUTED_VALUE"""),"Africa")</f>
        <v>Africa</v>
      </c>
      <c r="AA784" s="14" t="str">
        <f>IFERROR(__xludf.DUMMYFUNCTION("""COMPUTED_VALUE"""),"2002")</f>
        <v>2002</v>
      </c>
      <c r="AB784" s="15" t="str">
        <f>IFERROR(__xludf.DUMMYFUNCTION("ARRAYFORMULA(VLOOKUP(A784,IMPORTRANGE(""https://docs.google.com/spreadsheets/d/1BuTWp7qHGjWhqrnf-OmePP568O4A5Am9ttzvVdP67zw/edit#gid=1931367683"" ,""ENERGY!$A$2:$F$2692""), {2,3,4,5,6},0))"),"Africa")</f>
        <v>Africa</v>
      </c>
      <c r="AC784" s="14" t="str">
        <f>IFERROR(__xludf.DUMMYFUNCTION("""COMPUTED_VALUE"""),"Ethiopia-Africa")</f>
        <v>Ethiopia-Africa</v>
      </c>
      <c r="AD784" s="14" t="str">
        <f>IFERROR(__xludf.DUMMYFUNCTION("""COMPUTED_VALUE"""),"2002")</f>
        <v>2002</v>
      </c>
      <c r="AE784" s="14">
        <f>IFERROR(__xludf.DUMMYFUNCTION("""COMPUTED_VALUE"""),33250.0)</f>
        <v>33250</v>
      </c>
      <c r="AF784" s="14">
        <f>IFERROR(__xludf.DUMMYFUNCTION("""COMPUTED_VALUE"""),6494.0)</f>
        <v>6494</v>
      </c>
    </row>
    <row r="785">
      <c r="A785" s="12">
        <v>784.0</v>
      </c>
      <c r="B785" s="12" t="s">
        <v>139</v>
      </c>
      <c r="C785" s="5" t="s">
        <v>77</v>
      </c>
      <c r="D785" s="8"/>
      <c r="E785" s="11">
        <v>46.0</v>
      </c>
      <c r="F785" s="8"/>
      <c r="G785" s="8"/>
      <c r="H785" s="11">
        <v>0.001</v>
      </c>
      <c r="I785" s="11">
        <v>0.001</v>
      </c>
      <c r="J785" s="9" t="s">
        <v>64</v>
      </c>
      <c r="K785" s="14" t="str">
        <f>IFERROR(__xludf.DUMMYFUNCTION("ARRAYFORMULA(VLOOKUP(A785,IMPORTRANGE(""https://docs.google.com/spreadsheets/d/1BuTWp7qHGjWhqrnf-OmePP568O4A5Am9ttzvVdP67zw/edit#gid=1603210130"", ""TOURISM!$A$2:$F$2692""), {2,3,4,5,6},0))"),"Africa")</f>
        <v>Africa</v>
      </c>
      <c r="L785" s="14">
        <f>IFERROR(__xludf.DUMMYFUNCTION("""COMPUTED_VALUE"""),3.36E8)</f>
        <v>336000000</v>
      </c>
      <c r="M785" s="14" t="str">
        <f>IFERROR(__xludf.DUMMYFUNCTION("""COMPUTED_VALUE"""),"Ethiopia-Africa")</f>
        <v>Ethiopia-Africa</v>
      </c>
      <c r="N785" s="14" t="str">
        <f>IFERROR(__xludf.DUMMYFUNCTION("""COMPUTED_VALUE"""),"2003")</f>
        <v>2003</v>
      </c>
      <c r="O785" s="14">
        <f>IFERROR(__xludf.DUMMYFUNCTION("""COMPUTED_VALUE"""),6.3E7)</f>
        <v>63000000</v>
      </c>
      <c r="P785" s="15">
        <f>IFERROR(__xludf.DUMMYFUNCTION("ARRAYFORMULA(VLOOKUP(A785,IMPORTRANGE(""https://docs.google.com/spreadsheets/d/1BuTWp7qHGjWhqrnf-OmePP568O4A5Am9ttzvVdP67zw/edit#gid=771602874"" ,""HUMAN RESOURCES!$A$2:$M$2692""), {2,3,4,5,6,7,8,9,10,11,12,13},0))"),0.041)</f>
        <v>0.041</v>
      </c>
      <c r="Q785" s="14">
        <f>IFERROR(__xludf.DUMMYFUNCTION("""COMPUTED_VALUE"""),0.079)</f>
        <v>0.079</v>
      </c>
      <c r="R785" s="14">
        <f>IFERROR(__xludf.DUMMYFUNCTION("""COMPUTED_VALUE"""),55.0)</f>
        <v>55</v>
      </c>
      <c r="S785" s="14">
        <f>IFERROR(__xludf.DUMMYFUNCTION("""COMPUTED_VALUE"""),54.0)</f>
        <v>54</v>
      </c>
      <c r="T785" s="14">
        <f>IFERROR(__xludf.DUMMYFUNCTION("""COMPUTED_VALUE"""),0.465)</f>
        <v>0.465</v>
      </c>
      <c r="U785" s="14">
        <f>IFERROR(__xludf.DUMMYFUNCTION("""COMPUTED_VALUE"""),0.504)</f>
        <v>0.504</v>
      </c>
      <c r="V785" s="14">
        <f>IFERROR(__xludf.DUMMYFUNCTION("""COMPUTED_VALUE"""),0.031)</f>
        <v>0.031</v>
      </c>
      <c r="W785" s="14">
        <f>IFERROR(__xludf.DUMMYFUNCTION("""COMPUTED_VALUE"""),7.1989666E7)</f>
        <v>71989666</v>
      </c>
      <c r="X785" s="14">
        <f>IFERROR(__xludf.DUMMYFUNCTION("""COMPUTED_VALUE"""),0.153)</f>
        <v>0.153</v>
      </c>
      <c r="Y785" s="14" t="str">
        <f>IFERROR(__xludf.DUMMYFUNCTION("""COMPUTED_VALUE"""),"Ethiopia-Africa")</f>
        <v>Ethiopia-Africa</v>
      </c>
      <c r="Z785" s="14" t="str">
        <f>IFERROR(__xludf.DUMMYFUNCTION("""COMPUTED_VALUE"""),"Africa")</f>
        <v>Africa</v>
      </c>
      <c r="AA785" s="14" t="str">
        <f>IFERROR(__xludf.DUMMYFUNCTION("""COMPUTED_VALUE"""),"2003")</f>
        <v>2003</v>
      </c>
      <c r="AB785" s="15" t="str">
        <f>IFERROR(__xludf.DUMMYFUNCTION("ARRAYFORMULA(VLOOKUP(A785,IMPORTRANGE(""https://docs.google.com/spreadsheets/d/1BuTWp7qHGjWhqrnf-OmePP568O4A5Am9ttzvVdP67zw/edit#gid=1931367683"" ,""ENERGY!$A$2:$F$2692""), {2,3,4,5,6},0))"),"Africa")</f>
        <v>Africa</v>
      </c>
      <c r="AC785" s="14" t="str">
        <f>IFERROR(__xludf.DUMMYFUNCTION("""COMPUTED_VALUE"""),"Ethiopia-Africa")</f>
        <v>Ethiopia-Africa</v>
      </c>
      <c r="AD785" s="14" t="str">
        <f>IFERROR(__xludf.DUMMYFUNCTION("""COMPUTED_VALUE"""),"2003")</f>
        <v>2003</v>
      </c>
      <c r="AE785" s="14">
        <f>IFERROR(__xludf.DUMMYFUNCTION("""COMPUTED_VALUE"""),32378.0)</f>
        <v>32378</v>
      </c>
      <c r="AF785" s="14">
        <f>IFERROR(__xludf.DUMMYFUNCTION("""COMPUTED_VALUE"""),6659.0)</f>
        <v>6659</v>
      </c>
    </row>
    <row r="786">
      <c r="A786" s="12">
        <v>785.0</v>
      </c>
      <c r="B786" s="12" t="s">
        <v>139</v>
      </c>
      <c r="C786" s="5" t="s">
        <v>77</v>
      </c>
      <c r="D786" s="8"/>
      <c r="E786" s="11">
        <v>34.0</v>
      </c>
      <c r="F786" s="8"/>
      <c r="G786" s="8"/>
      <c r="H786" s="11">
        <v>0.002</v>
      </c>
      <c r="I786" s="11">
        <v>0.002</v>
      </c>
      <c r="J786" s="9" t="s">
        <v>65</v>
      </c>
      <c r="K786" s="14" t="str">
        <f>IFERROR(__xludf.DUMMYFUNCTION("ARRAYFORMULA(VLOOKUP(A786,IMPORTRANGE(""https://docs.google.com/spreadsheets/d/1BuTWp7qHGjWhqrnf-OmePP568O4A5Am9ttzvVdP67zw/edit#gid=1603210130"", ""TOURISM!$A$2:$F$2692""), {2,3,4,5,6},0))"),"Africa")</f>
        <v>Africa</v>
      </c>
      <c r="L786" s="14">
        <f>IFERROR(__xludf.DUMMYFUNCTION("""COMPUTED_VALUE"""),4.58E8)</f>
        <v>458000000</v>
      </c>
      <c r="M786" s="14" t="str">
        <f>IFERROR(__xludf.DUMMYFUNCTION("""COMPUTED_VALUE"""),"Ethiopia-Africa")</f>
        <v>Ethiopia-Africa</v>
      </c>
      <c r="N786" s="14" t="str">
        <f>IFERROR(__xludf.DUMMYFUNCTION("""COMPUTED_VALUE"""),"2004")</f>
        <v>2004</v>
      </c>
      <c r="O786" s="14">
        <f>IFERROR(__xludf.DUMMYFUNCTION("""COMPUTED_VALUE"""),5.9E7)</f>
        <v>59000000</v>
      </c>
      <c r="P786" s="15">
        <f>IFERROR(__xludf.DUMMYFUNCTION("ARRAYFORMULA(VLOOKUP(A786,IMPORTRANGE(""https://docs.google.com/spreadsheets/d/1BuTWp7qHGjWhqrnf-OmePP568O4A5Am9ttzvVdP67zw/edit#gid=771602874"" ,""HUMAN RESOURCES!$A$2:$M$2692""), {2,3,4,5,6,7,8,9,10,11,12,13},0))"),0.04)</f>
        <v>0.04</v>
      </c>
      <c r="Q786" s="14">
        <f>IFERROR(__xludf.DUMMYFUNCTION("""COMPUTED_VALUE"""),0.074)</f>
        <v>0.074</v>
      </c>
      <c r="R786" s="14">
        <f>IFERROR(__xludf.DUMMYFUNCTION("""COMPUTED_VALUE"""),56.0)</f>
        <v>56</v>
      </c>
      <c r="S786" s="14">
        <f>IFERROR(__xludf.DUMMYFUNCTION("""COMPUTED_VALUE"""),55.0)</f>
        <v>55</v>
      </c>
      <c r="T786" s="14">
        <f>IFERROR(__xludf.DUMMYFUNCTION("""COMPUTED_VALUE"""),0.464)</f>
        <v>0.464</v>
      </c>
      <c r="U786" s="14">
        <f>IFERROR(__xludf.DUMMYFUNCTION("""COMPUTED_VALUE"""),0.505)</f>
        <v>0.505</v>
      </c>
      <c r="V786" s="14">
        <f>IFERROR(__xludf.DUMMYFUNCTION("""COMPUTED_VALUE"""),0.031)</f>
        <v>0.031</v>
      </c>
      <c r="W786" s="14">
        <f>IFERROR(__xludf.DUMMYFUNCTION("""COMPUTED_VALUE"""),7.4066147E7)</f>
        <v>74066147</v>
      </c>
      <c r="X786" s="14">
        <f>IFERROR(__xludf.DUMMYFUNCTION("""COMPUTED_VALUE"""),0.155)</f>
        <v>0.155</v>
      </c>
      <c r="Y786" s="14" t="str">
        <f>IFERROR(__xludf.DUMMYFUNCTION("""COMPUTED_VALUE"""),"Ethiopia-Africa")</f>
        <v>Ethiopia-Africa</v>
      </c>
      <c r="Z786" s="14" t="str">
        <f>IFERROR(__xludf.DUMMYFUNCTION("""COMPUTED_VALUE"""),"Africa")</f>
        <v>Africa</v>
      </c>
      <c r="AA786" s="14" t="str">
        <f>IFERROR(__xludf.DUMMYFUNCTION("""COMPUTED_VALUE"""),"2004")</f>
        <v>2004</v>
      </c>
      <c r="AB786" s="15" t="str">
        <f>IFERROR(__xludf.DUMMYFUNCTION("ARRAYFORMULA(VLOOKUP(A786,IMPORTRANGE(""https://docs.google.com/spreadsheets/d/1BuTWp7qHGjWhqrnf-OmePP568O4A5Am9ttzvVdP67zw/edit#gid=1931367683"" ,""ENERGY!$A$2:$F$2692""), {2,3,4,5,6},0))"),"Africa")</f>
        <v>Africa</v>
      </c>
      <c r="AC786" s="14" t="str">
        <f>IFERROR(__xludf.DUMMYFUNCTION("""COMPUTED_VALUE"""),"Ethiopia-Africa")</f>
        <v>Ethiopia-Africa</v>
      </c>
      <c r="AD786" s="14" t="str">
        <f>IFERROR(__xludf.DUMMYFUNCTION("""COMPUTED_VALUE"""),"2004")</f>
        <v>2004</v>
      </c>
      <c r="AE786" s="14">
        <f>IFERROR(__xludf.DUMMYFUNCTION("""COMPUTED_VALUE"""),31482.0)</f>
        <v>31482</v>
      </c>
      <c r="AF786" s="14">
        <f>IFERROR(__xludf.DUMMYFUNCTION("""COMPUTED_VALUE"""),6370.0)</f>
        <v>6370</v>
      </c>
    </row>
    <row r="787">
      <c r="A787" s="12">
        <v>786.0</v>
      </c>
      <c r="B787" s="12" t="s">
        <v>139</v>
      </c>
      <c r="C787" s="5" t="s">
        <v>77</v>
      </c>
      <c r="D787" s="11">
        <v>0.303</v>
      </c>
      <c r="E787" s="11">
        <v>34.0</v>
      </c>
      <c r="F787" s="8"/>
      <c r="G787" s="11">
        <v>212.0</v>
      </c>
      <c r="H787" s="11">
        <v>0.002</v>
      </c>
      <c r="I787" s="11">
        <v>0.005</v>
      </c>
      <c r="J787" s="9" t="s">
        <v>66</v>
      </c>
      <c r="K787" s="14" t="str">
        <f>IFERROR(__xludf.DUMMYFUNCTION("ARRAYFORMULA(VLOOKUP(A787,IMPORTRANGE(""https://docs.google.com/spreadsheets/d/1BuTWp7qHGjWhqrnf-OmePP568O4A5Am9ttzvVdP67zw/edit#gid=1603210130"", ""TOURISM!$A$2:$F$2692""), {2,3,4,5,6},0))"),"Africa")</f>
        <v>Africa</v>
      </c>
      <c r="L787" s="14">
        <f>IFERROR(__xludf.DUMMYFUNCTION("""COMPUTED_VALUE"""),5.33E8)</f>
        <v>533000000</v>
      </c>
      <c r="M787" s="14" t="str">
        <f>IFERROR(__xludf.DUMMYFUNCTION("""COMPUTED_VALUE"""),"Ethiopia-Africa")</f>
        <v>Ethiopia-Africa</v>
      </c>
      <c r="N787" s="14" t="str">
        <f>IFERROR(__xludf.DUMMYFUNCTION("""COMPUTED_VALUE"""),"2005")</f>
        <v>2005</v>
      </c>
      <c r="O787" s="14">
        <f>IFERROR(__xludf.DUMMYFUNCTION("""COMPUTED_VALUE"""),7.7E7)</f>
        <v>77000000</v>
      </c>
      <c r="P787" s="15">
        <f>IFERROR(__xludf.DUMMYFUNCTION("ARRAYFORMULA(VLOOKUP(A787,IMPORTRANGE(""https://docs.google.com/spreadsheets/d/1BuTWp7qHGjWhqrnf-OmePP568O4A5Am9ttzvVdP67zw/edit#gid=771602874"" ,""HUMAN RESOURCES!$A$2:$M$2692""), {2,3,4,5,6,7,8,9,10,11,12,13},0))"),0.039)</f>
        <v>0.039</v>
      </c>
      <c r="Q787" s="14">
        <f>IFERROR(__xludf.DUMMYFUNCTION("""COMPUTED_VALUE"""),0.07)</f>
        <v>0.07</v>
      </c>
      <c r="R787" s="14">
        <f>IFERROR(__xludf.DUMMYFUNCTION("""COMPUTED_VALUE"""),58.0)</f>
        <v>58</v>
      </c>
      <c r="S787" s="14">
        <f>IFERROR(__xludf.DUMMYFUNCTION("""COMPUTED_VALUE"""),56.0)</f>
        <v>56</v>
      </c>
      <c r="T787" s="14">
        <f>IFERROR(__xludf.DUMMYFUNCTION("""COMPUTED_VALUE"""),0.462)</f>
        <v>0.462</v>
      </c>
      <c r="U787" s="14">
        <f>IFERROR(__xludf.DUMMYFUNCTION("""COMPUTED_VALUE"""),0.507)</f>
        <v>0.507</v>
      </c>
      <c r="V787" s="14">
        <f>IFERROR(__xludf.DUMMYFUNCTION("""COMPUTED_VALUE"""),0.031)</f>
        <v>0.031</v>
      </c>
      <c r="W787" s="14">
        <f>IFERROR(__xludf.DUMMYFUNCTION("""COMPUTED_VALUE"""),7.616724E7)</f>
        <v>76167240</v>
      </c>
      <c r="X787" s="14">
        <f>IFERROR(__xludf.DUMMYFUNCTION("""COMPUTED_VALUE"""),0.157)</f>
        <v>0.157</v>
      </c>
      <c r="Y787" s="14" t="str">
        <f>IFERROR(__xludf.DUMMYFUNCTION("""COMPUTED_VALUE"""),"Ethiopia-Africa")</f>
        <v>Ethiopia-Africa</v>
      </c>
      <c r="Z787" s="14" t="str">
        <f>IFERROR(__xludf.DUMMYFUNCTION("""COMPUTED_VALUE"""),"Africa")</f>
        <v>Africa</v>
      </c>
      <c r="AA787" s="14" t="str">
        <f>IFERROR(__xludf.DUMMYFUNCTION("""COMPUTED_VALUE"""),"2005")</f>
        <v>2005</v>
      </c>
      <c r="AB787" s="15" t="str">
        <f>IFERROR(__xludf.DUMMYFUNCTION("ARRAYFORMULA(VLOOKUP(A787,IMPORTRANGE(""https://docs.google.com/spreadsheets/d/1BuTWp7qHGjWhqrnf-OmePP568O4A5Am9ttzvVdP67zw/edit#gid=1931367683"" ,""ENERGY!$A$2:$F$2692""), {2,3,4,5,6},0))"),"Africa")</f>
        <v>Africa</v>
      </c>
      <c r="AC787" s="14" t="str">
        <f>IFERROR(__xludf.DUMMYFUNCTION("""COMPUTED_VALUE"""),"Ethiopia-Africa")</f>
        <v>Ethiopia-Africa</v>
      </c>
      <c r="AD787" s="14" t="str">
        <f>IFERROR(__xludf.DUMMYFUNCTION("""COMPUTED_VALUE"""),"2006")</f>
        <v>2006</v>
      </c>
      <c r="AE787" s="14">
        <f>IFERROR(__xludf.DUMMYFUNCTION("""COMPUTED_VALUE"""),30536.0)</f>
        <v>30536</v>
      </c>
      <c r="AF787" s="14">
        <f>IFERROR(__xludf.DUMMYFUNCTION("""COMPUTED_VALUE"""),5915.0)</f>
        <v>5915</v>
      </c>
    </row>
    <row r="788">
      <c r="A788" s="12">
        <v>787.0</v>
      </c>
      <c r="B788" s="12" t="s">
        <v>139</v>
      </c>
      <c r="C788" s="5" t="s">
        <v>77</v>
      </c>
      <c r="D788" s="11">
        <v>0.303</v>
      </c>
      <c r="E788" s="11">
        <v>18.0</v>
      </c>
      <c r="F788" s="8"/>
      <c r="G788" s="11">
        <v>212.0</v>
      </c>
      <c r="H788" s="11">
        <v>0.003</v>
      </c>
      <c r="I788" s="11">
        <v>0.011</v>
      </c>
      <c r="J788" s="9" t="s">
        <v>67</v>
      </c>
      <c r="K788" s="14" t="str">
        <f>IFERROR(__xludf.DUMMYFUNCTION("ARRAYFORMULA(VLOOKUP(A788,IMPORTRANGE(""https://docs.google.com/spreadsheets/d/1BuTWp7qHGjWhqrnf-OmePP568O4A5Am9ttzvVdP67zw/edit#gid=1603210130"", ""TOURISM!$A$2:$F$2692""), {2,3,4,5,6},0))"),"Africa")</f>
        <v>Africa</v>
      </c>
      <c r="L788" s="14">
        <f>IFERROR(__xludf.DUMMYFUNCTION("""COMPUTED_VALUE"""),6.39E8)</f>
        <v>639000000</v>
      </c>
      <c r="M788" s="14" t="str">
        <f>IFERROR(__xludf.DUMMYFUNCTION("""COMPUTED_VALUE"""),"Ethiopia-Africa")</f>
        <v>Ethiopia-Africa</v>
      </c>
      <c r="N788" s="14" t="str">
        <f>IFERROR(__xludf.DUMMYFUNCTION("""COMPUTED_VALUE"""),"2006")</f>
        <v>2006</v>
      </c>
      <c r="O788" s="14">
        <f>IFERROR(__xludf.DUMMYFUNCTION("""COMPUTED_VALUE"""),9.7E7)</f>
        <v>97000000</v>
      </c>
      <c r="P788" s="15">
        <f>IFERROR(__xludf.DUMMYFUNCTION("ARRAYFORMULA(VLOOKUP(A788,IMPORTRANGE(""https://docs.google.com/spreadsheets/d/1BuTWp7qHGjWhqrnf-OmePP568O4A5Am9ttzvVdP67zw/edit#gid=771602874"" ,""HUMAN RESOURCES!$A$2:$M$2692""), {2,3,4,5,6,7,8,9,10,11,12,13},0))"),0.038)</f>
        <v>0.038</v>
      </c>
      <c r="Q788" s="14">
        <f>IFERROR(__xludf.DUMMYFUNCTION("""COMPUTED_VALUE"""),0.065)</f>
        <v>0.065</v>
      </c>
      <c r="R788" s="14">
        <f>IFERROR(__xludf.DUMMYFUNCTION("""COMPUTED_VALUE"""),59.0)</f>
        <v>59</v>
      </c>
      <c r="S788" s="14">
        <f>IFERROR(__xludf.DUMMYFUNCTION("""COMPUTED_VALUE"""),57.0)</f>
        <v>57</v>
      </c>
      <c r="T788" s="14">
        <f>IFERROR(__xludf.DUMMYFUNCTION("""COMPUTED_VALUE"""),0.46)</f>
        <v>0.46</v>
      </c>
      <c r="U788" s="14">
        <f>IFERROR(__xludf.DUMMYFUNCTION("""COMPUTED_VALUE"""),0.509)</f>
        <v>0.509</v>
      </c>
      <c r="V788" s="14">
        <f>IFERROR(__xludf.DUMMYFUNCTION("""COMPUTED_VALUE"""),0.031)</f>
        <v>0.031</v>
      </c>
      <c r="W788" s="14">
        <f>IFERROR(__xludf.DUMMYFUNCTION("""COMPUTED_VALUE"""),7.8290649E7)</f>
        <v>78290649</v>
      </c>
      <c r="X788" s="14">
        <f>IFERROR(__xludf.DUMMYFUNCTION("""COMPUTED_VALUE"""),0.159)</f>
        <v>0.159</v>
      </c>
      <c r="Y788" s="14" t="str">
        <f>IFERROR(__xludf.DUMMYFUNCTION("""COMPUTED_VALUE"""),"Ethiopia-Africa")</f>
        <v>Ethiopia-Africa</v>
      </c>
      <c r="Z788" s="14" t="str">
        <f>IFERROR(__xludf.DUMMYFUNCTION("""COMPUTED_VALUE"""),"Africa")</f>
        <v>Africa</v>
      </c>
      <c r="AA788" s="14" t="str">
        <f>IFERROR(__xludf.DUMMYFUNCTION("""COMPUTED_VALUE"""),"2006")</f>
        <v>2006</v>
      </c>
      <c r="AB788" s="15" t="str">
        <f>IFERROR(__xludf.DUMMYFUNCTION("ARRAYFORMULA(VLOOKUP(A788,IMPORTRANGE(""https://docs.google.com/spreadsheets/d/1BuTWp7qHGjWhqrnf-OmePP568O4A5Am9ttzvVdP67zw/edit#gid=1931367683"" ,""ENERGY!$A$2:$F$2692""), {2,3,4,5,6},0))"),"Africa")</f>
        <v>Africa</v>
      </c>
      <c r="AC788" s="14" t="str">
        <f>IFERROR(__xludf.DUMMYFUNCTION("""COMPUTED_VALUE"""),"Ethiopia-Africa")</f>
        <v>Ethiopia-Africa</v>
      </c>
      <c r="AD788" s="14" t="str">
        <f>IFERROR(__xludf.DUMMYFUNCTION("""COMPUTED_VALUE"""),"2010")</f>
        <v>2010</v>
      </c>
      <c r="AE788" s="14">
        <f>IFERROR(__xludf.DUMMYFUNCTION("""COMPUTED_VALUE"""),29705.0)</f>
        <v>29705</v>
      </c>
      <c r="AF788" s="14">
        <f>IFERROR(__xludf.DUMMYFUNCTION("""COMPUTED_VALUE"""),5420.0)</f>
        <v>5420</v>
      </c>
    </row>
    <row r="789">
      <c r="A789" s="12">
        <v>788.0</v>
      </c>
      <c r="B789" s="12" t="s">
        <v>139</v>
      </c>
      <c r="C789" s="5" t="s">
        <v>77</v>
      </c>
      <c r="D789" s="11">
        <v>0.303</v>
      </c>
      <c r="E789" s="11">
        <v>18.0</v>
      </c>
      <c r="F789" s="8"/>
      <c r="G789" s="11">
        <v>198.0</v>
      </c>
      <c r="H789" s="11">
        <v>0.004</v>
      </c>
      <c r="I789" s="11">
        <v>0.015</v>
      </c>
      <c r="J789" s="9" t="s">
        <v>68</v>
      </c>
      <c r="K789" s="14" t="str">
        <f>IFERROR(__xludf.DUMMYFUNCTION("ARRAYFORMULA(VLOOKUP(A789,IMPORTRANGE(""https://docs.google.com/spreadsheets/d/1BuTWp7qHGjWhqrnf-OmePP568O4A5Am9ttzvVdP67zw/edit#gid=1603210130"", ""TOURISM!$A$2:$F$2692""), {2,3,4,5,6},0))"),"Africa")</f>
        <v>Africa</v>
      </c>
      <c r="L789" s="14">
        <f>IFERROR(__xludf.DUMMYFUNCTION("""COMPUTED_VALUE"""),7.9E8)</f>
        <v>790000000</v>
      </c>
      <c r="M789" s="14" t="str">
        <f>IFERROR(__xludf.DUMMYFUNCTION("""COMPUTED_VALUE"""),"Ethiopia-Africa")</f>
        <v>Ethiopia-Africa</v>
      </c>
      <c r="N789" s="14" t="str">
        <f>IFERROR(__xludf.DUMMYFUNCTION("""COMPUTED_VALUE"""),"2007")</f>
        <v>2007</v>
      </c>
      <c r="O789" s="14">
        <f>IFERROR(__xludf.DUMMYFUNCTION("""COMPUTED_VALUE"""),1.07E8)</f>
        <v>107000000</v>
      </c>
      <c r="P789" s="15">
        <f>IFERROR(__xludf.DUMMYFUNCTION("ARRAYFORMULA(VLOOKUP(A789,IMPORTRANGE(""https://docs.google.com/spreadsheets/d/1BuTWp7qHGjWhqrnf-OmePP568O4A5Am9ttzvVdP67zw/edit#gid=771602874"" ,""HUMAN RESOURCES!$A$2:$M$2692""), {2,3,4,5,6,7,8,9,10,11,12,13},0))"),0.037)</f>
        <v>0.037</v>
      </c>
      <c r="Q789" s="14">
        <f>IFERROR(__xludf.DUMMYFUNCTION("""COMPUTED_VALUE"""),0.061)</f>
        <v>0.061</v>
      </c>
      <c r="R789" s="14">
        <f>IFERROR(__xludf.DUMMYFUNCTION("""COMPUTED_VALUE"""),60.0)</f>
        <v>60</v>
      </c>
      <c r="S789" s="14">
        <f>IFERROR(__xludf.DUMMYFUNCTION("""COMPUTED_VALUE"""),58.0)</f>
        <v>58</v>
      </c>
      <c r="T789" s="14">
        <f>IFERROR(__xludf.DUMMYFUNCTION("""COMPUTED_VALUE"""),0.457)</f>
        <v>0.457</v>
      </c>
      <c r="U789" s="14">
        <f>IFERROR(__xludf.DUMMYFUNCTION("""COMPUTED_VALUE"""),0.511)</f>
        <v>0.511</v>
      </c>
      <c r="V789" s="14">
        <f>IFERROR(__xludf.DUMMYFUNCTION("""COMPUTED_VALUE"""),0.032)</f>
        <v>0.032</v>
      </c>
      <c r="W789" s="14">
        <f>IFERROR(__xludf.DUMMYFUNCTION("""COMPUTED_VALUE"""),8.0440708E7)</f>
        <v>80440708</v>
      </c>
      <c r="X789" s="14">
        <f>IFERROR(__xludf.DUMMYFUNCTION("""COMPUTED_VALUE"""),0.161)</f>
        <v>0.161</v>
      </c>
      <c r="Y789" s="14" t="str">
        <f>IFERROR(__xludf.DUMMYFUNCTION("""COMPUTED_VALUE"""),"Ethiopia-Africa")</f>
        <v>Ethiopia-Africa</v>
      </c>
      <c r="Z789" s="14" t="str">
        <f>IFERROR(__xludf.DUMMYFUNCTION("""COMPUTED_VALUE"""),"Africa")</f>
        <v>Africa</v>
      </c>
      <c r="AA789" s="14" t="str">
        <f>IFERROR(__xludf.DUMMYFUNCTION("""COMPUTED_VALUE"""),"2007")</f>
        <v>2007</v>
      </c>
      <c r="AB789" s="15" t="str">
        <f>IFERROR(__xludf.DUMMYFUNCTION("ARRAYFORMULA(VLOOKUP(A789,IMPORTRANGE(""https://docs.google.com/spreadsheets/d/1BuTWp7qHGjWhqrnf-OmePP568O4A5Am9ttzvVdP67zw/edit#gid=1931367683"" ,""ENERGY!$A$2:$F$2692""), {2,3,4,5,6},0))"),"Africa")</f>
        <v>Africa</v>
      </c>
      <c r="AC789" s="14" t="str">
        <f>IFERROR(__xludf.DUMMYFUNCTION("""COMPUTED_VALUE"""),"Ethiopia-Africa")</f>
        <v>Ethiopia-Africa</v>
      </c>
      <c r="AD789" s="14" t="str">
        <f>IFERROR(__xludf.DUMMYFUNCTION("""COMPUTED_VALUE"""),"2007")</f>
        <v>2007</v>
      </c>
      <c r="AE789" s="14">
        <f>IFERROR(__xludf.DUMMYFUNCTION("""COMPUTED_VALUE"""),28935.0)</f>
        <v>28935</v>
      </c>
      <c r="AF789" s="14">
        <f>IFERROR(__xludf.DUMMYFUNCTION("""COMPUTED_VALUE"""),5053.0)</f>
        <v>5053</v>
      </c>
    </row>
    <row r="790">
      <c r="A790" s="12">
        <v>789.0</v>
      </c>
      <c r="B790" s="12" t="s">
        <v>139</v>
      </c>
      <c r="C790" s="5" t="s">
        <v>77</v>
      </c>
      <c r="D790" s="11">
        <v>0.303</v>
      </c>
      <c r="E790" s="11">
        <v>18.0</v>
      </c>
      <c r="F790" s="8"/>
      <c r="G790" s="11">
        <v>198.0</v>
      </c>
      <c r="H790" s="11">
        <v>0.005</v>
      </c>
      <c r="I790" s="11">
        <v>0.024</v>
      </c>
      <c r="J790" s="9" t="s">
        <v>69</v>
      </c>
      <c r="K790" s="14" t="str">
        <f>IFERROR(__xludf.DUMMYFUNCTION("ARRAYFORMULA(VLOOKUP(A790,IMPORTRANGE(""https://docs.google.com/spreadsheets/d/1BuTWp7qHGjWhqrnf-OmePP568O4A5Am9ttzvVdP67zw/edit#gid=1603210130"", ""TOURISM!$A$2:$F$2692""), {2,3,4,5,6},0))"),"Africa")</f>
        <v>Africa</v>
      </c>
      <c r="L790" s="14">
        <f>IFERROR(__xludf.DUMMYFUNCTION("""COMPUTED_VALUE"""),1.184E9)</f>
        <v>1184000000</v>
      </c>
      <c r="M790" s="14" t="str">
        <f>IFERROR(__xludf.DUMMYFUNCTION("""COMPUTED_VALUE"""),"Ethiopia-Africa")</f>
        <v>Ethiopia-Africa</v>
      </c>
      <c r="N790" s="14" t="str">
        <f>IFERROR(__xludf.DUMMYFUNCTION("""COMPUTED_VALUE"""),"2008")</f>
        <v>2008</v>
      </c>
      <c r="O790" s="14">
        <f>IFERROR(__xludf.DUMMYFUNCTION("""COMPUTED_VALUE"""),1.56E8)</f>
        <v>156000000</v>
      </c>
      <c r="P790" s="15">
        <f>IFERROR(__xludf.DUMMYFUNCTION("ARRAYFORMULA(VLOOKUP(A790,IMPORTRANGE(""https://docs.google.com/spreadsheets/d/1BuTWp7qHGjWhqrnf-OmePP568O4A5Am9ttzvVdP67zw/edit#gid=771602874"" ,""HUMAN RESOURCES!$A$2:$M$2692""), {2,3,4,5,6,7,8,9,10,11,12,13},0))"),0.036)</f>
        <v>0.036</v>
      </c>
      <c r="Q790" s="14">
        <f>IFERROR(__xludf.DUMMYFUNCTION("""COMPUTED_VALUE"""),0.057)</f>
        <v>0.057</v>
      </c>
      <c r="R790" s="14">
        <f>IFERROR(__xludf.DUMMYFUNCTION("""COMPUTED_VALUE"""),61.0)</f>
        <v>61</v>
      </c>
      <c r="S790" s="14">
        <f>IFERROR(__xludf.DUMMYFUNCTION("""COMPUTED_VALUE"""),59.0)</f>
        <v>59</v>
      </c>
      <c r="T790" s="14">
        <f>IFERROR(__xludf.DUMMYFUNCTION("""COMPUTED_VALUE"""),0.453)</f>
        <v>0.453</v>
      </c>
      <c r="U790" s="14">
        <f>IFERROR(__xludf.DUMMYFUNCTION("""COMPUTED_VALUE"""),0.515)</f>
        <v>0.515</v>
      </c>
      <c r="V790" s="14">
        <f>IFERROR(__xludf.DUMMYFUNCTION("""COMPUTED_VALUE"""),0.032)</f>
        <v>0.032</v>
      </c>
      <c r="W790" s="14">
        <f>IFERROR(__xludf.DUMMYFUNCTION("""COMPUTED_VALUE"""),8.262119E7)</f>
        <v>82621190</v>
      </c>
      <c r="X790" s="14">
        <f>IFERROR(__xludf.DUMMYFUNCTION("""COMPUTED_VALUE"""),0.165)</f>
        <v>0.165</v>
      </c>
      <c r="Y790" s="14" t="str">
        <f>IFERROR(__xludf.DUMMYFUNCTION("""COMPUTED_VALUE"""),"Ethiopia-Africa")</f>
        <v>Ethiopia-Africa</v>
      </c>
      <c r="Z790" s="14" t="str">
        <f>IFERROR(__xludf.DUMMYFUNCTION("""COMPUTED_VALUE"""),"Africa")</f>
        <v>Africa</v>
      </c>
      <c r="AA790" s="14" t="str">
        <f>IFERROR(__xludf.DUMMYFUNCTION("""COMPUTED_VALUE"""),"2008")</f>
        <v>2008</v>
      </c>
      <c r="AB790" s="15" t="str">
        <f>IFERROR(__xludf.DUMMYFUNCTION("ARRAYFORMULA(VLOOKUP(A790,IMPORTRANGE(""https://docs.google.com/spreadsheets/d/1BuTWp7qHGjWhqrnf-OmePP568O4A5Am9ttzvVdP67zw/edit#gid=1931367683"" ,""ENERGY!$A$2:$F$2692""), {2,3,4,5,6},0))"),"Africa")</f>
        <v>Africa</v>
      </c>
      <c r="AC790" s="14" t="str">
        <f>IFERROR(__xludf.DUMMYFUNCTION("""COMPUTED_VALUE"""),"Ethiopia-Africa")</f>
        <v>Ethiopia-Africa</v>
      </c>
      <c r="AD790" s="14" t="str">
        <f>IFERROR(__xludf.DUMMYFUNCTION("""COMPUTED_VALUE"""),"2005")</f>
        <v>2005</v>
      </c>
      <c r="AE790" s="14">
        <f>IFERROR(__xludf.DUMMYFUNCTION("""COMPUTED_VALUE"""),28377.0)</f>
        <v>28377</v>
      </c>
      <c r="AF790" s="14">
        <f>IFERROR(__xludf.DUMMYFUNCTION("""COMPUTED_VALUE"""),5244.0)</f>
        <v>5244</v>
      </c>
    </row>
    <row r="791">
      <c r="A791" s="12">
        <v>790.0</v>
      </c>
      <c r="B791" s="12" t="s">
        <v>139</v>
      </c>
      <c r="C791" s="5" t="s">
        <v>77</v>
      </c>
      <c r="D791" s="11">
        <v>0.303</v>
      </c>
      <c r="E791" s="11">
        <v>15.0</v>
      </c>
      <c r="F791" s="8"/>
      <c r="G791" s="11">
        <v>198.0</v>
      </c>
      <c r="H791" s="11">
        <v>0.005</v>
      </c>
      <c r="I791" s="11">
        <v>0.048</v>
      </c>
      <c r="J791" s="9" t="s">
        <v>70</v>
      </c>
      <c r="K791" s="14" t="str">
        <f>IFERROR(__xludf.DUMMYFUNCTION("ARRAYFORMULA(VLOOKUP(A791,IMPORTRANGE(""https://docs.google.com/spreadsheets/d/1BuTWp7qHGjWhqrnf-OmePP568O4A5Am9ttzvVdP67zw/edit#gid=1603210130"", ""TOURISM!$A$2:$F$2692""), {2,3,4,5,6},0))"),"Africa")</f>
        <v>Africa</v>
      </c>
      <c r="L791" s="14">
        <f>IFERROR(__xludf.DUMMYFUNCTION("""COMPUTED_VALUE"""),1.119E9)</f>
        <v>1119000000</v>
      </c>
      <c r="M791" s="14" t="str">
        <f>IFERROR(__xludf.DUMMYFUNCTION("""COMPUTED_VALUE"""),"Ethiopia-Africa")</f>
        <v>Ethiopia-Africa</v>
      </c>
      <c r="N791" s="14" t="str">
        <f>IFERROR(__xludf.DUMMYFUNCTION("""COMPUTED_VALUE"""),"2009")</f>
        <v>2009</v>
      </c>
      <c r="O791" s="14">
        <f>IFERROR(__xludf.DUMMYFUNCTION("""COMPUTED_VALUE"""),1.39E8)</f>
        <v>139000000</v>
      </c>
      <c r="P791" s="15">
        <f>IFERROR(__xludf.DUMMYFUNCTION("ARRAYFORMULA(VLOOKUP(A791,IMPORTRANGE(""https://docs.google.com/spreadsheets/d/1BuTWp7qHGjWhqrnf-OmePP568O4A5Am9ttzvVdP67zw/edit#gid=771602874"" ,""HUMAN RESOURCES!$A$2:$M$2692""), {2,3,4,5,6,7,8,9,10,11,12,13},0))"),0.035)</f>
        <v>0.035</v>
      </c>
      <c r="Q791" s="14">
        <f>IFERROR(__xludf.DUMMYFUNCTION("""COMPUTED_VALUE"""),0.054)</f>
        <v>0.054</v>
      </c>
      <c r="R791" s="14">
        <f>IFERROR(__xludf.DUMMYFUNCTION("""COMPUTED_VALUE"""),62.0)</f>
        <v>62</v>
      </c>
      <c r="S791" s="14">
        <f>IFERROR(__xludf.DUMMYFUNCTION("""COMPUTED_VALUE"""),59.0)</f>
        <v>59</v>
      </c>
      <c r="T791" s="14">
        <f>IFERROR(__xludf.DUMMYFUNCTION("""COMPUTED_VALUE"""),0.449)</f>
        <v>0.449</v>
      </c>
      <c r="U791" s="14">
        <f>IFERROR(__xludf.DUMMYFUNCTION("""COMPUTED_VALUE"""),0.518)</f>
        <v>0.518</v>
      </c>
      <c r="V791" s="14">
        <f>IFERROR(__xludf.DUMMYFUNCTION("""COMPUTED_VALUE"""),0.033)</f>
        <v>0.033</v>
      </c>
      <c r="W791" s="14">
        <f>IFERROR(__xludf.DUMMYFUNCTION("""COMPUTED_VALUE"""),8.4838032E7)</f>
        <v>84838032</v>
      </c>
      <c r="X791" s="14">
        <f>IFERROR(__xludf.DUMMYFUNCTION("""COMPUTED_VALUE"""),0.169)</f>
        <v>0.169</v>
      </c>
      <c r="Y791" s="14" t="str">
        <f>IFERROR(__xludf.DUMMYFUNCTION("""COMPUTED_VALUE"""),"Ethiopia-Africa")</f>
        <v>Ethiopia-Africa</v>
      </c>
      <c r="Z791" s="14" t="str">
        <f>IFERROR(__xludf.DUMMYFUNCTION("""COMPUTED_VALUE"""),"Africa")</f>
        <v>Africa</v>
      </c>
      <c r="AA791" s="14" t="str">
        <f>IFERROR(__xludf.DUMMYFUNCTION("""COMPUTED_VALUE"""),"2009")</f>
        <v>2009</v>
      </c>
      <c r="AB791" s="15" t="str">
        <f>IFERROR(__xludf.DUMMYFUNCTION("ARRAYFORMULA(VLOOKUP(A791,IMPORTRANGE(""https://docs.google.com/spreadsheets/d/1BuTWp7qHGjWhqrnf-OmePP568O4A5Am9ttzvVdP67zw/edit#gid=1931367683"" ,""ENERGY!$A$2:$F$2692""), {2,3,4,5,6},0))"),"Africa")</f>
        <v>Africa</v>
      </c>
      <c r="AC791" s="14" t="str">
        <f>IFERROR(__xludf.DUMMYFUNCTION("""COMPUTED_VALUE"""),"Ethiopia-Africa")</f>
        <v>Ethiopia-Africa</v>
      </c>
      <c r="AD791" s="14" t="str">
        <f>IFERROR(__xludf.DUMMYFUNCTION("""COMPUTED_VALUE"""),"2009")</f>
        <v>2009</v>
      </c>
      <c r="AE791" s="14">
        <f>IFERROR(__xludf.DUMMYFUNCTION("""COMPUTED_VALUE"""),27648.0)</f>
        <v>27648</v>
      </c>
      <c r="AF791" s="14">
        <f>IFERROR(__xludf.DUMMYFUNCTION("""COMPUTED_VALUE"""),4947.0)</f>
        <v>4947</v>
      </c>
    </row>
    <row r="792">
      <c r="A792" s="12">
        <v>791.0</v>
      </c>
      <c r="B792" s="12" t="s">
        <v>139</v>
      </c>
      <c r="C792" s="5" t="s">
        <v>77</v>
      </c>
      <c r="D792" s="11">
        <v>0.303</v>
      </c>
      <c r="E792" s="11">
        <v>15.0</v>
      </c>
      <c r="F792" s="8"/>
      <c r="G792" s="11">
        <v>198.0</v>
      </c>
      <c r="H792" s="11">
        <v>0.008</v>
      </c>
      <c r="I792" s="11">
        <v>0.079</v>
      </c>
      <c r="J792" s="9" t="s">
        <v>71</v>
      </c>
      <c r="K792" s="14" t="str">
        <f>IFERROR(__xludf.DUMMYFUNCTION("ARRAYFORMULA(VLOOKUP(A792,IMPORTRANGE(""https://docs.google.com/spreadsheets/d/1BuTWp7qHGjWhqrnf-OmePP568O4A5Am9ttzvVdP67zw/edit#gid=1603210130"", ""TOURISM!$A$2:$F$2692""), {2,3,4,5,6},0))"),"Africa")</f>
        <v>Africa</v>
      </c>
      <c r="L792" s="14">
        <f>IFERROR(__xludf.DUMMYFUNCTION("""COMPUTED_VALUE"""),1.434E9)</f>
        <v>1434000000</v>
      </c>
      <c r="M792" s="14" t="str">
        <f>IFERROR(__xludf.DUMMYFUNCTION("""COMPUTED_VALUE"""),"Ethiopia-Africa")</f>
        <v>Ethiopia-Africa</v>
      </c>
      <c r="N792" s="14" t="str">
        <f>IFERROR(__xludf.DUMMYFUNCTION("""COMPUTED_VALUE"""),"2010")</f>
        <v>2010</v>
      </c>
      <c r="O792" s="14">
        <f>IFERROR(__xludf.DUMMYFUNCTION("""COMPUTED_VALUE"""),1.43E8)</f>
        <v>143000000</v>
      </c>
      <c r="P792" s="15">
        <f>IFERROR(__xludf.DUMMYFUNCTION("ARRAYFORMULA(VLOOKUP(A792,IMPORTRANGE(""https://docs.google.com/spreadsheets/d/1BuTWp7qHGjWhqrnf-OmePP568O4A5Am9ttzvVdP67zw/edit#gid=771602874"" ,""HUMAN RESOURCES!$A$2:$M$2692""), {2,3,4,5,6,7,8,9,10,11,12,13},0))"),0.035)</f>
        <v>0.035</v>
      </c>
      <c r="Q792" s="14">
        <f>IFERROR(__xludf.DUMMYFUNCTION("""COMPUTED_VALUE"""),0.051)</f>
        <v>0.051</v>
      </c>
      <c r="R792" s="14">
        <f>IFERROR(__xludf.DUMMYFUNCTION("""COMPUTED_VALUE"""),63.0)</f>
        <v>63</v>
      </c>
      <c r="S792" s="14">
        <f>IFERROR(__xludf.DUMMYFUNCTION("""COMPUTED_VALUE"""),60.0)</f>
        <v>60</v>
      </c>
      <c r="T792" s="14">
        <f>IFERROR(__xludf.DUMMYFUNCTION("""COMPUTED_VALUE"""),0.444)</f>
        <v>0.444</v>
      </c>
      <c r="U792" s="14">
        <f>IFERROR(__xludf.DUMMYFUNCTION("""COMPUTED_VALUE"""),0.523)</f>
        <v>0.523</v>
      </c>
      <c r="V792" s="14">
        <f>IFERROR(__xludf.DUMMYFUNCTION("""COMPUTED_VALUE"""),0.033)</f>
        <v>0.033</v>
      </c>
      <c r="W792" s="14">
        <f>IFERROR(__xludf.DUMMYFUNCTION("""COMPUTED_VALUE"""),8.7095281E7)</f>
        <v>87095281</v>
      </c>
      <c r="X792" s="14">
        <f>IFERROR(__xludf.DUMMYFUNCTION("""COMPUTED_VALUE"""),0.173)</f>
        <v>0.173</v>
      </c>
      <c r="Y792" s="14" t="str">
        <f>IFERROR(__xludf.DUMMYFUNCTION("""COMPUTED_VALUE"""),"Ethiopia-Africa")</f>
        <v>Ethiopia-Africa</v>
      </c>
      <c r="Z792" s="14" t="str">
        <f>IFERROR(__xludf.DUMMYFUNCTION("""COMPUTED_VALUE"""),"Africa")</f>
        <v>Africa</v>
      </c>
      <c r="AA792" s="14" t="str">
        <f>IFERROR(__xludf.DUMMYFUNCTION("""COMPUTED_VALUE"""),"2010")</f>
        <v>2010</v>
      </c>
      <c r="AB792" s="15" t="str">
        <f>IFERROR(__xludf.DUMMYFUNCTION("ARRAYFORMULA(VLOOKUP(A792,IMPORTRANGE(""https://docs.google.com/spreadsheets/d/1BuTWp7qHGjWhqrnf-OmePP568O4A5Am9ttzvVdP67zw/edit#gid=1931367683"" ,""ENERGY!$A$2:$F$2692""), {2,3,4,5,6},0))"),"Africa")</f>
        <v>Africa</v>
      </c>
      <c r="AC792" s="14" t="str">
        <f>IFERROR(__xludf.DUMMYFUNCTION("""COMPUTED_VALUE"""),"Ethiopia-Africa")</f>
        <v>Ethiopia-Africa</v>
      </c>
      <c r="AD792" s="14" t="str">
        <f>IFERROR(__xludf.DUMMYFUNCTION("""COMPUTED_VALUE"""),"2008")</f>
        <v>2008</v>
      </c>
      <c r="AE792" s="14">
        <f>IFERROR(__xludf.DUMMYFUNCTION("""COMPUTED_VALUE"""),26867.0)</f>
        <v>26867</v>
      </c>
      <c r="AF792" s="14">
        <f>IFERROR(__xludf.DUMMYFUNCTION("""COMPUTED_VALUE"""),4481.0)</f>
        <v>4481</v>
      </c>
    </row>
    <row r="793">
      <c r="A793" s="12">
        <v>792.0</v>
      </c>
      <c r="B793" s="12" t="s">
        <v>139</v>
      </c>
      <c r="C793" s="5" t="s">
        <v>77</v>
      </c>
      <c r="D793" s="11">
        <v>0.303</v>
      </c>
      <c r="E793" s="11">
        <v>15.0</v>
      </c>
      <c r="F793" s="8"/>
      <c r="G793" s="11">
        <v>198.0</v>
      </c>
      <c r="H793" s="11">
        <v>0.011</v>
      </c>
      <c r="I793" s="11">
        <v>0.158</v>
      </c>
      <c r="J793" s="9" t="s">
        <v>72</v>
      </c>
      <c r="K793" s="14" t="str">
        <f>IFERROR(__xludf.DUMMYFUNCTION("ARRAYFORMULA(VLOOKUP(A793,IMPORTRANGE(""https://docs.google.com/spreadsheets/d/1BuTWp7qHGjWhqrnf-OmePP568O4A5Am9ttzvVdP67zw/edit#gid=1603210130"", ""TOURISM!$A$2:$F$2692""), {2,3,4,5,6},0))"),"Africa")</f>
        <v>Africa</v>
      </c>
      <c r="L793" s="14">
        <f>IFERROR(__xludf.DUMMYFUNCTION("""COMPUTED_VALUE"""),1.998E9)</f>
        <v>1998000000</v>
      </c>
      <c r="M793" s="14" t="str">
        <f>IFERROR(__xludf.DUMMYFUNCTION("""COMPUTED_VALUE"""),"Ethiopia-Africa")</f>
        <v>Ethiopia-Africa</v>
      </c>
      <c r="N793" s="14" t="str">
        <f>IFERROR(__xludf.DUMMYFUNCTION("""COMPUTED_VALUE"""),"2011")</f>
        <v>2011</v>
      </c>
      <c r="O793" s="14">
        <f>IFERROR(__xludf.DUMMYFUNCTION("""COMPUTED_VALUE"""),1.7E8)</f>
        <v>170000000</v>
      </c>
      <c r="P793" s="15">
        <f>IFERROR(__xludf.DUMMYFUNCTION("ARRAYFORMULA(VLOOKUP(A793,IMPORTRANGE(""https://docs.google.com/spreadsheets/d/1BuTWp7qHGjWhqrnf-OmePP568O4A5Am9ttzvVdP67zw/edit#gid=771602874"" ,""HUMAN RESOURCES!$A$2:$M$2692""), {2,3,4,5,6,7,8,9,10,11,12,13},0))"),0.034)</f>
        <v>0.034</v>
      </c>
      <c r="Q793" s="14">
        <f>IFERROR(__xludf.DUMMYFUNCTION("""COMPUTED_VALUE"""),0.048)</f>
        <v>0.048</v>
      </c>
      <c r="R793" s="14">
        <f>IFERROR(__xludf.DUMMYFUNCTION("""COMPUTED_VALUE"""),64.0)</f>
        <v>64</v>
      </c>
      <c r="S793" s="14">
        <f>IFERROR(__xludf.DUMMYFUNCTION("""COMPUTED_VALUE"""),61.0)</f>
        <v>61</v>
      </c>
      <c r="T793" s="14">
        <f>IFERROR(__xludf.DUMMYFUNCTION("""COMPUTED_VALUE"""),0.439)</f>
        <v>0.439</v>
      </c>
      <c r="U793" s="14">
        <f>IFERROR(__xludf.DUMMYFUNCTION("""COMPUTED_VALUE"""),0.528)</f>
        <v>0.528</v>
      </c>
      <c r="V793" s="14">
        <f>IFERROR(__xludf.DUMMYFUNCTION("""COMPUTED_VALUE"""),0.033)</f>
        <v>0.033</v>
      </c>
      <c r="W793" s="14">
        <f>IFERROR(__xludf.DUMMYFUNCTION("""COMPUTED_VALUE"""),8.9393063E7)</f>
        <v>89393063</v>
      </c>
      <c r="X793" s="14">
        <f>IFERROR(__xludf.DUMMYFUNCTION("""COMPUTED_VALUE"""),0.177)</f>
        <v>0.177</v>
      </c>
      <c r="Y793" s="14" t="str">
        <f>IFERROR(__xludf.DUMMYFUNCTION("""COMPUTED_VALUE"""),"Ethiopia-Africa")</f>
        <v>Ethiopia-Africa</v>
      </c>
      <c r="Z793" s="14" t="str">
        <f>IFERROR(__xludf.DUMMYFUNCTION("""COMPUTED_VALUE"""),"Africa")</f>
        <v>Africa</v>
      </c>
      <c r="AA793" s="14" t="str">
        <f>IFERROR(__xludf.DUMMYFUNCTION("""COMPUTED_VALUE"""),"2011")</f>
        <v>2011</v>
      </c>
      <c r="AB793" s="15" t="str">
        <f>IFERROR(__xludf.DUMMYFUNCTION("ARRAYFORMULA(VLOOKUP(A793,IMPORTRANGE(""https://docs.google.com/spreadsheets/d/1BuTWp7qHGjWhqrnf-OmePP568O4A5Am9ttzvVdP67zw/edit#gid=1931367683"" ,""ENERGY!$A$2:$F$2692""), {2,3,4,5,6},0))"),"Africa")</f>
        <v>Africa</v>
      </c>
      <c r="AC793" s="14" t="str">
        <f>IFERROR(__xludf.DUMMYFUNCTION("""COMPUTED_VALUE"""),"Ethiopia-Africa")</f>
        <v>Ethiopia-Africa</v>
      </c>
      <c r="AD793" s="14" t="str">
        <f>IFERROR(__xludf.DUMMYFUNCTION("""COMPUTED_VALUE"""),"2004")</f>
        <v>2004</v>
      </c>
      <c r="AE793" s="14">
        <f>IFERROR(__xludf.DUMMYFUNCTION("""COMPUTED_VALUE"""),26171.0)</f>
        <v>26171</v>
      </c>
      <c r="AF793" s="14">
        <f>IFERROR(__xludf.DUMMYFUNCTION("""COMPUTED_VALUE"""),4309.0)</f>
        <v>4309</v>
      </c>
    </row>
    <row r="794">
      <c r="A794" s="12">
        <v>793.0</v>
      </c>
      <c r="B794" s="12" t="s">
        <v>139</v>
      </c>
      <c r="C794" s="5" t="s">
        <v>77</v>
      </c>
      <c r="D794" s="11">
        <v>0.325</v>
      </c>
      <c r="E794" s="11">
        <v>15.0</v>
      </c>
      <c r="F794" s="11">
        <v>124.0</v>
      </c>
      <c r="G794" s="11">
        <v>306.0</v>
      </c>
      <c r="H794" s="11">
        <v>0.015</v>
      </c>
      <c r="I794" s="11">
        <v>0.224</v>
      </c>
      <c r="J794" s="9" t="s">
        <v>73</v>
      </c>
      <c r="K794" s="14" t="str">
        <f>IFERROR(__xludf.DUMMYFUNCTION("ARRAYFORMULA(VLOOKUP(A794,IMPORTRANGE(""https://docs.google.com/spreadsheets/d/1BuTWp7qHGjWhqrnf-OmePP568O4A5Am9ttzvVdP67zw/edit#gid=1603210130"", ""TOURISM!$A$2:$F$2692""), {2,3,4,5,6},0))"),"Africa")</f>
        <v>Africa</v>
      </c>
      <c r="L794" s="14">
        <f>IFERROR(__xludf.DUMMYFUNCTION("""COMPUTED_VALUE"""),1.98E9)</f>
        <v>1980000000</v>
      </c>
      <c r="M794" s="14" t="str">
        <f>IFERROR(__xludf.DUMMYFUNCTION("""COMPUTED_VALUE"""),"Ethiopia-Africa")</f>
        <v>Ethiopia-Africa</v>
      </c>
      <c r="N794" s="14" t="str">
        <f>IFERROR(__xludf.DUMMYFUNCTION("""COMPUTED_VALUE"""),"2012")</f>
        <v>2012</v>
      </c>
      <c r="O794" s="14">
        <f>IFERROR(__xludf.DUMMYFUNCTION("""COMPUTED_VALUE"""),1.81E8)</f>
        <v>181000000</v>
      </c>
      <c r="P794" s="15">
        <f>IFERROR(__xludf.DUMMYFUNCTION("ARRAYFORMULA(VLOOKUP(A794,IMPORTRANGE(""https://docs.google.com/spreadsheets/d/1BuTWp7qHGjWhqrnf-OmePP568O4A5Am9ttzvVdP67zw/edit#gid=771602874"" ,""HUMAN RESOURCES!$A$2:$M$2692""), {2,3,4,5,6,7,8,9,10,11,12,13},0))"),0.034)</f>
        <v>0.034</v>
      </c>
      <c r="Q794" s="14">
        <f>IFERROR(__xludf.DUMMYFUNCTION("""COMPUTED_VALUE"""),0.046)</f>
        <v>0.046</v>
      </c>
      <c r="R794" s="14">
        <f>IFERROR(__xludf.DUMMYFUNCTION("""COMPUTED_VALUE"""),65.0)</f>
        <v>65</v>
      </c>
      <c r="S794" s="14">
        <f>IFERROR(__xludf.DUMMYFUNCTION("""COMPUTED_VALUE"""),61.0)</f>
        <v>61</v>
      </c>
      <c r="T794" s="14">
        <f>IFERROR(__xludf.DUMMYFUNCTION("""COMPUTED_VALUE"""),0.433)</f>
        <v>0.433</v>
      </c>
      <c r="U794" s="14">
        <f>IFERROR(__xludf.DUMMYFUNCTION("""COMPUTED_VALUE"""),0.533)</f>
        <v>0.533</v>
      </c>
      <c r="V794" s="14">
        <f>IFERROR(__xludf.DUMMYFUNCTION("""COMPUTED_VALUE"""),0.034)</f>
        <v>0.034</v>
      </c>
      <c r="W794" s="14">
        <f>IFERROR(__xludf.DUMMYFUNCTION("""COMPUTED_VALUE"""),9.1728849E7)</f>
        <v>91728849</v>
      </c>
      <c r="X794" s="14">
        <f>IFERROR(__xludf.DUMMYFUNCTION("""COMPUTED_VALUE"""),0.182)</f>
        <v>0.182</v>
      </c>
      <c r="Y794" s="14" t="str">
        <f>IFERROR(__xludf.DUMMYFUNCTION("""COMPUTED_VALUE"""),"Ethiopia-Africa")</f>
        <v>Ethiopia-Africa</v>
      </c>
      <c r="Z794" s="14" t="str">
        <f>IFERROR(__xludf.DUMMYFUNCTION("""COMPUTED_VALUE"""),"Africa")</f>
        <v>Africa</v>
      </c>
      <c r="AA794" s="14" t="str">
        <f>IFERROR(__xludf.DUMMYFUNCTION("""COMPUTED_VALUE"""),"2012")</f>
        <v>2012</v>
      </c>
      <c r="AB794" s="15" t="str">
        <f>IFERROR(__xludf.DUMMYFUNCTION("ARRAYFORMULA(VLOOKUP(A794,IMPORTRANGE(""https://docs.google.com/spreadsheets/d/1BuTWp7qHGjWhqrnf-OmePP568O4A5Am9ttzvVdP67zw/edit#gid=1931367683"" ,""ENERGY!$A$2:$F$2692""), {2,3,4,5,6},0))"),"Africa")</f>
        <v>Africa</v>
      </c>
      <c r="AC794" s="14" t="str">
        <f>IFERROR(__xludf.DUMMYFUNCTION("""COMPUTED_VALUE"""),"Ethiopia-Africa")</f>
        <v>Ethiopia-Africa</v>
      </c>
      <c r="AD794" s="14" t="str">
        <f>IFERROR(__xludf.DUMMYFUNCTION("""COMPUTED_VALUE"""),"2009")</f>
        <v>2009</v>
      </c>
      <c r="AE794" s="14">
        <f>IFERROR(__xludf.DUMMYFUNCTION("""COMPUTED_VALUE"""),25242.0)</f>
        <v>25242</v>
      </c>
      <c r="AF794" s="14">
        <f>IFERROR(__xludf.DUMMYFUNCTION("""COMPUTED_VALUE"""),5831.0)</f>
        <v>5831</v>
      </c>
    </row>
    <row r="795">
      <c r="A795" s="12">
        <v>794.0</v>
      </c>
      <c r="B795" s="12" t="s">
        <v>140</v>
      </c>
      <c r="C795" s="5" t="s">
        <v>75</v>
      </c>
      <c r="D795" s="8"/>
      <c r="E795" s="8"/>
      <c r="F795" s="8"/>
      <c r="G795" s="8"/>
      <c r="H795" s="11">
        <v>0.329</v>
      </c>
      <c r="I795" s="11">
        <v>0.365</v>
      </c>
      <c r="J795" s="9" t="s">
        <v>60</v>
      </c>
      <c r="K795" s="14" t="str">
        <f>IFERROR(__xludf.DUMMYFUNCTION("ARRAYFORMULA(VLOOKUP(A795,IMPORTRANGE(""https://docs.google.com/spreadsheets/d/1BuTWp7qHGjWhqrnf-OmePP568O4A5Am9ttzvVdP67zw/edit#gid=1603210130"", ""TOURISM!$A$2:$F$2692""), {2,3,4,5,6},0))"),"Europe")</f>
        <v>Europe</v>
      </c>
      <c r="L795" s="14"/>
      <c r="M795" s="14" t="str">
        <f>IFERROR(__xludf.DUMMYFUNCTION("""COMPUTED_VALUE"""),"Faeroe Islands-Europe")</f>
        <v>Faeroe Islands-Europe</v>
      </c>
      <c r="N795" s="14" t="str">
        <f>IFERROR(__xludf.DUMMYFUNCTION("""COMPUTED_VALUE"""),"2000")</f>
        <v>2000</v>
      </c>
      <c r="O795" s="14"/>
      <c r="P795" s="15" t="str">
        <f>IFERROR(__xludf.DUMMYFUNCTION("ARRAYFORMULA(VLOOKUP(A795,IMPORTRANGE(""https://docs.google.com/spreadsheets/d/1BuTWp7qHGjWhqrnf-OmePP568O4A5Am9ttzvVdP67zw/edit#gid=771602874"" ,""HUMAN RESOURCES!$A$2:$M$2692""), {2,3,4,5,6,7,8,9,10,11,12,13},0))"),"")</f>
        <v/>
      </c>
      <c r="Q795" s="14"/>
      <c r="R795" s="14">
        <f>IFERROR(__xludf.DUMMYFUNCTION("""COMPUTED_VALUE"""),82.0)</f>
        <v>82</v>
      </c>
      <c r="S795" s="14">
        <f>IFERROR(__xludf.DUMMYFUNCTION("""COMPUTED_VALUE"""),76.0)</f>
        <v>76</v>
      </c>
      <c r="T795" s="14"/>
      <c r="U795" s="14"/>
      <c r="V795" s="14"/>
      <c r="W795" s="14">
        <f>IFERROR(__xludf.DUMMYFUNCTION("""COMPUTED_VALUE"""),46491.0)</f>
        <v>46491</v>
      </c>
      <c r="X795" s="14">
        <f>IFERROR(__xludf.DUMMYFUNCTION("""COMPUTED_VALUE"""),0.363)</f>
        <v>0.363</v>
      </c>
      <c r="Y795" s="14" t="str">
        <f>IFERROR(__xludf.DUMMYFUNCTION("""COMPUTED_VALUE"""),"Faeroe Islands-Europe")</f>
        <v>Faeroe Islands-Europe</v>
      </c>
      <c r="Z795" s="14" t="str">
        <f>IFERROR(__xludf.DUMMYFUNCTION("""COMPUTED_VALUE"""),"Europe")</f>
        <v>Europe</v>
      </c>
      <c r="AA795" s="14" t="str">
        <f>IFERROR(__xludf.DUMMYFUNCTION("""COMPUTED_VALUE"""),"2000")</f>
        <v>2000</v>
      </c>
      <c r="AB795" s="15" t="str">
        <f>IFERROR(__xludf.DUMMYFUNCTION("ARRAYFORMULA(VLOOKUP(A795,IMPORTRANGE(""https://docs.google.com/spreadsheets/d/1BuTWp7qHGjWhqrnf-OmePP568O4A5Am9ttzvVdP67zw/edit#gid=1931367683"" ,""ENERGY!$A$2:$F$2692""), {2,3,4,5,6},0))"),"Europe")</f>
        <v>Europe</v>
      </c>
      <c r="AC795" s="14" t="str">
        <f>IFERROR(__xludf.DUMMYFUNCTION("""COMPUTED_VALUE"""),"Faeroe Islands-Europe")</f>
        <v>Faeroe Islands-Europe</v>
      </c>
      <c r="AD795" s="14" t="str">
        <f>IFERROR(__xludf.DUMMYFUNCTION("""COMPUTED_VALUE"""),"2000")</f>
        <v>2000</v>
      </c>
      <c r="AE795" s="14"/>
      <c r="AF795" s="14"/>
    </row>
    <row r="796">
      <c r="A796" s="12">
        <v>795.0</v>
      </c>
      <c r="B796" s="12" t="s">
        <v>140</v>
      </c>
      <c r="C796" s="5" t="s">
        <v>75</v>
      </c>
      <c r="D796" s="8"/>
      <c r="E796" s="8"/>
      <c r="F796" s="8"/>
      <c r="G796" s="8"/>
      <c r="H796" s="11">
        <v>0.432</v>
      </c>
      <c r="I796" s="11">
        <v>0.52</v>
      </c>
      <c r="J796" s="9" t="s">
        <v>62</v>
      </c>
      <c r="K796" s="14" t="str">
        <f>IFERROR(__xludf.DUMMYFUNCTION("ARRAYFORMULA(VLOOKUP(A796,IMPORTRANGE(""https://docs.google.com/spreadsheets/d/1BuTWp7qHGjWhqrnf-OmePP568O4A5Am9ttzvVdP67zw/edit#gid=1603210130"", ""TOURISM!$A$2:$F$2692""), {2,3,4,5,6},0))"),"Europe")</f>
        <v>Europe</v>
      </c>
      <c r="L796" s="14"/>
      <c r="M796" s="14" t="str">
        <f>IFERROR(__xludf.DUMMYFUNCTION("""COMPUTED_VALUE"""),"Faeroe Islands-Europe")</f>
        <v>Faeroe Islands-Europe</v>
      </c>
      <c r="N796" s="14" t="str">
        <f>IFERROR(__xludf.DUMMYFUNCTION("""COMPUTED_VALUE"""),"2001")</f>
        <v>2001</v>
      </c>
      <c r="O796" s="14"/>
      <c r="P796" s="15" t="str">
        <f>IFERROR(__xludf.DUMMYFUNCTION("ARRAYFORMULA(VLOOKUP(A796,IMPORTRANGE(""https://docs.google.com/spreadsheets/d/1BuTWp7qHGjWhqrnf-OmePP568O4A5Am9ttzvVdP67zw/edit#gid=771602874"" ,""HUMAN RESOURCES!$A$2:$M$2692""), {2,3,4,5,6,7,8,9,10,11,12,13},0))"),"")</f>
        <v/>
      </c>
      <c r="Q796" s="14"/>
      <c r="R796" s="14">
        <f>IFERROR(__xludf.DUMMYFUNCTION("""COMPUTED_VALUE"""),82.0)</f>
        <v>82</v>
      </c>
      <c r="S796" s="14">
        <f>IFERROR(__xludf.DUMMYFUNCTION("""COMPUTED_VALUE"""),77.0)</f>
        <v>77</v>
      </c>
      <c r="T796" s="14"/>
      <c r="U796" s="14"/>
      <c r="V796" s="14"/>
      <c r="W796" s="14">
        <f>IFERROR(__xludf.DUMMYFUNCTION("""COMPUTED_VALUE"""),47135.0)</f>
        <v>47135</v>
      </c>
      <c r="X796" s="14">
        <f>IFERROR(__xludf.DUMMYFUNCTION("""COMPUTED_VALUE"""),0.372)</f>
        <v>0.372</v>
      </c>
      <c r="Y796" s="14" t="str">
        <f>IFERROR(__xludf.DUMMYFUNCTION("""COMPUTED_VALUE"""),"Faeroe Islands-Europe")</f>
        <v>Faeroe Islands-Europe</v>
      </c>
      <c r="Z796" s="14" t="str">
        <f>IFERROR(__xludf.DUMMYFUNCTION("""COMPUTED_VALUE"""),"Europe")</f>
        <v>Europe</v>
      </c>
      <c r="AA796" s="14" t="str">
        <f>IFERROR(__xludf.DUMMYFUNCTION("""COMPUTED_VALUE"""),"2001")</f>
        <v>2001</v>
      </c>
      <c r="AB796" s="15" t="str">
        <f>IFERROR(__xludf.DUMMYFUNCTION("ARRAYFORMULA(VLOOKUP(A796,IMPORTRANGE(""https://docs.google.com/spreadsheets/d/1BuTWp7qHGjWhqrnf-OmePP568O4A5Am9ttzvVdP67zw/edit#gid=1931367683"" ,""ENERGY!$A$2:$F$2692""), {2,3,4,5,6},0))"),"Europe")</f>
        <v>Europe</v>
      </c>
      <c r="AC796" s="14" t="str">
        <f>IFERROR(__xludf.DUMMYFUNCTION("""COMPUTED_VALUE"""),"Faeroe Islands-Europe")</f>
        <v>Faeroe Islands-Europe</v>
      </c>
      <c r="AD796" s="14" t="str">
        <f>IFERROR(__xludf.DUMMYFUNCTION("""COMPUTED_VALUE"""),"2001")</f>
        <v>2001</v>
      </c>
      <c r="AE796" s="14"/>
      <c r="AF796" s="14"/>
    </row>
    <row r="797">
      <c r="A797" s="12">
        <v>796.0</v>
      </c>
      <c r="B797" s="12" t="s">
        <v>140</v>
      </c>
      <c r="C797" s="5" t="s">
        <v>75</v>
      </c>
      <c r="D797" s="8"/>
      <c r="E797" s="8"/>
      <c r="F797" s="8"/>
      <c r="G797" s="8"/>
      <c r="H797" s="11">
        <v>0.533</v>
      </c>
      <c r="I797" s="11">
        <v>0.727</v>
      </c>
      <c r="J797" s="9" t="s">
        <v>63</v>
      </c>
      <c r="K797" s="14" t="str">
        <f>IFERROR(__xludf.DUMMYFUNCTION("ARRAYFORMULA(VLOOKUP(A797,IMPORTRANGE(""https://docs.google.com/spreadsheets/d/1BuTWp7qHGjWhqrnf-OmePP568O4A5Am9ttzvVdP67zw/edit#gid=1603210130"", ""TOURISM!$A$2:$F$2692""), {2,3,4,5,6},0))"),"Europe")</f>
        <v>Europe</v>
      </c>
      <c r="L797" s="14"/>
      <c r="M797" s="14" t="str">
        <f>IFERROR(__xludf.DUMMYFUNCTION("""COMPUTED_VALUE"""),"Faeroe Islands-Europe")</f>
        <v>Faeroe Islands-Europe</v>
      </c>
      <c r="N797" s="14" t="str">
        <f>IFERROR(__xludf.DUMMYFUNCTION("""COMPUTED_VALUE"""),"2002")</f>
        <v>2002</v>
      </c>
      <c r="O797" s="14"/>
      <c r="P797" s="15" t="str">
        <f>IFERROR(__xludf.DUMMYFUNCTION("ARRAYFORMULA(VLOOKUP(A797,IMPORTRANGE(""https://docs.google.com/spreadsheets/d/1BuTWp7qHGjWhqrnf-OmePP568O4A5Am9ttzvVdP67zw/edit#gid=771602874"" ,""HUMAN RESOURCES!$A$2:$M$2692""), {2,3,4,5,6,7,8,9,10,11,12,13},0))"),"")</f>
        <v/>
      </c>
      <c r="Q797" s="14"/>
      <c r="R797" s="14">
        <f>IFERROR(__xludf.DUMMYFUNCTION("""COMPUTED_VALUE"""),82.0)</f>
        <v>82</v>
      </c>
      <c r="S797" s="14">
        <f>IFERROR(__xludf.DUMMYFUNCTION("""COMPUTED_VALUE"""),77.0)</f>
        <v>77</v>
      </c>
      <c r="T797" s="14"/>
      <c r="U797" s="14"/>
      <c r="V797" s="14"/>
      <c r="W797" s="14">
        <f>IFERROR(__xludf.DUMMYFUNCTION("""COMPUTED_VALUE"""),47751.0)</f>
        <v>47751</v>
      </c>
      <c r="X797" s="14">
        <f>IFERROR(__xludf.DUMMYFUNCTION("""COMPUTED_VALUE"""),0.38)</f>
        <v>0.38</v>
      </c>
      <c r="Y797" s="14" t="str">
        <f>IFERROR(__xludf.DUMMYFUNCTION("""COMPUTED_VALUE"""),"Faeroe Islands-Europe")</f>
        <v>Faeroe Islands-Europe</v>
      </c>
      <c r="Z797" s="14" t="str">
        <f>IFERROR(__xludf.DUMMYFUNCTION("""COMPUTED_VALUE"""),"Europe")</f>
        <v>Europe</v>
      </c>
      <c r="AA797" s="14" t="str">
        <f>IFERROR(__xludf.DUMMYFUNCTION("""COMPUTED_VALUE"""),"2002")</f>
        <v>2002</v>
      </c>
      <c r="AB797" s="15" t="str">
        <f>IFERROR(__xludf.DUMMYFUNCTION("ARRAYFORMULA(VLOOKUP(A797,IMPORTRANGE(""https://docs.google.com/spreadsheets/d/1BuTWp7qHGjWhqrnf-OmePP568O4A5Am9ttzvVdP67zw/edit#gid=1931367683"" ,""ENERGY!$A$2:$F$2692""), {2,3,4,5,6},0))"),"Europe")</f>
        <v>Europe</v>
      </c>
      <c r="AC797" s="14" t="str">
        <f>IFERROR(__xludf.DUMMYFUNCTION("""COMPUTED_VALUE"""),"Faeroe Islands-Europe")</f>
        <v>Faeroe Islands-Europe</v>
      </c>
      <c r="AD797" s="14" t="str">
        <f>IFERROR(__xludf.DUMMYFUNCTION("""COMPUTED_VALUE"""),"2002")</f>
        <v>2002</v>
      </c>
      <c r="AE797" s="14"/>
      <c r="AF797" s="14">
        <f>IFERROR(__xludf.DUMMYFUNCTION("""COMPUTED_VALUE"""),711.0)</f>
        <v>711</v>
      </c>
    </row>
    <row r="798">
      <c r="A798" s="12">
        <v>797.0</v>
      </c>
      <c r="B798" s="12" t="s">
        <v>140</v>
      </c>
      <c r="C798" s="5" t="s">
        <v>75</v>
      </c>
      <c r="D798" s="8"/>
      <c r="E798" s="8"/>
      <c r="F798" s="8"/>
      <c r="G798" s="8"/>
      <c r="H798" s="11">
        <v>0.589</v>
      </c>
      <c r="I798" s="11">
        <v>0.787</v>
      </c>
      <c r="J798" s="9" t="s">
        <v>64</v>
      </c>
      <c r="K798" s="14" t="str">
        <f>IFERROR(__xludf.DUMMYFUNCTION("ARRAYFORMULA(VLOOKUP(A798,IMPORTRANGE(""https://docs.google.com/spreadsheets/d/1BuTWp7qHGjWhqrnf-OmePP568O4A5Am9ttzvVdP67zw/edit#gid=1603210130"", ""TOURISM!$A$2:$F$2692""), {2,3,4,5,6},0))"),"Europe")</f>
        <v>Europe</v>
      </c>
      <c r="L798" s="14"/>
      <c r="M798" s="14" t="str">
        <f>IFERROR(__xludf.DUMMYFUNCTION("""COMPUTED_VALUE"""),"Faeroe Islands-Europe")</f>
        <v>Faeroe Islands-Europe</v>
      </c>
      <c r="N798" s="14" t="str">
        <f>IFERROR(__xludf.DUMMYFUNCTION("""COMPUTED_VALUE"""),"2003")</f>
        <v>2003</v>
      </c>
      <c r="O798" s="14"/>
      <c r="P798" s="15" t="str">
        <f>IFERROR(__xludf.DUMMYFUNCTION("ARRAYFORMULA(VLOOKUP(A798,IMPORTRANGE(""https://docs.google.com/spreadsheets/d/1BuTWp7qHGjWhqrnf-OmePP568O4A5Am9ttzvVdP67zw/edit#gid=771602874"" ,""HUMAN RESOURCES!$A$2:$M$2692""), {2,3,4,5,6,7,8,9,10,11,12,13},0))"),"")</f>
        <v/>
      </c>
      <c r="Q798" s="14"/>
      <c r="R798" s="14">
        <f>IFERROR(__xludf.DUMMYFUNCTION("""COMPUTED_VALUE"""),82.0)</f>
        <v>82</v>
      </c>
      <c r="S798" s="14">
        <f>IFERROR(__xludf.DUMMYFUNCTION("""COMPUTED_VALUE"""),77.0)</f>
        <v>77</v>
      </c>
      <c r="T798" s="14"/>
      <c r="U798" s="14"/>
      <c r="V798" s="14"/>
      <c r="W798" s="14">
        <f>IFERROR(__xludf.DUMMYFUNCTION("""COMPUTED_VALUE"""),48308.0)</f>
        <v>48308</v>
      </c>
      <c r="X798" s="14">
        <f>IFERROR(__xludf.DUMMYFUNCTION("""COMPUTED_VALUE"""),0.387)</f>
        <v>0.387</v>
      </c>
      <c r="Y798" s="14" t="str">
        <f>IFERROR(__xludf.DUMMYFUNCTION("""COMPUTED_VALUE"""),"Faeroe Islands-Europe")</f>
        <v>Faeroe Islands-Europe</v>
      </c>
      <c r="Z798" s="14" t="str">
        <f>IFERROR(__xludf.DUMMYFUNCTION("""COMPUTED_VALUE"""),"Europe")</f>
        <v>Europe</v>
      </c>
      <c r="AA798" s="14" t="str">
        <f>IFERROR(__xludf.DUMMYFUNCTION("""COMPUTED_VALUE"""),"2003")</f>
        <v>2003</v>
      </c>
      <c r="AB798" s="15" t="str">
        <f>IFERROR(__xludf.DUMMYFUNCTION("ARRAYFORMULA(VLOOKUP(A798,IMPORTRANGE(""https://docs.google.com/spreadsheets/d/1BuTWp7qHGjWhqrnf-OmePP568O4A5Am9ttzvVdP67zw/edit#gid=1931367683"" ,""ENERGY!$A$2:$F$2692""), {2,3,4,5,6},0))"),"Europe")</f>
        <v>Europe</v>
      </c>
      <c r="AC798" s="14" t="str">
        <f>IFERROR(__xludf.DUMMYFUNCTION("""COMPUTED_VALUE"""),"Faeroe Islands-Europe")</f>
        <v>Faeroe Islands-Europe</v>
      </c>
      <c r="AD798" s="14" t="str">
        <f>IFERROR(__xludf.DUMMYFUNCTION("""COMPUTED_VALUE"""),"2003")</f>
        <v>2003</v>
      </c>
      <c r="AE798" s="14"/>
      <c r="AF798" s="14">
        <f>IFERROR(__xludf.DUMMYFUNCTION("""COMPUTED_VALUE"""),667.0)</f>
        <v>667</v>
      </c>
    </row>
    <row r="799">
      <c r="A799" s="12">
        <v>798.0</v>
      </c>
      <c r="B799" s="12" t="s">
        <v>140</v>
      </c>
      <c r="C799" s="5" t="s">
        <v>75</v>
      </c>
      <c r="D799" s="8"/>
      <c r="E799" s="8"/>
      <c r="F799" s="8"/>
      <c r="G799" s="8"/>
      <c r="H799" s="11">
        <v>0.665</v>
      </c>
      <c r="I799" s="11">
        <v>0.847</v>
      </c>
      <c r="J799" s="9" t="s">
        <v>65</v>
      </c>
      <c r="K799" s="14" t="str">
        <f>IFERROR(__xludf.DUMMYFUNCTION("ARRAYFORMULA(VLOOKUP(A799,IMPORTRANGE(""https://docs.google.com/spreadsheets/d/1BuTWp7qHGjWhqrnf-OmePP568O4A5Am9ttzvVdP67zw/edit#gid=1603210130"", ""TOURISM!$A$2:$F$2692""), {2,3,4,5,6},0))"),"Europe")</f>
        <v>Europe</v>
      </c>
      <c r="L799" s="14"/>
      <c r="M799" s="14" t="str">
        <f>IFERROR(__xludf.DUMMYFUNCTION("""COMPUTED_VALUE"""),"Faeroe Islands-Europe")</f>
        <v>Faeroe Islands-Europe</v>
      </c>
      <c r="N799" s="14" t="str">
        <f>IFERROR(__xludf.DUMMYFUNCTION("""COMPUTED_VALUE"""),"2004")</f>
        <v>2004</v>
      </c>
      <c r="O799" s="14"/>
      <c r="P799" s="15" t="str">
        <f>IFERROR(__xludf.DUMMYFUNCTION("ARRAYFORMULA(VLOOKUP(A799,IMPORTRANGE(""https://docs.google.com/spreadsheets/d/1BuTWp7qHGjWhqrnf-OmePP568O4A5Am9ttzvVdP67zw/edit#gid=771602874"" ,""HUMAN RESOURCES!$A$2:$M$2692""), {2,3,4,5,6,7,8,9,10,11,12,13},0))"),"")</f>
        <v/>
      </c>
      <c r="Q799" s="14"/>
      <c r="R799" s="14">
        <f>IFERROR(__xludf.DUMMYFUNCTION("""COMPUTED_VALUE"""),82.0)</f>
        <v>82</v>
      </c>
      <c r="S799" s="14">
        <f>IFERROR(__xludf.DUMMYFUNCTION("""COMPUTED_VALUE"""),77.0)</f>
        <v>77</v>
      </c>
      <c r="T799" s="14"/>
      <c r="U799" s="14"/>
      <c r="V799" s="14"/>
      <c r="W799" s="14">
        <f>IFERROR(__xludf.DUMMYFUNCTION("""COMPUTED_VALUE"""),48782.0)</f>
        <v>48782</v>
      </c>
      <c r="X799" s="14">
        <f>IFERROR(__xludf.DUMMYFUNCTION("""COMPUTED_VALUE"""),0.392)</f>
        <v>0.392</v>
      </c>
      <c r="Y799" s="14" t="str">
        <f>IFERROR(__xludf.DUMMYFUNCTION("""COMPUTED_VALUE"""),"Faeroe Islands-Europe")</f>
        <v>Faeroe Islands-Europe</v>
      </c>
      <c r="Z799" s="14" t="str">
        <f>IFERROR(__xludf.DUMMYFUNCTION("""COMPUTED_VALUE"""),"Europe")</f>
        <v>Europe</v>
      </c>
      <c r="AA799" s="14" t="str">
        <f>IFERROR(__xludf.DUMMYFUNCTION("""COMPUTED_VALUE"""),"2004")</f>
        <v>2004</v>
      </c>
      <c r="AB799" s="15" t="str">
        <f>IFERROR(__xludf.DUMMYFUNCTION("ARRAYFORMULA(VLOOKUP(A799,IMPORTRANGE(""https://docs.google.com/spreadsheets/d/1BuTWp7qHGjWhqrnf-OmePP568O4A5Am9ttzvVdP67zw/edit#gid=1931367683"" ,""ENERGY!$A$2:$F$2692""), {2,3,4,5,6},0))"),"Europe")</f>
        <v>Europe</v>
      </c>
      <c r="AC799" s="14" t="str">
        <f>IFERROR(__xludf.DUMMYFUNCTION("""COMPUTED_VALUE"""),"Faeroe Islands-Europe")</f>
        <v>Faeroe Islands-Europe</v>
      </c>
      <c r="AD799" s="14" t="str">
        <f>IFERROR(__xludf.DUMMYFUNCTION("""COMPUTED_VALUE"""),"2004")</f>
        <v>2004</v>
      </c>
      <c r="AE799" s="14"/>
      <c r="AF799" s="14">
        <f>IFERROR(__xludf.DUMMYFUNCTION("""COMPUTED_VALUE"""),719.0)</f>
        <v>719</v>
      </c>
    </row>
    <row r="800">
      <c r="A800" s="12">
        <v>799.0</v>
      </c>
      <c r="B800" s="12" t="s">
        <v>140</v>
      </c>
      <c r="C800" s="5" t="s">
        <v>75</v>
      </c>
      <c r="D800" s="8"/>
      <c r="E800" s="8"/>
      <c r="F800" s="8"/>
      <c r="G800" s="8"/>
      <c r="H800" s="11">
        <v>0.679</v>
      </c>
      <c r="I800" s="11">
        <v>0.855</v>
      </c>
      <c r="J800" s="9" t="s">
        <v>66</v>
      </c>
      <c r="K800" s="14" t="str">
        <f>IFERROR(__xludf.DUMMYFUNCTION("ARRAYFORMULA(VLOOKUP(A800,IMPORTRANGE(""https://docs.google.com/spreadsheets/d/1BuTWp7qHGjWhqrnf-OmePP568O4A5Am9ttzvVdP67zw/edit#gid=1603210130"", ""TOURISM!$A$2:$F$2692""), {2,3,4,5,6},0))"),"Europe")</f>
        <v>Europe</v>
      </c>
      <c r="L800" s="14"/>
      <c r="M800" s="14" t="str">
        <f>IFERROR(__xludf.DUMMYFUNCTION("""COMPUTED_VALUE"""),"Faeroe Islands-Europe")</f>
        <v>Faeroe Islands-Europe</v>
      </c>
      <c r="N800" s="14" t="str">
        <f>IFERROR(__xludf.DUMMYFUNCTION("""COMPUTED_VALUE"""),"2005")</f>
        <v>2005</v>
      </c>
      <c r="O800" s="14"/>
      <c r="P800" s="15" t="str">
        <f>IFERROR(__xludf.DUMMYFUNCTION("ARRAYFORMULA(VLOOKUP(A800,IMPORTRANGE(""https://docs.google.com/spreadsheets/d/1BuTWp7qHGjWhqrnf-OmePP568O4A5Am9ttzvVdP67zw/edit#gid=771602874"" ,""HUMAN RESOURCES!$A$2:$M$2692""), {2,3,4,5,6,7,8,9,10,11,12,13},0))"),"")</f>
        <v/>
      </c>
      <c r="Q800" s="14"/>
      <c r="R800" s="14">
        <f>IFERROR(__xludf.DUMMYFUNCTION("""COMPUTED_VALUE"""),82.0)</f>
        <v>82</v>
      </c>
      <c r="S800" s="14">
        <f>IFERROR(__xludf.DUMMYFUNCTION("""COMPUTED_VALUE"""),77.0)</f>
        <v>77</v>
      </c>
      <c r="T800" s="14"/>
      <c r="U800" s="14"/>
      <c r="V800" s="14"/>
      <c r="W800" s="14">
        <f>IFERROR(__xludf.DUMMYFUNCTION("""COMPUTED_VALUE"""),49157.0)</f>
        <v>49157</v>
      </c>
      <c r="X800" s="14">
        <f>IFERROR(__xludf.DUMMYFUNCTION("""COMPUTED_VALUE"""),0.398)</f>
        <v>0.398</v>
      </c>
      <c r="Y800" s="14" t="str">
        <f>IFERROR(__xludf.DUMMYFUNCTION("""COMPUTED_VALUE"""),"Faeroe Islands-Europe")</f>
        <v>Faeroe Islands-Europe</v>
      </c>
      <c r="Z800" s="14" t="str">
        <f>IFERROR(__xludf.DUMMYFUNCTION("""COMPUTED_VALUE"""),"Europe")</f>
        <v>Europe</v>
      </c>
      <c r="AA800" s="14" t="str">
        <f>IFERROR(__xludf.DUMMYFUNCTION("""COMPUTED_VALUE"""),"2005")</f>
        <v>2005</v>
      </c>
      <c r="AB800" s="15" t="str">
        <f>IFERROR(__xludf.DUMMYFUNCTION("ARRAYFORMULA(VLOOKUP(A800,IMPORTRANGE(""https://docs.google.com/spreadsheets/d/1BuTWp7qHGjWhqrnf-OmePP568O4A5Am9ttzvVdP67zw/edit#gid=1931367683"" ,""ENERGY!$A$2:$F$2692""), {2,3,4,5,6},0))"),"Europe")</f>
        <v>Europe</v>
      </c>
      <c r="AC800" s="14" t="str">
        <f>IFERROR(__xludf.DUMMYFUNCTION("""COMPUTED_VALUE"""),"Faeroe Islands-Europe")</f>
        <v>Faeroe Islands-Europe</v>
      </c>
      <c r="AD800" s="14" t="str">
        <f>IFERROR(__xludf.DUMMYFUNCTION("""COMPUTED_VALUE"""),"2006")</f>
        <v>2006</v>
      </c>
      <c r="AE800" s="14"/>
      <c r="AF800" s="14">
        <f>IFERROR(__xludf.DUMMYFUNCTION("""COMPUTED_VALUE"""),774.0)</f>
        <v>774</v>
      </c>
    </row>
    <row r="801">
      <c r="A801" s="12">
        <v>800.0</v>
      </c>
      <c r="B801" s="12" t="s">
        <v>140</v>
      </c>
      <c r="C801" s="5" t="s">
        <v>75</v>
      </c>
      <c r="D801" s="8"/>
      <c r="E801" s="8"/>
      <c r="F801" s="8"/>
      <c r="G801" s="8"/>
      <c r="H801" s="11">
        <v>0.694</v>
      </c>
      <c r="I801" s="11">
        <v>1.011</v>
      </c>
      <c r="J801" s="9" t="s">
        <v>67</v>
      </c>
      <c r="K801" s="14" t="str">
        <f>IFERROR(__xludf.DUMMYFUNCTION("ARRAYFORMULA(VLOOKUP(A801,IMPORTRANGE(""https://docs.google.com/spreadsheets/d/1BuTWp7qHGjWhqrnf-OmePP568O4A5Am9ttzvVdP67zw/edit#gid=1603210130"", ""TOURISM!$A$2:$F$2692""), {2,3,4,5,6},0))"),"Europe")</f>
        <v>Europe</v>
      </c>
      <c r="L801" s="14"/>
      <c r="M801" s="14" t="str">
        <f>IFERROR(__xludf.DUMMYFUNCTION("""COMPUTED_VALUE"""),"Faeroe Islands-Europe")</f>
        <v>Faeroe Islands-Europe</v>
      </c>
      <c r="N801" s="14" t="str">
        <f>IFERROR(__xludf.DUMMYFUNCTION("""COMPUTED_VALUE"""),"2006")</f>
        <v>2006</v>
      </c>
      <c r="O801" s="14"/>
      <c r="P801" s="15" t="str">
        <f>IFERROR(__xludf.DUMMYFUNCTION("ARRAYFORMULA(VLOOKUP(A801,IMPORTRANGE(""https://docs.google.com/spreadsheets/d/1BuTWp7qHGjWhqrnf-OmePP568O4A5Am9ttzvVdP67zw/edit#gid=771602874"" ,""HUMAN RESOURCES!$A$2:$M$2692""), {2,3,4,5,6,7,8,9,10,11,12,13},0))"),"")</f>
        <v/>
      </c>
      <c r="Q801" s="14"/>
      <c r="R801" s="14">
        <f>IFERROR(__xludf.DUMMYFUNCTION("""COMPUTED_VALUE"""),82.0)</f>
        <v>82</v>
      </c>
      <c r="S801" s="14">
        <f>IFERROR(__xludf.DUMMYFUNCTION("""COMPUTED_VALUE"""),77.0)</f>
        <v>77</v>
      </c>
      <c r="T801" s="14"/>
      <c r="U801" s="14"/>
      <c r="V801" s="14"/>
      <c r="W801" s="14">
        <f>IFERROR(__xludf.DUMMYFUNCTION("""COMPUTED_VALUE"""),49414.0)</f>
        <v>49414</v>
      </c>
      <c r="X801" s="14">
        <f>IFERROR(__xludf.DUMMYFUNCTION("""COMPUTED_VALUE"""),0.401)</f>
        <v>0.401</v>
      </c>
      <c r="Y801" s="14" t="str">
        <f>IFERROR(__xludf.DUMMYFUNCTION("""COMPUTED_VALUE"""),"Faeroe Islands-Europe")</f>
        <v>Faeroe Islands-Europe</v>
      </c>
      <c r="Z801" s="14" t="str">
        <f>IFERROR(__xludf.DUMMYFUNCTION("""COMPUTED_VALUE"""),"Europe")</f>
        <v>Europe</v>
      </c>
      <c r="AA801" s="14" t="str">
        <f>IFERROR(__xludf.DUMMYFUNCTION("""COMPUTED_VALUE"""),"2006")</f>
        <v>2006</v>
      </c>
      <c r="AB801" s="15" t="str">
        <f>IFERROR(__xludf.DUMMYFUNCTION("ARRAYFORMULA(VLOOKUP(A801,IMPORTRANGE(""https://docs.google.com/spreadsheets/d/1BuTWp7qHGjWhqrnf-OmePP568O4A5Am9ttzvVdP67zw/edit#gid=1931367683"" ,""ENERGY!$A$2:$F$2692""), {2,3,4,5,6},0))"),"Europe")</f>
        <v>Europe</v>
      </c>
      <c r="AC801" s="14" t="str">
        <f>IFERROR(__xludf.DUMMYFUNCTION("""COMPUTED_VALUE"""),"Faeroe Islands-Europe")</f>
        <v>Faeroe Islands-Europe</v>
      </c>
      <c r="AD801" s="14" t="str">
        <f>IFERROR(__xludf.DUMMYFUNCTION("""COMPUTED_VALUE"""),"2010")</f>
        <v>2010</v>
      </c>
      <c r="AE801" s="14"/>
      <c r="AF801" s="14">
        <f>IFERROR(__xludf.DUMMYFUNCTION("""COMPUTED_VALUE"""),766.0)</f>
        <v>766</v>
      </c>
    </row>
    <row r="802">
      <c r="A802" s="12">
        <v>801.0</v>
      </c>
      <c r="B802" s="12" t="s">
        <v>140</v>
      </c>
      <c r="C802" s="5" t="s">
        <v>75</v>
      </c>
      <c r="D802" s="8"/>
      <c r="E802" s="8"/>
      <c r="F802" s="8"/>
      <c r="G802" s="8"/>
      <c r="H802" s="11">
        <v>0.76</v>
      </c>
      <c r="I802" s="11">
        <v>1.053</v>
      </c>
      <c r="J802" s="9" t="s">
        <v>68</v>
      </c>
      <c r="K802" s="14" t="str">
        <f>IFERROR(__xludf.DUMMYFUNCTION("ARRAYFORMULA(VLOOKUP(A802,IMPORTRANGE(""https://docs.google.com/spreadsheets/d/1BuTWp7qHGjWhqrnf-OmePP568O4A5Am9ttzvVdP67zw/edit#gid=1603210130"", ""TOURISM!$A$2:$F$2692""), {2,3,4,5,6},0))"),"Europe")</f>
        <v>Europe</v>
      </c>
      <c r="L802" s="14"/>
      <c r="M802" s="14" t="str">
        <f>IFERROR(__xludf.DUMMYFUNCTION("""COMPUTED_VALUE"""),"Faeroe Islands-Europe")</f>
        <v>Faeroe Islands-Europe</v>
      </c>
      <c r="N802" s="14" t="str">
        <f>IFERROR(__xludf.DUMMYFUNCTION("""COMPUTED_VALUE"""),"2007")</f>
        <v>2007</v>
      </c>
      <c r="O802" s="14"/>
      <c r="P802" s="15">
        <f>IFERROR(__xludf.DUMMYFUNCTION("ARRAYFORMULA(VLOOKUP(A802,IMPORTRANGE(""https://docs.google.com/spreadsheets/d/1BuTWp7qHGjWhqrnf-OmePP568O4A5Am9ttzvVdP67zw/edit#gid=771602874"" ,""HUMAN RESOURCES!$A$2:$M$2692""), {2,3,4,5,6,7,8,9,10,11,12,13},0))"),0.014)</f>
        <v>0.014</v>
      </c>
      <c r="Q802" s="14"/>
      <c r="R802" s="14">
        <f>IFERROR(__xludf.DUMMYFUNCTION("""COMPUTED_VALUE"""),83.0)</f>
        <v>83</v>
      </c>
      <c r="S802" s="14">
        <f>IFERROR(__xludf.DUMMYFUNCTION("""COMPUTED_VALUE"""),78.0)</f>
        <v>78</v>
      </c>
      <c r="T802" s="14"/>
      <c r="U802" s="14"/>
      <c r="V802" s="14"/>
      <c r="W802" s="14">
        <f>IFERROR(__xludf.DUMMYFUNCTION("""COMPUTED_VALUE"""),49554.0)</f>
        <v>49554</v>
      </c>
      <c r="X802" s="14">
        <f>IFERROR(__xludf.DUMMYFUNCTION("""COMPUTED_VALUE"""),0.403)</f>
        <v>0.403</v>
      </c>
      <c r="Y802" s="14" t="str">
        <f>IFERROR(__xludf.DUMMYFUNCTION("""COMPUTED_VALUE"""),"Faeroe Islands-Europe")</f>
        <v>Faeroe Islands-Europe</v>
      </c>
      <c r="Z802" s="14" t="str">
        <f>IFERROR(__xludf.DUMMYFUNCTION("""COMPUTED_VALUE"""),"Europe")</f>
        <v>Europe</v>
      </c>
      <c r="AA802" s="14" t="str">
        <f>IFERROR(__xludf.DUMMYFUNCTION("""COMPUTED_VALUE"""),"2007")</f>
        <v>2007</v>
      </c>
      <c r="AB802" s="15" t="str">
        <f>IFERROR(__xludf.DUMMYFUNCTION("ARRAYFORMULA(VLOOKUP(A802,IMPORTRANGE(""https://docs.google.com/spreadsheets/d/1BuTWp7qHGjWhqrnf-OmePP568O4A5Am9ttzvVdP67zw/edit#gid=1931367683"" ,""ENERGY!$A$2:$F$2692""), {2,3,4,5,6},0))"),"Europe")</f>
        <v>Europe</v>
      </c>
      <c r="AC802" s="14" t="str">
        <f>IFERROR(__xludf.DUMMYFUNCTION("""COMPUTED_VALUE"""),"Faeroe Islands-Europe")</f>
        <v>Faeroe Islands-Europe</v>
      </c>
      <c r="AD802" s="14" t="str">
        <f>IFERROR(__xludf.DUMMYFUNCTION("""COMPUTED_VALUE"""),"2007")</f>
        <v>2007</v>
      </c>
      <c r="AE802" s="14"/>
      <c r="AF802" s="14">
        <f>IFERROR(__xludf.DUMMYFUNCTION("""COMPUTED_VALUE"""),766.0)</f>
        <v>766</v>
      </c>
    </row>
    <row r="803">
      <c r="A803" s="12">
        <v>802.0</v>
      </c>
      <c r="B803" s="12" t="s">
        <v>140</v>
      </c>
      <c r="C803" s="5" t="s">
        <v>75</v>
      </c>
      <c r="D803" s="8"/>
      <c r="E803" s="8"/>
      <c r="F803" s="8"/>
      <c r="G803" s="8"/>
      <c r="H803" s="11">
        <v>0.756</v>
      </c>
      <c r="I803" s="11">
        <v>1.106</v>
      </c>
      <c r="J803" s="9" t="s">
        <v>69</v>
      </c>
      <c r="K803" s="14" t="str">
        <f>IFERROR(__xludf.DUMMYFUNCTION("ARRAYFORMULA(VLOOKUP(A803,IMPORTRANGE(""https://docs.google.com/spreadsheets/d/1BuTWp7qHGjWhqrnf-OmePP568O4A5Am9ttzvVdP67zw/edit#gid=1603210130"", ""TOURISM!$A$2:$F$2692""), {2,3,4,5,6},0))"),"Europe")</f>
        <v>Europe</v>
      </c>
      <c r="L803" s="14"/>
      <c r="M803" s="14" t="str">
        <f>IFERROR(__xludf.DUMMYFUNCTION("""COMPUTED_VALUE"""),"Faeroe Islands-Europe")</f>
        <v>Faeroe Islands-Europe</v>
      </c>
      <c r="N803" s="14" t="str">
        <f>IFERROR(__xludf.DUMMYFUNCTION("""COMPUTED_VALUE"""),"2008")</f>
        <v>2008</v>
      </c>
      <c r="O803" s="14"/>
      <c r="P803" s="15" t="str">
        <f>IFERROR(__xludf.DUMMYFUNCTION("ARRAYFORMULA(VLOOKUP(A803,IMPORTRANGE(""https://docs.google.com/spreadsheets/d/1BuTWp7qHGjWhqrnf-OmePP568O4A5Am9ttzvVdP67zw/edit#gid=771602874"" ,""HUMAN RESOURCES!$A$2:$M$2692""), {2,3,4,5,6,7,8,9,10,11,12,13},0))"),"")</f>
        <v/>
      </c>
      <c r="Q803" s="14"/>
      <c r="R803" s="14">
        <f>IFERROR(__xludf.DUMMYFUNCTION("""COMPUTED_VALUE"""),83.0)</f>
        <v>83</v>
      </c>
      <c r="S803" s="14">
        <f>IFERROR(__xludf.DUMMYFUNCTION("""COMPUTED_VALUE"""),78.0)</f>
        <v>78</v>
      </c>
      <c r="T803" s="14"/>
      <c r="U803" s="14"/>
      <c r="V803" s="14"/>
      <c r="W803" s="14">
        <f>IFERROR(__xludf.DUMMYFUNCTION("""COMPUTED_VALUE"""),49601.0)</f>
        <v>49601</v>
      </c>
      <c r="X803" s="14">
        <f>IFERROR(__xludf.DUMMYFUNCTION("""COMPUTED_VALUE"""),0.405)</f>
        <v>0.405</v>
      </c>
      <c r="Y803" s="14" t="str">
        <f>IFERROR(__xludf.DUMMYFUNCTION("""COMPUTED_VALUE"""),"Faeroe Islands-Europe")</f>
        <v>Faeroe Islands-Europe</v>
      </c>
      <c r="Z803" s="14" t="str">
        <f>IFERROR(__xludf.DUMMYFUNCTION("""COMPUTED_VALUE"""),"Europe")</f>
        <v>Europe</v>
      </c>
      <c r="AA803" s="14" t="str">
        <f>IFERROR(__xludf.DUMMYFUNCTION("""COMPUTED_VALUE"""),"2008")</f>
        <v>2008</v>
      </c>
      <c r="AB803" s="15" t="str">
        <f>IFERROR(__xludf.DUMMYFUNCTION("ARRAYFORMULA(VLOOKUP(A803,IMPORTRANGE(""https://docs.google.com/spreadsheets/d/1BuTWp7qHGjWhqrnf-OmePP568O4A5Am9ttzvVdP67zw/edit#gid=1931367683"" ,""ENERGY!$A$2:$F$2692""), {2,3,4,5,6},0))"),"Europe")</f>
        <v>Europe</v>
      </c>
      <c r="AC803" s="14" t="str">
        <f>IFERROR(__xludf.DUMMYFUNCTION("""COMPUTED_VALUE"""),"Faeroe Islands-Europe")</f>
        <v>Faeroe Islands-Europe</v>
      </c>
      <c r="AD803" s="14" t="str">
        <f>IFERROR(__xludf.DUMMYFUNCTION("""COMPUTED_VALUE"""),"2005")</f>
        <v>2005</v>
      </c>
      <c r="AE803" s="14"/>
      <c r="AF803" s="14">
        <f>IFERROR(__xludf.DUMMYFUNCTION("""COMPUTED_VALUE"""),796.0)</f>
        <v>796</v>
      </c>
    </row>
    <row r="804">
      <c r="A804" s="12">
        <v>803.0</v>
      </c>
      <c r="B804" s="12" t="s">
        <v>140</v>
      </c>
      <c r="C804" s="5" t="s">
        <v>75</v>
      </c>
      <c r="D804" s="8"/>
      <c r="E804" s="8"/>
      <c r="F804" s="8"/>
      <c r="G804" s="8"/>
      <c r="H804" s="11">
        <v>0.752</v>
      </c>
      <c r="I804" s="11">
        <v>1.149</v>
      </c>
      <c r="J804" s="9" t="s">
        <v>70</v>
      </c>
      <c r="K804" s="14" t="str">
        <f>IFERROR(__xludf.DUMMYFUNCTION("ARRAYFORMULA(VLOOKUP(A804,IMPORTRANGE(""https://docs.google.com/spreadsheets/d/1BuTWp7qHGjWhqrnf-OmePP568O4A5Am9ttzvVdP67zw/edit#gid=1603210130"", ""TOURISM!$A$2:$F$2692""), {2,3,4,5,6},0))"),"Europe")</f>
        <v>Europe</v>
      </c>
      <c r="L804" s="14"/>
      <c r="M804" s="14" t="str">
        <f>IFERROR(__xludf.DUMMYFUNCTION("""COMPUTED_VALUE"""),"Faeroe Islands-Europe")</f>
        <v>Faeroe Islands-Europe</v>
      </c>
      <c r="N804" s="14" t="str">
        <f>IFERROR(__xludf.DUMMYFUNCTION("""COMPUTED_VALUE"""),"2009")</f>
        <v>2009</v>
      </c>
      <c r="O804" s="14"/>
      <c r="P804" s="15" t="str">
        <f>IFERROR(__xludf.DUMMYFUNCTION("ARRAYFORMULA(VLOOKUP(A804,IMPORTRANGE(""https://docs.google.com/spreadsheets/d/1BuTWp7qHGjWhqrnf-OmePP568O4A5Am9ttzvVdP67zw/edit#gid=771602874"" ,""HUMAN RESOURCES!$A$2:$M$2692""), {2,3,4,5,6,7,8,9,10,11,12,13},0))"),"")</f>
        <v/>
      </c>
      <c r="Q804" s="14"/>
      <c r="R804" s="14">
        <f>IFERROR(__xludf.DUMMYFUNCTION("""COMPUTED_VALUE"""),84.0)</f>
        <v>84</v>
      </c>
      <c r="S804" s="14">
        <f>IFERROR(__xludf.DUMMYFUNCTION("""COMPUTED_VALUE"""),78.0)</f>
        <v>78</v>
      </c>
      <c r="T804" s="14"/>
      <c r="U804" s="14"/>
      <c r="V804" s="14"/>
      <c r="W804" s="14">
        <f>IFERROR(__xludf.DUMMYFUNCTION("""COMPUTED_VALUE"""),49600.0)</f>
        <v>49600</v>
      </c>
      <c r="X804" s="14">
        <f>IFERROR(__xludf.DUMMYFUNCTION("""COMPUTED_VALUE"""),0.407)</f>
        <v>0.407</v>
      </c>
      <c r="Y804" s="14" t="str">
        <f>IFERROR(__xludf.DUMMYFUNCTION("""COMPUTED_VALUE"""),"Faeroe Islands-Europe")</f>
        <v>Faeroe Islands-Europe</v>
      </c>
      <c r="Z804" s="14" t="str">
        <f>IFERROR(__xludf.DUMMYFUNCTION("""COMPUTED_VALUE"""),"Europe")</f>
        <v>Europe</v>
      </c>
      <c r="AA804" s="14" t="str">
        <f>IFERROR(__xludf.DUMMYFUNCTION("""COMPUTED_VALUE"""),"2009")</f>
        <v>2009</v>
      </c>
      <c r="AB804" s="15" t="str">
        <f>IFERROR(__xludf.DUMMYFUNCTION("ARRAYFORMULA(VLOOKUP(A804,IMPORTRANGE(""https://docs.google.com/spreadsheets/d/1BuTWp7qHGjWhqrnf-OmePP568O4A5Am9ttzvVdP67zw/edit#gid=1931367683"" ,""ENERGY!$A$2:$F$2692""), {2,3,4,5,6},0))"),"Europe")</f>
        <v>Europe</v>
      </c>
      <c r="AC804" s="14" t="str">
        <f>IFERROR(__xludf.DUMMYFUNCTION("""COMPUTED_VALUE"""),"Faeroe Islands-Europe")</f>
        <v>Faeroe Islands-Europe</v>
      </c>
      <c r="AD804" s="14" t="str">
        <f>IFERROR(__xludf.DUMMYFUNCTION("""COMPUTED_VALUE"""),"2009")</f>
        <v>2009</v>
      </c>
      <c r="AE804" s="14"/>
      <c r="AF804" s="14">
        <f>IFERROR(__xludf.DUMMYFUNCTION("""COMPUTED_VALUE"""),777.0)</f>
        <v>777</v>
      </c>
    </row>
    <row r="805">
      <c r="A805" s="12">
        <v>804.0</v>
      </c>
      <c r="B805" s="12" t="s">
        <v>140</v>
      </c>
      <c r="C805" s="5" t="s">
        <v>75</v>
      </c>
      <c r="D805" s="8"/>
      <c r="E805" s="8"/>
      <c r="F805" s="8"/>
      <c r="G805" s="8"/>
      <c r="H805" s="11">
        <v>0.752</v>
      </c>
      <c r="I805" s="11">
        <v>1.199</v>
      </c>
      <c r="J805" s="9" t="s">
        <v>71</v>
      </c>
      <c r="K805" s="14" t="str">
        <f>IFERROR(__xludf.DUMMYFUNCTION("ARRAYFORMULA(VLOOKUP(A805,IMPORTRANGE(""https://docs.google.com/spreadsheets/d/1BuTWp7qHGjWhqrnf-OmePP568O4A5Am9ttzvVdP67zw/edit#gid=1603210130"", ""TOURISM!$A$2:$F$2692""), {2,3,4,5,6},0))"),"Europe")</f>
        <v>Europe</v>
      </c>
      <c r="L805" s="14"/>
      <c r="M805" s="14" t="str">
        <f>IFERROR(__xludf.DUMMYFUNCTION("""COMPUTED_VALUE"""),"Faeroe Islands-Europe")</f>
        <v>Faeroe Islands-Europe</v>
      </c>
      <c r="N805" s="14" t="str">
        <f>IFERROR(__xludf.DUMMYFUNCTION("""COMPUTED_VALUE"""),"2010")</f>
        <v>2010</v>
      </c>
      <c r="O805" s="14"/>
      <c r="P805" s="15" t="str">
        <f>IFERROR(__xludf.DUMMYFUNCTION("ARRAYFORMULA(VLOOKUP(A805,IMPORTRANGE(""https://docs.google.com/spreadsheets/d/1BuTWp7qHGjWhqrnf-OmePP568O4A5Am9ttzvVdP67zw/edit#gid=771602874"" ,""HUMAN RESOURCES!$A$2:$M$2692""), {2,3,4,5,6,7,8,9,10,11,12,13},0))"),"")</f>
        <v/>
      </c>
      <c r="Q805" s="14"/>
      <c r="R805" s="14">
        <f>IFERROR(__xludf.DUMMYFUNCTION("""COMPUTED_VALUE"""),84.0)</f>
        <v>84</v>
      </c>
      <c r="S805" s="14">
        <f>IFERROR(__xludf.DUMMYFUNCTION("""COMPUTED_VALUE"""),79.0)</f>
        <v>79</v>
      </c>
      <c r="T805" s="14"/>
      <c r="U805" s="14"/>
      <c r="V805" s="14"/>
      <c r="W805" s="14">
        <f>IFERROR(__xludf.DUMMYFUNCTION("""COMPUTED_VALUE"""),49581.0)</f>
        <v>49581</v>
      </c>
      <c r="X805" s="14">
        <f>IFERROR(__xludf.DUMMYFUNCTION("""COMPUTED_VALUE"""),0.409)</f>
        <v>0.409</v>
      </c>
      <c r="Y805" s="14" t="str">
        <f>IFERROR(__xludf.DUMMYFUNCTION("""COMPUTED_VALUE"""),"Faeroe Islands-Europe")</f>
        <v>Faeroe Islands-Europe</v>
      </c>
      <c r="Z805" s="14" t="str">
        <f>IFERROR(__xludf.DUMMYFUNCTION("""COMPUTED_VALUE"""),"Europe")</f>
        <v>Europe</v>
      </c>
      <c r="AA805" s="14" t="str">
        <f>IFERROR(__xludf.DUMMYFUNCTION("""COMPUTED_VALUE"""),"2010")</f>
        <v>2010</v>
      </c>
      <c r="AB805" s="15" t="str">
        <f>IFERROR(__xludf.DUMMYFUNCTION("ARRAYFORMULA(VLOOKUP(A805,IMPORTRANGE(""https://docs.google.com/spreadsheets/d/1BuTWp7qHGjWhqrnf-OmePP568O4A5Am9ttzvVdP67zw/edit#gid=1931367683"" ,""ENERGY!$A$2:$F$2692""), {2,3,4,5,6},0))"),"Europe")</f>
        <v>Europe</v>
      </c>
      <c r="AC805" s="14" t="str">
        <f>IFERROR(__xludf.DUMMYFUNCTION("""COMPUTED_VALUE"""),"Faeroe Islands-Europe")</f>
        <v>Faeroe Islands-Europe</v>
      </c>
      <c r="AD805" s="14" t="str">
        <f>IFERROR(__xludf.DUMMYFUNCTION("""COMPUTED_VALUE"""),"2008")</f>
        <v>2008</v>
      </c>
      <c r="AE805" s="14"/>
      <c r="AF805" s="14">
        <f>IFERROR(__xludf.DUMMYFUNCTION("""COMPUTED_VALUE"""),763.0)</f>
        <v>763</v>
      </c>
    </row>
    <row r="806">
      <c r="A806" s="12">
        <v>805.0</v>
      </c>
      <c r="B806" s="12" t="s">
        <v>140</v>
      </c>
      <c r="C806" s="5" t="s">
        <v>75</v>
      </c>
      <c r="D806" s="8"/>
      <c r="E806" s="8"/>
      <c r="F806" s="8"/>
      <c r="G806" s="8"/>
      <c r="H806" s="11">
        <v>0.807</v>
      </c>
      <c r="I806" s="11">
        <v>1.18</v>
      </c>
      <c r="J806" s="9" t="s">
        <v>72</v>
      </c>
      <c r="K806" s="14" t="str">
        <f>IFERROR(__xludf.DUMMYFUNCTION("ARRAYFORMULA(VLOOKUP(A806,IMPORTRANGE(""https://docs.google.com/spreadsheets/d/1BuTWp7qHGjWhqrnf-OmePP568O4A5Am9ttzvVdP67zw/edit#gid=1603210130"", ""TOURISM!$A$2:$F$2692""), {2,3,4,5,6},0))"),"Europe")</f>
        <v>Europe</v>
      </c>
      <c r="L806" s="14"/>
      <c r="M806" s="14" t="str">
        <f>IFERROR(__xludf.DUMMYFUNCTION("""COMPUTED_VALUE"""),"Faeroe Islands-Europe")</f>
        <v>Faeroe Islands-Europe</v>
      </c>
      <c r="N806" s="14" t="str">
        <f>IFERROR(__xludf.DUMMYFUNCTION("""COMPUTED_VALUE"""),"2011")</f>
        <v>2011</v>
      </c>
      <c r="O806" s="14"/>
      <c r="P806" s="15">
        <f>IFERROR(__xludf.DUMMYFUNCTION("ARRAYFORMULA(VLOOKUP(A806,IMPORTRANGE(""https://docs.google.com/spreadsheets/d/1BuTWp7qHGjWhqrnf-OmePP568O4A5Am9ttzvVdP67zw/edit#gid=771602874"" ,""HUMAN RESOURCES!$A$2:$M$2692""), {2,3,4,5,6,7,8,9,10,11,12,13},0))"),0.012)</f>
        <v>0.012</v>
      </c>
      <c r="Q806" s="14"/>
      <c r="R806" s="14">
        <f>IFERROR(__xludf.DUMMYFUNCTION("""COMPUTED_VALUE"""),84.0)</f>
        <v>84</v>
      </c>
      <c r="S806" s="14">
        <f>IFERROR(__xludf.DUMMYFUNCTION("""COMPUTED_VALUE"""),79.0)</f>
        <v>79</v>
      </c>
      <c r="T806" s="14"/>
      <c r="U806" s="14"/>
      <c r="V806" s="14"/>
      <c r="W806" s="14">
        <f>IFERROR(__xludf.DUMMYFUNCTION("""COMPUTED_VALUE"""),49551.0)</f>
        <v>49551</v>
      </c>
      <c r="X806" s="14">
        <f>IFERROR(__xludf.DUMMYFUNCTION("""COMPUTED_VALUE"""),0.411)</f>
        <v>0.411</v>
      </c>
      <c r="Y806" s="14" t="str">
        <f>IFERROR(__xludf.DUMMYFUNCTION("""COMPUTED_VALUE"""),"Faeroe Islands-Europe")</f>
        <v>Faeroe Islands-Europe</v>
      </c>
      <c r="Z806" s="14" t="str">
        <f>IFERROR(__xludf.DUMMYFUNCTION("""COMPUTED_VALUE"""),"Europe")</f>
        <v>Europe</v>
      </c>
      <c r="AA806" s="14" t="str">
        <f>IFERROR(__xludf.DUMMYFUNCTION("""COMPUTED_VALUE"""),"2011")</f>
        <v>2011</v>
      </c>
      <c r="AB806" s="15" t="str">
        <f>IFERROR(__xludf.DUMMYFUNCTION("ARRAYFORMULA(VLOOKUP(A806,IMPORTRANGE(""https://docs.google.com/spreadsheets/d/1BuTWp7qHGjWhqrnf-OmePP568O4A5Am9ttzvVdP67zw/edit#gid=1931367683"" ,""ENERGY!$A$2:$F$2692""), {2,3,4,5,6},0))"),"Europe")</f>
        <v>Europe</v>
      </c>
      <c r="AC806" s="14" t="str">
        <f>IFERROR(__xludf.DUMMYFUNCTION("""COMPUTED_VALUE"""),"Faeroe Islands-Europe")</f>
        <v>Faeroe Islands-Europe</v>
      </c>
      <c r="AD806" s="14" t="str">
        <f>IFERROR(__xludf.DUMMYFUNCTION("""COMPUTED_VALUE"""),"2004")</f>
        <v>2004</v>
      </c>
      <c r="AE806" s="14"/>
      <c r="AF806" s="14">
        <f>IFERROR(__xludf.DUMMYFUNCTION("""COMPUTED_VALUE"""),792.0)</f>
        <v>792</v>
      </c>
    </row>
    <row r="807">
      <c r="A807" s="12">
        <v>806.0</v>
      </c>
      <c r="B807" s="12" t="s">
        <v>140</v>
      </c>
      <c r="C807" s="5" t="s">
        <v>75</v>
      </c>
      <c r="D807" s="8"/>
      <c r="E807" s="8"/>
      <c r="F807" s="8"/>
      <c r="G807" s="8"/>
      <c r="H807" s="11">
        <v>0.853</v>
      </c>
      <c r="I807" s="11">
        <v>1.186</v>
      </c>
      <c r="J807" s="9" t="s">
        <v>73</v>
      </c>
      <c r="K807" s="14" t="str">
        <f>IFERROR(__xludf.DUMMYFUNCTION("ARRAYFORMULA(VLOOKUP(A807,IMPORTRANGE(""https://docs.google.com/spreadsheets/d/1BuTWp7qHGjWhqrnf-OmePP568O4A5Am9ttzvVdP67zw/edit#gid=1603210130"", ""TOURISM!$A$2:$F$2692""), {2,3,4,5,6},0))"),"Europe")</f>
        <v>Europe</v>
      </c>
      <c r="L807" s="14"/>
      <c r="M807" s="14" t="str">
        <f>IFERROR(__xludf.DUMMYFUNCTION("""COMPUTED_VALUE"""),"Faeroe Islands-Europe")</f>
        <v>Faeroe Islands-Europe</v>
      </c>
      <c r="N807" s="14" t="str">
        <f>IFERROR(__xludf.DUMMYFUNCTION("""COMPUTED_VALUE"""),"2012")</f>
        <v>2012</v>
      </c>
      <c r="O807" s="14"/>
      <c r="P807" s="15">
        <f>IFERROR(__xludf.DUMMYFUNCTION("ARRAYFORMULA(VLOOKUP(A807,IMPORTRANGE(""https://docs.google.com/spreadsheets/d/1BuTWp7qHGjWhqrnf-OmePP568O4A5Am9ttzvVdP67zw/edit#gid=771602874"" ,""HUMAN RESOURCES!$A$2:$M$2692""), {2,3,4,5,6,7,8,9,10,11,12,13},0))"),0.013)</f>
        <v>0.013</v>
      </c>
      <c r="Q807" s="14"/>
      <c r="R807" s="14">
        <f>IFERROR(__xludf.DUMMYFUNCTION("""COMPUTED_VALUE"""),85.0)</f>
        <v>85</v>
      </c>
      <c r="S807" s="14">
        <f>IFERROR(__xludf.DUMMYFUNCTION("""COMPUTED_VALUE"""),80.0)</f>
        <v>80</v>
      </c>
      <c r="T807" s="14"/>
      <c r="U807" s="14"/>
      <c r="V807" s="14"/>
      <c r="W807" s="14">
        <f>IFERROR(__xludf.DUMMYFUNCTION("""COMPUTED_VALUE"""),49506.0)</f>
        <v>49506</v>
      </c>
      <c r="X807" s="14">
        <f>IFERROR(__xludf.DUMMYFUNCTION("""COMPUTED_VALUE"""),0.413)</f>
        <v>0.413</v>
      </c>
      <c r="Y807" s="14" t="str">
        <f>IFERROR(__xludf.DUMMYFUNCTION("""COMPUTED_VALUE"""),"Faeroe Islands-Europe")</f>
        <v>Faeroe Islands-Europe</v>
      </c>
      <c r="Z807" s="14" t="str">
        <f>IFERROR(__xludf.DUMMYFUNCTION("""COMPUTED_VALUE"""),"Europe")</f>
        <v>Europe</v>
      </c>
      <c r="AA807" s="14" t="str">
        <f>IFERROR(__xludf.DUMMYFUNCTION("""COMPUTED_VALUE"""),"2012")</f>
        <v>2012</v>
      </c>
      <c r="AB807" s="15" t="str">
        <f>IFERROR(__xludf.DUMMYFUNCTION("ARRAYFORMULA(VLOOKUP(A807,IMPORTRANGE(""https://docs.google.com/spreadsheets/d/1BuTWp7qHGjWhqrnf-OmePP568O4A5Am9ttzvVdP67zw/edit#gid=1931367683"" ,""ENERGY!$A$2:$F$2692""), {2,3,4,5,6},0))"),"Europe")</f>
        <v>Europe</v>
      </c>
      <c r="AC807" s="14" t="str">
        <f>IFERROR(__xludf.DUMMYFUNCTION("""COMPUTED_VALUE"""),"Faeroe Islands-Europe")</f>
        <v>Faeroe Islands-Europe</v>
      </c>
      <c r="AD807" s="14" t="str">
        <f>IFERROR(__xludf.DUMMYFUNCTION("""COMPUTED_VALUE"""),"2009")</f>
        <v>2009</v>
      </c>
      <c r="AE807" s="14"/>
      <c r="AF807" s="14">
        <f>IFERROR(__xludf.DUMMYFUNCTION("""COMPUTED_VALUE"""),711.0)</f>
        <v>711</v>
      </c>
    </row>
    <row r="808">
      <c r="A808" s="12">
        <v>807.0</v>
      </c>
      <c r="B808" s="12" t="s">
        <v>141</v>
      </c>
      <c r="C808" s="5" t="s">
        <v>80</v>
      </c>
      <c r="D808" s="8"/>
      <c r="E808" s="8"/>
      <c r="F808" s="8"/>
      <c r="G808" s="8"/>
      <c r="H808" s="11">
        <v>0.015</v>
      </c>
      <c r="I808" s="11">
        <v>0.068</v>
      </c>
      <c r="J808" s="9" t="s">
        <v>60</v>
      </c>
      <c r="K808" s="14" t="str">
        <f>IFERROR(__xludf.DUMMYFUNCTION("ARRAYFORMULA(VLOOKUP(A808,IMPORTRANGE(""https://docs.google.com/spreadsheets/d/1BuTWp7qHGjWhqrnf-OmePP568O4A5Am9ttzvVdP67zw/edit#gid=1603210130"", ""TOURISM!$A$2:$F$2692""), {2,3,4,5,6},0))"),"Oceania")</f>
        <v>Oceania</v>
      </c>
      <c r="L808" s="14">
        <f>IFERROR(__xludf.DUMMYFUNCTION("""COMPUTED_VALUE"""),2.91E8)</f>
        <v>291000000</v>
      </c>
      <c r="M808" s="14" t="str">
        <f>IFERROR(__xludf.DUMMYFUNCTION("""COMPUTED_VALUE"""),"Fiji-Oceania")</f>
        <v>Fiji-Oceania</v>
      </c>
      <c r="N808" s="14" t="str">
        <f>IFERROR(__xludf.DUMMYFUNCTION("""COMPUTED_VALUE"""),"2000")</f>
        <v>2000</v>
      </c>
      <c r="O808" s="14">
        <f>IFERROR(__xludf.DUMMYFUNCTION("""COMPUTED_VALUE"""),9.6E7)</f>
        <v>96000000</v>
      </c>
      <c r="P808" s="15">
        <f>IFERROR(__xludf.DUMMYFUNCTION("ARRAYFORMULA(VLOOKUP(A808,IMPORTRANGE(""https://docs.google.com/spreadsheets/d/1BuTWp7qHGjWhqrnf-OmePP568O4A5Am9ttzvVdP67zw/edit#gid=771602874"" ,""HUMAN RESOURCES!$A$2:$M$2692""), {2,3,4,5,6,7,8,9,10,11,12,13},0))"),0.025)</f>
        <v>0.025</v>
      </c>
      <c r="Q808" s="14">
        <f>IFERROR(__xludf.DUMMYFUNCTION("""COMPUTED_VALUE"""),0.021)</f>
        <v>0.021</v>
      </c>
      <c r="R808" s="14">
        <f>IFERROR(__xludf.DUMMYFUNCTION("""COMPUTED_VALUE"""),70.0)</f>
        <v>70</v>
      </c>
      <c r="S808" s="14">
        <f>IFERROR(__xludf.DUMMYFUNCTION("""COMPUTED_VALUE"""),65.0)</f>
        <v>65</v>
      </c>
      <c r="T808" s="14">
        <f>IFERROR(__xludf.DUMMYFUNCTION("""COMPUTED_VALUE"""),0.351)</f>
        <v>0.351</v>
      </c>
      <c r="U808" s="14">
        <f>IFERROR(__xludf.DUMMYFUNCTION("""COMPUTED_VALUE"""),0.615)</f>
        <v>0.615</v>
      </c>
      <c r="V808" s="14">
        <f>IFERROR(__xludf.DUMMYFUNCTION("""COMPUTED_VALUE"""),0.034)</f>
        <v>0.034</v>
      </c>
      <c r="W808" s="14">
        <f>IFERROR(__xludf.DUMMYFUNCTION("""COMPUTED_VALUE"""),811647.0)</f>
        <v>811647</v>
      </c>
      <c r="X808" s="14">
        <f>IFERROR(__xludf.DUMMYFUNCTION("""COMPUTED_VALUE"""),0.479)</f>
        <v>0.479</v>
      </c>
      <c r="Y808" s="14" t="str">
        <f>IFERROR(__xludf.DUMMYFUNCTION("""COMPUTED_VALUE"""),"Fiji-Oceania")</f>
        <v>Fiji-Oceania</v>
      </c>
      <c r="Z808" s="14" t="str">
        <f>IFERROR(__xludf.DUMMYFUNCTION("""COMPUTED_VALUE"""),"Oceania")</f>
        <v>Oceania</v>
      </c>
      <c r="AA808" s="14" t="str">
        <f>IFERROR(__xludf.DUMMYFUNCTION("""COMPUTED_VALUE"""),"2000")</f>
        <v>2000</v>
      </c>
      <c r="AB808" s="15" t="str">
        <f>IFERROR(__xludf.DUMMYFUNCTION("ARRAYFORMULA(VLOOKUP(A808,IMPORTRANGE(""https://docs.google.com/spreadsheets/d/1BuTWp7qHGjWhqrnf-OmePP568O4A5Am9ttzvVdP67zw/edit#gid=1931367683"" ,""ENERGY!$A$2:$F$2692""), {2,3,4,5,6},0))"),"Oceania")</f>
        <v>Oceania</v>
      </c>
      <c r="AC808" s="14" t="str">
        <f>IFERROR(__xludf.DUMMYFUNCTION("""COMPUTED_VALUE"""),"Fiji-Oceania")</f>
        <v>Fiji-Oceania</v>
      </c>
      <c r="AD808" s="14" t="str">
        <f>IFERROR(__xludf.DUMMYFUNCTION("""COMPUTED_VALUE"""),"2000")</f>
        <v>2000</v>
      </c>
      <c r="AE808" s="14"/>
      <c r="AF808" s="14"/>
    </row>
    <row r="809">
      <c r="A809" s="12">
        <v>808.0</v>
      </c>
      <c r="B809" s="12" t="s">
        <v>141</v>
      </c>
      <c r="C809" s="5" t="s">
        <v>80</v>
      </c>
      <c r="D809" s="8"/>
      <c r="E809" s="8"/>
      <c r="F809" s="8"/>
      <c r="G809" s="8"/>
      <c r="H809" s="11">
        <v>0.019</v>
      </c>
      <c r="I809" s="11">
        <v>0.099</v>
      </c>
      <c r="J809" s="9" t="s">
        <v>62</v>
      </c>
      <c r="K809" s="14" t="str">
        <f>IFERROR(__xludf.DUMMYFUNCTION("ARRAYFORMULA(VLOOKUP(A809,IMPORTRANGE(""https://docs.google.com/spreadsheets/d/1BuTWp7qHGjWhqrnf-OmePP568O4A5Am9ttzvVdP67zw/edit#gid=1603210130"", ""TOURISM!$A$2:$F$2692""), {2,3,4,5,6},0))"),"Oceania")</f>
        <v>Oceania</v>
      </c>
      <c r="L809" s="14">
        <f>IFERROR(__xludf.DUMMYFUNCTION("""COMPUTED_VALUE"""),3.16E8)</f>
        <v>316000000</v>
      </c>
      <c r="M809" s="14" t="str">
        <f>IFERROR(__xludf.DUMMYFUNCTION("""COMPUTED_VALUE"""),"Fiji-Oceania")</f>
        <v>Fiji-Oceania</v>
      </c>
      <c r="N809" s="14" t="str">
        <f>IFERROR(__xludf.DUMMYFUNCTION("""COMPUTED_VALUE"""),"2001")</f>
        <v>2001</v>
      </c>
      <c r="O809" s="14">
        <f>IFERROR(__xludf.DUMMYFUNCTION("""COMPUTED_VALUE"""),8.4E7)</f>
        <v>84000000</v>
      </c>
      <c r="P809" s="15">
        <f>IFERROR(__xludf.DUMMYFUNCTION("ARRAYFORMULA(VLOOKUP(A809,IMPORTRANGE(""https://docs.google.com/spreadsheets/d/1BuTWp7qHGjWhqrnf-OmePP568O4A5Am9ttzvVdP67zw/edit#gid=771602874"" ,""HUMAN RESOURCES!$A$2:$M$2692""), {2,3,4,5,6,7,8,9,10,11,12,13},0))"),0.024)</f>
        <v>0.024</v>
      </c>
      <c r="Q809" s="14">
        <f>IFERROR(__xludf.DUMMYFUNCTION("""COMPUTED_VALUE"""),0.02)</f>
        <v>0.02</v>
      </c>
      <c r="R809" s="14">
        <f>IFERROR(__xludf.DUMMYFUNCTION("""COMPUTED_VALUE"""),70.0)</f>
        <v>70</v>
      </c>
      <c r="S809" s="14">
        <f>IFERROR(__xludf.DUMMYFUNCTION("""COMPUTED_VALUE"""),65.0)</f>
        <v>65</v>
      </c>
      <c r="T809" s="14">
        <f>IFERROR(__xludf.DUMMYFUNCTION("""COMPUTED_VALUE"""),0.343)</f>
        <v>0.343</v>
      </c>
      <c r="U809" s="14">
        <f>IFERROR(__xludf.DUMMYFUNCTION("""COMPUTED_VALUE"""),0.621)</f>
        <v>0.621</v>
      </c>
      <c r="V809" s="14">
        <f>IFERROR(__xludf.DUMMYFUNCTION("""COMPUTED_VALUE"""),0.036)</f>
        <v>0.036</v>
      </c>
      <c r="W809" s="14">
        <f>IFERROR(__xludf.DUMMYFUNCTION("""COMPUTED_VALUE"""),814700.0)</f>
        <v>814700</v>
      </c>
      <c r="X809" s="14">
        <f>IFERROR(__xludf.DUMMYFUNCTION("""COMPUTED_VALUE"""),0.483)</f>
        <v>0.483</v>
      </c>
      <c r="Y809" s="14" t="str">
        <f>IFERROR(__xludf.DUMMYFUNCTION("""COMPUTED_VALUE"""),"Fiji-Oceania")</f>
        <v>Fiji-Oceania</v>
      </c>
      <c r="Z809" s="14" t="str">
        <f>IFERROR(__xludf.DUMMYFUNCTION("""COMPUTED_VALUE"""),"Oceania")</f>
        <v>Oceania</v>
      </c>
      <c r="AA809" s="14" t="str">
        <f>IFERROR(__xludf.DUMMYFUNCTION("""COMPUTED_VALUE"""),"2001")</f>
        <v>2001</v>
      </c>
      <c r="AB809" s="15" t="str">
        <f>IFERROR(__xludf.DUMMYFUNCTION("ARRAYFORMULA(VLOOKUP(A809,IMPORTRANGE(""https://docs.google.com/spreadsheets/d/1BuTWp7qHGjWhqrnf-OmePP568O4A5Am9ttzvVdP67zw/edit#gid=1931367683"" ,""ENERGY!$A$2:$F$2692""), {2,3,4,5,6},0))"),"Oceania")</f>
        <v>Oceania</v>
      </c>
      <c r="AC809" s="14" t="str">
        <f>IFERROR(__xludf.DUMMYFUNCTION("""COMPUTED_VALUE"""),"Fiji-Oceania")</f>
        <v>Fiji-Oceania</v>
      </c>
      <c r="AD809" s="14" t="str">
        <f>IFERROR(__xludf.DUMMYFUNCTION("""COMPUTED_VALUE"""),"2001")</f>
        <v>2001</v>
      </c>
      <c r="AE809" s="14"/>
      <c r="AF809" s="14"/>
    </row>
    <row r="810">
      <c r="A810" s="12">
        <v>809.0</v>
      </c>
      <c r="B810" s="12" t="s">
        <v>141</v>
      </c>
      <c r="C810" s="5" t="s">
        <v>80</v>
      </c>
      <c r="D810" s="8"/>
      <c r="E810" s="8"/>
      <c r="F810" s="8"/>
      <c r="G810" s="8"/>
      <c r="H810" s="11">
        <v>0.062</v>
      </c>
      <c r="I810" s="11">
        <v>0.11</v>
      </c>
      <c r="J810" s="9" t="s">
        <v>63</v>
      </c>
      <c r="K810" s="14" t="str">
        <f>IFERROR(__xludf.DUMMYFUNCTION("ARRAYFORMULA(VLOOKUP(A810,IMPORTRANGE(""https://docs.google.com/spreadsheets/d/1BuTWp7qHGjWhqrnf-OmePP568O4A5Am9ttzvVdP67zw/edit#gid=1603210130"", ""TOURISM!$A$2:$F$2692""), {2,3,4,5,6},0))"),"Oceania")</f>
        <v>Oceania</v>
      </c>
      <c r="L810" s="14">
        <f>IFERROR(__xludf.DUMMYFUNCTION("""COMPUTED_VALUE"""),3.84E8)</f>
        <v>384000000</v>
      </c>
      <c r="M810" s="14" t="str">
        <f>IFERROR(__xludf.DUMMYFUNCTION("""COMPUTED_VALUE"""),"Fiji-Oceania")</f>
        <v>Fiji-Oceania</v>
      </c>
      <c r="N810" s="14" t="str">
        <f>IFERROR(__xludf.DUMMYFUNCTION("""COMPUTED_VALUE"""),"2002")</f>
        <v>2002</v>
      </c>
      <c r="O810" s="14">
        <f>IFERROR(__xludf.DUMMYFUNCTION("""COMPUTED_VALUE"""),7.9E7)</f>
        <v>79000000</v>
      </c>
      <c r="P810" s="15">
        <f>IFERROR(__xludf.DUMMYFUNCTION("ARRAYFORMULA(VLOOKUP(A810,IMPORTRANGE(""https://docs.google.com/spreadsheets/d/1BuTWp7qHGjWhqrnf-OmePP568O4A5Am9ttzvVdP67zw/edit#gid=771602874"" ,""HUMAN RESOURCES!$A$2:$M$2692""), {2,3,4,5,6,7,8,9,10,11,12,13},0))"),0.024)</f>
        <v>0.024</v>
      </c>
      <c r="Q810" s="14">
        <f>IFERROR(__xludf.DUMMYFUNCTION("""COMPUTED_VALUE"""),0.02)</f>
        <v>0.02</v>
      </c>
      <c r="R810" s="14">
        <f>IFERROR(__xludf.DUMMYFUNCTION("""COMPUTED_VALUE"""),71.0)</f>
        <v>71</v>
      </c>
      <c r="S810" s="14">
        <f>IFERROR(__xludf.DUMMYFUNCTION("""COMPUTED_VALUE"""),65.0)</f>
        <v>65</v>
      </c>
      <c r="T810" s="14">
        <f>IFERROR(__xludf.DUMMYFUNCTION("""COMPUTED_VALUE"""),0.334)</f>
        <v>0.334</v>
      </c>
      <c r="U810" s="14">
        <f>IFERROR(__xludf.DUMMYFUNCTION("""COMPUTED_VALUE"""),0.629)</f>
        <v>0.629</v>
      </c>
      <c r="V810" s="14">
        <f>IFERROR(__xludf.DUMMYFUNCTION("""COMPUTED_VALUE"""),0.037)</f>
        <v>0.037</v>
      </c>
      <c r="W810" s="14">
        <f>IFERROR(__xludf.DUMMYFUNCTION("""COMPUTED_VALUE"""),816237.0)</f>
        <v>816237</v>
      </c>
      <c r="X810" s="14">
        <f>IFERROR(__xludf.DUMMYFUNCTION("""COMPUTED_VALUE"""),0.487)</f>
        <v>0.487</v>
      </c>
      <c r="Y810" s="14" t="str">
        <f>IFERROR(__xludf.DUMMYFUNCTION("""COMPUTED_VALUE"""),"Fiji-Oceania")</f>
        <v>Fiji-Oceania</v>
      </c>
      <c r="Z810" s="14" t="str">
        <f>IFERROR(__xludf.DUMMYFUNCTION("""COMPUTED_VALUE"""),"Oceania")</f>
        <v>Oceania</v>
      </c>
      <c r="AA810" s="14" t="str">
        <f>IFERROR(__xludf.DUMMYFUNCTION("""COMPUTED_VALUE"""),"2002")</f>
        <v>2002</v>
      </c>
      <c r="AB810" s="15" t="str">
        <f>IFERROR(__xludf.DUMMYFUNCTION("ARRAYFORMULA(VLOOKUP(A810,IMPORTRANGE(""https://docs.google.com/spreadsheets/d/1BuTWp7qHGjWhqrnf-OmePP568O4A5Am9ttzvVdP67zw/edit#gid=1931367683"" ,""ENERGY!$A$2:$F$2692""), {2,3,4,5,6},0))"),"Oceania")</f>
        <v>Oceania</v>
      </c>
      <c r="AC810" s="14" t="str">
        <f>IFERROR(__xludf.DUMMYFUNCTION("""COMPUTED_VALUE"""),"Fiji-Oceania")</f>
        <v>Fiji-Oceania</v>
      </c>
      <c r="AD810" s="14" t="str">
        <f>IFERROR(__xludf.DUMMYFUNCTION("""COMPUTED_VALUE"""),"2002")</f>
        <v>2002</v>
      </c>
      <c r="AE810" s="14"/>
      <c r="AF810" s="14">
        <f>IFERROR(__xludf.DUMMYFUNCTION("""COMPUTED_VALUE"""),1291.0)</f>
        <v>1291</v>
      </c>
    </row>
    <row r="811">
      <c r="A811" s="12">
        <v>810.0</v>
      </c>
      <c r="B811" s="12" t="s">
        <v>141</v>
      </c>
      <c r="C811" s="5" t="s">
        <v>80</v>
      </c>
      <c r="D811" s="8"/>
      <c r="E811" s="11">
        <v>45.0</v>
      </c>
      <c r="F811" s="8"/>
      <c r="G811" s="8"/>
      <c r="H811" s="11">
        <v>0.067</v>
      </c>
      <c r="I811" s="11">
        <v>0.134</v>
      </c>
      <c r="J811" s="9" t="s">
        <v>64</v>
      </c>
      <c r="K811" s="14" t="str">
        <f>IFERROR(__xludf.DUMMYFUNCTION("ARRAYFORMULA(VLOOKUP(A811,IMPORTRANGE(""https://docs.google.com/spreadsheets/d/1BuTWp7qHGjWhqrnf-OmePP568O4A5Am9ttzvVdP67zw/edit#gid=1603210130"", ""TOURISM!$A$2:$F$2692""), {2,3,4,5,6},0))"),"Oceania")</f>
        <v>Oceania</v>
      </c>
      <c r="L811" s="14">
        <f>IFERROR(__xludf.DUMMYFUNCTION("""COMPUTED_VALUE"""),4.96E8)</f>
        <v>496000000</v>
      </c>
      <c r="M811" s="14" t="str">
        <f>IFERROR(__xludf.DUMMYFUNCTION("""COMPUTED_VALUE"""),"Fiji-Oceania")</f>
        <v>Fiji-Oceania</v>
      </c>
      <c r="N811" s="14" t="str">
        <f>IFERROR(__xludf.DUMMYFUNCTION("""COMPUTED_VALUE"""),"2003")</f>
        <v>2003</v>
      </c>
      <c r="O811" s="14">
        <f>IFERROR(__xludf.DUMMYFUNCTION("""COMPUTED_VALUE"""),8.8E7)</f>
        <v>88000000</v>
      </c>
      <c r="P811" s="15">
        <f>IFERROR(__xludf.DUMMYFUNCTION("ARRAYFORMULA(VLOOKUP(A811,IMPORTRANGE(""https://docs.google.com/spreadsheets/d/1BuTWp7qHGjWhqrnf-OmePP568O4A5Am9ttzvVdP67zw/edit#gid=771602874"" ,""HUMAN RESOURCES!$A$2:$M$2692""), {2,3,4,5,6,7,8,9,10,11,12,13},0))"),0.024)</f>
        <v>0.024</v>
      </c>
      <c r="Q811" s="14">
        <f>IFERROR(__xludf.DUMMYFUNCTION("""COMPUTED_VALUE"""),0.02)</f>
        <v>0.02</v>
      </c>
      <c r="R811" s="14">
        <f>IFERROR(__xludf.DUMMYFUNCTION("""COMPUTED_VALUE"""),71.0)</f>
        <v>71</v>
      </c>
      <c r="S811" s="14">
        <f>IFERROR(__xludf.DUMMYFUNCTION("""COMPUTED_VALUE"""),66.0)</f>
        <v>66</v>
      </c>
      <c r="T811" s="14">
        <f>IFERROR(__xludf.DUMMYFUNCTION("""COMPUTED_VALUE"""),0.324)</f>
        <v>0.324</v>
      </c>
      <c r="U811" s="14">
        <f>IFERROR(__xludf.DUMMYFUNCTION("""COMPUTED_VALUE"""),0.638)</f>
        <v>0.638</v>
      </c>
      <c r="V811" s="14">
        <f>IFERROR(__xludf.DUMMYFUNCTION("""COMPUTED_VALUE"""),0.038)</f>
        <v>0.038</v>
      </c>
      <c r="W811" s="14">
        <f>IFERROR(__xludf.DUMMYFUNCTION("""COMPUTED_VALUE"""),817224.0)</f>
        <v>817224</v>
      </c>
      <c r="X811" s="14">
        <f>IFERROR(__xludf.DUMMYFUNCTION("""COMPUTED_VALUE"""),0.491)</f>
        <v>0.491</v>
      </c>
      <c r="Y811" s="14" t="str">
        <f>IFERROR(__xludf.DUMMYFUNCTION("""COMPUTED_VALUE"""),"Fiji-Oceania")</f>
        <v>Fiji-Oceania</v>
      </c>
      <c r="Z811" s="14" t="str">
        <f>IFERROR(__xludf.DUMMYFUNCTION("""COMPUTED_VALUE"""),"Oceania")</f>
        <v>Oceania</v>
      </c>
      <c r="AA811" s="14" t="str">
        <f>IFERROR(__xludf.DUMMYFUNCTION("""COMPUTED_VALUE"""),"2003")</f>
        <v>2003</v>
      </c>
      <c r="AB811" s="15" t="str">
        <f>IFERROR(__xludf.DUMMYFUNCTION("ARRAYFORMULA(VLOOKUP(A811,IMPORTRANGE(""https://docs.google.com/spreadsheets/d/1BuTWp7qHGjWhqrnf-OmePP568O4A5Am9ttzvVdP67zw/edit#gid=1931367683"" ,""ENERGY!$A$2:$F$2692""), {2,3,4,5,6},0))"),"Oceania")</f>
        <v>Oceania</v>
      </c>
      <c r="AC811" s="14" t="str">
        <f>IFERROR(__xludf.DUMMYFUNCTION("""COMPUTED_VALUE"""),"Fiji-Oceania")</f>
        <v>Fiji-Oceania</v>
      </c>
      <c r="AD811" s="14" t="str">
        <f>IFERROR(__xludf.DUMMYFUNCTION("""COMPUTED_VALUE"""),"2003")</f>
        <v>2003</v>
      </c>
      <c r="AE811" s="14"/>
      <c r="AF811" s="14">
        <f>IFERROR(__xludf.DUMMYFUNCTION("""COMPUTED_VALUE"""),847.0)</f>
        <v>847</v>
      </c>
    </row>
    <row r="812">
      <c r="A812" s="12">
        <v>811.0</v>
      </c>
      <c r="B812" s="12" t="s">
        <v>141</v>
      </c>
      <c r="C812" s="5" t="s">
        <v>80</v>
      </c>
      <c r="D812" s="8"/>
      <c r="E812" s="11">
        <v>45.0</v>
      </c>
      <c r="F812" s="8"/>
      <c r="G812" s="8"/>
      <c r="H812" s="11">
        <v>0.074</v>
      </c>
      <c r="I812" s="11">
        <v>0.174</v>
      </c>
      <c r="J812" s="9" t="s">
        <v>65</v>
      </c>
      <c r="K812" s="14" t="str">
        <f>IFERROR(__xludf.DUMMYFUNCTION("ARRAYFORMULA(VLOOKUP(A812,IMPORTRANGE(""https://docs.google.com/spreadsheets/d/1BuTWp7qHGjWhqrnf-OmePP568O4A5Am9ttzvVdP67zw/edit#gid=1603210130"", ""TOURISM!$A$2:$F$2692""), {2,3,4,5,6},0))"),"Oceania")</f>
        <v>Oceania</v>
      </c>
      <c r="L812" s="14">
        <f>IFERROR(__xludf.DUMMYFUNCTION("""COMPUTED_VALUE"""),5.88E8)</f>
        <v>588000000</v>
      </c>
      <c r="M812" s="14" t="str">
        <f>IFERROR(__xludf.DUMMYFUNCTION("""COMPUTED_VALUE"""),"Fiji-Oceania")</f>
        <v>Fiji-Oceania</v>
      </c>
      <c r="N812" s="14" t="str">
        <f>IFERROR(__xludf.DUMMYFUNCTION("""COMPUTED_VALUE"""),"2004")</f>
        <v>2004</v>
      </c>
      <c r="O812" s="14">
        <f>IFERROR(__xludf.DUMMYFUNCTION("""COMPUTED_VALUE"""),1.18E8)</f>
        <v>118000000</v>
      </c>
      <c r="P812" s="15">
        <f>IFERROR(__xludf.DUMMYFUNCTION("ARRAYFORMULA(VLOOKUP(A812,IMPORTRANGE(""https://docs.google.com/spreadsheets/d/1BuTWp7qHGjWhqrnf-OmePP568O4A5Am9ttzvVdP67zw/edit#gid=771602874"" ,""HUMAN RESOURCES!$A$2:$M$2692""), {2,3,4,5,6,7,8,9,10,11,12,13},0))"),0.024)</f>
        <v>0.024</v>
      </c>
      <c r="Q812" s="14">
        <f>IFERROR(__xludf.DUMMYFUNCTION("""COMPUTED_VALUE"""),0.02)</f>
        <v>0.02</v>
      </c>
      <c r="R812" s="14">
        <f>IFERROR(__xludf.DUMMYFUNCTION("""COMPUTED_VALUE"""),71.0)</f>
        <v>71</v>
      </c>
      <c r="S812" s="14">
        <f>IFERROR(__xludf.DUMMYFUNCTION("""COMPUTED_VALUE"""),66.0)</f>
        <v>66</v>
      </c>
      <c r="T812" s="14">
        <f>IFERROR(__xludf.DUMMYFUNCTION("""COMPUTED_VALUE"""),0.314)</f>
        <v>0.314</v>
      </c>
      <c r="U812" s="14">
        <f>IFERROR(__xludf.DUMMYFUNCTION("""COMPUTED_VALUE"""),0.646)</f>
        <v>0.646</v>
      </c>
      <c r="V812" s="14">
        <f>IFERROR(__xludf.DUMMYFUNCTION("""COMPUTED_VALUE"""),0.04)</f>
        <v>0.04</v>
      </c>
      <c r="W812" s="14">
        <f>IFERROR(__xludf.DUMMYFUNCTION("""COMPUTED_VALUE"""),818995.0)</f>
        <v>818995</v>
      </c>
      <c r="X812" s="14">
        <f>IFERROR(__xludf.DUMMYFUNCTION("""COMPUTED_VALUE"""),0.495)</f>
        <v>0.495</v>
      </c>
      <c r="Y812" s="14" t="str">
        <f>IFERROR(__xludf.DUMMYFUNCTION("""COMPUTED_VALUE"""),"Fiji-Oceania")</f>
        <v>Fiji-Oceania</v>
      </c>
      <c r="Z812" s="14" t="str">
        <f>IFERROR(__xludf.DUMMYFUNCTION("""COMPUTED_VALUE"""),"Oceania")</f>
        <v>Oceania</v>
      </c>
      <c r="AA812" s="14" t="str">
        <f>IFERROR(__xludf.DUMMYFUNCTION("""COMPUTED_VALUE"""),"2004")</f>
        <v>2004</v>
      </c>
      <c r="AB812" s="15" t="str">
        <f>IFERROR(__xludf.DUMMYFUNCTION("ARRAYFORMULA(VLOOKUP(A812,IMPORTRANGE(""https://docs.google.com/spreadsheets/d/1BuTWp7qHGjWhqrnf-OmePP568O4A5Am9ttzvVdP67zw/edit#gid=1931367683"" ,""ENERGY!$A$2:$F$2692""), {2,3,4,5,6},0))"),"Oceania")</f>
        <v>Oceania</v>
      </c>
      <c r="AC812" s="14" t="str">
        <f>IFERROR(__xludf.DUMMYFUNCTION("""COMPUTED_VALUE"""),"Fiji-Oceania")</f>
        <v>Fiji-Oceania</v>
      </c>
      <c r="AD812" s="14" t="str">
        <f>IFERROR(__xludf.DUMMYFUNCTION("""COMPUTED_VALUE"""),"2004")</f>
        <v>2004</v>
      </c>
      <c r="AE812" s="14"/>
      <c r="AF812" s="14">
        <f>IFERROR(__xludf.DUMMYFUNCTION("""COMPUTED_VALUE"""),1078.0)</f>
        <v>1078</v>
      </c>
    </row>
    <row r="813">
      <c r="A813" s="12">
        <v>812.0</v>
      </c>
      <c r="B813" s="12" t="s">
        <v>141</v>
      </c>
      <c r="C813" s="5" t="s">
        <v>80</v>
      </c>
      <c r="D813" s="11">
        <v>0.415</v>
      </c>
      <c r="E813" s="11">
        <v>46.0</v>
      </c>
      <c r="F813" s="8"/>
      <c r="G813" s="11">
        <v>140.0</v>
      </c>
      <c r="H813" s="11">
        <v>0.085</v>
      </c>
      <c r="I813" s="11">
        <v>0.249</v>
      </c>
      <c r="J813" s="9" t="s">
        <v>66</v>
      </c>
      <c r="K813" s="14" t="str">
        <f>IFERROR(__xludf.DUMMYFUNCTION("ARRAYFORMULA(VLOOKUP(A813,IMPORTRANGE(""https://docs.google.com/spreadsheets/d/1BuTWp7qHGjWhqrnf-OmePP568O4A5Am9ttzvVdP67zw/edit#gid=1603210130"", ""TOURISM!$A$2:$F$2692""), {2,3,4,5,6},0))"),"Oceania")</f>
        <v>Oceania</v>
      </c>
      <c r="L813" s="14">
        <f>IFERROR(__xludf.DUMMYFUNCTION("""COMPUTED_VALUE"""),7.22E8)</f>
        <v>722000000</v>
      </c>
      <c r="M813" s="14" t="str">
        <f>IFERROR(__xludf.DUMMYFUNCTION("""COMPUTED_VALUE"""),"Fiji-Oceania")</f>
        <v>Fiji-Oceania</v>
      </c>
      <c r="N813" s="14" t="str">
        <f>IFERROR(__xludf.DUMMYFUNCTION("""COMPUTED_VALUE"""),"2005")</f>
        <v>2005</v>
      </c>
      <c r="O813" s="14">
        <f>IFERROR(__xludf.DUMMYFUNCTION("""COMPUTED_VALUE"""),1.32E8)</f>
        <v>132000000</v>
      </c>
      <c r="P813" s="15">
        <f>IFERROR(__xludf.DUMMYFUNCTION("ARRAYFORMULA(VLOOKUP(A813,IMPORTRANGE(""https://docs.google.com/spreadsheets/d/1BuTWp7qHGjWhqrnf-OmePP568O4A5Am9ttzvVdP67zw/edit#gid=771602874"" ,""HUMAN RESOURCES!$A$2:$M$2692""), {2,3,4,5,6,7,8,9,10,11,12,13},0))"),0.023)</f>
        <v>0.023</v>
      </c>
      <c r="Q813" s="14">
        <f>IFERROR(__xludf.DUMMYFUNCTION("""COMPUTED_VALUE"""),0.02)</f>
        <v>0.02</v>
      </c>
      <c r="R813" s="14">
        <f>IFERROR(__xludf.DUMMYFUNCTION("""COMPUTED_VALUE"""),71.0)</f>
        <v>71</v>
      </c>
      <c r="S813" s="14">
        <f>IFERROR(__xludf.DUMMYFUNCTION("""COMPUTED_VALUE"""),66.0)</f>
        <v>66</v>
      </c>
      <c r="T813" s="14">
        <f>IFERROR(__xludf.DUMMYFUNCTION("""COMPUTED_VALUE"""),0.306)</f>
        <v>0.306</v>
      </c>
      <c r="U813" s="14">
        <f>IFERROR(__xludf.DUMMYFUNCTION("""COMPUTED_VALUE"""),0.653)</f>
        <v>0.653</v>
      </c>
      <c r="V813" s="14">
        <f>IFERROR(__xludf.DUMMYFUNCTION("""COMPUTED_VALUE"""),0.041)</f>
        <v>0.041</v>
      </c>
      <c r="W813" s="14">
        <f>IFERROR(__xludf.DUMMYFUNCTION("""COMPUTED_VALUE"""),822484.0)</f>
        <v>822484</v>
      </c>
      <c r="X813" s="14">
        <f>IFERROR(__xludf.DUMMYFUNCTION("""COMPUTED_VALUE"""),0.499)</f>
        <v>0.499</v>
      </c>
      <c r="Y813" s="14" t="str">
        <f>IFERROR(__xludf.DUMMYFUNCTION("""COMPUTED_VALUE"""),"Fiji-Oceania")</f>
        <v>Fiji-Oceania</v>
      </c>
      <c r="Z813" s="14" t="str">
        <f>IFERROR(__xludf.DUMMYFUNCTION("""COMPUTED_VALUE"""),"Oceania")</f>
        <v>Oceania</v>
      </c>
      <c r="AA813" s="14" t="str">
        <f>IFERROR(__xludf.DUMMYFUNCTION("""COMPUTED_VALUE"""),"2005")</f>
        <v>2005</v>
      </c>
      <c r="AB813" s="15" t="str">
        <f>IFERROR(__xludf.DUMMYFUNCTION("ARRAYFORMULA(VLOOKUP(A813,IMPORTRANGE(""https://docs.google.com/spreadsheets/d/1BuTWp7qHGjWhqrnf-OmePP568O4A5Am9ttzvVdP67zw/edit#gid=1931367683"" ,""ENERGY!$A$2:$F$2692""), {2,3,4,5,6},0))"),"Oceania")</f>
        <v>Oceania</v>
      </c>
      <c r="AC813" s="14" t="str">
        <f>IFERROR(__xludf.DUMMYFUNCTION("""COMPUTED_VALUE"""),"Fiji-Oceania")</f>
        <v>Fiji-Oceania</v>
      </c>
      <c r="AD813" s="14" t="str">
        <f>IFERROR(__xludf.DUMMYFUNCTION("""COMPUTED_VALUE"""),"2006")</f>
        <v>2006</v>
      </c>
      <c r="AE813" s="14">
        <f>IFERROR(__xludf.DUMMYFUNCTION("""COMPUTED_VALUE"""),524.0)</f>
        <v>524</v>
      </c>
      <c r="AF813" s="14">
        <f>IFERROR(__xludf.DUMMYFUNCTION("""COMPUTED_VALUE"""),1203.0)</f>
        <v>1203</v>
      </c>
    </row>
    <row r="814">
      <c r="A814" s="12">
        <v>813.0</v>
      </c>
      <c r="B814" s="12" t="s">
        <v>141</v>
      </c>
      <c r="C814" s="5" t="s">
        <v>80</v>
      </c>
      <c r="D814" s="11">
        <v>0.415</v>
      </c>
      <c r="E814" s="11">
        <v>46.0</v>
      </c>
      <c r="F814" s="8"/>
      <c r="G814" s="11">
        <v>140.0</v>
      </c>
      <c r="H814" s="11">
        <v>0.096</v>
      </c>
      <c r="I814" s="11">
        <v>0.344</v>
      </c>
      <c r="J814" s="9" t="s">
        <v>67</v>
      </c>
      <c r="K814" s="14" t="str">
        <f>IFERROR(__xludf.DUMMYFUNCTION("ARRAYFORMULA(VLOOKUP(A814,IMPORTRANGE(""https://docs.google.com/spreadsheets/d/1BuTWp7qHGjWhqrnf-OmePP568O4A5Am9ttzvVdP67zw/edit#gid=1603210130"", ""TOURISM!$A$2:$F$2692""), {2,3,4,5,6},0))"),"Oceania")</f>
        <v>Oceania</v>
      </c>
      <c r="L814" s="14">
        <f>IFERROR(__xludf.DUMMYFUNCTION("""COMPUTED_VALUE"""),6.84E8)</f>
        <v>684000000</v>
      </c>
      <c r="M814" s="14" t="str">
        <f>IFERROR(__xludf.DUMMYFUNCTION("""COMPUTED_VALUE"""),"Fiji-Oceania")</f>
        <v>Fiji-Oceania</v>
      </c>
      <c r="N814" s="14" t="str">
        <f>IFERROR(__xludf.DUMMYFUNCTION("""COMPUTED_VALUE"""),"2006")</f>
        <v>2006</v>
      </c>
      <c r="O814" s="14">
        <f>IFERROR(__xludf.DUMMYFUNCTION("""COMPUTED_VALUE"""),1.23E8)</f>
        <v>123000000</v>
      </c>
      <c r="P814" s="15">
        <f>IFERROR(__xludf.DUMMYFUNCTION("ARRAYFORMULA(VLOOKUP(A814,IMPORTRANGE(""https://docs.google.com/spreadsheets/d/1BuTWp7qHGjWhqrnf-OmePP568O4A5Am9ttzvVdP67zw/edit#gid=771602874"" ,""HUMAN RESOURCES!$A$2:$M$2692""), {2,3,4,5,6,7,8,9,10,11,12,13},0))"),0.023)</f>
        <v>0.023</v>
      </c>
      <c r="Q814" s="14">
        <f>IFERROR(__xludf.DUMMYFUNCTION("""COMPUTED_VALUE"""),0.02)</f>
        <v>0.02</v>
      </c>
      <c r="R814" s="14">
        <f>IFERROR(__xludf.DUMMYFUNCTION("""COMPUTED_VALUE"""),72.0)</f>
        <v>72</v>
      </c>
      <c r="S814" s="14">
        <f>IFERROR(__xludf.DUMMYFUNCTION("""COMPUTED_VALUE"""),66.0)</f>
        <v>66</v>
      </c>
      <c r="T814" s="14">
        <f>IFERROR(__xludf.DUMMYFUNCTION("""COMPUTED_VALUE"""),0.3)</f>
        <v>0.3</v>
      </c>
      <c r="U814" s="14">
        <f>IFERROR(__xludf.DUMMYFUNCTION("""COMPUTED_VALUE"""),0.657)</f>
        <v>0.657</v>
      </c>
      <c r="V814" s="14">
        <f>IFERROR(__xludf.DUMMYFUNCTION("""COMPUTED_VALUE"""),0.042)</f>
        <v>0.042</v>
      </c>
      <c r="W814" s="14">
        <f>IFERROR(__xludf.DUMMYFUNCTION("""COMPUTED_VALUE"""),828060.0)</f>
        <v>828060</v>
      </c>
      <c r="X814" s="14">
        <f>IFERROR(__xludf.DUMMYFUNCTION("""COMPUTED_VALUE"""),0.503)</f>
        <v>0.503</v>
      </c>
      <c r="Y814" s="14" t="str">
        <f>IFERROR(__xludf.DUMMYFUNCTION("""COMPUTED_VALUE"""),"Fiji-Oceania")</f>
        <v>Fiji-Oceania</v>
      </c>
      <c r="Z814" s="14" t="str">
        <f>IFERROR(__xludf.DUMMYFUNCTION("""COMPUTED_VALUE"""),"Oceania")</f>
        <v>Oceania</v>
      </c>
      <c r="AA814" s="14" t="str">
        <f>IFERROR(__xludf.DUMMYFUNCTION("""COMPUTED_VALUE"""),"2006")</f>
        <v>2006</v>
      </c>
      <c r="AB814" s="15" t="str">
        <f>IFERROR(__xludf.DUMMYFUNCTION("ARRAYFORMULA(VLOOKUP(A814,IMPORTRANGE(""https://docs.google.com/spreadsheets/d/1BuTWp7qHGjWhqrnf-OmePP568O4A5Am9ttzvVdP67zw/edit#gid=1931367683"" ,""ENERGY!$A$2:$F$2692""), {2,3,4,5,6},0))"),"Oceania")</f>
        <v>Oceania</v>
      </c>
      <c r="AC814" s="14" t="str">
        <f>IFERROR(__xludf.DUMMYFUNCTION("""COMPUTED_VALUE"""),"Fiji-Oceania")</f>
        <v>Fiji-Oceania</v>
      </c>
      <c r="AD814" s="14" t="str">
        <f>IFERROR(__xludf.DUMMYFUNCTION("""COMPUTED_VALUE"""),"2010")</f>
        <v>2010</v>
      </c>
      <c r="AE814" s="14">
        <f>IFERROR(__xludf.DUMMYFUNCTION("""COMPUTED_VALUE"""),559.0)</f>
        <v>559</v>
      </c>
      <c r="AF814" s="14">
        <f>IFERROR(__xludf.DUMMYFUNCTION("""COMPUTED_VALUE"""),1360.0)</f>
        <v>1360</v>
      </c>
    </row>
    <row r="815">
      <c r="A815" s="12">
        <v>814.0</v>
      </c>
      <c r="B815" s="12" t="s">
        <v>141</v>
      </c>
      <c r="C815" s="5" t="s">
        <v>80</v>
      </c>
      <c r="D815" s="11">
        <v>0.415</v>
      </c>
      <c r="E815" s="11">
        <v>46.0</v>
      </c>
      <c r="F815" s="8"/>
      <c r="G815" s="11">
        <v>140.0</v>
      </c>
      <c r="H815" s="11">
        <v>0.109</v>
      </c>
      <c r="I815" s="11">
        <v>0.634</v>
      </c>
      <c r="J815" s="9" t="s">
        <v>68</v>
      </c>
      <c r="K815" s="14" t="str">
        <f>IFERROR(__xludf.DUMMYFUNCTION("ARRAYFORMULA(VLOOKUP(A815,IMPORTRANGE(""https://docs.google.com/spreadsheets/d/1BuTWp7qHGjWhqrnf-OmePP568O4A5Am9ttzvVdP67zw/edit#gid=1603210130"", ""TOURISM!$A$2:$F$2692""), {2,3,4,5,6},0))"),"Oceania")</f>
        <v>Oceania</v>
      </c>
      <c r="L815" s="14">
        <f>IFERROR(__xludf.DUMMYFUNCTION("""COMPUTED_VALUE"""),7.25E8)</f>
        <v>725000000</v>
      </c>
      <c r="M815" s="14" t="str">
        <f>IFERROR(__xludf.DUMMYFUNCTION("""COMPUTED_VALUE"""),"Fiji-Oceania")</f>
        <v>Fiji-Oceania</v>
      </c>
      <c r="N815" s="14" t="str">
        <f>IFERROR(__xludf.DUMMYFUNCTION("""COMPUTED_VALUE"""),"2007")</f>
        <v>2007</v>
      </c>
      <c r="O815" s="14">
        <f>IFERROR(__xludf.DUMMYFUNCTION("""COMPUTED_VALUE"""),1.3E8)</f>
        <v>130000000</v>
      </c>
      <c r="P815" s="15">
        <f>IFERROR(__xludf.DUMMYFUNCTION("ARRAYFORMULA(VLOOKUP(A815,IMPORTRANGE(""https://docs.google.com/spreadsheets/d/1BuTWp7qHGjWhqrnf-OmePP568O4A5Am9ttzvVdP67zw/edit#gid=771602874"" ,""HUMAN RESOURCES!$A$2:$M$2692""), {2,3,4,5,6,7,8,9,10,11,12,13},0))"),0.023)</f>
        <v>0.023</v>
      </c>
      <c r="Q815" s="14">
        <f>IFERROR(__xludf.DUMMYFUNCTION("""COMPUTED_VALUE"""),0.02)</f>
        <v>0.02</v>
      </c>
      <c r="R815" s="14">
        <f>IFERROR(__xludf.DUMMYFUNCTION("""COMPUTED_VALUE"""),72.0)</f>
        <v>72</v>
      </c>
      <c r="S815" s="14">
        <f>IFERROR(__xludf.DUMMYFUNCTION("""COMPUTED_VALUE"""),66.0)</f>
        <v>66</v>
      </c>
      <c r="T815" s="14">
        <f>IFERROR(__xludf.DUMMYFUNCTION("""COMPUTED_VALUE"""),0.296)</f>
        <v>0.296</v>
      </c>
      <c r="U815" s="14">
        <f>IFERROR(__xludf.DUMMYFUNCTION("""COMPUTED_VALUE"""),0.66)</f>
        <v>0.66</v>
      </c>
      <c r="V815" s="14">
        <f>IFERROR(__xludf.DUMMYFUNCTION("""COMPUTED_VALUE"""),0.044)</f>
        <v>0.044</v>
      </c>
      <c r="W815" s="14">
        <f>IFERROR(__xludf.DUMMYFUNCTION("""COMPUTED_VALUE"""),835392.0)</f>
        <v>835392</v>
      </c>
      <c r="X815" s="14">
        <f>IFERROR(__xludf.DUMMYFUNCTION("""COMPUTED_VALUE"""),0.507)</f>
        <v>0.507</v>
      </c>
      <c r="Y815" s="14" t="str">
        <f>IFERROR(__xludf.DUMMYFUNCTION("""COMPUTED_VALUE"""),"Fiji-Oceania")</f>
        <v>Fiji-Oceania</v>
      </c>
      <c r="Z815" s="14" t="str">
        <f>IFERROR(__xludf.DUMMYFUNCTION("""COMPUTED_VALUE"""),"Oceania")</f>
        <v>Oceania</v>
      </c>
      <c r="AA815" s="14" t="str">
        <f>IFERROR(__xludf.DUMMYFUNCTION("""COMPUTED_VALUE"""),"2007")</f>
        <v>2007</v>
      </c>
      <c r="AB815" s="15" t="str">
        <f>IFERROR(__xludf.DUMMYFUNCTION("ARRAYFORMULA(VLOOKUP(A815,IMPORTRANGE(""https://docs.google.com/spreadsheets/d/1BuTWp7qHGjWhqrnf-OmePP568O4A5Am9ttzvVdP67zw/edit#gid=1931367683"" ,""ENERGY!$A$2:$F$2692""), {2,3,4,5,6},0))"),"Oceania")</f>
        <v>Oceania</v>
      </c>
      <c r="AC815" s="14" t="str">
        <f>IFERROR(__xludf.DUMMYFUNCTION("""COMPUTED_VALUE"""),"Fiji-Oceania")</f>
        <v>Fiji-Oceania</v>
      </c>
      <c r="AD815" s="14" t="str">
        <f>IFERROR(__xludf.DUMMYFUNCTION("""COMPUTED_VALUE"""),"2007")</f>
        <v>2007</v>
      </c>
      <c r="AE815" s="14">
        <f>IFERROR(__xludf.DUMMYFUNCTION("""COMPUTED_VALUE"""),578.0)</f>
        <v>578</v>
      </c>
      <c r="AF815" s="14">
        <f>IFERROR(__xludf.DUMMYFUNCTION("""COMPUTED_VALUE"""),1364.0)</f>
        <v>1364</v>
      </c>
    </row>
    <row r="816">
      <c r="A816" s="12">
        <v>815.0</v>
      </c>
      <c r="B816" s="12" t="s">
        <v>141</v>
      </c>
      <c r="C816" s="5" t="s">
        <v>80</v>
      </c>
      <c r="D816" s="11">
        <v>0.415</v>
      </c>
      <c r="E816" s="11">
        <v>46.0</v>
      </c>
      <c r="F816" s="8"/>
      <c r="G816" s="11">
        <v>140.0</v>
      </c>
      <c r="H816" s="11">
        <v>0.13</v>
      </c>
      <c r="I816" s="11">
        <v>0.711</v>
      </c>
      <c r="J816" s="9" t="s">
        <v>69</v>
      </c>
      <c r="K816" s="14" t="str">
        <f>IFERROR(__xludf.DUMMYFUNCTION("ARRAYFORMULA(VLOOKUP(A816,IMPORTRANGE(""https://docs.google.com/spreadsheets/d/1BuTWp7qHGjWhqrnf-OmePP568O4A5Am9ttzvVdP67zw/edit#gid=1603210130"", ""TOURISM!$A$2:$F$2692""), {2,3,4,5,6},0))"),"Oceania")</f>
        <v>Oceania</v>
      </c>
      <c r="L816" s="14">
        <f>IFERROR(__xludf.DUMMYFUNCTION("""COMPUTED_VALUE"""),9.38E8)</f>
        <v>938000000</v>
      </c>
      <c r="M816" s="14" t="str">
        <f>IFERROR(__xludf.DUMMYFUNCTION("""COMPUTED_VALUE"""),"Fiji-Oceania")</f>
        <v>Fiji-Oceania</v>
      </c>
      <c r="N816" s="14" t="str">
        <f>IFERROR(__xludf.DUMMYFUNCTION("""COMPUTED_VALUE"""),"2008")</f>
        <v>2008</v>
      </c>
      <c r="O816" s="14">
        <f>IFERROR(__xludf.DUMMYFUNCTION("""COMPUTED_VALUE"""),1.12E8)</f>
        <v>112000000</v>
      </c>
      <c r="P816" s="15">
        <f>IFERROR(__xludf.DUMMYFUNCTION("ARRAYFORMULA(VLOOKUP(A816,IMPORTRANGE(""https://docs.google.com/spreadsheets/d/1BuTWp7qHGjWhqrnf-OmePP568O4A5Am9ttzvVdP67zw/edit#gid=771602874"" ,""HUMAN RESOURCES!$A$2:$M$2692""), {2,3,4,5,6,7,8,9,10,11,12,13},0))"),0.022)</f>
        <v>0.022</v>
      </c>
      <c r="Q816" s="14">
        <f>IFERROR(__xludf.DUMMYFUNCTION("""COMPUTED_VALUE"""),0.02)</f>
        <v>0.02</v>
      </c>
      <c r="R816" s="14">
        <f>IFERROR(__xludf.DUMMYFUNCTION("""COMPUTED_VALUE"""),72.0)</f>
        <v>72</v>
      </c>
      <c r="S816" s="14">
        <f>IFERROR(__xludf.DUMMYFUNCTION("""COMPUTED_VALUE"""),66.0)</f>
        <v>66</v>
      </c>
      <c r="T816" s="14">
        <f>IFERROR(__xludf.DUMMYFUNCTION("""COMPUTED_VALUE"""),0.294)</f>
        <v>0.294</v>
      </c>
      <c r="U816" s="14">
        <f>IFERROR(__xludf.DUMMYFUNCTION("""COMPUTED_VALUE"""),0.661)</f>
        <v>0.661</v>
      </c>
      <c r="V816" s="14">
        <f>IFERROR(__xludf.DUMMYFUNCTION("""COMPUTED_VALUE"""),0.045)</f>
        <v>0.045</v>
      </c>
      <c r="W816" s="14">
        <f>IFERROR(__xludf.DUMMYFUNCTION("""COMPUTED_VALUE"""),843851.0)</f>
        <v>843851</v>
      </c>
      <c r="X816" s="14">
        <f>IFERROR(__xludf.DUMMYFUNCTION("""COMPUTED_VALUE"""),0.511)</f>
        <v>0.511</v>
      </c>
      <c r="Y816" s="14" t="str">
        <f>IFERROR(__xludf.DUMMYFUNCTION("""COMPUTED_VALUE"""),"Fiji-Oceania")</f>
        <v>Fiji-Oceania</v>
      </c>
      <c r="Z816" s="14" t="str">
        <f>IFERROR(__xludf.DUMMYFUNCTION("""COMPUTED_VALUE"""),"Oceania")</f>
        <v>Oceania</v>
      </c>
      <c r="AA816" s="14" t="str">
        <f>IFERROR(__xludf.DUMMYFUNCTION("""COMPUTED_VALUE"""),"2008")</f>
        <v>2008</v>
      </c>
      <c r="AB816" s="15" t="str">
        <f>IFERROR(__xludf.DUMMYFUNCTION("ARRAYFORMULA(VLOOKUP(A816,IMPORTRANGE(""https://docs.google.com/spreadsheets/d/1BuTWp7qHGjWhqrnf-OmePP568O4A5Am9ttzvVdP67zw/edit#gid=1931367683"" ,""ENERGY!$A$2:$F$2692""), {2,3,4,5,6},0))"),"Oceania")</f>
        <v>Oceania</v>
      </c>
      <c r="AC816" s="14" t="str">
        <f>IFERROR(__xludf.DUMMYFUNCTION("""COMPUTED_VALUE"""),"Fiji-Oceania")</f>
        <v>Fiji-Oceania</v>
      </c>
      <c r="AD816" s="14" t="str">
        <f>IFERROR(__xludf.DUMMYFUNCTION("""COMPUTED_VALUE"""),"2005")</f>
        <v>2005</v>
      </c>
      <c r="AE816" s="14">
        <f>IFERROR(__xludf.DUMMYFUNCTION("""COMPUTED_VALUE"""),666.0)</f>
        <v>666</v>
      </c>
      <c r="AF816" s="14">
        <f>IFERROR(__xludf.DUMMYFUNCTION("""COMPUTED_VALUE"""),1133.0)</f>
        <v>1133</v>
      </c>
    </row>
    <row r="817">
      <c r="A817" s="12">
        <v>816.0</v>
      </c>
      <c r="B817" s="12" t="s">
        <v>141</v>
      </c>
      <c r="C817" s="5" t="s">
        <v>80</v>
      </c>
      <c r="D817" s="11">
        <v>0.412</v>
      </c>
      <c r="E817" s="11">
        <v>46.0</v>
      </c>
      <c r="F817" s="8"/>
      <c r="G817" s="11">
        <v>150.0</v>
      </c>
      <c r="H817" s="11">
        <v>0.17</v>
      </c>
      <c r="I817" s="11">
        <v>0.751</v>
      </c>
      <c r="J817" s="9" t="s">
        <v>70</v>
      </c>
      <c r="K817" s="14" t="str">
        <f>IFERROR(__xludf.DUMMYFUNCTION("ARRAYFORMULA(VLOOKUP(A817,IMPORTRANGE(""https://docs.google.com/spreadsheets/d/1BuTWp7qHGjWhqrnf-OmePP568O4A5Am9ttzvVdP67zw/edit#gid=1603210130"", ""TOURISM!$A$2:$F$2692""), {2,3,4,5,6},0))"),"Oceania")</f>
        <v>Oceania</v>
      </c>
      <c r="L817" s="14">
        <f>IFERROR(__xludf.DUMMYFUNCTION("""COMPUTED_VALUE"""),7.24E8)</f>
        <v>724000000</v>
      </c>
      <c r="M817" s="14" t="str">
        <f>IFERROR(__xludf.DUMMYFUNCTION("""COMPUTED_VALUE"""),"Fiji-Oceania")</f>
        <v>Fiji-Oceania</v>
      </c>
      <c r="N817" s="14" t="str">
        <f>IFERROR(__xludf.DUMMYFUNCTION("""COMPUTED_VALUE"""),"2009")</f>
        <v>2009</v>
      </c>
      <c r="O817" s="14">
        <f>IFERROR(__xludf.DUMMYFUNCTION("""COMPUTED_VALUE"""),1.1E8)</f>
        <v>110000000</v>
      </c>
      <c r="P817" s="15">
        <f>IFERROR(__xludf.DUMMYFUNCTION("ARRAYFORMULA(VLOOKUP(A817,IMPORTRANGE(""https://docs.google.com/spreadsheets/d/1BuTWp7qHGjWhqrnf-OmePP568O4A5Am9ttzvVdP67zw/edit#gid=771602874"" ,""HUMAN RESOURCES!$A$2:$M$2692""), {2,3,4,5,6,7,8,9,10,11,12,13},0))"),0.022)</f>
        <v>0.022</v>
      </c>
      <c r="Q817" s="14">
        <f>IFERROR(__xludf.DUMMYFUNCTION("""COMPUTED_VALUE"""),0.02)</f>
        <v>0.02</v>
      </c>
      <c r="R817" s="14">
        <f>IFERROR(__xludf.DUMMYFUNCTION("""COMPUTED_VALUE"""),72.0)</f>
        <v>72</v>
      </c>
      <c r="S817" s="14">
        <f>IFERROR(__xludf.DUMMYFUNCTION("""COMPUTED_VALUE"""),66.0)</f>
        <v>66</v>
      </c>
      <c r="T817" s="14">
        <f>IFERROR(__xludf.DUMMYFUNCTION("""COMPUTED_VALUE"""),0.292)</f>
        <v>0.292</v>
      </c>
      <c r="U817" s="14">
        <f>IFERROR(__xludf.DUMMYFUNCTION("""COMPUTED_VALUE"""),0.662)</f>
        <v>0.662</v>
      </c>
      <c r="V817" s="14">
        <f>IFERROR(__xludf.DUMMYFUNCTION("""COMPUTED_VALUE"""),0.047)</f>
        <v>0.047</v>
      </c>
      <c r="W817" s="14">
        <f>IFERROR(__xludf.DUMMYFUNCTION("""COMPUTED_VALUE"""),852479.0)</f>
        <v>852479</v>
      </c>
      <c r="X817" s="14">
        <f>IFERROR(__xludf.DUMMYFUNCTION("""COMPUTED_VALUE"""),0.514)</f>
        <v>0.514</v>
      </c>
      <c r="Y817" s="14" t="str">
        <f>IFERROR(__xludf.DUMMYFUNCTION("""COMPUTED_VALUE"""),"Fiji-Oceania")</f>
        <v>Fiji-Oceania</v>
      </c>
      <c r="Z817" s="14" t="str">
        <f>IFERROR(__xludf.DUMMYFUNCTION("""COMPUTED_VALUE"""),"Oceania")</f>
        <v>Oceania</v>
      </c>
      <c r="AA817" s="14" t="str">
        <f>IFERROR(__xludf.DUMMYFUNCTION("""COMPUTED_VALUE"""),"2009")</f>
        <v>2009</v>
      </c>
      <c r="AB817" s="15" t="str">
        <f>IFERROR(__xludf.DUMMYFUNCTION("ARRAYFORMULA(VLOOKUP(A817,IMPORTRANGE(""https://docs.google.com/spreadsheets/d/1BuTWp7qHGjWhqrnf-OmePP568O4A5Am9ttzvVdP67zw/edit#gid=1931367683"" ,""ENERGY!$A$2:$F$2692""), {2,3,4,5,6},0))"),"Oceania")</f>
        <v>Oceania</v>
      </c>
      <c r="AC817" s="14" t="str">
        <f>IFERROR(__xludf.DUMMYFUNCTION("""COMPUTED_VALUE"""),"Fiji-Oceania")</f>
        <v>Fiji-Oceania</v>
      </c>
      <c r="AD817" s="14" t="str">
        <f>IFERROR(__xludf.DUMMYFUNCTION("""COMPUTED_VALUE"""),"2009")</f>
        <v>2009</v>
      </c>
      <c r="AE817" s="14"/>
      <c r="AF817" s="14">
        <f>IFERROR(__xludf.DUMMYFUNCTION("""COMPUTED_VALUE"""),862.0)</f>
        <v>862</v>
      </c>
    </row>
    <row r="818">
      <c r="A818" s="12">
        <v>817.0</v>
      </c>
      <c r="B818" s="12" t="s">
        <v>141</v>
      </c>
      <c r="C818" s="5" t="s">
        <v>80</v>
      </c>
      <c r="D818" s="11">
        <v>0.393</v>
      </c>
      <c r="E818" s="11">
        <v>46.0</v>
      </c>
      <c r="F818" s="8"/>
      <c r="G818" s="11">
        <v>163.0</v>
      </c>
      <c r="H818" s="11">
        <v>0.2</v>
      </c>
      <c r="I818" s="11">
        <v>0.811</v>
      </c>
      <c r="J818" s="9" t="s">
        <v>71</v>
      </c>
      <c r="K818" s="14" t="str">
        <f>IFERROR(__xludf.DUMMYFUNCTION("ARRAYFORMULA(VLOOKUP(A818,IMPORTRANGE(""https://docs.google.com/spreadsheets/d/1BuTWp7qHGjWhqrnf-OmePP568O4A5Am9ttzvVdP67zw/edit#gid=1603210130"", ""TOURISM!$A$2:$F$2692""), {2,3,4,5,6},0))"),"Oceania")</f>
        <v>Oceania</v>
      </c>
      <c r="L818" s="14">
        <f>IFERROR(__xludf.DUMMYFUNCTION("""COMPUTED_VALUE"""),8.09E8)</f>
        <v>809000000</v>
      </c>
      <c r="M818" s="14" t="str">
        <f>IFERROR(__xludf.DUMMYFUNCTION("""COMPUTED_VALUE"""),"Fiji-Oceania")</f>
        <v>Fiji-Oceania</v>
      </c>
      <c r="N818" s="14" t="str">
        <f>IFERROR(__xludf.DUMMYFUNCTION("""COMPUTED_VALUE"""),"2010")</f>
        <v>2010</v>
      </c>
      <c r="O818" s="14">
        <f>IFERROR(__xludf.DUMMYFUNCTION("""COMPUTED_VALUE"""),1.0E8)</f>
        <v>100000000</v>
      </c>
      <c r="P818" s="15">
        <f>IFERROR(__xludf.DUMMYFUNCTION("ARRAYFORMULA(VLOOKUP(A818,IMPORTRANGE(""https://docs.google.com/spreadsheets/d/1BuTWp7qHGjWhqrnf-OmePP568O4A5Am9ttzvVdP67zw/edit#gid=771602874"" ,""HUMAN RESOURCES!$A$2:$M$2692""), {2,3,4,5,6,7,8,9,10,11,12,13},0))"),0.022)</f>
        <v>0.022</v>
      </c>
      <c r="Q818" s="14">
        <f>IFERROR(__xludf.DUMMYFUNCTION("""COMPUTED_VALUE"""),0.02)</f>
        <v>0.02</v>
      </c>
      <c r="R818" s="14">
        <f>IFERROR(__xludf.DUMMYFUNCTION("""COMPUTED_VALUE"""),72.0)</f>
        <v>72</v>
      </c>
      <c r="S818" s="14">
        <f>IFERROR(__xludf.DUMMYFUNCTION("""COMPUTED_VALUE"""),66.0)</f>
        <v>66</v>
      </c>
      <c r="T818" s="14">
        <f>IFERROR(__xludf.DUMMYFUNCTION("""COMPUTED_VALUE"""),0.29)</f>
        <v>0.29</v>
      </c>
      <c r="U818" s="14">
        <f>IFERROR(__xludf.DUMMYFUNCTION("""COMPUTED_VALUE"""),0.661)</f>
        <v>0.661</v>
      </c>
      <c r="V818" s="14">
        <f>IFERROR(__xludf.DUMMYFUNCTION("""COMPUTED_VALUE"""),0.048)</f>
        <v>0.048</v>
      </c>
      <c r="W818" s="14">
        <f>IFERROR(__xludf.DUMMYFUNCTION("""COMPUTED_VALUE"""),860559.0)</f>
        <v>860559</v>
      </c>
      <c r="X818" s="14">
        <f>IFERROR(__xludf.DUMMYFUNCTION("""COMPUTED_VALUE"""),0.518)</f>
        <v>0.518</v>
      </c>
      <c r="Y818" s="14" t="str">
        <f>IFERROR(__xludf.DUMMYFUNCTION("""COMPUTED_VALUE"""),"Fiji-Oceania")</f>
        <v>Fiji-Oceania</v>
      </c>
      <c r="Z818" s="14" t="str">
        <f>IFERROR(__xludf.DUMMYFUNCTION("""COMPUTED_VALUE"""),"Oceania")</f>
        <v>Oceania</v>
      </c>
      <c r="AA818" s="14" t="str">
        <f>IFERROR(__xludf.DUMMYFUNCTION("""COMPUTED_VALUE"""),"2010")</f>
        <v>2010</v>
      </c>
      <c r="AB818" s="15" t="str">
        <f>IFERROR(__xludf.DUMMYFUNCTION("ARRAYFORMULA(VLOOKUP(A818,IMPORTRANGE(""https://docs.google.com/spreadsheets/d/1BuTWp7qHGjWhqrnf-OmePP568O4A5Am9ttzvVdP67zw/edit#gid=1931367683"" ,""ENERGY!$A$2:$F$2692""), {2,3,4,5,6},0))"),"Oceania")</f>
        <v>Oceania</v>
      </c>
      <c r="AC818" s="14" t="str">
        <f>IFERROR(__xludf.DUMMYFUNCTION("""COMPUTED_VALUE"""),"Fiji-Oceania")</f>
        <v>Fiji-Oceania</v>
      </c>
      <c r="AD818" s="14" t="str">
        <f>IFERROR(__xludf.DUMMYFUNCTION("""COMPUTED_VALUE"""),"2009")</f>
        <v>2009</v>
      </c>
      <c r="AE818" s="14"/>
      <c r="AF818" s="14">
        <f>IFERROR(__xludf.DUMMYFUNCTION("""COMPUTED_VALUE"""),836.0)</f>
        <v>836</v>
      </c>
    </row>
    <row r="819">
      <c r="A819" s="12">
        <v>818.0</v>
      </c>
      <c r="B819" s="12" t="s">
        <v>141</v>
      </c>
      <c r="C819" s="5" t="s">
        <v>80</v>
      </c>
      <c r="D819" s="11">
        <v>0.383</v>
      </c>
      <c r="E819" s="11">
        <v>45.0</v>
      </c>
      <c r="F819" s="8"/>
      <c r="G819" s="11">
        <v>163.0</v>
      </c>
      <c r="H819" s="11">
        <v>0.28</v>
      </c>
      <c r="I819" s="11">
        <v>0.838</v>
      </c>
      <c r="J819" s="9" t="s">
        <v>72</v>
      </c>
      <c r="K819" s="14" t="str">
        <f>IFERROR(__xludf.DUMMYFUNCTION("ARRAYFORMULA(VLOOKUP(A819,IMPORTRANGE(""https://docs.google.com/spreadsheets/d/1BuTWp7qHGjWhqrnf-OmePP568O4A5Am9ttzvVdP67zw/edit#gid=1603210130"", ""TOURISM!$A$2:$F$2692""), {2,3,4,5,6},0))"),"Oceania")</f>
        <v>Oceania</v>
      </c>
      <c r="L819" s="14">
        <f>IFERROR(__xludf.DUMMYFUNCTION("""COMPUTED_VALUE"""),9.33E8)</f>
        <v>933000000</v>
      </c>
      <c r="M819" s="14" t="str">
        <f>IFERROR(__xludf.DUMMYFUNCTION("""COMPUTED_VALUE"""),"Fiji-Oceania")</f>
        <v>Fiji-Oceania</v>
      </c>
      <c r="N819" s="14" t="str">
        <f>IFERROR(__xludf.DUMMYFUNCTION("""COMPUTED_VALUE"""),"2011")</f>
        <v>2011</v>
      </c>
      <c r="O819" s="14">
        <f>IFERROR(__xludf.DUMMYFUNCTION("""COMPUTED_VALUE"""),1.15E8)</f>
        <v>115000000</v>
      </c>
      <c r="P819" s="15">
        <f>IFERROR(__xludf.DUMMYFUNCTION("ARRAYFORMULA(VLOOKUP(A819,IMPORTRANGE(""https://docs.google.com/spreadsheets/d/1BuTWp7qHGjWhqrnf-OmePP568O4A5Am9ttzvVdP67zw/edit#gid=771602874"" ,""HUMAN RESOURCES!$A$2:$M$2692""), {2,3,4,5,6,7,8,9,10,11,12,13},0))"),0.021)</f>
        <v>0.021</v>
      </c>
      <c r="Q819" s="14">
        <f>IFERROR(__xludf.DUMMYFUNCTION("""COMPUTED_VALUE"""),0.02)</f>
        <v>0.02</v>
      </c>
      <c r="R819" s="14">
        <f>IFERROR(__xludf.DUMMYFUNCTION("""COMPUTED_VALUE"""),73.0)</f>
        <v>73</v>
      </c>
      <c r="S819" s="14">
        <f>IFERROR(__xludf.DUMMYFUNCTION("""COMPUTED_VALUE"""),67.0)</f>
        <v>67</v>
      </c>
      <c r="T819" s="14">
        <f>IFERROR(__xludf.DUMMYFUNCTION("""COMPUTED_VALUE"""),0.289)</f>
        <v>0.289</v>
      </c>
      <c r="U819" s="14">
        <f>IFERROR(__xludf.DUMMYFUNCTION("""COMPUTED_VALUE"""),0.661)</f>
        <v>0.661</v>
      </c>
      <c r="V819" s="14">
        <f>IFERROR(__xludf.DUMMYFUNCTION("""COMPUTED_VALUE"""),0.05)</f>
        <v>0.05</v>
      </c>
      <c r="W819" s="14">
        <f>IFERROR(__xludf.DUMMYFUNCTION("""COMPUTED_VALUE"""),867921.0)</f>
        <v>867921</v>
      </c>
      <c r="X819" s="14">
        <f>IFERROR(__xludf.DUMMYFUNCTION("""COMPUTED_VALUE"""),0.522)</f>
        <v>0.522</v>
      </c>
      <c r="Y819" s="14" t="str">
        <f>IFERROR(__xludf.DUMMYFUNCTION("""COMPUTED_VALUE"""),"Fiji-Oceania")</f>
        <v>Fiji-Oceania</v>
      </c>
      <c r="Z819" s="14" t="str">
        <f>IFERROR(__xludf.DUMMYFUNCTION("""COMPUTED_VALUE"""),"Oceania")</f>
        <v>Oceania</v>
      </c>
      <c r="AA819" s="14" t="str">
        <f>IFERROR(__xludf.DUMMYFUNCTION("""COMPUTED_VALUE"""),"2011")</f>
        <v>2011</v>
      </c>
      <c r="AB819" s="15" t="str">
        <f>IFERROR(__xludf.DUMMYFUNCTION("ARRAYFORMULA(VLOOKUP(A819,IMPORTRANGE(""https://docs.google.com/spreadsheets/d/1BuTWp7qHGjWhqrnf-OmePP568O4A5Am9ttzvVdP67zw/edit#gid=1931367683"" ,""ENERGY!$A$2:$F$2692""), {2,3,4,5,6},0))"),"Oceania")</f>
        <v>Oceania</v>
      </c>
      <c r="AC819" s="14" t="str">
        <f>IFERROR(__xludf.DUMMYFUNCTION("""COMPUTED_VALUE"""),"Fiji-Oceania")</f>
        <v>Fiji-Oceania</v>
      </c>
      <c r="AD819" s="14" t="str">
        <f>IFERROR(__xludf.DUMMYFUNCTION("""COMPUTED_VALUE"""),"2005")</f>
        <v>2005</v>
      </c>
      <c r="AE819" s="14"/>
      <c r="AF819" s="14">
        <f>IFERROR(__xludf.DUMMYFUNCTION("""COMPUTED_VALUE"""),1115.0)</f>
        <v>1115</v>
      </c>
    </row>
    <row r="820">
      <c r="A820" s="12">
        <v>819.0</v>
      </c>
      <c r="B820" s="12" t="s">
        <v>141</v>
      </c>
      <c r="C820" s="5" t="s">
        <v>80</v>
      </c>
      <c r="D820" s="11">
        <v>0.376</v>
      </c>
      <c r="E820" s="11">
        <v>59.0</v>
      </c>
      <c r="F820" s="11">
        <v>58.0</v>
      </c>
      <c r="G820" s="11">
        <v>163.0</v>
      </c>
      <c r="H820" s="11">
        <v>0.337</v>
      </c>
      <c r="I820" s="11">
        <v>0.982</v>
      </c>
      <c r="J820" s="9" t="s">
        <v>73</v>
      </c>
      <c r="K820" s="14" t="str">
        <f>IFERROR(__xludf.DUMMYFUNCTION("ARRAYFORMULA(VLOOKUP(A820,IMPORTRANGE(""https://docs.google.com/spreadsheets/d/1BuTWp7qHGjWhqrnf-OmePP568O4A5Am9ttzvVdP67zw/edit#gid=1603210130"", ""TOURISM!$A$2:$F$2692""), {2,3,4,5,6},0))"),"Oceania")</f>
        <v>Oceania</v>
      </c>
      <c r="L820" s="14">
        <f>IFERROR(__xludf.DUMMYFUNCTION("""COMPUTED_VALUE"""),9.87E8)</f>
        <v>987000000</v>
      </c>
      <c r="M820" s="14" t="str">
        <f>IFERROR(__xludf.DUMMYFUNCTION("""COMPUTED_VALUE"""),"Fiji-Oceania")</f>
        <v>Fiji-Oceania</v>
      </c>
      <c r="N820" s="14" t="str">
        <f>IFERROR(__xludf.DUMMYFUNCTION("""COMPUTED_VALUE"""),"2012")</f>
        <v>2012</v>
      </c>
      <c r="O820" s="14">
        <f>IFERROR(__xludf.DUMMYFUNCTION("""COMPUTED_VALUE"""),1.1E8)</f>
        <v>110000000</v>
      </c>
      <c r="P820" s="15">
        <f>IFERROR(__xludf.DUMMYFUNCTION("ARRAYFORMULA(VLOOKUP(A820,IMPORTRANGE(""https://docs.google.com/spreadsheets/d/1BuTWp7qHGjWhqrnf-OmePP568O4A5Am9ttzvVdP67zw/edit#gid=771602874"" ,""HUMAN RESOURCES!$A$2:$M$2692""), {2,3,4,5,6,7,8,9,10,11,12,13},0))"),0.021)</f>
        <v>0.021</v>
      </c>
      <c r="Q820" s="14">
        <f>IFERROR(__xludf.DUMMYFUNCTION("""COMPUTED_VALUE"""),0.02)</f>
        <v>0.02</v>
      </c>
      <c r="R820" s="14">
        <f>IFERROR(__xludf.DUMMYFUNCTION("""COMPUTED_VALUE"""),73.0)</f>
        <v>73</v>
      </c>
      <c r="S820" s="14">
        <f>IFERROR(__xludf.DUMMYFUNCTION("""COMPUTED_VALUE"""),67.0)</f>
        <v>67</v>
      </c>
      <c r="T820" s="14">
        <f>IFERROR(__xludf.DUMMYFUNCTION("""COMPUTED_VALUE"""),0.289)</f>
        <v>0.289</v>
      </c>
      <c r="U820" s="14">
        <f>IFERROR(__xludf.DUMMYFUNCTION("""COMPUTED_VALUE"""),0.659)</f>
        <v>0.659</v>
      </c>
      <c r="V820" s="14">
        <f>IFERROR(__xludf.DUMMYFUNCTION("""COMPUTED_VALUE"""),0.052)</f>
        <v>0.052</v>
      </c>
      <c r="W820" s="14">
        <f>IFERROR(__xludf.DUMMYFUNCTION("""COMPUTED_VALUE"""),874742.0)</f>
        <v>874742</v>
      </c>
      <c r="X820" s="14">
        <f>IFERROR(__xludf.DUMMYFUNCTION("""COMPUTED_VALUE"""),0.526)</f>
        <v>0.526</v>
      </c>
      <c r="Y820" s="14" t="str">
        <f>IFERROR(__xludf.DUMMYFUNCTION("""COMPUTED_VALUE"""),"Fiji-Oceania")</f>
        <v>Fiji-Oceania</v>
      </c>
      <c r="Z820" s="14" t="str">
        <f>IFERROR(__xludf.DUMMYFUNCTION("""COMPUTED_VALUE"""),"Oceania")</f>
        <v>Oceania</v>
      </c>
      <c r="AA820" s="14" t="str">
        <f>IFERROR(__xludf.DUMMYFUNCTION("""COMPUTED_VALUE"""),"2012")</f>
        <v>2012</v>
      </c>
      <c r="AB820" s="15" t="str">
        <f>IFERROR(__xludf.DUMMYFUNCTION("ARRAYFORMULA(VLOOKUP(A820,IMPORTRANGE(""https://docs.google.com/spreadsheets/d/1BuTWp7qHGjWhqrnf-OmePP568O4A5Am9ttzvVdP67zw/edit#gid=1931367683"" ,""ENERGY!$A$2:$F$2692""), {2,3,4,5,6},0))"),"Oceania")</f>
        <v>Oceania</v>
      </c>
      <c r="AC820" s="14" t="str">
        <f>IFERROR(__xludf.DUMMYFUNCTION("""COMPUTED_VALUE"""),"Fiji-Oceania")</f>
        <v>Fiji-Oceania</v>
      </c>
      <c r="AD820" s="14" t="str">
        <f>IFERROR(__xludf.DUMMYFUNCTION("""COMPUTED_VALUE"""),"2009")</f>
        <v>2009</v>
      </c>
      <c r="AE820" s="14"/>
      <c r="AF820" s="14">
        <f>IFERROR(__xludf.DUMMYFUNCTION("""COMPUTED_VALUE"""),865.0)</f>
        <v>865</v>
      </c>
    </row>
    <row r="821">
      <c r="A821" s="12">
        <v>820.0</v>
      </c>
      <c r="B821" s="12" t="s">
        <v>142</v>
      </c>
      <c r="C821" s="5" t="s">
        <v>75</v>
      </c>
      <c r="D821" s="8"/>
      <c r="E821" s="8"/>
      <c r="F821" s="8"/>
      <c r="G821" s="8"/>
      <c r="H821" s="11">
        <v>0.372</v>
      </c>
      <c r="I821" s="11">
        <v>0.72</v>
      </c>
      <c r="J821" s="9" t="s">
        <v>60</v>
      </c>
      <c r="K821" s="14" t="str">
        <f>IFERROR(__xludf.DUMMYFUNCTION("ARRAYFORMULA(VLOOKUP(A821,IMPORTRANGE(""https://docs.google.com/spreadsheets/d/1BuTWp7qHGjWhqrnf-OmePP568O4A5Am9ttzvVdP67zw/edit#gid=1603210130"", ""TOURISM!$A$2:$F$2692""), {2,3,4,5,6},0))"),"Europe")</f>
        <v>Europe</v>
      </c>
      <c r="L821" s="14">
        <f>IFERROR(__xludf.DUMMYFUNCTION("""COMPUTED_VALUE"""),2.035E9)</f>
        <v>2035000000</v>
      </c>
      <c r="M821" s="14" t="str">
        <f>IFERROR(__xludf.DUMMYFUNCTION("""COMPUTED_VALUE"""),"Finland-Europe")</f>
        <v>Finland-Europe</v>
      </c>
      <c r="N821" s="14" t="str">
        <f>IFERROR(__xludf.DUMMYFUNCTION("""COMPUTED_VALUE"""),"2000")</f>
        <v>2000</v>
      </c>
      <c r="O821" s="14">
        <f>IFERROR(__xludf.DUMMYFUNCTION("""COMPUTED_VALUE"""),2.293E9)</f>
        <v>2293000000</v>
      </c>
      <c r="P821" s="15">
        <f>IFERROR(__xludf.DUMMYFUNCTION("ARRAYFORMULA(VLOOKUP(A821,IMPORTRANGE(""https://docs.google.com/spreadsheets/d/1BuTWp7qHGjWhqrnf-OmePP568O4A5Am9ttzvVdP67zw/edit#gid=771602874"" ,""HUMAN RESOURCES!$A$2:$M$2692""), {2,3,4,5,6,7,8,9,10,11,12,13},0))"),0.011)</f>
        <v>0.011</v>
      </c>
      <c r="Q821" s="14">
        <f>IFERROR(__xludf.DUMMYFUNCTION("""COMPUTED_VALUE"""),0.004)</f>
        <v>0.004</v>
      </c>
      <c r="R821" s="14">
        <f>IFERROR(__xludf.DUMMYFUNCTION("""COMPUTED_VALUE"""),81.0)</f>
        <v>81</v>
      </c>
      <c r="S821" s="14">
        <f>IFERROR(__xludf.DUMMYFUNCTION("""COMPUTED_VALUE"""),74.0)</f>
        <v>74</v>
      </c>
      <c r="T821" s="14">
        <f>IFERROR(__xludf.DUMMYFUNCTION("""COMPUTED_VALUE"""),0.182)</f>
        <v>0.182</v>
      </c>
      <c r="U821" s="14">
        <f>IFERROR(__xludf.DUMMYFUNCTION("""COMPUTED_VALUE"""),0.669)</f>
        <v>0.669</v>
      </c>
      <c r="V821" s="14">
        <f>IFERROR(__xludf.DUMMYFUNCTION("""COMPUTED_VALUE"""),0.149)</f>
        <v>0.149</v>
      </c>
      <c r="W821" s="14">
        <f>IFERROR(__xludf.DUMMYFUNCTION("""COMPUTED_VALUE"""),5176209.0)</f>
        <v>5176209</v>
      </c>
      <c r="X821" s="14">
        <f>IFERROR(__xludf.DUMMYFUNCTION("""COMPUTED_VALUE"""),0.822)</f>
        <v>0.822</v>
      </c>
      <c r="Y821" s="14" t="str">
        <f>IFERROR(__xludf.DUMMYFUNCTION("""COMPUTED_VALUE"""),"Finland-Europe")</f>
        <v>Finland-Europe</v>
      </c>
      <c r="Z821" s="14" t="str">
        <f>IFERROR(__xludf.DUMMYFUNCTION("""COMPUTED_VALUE"""),"Europe")</f>
        <v>Europe</v>
      </c>
      <c r="AA821" s="14" t="str">
        <f>IFERROR(__xludf.DUMMYFUNCTION("""COMPUTED_VALUE"""),"2000")</f>
        <v>2000</v>
      </c>
      <c r="AB821" s="15" t="str">
        <f>IFERROR(__xludf.DUMMYFUNCTION("ARRAYFORMULA(VLOOKUP(A821,IMPORTRANGE(""https://docs.google.com/spreadsheets/d/1BuTWp7qHGjWhqrnf-OmePP568O4A5Am9ttzvVdP67zw/edit#gid=1931367683"" ,""ENERGY!$A$2:$F$2692""), {2,3,4,5,6},0))"),"Europe")</f>
        <v>Europe</v>
      </c>
      <c r="AC821" s="14" t="str">
        <f>IFERROR(__xludf.DUMMYFUNCTION("""COMPUTED_VALUE"""),"Finland-Europe")</f>
        <v>Finland-Europe</v>
      </c>
      <c r="AD821" s="14" t="str">
        <f>IFERROR(__xludf.DUMMYFUNCTION("""COMPUTED_VALUE"""),"2000")</f>
        <v>2000</v>
      </c>
      <c r="AE821" s="14">
        <f>IFERROR(__xludf.DUMMYFUNCTION("""COMPUTED_VALUE"""),33475.0)</f>
        <v>33475</v>
      </c>
      <c r="AF821" s="14"/>
    </row>
    <row r="822">
      <c r="A822" s="12">
        <v>821.0</v>
      </c>
      <c r="B822" s="12" t="s">
        <v>142</v>
      </c>
      <c r="C822" s="5" t="s">
        <v>75</v>
      </c>
      <c r="D822" s="8"/>
      <c r="E822" s="8"/>
      <c r="F822" s="8"/>
      <c r="G822" s="8"/>
      <c r="H822" s="11">
        <v>0.431</v>
      </c>
      <c r="I822" s="11">
        <v>0.805</v>
      </c>
      <c r="J822" s="9" t="s">
        <v>62</v>
      </c>
      <c r="K822" s="14" t="str">
        <f>IFERROR(__xludf.DUMMYFUNCTION("ARRAYFORMULA(VLOOKUP(A822,IMPORTRANGE(""https://docs.google.com/spreadsheets/d/1BuTWp7qHGjWhqrnf-OmePP568O4A5Am9ttzvVdP67zw/edit#gid=1603210130"", ""TOURISM!$A$2:$F$2692""), {2,3,4,5,6},0))"),"Europe")</f>
        <v>Europe</v>
      </c>
      <c r="L822" s="14">
        <f>IFERROR(__xludf.DUMMYFUNCTION("""COMPUTED_VALUE"""),2.065E9)</f>
        <v>2065000000</v>
      </c>
      <c r="M822" s="14" t="str">
        <f>IFERROR(__xludf.DUMMYFUNCTION("""COMPUTED_VALUE"""),"Finland-Europe")</f>
        <v>Finland-Europe</v>
      </c>
      <c r="N822" s="14" t="str">
        <f>IFERROR(__xludf.DUMMYFUNCTION("""COMPUTED_VALUE"""),"2001")</f>
        <v>2001</v>
      </c>
      <c r="O822" s="14">
        <f>IFERROR(__xludf.DUMMYFUNCTION("""COMPUTED_VALUE"""),2.442E9)</f>
        <v>2442000000</v>
      </c>
      <c r="P822" s="15">
        <f>IFERROR(__xludf.DUMMYFUNCTION("ARRAYFORMULA(VLOOKUP(A822,IMPORTRANGE(""https://docs.google.com/spreadsheets/d/1BuTWp7qHGjWhqrnf-OmePP568O4A5Am9ttzvVdP67zw/edit#gid=771602874"" ,""HUMAN RESOURCES!$A$2:$M$2692""), {2,3,4,5,6,7,8,9,10,11,12,13},0))"),0.011)</f>
        <v>0.011</v>
      </c>
      <c r="Q822" s="14">
        <f>IFERROR(__xludf.DUMMYFUNCTION("""COMPUTED_VALUE"""),0.003)</f>
        <v>0.003</v>
      </c>
      <c r="R822" s="14">
        <f>IFERROR(__xludf.DUMMYFUNCTION("""COMPUTED_VALUE"""),82.0)</f>
        <v>82</v>
      </c>
      <c r="S822" s="14">
        <f>IFERROR(__xludf.DUMMYFUNCTION("""COMPUTED_VALUE"""),75.0)</f>
        <v>75</v>
      </c>
      <c r="T822" s="14">
        <f>IFERROR(__xludf.DUMMYFUNCTION("""COMPUTED_VALUE"""),0.18)</f>
        <v>0.18</v>
      </c>
      <c r="U822" s="14">
        <f>IFERROR(__xludf.DUMMYFUNCTION("""COMPUTED_VALUE"""),0.669)</f>
        <v>0.669</v>
      </c>
      <c r="V822" s="14">
        <f>IFERROR(__xludf.DUMMYFUNCTION("""COMPUTED_VALUE"""),0.151)</f>
        <v>0.151</v>
      </c>
      <c r="W822" s="14">
        <f>IFERROR(__xludf.DUMMYFUNCTION("""COMPUTED_VALUE"""),5188008.0)</f>
        <v>5188008</v>
      </c>
      <c r="X822" s="14">
        <f>IFERROR(__xludf.DUMMYFUNCTION("""COMPUTED_VALUE"""),0.824)</f>
        <v>0.824</v>
      </c>
      <c r="Y822" s="14" t="str">
        <f>IFERROR(__xludf.DUMMYFUNCTION("""COMPUTED_VALUE"""),"Finland-Europe")</f>
        <v>Finland-Europe</v>
      </c>
      <c r="Z822" s="14" t="str">
        <f>IFERROR(__xludf.DUMMYFUNCTION("""COMPUTED_VALUE"""),"Europe")</f>
        <v>Europe</v>
      </c>
      <c r="AA822" s="14" t="str">
        <f>IFERROR(__xludf.DUMMYFUNCTION("""COMPUTED_VALUE"""),"2001")</f>
        <v>2001</v>
      </c>
      <c r="AB822" s="15" t="str">
        <f>IFERROR(__xludf.DUMMYFUNCTION("ARRAYFORMULA(VLOOKUP(A822,IMPORTRANGE(""https://docs.google.com/spreadsheets/d/1BuTWp7qHGjWhqrnf-OmePP568O4A5Am9ttzvVdP67zw/edit#gid=1931367683"" ,""ENERGY!$A$2:$F$2692""), {2,3,4,5,6},0))"),"Europe")</f>
        <v>Europe</v>
      </c>
      <c r="AC822" s="14" t="str">
        <f>IFERROR(__xludf.DUMMYFUNCTION("""COMPUTED_VALUE"""),"Finland-Europe")</f>
        <v>Finland-Europe</v>
      </c>
      <c r="AD822" s="14" t="str">
        <f>IFERROR(__xludf.DUMMYFUNCTION("""COMPUTED_VALUE"""),"2001")</f>
        <v>2001</v>
      </c>
      <c r="AE822" s="14">
        <f>IFERROR(__xludf.DUMMYFUNCTION("""COMPUTED_VALUE"""),34749.0)</f>
        <v>34749</v>
      </c>
      <c r="AF822" s="14"/>
    </row>
    <row r="823">
      <c r="A823" s="12">
        <v>822.0</v>
      </c>
      <c r="B823" s="12" t="s">
        <v>142</v>
      </c>
      <c r="C823" s="5" t="s">
        <v>75</v>
      </c>
      <c r="D823" s="8"/>
      <c r="E823" s="8"/>
      <c r="F823" s="8"/>
      <c r="G823" s="8"/>
      <c r="H823" s="11">
        <v>0.624</v>
      </c>
      <c r="I823" s="11">
        <v>0.869</v>
      </c>
      <c r="J823" s="9" t="s">
        <v>63</v>
      </c>
      <c r="K823" s="14" t="str">
        <f>IFERROR(__xludf.DUMMYFUNCTION("ARRAYFORMULA(VLOOKUP(A823,IMPORTRANGE(""https://docs.google.com/spreadsheets/d/1BuTWp7qHGjWhqrnf-OmePP568O4A5Am9ttzvVdP67zw/edit#gid=1603210130"", ""TOURISM!$A$2:$F$2692""), {2,3,4,5,6},0))"),"Europe")</f>
        <v>Europe</v>
      </c>
      <c r="L823" s="14">
        <f>IFERROR(__xludf.DUMMYFUNCTION("""COMPUTED_VALUE"""),2.235E9)</f>
        <v>2235000000</v>
      </c>
      <c r="M823" s="14" t="str">
        <f>IFERROR(__xludf.DUMMYFUNCTION("""COMPUTED_VALUE"""),"Finland-Europe")</f>
        <v>Finland-Europe</v>
      </c>
      <c r="N823" s="14" t="str">
        <f>IFERROR(__xludf.DUMMYFUNCTION("""COMPUTED_VALUE"""),"2002")</f>
        <v>2002</v>
      </c>
      <c r="O823" s="14">
        <f>IFERROR(__xludf.DUMMYFUNCTION("""COMPUTED_VALUE"""),2.438E9)</f>
        <v>2438000000</v>
      </c>
      <c r="P823" s="15">
        <f>IFERROR(__xludf.DUMMYFUNCTION("ARRAYFORMULA(VLOOKUP(A823,IMPORTRANGE(""https://docs.google.com/spreadsheets/d/1BuTWp7qHGjWhqrnf-OmePP568O4A5Am9ttzvVdP67zw/edit#gid=771602874"" ,""HUMAN RESOURCES!$A$2:$M$2692""), {2,3,4,5,6,7,8,9,10,11,12,13},0))"),0.011)</f>
        <v>0.011</v>
      </c>
      <c r="Q823" s="14">
        <f>IFERROR(__xludf.DUMMYFUNCTION("""COMPUTED_VALUE"""),0.003)</f>
        <v>0.003</v>
      </c>
      <c r="R823" s="14">
        <f>IFERROR(__xludf.DUMMYFUNCTION("""COMPUTED_VALUE"""),82.0)</f>
        <v>82</v>
      </c>
      <c r="S823" s="14">
        <f>IFERROR(__xludf.DUMMYFUNCTION("""COMPUTED_VALUE"""),75.0)</f>
        <v>75</v>
      </c>
      <c r="T823" s="14">
        <f>IFERROR(__xludf.DUMMYFUNCTION("""COMPUTED_VALUE"""),0.178)</f>
        <v>0.178</v>
      </c>
      <c r="U823" s="14">
        <f>IFERROR(__xludf.DUMMYFUNCTION("""COMPUTED_VALUE"""),0.669)</f>
        <v>0.669</v>
      </c>
      <c r="V823" s="14">
        <f>IFERROR(__xludf.DUMMYFUNCTION("""COMPUTED_VALUE"""),0.153)</f>
        <v>0.153</v>
      </c>
      <c r="W823" s="14">
        <f>IFERROR(__xludf.DUMMYFUNCTION("""COMPUTED_VALUE"""),5200598.0)</f>
        <v>5200598</v>
      </c>
      <c r="X823" s="14">
        <f>IFERROR(__xludf.DUMMYFUNCTION("""COMPUTED_VALUE"""),0.825)</f>
        <v>0.825</v>
      </c>
      <c r="Y823" s="14" t="str">
        <f>IFERROR(__xludf.DUMMYFUNCTION("""COMPUTED_VALUE"""),"Finland-Europe")</f>
        <v>Finland-Europe</v>
      </c>
      <c r="Z823" s="14" t="str">
        <f>IFERROR(__xludf.DUMMYFUNCTION("""COMPUTED_VALUE"""),"Europe")</f>
        <v>Europe</v>
      </c>
      <c r="AA823" s="14" t="str">
        <f>IFERROR(__xludf.DUMMYFUNCTION("""COMPUTED_VALUE"""),"2002")</f>
        <v>2002</v>
      </c>
      <c r="AB823" s="15" t="str">
        <f>IFERROR(__xludf.DUMMYFUNCTION("ARRAYFORMULA(VLOOKUP(A823,IMPORTRANGE(""https://docs.google.com/spreadsheets/d/1BuTWp7qHGjWhqrnf-OmePP568O4A5Am9ttzvVdP67zw/edit#gid=1931367683"" ,""ENERGY!$A$2:$F$2692""), {2,3,4,5,6},0))"),"Europe")</f>
        <v>Europe</v>
      </c>
      <c r="AC823" s="14" t="str">
        <f>IFERROR(__xludf.DUMMYFUNCTION("""COMPUTED_VALUE"""),"Finland-Europe")</f>
        <v>Finland-Europe</v>
      </c>
      <c r="AD823" s="14" t="str">
        <f>IFERROR(__xludf.DUMMYFUNCTION("""COMPUTED_VALUE"""),"2002")</f>
        <v>2002</v>
      </c>
      <c r="AE823" s="14">
        <f>IFERROR(__xludf.DUMMYFUNCTION("""COMPUTED_VALUE"""),36429.0)</f>
        <v>36429</v>
      </c>
      <c r="AF823" s="14">
        <f>IFERROR(__xludf.DUMMYFUNCTION("""COMPUTED_VALUE"""),61844.0)</f>
        <v>61844</v>
      </c>
    </row>
    <row r="824">
      <c r="A824" s="12">
        <v>823.0</v>
      </c>
      <c r="B824" s="12" t="s">
        <v>142</v>
      </c>
      <c r="C824" s="5" t="s">
        <v>75</v>
      </c>
      <c r="D824" s="8"/>
      <c r="E824" s="11">
        <v>31.0</v>
      </c>
      <c r="F824" s="8"/>
      <c r="G824" s="8"/>
      <c r="H824" s="11">
        <v>0.692</v>
      </c>
      <c r="I824" s="11">
        <v>0.911</v>
      </c>
      <c r="J824" s="9" t="s">
        <v>64</v>
      </c>
      <c r="K824" s="14" t="str">
        <f>IFERROR(__xludf.DUMMYFUNCTION("ARRAYFORMULA(VLOOKUP(A824,IMPORTRANGE(""https://docs.google.com/spreadsheets/d/1BuTWp7qHGjWhqrnf-OmePP568O4A5Am9ttzvVdP67zw/edit#gid=1603210130"", ""TOURISM!$A$2:$F$2692""), {2,3,4,5,6},0))"),"Europe")</f>
        <v>Europe</v>
      </c>
      <c r="L824" s="14">
        <f>IFERROR(__xludf.DUMMYFUNCTION("""COMPUTED_VALUE"""),2.676E9)</f>
        <v>2676000000</v>
      </c>
      <c r="M824" s="14" t="str">
        <f>IFERROR(__xludf.DUMMYFUNCTION("""COMPUTED_VALUE"""),"Finland-Europe")</f>
        <v>Finland-Europe</v>
      </c>
      <c r="N824" s="14" t="str">
        <f>IFERROR(__xludf.DUMMYFUNCTION("""COMPUTED_VALUE"""),"2003")</f>
        <v>2003</v>
      </c>
      <c r="O824" s="14">
        <f>IFERROR(__xludf.DUMMYFUNCTION("""COMPUTED_VALUE"""),2.954E9)</f>
        <v>2954000000</v>
      </c>
      <c r="P824" s="15">
        <f>IFERROR(__xludf.DUMMYFUNCTION("ARRAYFORMULA(VLOOKUP(A824,IMPORTRANGE(""https://docs.google.com/spreadsheets/d/1BuTWp7qHGjWhqrnf-OmePP568O4A5Am9ttzvVdP67zw/edit#gid=771602874"" ,""HUMAN RESOURCES!$A$2:$M$2692""), {2,3,4,5,6,7,8,9,10,11,12,13},0))"),0.011)</f>
        <v>0.011</v>
      </c>
      <c r="Q824" s="14">
        <f>IFERROR(__xludf.DUMMYFUNCTION("""COMPUTED_VALUE"""),0.003)</f>
        <v>0.003</v>
      </c>
      <c r="R824" s="14">
        <f>IFERROR(__xludf.DUMMYFUNCTION("""COMPUTED_VALUE"""),82.0)</f>
        <v>82</v>
      </c>
      <c r="S824" s="14">
        <f>IFERROR(__xludf.DUMMYFUNCTION("""COMPUTED_VALUE"""),75.0)</f>
        <v>75</v>
      </c>
      <c r="T824" s="14">
        <f>IFERROR(__xludf.DUMMYFUNCTION("""COMPUTED_VALUE"""),0.177)</f>
        <v>0.177</v>
      </c>
      <c r="U824" s="14">
        <f>IFERROR(__xludf.DUMMYFUNCTION("""COMPUTED_VALUE"""),0.668)</f>
        <v>0.668</v>
      </c>
      <c r="V824" s="14">
        <f>IFERROR(__xludf.DUMMYFUNCTION("""COMPUTED_VALUE"""),0.155)</f>
        <v>0.155</v>
      </c>
      <c r="W824" s="14">
        <f>IFERROR(__xludf.DUMMYFUNCTION("""COMPUTED_VALUE"""),5213014.0)</f>
        <v>5213014</v>
      </c>
      <c r="X824" s="14">
        <f>IFERROR(__xludf.DUMMYFUNCTION("""COMPUTED_VALUE"""),0.826)</f>
        <v>0.826</v>
      </c>
      <c r="Y824" s="14" t="str">
        <f>IFERROR(__xludf.DUMMYFUNCTION("""COMPUTED_VALUE"""),"Finland-Europe")</f>
        <v>Finland-Europe</v>
      </c>
      <c r="Z824" s="14" t="str">
        <f>IFERROR(__xludf.DUMMYFUNCTION("""COMPUTED_VALUE"""),"Europe")</f>
        <v>Europe</v>
      </c>
      <c r="AA824" s="14" t="str">
        <f>IFERROR(__xludf.DUMMYFUNCTION("""COMPUTED_VALUE"""),"2003")</f>
        <v>2003</v>
      </c>
      <c r="AB824" s="15" t="str">
        <f>IFERROR(__xludf.DUMMYFUNCTION("ARRAYFORMULA(VLOOKUP(A824,IMPORTRANGE(""https://docs.google.com/spreadsheets/d/1BuTWp7qHGjWhqrnf-OmePP568O4A5Am9ttzvVdP67zw/edit#gid=1931367683"" ,""ENERGY!$A$2:$F$2692""), {2,3,4,5,6},0))"),"Europe")</f>
        <v>Europe</v>
      </c>
      <c r="AC824" s="14" t="str">
        <f>IFERROR(__xludf.DUMMYFUNCTION("""COMPUTED_VALUE"""),"Finland-Europe")</f>
        <v>Finland-Europe</v>
      </c>
      <c r="AD824" s="14" t="str">
        <f>IFERROR(__xludf.DUMMYFUNCTION("""COMPUTED_VALUE"""),"2003")</f>
        <v>2003</v>
      </c>
      <c r="AE824" s="14">
        <f>IFERROR(__xludf.DUMMYFUNCTION("""COMPUTED_VALUE"""),33259.0)</f>
        <v>33259</v>
      </c>
      <c r="AF824" s="14">
        <f>IFERROR(__xludf.DUMMYFUNCTION("""COMPUTED_VALUE"""),53168.0)</f>
        <v>53168</v>
      </c>
    </row>
    <row r="825">
      <c r="A825" s="12">
        <v>824.0</v>
      </c>
      <c r="B825" s="12" t="s">
        <v>142</v>
      </c>
      <c r="C825" s="5" t="s">
        <v>75</v>
      </c>
      <c r="D825" s="8"/>
      <c r="E825" s="11">
        <v>14.0</v>
      </c>
      <c r="F825" s="8"/>
      <c r="G825" s="8"/>
      <c r="H825" s="11">
        <v>0.724</v>
      </c>
      <c r="I825" s="11">
        <v>0.954</v>
      </c>
      <c r="J825" s="9" t="s">
        <v>65</v>
      </c>
      <c r="K825" s="14" t="str">
        <f>IFERROR(__xludf.DUMMYFUNCTION("ARRAYFORMULA(VLOOKUP(A825,IMPORTRANGE(""https://docs.google.com/spreadsheets/d/1BuTWp7qHGjWhqrnf-OmePP568O4A5Am9ttzvVdP67zw/edit#gid=1603210130"", ""TOURISM!$A$2:$F$2692""), {2,3,4,5,6},0))"),"Europe")</f>
        <v>Europe</v>
      </c>
      <c r="L825" s="14">
        <f>IFERROR(__xludf.DUMMYFUNCTION("""COMPUTED_VALUE"""),2.975E9)</f>
        <v>2975000000</v>
      </c>
      <c r="M825" s="14" t="str">
        <f>IFERROR(__xludf.DUMMYFUNCTION("""COMPUTED_VALUE"""),"Finland-Europe")</f>
        <v>Finland-Europe</v>
      </c>
      <c r="N825" s="14" t="str">
        <f>IFERROR(__xludf.DUMMYFUNCTION("""COMPUTED_VALUE"""),"2004")</f>
        <v>2004</v>
      </c>
      <c r="O825" s="14">
        <f>IFERROR(__xludf.DUMMYFUNCTION("""COMPUTED_VALUE"""),3.383E9)</f>
        <v>3383000000</v>
      </c>
      <c r="P825" s="15">
        <f>IFERROR(__xludf.DUMMYFUNCTION("ARRAYFORMULA(VLOOKUP(A825,IMPORTRANGE(""https://docs.google.com/spreadsheets/d/1BuTWp7qHGjWhqrnf-OmePP568O4A5Am9ttzvVdP67zw/edit#gid=771602874"" ,""HUMAN RESOURCES!$A$2:$M$2692""), {2,3,4,5,6,7,8,9,10,11,12,13},0))"),0.011)</f>
        <v>0.011</v>
      </c>
      <c r="Q825" s="14">
        <f>IFERROR(__xludf.DUMMYFUNCTION("""COMPUTED_VALUE"""),0.003)</f>
        <v>0.003</v>
      </c>
      <c r="R825" s="14">
        <f>IFERROR(__xludf.DUMMYFUNCTION("""COMPUTED_VALUE"""),82.0)</f>
        <v>82</v>
      </c>
      <c r="S825" s="14">
        <f>IFERROR(__xludf.DUMMYFUNCTION("""COMPUTED_VALUE"""),75.0)</f>
        <v>75</v>
      </c>
      <c r="T825" s="14">
        <f>IFERROR(__xludf.DUMMYFUNCTION("""COMPUTED_VALUE"""),0.175)</f>
        <v>0.175</v>
      </c>
      <c r="U825" s="14">
        <f>IFERROR(__xludf.DUMMYFUNCTION("""COMPUTED_VALUE"""),0.667)</f>
        <v>0.667</v>
      </c>
      <c r="V825" s="14">
        <f>IFERROR(__xludf.DUMMYFUNCTION("""COMPUTED_VALUE"""),0.157)</f>
        <v>0.157</v>
      </c>
      <c r="W825" s="14">
        <f>IFERROR(__xludf.DUMMYFUNCTION("""COMPUTED_VALUE"""),5228172.0)</f>
        <v>5228172</v>
      </c>
      <c r="X825" s="14">
        <f>IFERROR(__xludf.DUMMYFUNCTION("""COMPUTED_VALUE"""),0.828)</f>
        <v>0.828</v>
      </c>
      <c r="Y825" s="14" t="str">
        <f>IFERROR(__xludf.DUMMYFUNCTION("""COMPUTED_VALUE"""),"Finland-Europe")</f>
        <v>Finland-Europe</v>
      </c>
      <c r="Z825" s="14" t="str">
        <f>IFERROR(__xludf.DUMMYFUNCTION("""COMPUTED_VALUE"""),"Europe")</f>
        <v>Europe</v>
      </c>
      <c r="AA825" s="14" t="str">
        <f>IFERROR(__xludf.DUMMYFUNCTION("""COMPUTED_VALUE"""),"2004")</f>
        <v>2004</v>
      </c>
      <c r="AB825" s="15" t="str">
        <f>IFERROR(__xludf.DUMMYFUNCTION("ARRAYFORMULA(VLOOKUP(A825,IMPORTRANGE(""https://docs.google.com/spreadsheets/d/1BuTWp7qHGjWhqrnf-OmePP568O4A5Am9ttzvVdP67zw/edit#gid=1931367683"" ,""ENERGY!$A$2:$F$2692""), {2,3,4,5,6},0))"),"Europe")</f>
        <v>Europe</v>
      </c>
      <c r="AC825" s="14" t="str">
        <f>IFERROR(__xludf.DUMMYFUNCTION("""COMPUTED_VALUE"""),"Finland-Europe")</f>
        <v>Finland-Europe</v>
      </c>
      <c r="AD825" s="14" t="str">
        <f>IFERROR(__xludf.DUMMYFUNCTION("""COMPUTED_VALUE"""),"2004")</f>
        <v>2004</v>
      </c>
      <c r="AE825" s="14">
        <f>IFERROR(__xludf.DUMMYFUNCTION("""COMPUTED_VALUE"""),35284.0)</f>
        <v>35284</v>
      </c>
      <c r="AF825" s="14">
        <f>IFERROR(__xludf.DUMMYFUNCTION("""COMPUTED_VALUE"""),56593.0)</f>
        <v>56593</v>
      </c>
    </row>
    <row r="826">
      <c r="A826" s="12">
        <v>825.0</v>
      </c>
      <c r="B826" s="12" t="s">
        <v>142</v>
      </c>
      <c r="C826" s="5" t="s">
        <v>75</v>
      </c>
      <c r="D826" s="11">
        <v>0.495</v>
      </c>
      <c r="E826" s="11">
        <v>14.0</v>
      </c>
      <c r="F826" s="8"/>
      <c r="G826" s="11">
        <v>269.0</v>
      </c>
      <c r="H826" s="11">
        <v>0.745</v>
      </c>
      <c r="I826" s="11">
        <v>1.005</v>
      </c>
      <c r="J826" s="9" t="s">
        <v>66</v>
      </c>
      <c r="K826" s="14" t="str">
        <f>IFERROR(__xludf.DUMMYFUNCTION("ARRAYFORMULA(VLOOKUP(A826,IMPORTRANGE(""https://docs.google.com/spreadsheets/d/1BuTWp7qHGjWhqrnf-OmePP568O4A5Am9ttzvVdP67zw/edit#gid=1603210130"", ""TOURISM!$A$2:$F$2692""), {2,3,4,5,6},0))"),"Europe")</f>
        <v>Europe</v>
      </c>
      <c r="L826" s="14">
        <f>IFERROR(__xludf.DUMMYFUNCTION("""COMPUTED_VALUE"""),3.069E9)</f>
        <v>3069000000</v>
      </c>
      <c r="M826" s="14" t="str">
        <f>IFERROR(__xludf.DUMMYFUNCTION("""COMPUTED_VALUE"""),"Finland-Europe")</f>
        <v>Finland-Europe</v>
      </c>
      <c r="N826" s="14" t="str">
        <f>IFERROR(__xludf.DUMMYFUNCTION("""COMPUTED_VALUE"""),"2005")</f>
        <v>2005</v>
      </c>
      <c r="O826" s="14">
        <f>IFERROR(__xludf.DUMMYFUNCTION("""COMPUTED_VALUE"""),3.622E9)</f>
        <v>3622000000</v>
      </c>
      <c r="P826" s="15">
        <f>IFERROR(__xludf.DUMMYFUNCTION("ARRAYFORMULA(VLOOKUP(A826,IMPORTRANGE(""https://docs.google.com/spreadsheets/d/1BuTWp7qHGjWhqrnf-OmePP568O4A5Am9ttzvVdP67zw/edit#gid=771602874"" ,""HUMAN RESOURCES!$A$2:$M$2692""), {2,3,4,5,6,7,8,9,10,11,12,13},0))"),0.011)</f>
        <v>0.011</v>
      </c>
      <c r="Q826" s="14">
        <f>IFERROR(__xludf.DUMMYFUNCTION("""COMPUTED_VALUE"""),0.003)</f>
        <v>0.003</v>
      </c>
      <c r="R826" s="14">
        <f>IFERROR(__xludf.DUMMYFUNCTION("""COMPUTED_VALUE"""),82.0)</f>
        <v>82</v>
      </c>
      <c r="S826" s="14">
        <f>IFERROR(__xludf.DUMMYFUNCTION("""COMPUTED_VALUE"""),76.0)</f>
        <v>76</v>
      </c>
      <c r="T826" s="14">
        <f>IFERROR(__xludf.DUMMYFUNCTION("""COMPUTED_VALUE"""),0.174)</f>
        <v>0.174</v>
      </c>
      <c r="U826" s="14">
        <f>IFERROR(__xludf.DUMMYFUNCTION("""COMPUTED_VALUE"""),0.667)</f>
        <v>0.667</v>
      </c>
      <c r="V826" s="14">
        <f>IFERROR(__xludf.DUMMYFUNCTION("""COMPUTED_VALUE"""),0.159)</f>
        <v>0.159</v>
      </c>
      <c r="W826" s="14">
        <f>IFERROR(__xludf.DUMMYFUNCTION("""COMPUTED_VALUE"""),5246096.0)</f>
        <v>5246096</v>
      </c>
      <c r="X826" s="14">
        <f>IFERROR(__xludf.DUMMYFUNCTION("""COMPUTED_VALUE"""),0.829)</f>
        <v>0.829</v>
      </c>
      <c r="Y826" s="14" t="str">
        <f>IFERROR(__xludf.DUMMYFUNCTION("""COMPUTED_VALUE"""),"Finland-Europe")</f>
        <v>Finland-Europe</v>
      </c>
      <c r="Z826" s="14" t="str">
        <f>IFERROR(__xludf.DUMMYFUNCTION("""COMPUTED_VALUE"""),"Europe")</f>
        <v>Europe</v>
      </c>
      <c r="AA826" s="14" t="str">
        <f>IFERROR(__xludf.DUMMYFUNCTION("""COMPUTED_VALUE"""),"2005")</f>
        <v>2005</v>
      </c>
      <c r="AB826" s="15" t="str">
        <f>IFERROR(__xludf.DUMMYFUNCTION("ARRAYFORMULA(VLOOKUP(A826,IMPORTRANGE(""https://docs.google.com/spreadsheets/d/1BuTWp7qHGjWhqrnf-OmePP568O4A5Am9ttzvVdP67zw/edit#gid=1931367683"" ,""ENERGY!$A$2:$F$2692""), {2,3,4,5,6},0))"),"Europe")</f>
        <v>Europe</v>
      </c>
      <c r="AC826" s="14" t="str">
        <f>IFERROR(__xludf.DUMMYFUNCTION("""COMPUTED_VALUE"""),"Finland-Europe")</f>
        <v>Finland-Europe</v>
      </c>
      <c r="AD826" s="14" t="str">
        <f>IFERROR(__xludf.DUMMYFUNCTION("""COMPUTED_VALUE"""),"2006")</f>
        <v>2006</v>
      </c>
      <c r="AE826" s="14">
        <f>IFERROR(__xludf.DUMMYFUNCTION("""COMPUTED_VALUE"""),36803.0)</f>
        <v>36803</v>
      </c>
      <c r="AF826" s="14">
        <f>IFERROR(__xludf.DUMMYFUNCTION("""COMPUTED_VALUE"""),63982.0)</f>
        <v>63982</v>
      </c>
    </row>
    <row r="827">
      <c r="A827" s="12">
        <v>826.0</v>
      </c>
      <c r="B827" s="12" t="s">
        <v>142</v>
      </c>
      <c r="C827" s="5" t="s">
        <v>75</v>
      </c>
      <c r="D827" s="11">
        <v>0.477</v>
      </c>
      <c r="E827" s="11">
        <v>14.0</v>
      </c>
      <c r="F827" s="8"/>
      <c r="G827" s="11">
        <v>269.0</v>
      </c>
      <c r="H827" s="11">
        <v>0.797</v>
      </c>
      <c r="I827" s="11">
        <v>1.076</v>
      </c>
      <c r="J827" s="9" t="s">
        <v>67</v>
      </c>
      <c r="K827" s="14" t="str">
        <f>IFERROR(__xludf.DUMMYFUNCTION("ARRAYFORMULA(VLOOKUP(A827,IMPORTRANGE(""https://docs.google.com/spreadsheets/d/1BuTWp7qHGjWhqrnf-OmePP568O4A5Am9ttzvVdP67zw/edit#gid=1603210130"", ""TOURISM!$A$2:$F$2692""), {2,3,4,5,6},0))"),"Europe")</f>
        <v>Europe</v>
      </c>
      <c r="L827" s="14">
        <f>IFERROR(__xludf.DUMMYFUNCTION("""COMPUTED_VALUE"""),3.515E9)</f>
        <v>3515000000</v>
      </c>
      <c r="M827" s="14" t="str">
        <f>IFERROR(__xludf.DUMMYFUNCTION("""COMPUTED_VALUE"""),"Finland-Europe")</f>
        <v>Finland-Europe</v>
      </c>
      <c r="N827" s="14" t="str">
        <f>IFERROR(__xludf.DUMMYFUNCTION("""COMPUTED_VALUE"""),"2006")</f>
        <v>2006</v>
      </c>
      <c r="O827" s="14">
        <f>IFERROR(__xludf.DUMMYFUNCTION("""COMPUTED_VALUE"""),4.099E9)</f>
        <v>4099000000</v>
      </c>
      <c r="P827" s="15">
        <f>IFERROR(__xludf.DUMMYFUNCTION("ARRAYFORMULA(VLOOKUP(A827,IMPORTRANGE(""https://docs.google.com/spreadsheets/d/1BuTWp7qHGjWhqrnf-OmePP568O4A5Am9ttzvVdP67zw/edit#gid=771602874"" ,""HUMAN RESOURCES!$A$2:$M$2692""), {2,3,4,5,6,7,8,9,10,11,12,13},0))"),0.011)</f>
        <v>0.011</v>
      </c>
      <c r="Q827" s="14">
        <f>IFERROR(__xludf.DUMMYFUNCTION("""COMPUTED_VALUE"""),0.003)</f>
        <v>0.003</v>
      </c>
      <c r="R827" s="14">
        <f>IFERROR(__xludf.DUMMYFUNCTION("""COMPUTED_VALUE"""),83.0)</f>
        <v>83</v>
      </c>
      <c r="S827" s="14">
        <f>IFERROR(__xludf.DUMMYFUNCTION("""COMPUTED_VALUE"""),76.0)</f>
        <v>76</v>
      </c>
      <c r="T827" s="14">
        <f>IFERROR(__xludf.DUMMYFUNCTION("""COMPUTED_VALUE"""),0.172)</f>
        <v>0.172</v>
      </c>
      <c r="U827" s="14">
        <f>IFERROR(__xludf.DUMMYFUNCTION("""COMPUTED_VALUE"""),0.667)</f>
        <v>0.667</v>
      </c>
      <c r="V827" s="14">
        <f>IFERROR(__xludf.DUMMYFUNCTION("""COMPUTED_VALUE"""),0.161)</f>
        <v>0.161</v>
      </c>
      <c r="W827" s="14">
        <f>IFERROR(__xludf.DUMMYFUNCTION("""COMPUTED_VALUE"""),5266268.0)</f>
        <v>5266268</v>
      </c>
      <c r="X827" s="14">
        <f>IFERROR(__xludf.DUMMYFUNCTION("""COMPUTED_VALUE"""),0.83)</f>
        <v>0.83</v>
      </c>
      <c r="Y827" s="14" t="str">
        <f>IFERROR(__xludf.DUMMYFUNCTION("""COMPUTED_VALUE"""),"Finland-Europe")</f>
        <v>Finland-Europe</v>
      </c>
      <c r="Z827" s="14" t="str">
        <f>IFERROR(__xludf.DUMMYFUNCTION("""COMPUTED_VALUE"""),"Europe")</f>
        <v>Europe</v>
      </c>
      <c r="AA827" s="14" t="str">
        <f>IFERROR(__xludf.DUMMYFUNCTION("""COMPUTED_VALUE"""),"2006")</f>
        <v>2006</v>
      </c>
      <c r="AB827" s="15" t="str">
        <f>IFERROR(__xludf.DUMMYFUNCTION("ARRAYFORMULA(VLOOKUP(A827,IMPORTRANGE(""https://docs.google.com/spreadsheets/d/1BuTWp7qHGjWhqrnf-OmePP568O4A5Am9ttzvVdP67zw/edit#gid=1931367683"" ,""ENERGY!$A$2:$F$2692""), {2,3,4,5,6},0))"),"Europe")</f>
        <v>Europe</v>
      </c>
      <c r="AC827" s="14" t="str">
        <f>IFERROR(__xludf.DUMMYFUNCTION("""COMPUTED_VALUE"""),"Finland-Europe")</f>
        <v>Finland-Europe</v>
      </c>
      <c r="AD827" s="14" t="str">
        <f>IFERROR(__xludf.DUMMYFUNCTION("""COMPUTED_VALUE"""),"2010")</f>
        <v>2010</v>
      </c>
      <c r="AE827" s="14">
        <f>IFERROR(__xludf.DUMMYFUNCTION("""COMPUTED_VALUE"""),37334.0)</f>
        <v>37334</v>
      </c>
      <c r="AF827" s="14">
        <f>IFERROR(__xludf.DUMMYFUNCTION("""COMPUTED_VALUE"""),66197.0)</f>
        <v>66197</v>
      </c>
    </row>
    <row r="828">
      <c r="A828" s="12">
        <v>827.0</v>
      </c>
      <c r="B828" s="12" t="s">
        <v>142</v>
      </c>
      <c r="C828" s="5" t="s">
        <v>75</v>
      </c>
      <c r="D828" s="11">
        <v>0.478</v>
      </c>
      <c r="E828" s="11">
        <v>14.0</v>
      </c>
      <c r="F828" s="8"/>
      <c r="G828" s="11">
        <v>269.0</v>
      </c>
      <c r="H828" s="11">
        <v>0.808</v>
      </c>
      <c r="I828" s="11">
        <v>1.149</v>
      </c>
      <c r="J828" s="9" t="s">
        <v>68</v>
      </c>
      <c r="K828" s="14" t="str">
        <f>IFERROR(__xludf.DUMMYFUNCTION("ARRAYFORMULA(VLOOKUP(A828,IMPORTRANGE(""https://docs.google.com/spreadsheets/d/1BuTWp7qHGjWhqrnf-OmePP568O4A5Am9ttzvVdP67zw/edit#gid=1603210130"", ""TOURISM!$A$2:$F$2692""), {2,3,4,5,6},0))"),"Europe")</f>
        <v>Europe</v>
      </c>
      <c r="L828" s="14">
        <f>IFERROR(__xludf.DUMMYFUNCTION("""COMPUTED_VALUE"""),4.287E9)</f>
        <v>4287000000</v>
      </c>
      <c r="M828" s="14" t="str">
        <f>IFERROR(__xludf.DUMMYFUNCTION("""COMPUTED_VALUE"""),"Finland-Europe")</f>
        <v>Finland-Europe</v>
      </c>
      <c r="N828" s="14" t="str">
        <f>IFERROR(__xludf.DUMMYFUNCTION("""COMPUTED_VALUE"""),"2007")</f>
        <v>2007</v>
      </c>
      <c r="O828" s="14">
        <f>IFERROR(__xludf.DUMMYFUNCTION("""COMPUTED_VALUE"""),4.812E9)</f>
        <v>4812000000</v>
      </c>
      <c r="P828" s="15">
        <f>IFERROR(__xludf.DUMMYFUNCTION("ARRAYFORMULA(VLOOKUP(A828,IMPORTRANGE(""https://docs.google.com/spreadsheets/d/1BuTWp7qHGjWhqrnf-OmePP568O4A5Am9ttzvVdP67zw/edit#gid=771602874"" ,""HUMAN RESOURCES!$A$2:$M$2692""), {2,3,4,5,6,7,8,9,10,11,12,13},0))"),0.011)</f>
        <v>0.011</v>
      </c>
      <c r="Q828" s="14">
        <f>IFERROR(__xludf.DUMMYFUNCTION("""COMPUTED_VALUE"""),0.003)</f>
        <v>0.003</v>
      </c>
      <c r="R828" s="14">
        <f>IFERROR(__xludf.DUMMYFUNCTION("""COMPUTED_VALUE"""),83.0)</f>
        <v>83</v>
      </c>
      <c r="S828" s="14">
        <f>IFERROR(__xludf.DUMMYFUNCTION("""COMPUTED_VALUE"""),76.0)</f>
        <v>76</v>
      </c>
      <c r="T828" s="14">
        <f>IFERROR(__xludf.DUMMYFUNCTION("""COMPUTED_VALUE"""),0.17)</f>
        <v>0.17</v>
      </c>
      <c r="U828" s="14">
        <f>IFERROR(__xludf.DUMMYFUNCTION("""COMPUTED_VALUE"""),0.668)</f>
        <v>0.668</v>
      </c>
      <c r="V828" s="14">
        <f>IFERROR(__xludf.DUMMYFUNCTION("""COMPUTED_VALUE"""),0.163)</f>
        <v>0.163</v>
      </c>
      <c r="W828" s="14">
        <f>IFERROR(__xludf.DUMMYFUNCTION("""COMPUTED_VALUE"""),5288720.0)</f>
        <v>5288720</v>
      </c>
      <c r="X828" s="14">
        <f>IFERROR(__xludf.DUMMYFUNCTION("""COMPUTED_VALUE"""),0.832)</f>
        <v>0.832</v>
      </c>
      <c r="Y828" s="14" t="str">
        <f>IFERROR(__xludf.DUMMYFUNCTION("""COMPUTED_VALUE"""),"Finland-Europe")</f>
        <v>Finland-Europe</v>
      </c>
      <c r="Z828" s="14" t="str">
        <f>IFERROR(__xludf.DUMMYFUNCTION("""COMPUTED_VALUE"""),"Europe")</f>
        <v>Europe</v>
      </c>
      <c r="AA828" s="14" t="str">
        <f>IFERROR(__xludf.DUMMYFUNCTION("""COMPUTED_VALUE"""),"2007")</f>
        <v>2007</v>
      </c>
      <c r="AB828" s="15" t="str">
        <f>IFERROR(__xludf.DUMMYFUNCTION("ARRAYFORMULA(VLOOKUP(A828,IMPORTRANGE(""https://docs.google.com/spreadsheets/d/1BuTWp7qHGjWhqrnf-OmePP568O4A5Am9ttzvVdP67zw/edit#gid=1931367683"" ,""ENERGY!$A$2:$F$2692""), {2,3,4,5,6},0))"),"Europe")</f>
        <v>Europe</v>
      </c>
      <c r="AC828" s="14" t="str">
        <f>IFERROR(__xludf.DUMMYFUNCTION("""COMPUTED_VALUE"""),"Finland-Europe")</f>
        <v>Finland-Europe</v>
      </c>
      <c r="AD828" s="14" t="str">
        <f>IFERROR(__xludf.DUMMYFUNCTION("""COMPUTED_VALUE"""),"2007")</f>
        <v>2007</v>
      </c>
      <c r="AE828" s="14">
        <f>IFERROR(__xludf.DUMMYFUNCTION("""COMPUTED_VALUE"""),34263.0)</f>
        <v>34263</v>
      </c>
      <c r="AF828" s="14">
        <f>IFERROR(__xludf.DUMMYFUNCTION("""COMPUTED_VALUE"""),54646.0)</f>
        <v>54646</v>
      </c>
    </row>
    <row r="829">
      <c r="A829" s="12">
        <v>828.0</v>
      </c>
      <c r="B829" s="12" t="s">
        <v>142</v>
      </c>
      <c r="C829" s="5" t="s">
        <v>75</v>
      </c>
      <c r="D829" s="11">
        <v>0.478</v>
      </c>
      <c r="E829" s="11">
        <v>14.0</v>
      </c>
      <c r="F829" s="8"/>
      <c r="G829" s="11">
        <v>269.0</v>
      </c>
      <c r="H829" s="11">
        <v>0.837</v>
      </c>
      <c r="I829" s="11">
        <v>1.284</v>
      </c>
      <c r="J829" s="9" t="s">
        <v>69</v>
      </c>
      <c r="K829" s="14" t="str">
        <f>IFERROR(__xludf.DUMMYFUNCTION("ARRAYFORMULA(VLOOKUP(A829,IMPORTRANGE(""https://docs.google.com/spreadsheets/d/1BuTWp7qHGjWhqrnf-OmePP568O4A5Am9ttzvVdP67zw/edit#gid=1603210130"", ""TOURISM!$A$2:$F$2692""), {2,3,4,5,6},0))"),"Europe")</f>
        <v>Europe</v>
      </c>
      <c r="L829" s="14">
        <f>IFERROR(__xludf.DUMMYFUNCTION("""COMPUTED_VALUE"""),4.873E9)</f>
        <v>4873000000</v>
      </c>
      <c r="M829" s="14" t="str">
        <f>IFERROR(__xludf.DUMMYFUNCTION("""COMPUTED_VALUE"""),"Finland-Europe")</f>
        <v>Finland-Europe</v>
      </c>
      <c r="N829" s="14" t="str">
        <f>IFERROR(__xludf.DUMMYFUNCTION("""COMPUTED_VALUE"""),"2008")</f>
        <v>2008</v>
      </c>
      <c r="O829" s="14">
        <f>IFERROR(__xludf.DUMMYFUNCTION("""COMPUTED_VALUE"""),5.579E9)</f>
        <v>5579000000</v>
      </c>
      <c r="P829" s="15">
        <f>IFERROR(__xludf.DUMMYFUNCTION("ARRAYFORMULA(VLOOKUP(A829,IMPORTRANGE(""https://docs.google.com/spreadsheets/d/1BuTWp7qHGjWhqrnf-OmePP568O4A5Am9ttzvVdP67zw/edit#gid=771602874"" ,""HUMAN RESOURCES!$A$2:$M$2692""), {2,3,4,5,6,7,8,9,10,11,12,13},0))"),0.011)</f>
        <v>0.011</v>
      </c>
      <c r="Q829" s="14">
        <f>IFERROR(__xludf.DUMMYFUNCTION("""COMPUTED_VALUE"""),0.003)</f>
        <v>0.003</v>
      </c>
      <c r="R829" s="14">
        <f>IFERROR(__xludf.DUMMYFUNCTION("""COMPUTED_VALUE"""),83.0)</f>
        <v>83</v>
      </c>
      <c r="S829" s="14">
        <f>IFERROR(__xludf.DUMMYFUNCTION("""COMPUTED_VALUE"""),76.0)</f>
        <v>76</v>
      </c>
      <c r="T829" s="14">
        <f>IFERROR(__xludf.DUMMYFUNCTION("""COMPUTED_VALUE"""),0.168)</f>
        <v>0.168</v>
      </c>
      <c r="U829" s="14">
        <f>IFERROR(__xludf.DUMMYFUNCTION("""COMPUTED_VALUE"""),0.668)</f>
        <v>0.668</v>
      </c>
      <c r="V829" s="14">
        <f>IFERROR(__xludf.DUMMYFUNCTION("""COMPUTED_VALUE"""),0.165)</f>
        <v>0.165</v>
      </c>
      <c r="W829" s="14">
        <f>IFERROR(__xludf.DUMMYFUNCTION("""COMPUTED_VALUE"""),5313399.0)</f>
        <v>5313399</v>
      </c>
      <c r="X829" s="14">
        <f>IFERROR(__xludf.DUMMYFUNCTION("""COMPUTED_VALUE"""),0.833)</f>
        <v>0.833</v>
      </c>
      <c r="Y829" s="14" t="str">
        <f>IFERROR(__xludf.DUMMYFUNCTION("""COMPUTED_VALUE"""),"Finland-Europe")</f>
        <v>Finland-Europe</v>
      </c>
      <c r="Z829" s="14" t="str">
        <f>IFERROR(__xludf.DUMMYFUNCTION("""COMPUTED_VALUE"""),"Europe")</f>
        <v>Europe</v>
      </c>
      <c r="AA829" s="14" t="str">
        <f>IFERROR(__xludf.DUMMYFUNCTION("""COMPUTED_VALUE"""),"2008")</f>
        <v>2008</v>
      </c>
      <c r="AB829" s="15" t="str">
        <f>IFERROR(__xludf.DUMMYFUNCTION("ARRAYFORMULA(VLOOKUP(A829,IMPORTRANGE(""https://docs.google.com/spreadsheets/d/1BuTWp7qHGjWhqrnf-OmePP568O4A5Am9ttzvVdP67zw/edit#gid=1931367683"" ,""ENERGY!$A$2:$F$2692""), {2,3,4,5,6},0))"),"Europe")</f>
        <v>Europe</v>
      </c>
      <c r="AC829" s="14" t="str">
        <f>IFERROR(__xludf.DUMMYFUNCTION("""COMPUTED_VALUE"""),"Finland-Europe")</f>
        <v>Finland-Europe</v>
      </c>
      <c r="AD829" s="14" t="str">
        <f>IFERROR(__xludf.DUMMYFUNCTION("""COMPUTED_VALUE"""),"2005")</f>
        <v>2005</v>
      </c>
      <c r="AE829" s="14">
        <f>IFERROR(__xludf.DUMMYFUNCTION("""COMPUTED_VALUE"""),37120.0)</f>
        <v>37120</v>
      </c>
      <c r="AF829" s="14">
        <f>IFERROR(__xludf.DUMMYFUNCTION("""COMPUTED_VALUE"""),67091.0)</f>
        <v>67091</v>
      </c>
    </row>
    <row r="830">
      <c r="A830" s="12">
        <v>829.0</v>
      </c>
      <c r="B830" s="12" t="s">
        <v>142</v>
      </c>
      <c r="C830" s="5" t="s">
        <v>75</v>
      </c>
      <c r="D830" s="11">
        <v>0.477</v>
      </c>
      <c r="E830" s="11">
        <v>14.0</v>
      </c>
      <c r="F830" s="8"/>
      <c r="G830" s="11">
        <v>243.0</v>
      </c>
      <c r="H830" s="11">
        <v>0.825</v>
      </c>
      <c r="I830" s="11">
        <v>1.441</v>
      </c>
      <c r="J830" s="9" t="s">
        <v>70</v>
      </c>
      <c r="K830" s="14" t="str">
        <f>IFERROR(__xludf.DUMMYFUNCTION("ARRAYFORMULA(VLOOKUP(A830,IMPORTRANGE(""https://docs.google.com/spreadsheets/d/1BuTWp7qHGjWhqrnf-OmePP568O4A5Am9ttzvVdP67zw/edit#gid=1603210130"", ""TOURISM!$A$2:$F$2692""), {2,3,4,5,6},0))"),"Europe")</f>
        <v>Europe</v>
      </c>
      <c r="L830" s="14">
        <f>IFERROR(__xludf.DUMMYFUNCTION("""COMPUTED_VALUE"""),4.104E9)</f>
        <v>4104000000</v>
      </c>
      <c r="M830" s="14" t="str">
        <f>IFERROR(__xludf.DUMMYFUNCTION("""COMPUTED_VALUE"""),"Finland-Europe")</f>
        <v>Finland-Europe</v>
      </c>
      <c r="N830" s="14" t="str">
        <f>IFERROR(__xludf.DUMMYFUNCTION("""COMPUTED_VALUE"""),"2009")</f>
        <v>2009</v>
      </c>
      <c r="O830" s="14">
        <f>IFERROR(__xludf.DUMMYFUNCTION("""COMPUTED_VALUE"""),5.226E9)</f>
        <v>5226000000</v>
      </c>
      <c r="P830" s="15">
        <f>IFERROR(__xludf.DUMMYFUNCTION("ARRAYFORMULA(VLOOKUP(A830,IMPORTRANGE(""https://docs.google.com/spreadsheets/d/1BuTWp7qHGjWhqrnf-OmePP568O4A5Am9ttzvVdP67zw/edit#gid=771602874"" ,""HUMAN RESOURCES!$A$2:$M$2692""), {2,3,4,5,6,7,8,9,10,11,12,13},0))"),0.011)</f>
        <v>0.011</v>
      </c>
      <c r="Q830" s="14">
        <f>IFERROR(__xludf.DUMMYFUNCTION("""COMPUTED_VALUE"""),0.003)</f>
        <v>0.003</v>
      </c>
      <c r="R830" s="14">
        <f>IFERROR(__xludf.DUMMYFUNCTION("""COMPUTED_VALUE"""),83.0)</f>
        <v>83</v>
      </c>
      <c r="S830" s="14">
        <f>IFERROR(__xludf.DUMMYFUNCTION("""COMPUTED_VALUE"""),77.0)</f>
        <v>77</v>
      </c>
      <c r="T830" s="14">
        <f>IFERROR(__xludf.DUMMYFUNCTION("""COMPUTED_VALUE"""),0.166)</f>
        <v>0.166</v>
      </c>
      <c r="U830" s="14">
        <f>IFERROR(__xludf.DUMMYFUNCTION("""COMPUTED_VALUE"""),0.666)</f>
        <v>0.666</v>
      </c>
      <c r="V830" s="14">
        <f>IFERROR(__xludf.DUMMYFUNCTION("""COMPUTED_VALUE"""),0.167)</f>
        <v>0.167</v>
      </c>
      <c r="W830" s="14">
        <f>IFERROR(__xludf.DUMMYFUNCTION("""COMPUTED_VALUE"""),5338871.0)</f>
        <v>5338871</v>
      </c>
      <c r="X830" s="14">
        <f>IFERROR(__xludf.DUMMYFUNCTION("""COMPUTED_VALUE"""),0.834)</f>
        <v>0.834</v>
      </c>
      <c r="Y830" s="14" t="str">
        <f>IFERROR(__xludf.DUMMYFUNCTION("""COMPUTED_VALUE"""),"Finland-Europe")</f>
        <v>Finland-Europe</v>
      </c>
      <c r="Z830" s="14" t="str">
        <f>IFERROR(__xludf.DUMMYFUNCTION("""COMPUTED_VALUE"""),"Europe")</f>
        <v>Europe</v>
      </c>
      <c r="AA830" s="14" t="str">
        <f>IFERROR(__xludf.DUMMYFUNCTION("""COMPUTED_VALUE"""),"2009")</f>
        <v>2009</v>
      </c>
      <c r="AB830" s="15" t="str">
        <f>IFERROR(__xludf.DUMMYFUNCTION("ARRAYFORMULA(VLOOKUP(A830,IMPORTRANGE(""https://docs.google.com/spreadsheets/d/1BuTWp7qHGjWhqrnf-OmePP568O4A5Am9ttzvVdP67zw/edit#gid=1931367683"" ,""ENERGY!$A$2:$F$2692""), {2,3,4,5,6},0))"),"Europe")</f>
        <v>Europe</v>
      </c>
      <c r="AC830" s="14" t="str">
        <f>IFERROR(__xludf.DUMMYFUNCTION("""COMPUTED_VALUE"""),"Finland-Europe")</f>
        <v>Finland-Europe</v>
      </c>
      <c r="AD830" s="14" t="str">
        <f>IFERROR(__xludf.DUMMYFUNCTION("""COMPUTED_VALUE"""),"2009")</f>
        <v>2009</v>
      </c>
      <c r="AE830" s="14">
        <f>IFERROR(__xludf.DUMMYFUNCTION("""COMPUTED_VALUE"""),36747.0)</f>
        <v>36747</v>
      </c>
      <c r="AF830" s="14">
        <f>IFERROR(__xludf.DUMMYFUNCTION("""COMPUTED_VALUE"""),68888.0)</f>
        <v>68888</v>
      </c>
    </row>
    <row r="831">
      <c r="A831" s="12">
        <v>830.0</v>
      </c>
      <c r="B831" s="12" t="s">
        <v>142</v>
      </c>
      <c r="C831" s="5" t="s">
        <v>75</v>
      </c>
      <c r="D831" s="11">
        <v>0.408</v>
      </c>
      <c r="E831" s="11">
        <v>14.0</v>
      </c>
      <c r="F831" s="8"/>
      <c r="G831" s="11">
        <v>243.0</v>
      </c>
      <c r="H831" s="11">
        <v>0.869</v>
      </c>
      <c r="I831" s="11">
        <v>1.563</v>
      </c>
      <c r="J831" s="9" t="s">
        <v>71</v>
      </c>
      <c r="K831" s="14" t="str">
        <f>IFERROR(__xludf.DUMMYFUNCTION("ARRAYFORMULA(VLOOKUP(A831,IMPORTRANGE(""https://docs.google.com/spreadsheets/d/1BuTWp7qHGjWhqrnf-OmePP568O4A5Am9ttzvVdP67zw/edit#gid=1603210130"", ""TOURISM!$A$2:$F$2692""), {2,3,4,5,6},0))"),"Europe")</f>
        <v>Europe</v>
      </c>
      <c r="L831" s="14">
        <f>IFERROR(__xludf.DUMMYFUNCTION("""COMPUTED_VALUE"""),4.51E9)</f>
        <v>4510000000</v>
      </c>
      <c r="M831" s="14" t="str">
        <f>IFERROR(__xludf.DUMMYFUNCTION("""COMPUTED_VALUE"""),"Finland-Europe")</f>
        <v>Finland-Europe</v>
      </c>
      <c r="N831" s="14" t="str">
        <f>IFERROR(__xludf.DUMMYFUNCTION("""COMPUTED_VALUE"""),"2010")</f>
        <v>2010</v>
      </c>
      <c r="O831" s="14">
        <f>IFERROR(__xludf.DUMMYFUNCTION("""COMPUTED_VALUE"""),5.267E9)</f>
        <v>5267000000</v>
      </c>
      <c r="P831" s="15">
        <f>IFERROR(__xludf.DUMMYFUNCTION("ARRAYFORMULA(VLOOKUP(A831,IMPORTRANGE(""https://docs.google.com/spreadsheets/d/1BuTWp7qHGjWhqrnf-OmePP568O4A5Am9ttzvVdP67zw/edit#gid=771602874"" ,""HUMAN RESOURCES!$A$2:$M$2692""), {2,3,4,5,6,7,8,9,10,11,12,13},0))"),0.011)</f>
        <v>0.011</v>
      </c>
      <c r="Q831" s="14">
        <f>IFERROR(__xludf.DUMMYFUNCTION("""COMPUTED_VALUE"""),0.003)</f>
        <v>0.003</v>
      </c>
      <c r="R831" s="14">
        <f>IFERROR(__xludf.DUMMYFUNCTION("""COMPUTED_VALUE"""),83.0)</f>
        <v>83</v>
      </c>
      <c r="S831" s="14">
        <f>IFERROR(__xludf.DUMMYFUNCTION("""COMPUTED_VALUE"""),77.0)</f>
        <v>77</v>
      </c>
      <c r="T831" s="14">
        <f>IFERROR(__xludf.DUMMYFUNCTION("""COMPUTED_VALUE"""),0.165)</f>
        <v>0.165</v>
      </c>
      <c r="U831" s="14">
        <f>IFERROR(__xludf.DUMMYFUNCTION("""COMPUTED_VALUE"""),0.664)</f>
        <v>0.664</v>
      </c>
      <c r="V831" s="14">
        <f>IFERROR(__xludf.DUMMYFUNCTION("""COMPUTED_VALUE"""),0.171)</f>
        <v>0.171</v>
      </c>
      <c r="W831" s="14">
        <f>IFERROR(__xludf.DUMMYFUNCTION("""COMPUTED_VALUE"""),5363352.0)</f>
        <v>5363352</v>
      </c>
      <c r="X831" s="14">
        <f>IFERROR(__xludf.DUMMYFUNCTION("""COMPUTED_VALUE"""),0.836)</f>
        <v>0.836</v>
      </c>
      <c r="Y831" s="14" t="str">
        <f>IFERROR(__xludf.DUMMYFUNCTION("""COMPUTED_VALUE"""),"Finland-Europe")</f>
        <v>Finland-Europe</v>
      </c>
      <c r="Z831" s="14" t="str">
        <f>IFERROR(__xludf.DUMMYFUNCTION("""COMPUTED_VALUE"""),"Europe")</f>
        <v>Europe</v>
      </c>
      <c r="AA831" s="14" t="str">
        <f>IFERROR(__xludf.DUMMYFUNCTION("""COMPUTED_VALUE"""),"2010")</f>
        <v>2010</v>
      </c>
      <c r="AB831" s="15" t="str">
        <f>IFERROR(__xludf.DUMMYFUNCTION("ARRAYFORMULA(VLOOKUP(A831,IMPORTRANGE(""https://docs.google.com/spreadsheets/d/1BuTWp7qHGjWhqrnf-OmePP568O4A5Am9ttzvVdP67zw/edit#gid=1931367683"" ,""ENERGY!$A$2:$F$2692""), {2,3,4,5,6},0))"),"Europe")</f>
        <v>Europe</v>
      </c>
      <c r="AC831" s="14" t="str">
        <f>IFERROR(__xludf.DUMMYFUNCTION("""COMPUTED_VALUE"""),"Finland-Europe")</f>
        <v>Finland-Europe</v>
      </c>
      <c r="AD831" s="14" t="str">
        <f>IFERROR(__xludf.DUMMYFUNCTION("""COMPUTED_VALUE"""),"2009")</f>
        <v>2009</v>
      </c>
      <c r="AE831" s="14">
        <f>IFERROR(__xludf.DUMMYFUNCTION("""COMPUTED_VALUE"""),34819.0)</f>
        <v>34819</v>
      </c>
      <c r="AF831" s="14">
        <f>IFERROR(__xludf.DUMMYFUNCTION("""COMPUTED_VALUE"""),61078.0)</f>
        <v>61078</v>
      </c>
    </row>
    <row r="832">
      <c r="A832" s="12">
        <v>831.0</v>
      </c>
      <c r="B832" s="12" t="s">
        <v>142</v>
      </c>
      <c r="C832" s="5" t="s">
        <v>75</v>
      </c>
      <c r="D832" s="11">
        <v>0.39</v>
      </c>
      <c r="E832" s="11">
        <v>14.0</v>
      </c>
      <c r="F832" s="8"/>
      <c r="G832" s="11">
        <v>93.0</v>
      </c>
      <c r="H832" s="11">
        <v>0.887</v>
      </c>
      <c r="I832" s="11">
        <v>1.659</v>
      </c>
      <c r="J832" s="9" t="s">
        <v>72</v>
      </c>
      <c r="K832" s="14" t="str">
        <f>IFERROR(__xludf.DUMMYFUNCTION("ARRAYFORMULA(VLOOKUP(A832,IMPORTRANGE(""https://docs.google.com/spreadsheets/d/1BuTWp7qHGjWhqrnf-OmePP568O4A5Am9ttzvVdP67zw/edit#gid=1603210130"", ""TOURISM!$A$2:$F$2692""), {2,3,4,5,6},0))"),"Europe")</f>
        <v>Europe</v>
      </c>
      <c r="L832" s="14">
        <f>IFERROR(__xludf.DUMMYFUNCTION("""COMPUTED_VALUE"""),5.591E9)</f>
        <v>5591000000</v>
      </c>
      <c r="M832" s="14" t="str">
        <f>IFERROR(__xludf.DUMMYFUNCTION("""COMPUTED_VALUE"""),"Finland-Europe")</f>
        <v>Finland-Europe</v>
      </c>
      <c r="N832" s="14" t="str">
        <f>IFERROR(__xludf.DUMMYFUNCTION("""COMPUTED_VALUE"""),"2011")</f>
        <v>2011</v>
      </c>
      <c r="O832" s="14">
        <f>IFERROR(__xludf.DUMMYFUNCTION("""COMPUTED_VALUE"""),6.009E9)</f>
        <v>6009000000</v>
      </c>
      <c r="P832" s="15">
        <f>IFERROR(__xludf.DUMMYFUNCTION("ARRAYFORMULA(VLOOKUP(A832,IMPORTRANGE(""https://docs.google.com/spreadsheets/d/1BuTWp7qHGjWhqrnf-OmePP568O4A5Am9ttzvVdP67zw/edit#gid=771602874"" ,""HUMAN RESOURCES!$A$2:$M$2692""), {2,3,4,5,6,7,8,9,10,11,12,13},0))"),0.011)</f>
        <v>0.011</v>
      </c>
      <c r="Q832" s="14">
        <f>IFERROR(__xludf.DUMMYFUNCTION("""COMPUTED_VALUE"""),0.002)</f>
        <v>0.002</v>
      </c>
      <c r="R832" s="14">
        <f>IFERROR(__xludf.DUMMYFUNCTION("""COMPUTED_VALUE"""),84.0)</f>
        <v>84</v>
      </c>
      <c r="S832" s="14">
        <f>IFERROR(__xludf.DUMMYFUNCTION("""COMPUTED_VALUE"""),77.0)</f>
        <v>77</v>
      </c>
      <c r="T832" s="14">
        <f>IFERROR(__xludf.DUMMYFUNCTION("""COMPUTED_VALUE"""),0.164)</f>
        <v>0.164</v>
      </c>
      <c r="U832" s="14">
        <f>IFERROR(__xludf.DUMMYFUNCTION("""COMPUTED_VALUE"""),0.659)</f>
        <v>0.659</v>
      </c>
      <c r="V832" s="14">
        <f>IFERROR(__xludf.DUMMYFUNCTION("""COMPUTED_VALUE"""),0.177)</f>
        <v>0.177</v>
      </c>
      <c r="W832" s="14">
        <f>IFERROR(__xludf.DUMMYFUNCTION("""COMPUTED_VALUE"""),5388272.0)</f>
        <v>5388272</v>
      </c>
      <c r="X832" s="14">
        <f>IFERROR(__xludf.DUMMYFUNCTION("""COMPUTED_VALUE"""),0.837)</f>
        <v>0.837</v>
      </c>
      <c r="Y832" s="14" t="str">
        <f>IFERROR(__xludf.DUMMYFUNCTION("""COMPUTED_VALUE"""),"Finland-Europe")</f>
        <v>Finland-Europe</v>
      </c>
      <c r="Z832" s="14" t="str">
        <f>IFERROR(__xludf.DUMMYFUNCTION("""COMPUTED_VALUE"""),"Europe")</f>
        <v>Europe</v>
      </c>
      <c r="AA832" s="14" t="str">
        <f>IFERROR(__xludf.DUMMYFUNCTION("""COMPUTED_VALUE"""),"2011")</f>
        <v>2011</v>
      </c>
      <c r="AB832" s="15" t="str">
        <f>IFERROR(__xludf.DUMMYFUNCTION("ARRAYFORMULA(VLOOKUP(A832,IMPORTRANGE(""https://docs.google.com/spreadsheets/d/1BuTWp7qHGjWhqrnf-OmePP568O4A5Am9ttzvVdP67zw/edit#gid=1931367683"" ,""ENERGY!$A$2:$F$2692""), {2,3,4,5,6},0))"),"Europe")</f>
        <v>Europe</v>
      </c>
      <c r="AC832" s="14" t="str">
        <f>IFERROR(__xludf.DUMMYFUNCTION("""COMPUTED_VALUE"""),"Finland-Europe")</f>
        <v>Finland-Europe</v>
      </c>
      <c r="AD832" s="14" t="str">
        <f>IFERROR(__xludf.DUMMYFUNCTION("""COMPUTED_VALUE"""),"2005")</f>
        <v>2005</v>
      </c>
      <c r="AE832" s="14">
        <f>IFERROR(__xludf.DUMMYFUNCTION("""COMPUTED_VALUE"""),33150.0)</f>
        <v>33150</v>
      </c>
      <c r="AF832" s="14">
        <f>IFERROR(__xludf.DUMMYFUNCTION("""COMPUTED_VALUE"""),56424.0)</f>
        <v>56424</v>
      </c>
    </row>
    <row r="833">
      <c r="A833" s="12">
        <v>832.0</v>
      </c>
      <c r="B833" s="12" t="s">
        <v>142</v>
      </c>
      <c r="C833" s="5" t="s">
        <v>75</v>
      </c>
      <c r="D833" s="11">
        <v>0.406</v>
      </c>
      <c r="E833" s="11">
        <v>14.0</v>
      </c>
      <c r="F833" s="11">
        <v>12.0</v>
      </c>
      <c r="G833" s="11">
        <v>93.0</v>
      </c>
      <c r="H833" s="11">
        <v>0.899</v>
      </c>
      <c r="I833" s="11">
        <v>1.723</v>
      </c>
      <c r="J833" s="9" t="s">
        <v>73</v>
      </c>
      <c r="K833" s="14" t="str">
        <f>IFERROR(__xludf.DUMMYFUNCTION("ARRAYFORMULA(VLOOKUP(A833,IMPORTRANGE(""https://docs.google.com/spreadsheets/d/1BuTWp7qHGjWhqrnf-OmePP568O4A5Am9ttzvVdP67zw/edit#gid=1603210130"", ""TOURISM!$A$2:$F$2692""), {2,3,4,5,6},0))"),"Europe")</f>
        <v>Europe</v>
      </c>
      <c r="L833" s="14">
        <f>IFERROR(__xludf.DUMMYFUNCTION("""COMPUTED_VALUE"""),5.415E9)</f>
        <v>5415000000</v>
      </c>
      <c r="M833" s="14" t="str">
        <f>IFERROR(__xludf.DUMMYFUNCTION("""COMPUTED_VALUE"""),"Finland-Europe")</f>
        <v>Finland-Europe</v>
      </c>
      <c r="N833" s="14" t="str">
        <f>IFERROR(__xludf.DUMMYFUNCTION("""COMPUTED_VALUE"""),"2012")</f>
        <v>2012</v>
      </c>
      <c r="O833" s="14">
        <f>IFERROR(__xludf.DUMMYFUNCTION("""COMPUTED_VALUE"""),5.839E9)</f>
        <v>5839000000</v>
      </c>
      <c r="P833" s="15">
        <f>IFERROR(__xludf.DUMMYFUNCTION("ARRAYFORMULA(VLOOKUP(A833,IMPORTRANGE(""https://docs.google.com/spreadsheets/d/1BuTWp7qHGjWhqrnf-OmePP568O4A5Am9ttzvVdP67zw/edit#gid=771602874"" ,""HUMAN RESOURCES!$A$2:$M$2692""), {2,3,4,5,6,7,8,9,10,11,12,13},0))"),0.011)</f>
        <v>0.011</v>
      </c>
      <c r="Q833" s="14">
        <f>IFERROR(__xludf.DUMMYFUNCTION("""COMPUTED_VALUE"""),0.002)</f>
        <v>0.002</v>
      </c>
      <c r="R833" s="14">
        <f>IFERROR(__xludf.DUMMYFUNCTION("""COMPUTED_VALUE"""),84.0)</f>
        <v>84</v>
      </c>
      <c r="S833" s="14">
        <f>IFERROR(__xludf.DUMMYFUNCTION("""COMPUTED_VALUE"""),78.0)</f>
        <v>78</v>
      </c>
      <c r="T833" s="14">
        <f>IFERROR(__xludf.DUMMYFUNCTION("""COMPUTED_VALUE"""),0.164)</f>
        <v>0.164</v>
      </c>
      <c r="U833" s="14">
        <f>IFERROR(__xludf.DUMMYFUNCTION("""COMPUTED_VALUE"""),0.653)</f>
        <v>0.653</v>
      </c>
      <c r="V833" s="14">
        <f>IFERROR(__xludf.DUMMYFUNCTION("""COMPUTED_VALUE"""),0.183)</f>
        <v>0.183</v>
      </c>
      <c r="W833" s="14">
        <f>IFERROR(__xludf.DUMMYFUNCTION("""COMPUTED_VALUE"""),5413971.0)</f>
        <v>5413971</v>
      </c>
      <c r="X833" s="14">
        <f>IFERROR(__xludf.DUMMYFUNCTION("""COMPUTED_VALUE"""),0.838)</f>
        <v>0.838</v>
      </c>
      <c r="Y833" s="14" t="str">
        <f>IFERROR(__xludf.DUMMYFUNCTION("""COMPUTED_VALUE"""),"Finland-Europe")</f>
        <v>Finland-Europe</v>
      </c>
      <c r="Z833" s="14" t="str">
        <f>IFERROR(__xludf.DUMMYFUNCTION("""COMPUTED_VALUE"""),"Europe")</f>
        <v>Europe</v>
      </c>
      <c r="AA833" s="14" t="str">
        <f>IFERROR(__xludf.DUMMYFUNCTION("""COMPUTED_VALUE"""),"2012")</f>
        <v>2012</v>
      </c>
      <c r="AB833" s="15" t="str">
        <f>IFERROR(__xludf.DUMMYFUNCTION("ARRAYFORMULA(VLOOKUP(A833,IMPORTRANGE(""https://docs.google.com/spreadsheets/d/1BuTWp7qHGjWhqrnf-OmePP568O4A5Am9ttzvVdP67zw/edit#gid=1931367683"" ,""ENERGY!$A$2:$F$2692""), {2,3,4,5,6},0))"),"Europe")</f>
        <v>Europe</v>
      </c>
      <c r="AC833" s="14" t="str">
        <f>IFERROR(__xludf.DUMMYFUNCTION("""COMPUTED_VALUE"""),"Finland-Europe")</f>
        <v>Finland-Europe</v>
      </c>
      <c r="AD833" s="14" t="str">
        <f>IFERROR(__xludf.DUMMYFUNCTION("""COMPUTED_VALUE"""),"2009")</f>
        <v>2009</v>
      </c>
      <c r="AE833" s="14">
        <f>IFERROR(__xludf.DUMMYFUNCTION("""COMPUTED_VALUE"""),32233.0)</f>
        <v>32233</v>
      </c>
      <c r="AF833" s="14">
        <f>IFERROR(__xludf.DUMMYFUNCTION("""COMPUTED_VALUE"""),52141.0)</f>
        <v>52141</v>
      </c>
    </row>
    <row r="834">
      <c r="A834" s="12">
        <v>833.0</v>
      </c>
      <c r="B834" s="12" t="s">
        <v>143</v>
      </c>
      <c r="C834" s="5" t="s">
        <v>75</v>
      </c>
      <c r="D834" s="8"/>
      <c r="E834" s="8"/>
      <c r="F834" s="8"/>
      <c r="G834" s="8"/>
      <c r="H834" s="11">
        <v>0.143</v>
      </c>
      <c r="I834" s="11">
        <v>0.491</v>
      </c>
      <c r="J834" s="9" t="s">
        <v>60</v>
      </c>
      <c r="K834" s="14" t="str">
        <f>IFERROR(__xludf.DUMMYFUNCTION("ARRAYFORMULA(VLOOKUP(A834,IMPORTRANGE(""https://docs.google.com/spreadsheets/d/1BuTWp7qHGjWhqrnf-OmePP568O4A5Am9ttzvVdP67zw/edit#gid=1603210130"", ""TOURISM!$A$2:$F$2692""), {2,3,4,5,6},0))"),"Europe")</f>
        <v>Europe</v>
      </c>
      <c r="L834" s="14">
        <f>IFERROR(__xludf.DUMMYFUNCTION("""COMPUTED_VALUE"""),3.8534E10)</f>
        <v>38534000000</v>
      </c>
      <c r="M834" s="14" t="str">
        <f>IFERROR(__xludf.DUMMYFUNCTION("""COMPUTED_VALUE"""),"France-Europe")</f>
        <v>France-Europe</v>
      </c>
      <c r="N834" s="14" t="str">
        <f>IFERROR(__xludf.DUMMYFUNCTION("""COMPUTED_VALUE"""),"2000")</f>
        <v>2000</v>
      </c>
      <c r="O834" s="14">
        <f>IFERROR(__xludf.DUMMYFUNCTION("""COMPUTED_VALUE"""),2.6703E10)</f>
        <v>26703000000</v>
      </c>
      <c r="P834" s="15">
        <f>IFERROR(__xludf.DUMMYFUNCTION("ARRAYFORMULA(VLOOKUP(A834,IMPORTRANGE(""https://docs.google.com/spreadsheets/d/1BuTWp7qHGjWhqrnf-OmePP568O4A5Am9ttzvVdP67zw/edit#gid=771602874"" ,""HUMAN RESOURCES!$A$2:$M$2692""), {2,3,4,5,6,7,8,9,10,11,12,13},0))"),0.013)</f>
        <v>0.013</v>
      </c>
      <c r="Q834" s="14">
        <f>IFERROR(__xludf.DUMMYFUNCTION("""COMPUTED_VALUE"""),0.004)</f>
        <v>0.004</v>
      </c>
      <c r="R834" s="14">
        <f>IFERROR(__xludf.DUMMYFUNCTION("""COMPUTED_VALUE"""),83.0)</f>
        <v>83</v>
      </c>
      <c r="S834" s="14">
        <f>IFERROR(__xludf.DUMMYFUNCTION("""COMPUTED_VALUE"""),75.0)</f>
        <v>75</v>
      </c>
      <c r="T834" s="14">
        <f>IFERROR(__xludf.DUMMYFUNCTION("""COMPUTED_VALUE"""),0.189)</f>
        <v>0.189</v>
      </c>
      <c r="U834" s="14">
        <f>IFERROR(__xludf.DUMMYFUNCTION("""COMPUTED_VALUE"""),0.65)</f>
        <v>0.65</v>
      </c>
      <c r="V834" s="14">
        <f>IFERROR(__xludf.DUMMYFUNCTION("""COMPUTED_VALUE"""),0.16)</f>
        <v>0.16</v>
      </c>
      <c r="W834" s="14">
        <f>IFERROR(__xludf.DUMMYFUNCTION("""COMPUTED_VALUE"""),6.0911057E7)</f>
        <v>60911057</v>
      </c>
      <c r="X834" s="14">
        <f>IFERROR(__xludf.DUMMYFUNCTION("""COMPUTED_VALUE"""),0.759)</f>
        <v>0.759</v>
      </c>
      <c r="Y834" s="14" t="str">
        <f>IFERROR(__xludf.DUMMYFUNCTION("""COMPUTED_VALUE"""),"France-Europe")</f>
        <v>France-Europe</v>
      </c>
      <c r="Z834" s="14" t="str">
        <f>IFERROR(__xludf.DUMMYFUNCTION("""COMPUTED_VALUE"""),"Europe")</f>
        <v>Europe</v>
      </c>
      <c r="AA834" s="14" t="str">
        <f>IFERROR(__xludf.DUMMYFUNCTION("""COMPUTED_VALUE"""),"2000")</f>
        <v>2000</v>
      </c>
      <c r="AB834" s="15" t="str">
        <f>IFERROR(__xludf.DUMMYFUNCTION("ARRAYFORMULA(VLOOKUP(A834,IMPORTRANGE(""https://docs.google.com/spreadsheets/d/1BuTWp7qHGjWhqrnf-OmePP568O4A5Am9ttzvVdP67zw/edit#gid=1931367683"" ,""ENERGY!$A$2:$F$2692""), {2,3,4,5,6},0))"),"Europe")</f>
        <v>Europe</v>
      </c>
      <c r="AC834" s="14" t="str">
        <f>IFERROR(__xludf.DUMMYFUNCTION("""COMPUTED_VALUE"""),"France-Europe")</f>
        <v>France-Europe</v>
      </c>
      <c r="AD834" s="14" t="str">
        <f>IFERROR(__xludf.DUMMYFUNCTION("""COMPUTED_VALUE"""),"2000")</f>
        <v>2000</v>
      </c>
      <c r="AE834" s="14">
        <f>IFERROR(__xludf.DUMMYFUNCTION("""COMPUTED_VALUE"""),251706.0)</f>
        <v>251706</v>
      </c>
      <c r="AF834" s="14"/>
    </row>
    <row r="835">
      <c r="A835" s="12">
        <v>834.0</v>
      </c>
      <c r="B835" s="12" t="s">
        <v>143</v>
      </c>
      <c r="C835" s="5" t="s">
        <v>75</v>
      </c>
      <c r="D835" s="8"/>
      <c r="E835" s="8"/>
      <c r="F835" s="8"/>
      <c r="G835" s="8"/>
      <c r="H835" s="11">
        <v>0.263</v>
      </c>
      <c r="I835" s="11">
        <v>0.621</v>
      </c>
      <c r="J835" s="9" t="s">
        <v>62</v>
      </c>
      <c r="K835" s="14" t="str">
        <f>IFERROR(__xludf.DUMMYFUNCTION("ARRAYFORMULA(VLOOKUP(A835,IMPORTRANGE(""https://docs.google.com/spreadsheets/d/1BuTWp7qHGjWhqrnf-OmePP568O4A5Am9ttzvVdP67zw/edit#gid=1603210130"", ""TOURISM!$A$2:$F$2692""), {2,3,4,5,6},0))"),"Europe")</f>
        <v>Europe</v>
      </c>
      <c r="L835" s="14">
        <f>IFERROR(__xludf.DUMMYFUNCTION("""COMPUTED_VALUE"""),3.8385E10)</f>
        <v>38385000000</v>
      </c>
      <c r="M835" s="14" t="str">
        <f>IFERROR(__xludf.DUMMYFUNCTION("""COMPUTED_VALUE"""),"France-Europe")</f>
        <v>France-Europe</v>
      </c>
      <c r="N835" s="14" t="str">
        <f>IFERROR(__xludf.DUMMYFUNCTION("""COMPUTED_VALUE"""),"2001")</f>
        <v>2001</v>
      </c>
      <c r="O835" s="14">
        <f>IFERROR(__xludf.DUMMYFUNCTION("""COMPUTED_VALUE"""),2.6749E10)</f>
        <v>26749000000</v>
      </c>
      <c r="P835" s="15">
        <f>IFERROR(__xludf.DUMMYFUNCTION("ARRAYFORMULA(VLOOKUP(A835,IMPORTRANGE(""https://docs.google.com/spreadsheets/d/1BuTWp7qHGjWhqrnf-OmePP568O4A5Am9ttzvVdP67zw/edit#gid=771602874"" ,""HUMAN RESOURCES!$A$2:$M$2692""), {2,3,4,5,6,7,8,9,10,11,12,13},0))"),0.013)</f>
        <v>0.013</v>
      </c>
      <c r="Q835" s="14">
        <f>IFERROR(__xludf.DUMMYFUNCTION("""COMPUTED_VALUE"""),0.004)</f>
        <v>0.004</v>
      </c>
      <c r="R835" s="14">
        <f>IFERROR(__xludf.DUMMYFUNCTION("""COMPUTED_VALUE"""),83.0)</f>
        <v>83</v>
      </c>
      <c r="S835" s="14">
        <f>IFERROR(__xludf.DUMMYFUNCTION("""COMPUTED_VALUE"""),76.0)</f>
        <v>76</v>
      </c>
      <c r="T835" s="14">
        <f>IFERROR(__xludf.DUMMYFUNCTION("""COMPUTED_VALUE"""),0.188)</f>
        <v>0.188</v>
      </c>
      <c r="U835" s="14">
        <f>IFERROR(__xludf.DUMMYFUNCTION("""COMPUTED_VALUE"""),0.651)</f>
        <v>0.651</v>
      </c>
      <c r="V835" s="14">
        <f>IFERROR(__xludf.DUMMYFUNCTION("""COMPUTED_VALUE"""),0.161)</f>
        <v>0.161</v>
      </c>
      <c r="W835" s="14">
        <f>IFERROR(__xludf.DUMMYFUNCTION("""COMPUTED_VALUE"""),6.1355725E7)</f>
        <v>61355725</v>
      </c>
      <c r="X835" s="14">
        <f>IFERROR(__xludf.DUMMYFUNCTION("""COMPUTED_VALUE"""),0.761)</f>
        <v>0.761</v>
      </c>
      <c r="Y835" s="14" t="str">
        <f>IFERROR(__xludf.DUMMYFUNCTION("""COMPUTED_VALUE"""),"France-Europe")</f>
        <v>France-Europe</v>
      </c>
      <c r="Z835" s="14" t="str">
        <f>IFERROR(__xludf.DUMMYFUNCTION("""COMPUTED_VALUE"""),"Europe")</f>
        <v>Europe</v>
      </c>
      <c r="AA835" s="14" t="str">
        <f>IFERROR(__xludf.DUMMYFUNCTION("""COMPUTED_VALUE"""),"2001")</f>
        <v>2001</v>
      </c>
      <c r="AB835" s="15" t="str">
        <f>IFERROR(__xludf.DUMMYFUNCTION("ARRAYFORMULA(VLOOKUP(A835,IMPORTRANGE(""https://docs.google.com/spreadsheets/d/1BuTWp7qHGjWhqrnf-OmePP568O4A5Am9ttzvVdP67zw/edit#gid=1931367683"" ,""ENERGY!$A$2:$F$2692""), {2,3,4,5,6},0))"),"Europe")</f>
        <v>Europe</v>
      </c>
      <c r="AC835" s="14" t="str">
        <f>IFERROR(__xludf.DUMMYFUNCTION("""COMPUTED_VALUE"""),"France-Europe")</f>
        <v>France-Europe</v>
      </c>
      <c r="AD835" s="14" t="str">
        <f>IFERROR(__xludf.DUMMYFUNCTION("""COMPUTED_VALUE"""),"2001")</f>
        <v>2001</v>
      </c>
      <c r="AE835" s="14">
        <f>IFERROR(__xludf.DUMMYFUNCTION("""COMPUTED_VALUE"""),252827.0)</f>
        <v>252827</v>
      </c>
      <c r="AF835" s="14"/>
    </row>
    <row r="836">
      <c r="A836" s="12">
        <v>835.0</v>
      </c>
      <c r="B836" s="12" t="s">
        <v>143</v>
      </c>
      <c r="C836" s="5" t="s">
        <v>75</v>
      </c>
      <c r="D836" s="8"/>
      <c r="E836" s="8"/>
      <c r="F836" s="8"/>
      <c r="G836" s="8"/>
      <c r="H836" s="11">
        <v>0.302</v>
      </c>
      <c r="I836" s="11">
        <v>0.643</v>
      </c>
      <c r="J836" s="9" t="s">
        <v>63</v>
      </c>
      <c r="K836" s="14" t="str">
        <f>IFERROR(__xludf.DUMMYFUNCTION("ARRAYFORMULA(VLOOKUP(A836,IMPORTRANGE(""https://docs.google.com/spreadsheets/d/1BuTWp7qHGjWhqrnf-OmePP568O4A5Am9ttzvVdP67zw/edit#gid=1603210130"", ""TOURISM!$A$2:$F$2692""), {2,3,4,5,6},0))"),"Europe")</f>
        <v>Europe</v>
      </c>
      <c r="L836" s="14">
        <f>IFERROR(__xludf.DUMMYFUNCTION("""COMPUTED_VALUE"""),4.0537E10)</f>
        <v>40537000000</v>
      </c>
      <c r="M836" s="14" t="str">
        <f>IFERROR(__xludf.DUMMYFUNCTION("""COMPUTED_VALUE"""),"France-Europe")</f>
        <v>France-Europe</v>
      </c>
      <c r="N836" s="14" t="str">
        <f>IFERROR(__xludf.DUMMYFUNCTION("""COMPUTED_VALUE"""),"2002")</f>
        <v>2002</v>
      </c>
      <c r="O836" s="14">
        <f>IFERROR(__xludf.DUMMYFUNCTION("""COMPUTED_VALUE"""),2.7808E10)</f>
        <v>27808000000</v>
      </c>
      <c r="P836" s="15">
        <f>IFERROR(__xludf.DUMMYFUNCTION("ARRAYFORMULA(VLOOKUP(A836,IMPORTRANGE(""https://docs.google.com/spreadsheets/d/1BuTWp7qHGjWhqrnf-OmePP568O4A5Am9ttzvVdP67zw/edit#gid=771602874"" ,""HUMAN RESOURCES!$A$2:$M$2692""), {2,3,4,5,6,7,8,9,10,11,12,13},0))"),0.013)</f>
        <v>0.013</v>
      </c>
      <c r="Q836" s="14">
        <f>IFERROR(__xludf.DUMMYFUNCTION("""COMPUTED_VALUE"""),0.004)</f>
        <v>0.004</v>
      </c>
      <c r="R836" s="14">
        <f>IFERROR(__xludf.DUMMYFUNCTION("""COMPUTED_VALUE"""),83.0)</f>
        <v>83</v>
      </c>
      <c r="S836" s="14">
        <f>IFERROR(__xludf.DUMMYFUNCTION("""COMPUTED_VALUE"""),76.0)</f>
        <v>76</v>
      </c>
      <c r="T836" s="14">
        <f>IFERROR(__xludf.DUMMYFUNCTION("""COMPUTED_VALUE"""),0.187)</f>
        <v>0.187</v>
      </c>
      <c r="U836" s="14">
        <f>IFERROR(__xludf.DUMMYFUNCTION("""COMPUTED_VALUE"""),0.651)</f>
        <v>0.651</v>
      </c>
      <c r="V836" s="14">
        <f>IFERROR(__xludf.DUMMYFUNCTION("""COMPUTED_VALUE"""),0.162)</f>
        <v>0.162</v>
      </c>
      <c r="W836" s="14">
        <f>IFERROR(__xludf.DUMMYFUNCTION("""COMPUTED_VALUE"""),6.1803229E7)</f>
        <v>61803229</v>
      </c>
      <c r="X836" s="14">
        <f>IFERROR(__xludf.DUMMYFUNCTION("""COMPUTED_VALUE"""),0.764)</f>
        <v>0.764</v>
      </c>
      <c r="Y836" s="14" t="str">
        <f>IFERROR(__xludf.DUMMYFUNCTION("""COMPUTED_VALUE"""),"France-Europe")</f>
        <v>France-Europe</v>
      </c>
      <c r="Z836" s="14" t="str">
        <f>IFERROR(__xludf.DUMMYFUNCTION("""COMPUTED_VALUE"""),"Europe")</f>
        <v>Europe</v>
      </c>
      <c r="AA836" s="14" t="str">
        <f>IFERROR(__xludf.DUMMYFUNCTION("""COMPUTED_VALUE"""),"2002")</f>
        <v>2002</v>
      </c>
      <c r="AB836" s="15" t="str">
        <f>IFERROR(__xludf.DUMMYFUNCTION("ARRAYFORMULA(VLOOKUP(A836,IMPORTRANGE(""https://docs.google.com/spreadsheets/d/1BuTWp7qHGjWhqrnf-OmePP568O4A5Am9ttzvVdP67zw/edit#gid=1931367683"" ,""ENERGY!$A$2:$F$2692""), {2,3,4,5,6},0))"),"Europe")</f>
        <v>Europe</v>
      </c>
      <c r="AC836" s="14" t="str">
        <f>IFERROR(__xludf.DUMMYFUNCTION("""COMPUTED_VALUE"""),"France-Europe")</f>
        <v>France-Europe</v>
      </c>
      <c r="AD836" s="14" t="str">
        <f>IFERROR(__xludf.DUMMYFUNCTION("""COMPUTED_VALUE"""),"2002")</f>
        <v>2002</v>
      </c>
      <c r="AE836" s="14">
        <f>IFERROR(__xludf.DUMMYFUNCTION("""COMPUTED_VALUE"""),261157.0)</f>
        <v>261157</v>
      </c>
      <c r="AF836" s="14">
        <f>IFERROR(__xludf.DUMMYFUNCTION("""COMPUTED_VALUE"""),361273.0)</f>
        <v>361273</v>
      </c>
    </row>
    <row r="837">
      <c r="A837" s="12">
        <v>836.0</v>
      </c>
      <c r="B837" s="12" t="s">
        <v>143</v>
      </c>
      <c r="C837" s="5" t="s">
        <v>75</v>
      </c>
      <c r="D837" s="8"/>
      <c r="E837" s="11">
        <v>41.0</v>
      </c>
      <c r="F837" s="8"/>
      <c r="G837" s="8"/>
      <c r="H837" s="11">
        <v>0.361</v>
      </c>
      <c r="I837" s="11">
        <v>0.689</v>
      </c>
      <c r="J837" s="9" t="s">
        <v>64</v>
      </c>
      <c r="K837" s="14" t="str">
        <f>IFERROR(__xludf.DUMMYFUNCTION("ARRAYFORMULA(VLOOKUP(A837,IMPORTRANGE(""https://docs.google.com/spreadsheets/d/1BuTWp7qHGjWhqrnf-OmePP568O4A5Am9ttzvVdP67zw/edit#gid=1603210130"", ""TOURISM!$A$2:$F$2692""), {2,3,4,5,6},0))"),"Europe")</f>
        <v>Europe</v>
      </c>
      <c r="L837" s="14">
        <f>IFERROR(__xludf.DUMMYFUNCTION("""COMPUTED_VALUE"""),4.599E10)</f>
        <v>45990000000</v>
      </c>
      <c r="M837" s="14" t="str">
        <f>IFERROR(__xludf.DUMMYFUNCTION("""COMPUTED_VALUE"""),"France-Europe")</f>
        <v>France-Europe</v>
      </c>
      <c r="N837" s="14" t="str">
        <f>IFERROR(__xludf.DUMMYFUNCTION("""COMPUTED_VALUE"""),"2003")</f>
        <v>2003</v>
      </c>
      <c r="O837" s="14">
        <f>IFERROR(__xludf.DUMMYFUNCTION("""COMPUTED_VALUE"""),3.2618E10)</f>
        <v>32618000000</v>
      </c>
      <c r="P837" s="15">
        <f>IFERROR(__xludf.DUMMYFUNCTION("ARRAYFORMULA(VLOOKUP(A837,IMPORTRANGE(""https://docs.google.com/spreadsheets/d/1BuTWp7qHGjWhqrnf-OmePP568O4A5Am9ttzvVdP67zw/edit#gid=771602874"" ,""HUMAN RESOURCES!$A$2:$M$2692""), {2,3,4,5,6,7,8,9,10,11,12,13},0))"),0.013)</f>
        <v>0.013</v>
      </c>
      <c r="Q837" s="14">
        <f>IFERROR(__xludf.DUMMYFUNCTION("""COMPUTED_VALUE"""),0.004)</f>
        <v>0.004</v>
      </c>
      <c r="R837" s="14">
        <f>IFERROR(__xludf.DUMMYFUNCTION("""COMPUTED_VALUE"""),83.0)</f>
        <v>83</v>
      </c>
      <c r="S837" s="14">
        <f>IFERROR(__xludf.DUMMYFUNCTION("""COMPUTED_VALUE"""),76.0)</f>
        <v>76</v>
      </c>
      <c r="T837" s="14">
        <f>IFERROR(__xludf.DUMMYFUNCTION("""COMPUTED_VALUE"""),0.186)</f>
        <v>0.186</v>
      </c>
      <c r="U837" s="14">
        <f>IFERROR(__xludf.DUMMYFUNCTION("""COMPUTED_VALUE"""),0.651)</f>
        <v>0.651</v>
      </c>
      <c r="V837" s="14">
        <f>IFERROR(__xludf.DUMMYFUNCTION("""COMPUTED_VALUE"""),0.163)</f>
        <v>0.163</v>
      </c>
      <c r="W837" s="14">
        <f>IFERROR(__xludf.DUMMYFUNCTION("""COMPUTED_VALUE"""),6.2242474E7)</f>
        <v>62242474</v>
      </c>
      <c r="X837" s="14">
        <f>IFERROR(__xludf.DUMMYFUNCTION("""COMPUTED_VALUE"""),0.766)</f>
        <v>0.766</v>
      </c>
      <c r="Y837" s="14" t="str">
        <f>IFERROR(__xludf.DUMMYFUNCTION("""COMPUTED_VALUE"""),"France-Europe")</f>
        <v>France-Europe</v>
      </c>
      <c r="Z837" s="14" t="str">
        <f>IFERROR(__xludf.DUMMYFUNCTION("""COMPUTED_VALUE"""),"Europe")</f>
        <v>Europe</v>
      </c>
      <c r="AA837" s="14" t="str">
        <f>IFERROR(__xludf.DUMMYFUNCTION("""COMPUTED_VALUE"""),"2003")</f>
        <v>2003</v>
      </c>
      <c r="AB837" s="15" t="str">
        <f>IFERROR(__xludf.DUMMYFUNCTION("ARRAYFORMULA(VLOOKUP(A837,IMPORTRANGE(""https://docs.google.com/spreadsheets/d/1BuTWp7qHGjWhqrnf-OmePP568O4A5Am9ttzvVdP67zw/edit#gid=1931367683"" ,""ENERGY!$A$2:$F$2692""), {2,3,4,5,6},0))"),"Europe")</f>
        <v>Europe</v>
      </c>
      <c r="AC837" s="14" t="str">
        <f>IFERROR(__xludf.DUMMYFUNCTION("""COMPUTED_VALUE"""),"France-Europe")</f>
        <v>France-Europe</v>
      </c>
      <c r="AD837" s="14" t="str">
        <f>IFERROR(__xludf.DUMMYFUNCTION("""COMPUTED_VALUE"""),"2003")</f>
        <v>2003</v>
      </c>
      <c r="AE837" s="14">
        <f>IFERROR(__xludf.DUMMYFUNCTION("""COMPUTED_VALUE"""),253469.0)</f>
        <v>253469</v>
      </c>
      <c r="AF837" s="14">
        <f>IFERROR(__xludf.DUMMYFUNCTION("""COMPUTED_VALUE"""),356924.0)</f>
        <v>356924</v>
      </c>
    </row>
    <row r="838">
      <c r="A838" s="12">
        <v>837.0</v>
      </c>
      <c r="B838" s="12" t="s">
        <v>143</v>
      </c>
      <c r="C838" s="5" t="s">
        <v>75</v>
      </c>
      <c r="D838" s="8"/>
      <c r="E838" s="11">
        <v>7.0</v>
      </c>
      <c r="F838" s="8"/>
      <c r="G838" s="8"/>
      <c r="H838" s="11">
        <v>0.392</v>
      </c>
      <c r="I838" s="11">
        <v>0.73</v>
      </c>
      <c r="J838" s="9" t="s">
        <v>65</v>
      </c>
      <c r="K838" s="14" t="str">
        <f>IFERROR(__xludf.DUMMYFUNCTION("ARRAYFORMULA(VLOOKUP(A838,IMPORTRANGE(""https://docs.google.com/spreadsheets/d/1BuTWp7qHGjWhqrnf-OmePP568O4A5Am9ttzvVdP67zw/edit#gid=1603210130"", ""TOURISM!$A$2:$F$2692""), {2,3,4,5,6},0))"),"Europe")</f>
        <v>Europe</v>
      </c>
      <c r="L838" s="14">
        <f>IFERROR(__xludf.DUMMYFUNCTION("""COMPUTED_VALUE"""),5.2108E10)</f>
        <v>52108000000</v>
      </c>
      <c r="M838" s="14" t="str">
        <f>IFERROR(__xludf.DUMMYFUNCTION("""COMPUTED_VALUE"""),"France-Europe")</f>
        <v>France-Europe</v>
      </c>
      <c r="N838" s="14" t="str">
        <f>IFERROR(__xludf.DUMMYFUNCTION("""COMPUTED_VALUE"""),"2004")</f>
        <v>2004</v>
      </c>
      <c r="O838" s="14">
        <f>IFERROR(__xludf.DUMMYFUNCTION("""COMPUTED_VALUE"""),3.6029E10)</f>
        <v>36029000000</v>
      </c>
      <c r="P838" s="15">
        <f>IFERROR(__xludf.DUMMYFUNCTION("ARRAYFORMULA(VLOOKUP(A838,IMPORTRANGE(""https://docs.google.com/spreadsheets/d/1BuTWp7qHGjWhqrnf-OmePP568O4A5Am9ttzvVdP67zw/edit#gid=771602874"" ,""HUMAN RESOURCES!$A$2:$M$2692""), {2,3,4,5,6,7,8,9,10,11,12,13},0))"),0.013)</f>
        <v>0.013</v>
      </c>
      <c r="Q838" s="14">
        <f>IFERROR(__xludf.DUMMYFUNCTION("""COMPUTED_VALUE"""),0.004)</f>
        <v>0.004</v>
      </c>
      <c r="R838" s="14">
        <f>IFERROR(__xludf.DUMMYFUNCTION("""COMPUTED_VALUE"""),84.0)</f>
        <v>84</v>
      </c>
      <c r="S838" s="14">
        <f>IFERROR(__xludf.DUMMYFUNCTION("""COMPUTED_VALUE"""),77.0)</f>
        <v>77</v>
      </c>
      <c r="T838" s="14">
        <f>IFERROR(__xludf.DUMMYFUNCTION("""COMPUTED_VALUE"""),0.186)</f>
        <v>0.186</v>
      </c>
      <c r="U838" s="14">
        <f>IFERROR(__xludf.DUMMYFUNCTION("""COMPUTED_VALUE"""),0.651)</f>
        <v>0.651</v>
      </c>
      <c r="V838" s="14">
        <f>IFERROR(__xludf.DUMMYFUNCTION("""COMPUTED_VALUE"""),0.164)</f>
        <v>0.164</v>
      </c>
      <c r="W838" s="14">
        <f>IFERROR(__xludf.DUMMYFUNCTION("""COMPUTED_VALUE"""),6.2702121E7)</f>
        <v>62702121</v>
      </c>
      <c r="X838" s="14">
        <f>IFERROR(__xludf.DUMMYFUNCTION("""COMPUTED_VALUE"""),0.769)</f>
        <v>0.769</v>
      </c>
      <c r="Y838" s="14" t="str">
        <f>IFERROR(__xludf.DUMMYFUNCTION("""COMPUTED_VALUE"""),"France-Europe")</f>
        <v>France-Europe</v>
      </c>
      <c r="Z838" s="14" t="str">
        <f>IFERROR(__xludf.DUMMYFUNCTION("""COMPUTED_VALUE"""),"Europe")</f>
        <v>Europe</v>
      </c>
      <c r="AA838" s="14" t="str">
        <f>IFERROR(__xludf.DUMMYFUNCTION("""COMPUTED_VALUE"""),"2004")</f>
        <v>2004</v>
      </c>
      <c r="AB838" s="15" t="str">
        <f>IFERROR(__xludf.DUMMYFUNCTION("ARRAYFORMULA(VLOOKUP(A838,IMPORTRANGE(""https://docs.google.com/spreadsheets/d/1BuTWp7qHGjWhqrnf-OmePP568O4A5Am9ttzvVdP67zw/edit#gid=1931367683"" ,""ENERGY!$A$2:$F$2692""), {2,3,4,5,6},0))"),"Europe")</f>
        <v>Europe</v>
      </c>
      <c r="AC838" s="14" t="str">
        <f>IFERROR(__xludf.DUMMYFUNCTION("""COMPUTED_VALUE"""),"France-Europe")</f>
        <v>France-Europe</v>
      </c>
      <c r="AD838" s="14" t="str">
        <f>IFERROR(__xludf.DUMMYFUNCTION("""COMPUTED_VALUE"""),"2004")</f>
        <v>2004</v>
      </c>
      <c r="AE838" s="14">
        <f>IFERROR(__xludf.DUMMYFUNCTION("""COMPUTED_VALUE"""),264803.0)</f>
        <v>264803</v>
      </c>
      <c r="AF838" s="14">
        <f>IFERROR(__xludf.DUMMYFUNCTION("""COMPUTED_VALUE"""),372564.0)</f>
        <v>372564</v>
      </c>
    </row>
    <row r="839">
      <c r="A839" s="12">
        <v>838.0</v>
      </c>
      <c r="B839" s="12" t="s">
        <v>143</v>
      </c>
      <c r="C839" s="5" t="s">
        <v>75</v>
      </c>
      <c r="D839" s="11">
        <v>0.651</v>
      </c>
      <c r="E839" s="11">
        <v>7.0</v>
      </c>
      <c r="F839" s="8"/>
      <c r="G839" s="11">
        <v>132.0</v>
      </c>
      <c r="H839" s="11">
        <v>0.429</v>
      </c>
      <c r="I839" s="11">
        <v>0.783</v>
      </c>
      <c r="J839" s="9" t="s">
        <v>66</v>
      </c>
      <c r="K839" s="14" t="str">
        <f>IFERROR(__xludf.DUMMYFUNCTION("ARRAYFORMULA(VLOOKUP(A839,IMPORTRANGE(""https://docs.google.com/spreadsheets/d/1BuTWp7qHGjWhqrnf-OmePP568O4A5Am9ttzvVdP67zw/edit#gid=1603210130"", ""TOURISM!$A$2:$F$2692""), {2,3,4,5,6},0))"),"Europe")</f>
        <v>Europe</v>
      </c>
      <c r="L839" s="14">
        <f>IFERROR(__xludf.DUMMYFUNCTION("""COMPUTED_VALUE"""),5.1691E10)</f>
        <v>51691000000</v>
      </c>
      <c r="M839" s="14" t="str">
        <f>IFERROR(__xludf.DUMMYFUNCTION("""COMPUTED_VALUE"""),"France-Europe")</f>
        <v>France-Europe</v>
      </c>
      <c r="N839" s="14" t="str">
        <f>IFERROR(__xludf.DUMMYFUNCTION("""COMPUTED_VALUE"""),"2005")</f>
        <v>2005</v>
      </c>
      <c r="O839" s="14">
        <f>IFERROR(__xludf.DUMMYFUNCTION("""COMPUTED_VALUE"""),3.8813E10)</f>
        <v>38813000000</v>
      </c>
      <c r="P839" s="15">
        <f>IFERROR(__xludf.DUMMYFUNCTION("ARRAYFORMULA(VLOOKUP(A839,IMPORTRANGE(""https://docs.google.com/spreadsheets/d/1BuTWp7qHGjWhqrnf-OmePP568O4A5Am9ttzvVdP67zw/edit#gid=771602874"" ,""HUMAN RESOURCES!$A$2:$M$2692""), {2,3,4,5,6,7,8,9,10,11,12,13},0))"),0.013)</f>
        <v>0.013</v>
      </c>
      <c r="Q839" s="14">
        <f>IFERROR(__xludf.DUMMYFUNCTION("""COMPUTED_VALUE"""),0.004)</f>
        <v>0.004</v>
      </c>
      <c r="R839" s="14">
        <f>IFERROR(__xludf.DUMMYFUNCTION("""COMPUTED_VALUE"""),84.0)</f>
        <v>84</v>
      </c>
      <c r="S839" s="14">
        <f>IFERROR(__xludf.DUMMYFUNCTION("""COMPUTED_VALUE"""),77.0)</f>
        <v>77</v>
      </c>
      <c r="T839" s="14">
        <f>IFERROR(__xludf.DUMMYFUNCTION("""COMPUTED_VALUE"""),0.185)</f>
        <v>0.185</v>
      </c>
      <c r="U839" s="14">
        <f>IFERROR(__xludf.DUMMYFUNCTION("""COMPUTED_VALUE"""),0.651)</f>
        <v>0.651</v>
      </c>
      <c r="V839" s="14">
        <f>IFERROR(__xludf.DUMMYFUNCTION("""COMPUTED_VALUE"""),0.164)</f>
        <v>0.164</v>
      </c>
      <c r="W839" s="14">
        <f>IFERROR(__xludf.DUMMYFUNCTION("""COMPUTED_VALUE"""),6.3176246E7)</f>
        <v>63176246</v>
      </c>
      <c r="X839" s="14">
        <f>IFERROR(__xludf.DUMMYFUNCTION("""COMPUTED_VALUE"""),0.771)</f>
        <v>0.771</v>
      </c>
      <c r="Y839" s="14" t="str">
        <f>IFERROR(__xludf.DUMMYFUNCTION("""COMPUTED_VALUE"""),"France-Europe")</f>
        <v>France-Europe</v>
      </c>
      <c r="Z839" s="14" t="str">
        <f>IFERROR(__xludf.DUMMYFUNCTION("""COMPUTED_VALUE"""),"Europe")</f>
        <v>Europe</v>
      </c>
      <c r="AA839" s="14" t="str">
        <f>IFERROR(__xludf.DUMMYFUNCTION("""COMPUTED_VALUE"""),"2005")</f>
        <v>2005</v>
      </c>
      <c r="AB839" s="15" t="str">
        <f>IFERROR(__xludf.DUMMYFUNCTION("ARRAYFORMULA(VLOOKUP(A839,IMPORTRANGE(""https://docs.google.com/spreadsheets/d/1BuTWp7qHGjWhqrnf-OmePP568O4A5Am9ttzvVdP67zw/edit#gid=1931367683"" ,""ENERGY!$A$2:$F$2692""), {2,3,4,5,6},0))"),"Europe")</f>
        <v>Europe</v>
      </c>
      <c r="AC839" s="14" t="str">
        <f>IFERROR(__xludf.DUMMYFUNCTION("""COMPUTED_VALUE"""),"France-Europe")</f>
        <v>France-Europe</v>
      </c>
      <c r="AD839" s="14" t="str">
        <f>IFERROR(__xludf.DUMMYFUNCTION("""COMPUTED_VALUE"""),"2006")</f>
        <v>2006</v>
      </c>
      <c r="AE839" s="14">
        <f>IFERROR(__xludf.DUMMYFUNCTION("""COMPUTED_VALUE"""),263542.0)</f>
        <v>263542</v>
      </c>
      <c r="AF839" s="14">
        <f>IFERROR(__xludf.DUMMYFUNCTION("""COMPUTED_VALUE"""),375882.0)</f>
        <v>375882</v>
      </c>
    </row>
    <row r="840">
      <c r="A840" s="12">
        <v>839.0</v>
      </c>
      <c r="B840" s="12" t="s">
        <v>143</v>
      </c>
      <c r="C840" s="5" t="s">
        <v>75</v>
      </c>
      <c r="D840" s="11">
        <v>0.65</v>
      </c>
      <c r="E840" s="11">
        <v>7.0</v>
      </c>
      <c r="F840" s="8"/>
      <c r="G840" s="11">
        <v>132.0</v>
      </c>
      <c r="H840" s="11">
        <v>0.469</v>
      </c>
      <c r="I840" s="11">
        <v>0.835</v>
      </c>
      <c r="J840" s="9" t="s">
        <v>67</v>
      </c>
      <c r="K840" s="14" t="str">
        <f>IFERROR(__xludf.DUMMYFUNCTION("ARRAYFORMULA(VLOOKUP(A840,IMPORTRANGE(""https://docs.google.com/spreadsheets/d/1BuTWp7qHGjWhqrnf-OmePP568O4A5Am9ttzvVdP67zw/edit#gid=1603210130"", ""TOURISM!$A$2:$F$2692""), {2,3,4,5,6},0))"),"Europe")</f>
        <v>Europe</v>
      </c>
      <c r="L840" s="14">
        <f>IFERROR(__xludf.DUMMYFUNCTION("""COMPUTED_VALUE"""),5.445E10)</f>
        <v>54450000000</v>
      </c>
      <c r="M840" s="14" t="str">
        <f>IFERROR(__xludf.DUMMYFUNCTION("""COMPUTED_VALUE"""),"France-Europe")</f>
        <v>France-Europe</v>
      </c>
      <c r="N840" s="14" t="str">
        <f>IFERROR(__xludf.DUMMYFUNCTION("""COMPUTED_VALUE"""),"2006")</f>
        <v>2006</v>
      </c>
      <c r="O840" s="14">
        <f>IFERROR(__xludf.DUMMYFUNCTION("""COMPUTED_VALUE"""),3.9331E10)</f>
        <v>39331000000</v>
      </c>
      <c r="P840" s="15">
        <f>IFERROR(__xludf.DUMMYFUNCTION("ARRAYFORMULA(VLOOKUP(A840,IMPORTRANGE(""https://docs.google.com/spreadsheets/d/1BuTWp7qHGjWhqrnf-OmePP568O4A5Am9ttzvVdP67zw/edit#gid=771602874"" ,""HUMAN RESOURCES!$A$2:$M$2692""), {2,3,4,5,6,7,8,9,10,11,12,13},0))"),0.013)</f>
        <v>0.013</v>
      </c>
      <c r="Q840" s="14">
        <f>IFERROR(__xludf.DUMMYFUNCTION("""COMPUTED_VALUE"""),0.004)</f>
        <v>0.004</v>
      </c>
      <c r="R840" s="14">
        <f>IFERROR(__xludf.DUMMYFUNCTION("""COMPUTED_VALUE"""),85.0)</f>
        <v>85</v>
      </c>
      <c r="S840" s="14">
        <f>IFERROR(__xludf.DUMMYFUNCTION("""COMPUTED_VALUE"""),77.0)</f>
        <v>77</v>
      </c>
      <c r="T840" s="14">
        <f>IFERROR(__xludf.DUMMYFUNCTION("""COMPUTED_VALUE"""),0.185)</f>
        <v>0.185</v>
      </c>
      <c r="U840" s="14">
        <f>IFERROR(__xludf.DUMMYFUNCTION("""COMPUTED_VALUE"""),0.651)</f>
        <v>0.651</v>
      </c>
      <c r="V840" s="14">
        <f>IFERROR(__xludf.DUMMYFUNCTION("""COMPUTED_VALUE"""),0.165)</f>
        <v>0.165</v>
      </c>
      <c r="W840" s="14">
        <f>IFERROR(__xludf.DUMMYFUNCTION("""COMPUTED_VALUE"""),6.3617975E7)</f>
        <v>63617975</v>
      </c>
      <c r="X840" s="14">
        <f>IFERROR(__xludf.DUMMYFUNCTION("""COMPUTED_VALUE"""),0.774)</f>
        <v>0.774</v>
      </c>
      <c r="Y840" s="14" t="str">
        <f>IFERROR(__xludf.DUMMYFUNCTION("""COMPUTED_VALUE"""),"France-Europe")</f>
        <v>France-Europe</v>
      </c>
      <c r="Z840" s="14" t="str">
        <f>IFERROR(__xludf.DUMMYFUNCTION("""COMPUTED_VALUE"""),"Europe")</f>
        <v>Europe</v>
      </c>
      <c r="AA840" s="14" t="str">
        <f>IFERROR(__xludf.DUMMYFUNCTION("""COMPUTED_VALUE"""),"2006")</f>
        <v>2006</v>
      </c>
      <c r="AB840" s="15" t="str">
        <f>IFERROR(__xludf.DUMMYFUNCTION("ARRAYFORMULA(VLOOKUP(A840,IMPORTRANGE(""https://docs.google.com/spreadsheets/d/1BuTWp7qHGjWhqrnf-OmePP568O4A5Am9ttzvVdP67zw/edit#gid=1931367683"" ,""ENERGY!$A$2:$F$2692""), {2,3,4,5,6},0))"),"Europe")</f>
        <v>Europe</v>
      </c>
      <c r="AC840" s="14" t="str">
        <f>IFERROR(__xludf.DUMMYFUNCTION("""COMPUTED_VALUE"""),"France-Europe")</f>
        <v>France-Europe</v>
      </c>
      <c r="AD840" s="14" t="str">
        <f>IFERROR(__xludf.DUMMYFUNCTION("""COMPUTED_VALUE"""),"2010")</f>
        <v>2010</v>
      </c>
      <c r="AE840" s="14">
        <f>IFERROR(__xludf.DUMMYFUNCTION("""COMPUTED_VALUE"""),266793.0)</f>
        <v>266793</v>
      </c>
      <c r="AF840" s="14">
        <f>IFERROR(__xludf.DUMMYFUNCTION("""COMPUTED_VALUE"""),382582.0)</f>
        <v>382582</v>
      </c>
    </row>
    <row r="841">
      <c r="A841" s="12">
        <v>840.0</v>
      </c>
      <c r="B841" s="12" t="s">
        <v>143</v>
      </c>
      <c r="C841" s="5" t="s">
        <v>75</v>
      </c>
      <c r="D841" s="11">
        <v>0.65</v>
      </c>
      <c r="E841" s="11">
        <v>7.0</v>
      </c>
      <c r="F841" s="8"/>
      <c r="G841" s="11">
        <v>132.0</v>
      </c>
      <c r="H841" s="11">
        <v>0.661</v>
      </c>
      <c r="I841" s="11">
        <v>0.89</v>
      </c>
      <c r="J841" s="9" t="s">
        <v>68</v>
      </c>
      <c r="K841" s="14" t="str">
        <f>IFERROR(__xludf.DUMMYFUNCTION("ARRAYFORMULA(VLOOKUP(A841,IMPORTRANGE(""https://docs.google.com/spreadsheets/d/1BuTWp7qHGjWhqrnf-OmePP568O4A5Am9ttzvVdP67zw/edit#gid=1603210130"", ""TOURISM!$A$2:$F$2692""), {2,3,4,5,6},0))"),"Europe")</f>
        <v>Europe</v>
      </c>
      <c r="L841" s="14">
        <f>IFERROR(__xludf.DUMMYFUNCTION("""COMPUTED_VALUE"""),6.3701E10)</f>
        <v>63701000000</v>
      </c>
      <c r="M841" s="14" t="str">
        <f>IFERROR(__xludf.DUMMYFUNCTION("""COMPUTED_VALUE"""),"France-Europe")</f>
        <v>France-Europe</v>
      </c>
      <c r="N841" s="14" t="str">
        <f>IFERROR(__xludf.DUMMYFUNCTION("""COMPUTED_VALUE"""),"2007")</f>
        <v>2007</v>
      </c>
      <c r="O841" s="14">
        <f>IFERROR(__xludf.DUMMYFUNCTION("""COMPUTED_VALUE"""),4.6029E10)</f>
        <v>46029000000</v>
      </c>
      <c r="P841" s="15">
        <f>IFERROR(__xludf.DUMMYFUNCTION("ARRAYFORMULA(VLOOKUP(A841,IMPORTRANGE(""https://docs.google.com/spreadsheets/d/1BuTWp7qHGjWhqrnf-OmePP568O4A5Am9ttzvVdP67zw/edit#gid=771602874"" ,""HUMAN RESOURCES!$A$2:$M$2692""), {2,3,4,5,6,7,8,9,10,11,12,13},0))"),0.013)</f>
        <v>0.013</v>
      </c>
      <c r="Q841" s="14">
        <f>IFERROR(__xludf.DUMMYFUNCTION("""COMPUTED_VALUE"""),0.004)</f>
        <v>0.004</v>
      </c>
      <c r="R841" s="14">
        <f>IFERROR(__xludf.DUMMYFUNCTION("""COMPUTED_VALUE"""),85.0)</f>
        <v>85</v>
      </c>
      <c r="S841" s="14">
        <f>IFERROR(__xludf.DUMMYFUNCTION("""COMPUTED_VALUE"""),78.0)</f>
        <v>78</v>
      </c>
      <c r="T841" s="14">
        <f>IFERROR(__xludf.DUMMYFUNCTION("""COMPUTED_VALUE"""),0.184)</f>
        <v>0.184</v>
      </c>
      <c r="U841" s="14">
        <f>IFERROR(__xludf.DUMMYFUNCTION("""COMPUTED_VALUE"""),0.651)</f>
        <v>0.651</v>
      </c>
      <c r="V841" s="14">
        <f>IFERROR(__xludf.DUMMYFUNCTION("""COMPUTED_VALUE"""),0.165)</f>
        <v>0.165</v>
      </c>
      <c r="W841" s="14">
        <f>IFERROR(__xludf.DUMMYFUNCTION("""COMPUTED_VALUE"""),6.4012572E7)</f>
        <v>64012572</v>
      </c>
      <c r="X841" s="14">
        <f>IFERROR(__xludf.DUMMYFUNCTION("""COMPUTED_VALUE"""),0.776)</f>
        <v>0.776</v>
      </c>
      <c r="Y841" s="14" t="str">
        <f>IFERROR(__xludf.DUMMYFUNCTION("""COMPUTED_VALUE"""),"France-Europe")</f>
        <v>France-Europe</v>
      </c>
      <c r="Z841" s="14" t="str">
        <f>IFERROR(__xludf.DUMMYFUNCTION("""COMPUTED_VALUE"""),"Europe")</f>
        <v>Europe</v>
      </c>
      <c r="AA841" s="14" t="str">
        <f>IFERROR(__xludf.DUMMYFUNCTION("""COMPUTED_VALUE"""),"2007")</f>
        <v>2007</v>
      </c>
      <c r="AB841" s="15" t="str">
        <f>IFERROR(__xludf.DUMMYFUNCTION("ARRAYFORMULA(VLOOKUP(A841,IMPORTRANGE(""https://docs.google.com/spreadsheets/d/1BuTWp7qHGjWhqrnf-OmePP568O4A5Am9ttzvVdP67zw/edit#gid=1931367683"" ,""ENERGY!$A$2:$F$2692""), {2,3,4,5,6},0))"),"Europe")</f>
        <v>Europe</v>
      </c>
      <c r="AC841" s="14" t="str">
        <f>IFERROR(__xludf.DUMMYFUNCTION("""COMPUTED_VALUE"""),"France-Europe")</f>
        <v>France-Europe</v>
      </c>
      <c r="AD841" s="14" t="str">
        <f>IFERROR(__xludf.DUMMYFUNCTION("""COMPUTED_VALUE"""),"2007")</f>
        <v>2007</v>
      </c>
      <c r="AE841" s="14">
        <f>IFERROR(__xludf.DUMMYFUNCTION("""COMPUTED_VALUE"""),270660.0)</f>
        <v>270660</v>
      </c>
      <c r="AF841" s="14">
        <f>IFERROR(__xludf.DUMMYFUNCTION("""COMPUTED_VALUE"""),392072.0)</f>
        <v>392072</v>
      </c>
    </row>
    <row r="842">
      <c r="A842" s="12">
        <v>841.0</v>
      </c>
      <c r="B842" s="12" t="s">
        <v>143</v>
      </c>
      <c r="C842" s="5" t="s">
        <v>75</v>
      </c>
      <c r="D842" s="11">
        <v>0.645</v>
      </c>
      <c r="E842" s="11">
        <v>7.0</v>
      </c>
      <c r="F842" s="8"/>
      <c r="G842" s="11">
        <v>132.0</v>
      </c>
      <c r="H842" s="11">
        <v>0.707</v>
      </c>
      <c r="I842" s="11">
        <v>0.927</v>
      </c>
      <c r="J842" s="9" t="s">
        <v>69</v>
      </c>
      <c r="K842" s="14" t="str">
        <f>IFERROR(__xludf.DUMMYFUNCTION("ARRAYFORMULA(VLOOKUP(A842,IMPORTRANGE(""https://docs.google.com/spreadsheets/d/1BuTWp7qHGjWhqrnf-OmePP568O4A5Am9ttzvVdP67zw/edit#gid=1603210130"", ""TOURISM!$A$2:$F$2692""), {2,3,4,5,6},0))"),"Europe")</f>
        <v>Europe</v>
      </c>
      <c r="L842" s="14">
        <f>IFERROR(__xludf.DUMMYFUNCTION("""COMPUTED_VALUE"""),6.7779E10)</f>
        <v>67779000000</v>
      </c>
      <c r="M842" s="14" t="str">
        <f>IFERROR(__xludf.DUMMYFUNCTION("""COMPUTED_VALUE"""),"France-Europe")</f>
        <v>France-Europe</v>
      </c>
      <c r="N842" s="14" t="str">
        <f>IFERROR(__xludf.DUMMYFUNCTION("""COMPUTED_VALUE"""),"2008")</f>
        <v>2008</v>
      </c>
      <c r="O842" s="14">
        <f>IFERROR(__xludf.DUMMYFUNCTION("""COMPUTED_VALUE"""),5.0021E10)</f>
        <v>50021000000</v>
      </c>
      <c r="P842" s="15">
        <f>IFERROR(__xludf.DUMMYFUNCTION("ARRAYFORMULA(VLOOKUP(A842,IMPORTRANGE(""https://docs.google.com/spreadsheets/d/1BuTWp7qHGjWhqrnf-OmePP568O4A5Am9ttzvVdP67zw/edit#gid=771602874"" ,""HUMAN RESOURCES!$A$2:$M$2692""), {2,3,4,5,6,7,8,9,10,11,12,13},0))"),0.013)</f>
        <v>0.013</v>
      </c>
      <c r="Q842" s="14">
        <f>IFERROR(__xludf.DUMMYFUNCTION("""COMPUTED_VALUE"""),0.004)</f>
        <v>0.004</v>
      </c>
      <c r="R842" s="14">
        <f>IFERROR(__xludf.DUMMYFUNCTION("""COMPUTED_VALUE"""),85.0)</f>
        <v>85</v>
      </c>
      <c r="S842" s="14">
        <f>IFERROR(__xludf.DUMMYFUNCTION("""COMPUTED_VALUE"""),78.0)</f>
        <v>78</v>
      </c>
      <c r="T842" s="14">
        <f>IFERROR(__xludf.DUMMYFUNCTION("""COMPUTED_VALUE"""),0.184)</f>
        <v>0.184</v>
      </c>
      <c r="U842" s="14">
        <f>IFERROR(__xludf.DUMMYFUNCTION("""COMPUTED_VALUE"""),0.651)</f>
        <v>0.651</v>
      </c>
      <c r="V842" s="14">
        <f>IFERROR(__xludf.DUMMYFUNCTION("""COMPUTED_VALUE"""),0.165)</f>
        <v>0.165</v>
      </c>
      <c r="W842" s="14">
        <f>IFERROR(__xludf.DUMMYFUNCTION("""COMPUTED_VALUE"""),6.4371099E7)</f>
        <v>64371099</v>
      </c>
      <c r="X842" s="14">
        <f>IFERROR(__xludf.DUMMYFUNCTION("""COMPUTED_VALUE"""),0.779)</f>
        <v>0.779</v>
      </c>
      <c r="Y842" s="14" t="str">
        <f>IFERROR(__xludf.DUMMYFUNCTION("""COMPUTED_VALUE"""),"France-Europe")</f>
        <v>France-Europe</v>
      </c>
      <c r="Z842" s="14" t="str">
        <f>IFERROR(__xludf.DUMMYFUNCTION("""COMPUTED_VALUE"""),"Europe")</f>
        <v>Europe</v>
      </c>
      <c r="AA842" s="14" t="str">
        <f>IFERROR(__xludf.DUMMYFUNCTION("""COMPUTED_VALUE"""),"2008")</f>
        <v>2008</v>
      </c>
      <c r="AB842" s="15" t="str">
        <f>IFERROR(__xludf.DUMMYFUNCTION("ARRAYFORMULA(VLOOKUP(A842,IMPORTRANGE(""https://docs.google.com/spreadsheets/d/1BuTWp7qHGjWhqrnf-OmePP568O4A5Am9ttzvVdP67zw/edit#gid=1931367683"" ,""ENERGY!$A$2:$F$2692""), {2,3,4,5,6},0))"),"Europe")</f>
        <v>Europe</v>
      </c>
      <c r="AC842" s="14" t="str">
        <f>IFERROR(__xludf.DUMMYFUNCTION("""COMPUTED_VALUE"""),"France-Europe")</f>
        <v>France-Europe</v>
      </c>
      <c r="AD842" s="14" t="str">
        <f>IFERROR(__xludf.DUMMYFUNCTION("""COMPUTED_VALUE"""),"2005")</f>
        <v>2005</v>
      </c>
      <c r="AE842" s="14">
        <f>IFERROR(__xludf.DUMMYFUNCTION("""COMPUTED_VALUE"""),269777.0)</f>
        <v>269777</v>
      </c>
      <c r="AF842" s="14">
        <f>IFERROR(__xludf.DUMMYFUNCTION("""COMPUTED_VALUE"""),390103.0)</f>
        <v>390103</v>
      </c>
    </row>
    <row r="843">
      <c r="A843" s="12">
        <v>842.0</v>
      </c>
      <c r="B843" s="12" t="s">
        <v>143</v>
      </c>
      <c r="C843" s="5" t="s">
        <v>75</v>
      </c>
      <c r="D843" s="11">
        <v>0.648</v>
      </c>
      <c r="E843" s="11">
        <v>7.0</v>
      </c>
      <c r="F843" s="8"/>
      <c r="G843" s="11">
        <v>132.0</v>
      </c>
      <c r="H843" s="11">
        <v>0.716</v>
      </c>
      <c r="I843" s="11">
        <v>0.921</v>
      </c>
      <c r="J843" s="9" t="s">
        <v>70</v>
      </c>
      <c r="K843" s="14" t="str">
        <f>IFERROR(__xludf.DUMMYFUNCTION("ARRAYFORMULA(VLOOKUP(A843,IMPORTRANGE(""https://docs.google.com/spreadsheets/d/1BuTWp7qHGjWhqrnf-OmePP568O4A5Am9ttzvVdP67zw/edit#gid=1603210130"", ""TOURISM!$A$2:$F$2692""), {2,3,4,5,6},0))"),"Europe")</f>
        <v>Europe</v>
      </c>
      <c r="L843" s="14">
        <f>IFERROR(__xludf.DUMMYFUNCTION("""COMPUTED_VALUE"""),5.8857E10)</f>
        <v>58857000000</v>
      </c>
      <c r="M843" s="14" t="str">
        <f>IFERROR(__xludf.DUMMYFUNCTION("""COMPUTED_VALUE"""),"France-Europe")</f>
        <v>France-Europe</v>
      </c>
      <c r="N843" s="14" t="str">
        <f>IFERROR(__xludf.DUMMYFUNCTION("""COMPUTED_VALUE"""),"2009")</f>
        <v>2009</v>
      </c>
      <c r="O843" s="14">
        <f>IFERROR(__xludf.DUMMYFUNCTION("""COMPUTED_VALUE"""),4.5806E10)</f>
        <v>45806000000</v>
      </c>
      <c r="P843" s="15">
        <f>IFERROR(__xludf.DUMMYFUNCTION("ARRAYFORMULA(VLOOKUP(A843,IMPORTRANGE(""https://docs.google.com/spreadsheets/d/1BuTWp7qHGjWhqrnf-OmePP568O4A5Am9ttzvVdP67zw/edit#gid=771602874"" ,""HUMAN RESOURCES!$A$2:$M$2692""), {2,3,4,5,6,7,8,9,10,11,12,13},0))"),0.013)</f>
        <v>0.013</v>
      </c>
      <c r="Q843" s="14">
        <f>IFERROR(__xludf.DUMMYFUNCTION("""COMPUTED_VALUE"""),0.004)</f>
        <v>0.004</v>
      </c>
      <c r="R843" s="14">
        <f>IFERROR(__xludf.DUMMYFUNCTION("""COMPUTED_VALUE"""),85.0)</f>
        <v>85</v>
      </c>
      <c r="S843" s="14">
        <f>IFERROR(__xludf.DUMMYFUNCTION("""COMPUTED_VALUE"""),78.0)</f>
        <v>78</v>
      </c>
      <c r="T843" s="14">
        <f>IFERROR(__xludf.DUMMYFUNCTION("""COMPUTED_VALUE"""),0.184)</f>
        <v>0.184</v>
      </c>
      <c r="U843" s="14">
        <f>IFERROR(__xludf.DUMMYFUNCTION("""COMPUTED_VALUE"""),0.65)</f>
        <v>0.65</v>
      </c>
      <c r="V843" s="14">
        <f>IFERROR(__xludf.DUMMYFUNCTION("""COMPUTED_VALUE"""),0.166)</f>
        <v>0.166</v>
      </c>
      <c r="W843" s="14">
        <f>IFERROR(__xludf.DUMMYFUNCTION("""COMPUTED_VALUE"""),6.4702921E7)</f>
        <v>64702921</v>
      </c>
      <c r="X843" s="14">
        <f>IFERROR(__xludf.DUMMYFUNCTION("""COMPUTED_VALUE"""),0.781)</f>
        <v>0.781</v>
      </c>
      <c r="Y843" s="14" t="str">
        <f>IFERROR(__xludf.DUMMYFUNCTION("""COMPUTED_VALUE"""),"France-Europe")</f>
        <v>France-Europe</v>
      </c>
      <c r="Z843" s="14" t="str">
        <f>IFERROR(__xludf.DUMMYFUNCTION("""COMPUTED_VALUE"""),"Europe")</f>
        <v>Europe</v>
      </c>
      <c r="AA843" s="14" t="str">
        <f>IFERROR(__xludf.DUMMYFUNCTION("""COMPUTED_VALUE"""),"2009")</f>
        <v>2009</v>
      </c>
      <c r="AB843" s="15" t="str">
        <f>IFERROR(__xludf.DUMMYFUNCTION("ARRAYFORMULA(VLOOKUP(A843,IMPORTRANGE(""https://docs.google.com/spreadsheets/d/1BuTWp7qHGjWhqrnf-OmePP568O4A5Am9ttzvVdP67zw/edit#gid=1931367683"" ,""ENERGY!$A$2:$F$2692""), {2,3,4,5,6},0))"),"Europe")</f>
        <v>Europe</v>
      </c>
      <c r="AC843" s="14" t="str">
        <f>IFERROR(__xludf.DUMMYFUNCTION("""COMPUTED_VALUE"""),"France-Europe")</f>
        <v>France-Europe</v>
      </c>
      <c r="AD843" s="14" t="str">
        <f>IFERROR(__xludf.DUMMYFUNCTION("""COMPUTED_VALUE"""),"2009")</f>
        <v>2009</v>
      </c>
      <c r="AE843" s="14">
        <f>IFERROR(__xludf.DUMMYFUNCTION("""COMPUTED_VALUE"""),265879.0)</f>
        <v>265879</v>
      </c>
      <c r="AF843" s="14">
        <f>IFERROR(__xludf.DUMMYFUNCTION("""COMPUTED_VALUE"""),387591.0)</f>
        <v>387591</v>
      </c>
    </row>
    <row r="844">
      <c r="A844" s="12">
        <v>843.0</v>
      </c>
      <c r="B844" s="12" t="s">
        <v>143</v>
      </c>
      <c r="C844" s="5" t="s">
        <v>75</v>
      </c>
      <c r="D844" s="11">
        <v>0.648</v>
      </c>
      <c r="E844" s="11">
        <v>7.0</v>
      </c>
      <c r="F844" s="8"/>
      <c r="G844" s="11">
        <v>132.0</v>
      </c>
      <c r="H844" s="11">
        <v>0.773</v>
      </c>
      <c r="I844" s="11">
        <v>0.914</v>
      </c>
      <c r="J844" s="9" t="s">
        <v>71</v>
      </c>
      <c r="K844" s="14" t="str">
        <f>IFERROR(__xludf.DUMMYFUNCTION("ARRAYFORMULA(VLOOKUP(A844,IMPORTRANGE(""https://docs.google.com/spreadsheets/d/1BuTWp7qHGjWhqrnf-OmePP568O4A5Am9ttzvVdP67zw/edit#gid=1603210130"", ""TOURISM!$A$2:$F$2692""), {2,3,4,5,6},0))"),"Europe")</f>
        <v>Europe</v>
      </c>
      <c r="L844" s="14">
        <f>IFERROR(__xludf.DUMMYFUNCTION("""COMPUTED_VALUE"""),5.6139E10)</f>
        <v>56139000000</v>
      </c>
      <c r="M844" s="14" t="str">
        <f>IFERROR(__xludf.DUMMYFUNCTION("""COMPUTED_VALUE"""),"France-Europe")</f>
        <v>France-Europe</v>
      </c>
      <c r="N844" s="14" t="str">
        <f>IFERROR(__xludf.DUMMYFUNCTION("""COMPUTED_VALUE"""),"2010")</f>
        <v>2010</v>
      </c>
      <c r="O844" s="14">
        <f>IFERROR(__xludf.DUMMYFUNCTION("""COMPUTED_VALUE"""),4.6157E10)</f>
        <v>46157000000</v>
      </c>
      <c r="P844" s="15">
        <f>IFERROR(__xludf.DUMMYFUNCTION("ARRAYFORMULA(VLOOKUP(A844,IMPORTRANGE(""https://docs.google.com/spreadsheets/d/1BuTWp7qHGjWhqrnf-OmePP568O4A5Am9ttzvVdP67zw/edit#gid=771602874"" ,""HUMAN RESOURCES!$A$2:$M$2692""), {2,3,4,5,6,7,8,9,10,11,12,13},0))"),0.013)</f>
        <v>0.013</v>
      </c>
      <c r="Q844" s="14">
        <f>IFERROR(__xludf.DUMMYFUNCTION("""COMPUTED_VALUE"""),0.004)</f>
        <v>0.004</v>
      </c>
      <c r="R844" s="14">
        <f>IFERROR(__xludf.DUMMYFUNCTION("""COMPUTED_VALUE"""),85.0)</f>
        <v>85</v>
      </c>
      <c r="S844" s="14">
        <f>IFERROR(__xludf.DUMMYFUNCTION("""COMPUTED_VALUE"""),78.0)</f>
        <v>78</v>
      </c>
      <c r="T844" s="14">
        <f>IFERROR(__xludf.DUMMYFUNCTION("""COMPUTED_VALUE"""),0.184)</f>
        <v>0.184</v>
      </c>
      <c r="U844" s="14">
        <f>IFERROR(__xludf.DUMMYFUNCTION("""COMPUTED_VALUE"""),0.648)</f>
        <v>0.648</v>
      </c>
      <c r="V844" s="14">
        <f>IFERROR(__xludf.DUMMYFUNCTION("""COMPUTED_VALUE"""),0.168)</f>
        <v>0.168</v>
      </c>
      <c r="W844" s="14">
        <f>IFERROR(__xludf.DUMMYFUNCTION("""COMPUTED_VALUE"""),6.5023142E7)</f>
        <v>65023142</v>
      </c>
      <c r="X844" s="14">
        <f>IFERROR(__xludf.DUMMYFUNCTION("""COMPUTED_VALUE"""),0.783)</f>
        <v>0.783</v>
      </c>
      <c r="Y844" s="14" t="str">
        <f>IFERROR(__xludf.DUMMYFUNCTION("""COMPUTED_VALUE"""),"France-Europe")</f>
        <v>France-Europe</v>
      </c>
      <c r="Z844" s="14" t="str">
        <f>IFERROR(__xludf.DUMMYFUNCTION("""COMPUTED_VALUE"""),"Europe")</f>
        <v>Europe</v>
      </c>
      <c r="AA844" s="14" t="str">
        <f>IFERROR(__xludf.DUMMYFUNCTION("""COMPUTED_VALUE"""),"2010")</f>
        <v>2010</v>
      </c>
      <c r="AB844" s="15" t="str">
        <f>IFERROR(__xludf.DUMMYFUNCTION("ARRAYFORMULA(VLOOKUP(A844,IMPORTRANGE(""https://docs.google.com/spreadsheets/d/1BuTWp7qHGjWhqrnf-OmePP568O4A5Am9ttzvVdP67zw/edit#gid=1931367683"" ,""ENERGY!$A$2:$F$2692""), {2,3,4,5,6},0))"),"Europe")</f>
        <v>Europe</v>
      </c>
      <c r="AC844" s="14" t="str">
        <f>IFERROR(__xludf.DUMMYFUNCTION("""COMPUTED_VALUE"""),"France-Europe")</f>
        <v>France-Europe</v>
      </c>
      <c r="AD844" s="14" t="str">
        <f>IFERROR(__xludf.DUMMYFUNCTION("""COMPUTED_VALUE"""),"2009")</f>
        <v>2009</v>
      </c>
      <c r="AE844" s="14">
        <f>IFERROR(__xludf.DUMMYFUNCTION("""COMPUTED_VALUE"""),261182.0)</f>
        <v>261182</v>
      </c>
      <c r="AF844" s="14">
        <f>IFERROR(__xludf.DUMMYFUNCTION("""COMPUTED_VALUE"""),380840.0)</f>
        <v>380840</v>
      </c>
    </row>
    <row r="845">
      <c r="A845" s="12">
        <v>844.0</v>
      </c>
      <c r="B845" s="12" t="s">
        <v>143</v>
      </c>
      <c r="C845" s="5" t="s">
        <v>75</v>
      </c>
      <c r="D845" s="11">
        <v>0.647</v>
      </c>
      <c r="E845" s="11">
        <v>7.0</v>
      </c>
      <c r="F845" s="8"/>
      <c r="G845" s="11">
        <v>132.0</v>
      </c>
      <c r="H845" s="11">
        <v>0.778</v>
      </c>
      <c r="I845" s="11">
        <v>0.941</v>
      </c>
      <c r="J845" s="9" t="s">
        <v>72</v>
      </c>
      <c r="K845" s="14" t="str">
        <f>IFERROR(__xludf.DUMMYFUNCTION("ARRAYFORMULA(VLOOKUP(A845,IMPORTRANGE(""https://docs.google.com/spreadsheets/d/1BuTWp7qHGjWhqrnf-OmePP568O4A5Am9ttzvVdP67zw/edit#gid=1603210130"", ""TOURISM!$A$2:$F$2692""), {2,3,4,5,6},0))"),"Europe")</f>
        <v>Europe</v>
      </c>
      <c r="L845" s="14">
        <f>IFERROR(__xludf.DUMMYFUNCTION("""COMPUTED_VALUE"""),6.5959E10)</f>
        <v>65959000000</v>
      </c>
      <c r="M845" s="14" t="str">
        <f>IFERROR(__xludf.DUMMYFUNCTION("""COMPUTED_VALUE"""),"France-Europe")</f>
        <v>France-Europe</v>
      </c>
      <c r="N845" s="14" t="str">
        <f>IFERROR(__xludf.DUMMYFUNCTION("""COMPUTED_VALUE"""),"2011")</f>
        <v>2011</v>
      </c>
      <c r="O845" s="14">
        <f>IFERROR(__xludf.DUMMYFUNCTION("""COMPUTED_VALUE"""),5.3914E10)</f>
        <v>53914000000</v>
      </c>
      <c r="P845" s="15">
        <f>IFERROR(__xludf.DUMMYFUNCTION("ARRAYFORMULA(VLOOKUP(A845,IMPORTRANGE(""https://docs.google.com/spreadsheets/d/1BuTWp7qHGjWhqrnf-OmePP568O4A5Am9ttzvVdP67zw/edit#gid=771602874"" ,""HUMAN RESOURCES!$A$2:$M$2692""), {2,3,4,5,6,7,8,9,10,11,12,13},0))"),0.013)</f>
        <v>0.013</v>
      </c>
      <c r="Q845" s="14">
        <f>IFERROR(__xludf.DUMMYFUNCTION("""COMPUTED_VALUE"""),0.004)</f>
        <v>0.004</v>
      </c>
      <c r="R845" s="14">
        <f>IFERROR(__xludf.DUMMYFUNCTION("""COMPUTED_VALUE"""),86.0)</f>
        <v>86</v>
      </c>
      <c r="S845" s="14">
        <f>IFERROR(__xludf.DUMMYFUNCTION("""COMPUTED_VALUE"""),79.0)</f>
        <v>79</v>
      </c>
      <c r="T845" s="14">
        <f>IFERROR(__xludf.DUMMYFUNCTION("""COMPUTED_VALUE"""),0.183)</f>
        <v>0.183</v>
      </c>
      <c r="U845" s="14">
        <f>IFERROR(__xludf.DUMMYFUNCTION("""COMPUTED_VALUE"""),0.646)</f>
        <v>0.646</v>
      </c>
      <c r="V845" s="14">
        <f>IFERROR(__xludf.DUMMYFUNCTION("""COMPUTED_VALUE"""),0.171)</f>
        <v>0.171</v>
      </c>
      <c r="W845" s="14">
        <f>IFERROR(__xludf.DUMMYFUNCTION("""COMPUTED_VALUE"""),6.5343588E7)</f>
        <v>65343588</v>
      </c>
      <c r="X845" s="14">
        <f>IFERROR(__xludf.DUMMYFUNCTION("""COMPUTED_VALUE"""),0.786)</f>
        <v>0.786</v>
      </c>
      <c r="Y845" s="14" t="str">
        <f>IFERROR(__xludf.DUMMYFUNCTION("""COMPUTED_VALUE"""),"France-Europe")</f>
        <v>France-Europe</v>
      </c>
      <c r="Z845" s="14" t="str">
        <f>IFERROR(__xludf.DUMMYFUNCTION("""COMPUTED_VALUE"""),"Europe")</f>
        <v>Europe</v>
      </c>
      <c r="AA845" s="14" t="str">
        <f>IFERROR(__xludf.DUMMYFUNCTION("""COMPUTED_VALUE"""),"2011")</f>
        <v>2011</v>
      </c>
      <c r="AB845" s="15" t="str">
        <f>IFERROR(__xludf.DUMMYFUNCTION("ARRAYFORMULA(VLOOKUP(A845,IMPORTRANGE(""https://docs.google.com/spreadsheets/d/1BuTWp7qHGjWhqrnf-OmePP568O4A5Am9ttzvVdP67zw/edit#gid=1931367683"" ,""ENERGY!$A$2:$F$2692""), {2,3,4,5,6},0))"),"Europe")</f>
        <v>Europe</v>
      </c>
      <c r="AC845" s="14" t="str">
        <f>IFERROR(__xludf.DUMMYFUNCTION("""COMPUTED_VALUE"""),"France-Europe")</f>
        <v>France-Europe</v>
      </c>
      <c r="AD845" s="14" t="str">
        <f>IFERROR(__xludf.DUMMYFUNCTION("""COMPUTED_VALUE"""),"2005")</f>
        <v>2005</v>
      </c>
      <c r="AE845" s="14">
        <f>IFERROR(__xludf.DUMMYFUNCTION("""COMPUTED_VALUE"""),260565.0)</f>
        <v>260565</v>
      </c>
      <c r="AF845" s="14">
        <f>IFERROR(__xludf.DUMMYFUNCTION("""COMPUTED_VALUE"""),385827.0)</f>
        <v>385827</v>
      </c>
    </row>
    <row r="846">
      <c r="A846" s="12">
        <v>845.0</v>
      </c>
      <c r="B846" s="12" t="s">
        <v>143</v>
      </c>
      <c r="C846" s="5" t="s">
        <v>75</v>
      </c>
      <c r="D846" s="11">
        <v>0.647</v>
      </c>
      <c r="E846" s="11">
        <v>7.0</v>
      </c>
      <c r="F846" s="11">
        <v>35.0</v>
      </c>
      <c r="G846" s="11">
        <v>132.0</v>
      </c>
      <c r="H846" s="11">
        <v>0.814</v>
      </c>
      <c r="I846" s="11">
        <v>0.974</v>
      </c>
      <c r="J846" s="9" t="s">
        <v>73</v>
      </c>
      <c r="K846" s="14" t="str">
        <f>IFERROR(__xludf.DUMMYFUNCTION("ARRAYFORMULA(VLOOKUP(A846,IMPORTRANGE(""https://docs.google.com/spreadsheets/d/1BuTWp7qHGjWhqrnf-OmePP568O4A5Am9ttzvVdP67zw/edit#gid=1603210130"", ""TOURISM!$A$2:$F$2692""), {2,3,4,5,6},0))"),"Europe")</f>
        <v>Europe</v>
      </c>
      <c r="L846" s="14">
        <f>IFERROR(__xludf.DUMMYFUNCTION("""COMPUTED_VALUE"""),6.353E10)</f>
        <v>63530000000</v>
      </c>
      <c r="M846" s="14" t="str">
        <f>IFERROR(__xludf.DUMMYFUNCTION("""COMPUTED_VALUE"""),"France-Europe")</f>
        <v>France-Europe</v>
      </c>
      <c r="N846" s="14" t="str">
        <f>IFERROR(__xludf.DUMMYFUNCTION("""COMPUTED_VALUE"""),"2012")</f>
        <v>2012</v>
      </c>
      <c r="O846" s="14">
        <f>IFERROR(__xludf.DUMMYFUNCTION("""COMPUTED_VALUE"""),4.7159E10)</f>
        <v>47159000000</v>
      </c>
      <c r="P846" s="15">
        <f>IFERROR(__xludf.DUMMYFUNCTION("ARRAYFORMULA(VLOOKUP(A846,IMPORTRANGE(""https://docs.google.com/spreadsheets/d/1BuTWp7qHGjWhqrnf-OmePP568O4A5Am9ttzvVdP67zw/edit#gid=771602874"" ,""HUMAN RESOURCES!$A$2:$M$2692""), {2,3,4,5,6,7,8,9,10,11,12,13},0))"),0.013)</f>
        <v>0.013</v>
      </c>
      <c r="Q846" s="14">
        <f>IFERROR(__xludf.DUMMYFUNCTION("""COMPUTED_VALUE"""),0.004)</f>
        <v>0.004</v>
      </c>
      <c r="R846" s="14">
        <f>IFERROR(__xludf.DUMMYFUNCTION("""COMPUTED_VALUE"""),86.0)</f>
        <v>86</v>
      </c>
      <c r="S846" s="14">
        <f>IFERROR(__xludf.DUMMYFUNCTION("""COMPUTED_VALUE"""),79.0)</f>
        <v>79</v>
      </c>
      <c r="T846" s="14">
        <f>IFERROR(__xludf.DUMMYFUNCTION("""COMPUTED_VALUE"""),0.183)</f>
        <v>0.183</v>
      </c>
      <c r="U846" s="14">
        <f>IFERROR(__xludf.DUMMYFUNCTION("""COMPUTED_VALUE"""),0.643)</f>
        <v>0.643</v>
      </c>
      <c r="V846" s="14">
        <f>IFERROR(__xludf.DUMMYFUNCTION("""COMPUTED_VALUE"""),0.175)</f>
        <v>0.175</v>
      </c>
      <c r="W846" s="14">
        <f>IFERROR(__xludf.DUMMYFUNCTION("""COMPUTED_VALUE"""),6.5676758E7)</f>
        <v>65676758</v>
      </c>
      <c r="X846" s="14">
        <f>IFERROR(__xludf.DUMMYFUNCTION("""COMPUTED_VALUE"""),0.788)</f>
        <v>0.788</v>
      </c>
      <c r="Y846" s="14" t="str">
        <f>IFERROR(__xludf.DUMMYFUNCTION("""COMPUTED_VALUE"""),"France-Europe")</f>
        <v>France-Europe</v>
      </c>
      <c r="Z846" s="14" t="str">
        <f>IFERROR(__xludf.DUMMYFUNCTION("""COMPUTED_VALUE"""),"Europe")</f>
        <v>Europe</v>
      </c>
      <c r="AA846" s="14" t="str">
        <f>IFERROR(__xludf.DUMMYFUNCTION("""COMPUTED_VALUE"""),"2012")</f>
        <v>2012</v>
      </c>
      <c r="AB846" s="15" t="str">
        <f>IFERROR(__xludf.DUMMYFUNCTION("ARRAYFORMULA(VLOOKUP(A846,IMPORTRANGE(""https://docs.google.com/spreadsheets/d/1BuTWp7qHGjWhqrnf-OmePP568O4A5Am9ttzvVdP67zw/edit#gid=1931367683"" ,""ENERGY!$A$2:$F$2692""), {2,3,4,5,6},0))"),"Europe")</f>
        <v>Europe</v>
      </c>
      <c r="AC846" s="14" t="str">
        <f>IFERROR(__xludf.DUMMYFUNCTION("""COMPUTED_VALUE"""),"France-Europe")</f>
        <v>France-Europe</v>
      </c>
      <c r="AD846" s="14" t="str">
        <f>IFERROR(__xludf.DUMMYFUNCTION("""COMPUTED_VALUE"""),"2009")</f>
        <v>2009</v>
      </c>
      <c r="AE846" s="14">
        <f>IFERROR(__xludf.DUMMYFUNCTION("""COMPUTED_VALUE"""),251981.0)</f>
        <v>251981</v>
      </c>
      <c r="AF846" s="14">
        <f>IFERROR(__xludf.DUMMYFUNCTION("""COMPUTED_VALUE"""),365560.0)</f>
        <v>365560</v>
      </c>
    </row>
    <row r="847">
      <c r="A847" s="12">
        <v>846.0</v>
      </c>
      <c r="B847" s="12" t="s">
        <v>144</v>
      </c>
      <c r="C847" s="5" t="s">
        <v>80</v>
      </c>
      <c r="D847" s="8"/>
      <c r="E847" s="8"/>
      <c r="F847" s="8"/>
      <c r="G847" s="8"/>
      <c r="H847" s="11">
        <v>0.064</v>
      </c>
      <c r="I847" s="11">
        <v>0.168</v>
      </c>
      <c r="J847" s="9" t="s">
        <v>60</v>
      </c>
      <c r="K847" s="14" t="str">
        <f>IFERROR(__xludf.DUMMYFUNCTION("ARRAYFORMULA(VLOOKUP(A847,IMPORTRANGE(""https://docs.google.com/spreadsheets/d/1BuTWp7qHGjWhqrnf-OmePP568O4A5Am9ttzvVdP67zw/edit#gid=1603210130"", ""TOURISM!$A$2:$F$2692""), {2,3,4,5,6},0))"),"Oceania")</f>
        <v>Oceania</v>
      </c>
      <c r="L847" s="14"/>
      <c r="M847" s="14" t="str">
        <f>IFERROR(__xludf.DUMMYFUNCTION("""COMPUTED_VALUE"""),"French Polynesia-Oceania")</f>
        <v>French Polynesia-Oceania</v>
      </c>
      <c r="N847" s="14" t="str">
        <f>IFERROR(__xludf.DUMMYFUNCTION("""COMPUTED_VALUE"""),"2000")</f>
        <v>2000</v>
      </c>
      <c r="O847" s="14"/>
      <c r="P847" s="15">
        <f>IFERROR(__xludf.DUMMYFUNCTION("ARRAYFORMULA(VLOOKUP(A847,IMPORTRANGE(""https://docs.google.com/spreadsheets/d/1BuTWp7qHGjWhqrnf-OmePP568O4A5Am9ttzvVdP67zw/edit#gid=771602874"" ,""HUMAN RESOURCES!$A$2:$M$2692""), {2,3,4,5,6,7,8,9,10,11,12,13},0))"),0.02)</f>
        <v>0.02</v>
      </c>
      <c r="Q847" s="14"/>
      <c r="R847" s="14">
        <f>IFERROR(__xludf.DUMMYFUNCTION("""COMPUTED_VALUE"""),75.0)</f>
        <v>75</v>
      </c>
      <c r="S847" s="14">
        <f>IFERROR(__xludf.DUMMYFUNCTION("""COMPUTED_VALUE"""),70.0)</f>
        <v>70</v>
      </c>
      <c r="T847" s="14">
        <f>IFERROR(__xludf.DUMMYFUNCTION("""COMPUTED_VALUE"""),0.318)</f>
        <v>0.318</v>
      </c>
      <c r="U847" s="14">
        <f>IFERROR(__xludf.DUMMYFUNCTION("""COMPUTED_VALUE"""),0.64)</f>
        <v>0.64</v>
      </c>
      <c r="V847" s="14">
        <f>IFERROR(__xludf.DUMMYFUNCTION("""COMPUTED_VALUE"""),0.043)</f>
        <v>0.043</v>
      </c>
      <c r="W847" s="14">
        <f>IFERROR(__xludf.DUMMYFUNCTION("""COMPUTED_VALUE"""),237267.0)</f>
        <v>237267</v>
      </c>
      <c r="X847" s="14">
        <f>IFERROR(__xludf.DUMMYFUNCTION("""COMPUTED_VALUE"""),0.561)</f>
        <v>0.561</v>
      </c>
      <c r="Y847" s="14" t="str">
        <f>IFERROR(__xludf.DUMMYFUNCTION("""COMPUTED_VALUE"""),"French Polynesia-Oceania")</f>
        <v>French Polynesia-Oceania</v>
      </c>
      <c r="Z847" s="14" t="str">
        <f>IFERROR(__xludf.DUMMYFUNCTION("""COMPUTED_VALUE"""),"Oceania")</f>
        <v>Oceania</v>
      </c>
      <c r="AA847" s="14" t="str">
        <f>IFERROR(__xludf.DUMMYFUNCTION("""COMPUTED_VALUE"""),"2000")</f>
        <v>2000</v>
      </c>
      <c r="AB847" s="15" t="str">
        <f>IFERROR(__xludf.DUMMYFUNCTION("ARRAYFORMULA(VLOOKUP(A847,IMPORTRANGE(""https://docs.google.com/spreadsheets/d/1BuTWp7qHGjWhqrnf-OmePP568O4A5Am9ttzvVdP67zw/edit#gid=1931367683"" ,""ENERGY!$A$2:$F$2692""), {2,3,4,5,6},0))"),"Oceania")</f>
        <v>Oceania</v>
      </c>
      <c r="AC847" s="14" t="str">
        <f>IFERROR(__xludf.DUMMYFUNCTION("""COMPUTED_VALUE"""),"French Polynesia-Oceania")</f>
        <v>French Polynesia-Oceania</v>
      </c>
      <c r="AD847" s="14" t="str">
        <f>IFERROR(__xludf.DUMMYFUNCTION("""COMPUTED_VALUE"""),"2000")</f>
        <v>2000</v>
      </c>
      <c r="AE847" s="14"/>
      <c r="AF847" s="14"/>
    </row>
    <row r="848">
      <c r="A848" s="12">
        <v>847.0</v>
      </c>
      <c r="B848" s="12" t="s">
        <v>144</v>
      </c>
      <c r="C848" s="5" t="s">
        <v>80</v>
      </c>
      <c r="D848" s="8"/>
      <c r="E848" s="8"/>
      <c r="F848" s="8"/>
      <c r="G848" s="8"/>
      <c r="H848" s="11">
        <v>0.063</v>
      </c>
      <c r="I848" s="11">
        <v>0.279</v>
      </c>
      <c r="J848" s="9" t="s">
        <v>62</v>
      </c>
      <c r="K848" s="14" t="str">
        <f>IFERROR(__xludf.DUMMYFUNCTION("ARRAYFORMULA(VLOOKUP(A848,IMPORTRANGE(""https://docs.google.com/spreadsheets/d/1BuTWp7qHGjWhqrnf-OmePP568O4A5Am9ttzvVdP67zw/edit#gid=1603210130"", ""TOURISM!$A$2:$F$2692""), {2,3,4,5,6},0))"),"Oceania")</f>
        <v>Oceania</v>
      </c>
      <c r="L848" s="14"/>
      <c r="M848" s="14" t="str">
        <f>IFERROR(__xludf.DUMMYFUNCTION("""COMPUTED_VALUE"""),"French Polynesia-Oceania")</f>
        <v>French Polynesia-Oceania</v>
      </c>
      <c r="N848" s="14" t="str">
        <f>IFERROR(__xludf.DUMMYFUNCTION("""COMPUTED_VALUE"""),"2001")</f>
        <v>2001</v>
      </c>
      <c r="O848" s="14"/>
      <c r="P848" s="15">
        <f>IFERROR(__xludf.DUMMYFUNCTION("ARRAYFORMULA(VLOOKUP(A848,IMPORTRANGE(""https://docs.google.com/spreadsheets/d/1BuTWp7qHGjWhqrnf-OmePP568O4A5Am9ttzvVdP67zw/edit#gid=771602874"" ,""HUMAN RESOURCES!$A$2:$M$2692""), {2,3,4,5,6,7,8,9,10,11,12,13},0))"),0.02)</f>
        <v>0.02</v>
      </c>
      <c r="Q848" s="14"/>
      <c r="R848" s="14">
        <f>IFERROR(__xludf.DUMMYFUNCTION("""COMPUTED_VALUE"""),76.0)</f>
        <v>76</v>
      </c>
      <c r="S848" s="14">
        <f>IFERROR(__xludf.DUMMYFUNCTION("""COMPUTED_VALUE"""),70.0)</f>
        <v>70</v>
      </c>
      <c r="T848" s="14">
        <f>IFERROR(__xludf.DUMMYFUNCTION("""COMPUTED_VALUE"""),0.31)</f>
        <v>0.31</v>
      </c>
      <c r="U848" s="14">
        <f>IFERROR(__xludf.DUMMYFUNCTION("""COMPUTED_VALUE"""),0.645)</f>
        <v>0.645</v>
      </c>
      <c r="V848" s="14">
        <f>IFERROR(__xludf.DUMMYFUNCTION("""COMPUTED_VALUE"""),0.044)</f>
        <v>0.044</v>
      </c>
      <c r="W848" s="14">
        <f>IFERROR(__xludf.DUMMYFUNCTION("""COMPUTED_VALUE"""),241276.0)</f>
        <v>241276</v>
      </c>
      <c r="X848" s="14">
        <f>IFERROR(__xludf.DUMMYFUNCTION("""COMPUTED_VALUE"""),0.56)</f>
        <v>0.56</v>
      </c>
      <c r="Y848" s="14" t="str">
        <f>IFERROR(__xludf.DUMMYFUNCTION("""COMPUTED_VALUE"""),"French Polynesia-Oceania")</f>
        <v>French Polynesia-Oceania</v>
      </c>
      <c r="Z848" s="14" t="str">
        <f>IFERROR(__xludf.DUMMYFUNCTION("""COMPUTED_VALUE"""),"Oceania")</f>
        <v>Oceania</v>
      </c>
      <c r="AA848" s="14" t="str">
        <f>IFERROR(__xludf.DUMMYFUNCTION("""COMPUTED_VALUE"""),"2001")</f>
        <v>2001</v>
      </c>
      <c r="AB848" s="15" t="str">
        <f>IFERROR(__xludf.DUMMYFUNCTION("ARRAYFORMULA(VLOOKUP(A848,IMPORTRANGE(""https://docs.google.com/spreadsheets/d/1BuTWp7qHGjWhqrnf-OmePP568O4A5Am9ttzvVdP67zw/edit#gid=1931367683"" ,""ENERGY!$A$2:$F$2692""), {2,3,4,5,6},0))"),"Oceania")</f>
        <v>Oceania</v>
      </c>
      <c r="AC848" s="14" t="str">
        <f>IFERROR(__xludf.DUMMYFUNCTION("""COMPUTED_VALUE"""),"French Polynesia-Oceania")</f>
        <v>French Polynesia-Oceania</v>
      </c>
      <c r="AD848" s="14" t="str">
        <f>IFERROR(__xludf.DUMMYFUNCTION("""COMPUTED_VALUE"""),"2001")</f>
        <v>2001</v>
      </c>
      <c r="AE848" s="14"/>
      <c r="AF848" s="14"/>
    </row>
    <row r="849">
      <c r="A849" s="12">
        <v>848.0</v>
      </c>
      <c r="B849" s="12" t="s">
        <v>144</v>
      </c>
      <c r="C849" s="5" t="s">
        <v>80</v>
      </c>
      <c r="D849" s="8"/>
      <c r="E849" s="8"/>
      <c r="F849" s="8"/>
      <c r="G849" s="8"/>
      <c r="H849" s="11">
        <v>0.082</v>
      </c>
      <c r="I849" s="11">
        <v>0.213</v>
      </c>
      <c r="J849" s="9" t="s">
        <v>63</v>
      </c>
      <c r="K849" s="14" t="str">
        <f>IFERROR(__xludf.DUMMYFUNCTION("ARRAYFORMULA(VLOOKUP(A849,IMPORTRANGE(""https://docs.google.com/spreadsheets/d/1BuTWp7qHGjWhqrnf-OmePP568O4A5Am9ttzvVdP67zw/edit#gid=1603210130"", ""TOURISM!$A$2:$F$2692""), {2,3,4,5,6},0))"),"Oceania")</f>
        <v>Oceania</v>
      </c>
      <c r="L849" s="14">
        <f>IFERROR(__xludf.DUMMYFUNCTION("""COMPUTED_VALUE"""),4.71E8)</f>
        <v>471000000</v>
      </c>
      <c r="M849" s="14" t="str">
        <f>IFERROR(__xludf.DUMMYFUNCTION("""COMPUTED_VALUE"""),"French Polynesia-Oceania")</f>
        <v>French Polynesia-Oceania</v>
      </c>
      <c r="N849" s="14" t="str">
        <f>IFERROR(__xludf.DUMMYFUNCTION("""COMPUTED_VALUE"""),"2002")</f>
        <v>2002</v>
      </c>
      <c r="O849" s="14">
        <f>IFERROR(__xludf.DUMMYFUNCTION("""COMPUTED_VALUE"""),2.64E8)</f>
        <v>264000000</v>
      </c>
      <c r="P849" s="15">
        <f>IFERROR(__xludf.DUMMYFUNCTION("ARRAYFORMULA(VLOOKUP(A849,IMPORTRANGE(""https://docs.google.com/spreadsheets/d/1BuTWp7qHGjWhqrnf-OmePP568O4A5Am9ttzvVdP67zw/edit#gid=771602874"" ,""HUMAN RESOURCES!$A$2:$M$2692""), {2,3,4,5,6,7,8,9,10,11,12,13},0))"),0.019)</f>
        <v>0.019</v>
      </c>
      <c r="Q849" s="14"/>
      <c r="R849" s="14">
        <f>IFERROR(__xludf.DUMMYFUNCTION("""COMPUTED_VALUE"""),76.0)</f>
        <v>76</v>
      </c>
      <c r="S849" s="14">
        <f>IFERROR(__xludf.DUMMYFUNCTION("""COMPUTED_VALUE"""),70.0)</f>
        <v>70</v>
      </c>
      <c r="T849" s="14">
        <f>IFERROR(__xludf.DUMMYFUNCTION("""COMPUTED_VALUE"""),0.303)</f>
        <v>0.303</v>
      </c>
      <c r="U849" s="14">
        <f>IFERROR(__xludf.DUMMYFUNCTION("""COMPUTED_VALUE"""),0.652)</f>
        <v>0.652</v>
      </c>
      <c r="V849" s="14">
        <f>IFERROR(__xludf.DUMMYFUNCTION("""COMPUTED_VALUE"""),0.045)</f>
        <v>0.045</v>
      </c>
      <c r="W849" s="14">
        <f>IFERROR(__xludf.DUMMYFUNCTION("""COMPUTED_VALUE"""),245032.0)</f>
        <v>245032</v>
      </c>
      <c r="X849" s="14">
        <f>IFERROR(__xludf.DUMMYFUNCTION("""COMPUTED_VALUE"""),0.559)</f>
        <v>0.559</v>
      </c>
      <c r="Y849" s="14" t="str">
        <f>IFERROR(__xludf.DUMMYFUNCTION("""COMPUTED_VALUE"""),"French Polynesia-Oceania")</f>
        <v>French Polynesia-Oceania</v>
      </c>
      <c r="Z849" s="14" t="str">
        <f>IFERROR(__xludf.DUMMYFUNCTION("""COMPUTED_VALUE"""),"Oceania")</f>
        <v>Oceania</v>
      </c>
      <c r="AA849" s="14" t="str">
        <f>IFERROR(__xludf.DUMMYFUNCTION("""COMPUTED_VALUE"""),"2002")</f>
        <v>2002</v>
      </c>
      <c r="AB849" s="15" t="str">
        <f>IFERROR(__xludf.DUMMYFUNCTION("ARRAYFORMULA(VLOOKUP(A849,IMPORTRANGE(""https://docs.google.com/spreadsheets/d/1BuTWp7qHGjWhqrnf-OmePP568O4A5Am9ttzvVdP67zw/edit#gid=1931367683"" ,""ENERGY!$A$2:$F$2692""), {2,3,4,5,6},0))"),"Oceania")</f>
        <v>Oceania</v>
      </c>
      <c r="AC849" s="14" t="str">
        <f>IFERROR(__xludf.DUMMYFUNCTION("""COMPUTED_VALUE"""),"French Polynesia-Oceania")</f>
        <v>French Polynesia-Oceania</v>
      </c>
      <c r="AD849" s="14" t="str">
        <f>IFERROR(__xludf.DUMMYFUNCTION("""COMPUTED_VALUE"""),"2002")</f>
        <v>2002</v>
      </c>
      <c r="AE849" s="14"/>
      <c r="AF849" s="14">
        <f>IFERROR(__xludf.DUMMYFUNCTION("""COMPUTED_VALUE"""),884.0)</f>
        <v>884</v>
      </c>
    </row>
    <row r="850">
      <c r="A850" s="12">
        <v>849.0</v>
      </c>
      <c r="B850" s="12" t="s">
        <v>144</v>
      </c>
      <c r="C850" s="5" t="s">
        <v>80</v>
      </c>
      <c r="D850" s="8"/>
      <c r="E850" s="8"/>
      <c r="F850" s="8"/>
      <c r="G850" s="8"/>
      <c r="H850" s="11">
        <v>0.141</v>
      </c>
      <c r="I850" s="11">
        <v>0.242</v>
      </c>
      <c r="J850" s="9" t="s">
        <v>64</v>
      </c>
      <c r="K850" s="14" t="str">
        <f>IFERROR(__xludf.DUMMYFUNCTION("ARRAYFORMULA(VLOOKUP(A850,IMPORTRANGE(""https://docs.google.com/spreadsheets/d/1BuTWp7qHGjWhqrnf-OmePP568O4A5Am9ttzvVdP67zw/edit#gid=1603210130"", ""TOURISM!$A$2:$F$2692""), {2,3,4,5,6},0))"),"Oceania")</f>
        <v>Oceania</v>
      </c>
      <c r="L850" s="14">
        <f>IFERROR(__xludf.DUMMYFUNCTION("""COMPUTED_VALUE"""),6.51E8)</f>
        <v>651000000</v>
      </c>
      <c r="M850" s="14" t="str">
        <f>IFERROR(__xludf.DUMMYFUNCTION("""COMPUTED_VALUE"""),"French Polynesia-Oceania")</f>
        <v>French Polynesia-Oceania</v>
      </c>
      <c r="N850" s="14" t="str">
        <f>IFERROR(__xludf.DUMMYFUNCTION("""COMPUTED_VALUE"""),"2003")</f>
        <v>2003</v>
      </c>
      <c r="O850" s="14">
        <f>IFERROR(__xludf.DUMMYFUNCTION("""COMPUTED_VALUE"""),3.35E8)</f>
        <v>335000000</v>
      </c>
      <c r="P850" s="15">
        <f>IFERROR(__xludf.DUMMYFUNCTION("ARRAYFORMULA(VLOOKUP(A850,IMPORTRANGE(""https://docs.google.com/spreadsheets/d/1BuTWp7qHGjWhqrnf-OmePP568O4A5Am9ttzvVdP67zw/edit#gid=771602874"" ,""HUMAN RESOURCES!$A$2:$M$2692""), {2,3,4,5,6,7,8,9,10,11,12,13},0))"),0.019)</f>
        <v>0.019</v>
      </c>
      <c r="Q850" s="14"/>
      <c r="R850" s="14">
        <f>IFERROR(__xludf.DUMMYFUNCTION("""COMPUTED_VALUE"""),76.0)</f>
        <v>76</v>
      </c>
      <c r="S850" s="14">
        <f>IFERROR(__xludf.DUMMYFUNCTION("""COMPUTED_VALUE"""),71.0)</f>
        <v>71</v>
      </c>
      <c r="T850" s="14">
        <f>IFERROR(__xludf.DUMMYFUNCTION("""COMPUTED_VALUE"""),0.294)</f>
        <v>0.294</v>
      </c>
      <c r="U850" s="14">
        <f>IFERROR(__xludf.DUMMYFUNCTION("""COMPUTED_VALUE"""),0.659)</f>
        <v>0.659</v>
      </c>
      <c r="V850" s="14">
        <f>IFERROR(__xludf.DUMMYFUNCTION("""COMPUTED_VALUE"""),0.046)</f>
        <v>0.046</v>
      </c>
      <c r="W850" s="14">
        <f>IFERROR(__xludf.DUMMYFUNCTION("""COMPUTED_VALUE"""),248536.0)</f>
        <v>248536</v>
      </c>
      <c r="X850" s="14">
        <f>IFERROR(__xludf.DUMMYFUNCTION("""COMPUTED_VALUE"""),0.56)</f>
        <v>0.56</v>
      </c>
      <c r="Y850" s="14" t="str">
        <f>IFERROR(__xludf.DUMMYFUNCTION("""COMPUTED_VALUE"""),"French Polynesia-Oceania")</f>
        <v>French Polynesia-Oceania</v>
      </c>
      <c r="Z850" s="14" t="str">
        <f>IFERROR(__xludf.DUMMYFUNCTION("""COMPUTED_VALUE"""),"Oceania")</f>
        <v>Oceania</v>
      </c>
      <c r="AA850" s="14" t="str">
        <f>IFERROR(__xludf.DUMMYFUNCTION("""COMPUTED_VALUE"""),"2003")</f>
        <v>2003</v>
      </c>
      <c r="AB850" s="15" t="str">
        <f>IFERROR(__xludf.DUMMYFUNCTION("ARRAYFORMULA(VLOOKUP(A850,IMPORTRANGE(""https://docs.google.com/spreadsheets/d/1BuTWp7qHGjWhqrnf-OmePP568O4A5Am9ttzvVdP67zw/edit#gid=1931367683"" ,""ENERGY!$A$2:$F$2692""), {2,3,4,5,6},0))"),"Oceania")</f>
        <v>Oceania</v>
      </c>
      <c r="AC850" s="14" t="str">
        <f>IFERROR(__xludf.DUMMYFUNCTION("""COMPUTED_VALUE"""),"French Polynesia-Oceania")</f>
        <v>French Polynesia-Oceania</v>
      </c>
      <c r="AD850" s="14" t="str">
        <f>IFERROR(__xludf.DUMMYFUNCTION("""COMPUTED_VALUE"""),"2003")</f>
        <v>2003</v>
      </c>
      <c r="AE850" s="14"/>
      <c r="AF850" s="14">
        <f>IFERROR(__xludf.DUMMYFUNCTION("""COMPUTED_VALUE"""),873.0)</f>
        <v>873</v>
      </c>
    </row>
    <row r="851">
      <c r="A851" s="12">
        <v>850.0</v>
      </c>
      <c r="B851" s="12" t="s">
        <v>144</v>
      </c>
      <c r="C851" s="5" t="s">
        <v>80</v>
      </c>
      <c r="D851" s="8"/>
      <c r="E851" s="8"/>
      <c r="F851" s="8"/>
      <c r="G851" s="8"/>
      <c r="H851" s="11">
        <v>0.179</v>
      </c>
      <c r="I851" s="11">
        <v>0.381</v>
      </c>
      <c r="J851" s="9" t="s">
        <v>65</v>
      </c>
      <c r="K851" s="14" t="str">
        <f>IFERROR(__xludf.DUMMYFUNCTION("ARRAYFORMULA(VLOOKUP(A851,IMPORTRANGE(""https://docs.google.com/spreadsheets/d/1BuTWp7qHGjWhqrnf-OmePP568O4A5Am9ttzvVdP67zw/edit#gid=1603210130"", ""TOURISM!$A$2:$F$2692""), {2,3,4,5,6},0))"),"Oceania")</f>
        <v>Oceania</v>
      </c>
      <c r="L851" s="14">
        <f>IFERROR(__xludf.DUMMYFUNCTION("""COMPUTED_VALUE"""),7.37E8)</f>
        <v>737000000</v>
      </c>
      <c r="M851" s="14" t="str">
        <f>IFERROR(__xludf.DUMMYFUNCTION("""COMPUTED_VALUE"""),"French Polynesia-Oceania")</f>
        <v>French Polynesia-Oceania</v>
      </c>
      <c r="N851" s="14" t="str">
        <f>IFERROR(__xludf.DUMMYFUNCTION("""COMPUTED_VALUE"""),"2004")</f>
        <v>2004</v>
      </c>
      <c r="O851" s="14">
        <f>IFERROR(__xludf.DUMMYFUNCTION("""COMPUTED_VALUE"""),4.25E8)</f>
        <v>425000000</v>
      </c>
      <c r="P851" s="15">
        <f>IFERROR(__xludf.DUMMYFUNCTION("ARRAYFORMULA(VLOOKUP(A851,IMPORTRANGE(""https://docs.google.com/spreadsheets/d/1BuTWp7qHGjWhqrnf-OmePP568O4A5Am9ttzvVdP67zw/edit#gid=771602874"" ,""HUMAN RESOURCES!$A$2:$M$2692""), {2,3,4,5,6,7,8,9,10,11,12,13},0))"),0.019)</f>
        <v>0.019</v>
      </c>
      <c r="Q851" s="14"/>
      <c r="R851" s="14">
        <f>IFERROR(__xludf.DUMMYFUNCTION("""COMPUTED_VALUE"""),77.0)</f>
        <v>77</v>
      </c>
      <c r="S851" s="14">
        <f>IFERROR(__xludf.DUMMYFUNCTION("""COMPUTED_VALUE"""),71.0)</f>
        <v>71</v>
      </c>
      <c r="T851" s="14">
        <f>IFERROR(__xludf.DUMMYFUNCTION("""COMPUTED_VALUE"""),0.286)</f>
        <v>0.286</v>
      </c>
      <c r="U851" s="14">
        <f>IFERROR(__xludf.DUMMYFUNCTION("""COMPUTED_VALUE"""),0.666)</f>
        <v>0.666</v>
      </c>
      <c r="V851" s="14">
        <f>IFERROR(__xludf.DUMMYFUNCTION("""COMPUTED_VALUE"""),0.048)</f>
        <v>0.048</v>
      </c>
      <c r="W851" s="14">
        <f>IFERROR(__xludf.DUMMYFUNCTION("""COMPUTED_VALUE"""),251811.0)</f>
        <v>251811</v>
      </c>
      <c r="X851" s="14">
        <f>IFERROR(__xludf.DUMMYFUNCTION("""COMPUTED_VALUE"""),0.562)</f>
        <v>0.562</v>
      </c>
      <c r="Y851" s="14" t="str">
        <f>IFERROR(__xludf.DUMMYFUNCTION("""COMPUTED_VALUE"""),"French Polynesia-Oceania")</f>
        <v>French Polynesia-Oceania</v>
      </c>
      <c r="Z851" s="14" t="str">
        <f>IFERROR(__xludf.DUMMYFUNCTION("""COMPUTED_VALUE"""),"Oceania")</f>
        <v>Oceania</v>
      </c>
      <c r="AA851" s="14" t="str">
        <f>IFERROR(__xludf.DUMMYFUNCTION("""COMPUTED_VALUE"""),"2004")</f>
        <v>2004</v>
      </c>
      <c r="AB851" s="15" t="str">
        <f>IFERROR(__xludf.DUMMYFUNCTION("ARRAYFORMULA(VLOOKUP(A851,IMPORTRANGE(""https://docs.google.com/spreadsheets/d/1BuTWp7qHGjWhqrnf-OmePP568O4A5Am9ttzvVdP67zw/edit#gid=1931367683"" ,""ENERGY!$A$2:$F$2692""), {2,3,4,5,6},0))"),"Oceania")</f>
        <v>Oceania</v>
      </c>
      <c r="AC851" s="14" t="str">
        <f>IFERROR(__xludf.DUMMYFUNCTION("""COMPUTED_VALUE"""),"French Polynesia-Oceania")</f>
        <v>French Polynesia-Oceania</v>
      </c>
      <c r="AD851" s="14" t="str">
        <f>IFERROR(__xludf.DUMMYFUNCTION("""COMPUTED_VALUE"""),"2004")</f>
        <v>2004</v>
      </c>
      <c r="AE851" s="14"/>
      <c r="AF851" s="14">
        <f>IFERROR(__xludf.DUMMYFUNCTION("""COMPUTED_VALUE"""),869.0)</f>
        <v>869</v>
      </c>
    </row>
    <row r="852">
      <c r="A852" s="12">
        <v>851.0</v>
      </c>
      <c r="B852" s="12" t="s">
        <v>144</v>
      </c>
      <c r="C852" s="5" t="s">
        <v>80</v>
      </c>
      <c r="D852" s="8"/>
      <c r="E852" s="8"/>
      <c r="F852" s="8"/>
      <c r="G852" s="8"/>
      <c r="H852" s="11">
        <v>0.215</v>
      </c>
      <c r="I852" s="11">
        <v>0.471</v>
      </c>
      <c r="J852" s="9" t="s">
        <v>66</v>
      </c>
      <c r="K852" s="14" t="str">
        <f>IFERROR(__xludf.DUMMYFUNCTION("ARRAYFORMULA(VLOOKUP(A852,IMPORTRANGE(""https://docs.google.com/spreadsheets/d/1BuTWp7qHGjWhqrnf-OmePP568O4A5Am9ttzvVdP67zw/edit#gid=1603210130"", ""TOURISM!$A$2:$F$2692""), {2,3,4,5,6},0))"),"Oceania")</f>
        <v>Oceania</v>
      </c>
      <c r="L852" s="14">
        <f>IFERROR(__xludf.DUMMYFUNCTION("""COMPUTED_VALUE"""),7.59E8)</f>
        <v>759000000</v>
      </c>
      <c r="M852" s="14" t="str">
        <f>IFERROR(__xludf.DUMMYFUNCTION("""COMPUTED_VALUE"""),"French Polynesia-Oceania")</f>
        <v>French Polynesia-Oceania</v>
      </c>
      <c r="N852" s="14" t="str">
        <f>IFERROR(__xludf.DUMMYFUNCTION("""COMPUTED_VALUE"""),"2005")</f>
        <v>2005</v>
      </c>
      <c r="O852" s="14">
        <f>IFERROR(__xludf.DUMMYFUNCTION("""COMPUTED_VALUE"""),4.3E8)</f>
        <v>430000000</v>
      </c>
      <c r="P852" s="15">
        <f>IFERROR(__xludf.DUMMYFUNCTION("ARRAYFORMULA(VLOOKUP(A852,IMPORTRANGE(""https://docs.google.com/spreadsheets/d/1BuTWp7qHGjWhqrnf-OmePP568O4A5Am9ttzvVdP67zw/edit#gid=771602874"" ,""HUMAN RESOURCES!$A$2:$M$2692""), {2,3,4,5,6,7,8,9,10,11,12,13},0))"),0.018)</f>
        <v>0.018</v>
      </c>
      <c r="Q852" s="14"/>
      <c r="R852" s="14">
        <f>IFERROR(__xludf.DUMMYFUNCTION("""COMPUTED_VALUE"""),77.0)</f>
        <v>77</v>
      </c>
      <c r="S852" s="14">
        <f>IFERROR(__xludf.DUMMYFUNCTION("""COMPUTED_VALUE"""),72.0)</f>
        <v>72</v>
      </c>
      <c r="T852" s="14">
        <f>IFERROR(__xludf.DUMMYFUNCTION("""COMPUTED_VALUE"""),0.277)</f>
        <v>0.277</v>
      </c>
      <c r="U852" s="14">
        <f>IFERROR(__xludf.DUMMYFUNCTION("""COMPUTED_VALUE"""),0.672)</f>
        <v>0.672</v>
      </c>
      <c r="V852" s="14">
        <f>IFERROR(__xludf.DUMMYFUNCTION("""COMPUTED_VALUE"""),0.05)</f>
        <v>0.05</v>
      </c>
      <c r="W852" s="14">
        <f>IFERROR(__xludf.DUMMYFUNCTION("""COMPUTED_VALUE"""),254884.0)</f>
        <v>254884</v>
      </c>
      <c r="X852" s="14">
        <f>IFERROR(__xludf.DUMMYFUNCTION("""COMPUTED_VALUE"""),0.564)</f>
        <v>0.564</v>
      </c>
      <c r="Y852" s="14" t="str">
        <f>IFERROR(__xludf.DUMMYFUNCTION("""COMPUTED_VALUE"""),"French Polynesia-Oceania")</f>
        <v>French Polynesia-Oceania</v>
      </c>
      <c r="Z852" s="14" t="str">
        <f>IFERROR(__xludf.DUMMYFUNCTION("""COMPUTED_VALUE"""),"Oceania")</f>
        <v>Oceania</v>
      </c>
      <c r="AA852" s="14" t="str">
        <f>IFERROR(__xludf.DUMMYFUNCTION("""COMPUTED_VALUE"""),"2005")</f>
        <v>2005</v>
      </c>
      <c r="AB852" s="15" t="str">
        <f>IFERROR(__xludf.DUMMYFUNCTION("ARRAYFORMULA(VLOOKUP(A852,IMPORTRANGE(""https://docs.google.com/spreadsheets/d/1BuTWp7qHGjWhqrnf-OmePP568O4A5Am9ttzvVdP67zw/edit#gid=1931367683"" ,""ENERGY!$A$2:$F$2692""), {2,3,4,5,6},0))"),"Oceania")</f>
        <v>Oceania</v>
      </c>
      <c r="AC852" s="14" t="str">
        <f>IFERROR(__xludf.DUMMYFUNCTION("""COMPUTED_VALUE"""),"French Polynesia-Oceania")</f>
        <v>French Polynesia-Oceania</v>
      </c>
      <c r="AD852" s="14" t="str">
        <f>IFERROR(__xludf.DUMMYFUNCTION("""COMPUTED_VALUE"""),"2006")</f>
        <v>2006</v>
      </c>
      <c r="AE852" s="14"/>
      <c r="AF852" s="14">
        <f>IFERROR(__xludf.DUMMYFUNCTION("""COMPUTED_VALUE"""),843.0)</f>
        <v>843</v>
      </c>
    </row>
    <row r="853">
      <c r="A853" s="12">
        <v>852.0</v>
      </c>
      <c r="B853" s="12" t="s">
        <v>144</v>
      </c>
      <c r="C853" s="5" t="s">
        <v>80</v>
      </c>
      <c r="D853" s="8"/>
      <c r="E853" s="8"/>
      <c r="F853" s="8"/>
      <c r="G853" s="8"/>
      <c r="H853" s="11">
        <v>0.251</v>
      </c>
      <c r="I853" s="11">
        <v>0.59</v>
      </c>
      <c r="J853" s="9" t="s">
        <v>67</v>
      </c>
      <c r="K853" s="14" t="str">
        <f>IFERROR(__xludf.DUMMYFUNCTION("ARRAYFORMULA(VLOOKUP(A853,IMPORTRANGE(""https://docs.google.com/spreadsheets/d/1BuTWp7qHGjWhqrnf-OmePP568O4A5Am9ttzvVdP67zw/edit#gid=1603210130"", ""TOURISM!$A$2:$F$2692""), {2,3,4,5,6},0))"),"Oceania")</f>
        <v>Oceania</v>
      </c>
      <c r="L853" s="14">
        <f>IFERROR(__xludf.DUMMYFUNCTION("""COMPUTED_VALUE"""),4.63E8)</f>
        <v>463000000</v>
      </c>
      <c r="M853" s="14" t="str">
        <f>IFERROR(__xludf.DUMMYFUNCTION("""COMPUTED_VALUE"""),"French Polynesia-Oceania")</f>
        <v>French Polynesia-Oceania</v>
      </c>
      <c r="N853" s="14" t="str">
        <f>IFERROR(__xludf.DUMMYFUNCTION("""COMPUTED_VALUE"""),"2006")</f>
        <v>2006</v>
      </c>
      <c r="O853" s="14">
        <f>IFERROR(__xludf.DUMMYFUNCTION("""COMPUTED_VALUE"""),1.22E8)</f>
        <v>122000000</v>
      </c>
      <c r="P853" s="15">
        <f>IFERROR(__xludf.DUMMYFUNCTION("ARRAYFORMULA(VLOOKUP(A853,IMPORTRANGE(""https://docs.google.com/spreadsheets/d/1BuTWp7qHGjWhqrnf-OmePP568O4A5Am9ttzvVdP67zw/edit#gid=771602874"" ,""HUMAN RESOURCES!$A$2:$M$2692""), {2,3,4,5,6,7,8,9,10,11,12,13},0))"),0.018)</f>
        <v>0.018</v>
      </c>
      <c r="Q853" s="14"/>
      <c r="R853" s="14">
        <f>IFERROR(__xludf.DUMMYFUNCTION("""COMPUTED_VALUE"""),77.0)</f>
        <v>77</v>
      </c>
      <c r="S853" s="14">
        <f>IFERROR(__xludf.DUMMYFUNCTION("""COMPUTED_VALUE"""),72.0)</f>
        <v>72</v>
      </c>
      <c r="T853" s="14">
        <f>IFERROR(__xludf.DUMMYFUNCTION("""COMPUTED_VALUE"""),0.269)</f>
        <v>0.269</v>
      </c>
      <c r="U853" s="14">
        <f>IFERROR(__xludf.DUMMYFUNCTION("""COMPUTED_VALUE"""),0.678)</f>
        <v>0.678</v>
      </c>
      <c r="V853" s="14">
        <f>IFERROR(__xludf.DUMMYFUNCTION("""COMPUTED_VALUE"""),0.053)</f>
        <v>0.053</v>
      </c>
      <c r="W853" s="14">
        <f>IFERROR(__xludf.DUMMYFUNCTION("""COMPUTED_VALUE"""),257731.0)</f>
        <v>257731</v>
      </c>
      <c r="X853" s="14">
        <f>IFERROR(__xludf.DUMMYFUNCTION("""COMPUTED_VALUE"""),0.566)</f>
        <v>0.566</v>
      </c>
      <c r="Y853" s="14" t="str">
        <f>IFERROR(__xludf.DUMMYFUNCTION("""COMPUTED_VALUE"""),"French Polynesia-Oceania")</f>
        <v>French Polynesia-Oceania</v>
      </c>
      <c r="Z853" s="14" t="str">
        <f>IFERROR(__xludf.DUMMYFUNCTION("""COMPUTED_VALUE"""),"Oceania")</f>
        <v>Oceania</v>
      </c>
      <c r="AA853" s="14" t="str">
        <f>IFERROR(__xludf.DUMMYFUNCTION("""COMPUTED_VALUE"""),"2006")</f>
        <v>2006</v>
      </c>
      <c r="AB853" s="15" t="str">
        <f>IFERROR(__xludf.DUMMYFUNCTION("ARRAYFORMULA(VLOOKUP(A853,IMPORTRANGE(""https://docs.google.com/spreadsheets/d/1BuTWp7qHGjWhqrnf-OmePP568O4A5Am9ttzvVdP67zw/edit#gid=1931367683"" ,""ENERGY!$A$2:$F$2692""), {2,3,4,5,6},0))"),"Oceania")</f>
        <v>Oceania</v>
      </c>
      <c r="AC853" s="14" t="str">
        <f>IFERROR(__xludf.DUMMYFUNCTION("""COMPUTED_VALUE"""),"French Polynesia-Oceania")</f>
        <v>French Polynesia-Oceania</v>
      </c>
      <c r="AD853" s="14" t="str">
        <f>IFERROR(__xludf.DUMMYFUNCTION("""COMPUTED_VALUE"""),"2010")</f>
        <v>2010</v>
      </c>
      <c r="AE853" s="14"/>
      <c r="AF853" s="14">
        <f>IFERROR(__xludf.DUMMYFUNCTION("""COMPUTED_VALUE"""),851.0)</f>
        <v>851</v>
      </c>
    </row>
    <row r="854">
      <c r="A854" s="12">
        <v>853.0</v>
      </c>
      <c r="B854" s="12" t="s">
        <v>144</v>
      </c>
      <c r="C854" s="5" t="s">
        <v>80</v>
      </c>
      <c r="D854" s="8"/>
      <c r="E854" s="8"/>
      <c r="F854" s="8"/>
      <c r="G854" s="8"/>
      <c r="H854" s="11">
        <v>0.286</v>
      </c>
      <c r="I854" s="11">
        <v>0.672</v>
      </c>
      <c r="J854" s="9" t="s">
        <v>68</v>
      </c>
      <c r="K854" s="14" t="str">
        <f>IFERROR(__xludf.DUMMYFUNCTION("ARRAYFORMULA(VLOOKUP(A854,IMPORTRANGE(""https://docs.google.com/spreadsheets/d/1BuTWp7qHGjWhqrnf-OmePP568O4A5Am9ttzvVdP67zw/edit#gid=1603210130"", ""TOURISM!$A$2:$F$2692""), {2,3,4,5,6},0))"),"Oceania")</f>
        <v>Oceania</v>
      </c>
      <c r="L854" s="14">
        <f>IFERROR(__xludf.DUMMYFUNCTION("""COMPUTED_VALUE"""),5.37E8)</f>
        <v>537000000</v>
      </c>
      <c r="M854" s="14" t="str">
        <f>IFERROR(__xludf.DUMMYFUNCTION("""COMPUTED_VALUE"""),"French Polynesia-Oceania")</f>
        <v>French Polynesia-Oceania</v>
      </c>
      <c r="N854" s="14" t="str">
        <f>IFERROR(__xludf.DUMMYFUNCTION("""COMPUTED_VALUE"""),"2007")</f>
        <v>2007</v>
      </c>
      <c r="O854" s="14">
        <f>IFERROR(__xludf.DUMMYFUNCTION("""COMPUTED_VALUE"""),1.53E8)</f>
        <v>153000000</v>
      </c>
      <c r="P854" s="15">
        <f>IFERROR(__xludf.DUMMYFUNCTION("ARRAYFORMULA(VLOOKUP(A854,IMPORTRANGE(""https://docs.google.com/spreadsheets/d/1BuTWp7qHGjWhqrnf-OmePP568O4A5Am9ttzvVdP67zw/edit#gid=771602874"" ,""HUMAN RESOURCES!$A$2:$M$2692""), {2,3,4,5,6,7,8,9,10,11,12,13},0))"),0.018)</f>
        <v>0.018</v>
      </c>
      <c r="Q854" s="14"/>
      <c r="R854" s="14">
        <f>IFERROR(__xludf.DUMMYFUNCTION("""COMPUTED_VALUE"""),77.0)</f>
        <v>77</v>
      </c>
      <c r="S854" s="14">
        <f>IFERROR(__xludf.DUMMYFUNCTION("""COMPUTED_VALUE"""),73.0)</f>
        <v>73</v>
      </c>
      <c r="T854" s="14">
        <f>IFERROR(__xludf.DUMMYFUNCTION("""COMPUTED_VALUE"""),0.26)</f>
        <v>0.26</v>
      </c>
      <c r="U854" s="14">
        <f>IFERROR(__xludf.DUMMYFUNCTION("""COMPUTED_VALUE"""),0.683)</f>
        <v>0.683</v>
      </c>
      <c r="V854" s="14">
        <f>IFERROR(__xludf.DUMMYFUNCTION("""COMPUTED_VALUE"""),0.057)</f>
        <v>0.057</v>
      </c>
      <c r="W854" s="14">
        <f>IFERROR(__xludf.DUMMYFUNCTION("""COMPUTED_VALUE"""),260361.0)</f>
        <v>260361</v>
      </c>
      <c r="X854" s="14">
        <f>IFERROR(__xludf.DUMMYFUNCTION("""COMPUTED_VALUE"""),0.568)</f>
        <v>0.568</v>
      </c>
      <c r="Y854" s="14" t="str">
        <f>IFERROR(__xludf.DUMMYFUNCTION("""COMPUTED_VALUE"""),"French Polynesia-Oceania")</f>
        <v>French Polynesia-Oceania</v>
      </c>
      <c r="Z854" s="14" t="str">
        <f>IFERROR(__xludf.DUMMYFUNCTION("""COMPUTED_VALUE"""),"Oceania")</f>
        <v>Oceania</v>
      </c>
      <c r="AA854" s="14" t="str">
        <f>IFERROR(__xludf.DUMMYFUNCTION("""COMPUTED_VALUE"""),"2007")</f>
        <v>2007</v>
      </c>
      <c r="AB854" s="15" t="str">
        <f>IFERROR(__xludf.DUMMYFUNCTION("ARRAYFORMULA(VLOOKUP(A854,IMPORTRANGE(""https://docs.google.com/spreadsheets/d/1BuTWp7qHGjWhqrnf-OmePP568O4A5Am9ttzvVdP67zw/edit#gid=1931367683"" ,""ENERGY!$A$2:$F$2692""), {2,3,4,5,6},0))"),"Oceania")</f>
        <v>Oceania</v>
      </c>
      <c r="AC854" s="14" t="str">
        <f>IFERROR(__xludf.DUMMYFUNCTION("""COMPUTED_VALUE"""),"French Polynesia-Oceania")</f>
        <v>French Polynesia-Oceania</v>
      </c>
      <c r="AD854" s="14" t="str">
        <f>IFERROR(__xludf.DUMMYFUNCTION("""COMPUTED_VALUE"""),"2007")</f>
        <v>2007</v>
      </c>
      <c r="AE854" s="14"/>
      <c r="AF854" s="14">
        <f>IFERROR(__xludf.DUMMYFUNCTION("""COMPUTED_VALUE"""),851.0)</f>
        <v>851</v>
      </c>
    </row>
    <row r="855">
      <c r="A855" s="12">
        <v>854.0</v>
      </c>
      <c r="B855" s="12" t="s">
        <v>144</v>
      </c>
      <c r="C855" s="5" t="s">
        <v>80</v>
      </c>
      <c r="D855" s="8"/>
      <c r="E855" s="8"/>
      <c r="F855" s="8"/>
      <c r="G855" s="8"/>
      <c r="H855" s="11">
        <v>0.339</v>
      </c>
      <c r="I855" s="11">
        <v>0.712</v>
      </c>
      <c r="J855" s="9" t="s">
        <v>69</v>
      </c>
      <c r="K855" s="14" t="str">
        <f>IFERROR(__xludf.DUMMYFUNCTION("ARRAYFORMULA(VLOOKUP(A855,IMPORTRANGE(""https://docs.google.com/spreadsheets/d/1BuTWp7qHGjWhqrnf-OmePP568O4A5Am9ttzvVdP67zw/edit#gid=1603210130"", ""TOURISM!$A$2:$F$2692""), {2,3,4,5,6},0))"),"Oceania")</f>
        <v>Oceania</v>
      </c>
      <c r="L855" s="14">
        <f>IFERROR(__xludf.DUMMYFUNCTION("""COMPUTED_VALUE"""),5.22E8)</f>
        <v>522000000</v>
      </c>
      <c r="M855" s="14" t="str">
        <f>IFERROR(__xludf.DUMMYFUNCTION("""COMPUTED_VALUE"""),"French Polynesia-Oceania")</f>
        <v>French Polynesia-Oceania</v>
      </c>
      <c r="N855" s="14" t="str">
        <f>IFERROR(__xludf.DUMMYFUNCTION("""COMPUTED_VALUE"""),"2008")</f>
        <v>2008</v>
      </c>
      <c r="O855" s="14">
        <f>IFERROR(__xludf.DUMMYFUNCTION("""COMPUTED_VALUE"""),1.59E8)</f>
        <v>159000000</v>
      </c>
      <c r="P855" s="15">
        <f>IFERROR(__xludf.DUMMYFUNCTION("ARRAYFORMULA(VLOOKUP(A855,IMPORTRANGE(""https://docs.google.com/spreadsheets/d/1BuTWp7qHGjWhqrnf-OmePP568O4A5Am9ttzvVdP67zw/edit#gid=771602874"" ,""HUMAN RESOURCES!$A$2:$M$2692""), {2,3,4,5,6,7,8,9,10,11,12,13},0))"),0.017)</f>
        <v>0.017</v>
      </c>
      <c r="Q855" s="14"/>
      <c r="R855" s="14">
        <f>IFERROR(__xludf.DUMMYFUNCTION("""COMPUTED_VALUE"""),78.0)</f>
        <v>78</v>
      </c>
      <c r="S855" s="14">
        <f>IFERROR(__xludf.DUMMYFUNCTION("""COMPUTED_VALUE"""),73.0)</f>
        <v>73</v>
      </c>
      <c r="T855" s="14">
        <f>IFERROR(__xludf.DUMMYFUNCTION("""COMPUTED_VALUE"""),0.251)</f>
        <v>0.251</v>
      </c>
      <c r="U855" s="14">
        <f>IFERROR(__xludf.DUMMYFUNCTION("""COMPUTED_VALUE"""),0.688)</f>
        <v>0.688</v>
      </c>
      <c r="V855" s="14">
        <f>IFERROR(__xludf.DUMMYFUNCTION("""COMPUTED_VALUE"""),0.061)</f>
        <v>0.061</v>
      </c>
      <c r="W855" s="14">
        <f>IFERROR(__xludf.DUMMYFUNCTION("""COMPUTED_VALUE"""),262877.0)</f>
        <v>262877</v>
      </c>
      <c r="X855" s="14">
        <f>IFERROR(__xludf.DUMMYFUNCTION("""COMPUTED_VALUE"""),0.567)</f>
        <v>0.567</v>
      </c>
      <c r="Y855" s="14" t="str">
        <f>IFERROR(__xludf.DUMMYFUNCTION("""COMPUTED_VALUE"""),"French Polynesia-Oceania")</f>
        <v>French Polynesia-Oceania</v>
      </c>
      <c r="Z855" s="14" t="str">
        <f>IFERROR(__xludf.DUMMYFUNCTION("""COMPUTED_VALUE"""),"Oceania")</f>
        <v>Oceania</v>
      </c>
      <c r="AA855" s="14" t="str">
        <f>IFERROR(__xludf.DUMMYFUNCTION("""COMPUTED_VALUE"""),"2008")</f>
        <v>2008</v>
      </c>
      <c r="AB855" s="15" t="str">
        <f>IFERROR(__xludf.DUMMYFUNCTION("ARRAYFORMULA(VLOOKUP(A855,IMPORTRANGE(""https://docs.google.com/spreadsheets/d/1BuTWp7qHGjWhqrnf-OmePP568O4A5Am9ttzvVdP67zw/edit#gid=1931367683"" ,""ENERGY!$A$2:$F$2692""), {2,3,4,5,6},0))"),"Oceania")</f>
        <v>Oceania</v>
      </c>
      <c r="AC855" s="14" t="str">
        <f>IFERROR(__xludf.DUMMYFUNCTION("""COMPUTED_VALUE"""),"French Polynesia-Oceania")</f>
        <v>French Polynesia-Oceania</v>
      </c>
      <c r="AD855" s="14" t="str">
        <f>IFERROR(__xludf.DUMMYFUNCTION("""COMPUTED_VALUE"""),"2005")</f>
        <v>2005</v>
      </c>
      <c r="AE855" s="14"/>
      <c r="AF855" s="14">
        <f>IFERROR(__xludf.DUMMYFUNCTION("""COMPUTED_VALUE"""),788.0)</f>
        <v>788</v>
      </c>
    </row>
    <row r="856">
      <c r="A856" s="12">
        <v>855.0</v>
      </c>
      <c r="B856" s="12" t="s">
        <v>144</v>
      </c>
      <c r="C856" s="5" t="s">
        <v>80</v>
      </c>
      <c r="D856" s="8"/>
      <c r="E856" s="8"/>
      <c r="F856" s="8"/>
      <c r="G856" s="8"/>
      <c r="H856" s="11">
        <v>0.446</v>
      </c>
      <c r="I856" s="11">
        <v>0.785</v>
      </c>
      <c r="J856" s="9" t="s">
        <v>70</v>
      </c>
      <c r="K856" s="14" t="str">
        <f>IFERROR(__xludf.DUMMYFUNCTION("ARRAYFORMULA(VLOOKUP(A856,IMPORTRANGE(""https://docs.google.com/spreadsheets/d/1BuTWp7qHGjWhqrnf-OmePP568O4A5Am9ttzvVdP67zw/edit#gid=1603210130"", ""TOURISM!$A$2:$F$2692""), {2,3,4,5,6},0))"),"Oceania")</f>
        <v>Oceania</v>
      </c>
      <c r="L856" s="14">
        <f>IFERROR(__xludf.DUMMYFUNCTION("""COMPUTED_VALUE"""),4.4E8)</f>
        <v>440000000</v>
      </c>
      <c r="M856" s="14" t="str">
        <f>IFERROR(__xludf.DUMMYFUNCTION("""COMPUTED_VALUE"""),"French Polynesia-Oceania")</f>
        <v>French Polynesia-Oceania</v>
      </c>
      <c r="N856" s="14" t="str">
        <f>IFERROR(__xludf.DUMMYFUNCTION("""COMPUTED_VALUE"""),"2009")</f>
        <v>2009</v>
      </c>
      <c r="O856" s="14">
        <f>IFERROR(__xludf.DUMMYFUNCTION("""COMPUTED_VALUE"""),1.64E8)</f>
        <v>164000000</v>
      </c>
      <c r="P856" s="15">
        <f>IFERROR(__xludf.DUMMYFUNCTION("ARRAYFORMULA(VLOOKUP(A856,IMPORTRANGE(""https://docs.google.com/spreadsheets/d/1BuTWp7qHGjWhqrnf-OmePP568O4A5Am9ttzvVdP67zw/edit#gid=771602874"" ,""HUMAN RESOURCES!$A$2:$M$2692""), {2,3,4,5,6,7,8,9,10,11,12,13},0))"),0.017)</f>
        <v>0.017</v>
      </c>
      <c r="Q856" s="14"/>
      <c r="R856" s="14">
        <f>IFERROR(__xludf.DUMMYFUNCTION("""COMPUTED_VALUE"""),78.0)</f>
        <v>78</v>
      </c>
      <c r="S856" s="14">
        <f>IFERROR(__xludf.DUMMYFUNCTION("""COMPUTED_VALUE"""),73.0)</f>
        <v>73</v>
      </c>
      <c r="T856" s="14">
        <f>IFERROR(__xludf.DUMMYFUNCTION("""COMPUTED_VALUE"""),0.244)</f>
        <v>0.244</v>
      </c>
      <c r="U856" s="14">
        <f>IFERROR(__xludf.DUMMYFUNCTION("""COMPUTED_VALUE"""),0.692)</f>
        <v>0.692</v>
      </c>
      <c r="V856" s="14">
        <f>IFERROR(__xludf.DUMMYFUNCTION("""COMPUTED_VALUE"""),0.065)</f>
        <v>0.065</v>
      </c>
      <c r="W856" s="14">
        <f>IFERROR(__xludf.DUMMYFUNCTION("""COMPUTED_VALUE"""),265412.0)</f>
        <v>265412</v>
      </c>
      <c r="X856" s="14">
        <f>IFERROR(__xludf.DUMMYFUNCTION("""COMPUTED_VALUE"""),0.566)</f>
        <v>0.566</v>
      </c>
      <c r="Y856" s="14" t="str">
        <f>IFERROR(__xludf.DUMMYFUNCTION("""COMPUTED_VALUE"""),"French Polynesia-Oceania")</f>
        <v>French Polynesia-Oceania</v>
      </c>
      <c r="Z856" s="14" t="str">
        <f>IFERROR(__xludf.DUMMYFUNCTION("""COMPUTED_VALUE"""),"Oceania")</f>
        <v>Oceania</v>
      </c>
      <c r="AA856" s="14" t="str">
        <f>IFERROR(__xludf.DUMMYFUNCTION("""COMPUTED_VALUE"""),"2009")</f>
        <v>2009</v>
      </c>
      <c r="AB856" s="15" t="str">
        <f>IFERROR(__xludf.DUMMYFUNCTION("ARRAYFORMULA(VLOOKUP(A856,IMPORTRANGE(""https://docs.google.com/spreadsheets/d/1BuTWp7qHGjWhqrnf-OmePP568O4A5Am9ttzvVdP67zw/edit#gid=1931367683"" ,""ENERGY!$A$2:$F$2692""), {2,3,4,5,6},0))"),"Oceania")</f>
        <v>Oceania</v>
      </c>
      <c r="AC856" s="14" t="str">
        <f>IFERROR(__xludf.DUMMYFUNCTION("""COMPUTED_VALUE"""),"French Polynesia-Oceania")</f>
        <v>French Polynesia-Oceania</v>
      </c>
      <c r="AD856" s="14" t="str">
        <f>IFERROR(__xludf.DUMMYFUNCTION("""COMPUTED_VALUE"""),"2009")</f>
        <v>2009</v>
      </c>
      <c r="AE856" s="14"/>
      <c r="AF856" s="14">
        <f>IFERROR(__xludf.DUMMYFUNCTION("""COMPUTED_VALUE"""),799.0)</f>
        <v>799</v>
      </c>
    </row>
    <row r="857">
      <c r="A857" s="12">
        <v>856.0</v>
      </c>
      <c r="B857" s="12" t="s">
        <v>144</v>
      </c>
      <c r="C857" s="5" t="s">
        <v>80</v>
      </c>
      <c r="D857" s="8"/>
      <c r="E857" s="8"/>
      <c r="F857" s="8"/>
      <c r="G857" s="8"/>
      <c r="H857" s="11">
        <v>0.49</v>
      </c>
      <c r="I857" s="11">
        <v>0.805</v>
      </c>
      <c r="J857" s="9" t="s">
        <v>71</v>
      </c>
      <c r="K857" s="14" t="str">
        <f>IFERROR(__xludf.DUMMYFUNCTION("ARRAYFORMULA(VLOOKUP(A857,IMPORTRANGE(""https://docs.google.com/spreadsheets/d/1BuTWp7qHGjWhqrnf-OmePP568O4A5Am9ttzvVdP67zw/edit#gid=1603210130"", ""TOURISM!$A$2:$F$2692""), {2,3,4,5,6},0))"),"Oceania")</f>
        <v>Oceania</v>
      </c>
      <c r="L857" s="14">
        <f>IFERROR(__xludf.DUMMYFUNCTION("""COMPUTED_VALUE"""),4.05E8)</f>
        <v>405000000</v>
      </c>
      <c r="M857" s="14" t="str">
        <f>IFERROR(__xludf.DUMMYFUNCTION("""COMPUTED_VALUE"""),"French Polynesia-Oceania")</f>
        <v>French Polynesia-Oceania</v>
      </c>
      <c r="N857" s="14" t="str">
        <f>IFERROR(__xludf.DUMMYFUNCTION("""COMPUTED_VALUE"""),"2010")</f>
        <v>2010</v>
      </c>
      <c r="O857" s="14">
        <f>IFERROR(__xludf.DUMMYFUNCTION("""COMPUTED_VALUE"""),1.6E8)</f>
        <v>160000000</v>
      </c>
      <c r="P857" s="15">
        <f>IFERROR(__xludf.DUMMYFUNCTION("ARRAYFORMULA(VLOOKUP(A857,IMPORTRANGE(""https://docs.google.com/spreadsheets/d/1BuTWp7qHGjWhqrnf-OmePP568O4A5Am9ttzvVdP67zw/edit#gid=771602874"" ,""HUMAN RESOURCES!$A$2:$M$2692""), {2,3,4,5,6,7,8,9,10,11,12,13},0))"),0.017)</f>
        <v>0.017</v>
      </c>
      <c r="Q857" s="14"/>
      <c r="R857" s="14">
        <f>IFERROR(__xludf.DUMMYFUNCTION("""COMPUTED_VALUE"""),78.0)</f>
        <v>78</v>
      </c>
      <c r="S857" s="14">
        <f>IFERROR(__xludf.DUMMYFUNCTION("""COMPUTED_VALUE"""),73.0)</f>
        <v>73</v>
      </c>
      <c r="T857" s="14">
        <f>IFERROR(__xludf.DUMMYFUNCTION("""COMPUTED_VALUE"""),0.238)</f>
        <v>0.238</v>
      </c>
      <c r="U857" s="14">
        <f>IFERROR(__xludf.DUMMYFUNCTION("""COMPUTED_VALUE"""),0.695)</f>
        <v>0.695</v>
      </c>
      <c r="V857" s="14">
        <f>IFERROR(__xludf.DUMMYFUNCTION("""COMPUTED_VALUE"""),0.068)</f>
        <v>0.068</v>
      </c>
      <c r="W857" s="14">
        <f>IFERROR(__xludf.DUMMYFUNCTION("""COMPUTED_VALUE"""),268065.0)</f>
        <v>268065</v>
      </c>
      <c r="X857" s="14">
        <f>IFERROR(__xludf.DUMMYFUNCTION("""COMPUTED_VALUE"""),0.565)</f>
        <v>0.565</v>
      </c>
      <c r="Y857" s="14" t="str">
        <f>IFERROR(__xludf.DUMMYFUNCTION("""COMPUTED_VALUE"""),"French Polynesia-Oceania")</f>
        <v>French Polynesia-Oceania</v>
      </c>
      <c r="Z857" s="14" t="str">
        <f>IFERROR(__xludf.DUMMYFUNCTION("""COMPUTED_VALUE"""),"Oceania")</f>
        <v>Oceania</v>
      </c>
      <c r="AA857" s="14" t="str">
        <f>IFERROR(__xludf.DUMMYFUNCTION("""COMPUTED_VALUE"""),"2010")</f>
        <v>2010</v>
      </c>
      <c r="AB857" s="15" t="str">
        <f>IFERROR(__xludf.DUMMYFUNCTION("ARRAYFORMULA(VLOOKUP(A857,IMPORTRANGE(""https://docs.google.com/spreadsheets/d/1BuTWp7qHGjWhqrnf-OmePP568O4A5Am9ttzvVdP67zw/edit#gid=1931367683"" ,""ENERGY!$A$2:$F$2692""), {2,3,4,5,6},0))"),"Oceania")</f>
        <v>Oceania</v>
      </c>
      <c r="AC857" s="14" t="str">
        <f>IFERROR(__xludf.DUMMYFUNCTION("""COMPUTED_VALUE"""),"French Polynesia-Oceania")</f>
        <v>French Polynesia-Oceania</v>
      </c>
      <c r="AD857" s="14" t="str">
        <f>IFERROR(__xludf.DUMMYFUNCTION("""COMPUTED_VALUE"""),"2009")</f>
        <v>2009</v>
      </c>
      <c r="AE857" s="14"/>
      <c r="AF857" s="14">
        <f>IFERROR(__xludf.DUMMYFUNCTION("""COMPUTED_VALUE"""),737.0)</f>
        <v>737</v>
      </c>
    </row>
    <row r="858">
      <c r="A858" s="12">
        <v>857.0</v>
      </c>
      <c r="B858" s="12" t="s">
        <v>144</v>
      </c>
      <c r="C858" s="5" t="s">
        <v>80</v>
      </c>
      <c r="D858" s="8"/>
      <c r="E858" s="8"/>
      <c r="F858" s="8"/>
      <c r="G858" s="8"/>
      <c r="H858" s="11">
        <v>0.49</v>
      </c>
      <c r="I858" s="11">
        <v>0.823</v>
      </c>
      <c r="J858" s="9" t="s">
        <v>72</v>
      </c>
      <c r="K858" s="14" t="str">
        <f>IFERROR(__xludf.DUMMYFUNCTION("ARRAYFORMULA(VLOOKUP(A858,IMPORTRANGE(""https://docs.google.com/spreadsheets/d/1BuTWp7qHGjWhqrnf-OmePP568O4A5Am9ttzvVdP67zw/edit#gid=1603210130"", ""TOURISM!$A$2:$F$2692""), {2,3,4,5,6},0))"),"Oceania")</f>
        <v>Oceania</v>
      </c>
      <c r="L858" s="14">
        <f>IFERROR(__xludf.DUMMYFUNCTION("""COMPUTED_VALUE"""),3.84E8)</f>
        <v>384000000</v>
      </c>
      <c r="M858" s="14" t="str">
        <f>IFERROR(__xludf.DUMMYFUNCTION("""COMPUTED_VALUE"""),"French Polynesia-Oceania")</f>
        <v>French Polynesia-Oceania</v>
      </c>
      <c r="N858" s="14" t="str">
        <f>IFERROR(__xludf.DUMMYFUNCTION("""COMPUTED_VALUE"""),"2011")</f>
        <v>2011</v>
      </c>
      <c r="O858" s="14">
        <f>IFERROR(__xludf.DUMMYFUNCTION("""COMPUTED_VALUE"""),1.68E8)</f>
        <v>168000000</v>
      </c>
      <c r="P858" s="15">
        <f>IFERROR(__xludf.DUMMYFUNCTION("ARRAYFORMULA(VLOOKUP(A858,IMPORTRANGE(""https://docs.google.com/spreadsheets/d/1BuTWp7qHGjWhqrnf-OmePP568O4A5Am9ttzvVdP67zw/edit#gid=771602874"" ,""HUMAN RESOURCES!$A$2:$M$2692""), {2,3,4,5,6,7,8,9,10,11,12,13},0))"),0.017)</f>
        <v>0.017</v>
      </c>
      <c r="Q858" s="14"/>
      <c r="R858" s="14">
        <f>IFERROR(__xludf.DUMMYFUNCTION("""COMPUTED_VALUE"""),78.0)</f>
        <v>78</v>
      </c>
      <c r="S858" s="14">
        <f>IFERROR(__xludf.DUMMYFUNCTION("""COMPUTED_VALUE"""),74.0)</f>
        <v>74</v>
      </c>
      <c r="T858" s="14">
        <f>IFERROR(__xludf.DUMMYFUNCTION("""COMPUTED_VALUE"""),0.233)</f>
        <v>0.233</v>
      </c>
      <c r="U858" s="14">
        <f>IFERROR(__xludf.DUMMYFUNCTION("""COMPUTED_VALUE"""),0.698)</f>
        <v>0.698</v>
      </c>
      <c r="V858" s="14">
        <f>IFERROR(__xludf.DUMMYFUNCTION("""COMPUTED_VALUE"""),0.07)</f>
        <v>0.07</v>
      </c>
      <c r="W858" s="14">
        <f>IFERROR(__xludf.DUMMYFUNCTION("""COMPUTED_VALUE"""),270874.0)</f>
        <v>270874</v>
      </c>
      <c r="X858" s="14">
        <f>IFERROR(__xludf.DUMMYFUNCTION("""COMPUTED_VALUE"""),0.563)</f>
        <v>0.563</v>
      </c>
      <c r="Y858" s="14" t="str">
        <f>IFERROR(__xludf.DUMMYFUNCTION("""COMPUTED_VALUE"""),"French Polynesia-Oceania")</f>
        <v>French Polynesia-Oceania</v>
      </c>
      <c r="Z858" s="14" t="str">
        <f>IFERROR(__xludf.DUMMYFUNCTION("""COMPUTED_VALUE"""),"Oceania")</f>
        <v>Oceania</v>
      </c>
      <c r="AA858" s="14" t="str">
        <f>IFERROR(__xludf.DUMMYFUNCTION("""COMPUTED_VALUE"""),"2011")</f>
        <v>2011</v>
      </c>
      <c r="AB858" s="15" t="str">
        <f>IFERROR(__xludf.DUMMYFUNCTION("ARRAYFORMULA(VLOOKUP(A858,IMPORTRANGE(""https://docs.google.com/spreadsheets/d/1BuTWp7qHGjWhqrnf-OmePP568O4A5Am9ttzvVdP67zw/edit#gid=1931367683"" ,""ENERGY!$A$2:$F$2692""), {2,3,4,5,6},0))"),"Oceania")</f>
        <v>Oceania</v>
      </c>
      <c r="AC858" s="14" t="str">
        <f>IFERROR(__xludf.DUMMYFUNCTION("""COMPUTED_VALUE"""),"French Polynesia-Oceania")</f>
        <v>French Polynesia-Oceania</v>
      </c>
      <c r="AD858" s="14" t="str">
        <f>IFERROR(__xludf.DUMMYFUNCTION("""COMPUTED_VALUE"""),"2005")</f>
        <v>2005</v>
      </c>
      <c r="AE858" s="14"/>
      <c r="AF858" s="14">
        <f>IFERROR(__xludf.DUMMYFUNCTION("""COMPUTED_VALUE"""),737.0)</f>
        <v>737</v>
      </c>
    </row>
    <row r="859">
      <c r="A859" s="12">
        <v>858.0</v>
      </c>
      <c r="B859" s="12" t="s">
        <v>144</v>
      </c>
      <c r="C859" s="5" t="s">
        <v>80</v>
      </c>
      <c r="D859" s="8"/>
      <c r="E859" s="8"/>
      <c r="F859" s="8"/>
      <c r="G859" s="8"/>
      <c r="H859" s="11">
        <v>0.529</v>
      </c>
      <c r="I859" s="11">
        <v>0.825</v>
      </c>
      <c r="J859" s="9" t="s">
        <v>73</v>
      </c>
      <c r="K859" s="14" t="str">
        <f>IFERROR(__xludf.DUMMYFUNCTION("ARRAYFORMULA(VLOOKUP(A859,IMPORTRANGE(""https://docs.google.com/spreadsheets/d/1BuTWp7qHGjWhqrnf-OmePP568O4A5Am9ttzvVdP67zw/edit#gid=1603210130"", ""TOURISM!$A$2:$F$2692""), {2,3,4,5,6},0))"),"Oceania")</f>
        <v>Oceania</v>
      </c>
      <c r="L859" s="14"/>
      <c r="M859" s="14" t="str">
        <f>IFERROR(__xludf.DUMMYFUNCTION("""COMPUTED_VALUE"""),"French Polynesia-Oceania")</f>
        <v>French Polynesia-Oceania</v>
      </c>
      <c r="N859" s="14" t="str">
        <f>IFERROR(__xludf.DUMMYFUNCTION("""COMPUTED_VALUE"""),"2012")</f>
        <v>2012</v>
      </c>
      <c r="O859" s="14"/>
      <c r="P859" s="15">
        <f>IFERROR(__xludf.DUMMYFUNCTION("ARRAYFORMULA(VLOOKUP(A859,IMPORTRANGE(""https://docs.google.com/spreadsheets/d/1BuTWp7qHGjWhqrnf-OmePP568O4A5Am9ttzvVdP67zw/edit#gid=771602874"" ,""HUMAN RESOURCES!$A$2:$M$2692""), {2,3,4,5,6,7,8,9,10,11,12,13},0))"),0.017)</f>
        <v>0.017</v>
      </c>
      <c r="Q859" s="14"/>
      <c r="R859" s="14">
        <f>IFERROR(__xludf.DUMMYFUNCTION("""COMPUTED_VALUE"""),78.0)</f>
        <v>78</v>
      </c>
      <c r="S859" s="14">
        <f>IFERROR(__xludf.DUMMYFUNCTION("""COMPUTED_VALUE"""),74.0)</f>
        <v>74</v>
      </c>
      <c r="T859" s="14">
        <f>IFERROR(__xludf.DUMMYFUNCTION("""COMPUTED_VALUE"""),0.229)</f>
        <v>0.229</v>
      </c>
      <c r="U859" s="14">
        <f>IFERROR(__xludf.DUMMYFUNCTION("""COMPUTED_VALUE"""),0.7)</f>
        <v>0.7</v>
      </c>
      <c r="V859" s="14">
        <f>IFERROR(__xludf.DUMMYFUNCTION("""COMPUTED_VALUE"""),0.071)</f>
        <v>0.071</v>
      </c>
      <c r="W859" s="14">
        <f>IFERROR(__xludf.DUMMYFUNCTION("""COMPUTED_VALUE"""),273814.0)</f>
        <v>273814</v>
      </c>
      <c r="X859" s="14">
        <f>IFERROR(__xludf.DUMMYFUNCTION("""COMPUTED_VALUE"""),0.562)</f>
        <v>0.562</v>
      </c>
      <c r="Y859" s="14" t="str">
        <f>IFERROR(__xludf.DUMMYFUNCTION("""COMPUTED_VALUE"""),"French Polynesia-Oceania")</f>
        <v>French Polynesia-Oceania</v>
      </c>
      <c r="Z859" s="14" t="str">
        <f>IFERROR(__xludf.DUMMYFUNCTION("""COMPUTED_VALUE"""),"Oceania")</f>
        <v>Oceania</v>
      </c>
      <c r="AA859" s="14" t="str">
        <f>IFERROR(__xludf.DUMMYFUNCTION("""COMPUTED_VALUE"""),"2012")</f>
        <v>2012</v>
      </c>
      <c r="AB859" s="15" t="str">
        <f>IFERROR(__xludf.DUMMYFUNCTION("ARRAYFORMULA(VLOOKUP(A859,IMPORTRANGE(""https://docs.google.com/spreadsheets/d/1BuTWp7qHGjWhqrnf-OmePP568O4A5Am9ttzvVdP67zw/edit#gid=1931367683"" ,""ENERGY!$A$2:$F$2692""), {2,3,4,5,6},0))"),"Oceania")</f>
        <v>Oceania</v>
      </c>
      <c r="AC859" s="14" t="str">
        <f>IFERROR(__xludf.DUMMYFUNCTION("""COMPUTED_VALUE"""),"French Polynesia-Oceania")</f>
        <v>French Polynesia-Oceania</v>
      </c>
      <c r="AD859" s="14" t="str">
        <f>IFERROR(__xludf.DUMMYFUNCTION("""COMPUTED_VALUE"""),"2009")</f>
        <v>2009</v>
      </c>
      <c r="AE859" s="14"/>
      <c r="AF859" s="14">
        <f>IFERROR(__xludf.DUMMYFUNCTION("""COMPUTED_VALUE"""),631.0)</f>
        <v>631</v>
      </c>
    </row>
    <row r="860">
      <c r="A860" s="12">
        <v>859.0</v>
      </c>
      <c r="B860" s="12" t="s">
        <v>145</v>
      </c>
      <c r="C860" s="5" t="s">
        <v>77</v>
      </c>
      <c r="D860" s="8"/>
      <c r="E860" s="8"/>
      <c r="F860" s="8"/>
      <c r="G860" s="8"/>
      <c r="H860" s="11">
        <v>0.012</v>
      </c>
      <c r="I860" s="11">
        <v>0.098</v>
      </c>
      <c r="J860" s="9" t="s">
        <v>60</v>
      </c>
      <c r="K860" s="14" t="str">
        <f>IFERROR(__xludf.DUMMYFUNCTION("ARRAYFORMULA(VLOOKUP(A860,IMPORTRANGE(""https://docs.google.com/spreadsheets/d/1BuTWp7qHGjWhqrnf-OmePP568O4A5Am9ttzvVdP67zw/edit#gid=1603210130"", ""TOURISM!$A$2:$F$2692""), {2,3,4,5,6},0))"),"Africa")</f>
        <v>Africa</v>
      </c>
      <c r="L860" s="14">
        <f>IFERROR(__xludf.DUMMYFUNCTION("""COMPUTED_VALUE"""),9.9E7)</f>
        <v>99000000</v>
      </c>
      <c r="M860" s="14" t="str">
        <f>IFERROR(__xludf.DUMMYFUNCTION("""COMPUTED_VALUE"""),"Gabon-Africa")</f>
        <v>Gabon-Africa</v>
      </c>
      <c r="N860" s="14" t="str">
        <f>IFERROR(__xludf.DUMMYFUNCTION("""COMPUTED_VALUE"""),"2000")</f>
        <v>2000</v>
      </c>
      <c r="O860" s="14">
        <f>IFERROR(__xludf.DUMMYFUNCTION("""COMPUTED_VALUE"""),1.83E8)</f>
        <v>183000000</v>
      </c>
      <c r="P860" s="15">
        <f>IFERROR(__xludf.DUMMYFUNCTION("ARRAYFORMULA(VLOOKUP(A860,IMPORTRANGE(""https://docs.google.com/spreadsheets/d/1BuTWp7qHGjWhqrnf-OmePP568O4A5Am9ttzvVdP67zw/edit#gid=771602874"" ,""HUMAN RESOURCES!$A$2:$M$2692""), {2,3,4,5,6,7,8,9,10,11,12,13},0))"),0.034)</f>
        <v>0.034</v>
      </c>
      <c r="Q860" s="14">
        <f>IFERROR(__xludf.DUMMYFUNCTION("""COMPUTED_VALUE"""),0.056)</f>
        <v>0.056</v>
      </c>
      <c r="R860" s="14">
        <f>IFERROR(__xludf.DUMMYFUNCTION("""COMPUTED_VALUE"""),61.0)</f>
        <v>61</v>
      </c>
      <c r="S860" s="14">
        <f>IFERROR(__xludf.DUMMYFUNCTION("""COMPUTED_VALUE"""),59.0)</f>
        <v>59</v>
      </c>
      <c r="T860" s="14">
        <f>IFERROR(__xludf.DUMMYFUNCTION("""COMPUTED_VALUE"""),0.406)</f>
        <v>0.406</v>
      </c>
      <c r="U860" s="14">
        <f>IFERROR(__xludf.DUMMYFUNCTION("""COMPUTED_VALUE"""),0.535)</f>
        <v>0.535</v>
      </c>
      <c r="V860" s="14">
        <f>IFERROR(__xludf.DUMMYFUNCTION("""COMPUTED_VALUE"""),0.059)</f>
        <v>0.059</v>
      </c>
      <c r="W860" s="14">
        <f>IFERROR(__xludf.DUMMYFUNCTION("""COMPUTED_VALUE"""),1225527.0)</f>
        <v>1225527</v>
      </c>
      <c r="X860" s="14">
        <f>IFERROR(__xludf.DUMMYFUNCTION("""COMPUTED_VALUE"""),0.801)</f>
        <v>0.801</v>
      </c>
      <c r="Y860" s="14" t="str">
        <f>IFERROR(__xludf.DUMMYFUNCTION("""COMPUTED_VALUE"""),"Gabon-Africa")</f>
        <v>Gabon-Africa</v>
      </c>
      <c r="Z860" s="14" t="str">
        <f>IFERROR(__xludf.DUMMYFUNCTION("""COMPUTED_VALUE"""),"Africa")</f>
        <v>Africa</v>
      </c>
      <c r="AA860" s="14" t="str">
        <f>IFERROR(__xludf.DUMMYFUNCTION("""COMPUTED_VALUE"""),"2000")</f>
        <v>2000</v>
      </c>
      <c r="AB860" s="15" t="str">
        <f>IFERROR(__xludf.DUMMYFUNCTION("ARRAYFORMULA(VLOOKUP(A860,IMPORTRANGE(""https://docs.google.com/spreadsheets/d/1BuTWp7qHGjWhqrnf-OmePP568O4A5Am9ttzvVdP67zw/edit#gid=1931367683"" ,""ENERGY!$A$2:$F$2692""), {2,3,4,5,6},0))"),"Africa")</f>
        <v>Africa</v>
      </c>
      <c r="AC860" s="14" t="str">
        <f>IFERROR(__xludf.DUMMYFUNCTION("""COMPUTED_VALUE"""),"Gabon-Africa")</f>
        <v>Gabon-Africa</v>
      </c>
      <c r="AD860" s="14" t="str">
        <f>IFERROR(__xludf.DUMMYFUNCTION("""COMPUTED_VALUE"""),"2000")</f>
        <v>2000</v>
      </c>
      <c r="AE860" s="14"/>
      <c r="AF860" s="14"/>
    </row>
    <row r="861">
      <c r="A861" s="12">
        <v>860.0</v>
      </c>
      <c r="B861" s="12" t="s">
        <v>145</v>
      </c>
      <c r="C861" s="5" t="s">
        <v>77</v>
      </c>
      <c r="D861" s="8"/>
      <c r="E861" s="8"/>
      <c r="F861" s="8"/>
      <c r="G861" s="8"/>
      <c r="H861" s="11">
        <v>0.013</v>
      </c>
      <c r="I861" s="11">
        <v>0.119</v>
      </c>
      <c r="J861" s="9" t="s">
        <v>62</v>
      </c>
      <c r="K861" s="14" t="str">
        <f>IFERROR(__xludf.DUMMYFUNCTION("ARRAYFORMULA(VLOOKUP(A861,IMPORTRANGE(""https://docs.google.com/spreadsheets/d/1BuTWp7qHGjWhqrnf-OmePP568O4A5Am9ttzvVdP67zw/edit#gid=1603210130"", ""TOURISM!$A$2:$F$2692""), {2,3,4,5,6},0))"),"Africa")</f>
        <v>Africa</v>
      </c>
      <c r="L861" s="14">
        <f>IFERROR(__xludf.DUMMYFUNCTION("""COMPUTED_VALUE"""),4.6E7)</f>
        <v>46000000</v>
      </c>
      <c r="M861" s="14" t="str">
        <f>IFERROR(__xludf.DUMMYFUNCTION("""COMPUTED_VALUE"""),"Gabon-Africa")</f>
        <v>Gabon-Africa</v>
      </c>
      <c r="N861" s="14" t="str">
        <f>IFERROR(__xludf.DUMMYFUNCTION("""COMPUTED_VALUE"""),"2001")</f>
        <v>2001</v>
      </c>
      <c r="O861" s="14">
        <f>IFERROR(__xludf.DUMMYFUNCTION("""COMPUTED_VALUE"""),2.56E8)</f>
        <v>256000000</v>
      </c>
      <c r="P861" s="15">
        <f>IFERROR(__xludf.DUMMYFUNCTION("ARRAYFORMULA(VLOOKUP(A861,IMPORTRANGE(""https://docs.google.com/spreadsheets/d/1BuTWp7qHGjWhqrnf-OmePP568O4A5Am9ttzvVdP67zw/edit#gid=771602874"" ,""HUMAN RESOURCES!$A$2:$M$2692""), {2,3,4,5,6,7,8,9,10,11,12,13},0))"),0.034)</f>
        <v>0.034</v>
      </c>
      <c r="Q861" s="14">
        <f>IFERROR(__xludf.DUMMYFUNCTION("""COMPUTED_VALUE"""),0.055)</f>
        <v>0.055</v>
      </c>
      <c r="R861" s="14">
        <f>IFERROR(__xludf.DUMMYFUNCTION("""COMPUTED_VALUE"""),61.0)</f>
        <v>61</v>
      </c>
      <c r="S861" s="14">
        <f>IFERROR(__xludf.DUMMYFUNCTION("""COMPUTED_VALUE"""),58.0)</f>
        <v>58</v>
      </c>
      <c r="T861" s="14">
        <f>IFERROR(__xludf.DUMMYFUNCTION("""COMPUTED_VALUE"""),0.404)</f>
        <v>0.404</v>
      </c>
      <c r="U861" s="14">
        <f>IFERROR(__xludf.DUMMYFUNCTION("""COMPUTED_VALUE"""),0.538)</f>
        <v>0.538</v>
      </c>
      <c r="V861" s="14">
        <f>IFERROR(__xludf.DUMMYFUNCTION("""COMPUTED_VALUE"""),0.058)</f>
        <v>0.058</v>
      </c>
      <c r="W861" s="14">
        <f>IFERROR(__xludf.DUMMYFUNCTION("""COMPUTED_VALUE"""),1255299.0)</f>
        <v>1255299</v>
      </c>
      <c r="X861" s="14">
        <f>IFERROR(__xludf.DUMMYFUNCTION("""COMPUTED_VALUE"""),0.809)</f>
        <v>0.809</v>
      </c>
      <c r="Y861" s="14" t="str">
        <f>IFERROR(__xludf.DUMMYFUNCTION("""COMPUTED_VALUE"""),"Gabon-Africa")</f>
        <v>Gabon-Africa</v>
      </c>
      <c r="Z861" s="14" t="str">
        <f>IFERROR(__xludf.DUMMYFUNCTION("""COMPUTED_VALUE"""),"Africa")</f>
        <v>Africa</v>
      </c>
      <c r="AA861" s="14" t="str">
        <f>IFERROR(__xludf.DUMMYFUNCTION("""COMPUTED_VALUE"""),"2001")</f>
        <v>2001</v>
      </c>
      <c r="AB861" s="15" t="str">
        <f>IFERROR(__xludf.DUMMYFUNCTION("ARRAYFORMULA(VLOOKUP(A861,IMPORTRANGE(""https://docs.google.com/spreadsheets/d/1BuTWp7qHGjWhqrnf-OmePP568O4A5Am9ttzvVdP67zw/edit#gid=1931367683"" ,""ENERGY!$A$2:$F$2692""), {2,3,4,5,6},0))"),"Africa")</f>
        <v>Africa</v>
      </c>
      <c r="AC861" s="14" t="str">
        <f>IFERROR(__xludf.DUMMYFUNCTION("""COMPUTED_VALUE"""),"Gabon-Africa")</f>
        <v>Gabon-Africa</v>
      </c>
      <c r="AD861" s="14" t="str">
        <f>IFERROR(__xludf.DUMMYFUNCTION("""COMPUTED_VALUE"""),"2001")</f>
        <v>2001</v>
      </c>
      <c r="AE861" s="14">
        <f>IFERROR(__xludf.DUMMYFUNCTION("""COMPUTED_VALUE"""),1997.0)</f>
        <v>1997</v>
      </c>
      <c r="AF861" s="14"/>
    </row>
    <row r="862">
      <c r="A862" s="12">
        <v>861.0</v>
      </c>
      <c r="B862" s="12" t="s">
        <v>145</v>
      </c>
      <c r="C862" s="5" t="s">
        <v>77</v>
      </c>
      <c r="D862" s="8"/>
      <c r="E862" s="8"/>
      <c r="F862" s="8"/>
      <c r="G862" s="8"/>
      <c r="H862" s="11">
        <v>0.019</v>
      </c>
      <c r="I862" s="11">
        <v>0.217</v>
      </c>
      <c r="J862" s="9" t="s">
        <v>63</v>
      </c>
      <c r="K862" s="14" t="str">
        <f>IFERROR(__xludf.DUMMYFUNCTION("ARRAYFORMULA(VLOOKUP(A862,IMPORTRANGE(""https://docs.google.com/spreadsheets/d/1BuTWp7qHGjWhqrnf-OmePP568O4A5Am9ttzvVdP67zw/edit#gid=1603210130"", ""TOURISM!$A$2:$F$2692""), {2,3,4,5,6},0))"),"Africa")</f>
        <v>Africa</v>
      </c>
      <c r="L862" s="14">
        <f>IFERROR(__xludf.DUMMYFUNCTION("""COMPUTED_VALUE"""),7.7E7)</f>
        <v>77000000</v>
      </c>
      <c r="M862" s="14" t="str">
        <f>IFERROR(__xludf.DUMMYFUNCTION("""COMPUTED_VALUE"""),"Gabon-Africa")</f>
        <v>Gabon-Africa</v>
      </c>
      <c r="N862" s="14" t="str">
        <f>IFERROR(__xludf.DUMMYFUNCTION("""COMPUTED_VALUE"""),"2002")</f>
        <v>2002</v>
      </c>
      <c r="O862" s="14">
        <f>IFERROR(__xludf.DUMMYFUNCTION("""COMPUTED_VALUE"""),2.34E8)</f>
        <v>234000000</v>
      </c>
      <c r="P862" s="15">
        <f>IFERROR(__xludf.DUMMYFUNCTION("ARRAYFORMULA(VLOOKUP(A862,IMPORTRANGE(""https://docs.google.com/spreadsheets/d/1BuTWp7qHGjWhqrnf-OmePP568O4A5Am9ttzvVdP67zw/edit#gid=771602874"" ,""HUMAN RESOURCES!$A$2:$M$2692""), {2,3,4,5,6,7,8,9,10,11,12,13},0))"),0.033)</f>
        <v>0.033</v>
      </c>
      <c r="Q862" s="14">
        <f>IFERROR(__xludf.DUMMYFUNCTION("""COMPUTED_VALUE"""),0.054)</f>
        <v>0.054</v>
      </c>
      <c r="R862" s="14">
        <f>IFERROR(__xludf.DUMMYFUNCTION("""COMPUTED_VALUE"""),61.0)</f>
        <v>61</v>
      </c>
      <c r="S862" s="14">
        <f>IFERROR(__xludf.DUMMYFUNCTION("""COMPUTED_VALUE"""),58.0)</f>
        <v>58</v>
      </c>
      <c r="T862" s="14">
        <f>IFERROR(__xludf.DUMMYFUNCTION("""COMPUTED_VALUE"""),0.402)</f>
        <v>0.402</v>
      </c>
      <c r="U862" s="14">
        <f>IFERROR(__xludf.DUMMYFUNCTION("""COMPUTED_VALUE"""),0.54)</f>
        <v>0.54</v>
      </c>
      <c r="V862" s="14">
        <f>IFERROR(__xludf.DUMMYFUNCTION("""COMPUTED_VALUE"""),0.058)</f>
        <v>0.058</v>
      </c>
      <c r="W862" s="14">
        <f>IFERROR(__xludf.DUMMYFUNCTION("""COMPUTED_VALUE"""),1285318.0)</f>
        <v>1285318</v>
      </c>
      <c r="X862" s="14">
        <f>IFERROR(__xludf.DUMMYFUNCTION("""COMPUTED_VALUE"""),0.816)</f>
        <v>0.816</v>
      </c>
      <c r="Y862" s="14" t="str">
        <f>IFERROR(__xludf.DUMMYFUNCTION("""COMPUTED_VALUE"""),"Gabon-Africa")</f>
        <v>Gabon-Africa</v>
      </c>
      <c r="Z862" s="14" t="str">
        <f>IFERROR(__xludf.DUMMYFUNCTION("""COMPUTED_VALUE"""),"Africa")</f>
        <v>Africa</v>
      </c>
      <c r="AA862" s="14" t="str">
        <f>IFERROR(__xludf.DUMMYFUNCTION("""COMPUTED_VALUE"""),"2002")</f>
        <v>2002</v>
      </c>
      <c r="AB862" s="15" t="str">
        <f>IFERROR(__xludf.DUMMYFUNCTION("ARRAYFORMULA(VLOOKUP(A862,IMPORTRANGE(""https://docs.google.com/spreadsheets/d/1BuTWp7qHGjWhqrnf-OmePP568O4A5Am9ttzvVdP67zw/edit#gid=1931367683"" ,""ENERGY!$A$2:$F$2692""), {2,3,4,5,6},0))"),"Africa")</f>
        <v>Africa</v>
      </c>
      <c r="AC862" s="14" t="str">
        <f>IFERROR(__xludf.DUMMYFUNCTION("""COMPUTED_VALUE"""),"Gabon-Africa")</f>
        <v>Gabon-Africa</v>
      </c>
      <c r="AD862" s="14" t="str">
        <f>IFERROR(__xludf.DUMMYFUNCTION("""COMPUTED_VALUE"""),"2002")</f>
        <v>2002</v>
      </c>
      <c r="AE862" s="14">
        <f>IFERROR(__xludf.DUMMYFUNCTION("""COMPUTED_VALUE"""),1984.0)</f>
        <v>1984</v>
      </c>
      <c r="AF862" s="14">
        <f>IFERROR(__xludf.DUMMYFUNCTION("""COMPUTED_VALUE"""),2574.0)</f>
        <v>2574</v>
      </c>
    </row>
    <row r="863">
      <c r="A863" s="12">
        <v>862.0</v>
      </c>
      <c r="B863" s="12" t="s">
        <v>145</v>
      </c>
      <c r="C863" s="5" t="s">
        <v>77</v>
      </c>
      <c r="D863" s="8"/>
      <c r="E863" s="8"/>
      <c r="F863" s="8"/>
      <c r="G863" s="8"/>
      <c r="H863" s="11">
        <v>0.027</v>
      </c>
      <c r="I863" s="11">
        <v>0.228</v>
      </c>
      <c r="J863" s="9" t="s">
        <v>64</v>
      </c>
      <c r="K863" s="14" t="str">
        <f>IFERROR(__xludf.DUMMYFUNCTION("ARRAYFORMULA(VLOOKUP(A863,IMPORTRANGE(""https://docs.google.com/spreadsheets/d/1BuTWp7qHGjWhqrnf-OmePP568O4A5Am9ttzvVdP67zw/edit#gid=1603210130"", ""TOURISM!$A$2:$F$2692""), {2,3,4,5,6},0))"),"Africa")</f>
        <v>Africa</v>
      </c>
      <c r="L863" s="14">
        <f>IFERROR(__xludf.DUMMYFUNCTION("""COMPUTED_VALUE"""),8.4E7)</f>
        <v>84000000</v>
      </c>
      <c r="M863" s="14" t="str">
        <f>IFERROR(__xludf.DUMMYFUNCTION("""COMPUTED_VALUE"""),"Gabon-Africa")</f>
        <v>Gabon-Africa</v>
      </c>
      <c r="N863" s="14" t="str">
        <f>IFERROR(__xludf.DUMMYFUNCTION("""COMPUTED_VALUE"""),"2003")</f>
        <v>2003</v>
      </c>
      <c r="O863" s="14">
        <f>IFERROR(__xludf.DUMMYFUNCTION("""COMPUTED_VALUE"""),2.39E8)</f>
        <v>239000000</v>
      </c>
      <c r="P863" s="15">
        <f>IFERROR(__xludf.DUMMYFUNCTION("ARRAYFORMULA(VLOOKUP(A863,IMPORTRANGE(""https://docs.google.com/spreadsheets/d/1BuTWp7qHGjWhqrnf-OmePP568O4A5Am9ttzvVdP67zw/edit#gid=771602874"" ,""HUMAN RESOURCES!$A$2:$M$2692""), {2,3,4,5,6,7,8,9,10,11,12,13},0))"),0.033)</f>
        <v>0.033</v>
      </c>
      <c r="Q863" s="14">
        <f>IFERROR(__xludf.DUMMYFUNCTION("""COMPUTED_VALUE"""),0.053)</f>
        <v>0.053</v>
      </c>
      <c r="R863" s="14">
        <f>IFERROR(__xludf.DUMMYFUNCTION("""COMPUTED_VALUE"""),61.0)</f>
        <v>61</v>
      </c>
      <c r="S863" s="14">
        <f>IFERROR(__xludf.DUMMYFUNCTION("""COMPUTED_VALUE"""),58.0)</f>
        <v>58</v>
      </c>
      <c r="T863" s="14">
        <f>IFERROR(__xludf.DUMMYFUNCTION("""COMPUTED_VALUE"""),0.399)</f>
        <v>0.399</v>
      </c>
      <c r="U863" s="14">
        <f>IFERROR(__xludf.DUMMYFUNCTION("""COMPUTED_VALUE"""),0.543)</f>
        <v>0.543</v>
      </c>
      <c r="V863" s="14">
        <f>IFERROR(__xludf.DUMMYFUNCTION("""COMPUTED_VALUE"""),0.057)</f>
        <v>0.057</v>
      </c>
      <c r="W863" s="14">
        <f>IFERROR(__xludf.DUMMYFUNCTION("""COMPUTED_VALUE"""),1315820.0)</f>
        <v>1315820</v>
      </c>
      <c r="X863" s="14">
        <f>IFERROR(__xludf.DUMMYFUNCTION("""COMPUTED_VALUE"""),0.822)</f>
        <v>0.822</v>
      </c>
      <c r="Y863" s="14" t="str">
        <f>IFERROR(__xludf.DUMMYFUNCTION("""COMPUTED_VALUE"""),"Gabon-Africa")</f>
        <v>Gabon-Africa</v>
      </c>
      <c r="Z863" s="14" t="str">
        <f>IFERROR(__xludf.DUMMYFUNCTION("""COMPUTED_VALUE"""),"Africa")</f>
        <v>Africa</v>
      </c>
      <c r="AA863" s="14" t="str">
        <f>IFERROR(__xludf.DUMMYFUNCTION("""COMPUTED_VALUE"""),"2003")</f>
        <v>2003</v>
      </c>
      <c r="AB863" s="15" t="str">
        <f>IFERROR(__xludf.DUMMYFUNCTION("ARRAYFORMULA(VLOOKUP(A863,IMPORTRANGE(""https://docs.google.com/spreadsheets/d/1BuTWp7qHGjWhqrnf-OmePP568O4A5Am9ttzvVdP67zw/edit#gid=1931367683"" ,""ENERGY!$A$2:$F$2692""), {2,3,4,5,6},0))"),"Africa")</f>
        <v>Africa</v>
      </c>
      <c r="AC863" s="14" t="str">
        <f>IFERROR(__xludf.DUMMYFUNCTION("""COMPUTED_VALUE"""),"Gabon-Africa")</f>
        <v>Gabon-Africa</v>
      </c>
      <c r="AD863" s="14" t="str">
        <f>IFERROR(__xludf.DUMMYFUNCTION("""COMPUTED_VALUE"""),"2003")</f>
        <v>2003</v>
      </c>
      <c r="AE863" s="14">
        <f>IFERROR(__xludf.DUMMYFUNCTION("""COMPUTED_VALUE"""),1925.0)</f>
        <v>1925</v>
      </c>
      <c r="AF863" s="14">
        <f>IFERROR(__xludf.DUMMYFUNCTION("""COMPUTED_VALUE"""),81.0)</f>
        <v>81</v>
      </c>
    </row>
    <row r="864">
      <c r="A864" s="12">
        <v>863.0</v>
      </c>
      <c r="B864" s="12" t="s">
        <v>145</v>
      </c>
      <c r="C864" s="5" t="s">
        <v>77</v>
      </c>
      <c r="D864" s="8"/>
      <c r="E864" s="8"/>
      <c r="F864" s="8"/>
      <c r="G864" s="8"/>
      <c r="H864" s="11">
        <v>0.03</v>
      </c>
      <c r="I864" s="11">
        <v>0.363</v>
      </c>
      <c r="J864" s="9" t="s">
        <v>65</v>
      </c>
      <c r="K864" s="14" t="str">
        <f>IFERROR(__xludf.DUMMYFUNCTION("ARRAYFORMULA(VLOOKUP(A864,IMPORTRANGE(""https://docs.google.com/spreadsheets/d/1BuTWp7qHGjWhqrnf-OmePP568O4A5Am9ttzvVdP67zw/edit#gid=1603210130"", ""TOURISM!$A$2:$F$2692""), {2,3,4,5,6},0))"),"Africa")</f>
        <v>Africa</v>
      </c>
      <c r="L864" s="14">
        <f>IFERROR(__xludf.DUMMYFUNCTION("""COMPUTED_VALUE"""),7.4E7)</f>
        <v>74000000</v>
      </c>
      <c r="M864" s="14" t="str">
        <f>IFERROR(__xludf.DUMMYFUNCTION("""COMPUTED_VALUE"""),"Gabon-Africa")</f>
        <v>Gabon-Africa</v>
      </c>
      <c r="N864" s="14" t="str">
        <f>IFERROR(__xludf.DUMMYFUNCTION("""COMPUTED_VALUE"""),"2004")</f>
        <v>2004</v>
      </c>
      <c r="O864" s="14">
        <f>IFERROR(__xludf.DUMMYFUNCTION("""COMPUTED_VALUE"""),2.75E8)</f>
        <v>275000000</v>
      </c>
      <c r="P864" s="15">
        <f>IFERROR(__xludf.DUMMYFUNCTION("ARRAYFORMULA(VLOOKUP(A864,IMPORTRANGE(""https://docs.google.com/spreadsheets/d/1BuTWp7qHGjWhqrnf-OmePP568O4A5Am9ttzvVdP67zw/edit#gid=771602874"" ,""HUMAN RESOURCES!$A$2:$M$2692""), {2,3,4,5,6,7,8,9,10,11,12,13},0))"),0.033)</f>
        <v>0.033</v>
      </c>
      <c r="Q864" s="14">
        <f>IFERROR(__xludf.DUMMYFUNCTION("""COMPUTED_VALUE"""),0.052)</f>
        <v>0.052</v>
      </c>
      <c r="R864" s="14">
        <f>IFERROR(__xludf.DUMMYFUNCTION("""COMPUTED_VALUE"""),61.0)</f>
        <v>61</v>
      </c>
      <c r="S864" s="14">
        <f>IFERROR(__xludf.DUMMYFUNCTION("""COMPUTED_VALUE"""),59.0)</f>
        <v>59</v>
      </c>
      <c r="T864" s="14">
        <f>IFERROR(__xludf.DUMMYFUNCTION("""COMPUTED_VALUE"""),0.397)</f>
        <v>0.397</v>
      </c>
      <c r="U864" s="14">
        <f>IFERROR(__xludf.DUMMYFUNCTION("""COMPUTED_VALUE"""),0.546)</f>
        <v>0.546</v>
      </c>
      <c r="V864" s="14">
        <f>IFERROR(__xludf.DUMMYFUNCTION("""COMPUTED_VALUE"""),0.057)</f>
        <v>0.057</v>
      </c>
      <c r="W864" s="14">
        <f>IFERROR(__xludf.DUMMYFUNCTION("""COMPUTED_VALUE"""),1347125.0)</f>
        <v>1347125</v>
      </c>
      <c r="X864" s="14">
        <f>IFERROR(__xludf.DUMMYFUNCTION("""COMPUTED_VALUE"""),0.828)</f>
        <v>0.828</v>
      </c>
      <c r="Y864" s="14" t="str">
        <f>IFERROR(__xludf.DUMMYFUNCTION("""COMPUTED_VALUE"""),"Gabon-Africa")</f>
        <v>Gabon-Africa</v>
      </c>
      <c r="Z864" s="14" t="str">
        <f>IFERROR(__xludf.DUMMYFUNCTION("""COMPUTED_VALUE"""),"Africa")</f>
        <v>Africa</v>
      </c>
      <c r="AA864" s="14" t="str">
        <f>IFERROR(__xludf.DUMMYFUNCTION("""COMPUTED_VALUE"""),"2004")</f>
        <v>2004</v>
      </c>
      <c r="AB864" s="15" t="str">
        <f>IFERROR(__xludf.DUMMYFUNCTION("ARRAYFORMULA(VLOOKUP(A864,IMPORTRANGE(""https://docs.google.com/spreadsheets/d/1BuTWp7qHGjWhqrnf-OmePP568O4A5Am9ttzvVdP67zw/edit#gid=1931367683"" ,""ENERGY!$A$2:$F$2692""), {2,3,4,5,6},0))"),"Africa")</f>
        <v>Africa</v>
      </c>
      <c r="AC864" s="14" t="str">
        <f>IFERROR(__xludf.DUMMYFUNCTION("""COMPUTED_VALUE"""),"Gabon-Africa")</f>
        <v>Gabon-Africa</v>
      </c>
      <c r="AD864" s="14" t="str">
        <f>IFERROR(__xludf.DUMMYFUNCTION("""COMPUTED_VALUE"""),"2004")</f>
        <v>2004</v>
      </c>
      <c r="AE864" s="14">
        <f>IFERROR(__xludf.DUMMYFUNCTION("""COMPUTED_VALUE"""),1880.0)</f>
        <v>1880</v>
      </c>
      <c r="AF864" s="14">
        <f>IFERROR(__xludf.DUMMYFUNCTION("""COMPUTED_VALUE"""),1566.0)</f>
        <v>1566</v>
      </c>
    </row>
    <row r="865">
      <c r="A865" s="12">
        <v>864.0</v>
      </c>
      <c r="B865" s="12" t="s">
        <v>145</v>
      </c>
      <c r="C865" s="5" t="s">
        <v>77</v>
      </c>
      <c r="D865" s="11">
        <v>0.451</v>
      </c>
      <c r="E865" s="11">
        <v>57.0</v>
      </c>
      <c r="F865" s="8"/>
      <c r="G865" s="11">
        <v>488.0</v>
      </c>
      <c r="H865" s="11">
        <v>0.049</v>
      </c>
      <c r="I865" s="11">
        <v>0.534</v>
      </c>
      <c r="J865" s="9" t="s">
        <v>66</v>
      </c>
      <c r="K865" s="14" t="str">
        <f>IFERROR(__xludf.DUMMYFUNCTION("ARRAYFORMULA(VLOOKUP(A865,IMPORTRANGE(""https://docs.google.com/spreadsheets/d/1BuTWp7qHGjWhqrnf-OmePP568O4A5Am9ttzvVdP67zw/edit#gid=1603210130"", ""TOURISM!$A$2:$F$2692""), {2,3,4,5,6},0))"),"Africa")</f>
        <v>Africa</v>
      </c>
      <c r="L865" s="14">
        <f>IFERROR(__xludf.DUMMYFUNCTION("""COMPUTED_VALUE"""),1.3E7)</f>
        <v>13000000</v>
      </c>
      <c r="M865" s="14" t="str">
        <f>IFERROR(__xludf.DUMMYFUNCTION("""COMPUTED_VALUE"""),"Gabon-Africa")</f>
        <v>Gabon-Africa</v>
      </c>
      <c r="N865" s="14" t="str">
        <f>IFERROR(__xludf.DUMMYFUNCTION("""COMPUTED_VALUE"""),"2005")</f>
        <v>2005</v>
      </c>
      <c r="O865" s="14">
        <f>IFERROR(__xludf.DUMMYFUNCTION("""COMPUTED_VALUE"""),3.46E8)</f>
        <v>346000000</v>
      </c>
      <c r="P865" s="15">
        <f>IFERROR(__xludf.DUMMYFUNCTION("ARRAYFORMULA(VLOOKUP(A865,IMPORTRANGE(""https://docs.google.com/spreadsheets/d/1BuTWp7qHGjWhqrnf-OmePP568O4A5Am9ttzvVdP67zw/edit#gid=771602874"" ,""HUMAN RESOURCES!$A$2:$M$2692""), {2,3,4,5,6,7,8,9,10,11,12,13},0))"),0.033)</f>
        <v>0.033</v>
      </c>
      <c r="Q865" s="14">
        <f>IFERROR(__xludf.DUMMYFUNCTION("""COMPUTED_VALUE"""),0.05)</f>
        <v>0.05</v>
      </c>
      <c r="R865" s="14">
        <f>IFERROR(__xludf.DUMMYFUNCTION("""COMPUTED_VALUE"""),61.0)</f>
        <v>61</v>
      </c>
      <c r="S865" s="14">
        <f>IFERROR(__xludf.DUMMYFUNCTION("""COMPUTED_VALUE"""),59.0)</f>
        <v>59</v>
      </c>
      <c r="T865" s="14">
        <f>IFERROR(__xludf.DUMMYFUNCTION("""COMPUTED_VALUE"""),0.395)</f>
        <v>0.395</v>
      </c>
      <c r="U865" s="14">
        <f>IFERROR(__xludf.DUMMYFUNCTION("""COMPUTED_VALUE"""),0.549)</f>
        <v>0.549</v>
      </c>
      <c r="V865" s="14">
        <f>IFERROR(__xludf.DUMMYFUNCTION("""COMPUTED_VALUE"""),0.056)</f>
        <v>0.056</v>
      </c>
      <c r="W865" s="14">
        <f>IFERROR(__xludf.DUMMYFUNCTION("""COMPUTED_VALUE"""),1379465.0)</f>
        <v>1379465</v>
      </c>
      <c r="X865" s="14">
        <f>IFERROR(__xludf.DUMMYFUNCTION("""COMPUTED_VALUE"""),0.834)</f>
        <v>0.834</v>
      </c>
      <c r="Y865" s="14" t="str">
        <f>IFERROR(__xludf.DUMMYFUNCTION("""COMPUTED_VALUE"""),"Gabon-Africa")</f>
        <v>Gabon-Africa</v>
      </c>
      <c r="Z865" s="14" t="str">
        <f>IFERROR(__xludf.DUMMYFUNCTION("""COMPUTED_VALUE"""),"Africa")</f>
        <v>Africa</v>
      </c>
      <c r="AA865" s="14" t="str">
        <f>IFERROR(__xludf.DUMMYFUNCTION("""COMPUTED_VALUE"""),"2005")</f>
        <v>2005</v>
      </c>
      <c r="AB865" s="15" t="str">
        <f>IFERROR(__xludf.DUMMYFUNCTION("ARRAYFORMULA(VLOOKUP(A865,IMPORTRANGE(""https://docs.google.com/spreadsheets/d/1BuTWp7qHGjWhqrnf-OmePP568O4A5Am9ttzvVdP67zw/edit#gid=1931367683"" ,""ENERGY!$A$2:$F$2692""), {2,3,4,5,6},0))"),"Africa")</f>
        <v>Africa</v>
      </c>
      <c r="AC865" s="14" t="str">
        <f>IFERROR(__xludf.DUMMYFUNCTION("""COMPUTED_VALUE"""),"Gabon-Africa")</f>
        <v>Gabon-Africa</v>
      </c>
      <c r="AD865" s="14" t="str">
        <f>IFERROR(__xludf.DUMMYFUNCTION("""COMPUTED_VALUE"""),"2006")</f>
        <v>2006</v>
      </c>
      <c r="AE865" s="14">
        <f>IFERROR(__xludf.DUMMYFUNCTION("""COMPUTED_VALUE"""),1832.0)</f>
        <v>1832</v>
      </c>
      <c r="AF865" s="14">
        <f>IFERROR(__xludf.DUMMYFUNCTION("""COMPUTED_VALUE"""),2332.0)</f>
        <v>2332</v>
      </c>
    </row>
    <row r="866">
      <c r="A866" s="12">
        <v>865.0</v>
      </c>
      <c r="B866" s="12" t="s">
        <v>145</v>
      </c>
      <c r="C866" s="5" t="s">
        <v>77</v>
      </c>
      <c r="D866" s="11">
        <v>0.447</v>
      </c>
      <c r="E866" s="11">
        <v>57.0</v>
      </c>
      <c r="F866" s="8"/>
      <c r="G866" s="11">
        <v>488.0</v>
      </c>
      <c r="H866" s="11">
        <v>0.055</v>
      </c>
      <c r="I866" s="11">
        <v>0.636</v>
      </c>
      <c r="J866" s="9" t="s">
        <v>67</v>
      </c>
      <c r="K866" s="14" t="str">
        <f>IFERROR(__xludf.DUMMYFUNCTION("ARRAYFORMULA(VLOOKUP(A866,IMPORTRANGE(""https://docs.google.com/spreadsheets/d/1BuTWp7qHGjWhqrnf-OmePP568O4A5Am9ttzvVdP67zw/edit#gid=1603210130"", ""TOURISM!$A$2:$F$2692""), {2,3,4,5,6},0))"),"Africa")</f>
        <v>Africa</v>
      </c>
      <c r="L866" s="14"/>
      <c r="M866" s="14" t="str">
        <f>IFERROR(__xludf.DUMMYFUNCTION("""COMPUTED_VALUE"""),"Gabon-Africa")</f>
        <v>Gabon-Africa</v>
      </c>
      <c r="N866" s="14" t="str">
        <f>IFERROR(__xludf.DUMMYFUNCTION("""COMPUTED_VALUE"""),"2006")</f>
        <v>2006</v>
      </c>
      <c r="O866" s="14"/>
      <c r="P866" s="15">
        <f>IFERROR(__xludf.DUMMYFUNCTION("ARRAYFORMULA(VLOOKUP(A866,IMPORTRANGE(""https://docs.google.com/spreadsheets/d/1BuTWp7qHGjWhqrnf-OmePP568O4A5Am9ttzvVdP67zw/edit#gid=771602874"" ,""HUMAN RESOURCES!$A$2:$M$2692""), {2,3,4,5,6,7,8,9,10,11,12,13},0))"),0.033)</f>
        <v>0.033</v>
      </c>
      <c r="Q866" s="14">
        <f>IFERROR(__xludf.DUMMYFUNCTION("""COMPUTED_VALUE"""),0.049)</f>
        <v>0.049</v>
      </c>
      <c r="R866" s="14">
        <f>IFERROR(__xludf.DUMMYFUNCTION("""COMPUTED_VALUE"""),61.0)</f>
        <v>61</v>
      </c>
      <c r="S866" s="14">
        <f>IFERROR(__xludf.DUMMYFUNCTION("""COMPUTED_VALUE"""),59.0)</f>
        <v>59</v>
      </c>
      <c r="T866" s="14">
        <f>IFERROR(__xludf.DUMMYFUNCTION("""COMPUTED_VALUE"""),0.393)</f>
        <v>0.393</v>
      </c>
      <c r="U866" s="14">
        <f>IFERROR(__xludf.DUMMYFUNCTION("""COMPUTED_VALUE"""),0.551)</f>
        <v>0.551</v>
      </c>
      <c r="V866" s="14">
        <f>IFERROR(__xludf.DUMMYFUNCTION("""COMPUTED_VALUE"""),0.056)</f>
        <v>0.056</v>
      </c>
      <c r="W866" s="14">
        <f>IFERROR(__xludf.DUMMYFUNCTION("""COMPUTED_VALUE"""),1412907.0)</f>
        <v>1412907</v>
      </c>
      <c r="X866" s="14">
        <f>IFERROR(__xludf.DUMMYFUNCTION("""COMPUTED_VALUE"""),0.84)</f>
        <v>0.84</v>
      </c>
      <c r="Y866" s="14" t="str">
        <f>IFERROR(__xludf.DUMMYFUNCTION("""COMPUTED_VALUE"""),"Gabon-Africa")</f>
        <v>Gabon-Africa</v>
      </c>
      <c r="Z866" s="14" t="str">
        <f>IFERROR(__xludf.DUMMYFUNCTION("""COMPUTED_VALUE"""),"Africa")</f>
        <v>Africa</v>
      </c>
      <c r="AA866" s="14" t="str">
        <f>IFERROR(__xludf.DUMMYFUNCTION("""COMPUTED_VALUE"""),"2006")</f>
        <v>2006</v>
      </c>
      <c r="AB866" s="15" t="str">
        <f>IFERROR(__xludf.DUMMYFUNCTION("ARRAYFORMULA(VLOOKUP(A866,IMPORTRANGE(""https://docs.google.com/spreadsheets/d/1BuTWp7qHGjWhqrnf-OmePP568O4A5Am9ttzvVdP67zw/edit#gid=1931367683"" ,""ENERGY!$A$2:$F$2692""), {2,3,4,5,6},0))"),"Africa")</f>
        <v>Africa</v>
      </c>
      <c r="AC866" s="14" t="str">
        <f>IFERROR(__xludf.DUMMYFUNCTION("""COMPUTED_VALUE"""),"Gabon-Africa")</f>
        <v>Gabon-Africa</v>
      </c>
      <c r="AD866" s="14" t="str">
        <f>IFERROR(__xludf.DUMMYFUNCTION("""COMPUTED_VALUE"""),"2010")</f>
        <v>2010</v>
      </c>
      <c r="AE866" s="14">
        <f>IFERROR(__xludf.DUMMYFUNCTION("""COMPUTED_VALUE"""),1768.0)</f>
        <v>1768</v>
      </c>
      <c r="AF866" s="14">
        <f>IFERROR(__xludf.DUMMYFUNCTION("""COMPUTED_VALUE"""),1977.0)</f>
        <v>1977</v>
      </c>
    </row>
    <row r="867">
      <c r="A867" s="12">
        <v>866.0</v>
      </c>
      <c r="B867" s="12" t="s">
        <v>145</v>
      </c>
      <c r="C867" s="5" t="s">
        <v>77</v>
      </c>
      <c r="D867" s="11">
        <v>0.447</v>
      </c>
      <c r="E867" s="11">
        <v>57.0</v>
      </c>
      <c r="F867" s="8"/>
      <c r="G867" s="11">
        <v>488.0</v>
      </c>
      <c r="H867" s="11">
        <v>0.058</v>
      </c>
      <c r="I867" s="11">
        <v>0.808</v>
      </c>
      <c r="J867" s="9" t="s">
        <v>68</v>
      </c>
      <c r="K867" s="14" t="str">
        <f>IFERROR(__xludf.DUMMYFUNCTION("ARRAYFORMULA(VLOOKUP(A867,IMPORTRANGE(""https://docs.google.com/spreadsheets/d/1BuTWp7qHGjWhqrnf-OmePP568O4A5Am9ttzvVdP67zw/edit#gid=1603210130"", ""TOURISM!$A$2:$F$2692""), {2,3,4,5,6},0))"),"Africa")</f>
        <v>Africa</v>
      </c>
      <c r="L867" s="14"/>
      <c r="M867" s="14" t="str">
        <f>IFERROR(__xludf.DUMMYFUNCTION("""COMPUTED_VALUE"""),"Gabon-Africa")</f>
        <v>Gabon-Africa</v>
      </c>
      <c r="N867" s="14" t="str">
        <f>IFERROR(__xludf.DUMMYFUNCTION("""COMPUTED_VALUE"""),"2007")</f>
        <v>2007</v>
      </c>
      <c r="O867" s="14"/>
      <c r="P867" s="15">
        <f>IFERROR(__xludf.DUMMYFUNCTION("ARRAYFORMULA(VLOOKUP(A867,IMPORTRANGE(""https://docs.google.com/spreadsheets/d/1BuTWp7qHGjWhqrnf-OmePP568O4A5Am9ttzvVdP67zw/edit#gid=771602874"" ,""HUMAN RESOURCES!$A$2:$M$2692""), {2,3,4,5,6,7,8,9,10,11,12,13},0))"),0.033)</f>
        <v>0.033</v>
      </c>
      <c r="Q867" s="14">
        <f>IFERROR(__xludf.DUMMYFUNCTION("""COMPUTED_VALUE"""),0.048)</f>
        <v>0.048</v>
      </c>
      <c r="R867" s="14">
        <f>IFERROR(__xludf.DUMMYFUNCTION("""COMPUTED_VALUE"""),62.0)</f>
        <v>62</v>
      </c>
      <c r="S867" s="14">
        <f>IFERROR(__xludf.DUMMYFUNCTION("""COMPUTED_VALUE"""),60.0)</f>
        <v>60</v>
      </c>
      <c r="T867" s="14">
        <f>IFERROR(__xludf.DUMMYFUNCTION("""COMPUTED_VALUE"""),0.391)</f>
        <v>0.391</v>
      </c>
      <c r="U867" s="14">
        <f>IFERROR(__xludf.DUMMYFUNCTION("""COMPUTED_VALUE"""),0.554)</f>
        <v>0.554</v>
      </c>
      <c r="V867" s="14">
        <f>IFERROR(__xludf.DUMMYFUNCTION("""COMPUTED_VALUE"""),0.055)</f>
        <v>0.055</v>
      </c>
      <c r="W867" s="14">
        <f>IFERROR(__xludf.DUMMYFUNCTION("""COMPUTED_VALUE"""),1447388.0)</f>
        <v>1447388</v>
      </c>
      <c r="X867" s="14">
        <f>IFERROR(__xludf.DUMMYFUNCTION("""COMPUTED_VALUE"""),0.844)</f>
        <v>0.844</v>
      </c>
      <c r="Y867" s="14" t="str">
        <f>IFERROR(__xludf.DUMMYFUNCTION("""COMPUTED_VALUE"""),"Gabon-Africa")</f>
        <v>Gabon-Africa</v>
      </c>
      <c r="Z867" s="14" t="str">
        <f>IFERROR(__xludf.DUMMYFUNCTION("""COMPUTED_VALUE"""),"Africa")</f>
        <v>Africa</v>
      </c>
      <c r="AA867" s="14" t="str">
        <f>IFERROR(__xludf.DUMMYFUNCTION("""COMPUTED_VALUE"""),"2007")</f>
        <v>2007</v>
      </c>
      <c r="AB867" s="15" t="str">
        <f>IFERROR(__xludf.DUMMYFUNCTION("ARRAYFORMULA(VLOOKUP(A867,IMPORTRANGE(""https://docs.google.com/spreadsheets/d/1BuTWp7qHGjWhqrnf-OmePP568O4A5Am9ttzvVdP67zw/edit#gid=1931367683"" ,""ENERGY!$A$2:$F$2692""), {2,3,4,5,6},0))"),"Africa")</f>
        <v>Africa</v>
      </c>
      <c r="AC867" s="14" t="str">
        <f>IFERROR(__xludf.DUMMYFUNCTION("""COMPUTED_VALUE"""),"Gabon-Africa")</f>
        <v>Gabon-Africa</v>
      </c>
      <c r="AD867" s="14" t="str">
        <f>IFERROR(__xludf.DUMMYFUNCTION("""COMPUTED_VALUE"""),"2007")</f>
        <v>2007</v>
      </c>
      <c r="AE867" s="14">
        <f>IFERROR(__xludf.DUMMYFUNCTION("""COMPUTED_VALUE"""),1718.0)</f>
        <v>1718</v>
      </c>
      <c r="AF867" s="14">
        <f>IFERROR(__xludf.DUMMYFUNCTION("""COMPUTED_VALUE"""),2087.0)</f>
        <v>2087</v>
      </c>
    </row>
    <row r="868">
      <c r="A868" s="12">
        <v>867.0</v>
      </c>
      <c r="B868" s="12" t="s">
        <v>145</v>
      </c>
      <c r="C868" s="5" t="s">
        <v>77</v>
      </c>
      <c r="D868" s="11">
        <v>0.447</v>
      </c>
      <c r="E868" s="11">
        <v>57.0</v>
      </c>
      <c r="F868" s="8"/>
      <c r="G868" s="11">
        <v>488.0</v>
      </c>
      <c r="H868" s="11">
        <v>0.062</v>
      </c>
      <c r="I868" s="11">
        <v>0.877</v>
      </c>
      <c r="J868" s="9" t="s">
        <v>69</v>
      </c>
      <c r="K868" s="14" t="str">
        <f>IFERROR(__xludf.DUMMYFUNCTION("ARRAYFORMULA(VLOOKUP(A868,IMPORTRANGE(""https://docs.google.com/spreadsheets/d/1BuTWp7qHGjWhqrnf-OmePP568O4A5Am9ttzvVdP67zw/edit#gid=1603210130"", ""TOURISM!$A$2:$F$2692""), {2,3,4,5,6},0))"),"Africa")</f>
        <v>Africa</v>
      </c>
      <c r="L868" s="14"/>
      <c r="M868" s="14" t="str">
        <f>IFERROR(__xludf.DUMMYFUNCTION("""COMPUTED_VALUE"""),"Gabon-Africa")</f>
        <v>Gabon-Africa</v>
      </c>
      <c r="N868" s="14" t="str">
        <f>IFERROR(__xludf.DUMMYFUNCTION("""COMPUTED_VALUE"""),"2008")</f>
        <v>2008</v>
      </c>
      <c r="O868" s="14"/>
      <c r="P868" s="15">
        <f>IFERROR(__xludf.DUMMYFUNCTION("ARRAYFORMULA(VLOOKUP(A868,IMPORTRANGE(""https://docs.google.com/spreadsheets/d/1BuTWp7qHGjWhqrnf-OmePP568O4A5Am9ttzvVdP67zw/edit#gid=771602874"" ,""HUMAN RESOURCES!$A$2:$M$2692""), {2,3,4,5,6,7,8,9,10,11,12,13},0))"),0.033)</f>
        <v>0.033</v>
      </c>
      <c r="Q868" s="14">
        <f>IFERROR(__xludf.DUMMYFUNCTION("""COMPUTED_VALUE"""),0.046)</f>
        <v>0.046</v>
      </c>
      <c r="R868" s="14">
        <f>IFERROR(__xludf.DUMMYFUNCTION("""COMPUTED_VALUE"""),62.0)</f>
        <v>62</v>
      </c>
      <c r="S868" s="14">
        <f>IFERROR(__xludf.DUMMYFUNCTION("""COMPUTED_VALUE"""),60.0)</f>
        <v>60</v>
      </c>
      <c r="T868" s="14">
        <f>IFERROR(__xludf.DUMMYFUNCTION("""COMPUTED_VALUE"""),0.389)</f>
        <v>0.389</v>
      </c>
      <c r="U868" s="14">
        <f>IFERROR(__xludf.DUMMYFUNCTION("""COMPUTED_VALUE"""),0.556)</f>
        <v>0.556</v>
      </c>
      <c r="V868" s="14">
        <f>IFERROR(__xludf.DUMMYFUNCTION("""COMPUTED_VALUE"""),0.055)</f>
        <v>0.055</v>
      </c>
      <c r="W868" s="14">
        <f>IFERROR(__xludf.DUMMYFUNCTION("""COMPUTED_VALUE"""),1482843.0)</f>
        <v>1482843</v>
      </c>
      <c r="X868" s="14">
        <f>IFERROR(__xludf.DUMMYFUNCTION("""COMPUTED_VALUE"""),0.849)</f>
        <v>0.849</v>
      </c>
      <c r="Y868" s="14" t="str">
        <f>IFERROR(__xludf.DUMMYFUNCTION("""COMPUTED_VALUE"""),"Gabon-Africa")</f>
        <v>Gabon-Africa</v>
      </c>
      <c r="Z868" s="14" t="str">
        <f>IFERROR(__xludf.DUMMYFUNCTION("""COMPUTED_VALUE"""),"Africa")</f>
        <v>Africa</v>
      </c>
      <c r="AA868" s="14" t="str">
        <f>IFERROR(__xludf.DUMMYFUNCTION("""COMPUTED_VALUE"""),"2008")</f>
        <v>2008</v>
      </c>
      <c r="AB868" s="15" t="str">
        <f>IFERROR(__xludf.DUMMYFUNCTION("ARRAYFORMULA(VLOOKUP(A868,IMPORTRANGE(""https://docs.google.com/spreadsheets/d/1BuTWp7qHGjWhqrnf-OmePP568O4A5Am9ttzvVdP67zw/edit#gid=1931367683"" ,""ENERGY!$A$2:$F$2692""), {2,3,4,5,6},0))"),"Africa")</f>
        <v>Africa</v>
      </c>
      <c r="AC868" s="14" t="str">
        <f>IFERROR(__xludf.DUMMYFUNCTION("""COMPUTED_VALUE"""),"Gabon-Africa")</f>
        <v>Gabon-Africa</v>
      </c>
      <c r="AD868" s="14" t="str">
        <f>IFERROR(__xludf.DUMMYFUNCTION("""COMPUTED_VALUE"""),"2005")</f>
        <v>2005</v>
      </c>
      <c r="AE868" s="14">
        <f>IFERROR(__xludf.DUMMYFUNCTION("""COMPUTED_VALUE"""),1629.0)</f>
        <v>1629</v>
      </c>
      <c r="AF868" s="14">
        <f>IFERROR(__xludf.DUMMYFUNCTION("""COMPUTED_VALUE"""),1767.0)</f>
        <v>1767</v>
      </c>
    </row>
    <row r="869">
      <c r="A869" s="12">
        <v>868.0</v>
      </c>
      <c r="B869" s="12" t="s">
        <v>145</v>
      </c>
      <c r="C869" s="5" t="s">
        <v>77</v>
      </c>
      <c r="D869" s="11">
        <v>0.447</v>
      </c>
      <c r="E869" s="11">
        <v>57.0</v>
      </c>
      <c r="F869" s="8"/>
      <c r="G869" s="11">
        <v>488.0</v>
      </c>
      <c r="H869" s="11">
        <v>0.067</v>
      </c>
      <c r="I869" s="11">
        <v>0.954</v>
      </c>
      <c r="J869" s="9" t="s">
        <v>70</v>
      </c>
      <c r="K869" s="14" t="str">
        <f>IFERROR(__xludf.DUMMYFUNCTION("ARRAYFORMULA(VLOOKUP(A869,IMPORTRANGE(""https://docs.google.com/spreadsheets/d/1BuTWp7qHGjWhqrnf-OmePP568O4A5Am9ttzvVdP67zw/edit#gid=1603210130"", ""TOURISM!$A$2:$F$2692""), {2,3,4,5,6},0))"),"Africa")</f>
        <v>Africa</v>
      </c>
      <c r="L869" s="14"/>
      <c r="M869" s="14" t="str">
        <f>IFERROR(__xludf.DUMMYFUNCTION("""COMPUTED_VALUE"""),"Gabon-Africa")</f>
        <v>Gabon-Africa</v>
      </c>
      <c r="N869" s="14" t="str">
        <f>IFERROR(__xludf.DUMMYFUNCTION("""COMPUTED_VALUE"""),"2009")</f>
        <v>2009</v>
      </c>
      <c r="O869" s="14"/>
      <c r="P869" s="15">
        <f>IFERROR(__xludf.DUMMYFUNCTION("ARRAYFORMULA(VLOOKUP(A869,IMPORTRANGE(""https://docs.google.com/spreadsheets/d/1BuTWp7qHGjWhqrnf-OmePP568O4A5Am9ttzvVdP67zw/edit#gid=771602874"" ,""HUMAN RESOURCES!$A$2:$M$2692""), {2,3,4,5,6,7,8,9,10,11,12,13},0))"),0.033)</f>
        <v>0.033</v>
      </c>
      <c r="Q869" s="14">
        <f>IFERROR(__xludf.DUMMYFUNCTION("""COMPUTED_VALUE"""),0.045)</f>
        <v>0.045</v>
      </c>
      <c r="R869" s="14">
        <f>IFERROR(__xludf.DUMMYFUNCTION("""COMPUTED_VALUE"""),63.0)</f>
        <v>63</v>
      </c>
      <c r="S869" s="14">
        <f>IFERROR(__xludf.DUMMYFUNCTION("""COMPUTED_VALUE"""),61.0)</f>
        <v>61</v>
      </c>
      <c r="T869" s="14">
        <f>IFERROR(__xludf.DUMMYFUNCTION("""COMPUTED_VALUE"""),0.388)</f>
        <v>0.388</v>
      </c>
      <c r="U869" s="14">
        <f>IFERROR(__xludf.DUMMYFUNCTION("""COMPUTED_VALUE"""),0.559)</f>
        <v>0.559</v>
      </c>
      <c r="V869" s="14">
        <f>IFERROR(__xludf.DUMMYFUNCTION("""COMPUTED_VALUE"""),0.054)</f>
        <v>0.054</v>
      </c>
      <c r="W869" s="14">
        <f>IFERROR(__xludf.DUMMYFUNCTION("""COMPUTED_VALUE"""),1519155.0)</f>
        <v>1519155</v>
      </c>
      <c r="X869" s="14">
        <f>IFERROR(__xludf.DUMMYFUNCTION("""COMPUTED_VALUE"""),0.853)</f>
        <v>0.853</v>
      </c>
      <c r="Y869" s="14" t="str">
        <f>IFERROR(__xludf.DUMMYFUNCTION("""COMPUTED_VALUE"""),"Gabon-Africa")</f>
        <v>Gabon-Africa</v>
      </c>
      <c r="Z869" s="14" t="str">
        <f>IFERROR(__xludf.DUMMYFUNCTION("""COMPUTED_VALUE"""),"Africa")</f>
        <v>Africa</v>
      </c>
      <c r="AA869" s="14" t="str">
        <f>IFERROR(__xludf.DUMMYFUNCTION("""COMPUTED_VALUE"""),"2009")</f>
        <v>2009</v>
      </c>
      <c r="AB869" s="15" t="str">
        <f>IFERROR(__xludf.DUMMYFUNCTION("ARRAYFORMULA(VLOOKUP(A869,IMPORTRANGE(""https://docs.google.com/spreadsheets/d/1BuTWp7qHGjWhqrnf-OmePP568O4A5Am9ttzvVdP67zw/edit#gid=1931367683"" ,""ENERGY!$A$2:$F$2692""), {2,3,4,5,6},0))"),"Africa")</f>
        <v>Africa</v>
      </c>
      <c r="AC869" s="14" t="str">
        <f>IFERROR(__xludf.DUMMYFUNCTION("""COMPUTED_VALUE"""),"Gabon-Africa")</f>
        <v>Gabon-Africa</v>
      </c>
      <c r="AD869" s="14" t="str">
        <f>IFERROR(__xludf.DUMMYFUNCTION("""COMPUTED_VALUE"""),"2009")</f>
        <v>2009</v>
      </c>
      <c r="AE869" s="14">
        <f>IFERROR(__xludf.DUMMYFUNCTION("""COMPUTED_VALUE"""),1593.0)</f>
        <v>1593</v>
      </c>
      <c r="AF869" s="14">
        <f>IFERROR(__xludf.DUMMYFUNCTION("""COMPUTED_VALUE"""),1335.0)</f>
        <v>1335</v>
      </c>
    </row>
    <row r="870">
      <c r="A870" s="12">
        <v>869.0</v>
      </c>
      <c r="B870" s="12" t="s">
        <v>145</v>
      </c>
      <c r="C870" s="5" t="s">
        <v>77</v>
      </c>
      <c r="D870" s="11">
        <v>0.435</v>
      </c>
      <c r="E870" s="11">
        <v>57.0</v>
      </c>
      <c r="F870" s="8"/>
      <c r="G870" s="11">
        <v>488.0</v>
      </c>
      <c r="H870" s="11">
        <v>0.072</v>
      </c>
      <c r="I870" s="11">
        <v>1.035</v>
      </c>
      <c r="J870" s="9" t="s">
        <v>71</v>
      </c>
      <c r="K870" s="14" t="str">
        <f>IFERROR(__xludf.DUMMYFUNCTION("ARRAYFORMULA(VLOOKUP(A870,IMPORTRANGE(""https://docs.google.com/spreadsheets/d/1BuTWp7qHGjWhqrnf-OmePP568O4A5Am9ttzvVdP67zw/edit#gid=1603210130"", ""TOURISM!$A$2:$F$2692""), {2,3,4,5,6},0))"),"Africa")</f>
        <v>Africa</v>
      </c>
      <c r="L870" s="14"/>
      <c r="M870" s="14" t="str">
        <f>IFERROR(__xludf.DUMMYFUNCTION("""COMPUTED_VALUE"""),"Gabon-Africa")</f>
        <v>Gabon-Africa</v>
      </c>
      <c r="N870" s="14" t="str">
        <f>IFERROR(__xludf.DUMMYFUNCTION("""COMPUTED_VALUE"""),"2010")</f>
        <v>2010</v>
      </c>
      <c r="O870" s="14"/>
      <c r="P870" s="15">
        <f>IFERROR(__xludf.DUMMYFUNCTION("ARRAYFORMULA(VLOOKUP(A870,IMPORTRANGE(""https://docs.google.com/spreadsheets/d/1BuTWp7qHGjWhqrnf-OmePP568O4A5Am9ttzvVdP67zw/edit#gid=771602874"" ,""HUMAN RESOURCES!$A$2:$M$2692""), {2,3,4,5,6,7,8,9,10,11,12,13},0))"),0.033)</f>
        <v>0.033</v>
      </c>
      <c r="Q870" s="14">
        <f>IFERROR(__xludf.DUMMYFUNCTION("""COMPUTED_VALUE"""),0.043)</f>
        <v>0.043</v>
      </c>
      <c r="R870" s="14">
        <f>IFERROR(__xludf.DUMMYFUNCTION("""COMPUTED_VALUE"""),63.0)</f>
        <v>63</v>
      </c>
      <c r="S870" s="14">
        <f>IFERROR(__xludf.DUMMYFUNCTION("""COMPUTED_VALUE"""),61.0)</f>
        <v>61</v>
      </c>
      <c r="T870" s="14">
        <f>IFERROR(__xludf.DUMMYFUNCTION("""COMPUTED_VALUE"""),0.386)</f>
        <v>0.386</v>
      </c>
      <c r="U870" s="14">
        <f>IFERROR(__xludf.DUMMYFUNCTION("""COMPUTED_VALUE"""),0.56)</f>
        <v>0.56</v>
      </c>
      <c r="V870" s="14">
        <f>IFERROR(__xludf.DUMMYFUNCTION("""COMPUTED_VALUE"""),0.053)</f>
        <v>0.053</v>
      </c>
      <c r="W870" s="14">
        <f>IFERROR(__xludf.DUMMYFUNCTION("""COMPUTED_VALUE"""),1556222.0)</f>
        <v>1556222</v>
      </c>
      <c r="X870" s="14">
        <f>IFERROR(__xludf.DUMMYFUNCTION("""COMPUTED_VALUE"""),0.857)</f>
        <v>0.857</v>
      </c>
      <c r="Y870" s="14" t="str">
        <f>IFERROR(__xludf.DUMMYFUNCTION("""COMPUTED_VALUE"""),"Gabon-Africa")</f>
        <v>Gabon-Africa</v>
      </c>
      <c r="Z870" s="14" t="str">
        <f>IFERROR(__xludf.DUMMYFUNCTION("""COMPUTED_VALUE"""),"Africa")</f>
        <v>Africa</v>
      </c>
      <c r="AA870" s="14" t="str">
        <f>IFERROR(__xludf.DUMMYFUNCTION("""COMPUTED_VALUE"""),"2010")</f>
        <v>2010</v>
      </c>
      <c r="AB870" s="15" t="str">
        <f>IFERROR(__xludf.DUMMYFUNCTION("ARRAYFORMULA(VLOOKUP(A870,IMPORTRANGE(""https://docs.google.com/spreadsheets/d/1BuTWp7qHGjWhqrnf-OmePP568O4A5Am9ttzvVdP67zw/edit#gid=1931367683"" ,""ENERGY!$A$2:$F$2692""), {2,3,4,5,6},0))"),"Africa")</f>
        <v>Africa</v>
      </c>
      <c r="AC870" s="14" t="str">
        <f>IFERROR(__xludf.DUMMYFUNCTION("""COMPUTED_VALUE"""),"Gabon-Africa")</f>
        <v>Gabon-Africa</v>
      </c>
      <c r="AD870" s="14" t="str">
        <f>IFERROR(__xludf.DUMMYFUNCTION("""COMPUTED_VALUE"""),"2009")</f>
        <v>2009</v>
      </c>
      <c r="AE870" s="14">
        <f>IFERROR(__xludf.DUMMYFUNCTION("""COMPUTED_VALUE"""),1583.0)</f>
        <v>1583</v>
      </c>
      <c r="AF870" s="14">
        <f>IFERROR(__xludf.DUMMYFUNCTION("""COMPUTED_VALUE"""),1778.0)</f>
        <v>1778</v>
      </c>
    </row>
    <row r="871">
      <c r="A871" s="12">
        <v>870.0</v>
      </c>
      <c r="B871" s="12" t="s">
        <v>145</v>
      </c>
      <c r="C871" s="5" t="s">
        <v>77</v>
      </c>
      <c r="D871" s="11">
        <v>0.435</v>
      </c>
      <c r="E871" s="11">
        <v>57.0</v>
      </c>
      <c r="F871" s="8"/>
      <c r="G871" s="11">
        <v>488.0</v>
      </c>
      <c r="H871" s="11">
        <v>0.08</v>
      </c>
      <c r="I871" s="11">
        <v>1.487</v>
      </c>
      <c r="J871" s="9" t="s">
        <v>72</v>
      </c>
      <c r="K871" s="14" t="str">
        <f>IFERROR(__xludf.DUMMYFUNCTION("ARRAYFORMULA(VLOOKUP(A871,IMPORTRANGE(""https://docs.google.com/spreadsheets/d/1BuTWp7qHGjWhqrnf-OmePP568O4A5Am9ttzvVdP67zw/edit#gid=1603210130"", ""TOURISM!$A$2:$F$2692""), {2,3,4,5,6},0))"),"Africa")</f>
        <v>Africa</v>
      </c>
      <c r="L871" s="14"/>
      <c r="M871" s="14" t="str">
        <f>IFERROR(__xludf.DUMMYFUNCTION("""COMPUTED_VALUE"""),"Gabon-Africa")</f>
        <v>Gabon-Africa</v>
      </c>
      <c r="N871" s="14" t="str">
        <f>IFERROR(__xludf.DUMMYFUNCTION("""COMPUTED_VALUE"""),"2011")</f>
        <v>2011</v>
      </c>
      <c r="O871" s="14"/>
      <c r="P871" s="15">
        <f>IFERROR(__xludf.DUMMYFUNCTION("ARRAYFORMULA(VLOOKUP(A871,IMPORTRANGE(""https://docs.google.com/spreadsheets/d/1BuTWp7qHGjWhqrnf-OmePP568O4A5Am9ttzvVdP67zw/edit#gid=771602874"" ,""HUMAN RESOURCES!$A$2:$M$2692""), {2,3,4,5,6,7,8,9,10,11,12,13},0))"),0.032)</f>
        <v>0.032</v>
      </c>
      <c r="Q871" s="14">
        <f>IFERROR(__xludf.DUMMYFUNCTION("""COMPUTED_VALUE"""),0.042)</f>
        <v>0.042</v>
      </c>
      <c r="R871" s="14">
        <f>IFERROR(__xludf.DUMMYFUNCTION("""COMPUTED_VALUE"""),64.0)</f>
        <v>64</v>
      </c>
      <c r="S871" s="14">
        <f>IFERROR(__xludf.DUMMYFUNCTION("""COMPUTED_VALUE"""),62.0)</f>
        <v>62</v>
      </c>
      <c r="T871" s="14">
        <f>IFERROR(__xludf.DUMMYFUNCTION("""COMPUTED_VALUE"""),0.385)</f>
        <v>0.385</v>
      </c>
      <c r="U871" s="14">
        <f>IFERROR(__xludf.DUMMYFUNCTION("""COMPUTED_VALUE"""),0.562)</f>
        <v>0.562</v>
      </c>
      <c r="V871" s="14">
        <f>IFERROR(__xludf.DUMMYFUNCTION("""COMPUTED_VALUE"""),0.053)</f>
        <v>0.053</v>
      </c>
      <c r="W871" s="14">
        <f>IFERROR(__xludf.DUMMYFUNCTION("""COMPUTED_VALUE"""),1594034.0)</f>
        <v>1594034</v>
      </c>
      <c r="X871" s="14">
        <f>IFERROR(__xludf.DUMMYFUNCTION("""COMPUTED_VALUE"""),0.86)</f>
        <v>0.86</v>
      </c>
      <c r="Y871" s="14" t="str">
        <f>IFERROR(__xludf.DUMMYFUNCTION("""COMPUTED_VALUE"""),"Gabon-Africa")</f>
        <v>Gabon-Africa</v>
      </c>
      <c r="Z871" s="14" t="str">
        <f>IFERROR(__xludf.DUMMYFUNCTION("""COMPUTED_VALUE"""),"Africa")</f>
        <v>Africa</v>
      </c>
      <c r="AA871" s="14" t="str">
        <f>IFERROR(__xludf.DUMMYFUNCTION("""COMPUTED_VALUE"""),"2011")</f>
        <v>2011</v>
      </c>
      <c r="AB871" s="15" t="str">
        <f>IFERROR(__xludf.DUMMYFUNCTION("ARRAYFORMULA(VLOOKUP(A871,IMPORTRANGE(""https://docs.google.com/spreadsheets/d/1BuTWp7qHGjWhqrnf-OmePP568O4A5Am9ttzvVdP67zw/edit#gid=1931367683"" ,""ENERGY!$A$2:$F$2692""), {2,3,4,5,6},0))"),"Africa")</f>
        <v>Africa</v>
      </c>
      <c r="AC871" s="14" t="str">
        <f>IFERROR(__xludf.DUMMYFUNCTION("""COMPUTED_VALUE"""),"Gabon-Africa")</f>
        <v>Gabon-Africa</v>
      </c>
      <c r="AD871" s="14" t="str">
        <f>IFERROR(__xludf.DUMMYFUNCTION("""COMPUTED_VALUE"""),"2005")</f>
        <v>2005</v>
      </c>
      <c r="AE871" s="14">
        <f>IFERROR(__xludf.DUMMYFUNCTION("""COMPUTED_VALUE"""),1579.0)</f>
        <v>1579</v>
      </c>
      <c r="AF871" s="14">
        <f>IFERROR(__xludf.DUMMYFUNCTION("""COMPUTED_VALUE"""),1782.0)</f>
        <v>1782</v>
      </c>
    </row>
    <row r="872">
      <c r="A872" s="12">
        <v>871.0</v>
      </c>
      <c r="B872" s="12" t="s">
        <v>145</v>
      </c>
      <c r="C872" s="5" t="s">
        <v>77</v>
      </c>
      <c r="D872" s="11">
        <v>0.435</v>
      </c>
      <c r="E872" s="11">
        <v>57.0</v>
      </c>
      <c r="F872" s="11">
        <v>169.0</v>
      </c>
      <c r="G872" s="11">
        <v>488.0</v>
      </c>
      <c r="H872" s="11">
        <v>0.086</v>
      </c>
      <c r="I872" s="11">
        <v>1.795</v>
      </c>
      <c r="J872" s="9" t="s">
        <v>73</v>
      </c>
      <c r="K872" s="14" t="str">
        <f>IFERROR(__xludf.DUMMYFUNCTION("ARRAYFORMULA(VLOOKUP(A872,IMPORTRANGE(""https://docs.google.com/spreadsheets/d/1BuTWp7qHGjWhqrnf-OmePP568O4A5Am9ttzvVdP67zw/edit#gid=1603210130"", ""TOURISM!$A$2:$F$2692""), {2,3,4,5,6},0))"),"Africa")</f>
        <v>Africa</v>
      </c>
      <c r="L872" s="14"/>
      <c r="M872" s="14" t="str">
        <f>IFERROR(__xludf.DUMMYFUNCTION("""COMPUTED_VALUE"""),"Gabon-Africa")</f>
        <v>Gabon-Africa</v>
      </c>
      <c r="N872" s="14" t="str">
        <f>IFERROR(__xludf.DUMMYFUNCTION("""COMPUTED_VALUE"""),"2012")</f>
        <v>2012</v>
      </c>
      <c r="O872" s="14"/>
      <c r="P872" s="15">
        <f>IFERROR(__xludf.DUMMYFUNCTION("ARRAYFORMULA(VLOOKUP(A872,IMPORTRANGE(""https://docs.google.com/spreadsheets/d/1BuTWp7qHGjWhqrnf-OmePP568O4A5Am9ttzvVdP67zw/edit#gid=771602874"" ,""HUMAN RESOURCES!$A$2:$M$2692""), {2,3,4,5,6,7,8,9,10,11,12,13},0))"),0.032)</f>
        <v>0.032</v>
      </c>
      <c r="Q872" s="14">
        <f>IFERROR(__xludf.DUMMYFUNCTION("""COMPUTED_VALUE"""),0.04)</f>
        <v>0.04</v>
      </c>
      <c r="R872" s="14">
        <f>IFERROR(__xludf.DUMMYFUNCTION("""COMPUTED_VALUE"""),64.0)</f>
        <v>64</v>
      </c>
      <c r="S872" s="14">
        <f>IFERROR(__xludf.DUMMYFUNCTION("""COMPUTED_VALUE"""),62.0)</f>
        <v>62</v>
      </c>
      <c r="T872" s="14">
        <f>IFERROR(__xludf.DUMMYFUNCTION("""COMPUTED_VALUE"""),0.385)</f>
        <v>0.385</v>
      </c>
      <c r="U872" s="14">
        <f>IFERROR(__xludf.DUMMYFUNCTION("""COMPUTED_VALUE"""),0.563)</f>
        <v>0.563</v>
      </c>
      <c r="V872" s="14">
        <f>IFERROR(__xludf.DUMMYFUNCTION("""COMPUTED_VALUE"""),0.052)</f>
        <v>0.052</v>
      </c>
      <c r="W872" s="14">
        <f>IFERROR(__xludf.DUMMYFUNCTION("""COMPUTED_VALUE"""),1632572.0)</f>
        <v>1632572</v>
      </c>
      <c r="X872" s="14">
        <f>IFERROR(__xludf.DUMMYFUNCTION("""COMPUTED_VALUE"""),0.864)</f>
        <v>0.864</v>
      </c>
      <c r="Y872" s="14" t="str">
        <f>IFERROR(__xludf.DUMMYFUNCTION("""COMPUTED_VALUE"""),"Gabon-Africa")</f>
        <v>Gabon-Africa</v>
      </c>
      <c r="Z872" s="14" t="str">
        <f>IFERROR(__xludf.DUMMYFUNCTION("""COMPUTED_VALUE"""),"Africa")</f>
        <v>Africa</v>
      </c>
      <c r="AA872" s="14" t="str">
        <f>IFERROR(__xludf.DUMMYFUNCTION("""COMPUTED_VALUE"""),"2012")</f>
        <v>2012</v>
      </c>
      <c r="AB872" s="15" t="str">
        <f>IFERROR(__xludf.DUMMYFUNCTION("ARRAYFORMULA(VLOOKUP(A872,IMPORTRANGE(""https://docs.google.com/spreadsheets/d/1BuTWp7qHGjWhqrnf-OmePP568O4A5Am9ttzvVdP67zw/edit#gid=1931367683"" ,""ENERGY!$A$2:$F$2692""), {2,3,4,5,6},0))"),"Africa")</f>
        <v>Africa</v>
      </c>
      <c r="AC872" s="14" t="str">
        <f>IFERROR(__xludf.DUMMYFUNCTION("""COMPUTED_VALUE"""),"Gabon-Africa")</f>
        <v>Gabon-Africa</v>
      </c>
      <c r="AD872" s="14" t="str">
        <f>IFERROR(__xludf.DUMMYFUNCTION("""COMPUTED_VALUE"""),"2009")</f>
        <v>2009</v>
      </c>
      <c r="AE872" s="14">
        <f>IFERROR(__xludf.DUMMYFUNCTION("""COMPUTED_VALUE"""),1463.0)</f>
        <v>1463</v>
      </c>
      <c r="AF872" s="14">
        <f>IFERROR(__xludf.DUMMYFUNCTION("""COMPUTED_VALUE"""),1052.0)</f>
        <v>1052</v>
      </c>
    </row>
    <row r="873">
      <c r="A873" s="12">
        <v>872.0</v>
      </c>
      <c r="B873" s="12" t="s">
        <v>146</v>
      </c>
      <c r="C873" s="5" t="s">
        <v>77</v>
      </c>
      <c r="D873" s="8"/>
      <c r="E873" s="8"/>
      <c r="F873" s="8"/>
      <c r="G873" s="8"/>
      <c r="H873" s="11">
        <v>0.009</v>
      </c>
      <c r="I873" s="11">
        <v>0.005</v>
      </c>
      <c r="J873" s="9" t="s">
        <v>60</v>
      </c>
      <c r="K873" s="14" t="str">
        <f>IFERROR(__xludf.DUMMYFUNCTION("ARRAYFORMULA(VLOOKUP(A873,IMPORTRANGE(""https://docs.google.com/spreadsheets/d/1BuTWp7qHGjWhqrnf-OmePP568O4A5Am9ttzvVdP67zw/edit#gid=1603210130"", ""TOURISM!$A$2:$F$2692""), {2,3,4,5,6},0))"),"Africa")</f>
        <v>Africa</v>
      </c>
      <c r="L873" s="14"/>
      <c r="M873" s="14" t="str">
        <f>IFERROR(__xludf.DUMMYFUNCTION("""COMPUTED_VALUE"""),"Gambia, The-Africa")</f>
        <v>Gambia, The-Africa</v>
      </c>
      <c r="N873" s="14" t="str">
        <f>IFERROR(__xludf.DUMMYFUNCTION("""COMPUTED_VALUE"""),"2000")</f>
        <v>2000</v>
      </c>
      <c r="O873" s="14"/>
      <c r="P873" s="15">
        <f>IFERROR(__xludf.DUMMYFUNCTION("ARRAYFORMULA(VLOOKUP(A873,IMPORTRANGE(""https://docs.google.com/spreadsheets/d/1BuTWp7qHGjWhqrnf-OmePP568O4A5Am9ttzvVdP67zw/edit#gid=771602874"" ,""HUMAN RESOURCES!$A$2:$M$2692""), {2,3,4,5,6,7,8,9,10,11,12,13},0))"),0.045)</f>
        <v>0.045</v>
      </c>
      <c r="Q873" s="14">
        <f>IFERROR(__xludf.DUMMYFUNCTION("""COMPUTED_VALUE"""),0.063)</f>
        <v>0.063</v>
      </c>
      <c r="R873" s="14">
        <f>IFERROR(__xludf.DUMMYFUNCTION("""COMPUTED_VALUE"""),56.0)</f>
        <v>56</v>
      </c>
      <c r="S873" s="14">
        <f>IFERROR(__xludf.DUMMYFUNCTION("""COMPUTED_VALUE"""),54.0)</f>
        <v>54</v>
      </c>
      <c r="T873" s="14">
        <f>IFERROR(__xludf.DUMMYFUNCTION("""COMPUTED_VALUE"""),0.459)</f>
        <v>0.459</v>
      </c>
      <c r="U873" s="14">
        <f>IFERROR(__xludf.DUMMYFUNCTION("""COMPUTED_VALUE"""),0.514)</f>
        <v>0.514</v>
      </c>
      <c r="V873" s="14">
        <f>IFERROR(__xludf.DUMMYFUNCTION("""COMPUTED_VALUE"""),0.027)</f>
        <v>0.027</v>
      </c>
      <c r="W873" s="14">
        <f>IFERROR(__xludf.DUMMYFUNCTION("""COMPUTED_VALUE"""),1228863.0)</f>
        <v>1228863</v>
      </c>
      <c r="X873" s="14">
        <f>IFERROR(__xludf.DUMMYFUNCTION("""COMPUTED_VALUE"""),0.479)</f>
        <v>0.479</v>
      </c>
      <c r="Y873" s="14" t="str">
        <f>IFERROR(__xludf.DUMMYFUNCTION("""COMPUTED_VALUE"""),"Gambia, The-Africa")</f>
        <v>Gambia, The-Africa</v>
      </c>
      <c r="Z873" s="14" t="str">
        <f>IFERROR(__xludf.DUMMYFUNCTION("""COMPUTED_VALUE"""),"Africa")</f>
        <v>Africa</v>
      </c>
      <c r="AA873" s="14" t="str">
        <f>IFERROR(__xludf.DUMMYFUNCTION("""COMPUTED_VALUE"""),"2000")</f>
        <v>2000</v>
      </c>
      <c r="AB873" s="15" t="str">
        <f>IFERROR(__xludf.DUMMYFUNCTION("ARRAYFORMULA(VLOOKUP(A873,IMPORTRANGE(""https://docs.google.com/spreadsheets/d/1BuTWp7qHGjWhqrnf-OmePP568O4A5Am9ttzvVdP67zw/edit#gid=1931367683"" ,""ENERGY!$A$2:$F$2692""), {2,3,4,5,6},0))"),"Africa")</f>
        <v>Africa</v>
      </c>
      <c r="AC873" s="14" t="str">
        <f>IFERROR(__xludf.DUMMYFUNCTION("""COMPUTED_VALUE"""),"Gambia, The-Africa")</f>
        <v>Gambia, The-Africa</v>
      </c>
      <c r="AD873" s="14" t="str">
        <f>IFERROR(__xludf.DUMMYFUNCTION("""COMPUTED_VALUE"""),"2000")</f>
        <v>2000</v>
      </c>
      <c r="AE873" s="14"/>
      <c r="AF873" s="14"/>
    </row>
    <row r="874">
      <c r="A874" s="12">
        <v>873.0</v>
      </c>
      <c r="B874" s="12" t="s">
        <v>146</v>
      </c>
      <c r="C874" s="5" t="s">
        <v>77</v>
      </c>
      <c r="D874" s="8"/>
      <c r="E874" s="8"/>
      <c r="F874" s="8"/>
      <c r="G874" s="8"/>
      <c r="H874" s="11">
        <v>0.013</v>
      </c>
      <c r="I874" s="11">
        <v>0.043</v>
      </c>
      <c r="J874" s="9" t="s">
        <v>62</v>
      </c>
      <c r="K874" s="14" t="str">
        <f>IFERROR(__xludf.DUMMYFUNCTION("ARRAYFORMULA(VLOOKUP(A874,IMPORTRANGE(""https://docs.google.com/spreadsheets/d/1BuTWp7qHGjWhqrnf-OmePP568O4A5Am9ttzvVdP67zw/edit#gid=1603210130"", ""TOURISM!$A$2:$F$2692""), {2,3,4,5,6},0))"),"Africa")</f>
        <v>Africa</v>
      </c>
      <c r="L874" s="14"/>
      <c r="M874" s="14" t="str">
        <f>IFERROR(__xludf.DUMMYFUNCTION("""COMPUTED_VALUE"""),"Gambia, The-Africa")</f>
        <v>Gambia, The-Africa</v>
      </c>
      <c r="N874" s="14" t="str">
        <f>IFERROR(__xludf.DUMMYFUNCTION("""COMPUTED_VALUE"""),"2001")</f>
        <v>2001</v>
      </c>
      <c r="O874" s="14"/>
      <c r="P874" s="15">
        <f>IFERROR(__xludf.DUMMYFUNCTION("ARRAYFORMULA(VLOOKUP(A874,IMPORTRANGE(""https://docs.google.com/spreadsheets/d/1BuTWp7qHGjWhqrnf-OmePP568O4A5Am9ttzvVdP67zw/edit#gid=771602874"" ,""HUMAN RESOURCES!$A$2:$M$2692""), {2,3,4,5,6,7,8,9,10,11,12,13},0))"),0.045)</f>
        <v>0.045</v>
      </c>
      <c r="Q874" s="14">
        <f>IFERROR(__xludf.DUMMYFUNCTION("""COMPUTED_VALUE"""),0.062)</f>
        <v>0.062</v>
      </c>
      <c r="R874" s="14">
        <f>IFERROR(__xludf.DUMMYFUNCTION("""COMPUTED_VALUE"""),57.0)</f>
        <v>57</v>
      </c>
      <c r="S874" s="14">
        <f>IFERROR(__xludf.DUMMYFUNCTION("""COMPUTED_VALUE"""),54.0)</f>
        <v>54</v>
      </c>
      <c r="T874" s="14">
        <f>IFERROR(__xludf.DUMMYFUNCTION("""COMPUTED_VALUE"""),0.459)</f>
        <v>0.459</v>
      </c>
      <c r="U874" s="14">
        <f>IFERROR(__xludf.DUMMYFUNCTION("""COMPUTED_VALUE"""),0.515)</f>
        <v>0.515</v>
      </c>
      <c r="V874" s="14">
        <f>IFERROR(__xludf.DUMMYFUNCTION("""COMPUTED_VALUE"""),0.027)</f>
        <v>0.027</v>
      </c>
      <c r="W874" s="14">
        <f>IFERROR(__xludf.DUMMYFUNCTION("""COMPUTED_VALUE"""),1266691.0)</f>
        <v>1266691</v>
      </c>
      <c r="X874" s="14">
        <f>IFERROR(__xludf.DUMMYFUNCTION("""COMPUTED_VALUE"""),0.488)</f>
        <v>0.488</v>
      </c>
      <c r="Y874" s="14" t="str">
        <f>IFERROR(__xludf.DUMMYFUNCTION("""COMPUTED_VALUE"""),"Gambia, The-Africa")</f>
        <v>Gambia, The-Africa</v>
      </c>
      <c r="Z874" s="14" t="str">
        <f>IFERROR(__xludf.DUMMYFUNCTION("""COMPUTED_VALUE"""),"Africa")</f>
        <v>Africa</v>
      </c>
      <c r="AA874" s="14" t="str">
        <f>IFERROR(__xludf.DUMMYFUNCTION("""COMPUTED_VALUE"""),"2001")</f>
        <v>2001</v>
      </c>
      <c r="AB874" s="15" t="str">
        <f>IFERROR(__xludf.DUMMYFUNCTION("ARRAYFORMULA(VLOOKUP(A874,IMPORTRANGE(""https://docs.google.com/spreadsheets/d/1BuTWp7qHGjWhqrnf-OmePP568O4A5Am9ttzvVdP67zw/edit#gid=1931367683"" ,""ENERGY!$A$2:$F$2692""), {2,3,4,5,6},0))"),"Africa")</f>
        <v>Africa</v>
      </c>
      <c r="AC874" s="14" t="str">
        <f>IFERROR(__xludf.DUMMYFUNCTION("""COMPUTED_VALUE"""),"Gambia, The-Africa")</f>
        <v>Gambia, The-Africa</v>
      </c>
      <c r="AD874" s="14" t="str">
        <f>IFERROR(__xludf.DUMMYFUNCTION("""COMPUTED_VALUE"""),"2001")</f>
        <v>2001</v>
      </c>
      <c r="AE874" s="14"/>
      <c r="AF874" s="14"/>
    </row>
    <row r="875">
      <c r="A875" s="12">
        <v>874.0</v>
      </c>
      <c r="B875" s="12" t="s">
        <v>146</v>
      </c>
      <c r="C875" s="5" t="s">
        <v>77</v>
      </c>
      <c r="D875" s="8"/>
      <c r="E875" s="8"/>
      <c r="F875" s="8"/>
      <c r="G875" s="8"/>
      <c r="H875" s="11">
        <v>0.018</v>
      </c>
      <c r="I875" s="11">
        <v>0.077</v>
      </c>
      <c r="J875" s="9" t="s">
        <v>63</v>
      </c>
      <c r="K875" s="14" t="str">
        <f>IFERROR(__xludf.DUMMYFUNCTION("ARRAYFORMULA(VLOOKUP(A875,IMPORTRANGE(""https://docs.google.com/spreadsheets/d/1BuTWp7qHGjWhqrnf-OmePP568O4A5Am9ttzvVdP67zw/edit#gid=1603210130"", ""TOURISM!$A$2:$F$2692""), {2,3,4,5,6},0))"),"Africa")</f>
        <v>Africa</v>
      </c>
      <c r="L875" s="14"/>
      <c r="M875" s="14" t="str">
        <f>IFERROR(__xludf.DUMMYFUNCTION("""COMPUTED_VALUE"""),"Gambia, The-Africa")</f>
        <v>Gambia, The-Africa</v>
      </c>
      <c r="N875" s="14" t="str">
        <f>IFERROR(__xludf.DUMMYFUNCTION("""COMPUTED_VALUE"""),"2002")</f>
        <v>2002</v>
      </c>
      <c r="O875" s="14"/>
      <c r="P875" s="15">
        <f>IFERROR(__xludf.DUMMYFUNCTION("ARRAYFORMULA(VLOOKUP(A875,IMPORTRANGE(""https://docs.google.com/spreadsheets/d/1BuTWp7qHGjWhqrnf-OmePP568O4A5Am9ttzvVdP67zw/edit#gid=771602874"" ,""HUMAN RESOURCES!$A$2:$M$2692""), {2,3,4,5,6,7,8,9,10,11,12,13},0))"),0.045)</f>
        <v>0.045</v>
      </c>
      <c r="Q875" s="14">
        <f>IFERROR(__xludf.DUMMYFUNCTION("""COMPUTED_VALUE"""),0.061)</f>
        <v>0.061</v>
      </c>
      <c r="R875" s="14">
        <f>IFERROR(__xludf.DUMMYFUNCTION("""COMPUTED_VALUE"""),57.0)</f>
        <v>57</v>
      </c>
      <c r="S875" s="14">
        <f>IFERROR(__xludf.DUMMYFUNCTION("""COMPUTED_VALUE"""),55.0)</f>
        <v>55</v>
      </c>
      <c r="T875" s="14">
        <f>IFERROR(__xludf.DUMMYFUNCTION("""COMPUTED_VALUE"""),0.459)</f>
        <v>0.459</v>
      </c>
      <c r="U875" s="14">
        <f>IFERROR(__xludf.DUMMYFUNCTION("""COMPUTED_VALUE"""),0.515)</f>
        <v>0.515</v>
      </c>
      <c r="V875" s="14">
        <f>IFERROR(__xludf.DUMMYFUNCTION("""COMPUTED_VALUE"""),0.026)</f>
        <v>0.026</v>
      </c>
      <c r="W875" s="14">
        <f>IFERROR(__xludf.DUMMYFUNCTION("""COMPUTED_VALUE"""),1306667.0)</f>
        <v>1306667</v>
      </c>
      <c r="X875" s="14">
        <f>IFERROR(__xludf.DUMMYFUNCTION("""COMPUTED_VALUE"""),0.497)</f>
        <v>0.497</v>
      </c>
      <c r="Y875" s="14" t="str">
        <f>IFERROR(__xludf.DUMMYFUNCTION("""COMPUTED_VALUE"""),"Gambia, The-Africa")</f>
        <v>Gambia, The-Africa</v>
      </c>
      <c r="Z875" s="14" t="str">
        <f>IFERROR(__xludf.DUMMYFUNCTION("""COMPUTED_VALUE"""),"Africa")</f>
        <v>Africa</v>
      </c>
      <c r="AA875" s="14" t="str">
        <f>IFERROR(__xludf.DUMMYFUNCTION("""COMPUTED_VALUE"""),"2002")</f>
        <v>2002</v>
      </c>
      <c r="AB875" s="15" t="str">
        <f>IFERROR(__xludf.DUMMYFUNCTION("ARRAYFORMULA(VLOOKUP(A875,IMPORTRANGE(""https://docs.google.com/spreadsheets/d/1BuTWp7qHGjWhqrnf-OmePP568O4A5Am9ttzvVdP67zw/edit#gid=1931367683"" ,""ENERGY!$A$2:$F$2692""), {2,3,4,5,6},0))"),"Africa")</f>
        <v>Africa</v>
      </c>
      <c r="AC875" s="14" t="str">
        <f>IFERROR(__xludf.DUMMYFUNCTION("""COMPUTED_VALUE"""),"Gambia, The-Africa")</f>
        <v>Gambia, The-Africa</v>
      </c>
      <c r="AD875" s="14" t="str">
        <f>IFERROR(__xludf.DUMMYFUNCTION("""COMPUTED_VALUE"""),"2002")</f>
        <v>2002</v>
      </c>
      <c r="AE875" s="14"/>
      <c r="AF875" s="14">
        <f>IFERROR(__xludf.DUMMYFUNCTION("""COMPUTED_VALUE"""),473.0)</f>
        <v>473</v>
      </c>
    </row>
    <row r="876">
      <c r="A876" s="12">
        <v>875.0</v>
      </c>
      <c r="B876" s="12" t="s">
        <v>146</v>
      </c>
      <c r="C876" s="5" t="s">
        <v>77</v>
      </c>
      <c r="D876" s="8"/>
      <c r="E876" s="8"/>
      <c r="F876" s="8"/>
      <c r="G876" s="8"/>
      <c r="H876" s="11">
        <v>0.024</v>
      </c>
      <c r="I876" s="11">
        <v>0.111</v>
      </c>
      <c r="J876" s="9" t="s">
        <v>64</v>
      </c>
      <c r="K876" s="14" t="str">
        <f>IFERROR(__xludf.DUMMYFUNCTION("ARRAYFORMULA(VLOOKUP(A876,IMPORTRANGE(""https://docs.google.com/spreadsheets/d/1BuTWp7qHGjWhqrnf-OmePP568O4A5Am9ttzvVdP67zw/edit#gid=1603210130"", ""TOURISM!$A$2:$F$2692""), {2,3,4,5,6},0))"),"Africa")</f>
        <v>Africa</v>
      </c>
      <c r="L876" s="14">
        <f>IFERROR(__xludf.DUMMYFUNCTION("""COMPUTED_VALUE"""),5.8E7)</f>
        <v>58000000</v>
      </c>
      <c r="M876" s="14" t="str">
        <f>IFERROR(__xludf.DUMMYFUNCTION("""COMPUTED_VALUE"""),"Gambia, The-Africa")</f>
        <v>Gambia, The-Africa</v>
      </c>
      <c r="N876" s="14" t="str">
        <f>IFERROR(__xludf.DUMMYFUNCTION("""COMPUTED_VALUE"""),"2003")</f>
        <v>2003</v>
      </c>
      <c r="O876" s="14">
        <f>IFERROR(__xludf.DUMMYFUNCTION("""COMPUTED_VALUE"""),8000000.0)</f>
        <v>8000000</v>
      </c>
      <c r="P876" s="15">
        <f>IFERROR(__xludf.DUMMYFUNCTION("ARRAYFORMULA(VLOOKUP(A876,IMPORTRANGE(""https://docs.google.com/spreadsheets/d/1BuTWp7qHGjWhqrnf-OmePP568O4A5Am9ttzvVdP67zw/edit#gid=771602874"" ,""HUMAN RESOURCES!$A$2:$M$2692""), {2,3,4,5,6,7,8,9,10,11,12,13},0))"),0.045)</f>
        <v>0.045</v>
      </c>
      <c r="Q876" s="14">
        <f>IFERROR(__xludf.DUMMYFUNCTION("""COMPUTED_VALUE"""),0.059)</f>
        <v>0.059</v>
      </c>
      <c r="R876" s="14">
        <f>IFERROR(__xludf.DUMMYFUNCTION("""COMPUTED_VALUE"""),57.0)</f>
        <v>57</v>
      </c>
      <c r="S876" s="14">
        <f>IFERROR(__xludf.DUMMYFUNCTION("""COMPUTED_VALUE"""),55.0)</f>
        <v>55</v>
      </c>
      <c r="T876" s="14">
        <f>IFERROR(__xludf.DUMMYFUNCTION("""COMPUTED_VALUE"""),0.459)</f>
        <v>0.459</v>
      </c>
      <c r="U876" s="14">
        <f>IFERROR(__xludf.DUMMYFUNCTION("""COMPUTED_VALUE"""),0.515)</f>
        <v>0.515</v>
      </c>
      <c r="V876" s="14">
        <f>IFERROR(__xludf.DUMMYFUNCTION("""COMPUTED_VALUE"""),0.026)</f>
        <v>0.026</v>
      </c>
      <c r="W876" s="14">
        <f>IFERROR(__xludf.DUMMYFUNCTION("""COMPUTED_VALUE"""),1348548.0)</f>
        <v>1348548</v>
      </c>
      <c r="X876" s="14">
        <f>IFERROR(__xludf.DUMMYFUNCTION("""COMPUTED_VALUE"""),0.506)</f>
        <v>0.506</v>
      </c>
      <c r="Y876" s="14" t="str">
        <f>IFERROR(__xludf.DUMMYFUNCTION("""COMPUTED_VALUE"""),"Gambia, The-Africa")</f>
        <v>Gambia, The-Africa</v>
      </c>
      <c r="Z876" s="14" t="str">
        <f>IFERROR(__xludf.DUMMYFUNCTION("""COMPUTED_VALUE"""),"Africa")</f>
        <v>Africa</v>
      </c>
      <c r="AA876" s="14" t="str">
        <f>IFERROR(__xludf.DUMMYFUNCTION("""COMPUTED_VALUE"""),"2003")</f>
        <v>2003</v>
      </c>
      <c r="AB876" s="15" t="str">
        <f>IFERROR(__xludf.DUMMYFUNCTION("ARRAYFORMULA(VLOOKUP(A876,IMPORTRANGE(""https://docs.google.com/spreadsheets/d/1BuTWp7qHGjWhqrnf-OmePP568O4A5Am9ttzvVdP67zw/edit#gid=1931367683"" ,""ENERGY!$A$2:$F$2692""), {2,3,4,5,6},0))"),"Africa")</f>
        <v>Africa</v>
      </c>
      <c r="AC876" s="14" t="str">
        <f>IFERROR(__xludf.DUMMYFUNCTION("""COMPUTED_VALUE"""),"Gambia, The-Africa")</f>
        <v>Gambia, The-Africa</v>
      </c>
      <c r="AD876" s="14" t="str">
        <f>IFERROR(__xludf.DUMMYFUNCTION("""COMPUTED_VALUE"""),"2003")</f>
        <v>2003</v>
      </c>
      <c r="AE876" s="14"/>
      <c r="AF876" s="14">
        <f>IFERROR(__xludf.DUMMYFUNCTION("""COMPUTED_VALUE"""),436.0)</f>
        <v>436</v>
      </c>
    </row>
    <row r="877">
      <c r="A877" s="12">
        <v>876.0</v>
      </c>
      <c r="B877" s="12" t="s">
        <v>146</v>
      </c>
      <c r="C877" s="5" t="s">
        <v>77</v>
      </c>
      <c r="D877" s="8"/>
      <c r="E877" s="8"/>
      <c r="F877" s="8"/>
      <c r="G877" s="8"/>
      <c r="H877" s="11">
        <v>0.033</v>
      </c>
      <c r="I877" s="11">
        <v>0.126</v>
      </c>
      <c r="J877" s="9" t="s">
        <v>65</v>
      </c>
      <c r="K877" s="14" t="str">
        <f>IFERROR(__xludf.DUMMYFUNCTION("ARRAYFORMULA(VLOOKUP(A877,IMPORTRANGE(""https://docs.google.com/spreadsheets/d/1BuTWp7qHGjWhqrnf-OmePP568O4A5Am9ttzvVdP67zw/edit#gid=1603210130"", ""TOURISM!$A$2:$F$2692""), {2,3,4,5,6},0))"),"Africa")</f>
        <v>Africa</v>
      </c>
      <c r="L877" s="14">
        <f>IFERROR(__xludf.DUMMYFUNCTION("""COMPUTED_VALUE"""),5.1E7)</f>
        <v>51000000</v>
      </c>
      <c r="M877" s="14" t="str">
        <f>IFERROR(__xludf.DUMMYFUNCTION("""COMPUTED_VALUE"""),"Gambia, The-Africa")</f>
        <v>Gambia, The-Africa</v>
      </c>
      <c r="N877" s="14" t="str">
        <f>IFERROR(__xludf.DUMMYFUNCTION("""COMPUTED_VALUE"""),"2004")</f>
        <v>2004</v>
      </c>
      <c r="O877" s="14">
        <f>IFERROR(__xludf.DUMMYFUNCTION("""COMPUTED_VALUE"""),6000000.0)</f>
        <v>6000000</v>
      </c>
      <c r="P877" s="15">
        <f>IFERROR(__xludf.DUMMYFUNCTION("ARRAYFORMULA(VLOOKUP(A877,IMPORTRANGE(""https://docs.google.com/spreadsheets/d/1BuTWp7qHGjWhqrnf-OmePP568O4A5Am9ttzvVdP67zw/edit#gid=771602874"" ,""HUMAN RESOURCES!$A$2:$M$2692""), {2,3,4,5,6,7,8,9,10,11,12,13},0))"),0.044)</f>
        <v>0.044</v>
      </c>
      <c r="Q877" s="14">
        <f>IFERROR(__xludf.DUMMYFUNCTION("""COMPUTED_VALUE"""),0.058)</f>
        <v>0.058</v>
      </c>
      <c r="R877" s="14">
        <f>IFERROR(__xludf.DUMMYFUNCTION("""COMPUTED_VALUE"""),58.0)</f>
        <v>58</v>
      </c>
      <c r="S877" s="14">
        <f>IFERROR(__xludf.DUMMYFUNCTION("""COMPUTED_VALUE"""),55.0)</f>
        <v>55</v>
      </c>
      <c r="T877" s="14">
        <f>IFERROR(__xludf.DUMMYFUNCTION("""COMPUTED_VALUE"""),0.46)</f>
        <v>0.46</v>
      </c>
      <c r="U877" s="14">
        <f>IFERROR(__xludf.DUMMYFUNCTION("""COMPUTED_VALUE"""),0.515)</f>
        <v>0.515</v>
      </c>
      <c r="V877" s="14">
        <f>IFERROR(__xludf.DUMMYFUNCTION("""COMPUTED_VALUE"""),0.026)</f>
        <v>0.026</v>
      </c>
      <c r="W877" s="14">
        <f>IFERROR(__xludf.DUMMYFUNCTION("""COMPUTED_VALUE"""),1391934.0)</f>
        <v>1391934</v>
      </c>
      <c r="X877" s="14">
        <f>IFERROR(__xludf.DUMMYFUNCTION("""COMPUTED_VALUE"""),0.515)</f>
        <v>0.515</v>
      </c>
      <c r="Y877" s="14" t="str">
        <f>IFERROR(__xludf.DUMMYFUNCTION("""COMPUTED_VALUE"""),"Gambia, The-Africa")</f>
        <v>Gambia, The-Africa</v>
      </c>
      <c r="Z877" s="14" t="str">
        <f>IFERROR(__xludf.DUMMYFUNCTION("""COMPUTED_VALUE"""),"Africa")</f>
        <v>Africa</v>
      </c>
      <c r="AA877" s="14" t="str">
        <f>IFERROR(__xludf.DUMMYFUNCTION("""COMPUTED_VALUE"""),"2004")</f>
        <v>2004</v>
      </c>
      <c r="AB877" s="15" t="str">
        <f>IFERROR(__xludf.DUMMYFUNCTION("ARRAYFORMULA(VLOOKUP(A877,IMPORTRANGE(""https://docs.google.com/spreadsheets/d/1BuTWp7qHGjWhqrnf-OmePP568O4A5Am9ttzvVdP67zw/edit#gid=1931367683"" ,""ENERGY!$A$2:$F$2692""), {2,3,4,5,6},0))"),"Africa")</f>
        <v>Africa</v>
      </c>
      <c r="AC877" s="14" t="str">
        <f>IFERROR(__xludf.DUMMYFUNCTION("""COMPUTED_VALUE"""),"Gambia, The-Africa")</f>
        <v>Gambia, The-Africa</v>
      </c>
      <c r="AD877" s="14" t="str">
        <f>IFERROR(__xludf.DUMMYFUNCTION("""COMPUTED_VALUE"""),"2004")</f>
        <v>2004</v>
      </c>
      <c r="AE877" s="14"/>
      <c r="AF877" s="14">
        <f>IFERROR(__xludf.DUMMYFUNCTION("""COMPUTED_VALUE"""),411.0)</f>
        <v>411</v>
      </c>
    </row>
    <row r="878">
      <c r="A878" s="12">
        <v>877.0</v>
      </c>
      <c r="B878" s="12" t="s">
        <v>146</v>
      </c>
      <c r="C878" s="5" t="s">
        <v>77</v>
      </c>
      <c r="D878" s="11">
        <v>2.86</v>
      </c>
      <c r="E878" s="11">
        <v>27.0</v>
      </c>
      <c r="F878" s="8"/>
      <c r="G878" s="11">
        <v>376.0</v>
      </c>
      <c r="H878" s="11">
        <v>0.038</v>
      </c>
      <c r="I878" s="11">
        <v>0.172</v>
      </c>
      <c r="J878" s="9" t="s">
        <v>66</v>
      </c>
      <c r="K878" s="14" t="str">
        <f>IFERROR(__xludf.DUMMYFUNCTION("ARRAYFORMULA(VLOOKUP(A878,IMPORTRANGE(""https://docs.google.com/spreadsheets/d/1BuTWp7qHGjWhqrnf-OmePP568O4A5Am9ttzvVdP67zw/edit#gid=1603210130"", ""TOURISM!$A$2:$F$2692""), {2,3,4,5,6},0))"),"Africa")</f>
        <v>Africa</v>
      </c>
      <c r="L878" s="14">
        <f>IFERROR(__xludf.DUMMYFUNCTION("""COMPUTED_VALUE"""),5.9E7)</f>
        <v>59000000</v>
      </c>
      <c r="M878" s="14" t="str">
        <f>IFERROR(__xludf.DUMMYFUNCTION("""COMPUTED_VALUE"""),"Gambia, The-Africa")</f>
        <v>Gambia, The-Africa</v>
      </c>
      <c r="N878" s="14" t="str">
        <f>IFERROR(__xludf.DUMMYFUNCTION("""COMPUTED_VALUE"""),"2005")</f>
        <v>2005</v>
      </c>
      <c r="O878" s="14">
        <f>IFERROR(__xludf.DUMMYFUNCTION("""COMPUTED_VALUE"""),7000000.0)</f>
        <v>7000000</v>
      </c>
      <c r="P878" s="15">
        <f>IFERROR(__xludf.DUMMYFUNCTION("ARRAYFORMULA(VLOOKUP(A878,IMPORTRANGE(""https://docs.google.com/spreadsheets/d/1BuTWp7qHGjWhqrnf-OmePP568O4A5Am9ttzvVdP67zw/edit#gid=771602874"" ,""HUMAN RESOURCES!$A$2:$M$2692""), {2,3,4,5,6,7,8,9,10,11,12,13},0))"),0.044)</f>
        <v>0.044</v>
      </c>
      <c r="Q878" s="14">
        <f>IFERROR(__xludf.DUMMYFUNCTION("""COMPUTED_VALUE"""),0.057)</f>
        <v>0.057</v>
      </c>
      <c r="R878" s="14">
        <f>IFERROR(__xludf.DUMMYFUNCTION("""COMPUTED_VALUE"""),58.0)</f>
        <v>58</v>
      </c>
      <c r="S878" s="14">
        <f>IFERROR(__xludf.DUMMYFUNCTION("""COMPUTED_VALUE"""),56.0)</f>
        <v>56</v>
      </c>
      <c r="T878" s="14">
        <f>IFERROR(__xludf.DUMMYFUNCTION("""COMPUTED_VALUE"""),0.46)</f>
        <v>0.46</v>
      </c>
      <c r="U878" s="14">
        <f>IFERROR(__xludf.DUMMYFUNCTION("""COMPUTED_VALUE"""),0.515)</f>
        <v>0.515</v>
      </c>
      <c r="V878" s="14">
        <f>IFERROR(__xludf.DUMMYFUNCTION("""COMPUTED_VALUE"""),0.025)</f>
        <v>0.025</v>
      </c>
      <c r="W878" s="14">
        <f>IFERROR(__xludf.DUMMYFUNCTION("""COMPUTED_VALUE"""),1436549.0)</f>
        <v>1436549</v>
      </c>
      <c r="X878" s="14">
        <f>IFERROR(__xludf.DUMMYFUNCTION("""COMPUTED_VALUE"""),0.523)</f>
        <v>0.523</v>
      </c>
      <c r="Y878" s="14" t="str">
        <f>IFERROR(__xludf.DUMMYFUNCTION("""COMPUTED_VALUE"""),"Gambia, The-Africa")</f>
        <v>Gambia, The-Africa</v>
      </c>
      <c r="Z878" s="14" t="str">
        <f>IFERROR(__xludf.DUMMYFUNCTION("""COMPUTED_VALUE"""),"Africa")</f>
        <v>Africa</v>
      </c>
      <c r="AA878" s="14" t="str">
        <f>IFERROR(__xludf.DUMMYFUNCTION("""COMPUTED_VALUE"""),"2005")</f>
        <v>2005</v>
      </c>
      <c r="AB878" s="15" t="str">
        <f>IFERROR(__xludf.DUMMYFUNCTION("ARRAYFORMULA(VLOOKUP(A878,IMPORTRANGE(""https://docs.google.com/spreadsheets/d/1BuTWp7qHGjWhqrnf-OmePP568O4A5Am9ttzvVdP67zw/edit#gid=1931367683"" ,""ENERGY!$A$2:$F$2692""), {2,3,4,5,6},0))"),"Africa")</f>
        <v>Africa</v>
      </c>
      <c r="AC878" s="14" t="str">
        <f>IFERROR(__xludf.DUMMYFUNCTION("""COMPUTED_VALUE"""),"Gambia, The-Africa")</f>
        <v>Gambia, The-Africa</v>
      </c>
      <c r="AD878" s="14" t="str">
        <f>IFERROR(__xludf.DUMMYFUNCTION("""COMPUTED_VALUE"""),"2006")</f>
        <v>2006</v>
      </c>
      <c r="AE878" s="14">
        <f>IFERROR(__xludf.DUMMYFUNCTION("""COMPUTED_VALUE"""),133.0)</f>
        <v>133</v>
      </c>
      <c r="AF878" s="14">
        <f>IFERROR(__xludf.DUMMYFUNCTION("""COMPUTED_VALUE"""),396.0)</f>
        <v>396</v>
      </c>
    </row>
    <row r="879">
      <c r="A879" s="12">
        <v>878.0</v>
      </c>
      <c r="B879" s="12" t="s">
        <v>146</v>
      </c>
      <c r="C879" s="5" t="s">
        <v>77</v>
      </c>
      <c r="D879" s="11">
        <v>2.921</v>
      </c>
      <c r="E879" s="11">
        <v>27.0</v>
      </c>
      <c r="F879" s="8"/>
      <c r="G879" s="11">
        <v>376.0</v>
      </c>
      <c r="H879" s="11">
        <v>0.052</v>
      </c>
      <c r="I879" s="11">
        <v>0.273</v>
      </c>
      <c r="J879" s="9" t="s">
        <v>67</v>
      </c>
      <c r="K879" s="14" t="str">
        <f>IFERROR(__xludf.DUMMYFUNCTION("ARRAYFORMULA(VLOOKUP(A879,IMPORTRANGE(""https://docs.google.com/spreadsheets/d/1BuTWp7qHGjWhqrnf-OmePP568O4A5Am9ttzvVdP67zw/edit#gid=1603210130"", ""TOURISM!$A$2:$F$2692""), {2,3,4,5,6},0))"),"Africa")</f>
        <v>Africa</v>
      </c>
      <c r="L879" s="14">
        <f>IFERROR(__xludf.DUMMYFUNCTION("""COMPUTED_VALUE"""),6.9E7)</f>
        <v>69000000</v>
      </c>
      <c r="M879" s="14" t="str">
        <f>IFERROR(__xludf.DUMMYFUNCTION("""COMPUTED_VALUE"""),"Gambia, The-Africa")</f>
        <v>Gambia, The-Africa</v>
      </c>
      <c r="N879" s="14" t="str">
        <f>IFERROR(__xludf.DUMMYFUNCTION("""COMPUTED_VALUE"""),"2006")</f>
        <v>2006</v>
      </c>
      <c r="O879" s="14">
        <f>IFERROR(__xludf.DUMMYFUNCTION("""COMPUTED_VALUE"""),8000000.0)</f>
        <v>8000000</v>
      </c>
      <c r="P879" s="15">
        <f>IFERROR(__xludf.DUMMYFUNCTION("ARRAYFORMULA(VLOOKUP(A879,IMPORTRANGE(""https://docs.google.com/spreadsheets/d/1BuTWp7qHGjWhqrnf-OmePP568O4A5Am9ttzvVdP67zw/edit#gid=771602874"" ,""HUMAN RESOURCES!$A$2:$M$2692""), {2,3,4,5,6,7,8,9,10,11,12,13},0))"),0.044)</f>
        <v>0.044</v>
      </c>
      <c r="Q879" s="14">
        <f>IFERROR(__xludf.DUMMYFUNCTION("""COMPUTED_VALUE"""),0.056)</f>
        <v>0.056</v>
      </c>
      <c r="R879" s="14">
        <f>IFERROR(__xludf.DUMMYFUNCTION("""COMPUTED_VALUE"""),58.0)</f>
        <v>58</v>
      </c>
      <c r="S879" s="14">
        <f>IFERROR(__xludf.DUMMYFUNCTION("""COMPUTED_VALUE"""),56.0)</f>
        <v>56</v>
      </c>
      <c r="T879" s="14">
        <f>IFERROR(__xludf.DUMMYFUNCTION("""COMPUTED_VALUE"""),0.46)</f>
        <v>0.46</v>
      </c>
      <c r="U879" s="14">
        <f>IFERROR(__xludf.DUMMYFUNCTION("""COMPUTED_VALUE"""),0.515)</f>
        <v>0.515</v>
      </c>
      <c r="V879" s="14">
        <f>IFERROR(__xludf.DUMMYFUNCTION("""COMPUTED_VALUE"""),0.025)</f>
        <v>0.025</v>
      </c>
      <c r="W879" s="14">
        <f>IFERROR(__xludf.DUMMYFUNCTION("""COMPUTED_VALUE"""),1482324.0)</f>
        <v>1482324</v>
      </c>
      <c r="X879" s="14">
        <f>IFERROR(__xludf.DUMMYFUNCTION("""COMPUTED_VALUE"""),0.532)</f>
        <v>0.532</v>
      </c>
      <c r="Y879" s="14" t="str">
        <f>IFERROR(__xludf.DUMMYFUNCTION("""COMPUTED_VALUE"""),"Gambia, The-Africa")</f>
        <v>Gambia, The-Africa</v>
      </c>
      <c r="Z879" s="14" t="str">
        <f>IFERROR(__xludf.DUMMYFUNCTION("""COMPUTED_VALUE"""),"Africa")</f>
        <v>Africa</v>
      </c>
      <c r="AA879" s="14" t="str">
        <f>IFERROR(__xludf.DUMMYFUNCTION("""COMPUTED_VALUE"""),"2006")</f>
        <v>2006</v>
      </c>
      <c r="AB879" s="15" t="str">
        <f>IFERROR(__xludf.DUMMYFUNCTION("ARRAYFORMULA(VLOOKUP(A879,IMPORTRANGE(""https://docs.google.com/spreadsheets/d/1BuTWp7qHGjWhqrnf-OmePP568O4A5Am9ttzvVdP67zw/edit#gid=1931367683"" ,""ENERGY!$A$2:$F$2692""), {2,3,4,5,6},0))"),"Africa")</f>
        <v>Africa</v>
      </c>
      <c r="AC879" s="14" t="str">
        <f>IFERROR(__xludf.DUMMYFUNCTION("""COMPUTED_VALUE"""),"Gambia, The-Africa")</f>
        <v>Gambia, The-Africa</v>
      </c>
      <c r="AD879" s="14" t="str">
        <f>IFERROR(__xludf.DUMMYFUNCTION("""COMPUTED_VALUE"""),"2010")</f>
        <v>2010</v>
      </c>
      <c r="AE879" s="14">
        <f>IFERROR(__xludf.DUMMYFUNCTION("""COMPUTED_VALUE"""),114.0)</f>
        <v>114</v>
      </c>
      <c r="AF879" s="14">
        <f>IFERROR(__xludf.DUMMYFUNCTION("""COMPUTED_VALUE"""),337.0)</f>
        <v>337</v>
      </c>
    </row>
    <row r="880">
      <c r="A880" s="12">
        <v>879.0</v>
      </c>
      <c r="B880" s="12" t="s">
        <v>146</v>
      </c>
      <c r="C880" s="5" t="s">
        <v>77</v>
      </c>
      <c r="D880" s="11">
        <v>2.921</v>
      </c>
      <c r="E880" s="11">
        <v>32.0</v>
      </c>
      <c r="F880" s="8"/>
      <c r="G880" s="11">
        <v>376.0</v>
      </c>
      <c r="H880" s="11">
        <v>0.062</v>
      </c>
      <c r="I880" s="11">
        <v>0.523</v>
      </c>
      <c r="J880" s="9" t="s">
        <v>68</v>
      </c>
      <c r="K880" s="14" t="str">
        <f>IFERROR(__xludf.DUMMYFUNCTION("ARRAYFORMULA(VLOOKUP(A880,IMPORTRANGE(""https://docs.google.com/spreadsheets/d/1BuTWp7qHGjWhqrnf-OmePP568O4A5Am9ttzvVdP67zw/edit#gid=1603210130"", ""TOURISM!$A$2:$F$2692""), {2,3,4,5,6},0))"),"Africa")</f>
        <v>Africa</v>
      </c>
      <c r="L880" s="14">
        <f>IFERROR(__xludf.DUMMYFUNCTION("""COMPUTED_VALUE"""),8.7E7)</f>
        <v>87000000</v>
      </c>
      <c r="M880" s="14" t="str">
        <f>IFERROR(__xludf.DUMMYFUNCTION("""COMPUTED_VALUE"""),"Gambia, The-Africa")</f>
        <v>Gambia, The-Africa</v>
      </c>
      <c r="N880" s="14" t="str">
        <f>IFERROR(__xludf.DUMMYFUNCTION("""COMPUTED_VALUE"""),"2007")</f>
        <v>2007</v>
      </c>
      <c r="O880" s="14">
        <f>IFERROR(__xludf.DUMMYFUNCTION("""COMPUTED_VALUE"""),8000000.0)</f>
        <v>8000000</v>
      </c>
      <c r="P880" s="15">
        <f>IFERROR(__xludf.DUMMYFUNCTION("ARRAYFORMULA(VLOOKUP(A880,IMPORTRANGE(""https://docs.google.com/spreadsheets/d/1BuTWp7qHGjWhqrnf-OmePP568O4A5Am9ttzvVdP67zw/edit#gid=771602874"" ,""HUMAN RESOURCES!$A$2:$M$2692""), {2,3,4,5,6,7,8,9,10,11,12,13},0))"),0.044)</f>
        <v>0.044</v>
      </c>
      <c r="Q880" s="14">
        <f>IFERROR(__xludf.DUMMYFUNCTION("""COMPUTED_VALUE"""),0.055)</f>
        <v>0.055</v>
      </c>
      <c r="R880" s="14">
        <f>IFERROR(__xludf.DUMMYFUNCTION("""COMPUTED_VALUE"""),59.0)</f>
        <v>59</v>
      </c>
      <c r="S880" s="14">
        <f>IFERROR(__xludf.DUMMYFUNCTION("""COMPUTED_VALUE"""),56.0)</f>
        <v>56</v>
      </c>
      <c r="T880" s="14">
        <f>IFERROR(__xludf.DUMMYFUNCTION("""COMPUTED_VALUE"""),0.46)</f>
        <v>0.46</v>
      </c>
      <c r="U880" s="14">
        <f>IFERROR(__xludf.DUMMYFUNCTION("""COMPUTED_VALUE"""),0.514)</f>
        <v>0.514</v>
      </c>
      <c r="V880" s="14">
        <f>IFERROR(__xludf.DUMMYFUNCTION("""COMPUTED_VALUE"""),0.025)</f>
        <v>0.025</v>
      </c>
      <c r="W880" s="14">
        <f>IFERROR(__xludf.DUMMYFUNCTION("""COMPUTED_VALUE"""),1529406.0)</f>
        <v>1529406</v>
      </c>
      <c r="X880" s="14">
        <f>IFERROR(__xludf.DUMMYFUNCTION("""COMPUTED_VALUE"""),0.54)</f>
        <v>0.54</v>
      </c>
      <c r="Y880" s="14" t="str">
        <f>IFERROR(__xludf.DUMMYFUNCTION("""COMPUTED_VALUE"""),"Gambia, The-Africa")</f>
        <v>Gambia, The-Africa</v>
      </c>
      <c r="Z880" s="14" t="str">
        <f>IFERROR(__xludf.DUMMYFUNCTION("""COMPUTED_VALUE"""),"Africa")</f>
        <v>Africa</v>
      </c>
      <c r="AA880" s="14" t="str">
        <f>IFERROR(__xludf.DUMMYFUNCTION("""COMPUTED_VALUE"""),"2007")</f>
        <v>2007</v>
      </c>
      <c r="AB880" s="15" t="str">
        <f>IFERROR(__xludf.DUMMYFUNCTION("ARRAYFORMULA(VLOOKUP(A880,IMPORTRANGE(""https://docs.google.com/spreadsheets/d/1BuTWp7qHGjWhqrnf-OmePP568O4A5Am9ttzvVdP67zw/edit#gid=1931367683"" ,""ENERGY!$A$2:$F$2692""), {2,3,4,5,6},0))"),"Africa")</f>
        <v>Africa</v>
      </c>
      <c r="AC880" s="14" t="str">
        <f>IFERROR(__xludf.DUMMYFUNCTION("""COMPUTED_VALUE"""),"Gambia, The-Africa")</f>
        <v>Gambia, The-Africa</v>
      </c>
      <c r="AD880" s="14" t="str">
        <f>IFERROR(__xludf.DUMMYFUNCTION("""COMPUTED_VALUE"""),"2007")</f>
        <v>2007</v>
      </c>
      <c r="AE880" s="14">
        <f>IFERROR(__xludf.DUMMYFUNCTION("""COMPUTED_VALUE"""),108.0)</f>
        <v>108</v>
      </c>
      <c r="AF880" s="14">
        <f>IFERROR(__xludf.DUMMYFUNCTION("""COMPUTED_VALUE"""),323.0)</f>
        <v>323</v>
      </c>
    </row>
    <row r="881">
      <c r="A881" s="12">
        <v>880.0</v>
      </c>
      <c r="B881" s="12" t="s">
        <v>146</v>
      </c>
      <c r="C881" s="5" t="s">
        <v>77</v>
      </c>
      <c r="D881" s="11">
        <v>2.921</v>
      </c>
      <c r="E881" s="11">
        <v>27.0</v>
      </c>
      <c r="F881" s="8"/>
      <c r="G881" s="11">
        <v>376.0</v>
      </c>
      <c r="H881" s="11">
        <v>0.069</v>
      </c>
      <c r="I881" s="11">
        <v>0.739</v>
      </c>
      <c r="J881" s="9" t="s">
        <v>69</v>
      </c>
      <c r="K881" s="14" t="str">
        <f>IFERROR(__xludf.DUMMYFUNCTION("ARRAYFORMULA(VLOOKUP(A881,IMPORTRANGE(""https://docs.google.com/spreadsheets/d/1BuTWp7qHGjWhqrnf-OmePP568O4A5Am9ttzvVdP67zw/edit#gid=1603210130"", ""TOURISM!$A$2:$F$2692""), {2,3,4,5,6},0))"),"Africa")</f>
        <v>Africa</v>
      </c>
      <c r="L881" s="14">
        <f>IFERROR(__xludf.DUMMYFUNCTION("""COMPUTED_VALUE"""),8.0E7)</f>
        <v>80000000</v>
      </c>
      <c r="M881" s="14" t="str">
        <f>IFERROR(__xludf.DUMMYFUNCTION("""COMPUTED_VALUE"""),"Gambia, The-Africa")</f>
        <v>Gambia, The-Africa</v>
      </c>
      <c r="N881" s="14" t="str">
        <f>IFERROR(__xludf.DUMMYFUNCTION("""COMPUTED_VALUE"""),"2008")</f>
        <v>2008</v>
      </c>
      <c r="O881" s="14">
        <f>IFERROR(__xludf.DUMMYFUNCTION("""COMPUTED_VALUE"""),8000000.0)</f>
        <v>8000000</v>
      </c>
      <c r="P881" s="15">
        <f>IFERROR(__xludf.DUMMYFUNCTION("ARRAYFORMULA(VLOOKUP(A881,IMPORTRANGE(""https://docs.google.com/spreadsheets/d/1BuTWp7qHGjWhqrnf-OmePP568O4A5Am9ttzvVdP67zw/edit#gid=771602874"" ,""HUMAN RESOURCES!$A$2:$M$2692""), {2,3,4,5,6,7,8,9,10,11,12,13},0))"),0.044)</f>
        <v>0.044</v>
      </c>
      <c r="Q881" s="14">
        <f>IFERROR(__xludf.DUMMYFUNCTION("""COMPUTED_VALUE"""),0.054)</f>
        <v>0.054</v>
      </c>
      <c r="R881" s="14">
        <f>IFERROR(__xludf.DUMMYFUNCTION("""COMPUTED_VALUE"""),59.0)</f>
        <v>59</v>
      </c>
      <c r="S881" s="14">
        <f>IFERROR(__xludf.DUMMYFUNCTION("""COMPUTED_VALUE"""),56.0)</f>
        <v>56</v>
      </c>
      <c r="T881" s="14">
        <f>IFERROR(__xludf.DUMMYFUNCTION("""COMPUTED_VALUE"""),0.46)</f>
        <v>0.46</v>
      </c>
      <c r="U881" s="14">
        <f>IFERROR(__xludf.DUMMYFUNCTION("""COMPUTED_VALUE"""),0.514)</f>
        <v>0.514</v>
      </c>
      <c r="V881" s="14">
        <f>IFERROR(__xludf.DUMMYFUNCTION("""COMPUTED_VALUE"""),0.025)</f>
        <v>0.025</v>
      </c>
      <c r="W881" s="14">
        <f>IFERROR(__xludf.DUMMYFUNCTION("""COMPUTED_VALUE"""),1577984.0)</f>
        <v>1577984</v>
      </c>
      <c r="X881" s="14">
        <f>IFERROR(__xludf.DUMMYFUNCTION("""COMPUTED_VALUE"""),0.548)</f>
        <v>0.548</v>
      </c>
      <c r="Y881" s="14" t="str">
        <f>IFERROR(__xludf.DUMMYFUNCTION("""COMPUTED_VALUE"""),"Gambia, The-Africa")</f>
        <v>Gambia, The-Africa</v>
      </c>
      <c r="Z881" s="14" t="str">
        <f>IFERROR(__xludf.DUMMYFUNCTION("""COMPUTED_VALUE"""),"Africa")</f>
        <v>Africa</v>
      </c>
      <c r="AA881" s="14" t="str">
        <f>IFERROR(__xludf.DUMMYFUNCTION("""COMPUTED_VALUE"""),"2008")</f>
        <v>2008</v>
      </c>
      <c r="AB881" s="15" t="str">
        <f>IFERROR(__xludf.DUMMYFUNCTION("ARRAYFORMULA(VLOOKUP(A881,IMPORTRANGE(""https://docs.google.com/spreadsheets/d/1BuTWp7qHGjWhqrnf-OmePP568O4A5Am9ttzvVdP67zw/edit#gid=1931367683"" ,""ENERGY!$A$2:$F$2692""), {2,3,4,5,6},0))"),"Africa")</f>
        <v>Africa</v>
      </c>
      <c r="AC881" s="14" t="str">
        <f>IFERROR(__xludf.DUMMYFUNCTION("""COMPUTED_VALUE"""),"Gambia, The-Africa")</f>
        <v>Gambia, The-Africa</v>
      </c>
      <c r="AD881" s="14" t="str">
        <f>IFERROR(__xludf.DUMMYFUNCTION("""COMPUTED_VALUE"""),"2005")</f>
        <v>2005</v>
      </c>
      <c r="AE881" s="14">
        <f>IFERROR(__xludf.DUMMYFUNCTION("""COMPUTED_VALUE"""),108.0)</f>
        <v>108</v>
      </c>
      <c r="AF881" s="14">
        <f>IFERROR(__xludf.DUMMYFUNCTION("""COMPUTED_VALUE"""),323.0)</f>
        <v>323</v>
      </c>
    </row>
    <row r="882">
      <c r="A882" s="12">
        <v>881.0</v>
      </c>
      <c r="B882" s="12" t="s">
        <v>146</v>
      </c>
      <c r="C882" s="5" t="s">
        <v>77</v>
      </c>
      <c r="D882" s="11">
        <v>2.921</v>
      </c>
      <c r="E882" s="11">
        <v>27.0</v>
      </c>
      <c r="F882" s="8"/>
      <c r="G882" s="11">
        <v>376.0</v>
      </c>
      <c r="H882" s="11">
        <v>0.076</v>
      </c>
      <c r="I882" s="11">
        <v>0.806</v>
      </c>
      <c r="J882" s="9" t="s">
        <v>70</v>
      </c>
      <c r="K882" s="14" t="str">
        <f>IFERROR(__xludf.DUMMYFUNCTION("ARRAYFORMULA(VLOOKUP(A882,IMPORTRANGE(""https://docs.google.com/spreadsheets/d/1BuTWp7qHGjWhqrnf-OmePP568O4A5Am9ttzvVdP67zw/edit#gid=1603210130"", ""TOURISM!$A$2:$F$2692""), {2,3,4,5,6},0))"),"Africa")</f>
        <v>Africa</v>
      </c>
      <c r="L882" s="14">
        <f>IFERROR(__xludf.DUMMYFUNCTION("""COMPUTED_VALUE"""),6.4E7)</f>
        <v>64000000</v>
      </c>
      <c r="M882" s="14" t="str">
        <f>IFERROR(__xludf.DUMMYFUNCTION("""COMPUTED_VALUE"""),"Gambia, The-Africa")</f>
        <v>Gambia, The-Africa</v>
      </c>
      <c r="N882" s="14" t="str">
        <f>IFERROR(__xludf.DUMMYFUNCTION("""COMPUTED_VALUE"""),"2009")</f>
        <v>2009</v>
      </c>
      <c r="O882" s="14">
        <f>IFERROR(__xludf.DUMMYFUNCTION("""COMPUTED_VALUE"""),9000000.0)</f>
        <v>9000000</v>
      </c>
      <c r="P882" s="15">
        <f>IFERROR(__xludf.DUMMYFUNCTION("ARRAYFORMULA(VLOOKUP(A882,IMPORTRANGE(""https://docs.google.com/spreadsheets/d/1BuTWp7qHGjWhqrnf-OmePP568O4A5Am9ttzvVdP67zw/edit#gid=771602874"" ,""HUMAN RESOURCES!$A$2:$M$2692""), {2,3,4,5,6,7,8,9,10,11,12,13},0))"),0.043)</f>
        <v>0.043</v>
      </c>
      <c r="Q882" s="14">
        <f>IFERROR(__xludf.DUMMYFUNCTION("""COMPUTED_VALUE"""),0.053)</f>
        <v>0.053</v>
      </c>
      <c r="R882" s="14">
        <f>IFERROR(__xludf.DUMMYFUNCTION("""COMPUTED_VALUE"""),59.0)</f>
        <v>59</v>
      </c>
      <c r="S882" s="14">
        <f>IFERROR(__xludf.DUMMYFUNCTION("""COMPUTED_VALUE"""),57.0)</f>
        <v>57</v>
      </c>
      <c r="T882" s="14">
        <f>IFERROR(__xludf.DUMMYFUNCTION("""COMPUTED_VALUE"""),0.46)</f>
        <v>0.46</v>
      </c>
      <c r="U882" s="14">
        <f>IFERROR(__xludf.DUMMYFUNCTION("""COMPUTED_VALUE"""),0.515)</f>
        <v>0.515</v>
      </c>
      <c r="V882" s="14">
        <f>IFERROR(__xludf.DUMMYFUNCTION("""COMPUTED_VALUE"""),0.025)</f>
        <v>0.025</v>
      </c>
      <c r="W882" s="14">
        <f>IFERROR(__xludf.DUMMYFUNCTION("""COMPUTED_VALUE"""),1628332.0)</f>
        <v>1628332</v>
      </c>
      <c r="X882" s="14">
        <f>IFERROR(__xludf.DUMMYFUNCTION("""COMPUTED_VALUE"""),0.556)</f>
        <v>0.556</v>
      </c>
      <c r="Y882" s="14" t="str">
        <f>IFERROR(__xludf.DUMMYFUNCTION("""COMPUTED_VALUE"""),"Gambia, The-Africa")</f>
        <v>Gambia, The-Africa</v>
      </c>
      <c r="Z882" s="14" t="str">
        <f>IFERROR(__xludf.DUMMYFUNCTION("""COMPUTED_VALUE"""),"Africa")</f>
        <v>Africa</v>
      </c>
      <c r="AA882" s="14" t="str">
        <f>IFERROR(__xludf.DUMMYFUNCTION("""COMPUTED_VALUE"""),"2009")</f>
        <v>2009</v>
      </c>
      <c r="AB882" s="15" t="str">
        <f>IFERROR(__xludf.DUMMYFUNCTION("ARRAYFORMULA(VLOOKUP(A882,IMPORTRANGE(""https://docs.google.com/spreadsheets/d/1BuTWp7qHGjWhqrnf-OmePP568O4A5Am9ttzvVdP67zw/edit#gid=1931367683"" ,""ENERGY!$A$2:$F$2692""), {2,3,4,5,6},0))"),"Africa")</f>
        <v>Africa</v>
      </c>
      <c r="AC882" s="14" t="str">
        <f>IFERROR(__xludf.DUMMYFUNCTION("""COMPUTED_VALUE"""),"Gambia, The-Africa")</f>
        <v>Gambia, The-Africa</v>
      </c>
      <c r="AD882" s="14" t="str">
        <f>IFERROR(__xludf.DUMMYFUNCTION("""COMPUTED_VALUE"""),"2009")</f>
        <v>2009</v>
      </c>
      <c r="AE882" s="14"/>
      <c r="AF882" s="14">
        <f>IFERROR(__xludf.DUMMYFUNCTION("""COMPUTED_VALUE"""),315.0)</f>
        <v>315</v>
      </c>
    </row>
    <row r="883">
      <c r="A883" s="12">
        <v>882.0</v>
      </c>
      <c r="B883" s="12" t="s">
        <v>146</v>
      </c>
      <c r="C883" s="5" t="s">
        <v>77</v>
      </c>
      <c r="D883" s="11">
        <v>2.921</v>
      </c>
      <c r="E883" s="11">
        <v>27.0</v>
      </c>
      <c r="F883" s="8"/>
      <c r="G883" s="11">
        <v>376.0</v>
      </c>
      <c r="H883" s="11">
        <v>0.092</v>
      </c>
      <c r="I883" s="11">
        <v>0.88</v>
      </c>
      <c r="J883" s="9" t="s">
        <v>71</v>
      </c>
      <c r="K883" s="14" t="str">
        <f>IFERROR(__xludf.DUMMYFUNCTION("ARRAYFORMULA(VLOOKUP(A883,IMPORTRANGE(""https://docs.google.com/spreadsheets/d/1BuTWp7qHGjWhqrnf-OmePP568O4A5Am9ttzvVdP67zw/edit#gid=1603210130"", ""TOURISM!$A$2:$F$2692""), {2,3,4,5,6},0))"),"Africa")</f>
        <v>Africa</v>
      </c>
      <c r="L883" s="14">
        <f>IFERROR(__xludf.DUMMYFUNCTION("""COMPUTED_VALUE"""),8.0E7)</f>
        <v>80000000</v>
      </c>
      <c r="M883" s="14" t="str">
        <f>IFERROR(__xludf.DUMMYFUNCTION("""COMPUTED_VALUE"""),"Gambia, The-Africa")</f>
        <v>Gambia, The-Africa</v>
      </c>
      <c r="N883" s="14" t="str">
        <f>IFERROR(__xludf.DUMMYFUNCTION("""COMPUTED_VALUE"""),"2010")</f>
        <v>2010</v>
      </c>
      <c r="O883" s="14">
        <f>IFERROR(__xludf.DUMMYFUNCTION("""COMPUTED_VALUE"""),1.1E7)</f>
        <v>11000000</v>
      </c>
      <c r="P883" s="15">
        <f>IFERROR(__xludf.DUMMYFUNCTION("ARRAYFORMULA(VLOOKUP(A883,IMPORTRANGE(""https://docs.google.com/spreadsheets/d/1BuTWp7qHGjWhqrnf-OmePP568O4A5Am9ttzvVdP67zw/edit#gid=771602874"" ,""HUMAN RESOURCES!$A$2:$M$2692""), {2,3,4,5,6,7,8,9,10,11,12,13},0))"),0.043)</f>
        <v>0.043</v>
      </c>
      <c r="Q883" s="14">
        <f>IFERROR(__xludf.DUMMYFUNCTION("""COMPUTED_VALUE"""),0.052)</f>
        <v>0.052</v>
      </c>
      <c r="R883" s="14">
        <f>IFERROR(__xludf.DUMMYFUNCTION("""COMPUTED_VALUE"""),59.0)</f>
        <v>59</v>
      </c>
      <c r="S883" s="14">
        <f>IFERROR(__xludf.DUMMYFUNCTION("""COMPUTED_VALUE"""),57.0)</f>
        <v>57</v>
      </c>
      <c r="T883" s="14">
        <f>IFERROR(__xludf.DUMMYFUNCTION("""COMPUTED_VALUE"""),0.46)</f>
        <v>0.46</v>
      </c>
      <c r="U883" s="14">
        <f>IFERROR(__xludf.DUMMYFUNCTION("""COMPUTED_VALUE"""),0.515)</f>
        <v>0.515</v>
      </c>
      <c r="V883" s="14">
        <f>IFERROR(__xludf.DUMMYFUNCTION("""COMPUTED_VALUE"""),0.025)</f>
        <v>0.025</v>
      </c>
      <c r="W883" s="14">
        <f>IFERROR(__xludf.DUMMYFUNCTION("""COMPUTED_VALUE"""),1680640.0)</f>
        <v>1680640</v>
      </c>
      <c r="X883" s="14">
        <f>IFERROR(__xludf.DUMMYFUNCTION("""COMPUTED_VALUE"""),0.563)</f>
        <v>0.563</v>
      </c>
      <c r="Y883" s="14" t="str">
        <f>IFERROR(__xludf.DUMMYFUNCTION("""COMPUTED_VALUE"""),"Gambia, The-Africa")</f>
        <v>Gambia, The-Africa</v>
      </c>
      <c r="Z883" s="14" t="str">
        <f>IFERROR(__xludf.DUMMYFUNCTION("""COMPUTED_VALUE"""),"Africa")</f>
        <v>Africa</v>
      </c>
      <c r="AA883" s="14" t="str">
        <f>IFERROR(__xludf.DUMMYFUNCTION("""COMPUTED_VALUE"""),"2010")</f>
        <v>2010</v>
      </c>
      <c r="AB883" s="15" t="str">
        <f>IFERROR(__xludf.DUMMYFUNCTION("ARRAYFORMULA(VLOOKUP(A883,IMPORTRANGE(""https://docs.google.com/spreadsheets/d/1BuTWp7qHGjWhqrnf-OmePP568O4A5Am9ttzvVdP67zw/edit#gid=1931367683"" ,""ENERGY!$A$2:$F$2692""), {2,3,4,5,6},0))"),"Africa")</f>
        <v>Africa</v>
      </c>
      <c r="AC883" s="14" t="str">
        <f>IFERROR(__xludf.DUMMYFUNCTION("""COMPUTED_VALUE"""),"Gambia, The-Africa")</f>
        <v>Gambia, The-Africa</v>
      </c>
      <c r="AD883" s="14" t="str">
        <f>IFERROR(__xludf.DUMMYFUNCTION("""COMPUTED_VALUE"""),"2009")</f>
        <v>2009</v>
      </c>
      <c r="AE883" s="14"/>
      <c r="AF883" s="14">
        <f>IFERROR(__xludf.DUMMYFUNCTION("""COMPUTED_VALUE"""),315.0)</f>
        <v>315</v>
      </c>
    </row>
    <row r="884">
      <c r="A884" s="12">
        <v>883.0</v>
      </c>
      <c r="B884" s="12" t="s">
        <v>146</v>
      </c>
      <c r="C884" s="5" t="s">
        <v>77</v>
      </c>
      <c r="D884" s="11">
        <v>2.832</v>
      </c>
      <c r="E884" s="11">
        <v>27.0</v>
      </c>
      <c r="F884" s="8"/>
      <c r="G884" s="11">
        <v>376.0</v>
      </c>
      <c r="H884" s="11">
        <v>0.109</v>
      </c>
      <c r="I884" s="11">
        <v>0.808</v>
      </c>
      <c r="J884" s="9" t="s">
        <v>72</v>
      </c>
      <c r="K884" s="14" t="str">
        <f>IFERROR(__xludf.DUMMYFUNCTION("ARRAYFORMULA(VLOOKUP(A884,IMPORTRANGE(""https://docs.google.com/spreadsheets/d/1BuTWp7qHGjWhqrnf-OmePP568O4A5Am9ttzvVdP67zw/edit#gid=1603210130"", ""TOURISM!$A$2:$F$2692""), {2,3,4,5,6},0))"),"Africa")</f>
        <v>Africa</v>
      </c>
      <c r="L884" s="14">
        <f>IFERROR(__xludf.DUMMYFUNCTION("""COMPUTED_VALUE"""),9.2E7)</f>
        <v>92000000</v>
      </c>
      <c r="M884" s="14" t="str">
        <f>IFERROR(__xludf.DUMMYFUNCTION("""COMPUTED_VALUE"""),"Gambia, The-Africa")</f>
        <v>Gambia, The-Africa</v>
      </c>
      <c r="N884" s="14" t="str">
        <f>IFERROR(__xludf.DUMMYFUNCTION("""COMPUTED_VALUE"""),"2011")</f>
        <v>2011</v>
      </c>
      <c r="O884" s="14">
        <f>IFERROR(__xludf.DUMMYFUNCTION("""COMPUTED_VALUE"""),1.1E7)</f>
        <v>11000000</v>
      </c>
      <c r="P884" s="15">
        <f>IFERROR(__xludf.DUMMYFUNCTION("ARRAYFORMULA(VLOOKUP(A884,IMPORTRANGE(""https://docs.google.com/spreadsheets/d/1BuTWp7qHGjWhqrnf-OmePP568O4A5Am9ttzvVdP67zw/edit#gid=771602874"" ,""HUMAN RESOURCES!$A$2:$M$2692""), {2,3,4,5,6,7,8,9,10,11,12,13},0))"),0.043)</f>
        <v>0.043</v>
      </c>
      <c r="Q884" s="14">
        <f>IFERROR(__xludf.DUMMYFUNCTION("""COMPUTED_VALUE"""),0.051)</f>
        <v>0.051</v>
      </c>
      <c r="R884" s="14">
        <f>IFERROR(__xludf.DUMMYFUNCTION("""COMPUTED_VALUE"""),60.0)</f>
        <v>60</v>
      </c>
      <c r="S884" s="14">
        <f>IFERROR(__xludf.DUMMYFUNCTION("""COMPUTED_VALUE"""),57.0)</f>
        <v>57</v>
      </c>
      <c r="T884" s="14">
        <f>IFERROR(__xludf.DUMMYFUNCTION("""COMPUTED_VALUE"""),0.459)</f>
        <v>0.459</v>
      </c>
      <c r="U884" s="14">
        <f>IFERROR(__xludf.DUMMYFUNCTION("""COMPUTED_VALUE"""),0.516)</f>
        <v>0.516</v>
      </c>
      <c r="V884" s="14">
        <f>IFERROR(__xludf.DUMMYFUNCTION("""COMPUTED_VALUE"""),0.025)</f>
        <v>0.025</v>
      </c>
      <c r="W884" s="14">
        <f>IFERROR(__xludf.DUMMYFUNCTION("""COMPUTED_VALUE"""),1734966.0)</f>
        <v>1734966</v>
      </c>
      <c r="X884" s="14">
        <f>IFERROR(__xludf.DUMMYFUNCTION("""COMPUTED_VALUE"""),0.57)</f>
        <v>0.57</v>
      </c>
      <c r="Y884" s="14" t="str">
        <f>IFERROR(__xludf.DUMMYFUNCTION("""COMPUTED_VALUE"""),"Gambia, The-Africa")</f>
        <v>Gambia, The-Africa</v>
      </c>
      <c r="Z884" s="14" t="str">
        <f>IFERROR(__xludf.DUMMYFUNCTION("""COMPUTED_VALUE"""),"Africa")</f>
        <v>Africa</v>
      </c>
      <c r="AA884" s="14" t="str">
        <f>IFERROR(__xludf.DUMMYFUNCTION("""COMPUTED_VALUE"""),"2011")</f>
        <v>2011</v>
      </c>
      <c r="AB884" s="15" t="str">
        <f>IFERROR(__xludf.DUMMYFUNCTION("ARRAYFORMULA(VLOOKUP(A884,IMPORTRANGE(""https://docs.google.com/spreadsheets/d/1BuTWp7qHGjWhqrnf-OmePP568O4A5Am9ttzvVdP67zw/edit#gid=1931367683"" ,""ENERGY!$A$2:$F$2692""), {2,3,4,5,6},0))"),"Africa")</f>
        <v>Africa</v>
      </c>
      <c r="AC884" s="14" t="str">
        <f>IFERROR(__xludf.DUMMYFUNCTION("""COMPUTED_VALUE"""),"Gambia, The-Africa")</f>
        <v>Gambia, The-Africa</v>
      </c>
      <c r="AD884" s="14" t="str">
        <f>IFERROR(__xludf.DUMMYFUNCTION("""COMPUTED_VALUE"""),"2005")</f>
        <v>2005</v>
      </c>
      <c r="AE884" s="14"/>
      <c r="AF884" s="14">
        <f>IFERROR(__xludf.DUMMYFUNCTION("""COMPUTED_VALUE"""),282.0)</f>
        <v>282</v>
      </c>
    </row>
    <row r="885">
      <c r="A885" s="12">
        <v>884.0</v>
      </c>
      <c r="B885" s="12" t="s">
        <v>146</v>
      </c>
      <c r="C885" s="5" t="s">
        <v>77</v>
      </c>
      <c r="D885" s="11">
        <v>2.832</v>
      </c>
      <c r="E885" s="11">
        <v>27.0</v>
      </c>
      <c r="F885" s="11">
        <v>148.0</v>
      </c>
      <c r="G885" s="11">
        <v>376.0</v>
      </c>
      <c r="H885" s="11">
        <v>0.124</v>
      </c>
      <c r="I885" s="11">
        <v>0.852</v>
      </c>
      <c r="J885" s="9" t="s">
        <v>73</v>
      </c>
      <c r="K885" s="14" t="str">
        <f>IFERROR(__xludf.DUMMYFUNCTION("ARRAYFORMULA(VLOOKUP(A885,IMPORTRANGE(""https://docs.google.com/spreadsheets/d/1BuTWp7qHGjWhqrnf-OmePP568O4A5Am9ttzvVdP67zw/edit#gid=1603210130"", ""TOURISM!$A$2:$F$2692""), {2,3,4,5,6},0))"),"Africa")</f>
        <v>Africa</v>
      </c>
      <c r="L885" s="14">
        <f>IFERROR(__xludf.DUMMYFUNCTION("""COMPUTED_VALUE"""),9.9E7)</f>
        <v>99000000</v>
      </c>
      <c r="M885" s="14" t="str">
        <f>IFERROR(__xludf.DUMMYFUNCTION("""COMPUTED_VALUE"""),"Gambia, The-Africa")</f>
        <v>Gambia, The-Africa</v>
      </c>
      <c r="N885" s="14" t="str">
        <f>IFERROR(__xludf.DUMMYFUNCTION("""COMPUTED_VALUE"""),"2012")</f>
        <v>2012</v>
      </c>
      <c r="O885" s="14">
        <f>IFERROR(__xludf.DUMMYFUNCTION("""COMPUTED_VALUE"""),8000000.0)</f>
        <v>8000000</v>
      </c>
      <c r="P885" s="15">
        <f>IFERROR(__xludf.DUMMYFUNCTION("ARRAYFORMULA(VLOOKUP(A885,IMPORTRANGE(""https://docs.google.com/spreadsheets/d/1BuTWp7qHGjWhqrnf-OmePP568O4A5Am9ttzvVdP67zw/edit#gid=771602874"" ,""HUMAN RESOURCES!$A$2:$M$2692""), {2,3,4,5,6,7,8,9,10,11,12,13},0))"),0.043)</f>
        <v>0.043</v>
      </c>
      <c r="Q885" s="14">
        <f>IFERROR(__xludf.DUMMYFUNCTION("""COMPUTED_VALUE"""),0.05)</f>
        <v>0.05</v>
      </c>
      <c r="R885" s="14">
        <f>IFERROR(__xludf.DUMMYFUNCTION("""COMPUTED_VALUE"""),60.0)</f>
        <v>60</v>
      </c>
      <c r="S885" s="14">
        <f>IFERROR(__xludf.DUMMYFUNCTION("""COMPUTED_VALUE"""),57.0)</f>
        <v>57</v>
      </c>
      <c r="T885" s="14">
        <f>IFERROR(__xludf.DUMMYFUNCTION("""COMPUTED_VALUE"""),0.459)</f>
        <v>0.459</v>
      </c>
      <c r="U885" s="14">
        <f>IFERROR(__xludf.DUMMYFUNCTION("""COMPUTED_VALUE"""),0.517)</f>
        <v>0.517</v>
      </c>
      <c r="V885" s="14">
        <f>IFERROR(__xludf.DUMMYFUNCTION("""COMPUTED_VALUE"""),0.024)</f>
        <v>0.024</v>
      </c>
      <c r="W885" s="14">
        <f>IFERROR(__xludf.DUMMYFUNCTION("""COMPUTED_VALUE"""),1791225.0)</f>
        <v>1791225</v>
      </c>
      <c r="X885" s="14">
        <f>IFERROR(__xludf.DUMMYFUNCTION("""COMPUTED_VALUE"""),0.577)</f>
        <v>0.577</v>
      </c>
      <c r="Y885" s="14" t="str">
        <f>IFERROR(__xludf.DUMMYFUNCTION("""COMPUTED_VALUE"""),"Gambia, The-Africa")</f>
        <v>Gambia, The-Africa</v>
      </c>
      <c r="Z885" s="14" t="str">
        <f>IFERROR(__xludf.DUMMYFUNCTION("""COMPUTED_VALUE"""),"Africa")</f>
        <v>Africa</v>
      </c>
      <c r="AA885" s="14" t="str">
        <f>IFERROR(__xludf.DUMMYFUNCTION("""COMPUTED_VALUE"""),"2012")</f>
        <v>2012</v>
      </c>
      <c r="AB885" s="15" t="str">
        <f>IFERROR(__xludf.DUMMYFUNCTION("ARRAYFORMULA(VLOOKUP(A885,IMPORTRANGE(""https://docs.google.com/spreadsheets/d/1BuTWp7qHGjWhqrnf-OmePP568O4A5Am9ttzvVdP67zw/edit#gid=1931367683"" ,""ENERGY!$A$2:$F$2692""), {2,3,4,5,6},0))"),"Africa")</f>
        <v>Africa</v>
      </c>
      <c r="AC885" s="14" t="str">
        <f>IFERROR(__xludf.DUMMYFUNCTION("""COMPUTED_VALUE"""),"Gambia, The-Africa")</f>
        <v>Gambia, The-Africa</v>
      </c>
      <c r="AD885" s="14" t="str">
        <f>IFERROR(__xludf.DUMMYFUNCTION("""COMPUTED_VALUE"""),"2009")</f>
        <v>2009</v>
      </c>
      <c r="AE885" s="14"/>
      <c r="AF885" s="14">
        <f>IFERROR(__xludf.DUMMYFUNCTION("""COMPUTED_VALUE"""),275.0)</f>
        <v>275</v>
      </c>
    </row>
    <row r="886">
      <c r="A886" s="12">
        <v>885.0</v>
      </c>
      <c r="B886" s="12" t="s">
        <v>147</v>
      </c>
      <c r="C886" s="5" t="s">
        <v>61</v>
      </c>
      <c r="D886" s="8"/>
      <c r="E886" s="8"/>
      <c r="F886" s="8"/>
      <c r="G886" s="8"/>
      <c r="H886" s="11">
        <v>0.005</v>
      </c>
      <c r="I886" s="11">
        <v>0.041</v>
      </c>
      <c r="J886" s="9" t="s">
        <v>60</v>
      </c>
      <c r="K886" s="14" t="str">
        <f>IFERROR(__xludf.DUMMYFUNCTION("ARRAYFORMULA(VLOOKUP(A886,IMPORTRANGE(""https://docs.google.com/spreadsheets/d/1BuTWp7qHGjWhqrnf-OmePP568O4A5Am9ttzvVdP67zw/edit#gid=1603210130"", ""TOURISM!$A$2:$F$2692""), {2,3,4,5,6},0))"),"Asia")</f>
        <v>Asia</v>
      </c>
      <c r="L886" s="14">
        <f>IFERROR(__xludf.DUMMYFUNCTION("""COMPUTED_VALUE"""),1.07E8)</f>
        <v>107000000</v>
      </c>
      <c r="M886" s="14" t="str">
        <f>IFERROR(__xludf.DUMMYFUNCTION("""COMPUTED_VALUE"""),"Georgia-Asia")</f>
        <v>Georgia-Asia</v>
      </c>
      <c r="N886" s="14" t="str">
        <f>IFERROR(__xludf.DUMMYFUNCTION("""COMPUTED_VALUE"""),"2000")</f>
        <v>2000</v>
      </c>
      <c r="O886" s="14">
        <f>IFERROR(__xludf.DUMMYFUNCTION("""COMPUTED_VALUE"""),1.29E8)</f>
        <v>129000000</v>
      </c>
      <c r="P886" s="15">
        <f>IFERROR(__xludf.DUMMYFUNCTION("ARRAYFORMULA(VLOOKUP(A886,IMPORTRANGE(""https://docs.google.com/spreadsheets/d/1BuTWp7qHGjWhqrnf-OmePP568O4A5Am9ttzvVdP67zw/edit#gid=771602874"" ,""HUMAN RESOURCES!$A$2:$M$2692""), {2,3,4,5,6,7,8,9,10,11,12,13},0))"),0.012)</f>
        <v>0.012</v>
      </c>
      <c r="Q886" s="14">
        <f>IFERROR(__xludf.DUMMYFUNCTION("""COMPUTED_VALUE"""),0.031)</f>
        <v>0.031</v>
      </c>
      <c r="R886" s="14">
        <f>IFERROR(__xludf.DUMMYFUNCTION("""COMPUTED_VALUE"""),75.0)</f>
        <v>75</v>
      </c>
      <c r="S886" s="14">
        <f>IFERROR(__xludf.DUMMYFUNCTION("""COMPUTED_VALUE"""),68.0)</f>
        <v>68</v>
      </c>
      <c r="T886" s="14">
        <f>IFERROR(__xludf.DUMMYFUNCTION("""COMPUTED_VALUE"""),0.219)</f>
        <v>0.219</v>
      </c>
      <c r="U886" s="14">
        <f>IFERROR(__xludf.DUMMYFUNCTION("""COMPUTED_VALUE"""),0.656)</f>
        <v>0.656</v>
      </c>
      <c r="V886" s="14">
        <f>IFERROR(__xludf.DUMMYFUNCTION("""COMPUTED_VALUE"""),0.125)</f>
        <v>0.125</v>
      </c>
      <c r="W886" s="14">
        <f>IFERROR(__xludf.DUMMYFUNCTION("""COMPUTED_VALUE"""),4418300.0)</f>
        <v>4418300</v>
      </c>
      <c r="X886" s="14">
        <f>IFERROR(__xludf.DUMMYFUNCTION("""COMPUTED_VALUE"""),0.526)</f>
        <v>0.526</v>
      </c>
      <c r="Y886" s="14" t="str">
        <f>IFERROR(__xludf.DUMMYFUNCTION("""COMPUTED_VALUE"""),"Georgia-Asia")</f>
        <v>Georgia-Asia</v>
      </c>
      <c r="Z886" s="14" t="str">
        <f>IFERROR(__xludf.DUMMYFUNCTION("""COMPUTED_VALUE"""),"Asia")</f>
        <v>Asia</v>
      </c>
      <c r="AA886" s="14" t="str">
        <f>IFERROR(__xludf.DUMMYFUNCTION("""COMPUTED_VALUE"""),"2000")</f>
        <v>2000</v>
      </c>
      <c r="AB886" s="15" t="str">
        <f>IFERROR(__xludf.DUMMYFUNCTION("ARRAYFORMULA(VLOOKUP(A886,IMPORTRANGE(""https://docs.google.com/spreadsheets/d/1BuTWp7qHGjWhqrnf-OmePP568O4A5Am9ttzvVdP67zw/edit#gid=1931367683"" ,""ENERGY!$A$2:$F$2692""), {2,3,4,5,6},0))"),"Asia")</f>
        <v>Asia</v>
      </c>
      <c r="AC886" s="14" t="str">
        <f>IFERROR(__xludf.DUMMYFUNCTION("""COMPUTED_VALUE"""),"Georgia-Asia")</f>
        <v>Georgia-Asia</v>
      </c>
      <c r="AD886" s="14" t="str">
        <f>IFERROR(__xludf.DUMMYFUNCTION("""COMPUTED_VALUE"""),"2000")</f>
        <v>2000</v>
      </c>
      <c r="AE886" s="14"/>
      <c r="AF886" s="14"/>
    </row>
    <row r="887">
      <c r="A887" s="12">
        <v>886.0</v>
      </c>
      <c r="B887" s="12" t="s">
        <v>147</v>
      </c>
      <c r="C887" s="5" t="s">
        <v>61</v>
      </c>
      <c r="D887" s="8"/>
      <c r="E887" s="8"/>
      <c r="F887" s="8"/>
      <c r="G887" s="8"/>
      <c r="H887" s="11">
        <v>0.01</v>
      </c>
      <c r="I887" s="11">
        <v>0.064</v>
      </c>
      <c r="J887" s="9" t="s">
        <v>62</v>
      </c>
      <c r="K887" s="14" t="str">
        <f>IFERROR(__xludf.DUMMYFUNCTION("ARRAYFORMULA(VLOOKUP(A887,IMPORTRANGE(""https://docs.google.com/spreadsheets/d/1BuTWp7qHGjWhqrnf-OmePP568O4A5Am9ttzvVdP67zw/edit#gid=1603210130"", ""TOURISM!$A$2:$F$2692""), {2,3,4,5,6},0))"),"Asia")</f>
        <v>Asia</v>
      </c>
      <c r="L887" s="14">
        <f>IFERROR(__xludf.DUMMYFUNCTION("""COMPUTED_VALUE"""),1.36E8)</f>
        <v>136000000</v>
      </c>
      <c r="M887" s="14" t="str">
        <f>IFERROR(__xludf.DUMMYFUNCTION("""COMPUTED_VALUE"""),"Georgia-Asia")</f>
        <v>Georgia-Asia</v>
      </c>
      <c r="N887" s="14" t="str">
        <f>IFERROR(__xludf.DUMMYFUNCTION("""COMPUTED_VALUE"""),"2001")</f>
        <v>2001</v>
      </c>
      <c r="O887" s="14">
        <f>IFERROR(__xludf.DUMMYFUNCTION("""COMPUTED_VALUE"""),1.36E8)</f>
        <v>136000000</v>
      </c>
      <c r="P887" s="15">
        <f>IFERROR(__xludf.DUMMYFUNCTION("ARRAYFORMULA(VLOOKUP(A887,IMPORTRANGE(""https://docs.google.com/spreadsheets/d/1BuTWp7qHGjWhqrnf-OmePP568O4A5Am9ttzvVdP67zw/edit#gid=771602874"" ,""HUMAN RESOURCES!$A$2:$M$2692""), {2,3,4,5,6,7,8,9,10,11,12,13},0))"),0.012)</f>
        <v>0.012</v>
      </c>
      <c r="Q887" s="14">
        <f>IFERROR(__xludf.DUMMYFUNCTION("""COMPUTED_VALUE"""),0.029)</f>
        <v>0.029</v>
      </c>
      <c r="R887" s="14">
        <f>IFERROR(__xludf.DUMMYFUNCTION("""COMPUTED_VALUE"""),76.0)</f>
        <v>76</v>
      </c>
      <c r="S887" s="14">
        <f>IFERROR(__xludf.DUMMYFUNCTION("""COMPUTED_VALUE"""),68.0)</f>
        <v>68</v>
      </c>
      <c r="T887" s="14">
        <f>IFERROR(__xludf.DUMMYFUNCTION("""COMPUTED_VALUE"""),0.212)</f>
        <v>0.212</v>
      </c>
      <c r="U887" s="14">
        <f>IFERROR(__xludf.DUMMYFUNCTION("""COMPUTED_VALUE"""),0.659)</f>
        <v>0.659</v>
      </c>
      <c r="V887" s="14">
        <f>IFERROR(__xludf.DUMMYFUNCTION("""COMPUTED_VALUE"""),0.129)</f>
        <v>0.129</v>
      </c>
      <c r="W887" s="14">
        <f>IFERROR(__xludf.DUMMYFUNCTION("""COMPUTED_VALUE"""),4386400.0)</f>
        <v>4386400</v>
      </c>
      <c r="X887" s="14">
        <f>IFERROR(__xludf.DUMMYFUNCTION("""COMPUTED_VALUE"""),0.524)</f>
        <v>0.524</v>
      </c>
      <c r="Y887" s="14" t="str">
        <f>IFERROR(__xludf.DUMMYFUNCTION("""COMPUTED_VALUE"""),"Georgia-Asia")</f>
        <v>Georgia-Asia</v>
      </c>
      <c r="Z887" s="14" t="str">
        <f>IFERROR(__xludf.DUMMYFUNCTION("""COMPUTED_VALUE"""),"Asia")</f>
        <v>Asia</v>
      </c>
      <c r="AA887" s="14" t="str">
        <f>IFERROR(__xludf.DUMMYFUNCTION("""COMPUTED_VALUE"""),"2001")</f>
        <v>2001</v>
      </c>
      <c r="AB887" s="15" t="str">
        <f>IFERROR(__xludf.DUMMYFUNCTION("ARRAYFORMULA(VLOOKUP(A887,IMPORTRANGE(""https://docs.google.com/spreadsheets/d/1BuTWp7qHGjWhqrnf-OmePP568O4A5Am9ttzvVdP67zw/edit#gid=1931367683"" ,""ENERGY!$A$2:$F$2692""), {2,3,4,5,6},0))"),"Asia")</f>
        <v>Asia</v>
      </c>
      <c r="AC887" s="14" t="str">
        <f>IFERROR(__xludf.DUMMYFUNCTION("""COMPUTED_VALUE"""),"Georgia-Asia")</f>
        <v>Georgia-Asia</v>
      </c>
      <c r="AD887" s="14" t="str">
        <f>IFERROR(__xludf.DUMMYFUNCTION("""COMPUTED_VALUE"""),"2001")</f>
        <v>2001</v>
      </c>
      <c r="AE887" s="14">
        <f>IFERROR(__xludf.DUMMYFUNCTION("""COMPUTED_VALUE"""),3543.0)</f>
        <v>3543</v>
      </c>
      <c r="AF887" s="14"/>
    </row>
    <row r="888">
      <c r="A888" s="12">
        <v>887.0</v>
      </c>
      <c r="B888" s="12" t="s">
        <v>147</v>
      </c>
      <c r="C888" s="5" t="s">
        <v>61</v>
      </c>
      <c r="D888" s="8"/>
      <c r="E888" s="8"/>
      <c r="F888" s="8"/>
      <c r="G888" s="8"/>
      <c r="H888" s="11">
        <v>0.016</v>
      </c>
      <c r="I888" s="11">
        <v>0.109</v>
      </c>
      <c r="J888" s="9" t="s">
        <v>63</v>
      </c>
      <c r="K888" s="14" t="str">
        <f>IFERROR(__xludf.DUMMYFUNCTION("ARRAYFORMULA(VLOOKUP(A888,IMPORTRANGE(""https://docs.google.com/spreadsheets/d/1BuTWp7qHGjWhqrnf-OmePP568O4A5Am9ttzvVdP67zw/edit#gid=1603210130"", ""TOURISM!$A$2:$F$2692""), {2,3,4,5,6},0))"),"Asia")</f>
        <v>Asia</v>
      </c>
      <c r="L888" s="14">
        <f>IFERROR(__xludf.DUMMYFUNCTION("""COMPUTED_VALUE"""),1.44E8)</f>
        <v>144000000</v>
      </c>
      <c r="M888" s="14" t="str">
        <f>IFERROR(__xludf.DUMMYFUNCTION("""COMPUTED_VALUE"""),"Georgia-Asia")</f>
        <v>Georgia-Asia</v>
      </c>
      <c r="N888" s="14" t="str">
        <f>IFERROR(__xludf.DUMMYFUNCTION("""COMPUTED_VALUE"""),"2002")</f>
        <v>2002</v>
      </c>
      <c r="O888" s="14">
        <f>IFERROR(__xludf.DUMMYFUNCTION("""COMPUTED_VALUE"""),1.89E8)</f>
        <v>189000000</v>
      </c>
      <c r="P888" s="15">
        <f>IFERROR(__xludf.DUMMYFUNCTION("ARRAYFORMULA(VLOOKUP(A888,IMPORTRANGE(""https://docs.google.com/spreadsheets/d/1BuTWp7qHGjWhqrnf-OmePP568O4A5Am9ttzvVdP67zw/edit#gid=771602874"" ,""HUMAN RESOURCES!$A$2:$M$2692""), {2,3,4,5,6,7,8,9,10,11,12,13},0))"),0.012)</f>
        <v>0.012</v>
      </c>
      <c r="Q888" s="14">
        <f>IFERROR(__xludf.DUMMYFUNCTION("""COMPUTED_VALUE"""),0.028)</f>
        <v>0.028</v>
      </c>
      <c r="R888" s="14">
        <f>IFERROR(__xludf.DUMMYFUNCTION("""COMPUTED_VALUE"""),76.0)</f>
        <v>76</v>
      </c>
      <c r="S888" s="14">
        <f>IFERROR(__xludf.DUMMYFUNCTION("""COMPUTED_VALUE"""),69.0)</f>
        <v>69</v>
      </c>
      <c r="T888" s="14">
        <f>IFERROR(__xludf.DUMMYFUNCTION("""COMPUTED_VALUE"""),0.205)</f>
        <v>0.205</v>
      </c>
      <c r="U888" s="14">
        <f>IFERROR(__xludf.DUMMYFUNCTION("""COMPUTED_VALUE"""),0.661)</f>
        <v>0.661</v>
      </c>
      <c r="V888" s="14">
        <f>IFERROR(__xludf.DUMMYFUNCTION("""COMPUTED_VALUE"""),0.134)</f>
        <v>0.134</v>
      </c>
      <c r="W888" s="14">
        <f>IFERROR(__xludf.DUMMYFUNCTION("""COMPUTED_VALUE"""),4357000.0)</f>
        <v>4357000</v>
      </c>
      <c r="X888" s="14">
        <f>IFERROR(__xludf.DUMMYFUNCTION("""COMPUTED_VALUE"""),0.523)</f>
        <v>0.523</v>
      </c>
      <c r="Y888" s="14" t="str">
        <f>IFERROR(__xludf.DUMMYFUNCTION("""COMPUTED_VALUE"""),"Georgia-Asia")</f>
        <v>Georgia-Asia</v>
      </c>
      <c r="Z888" s="14" t="str">
        <f>IFERROR(__xludf.DUMMYFUNCTION("""COMPUTED_VALUE"""),"Asia")</f>
        <v>Asia</v>
      </c>
      <c r="AA888" s="14" t="str">
        <f>IFERROR(__xludf.DUMMYFUNCTION("""COMPUTED_VALUE"""),"2002")</f>
        <v>2002</v>
      </c>
      <c r="AB888" s="15" t="str">
        <f>IFERROR(__xludf.DUMMYFUNCTION("ARRAYFORMULA(VLOOKUP(A888,IMPORTRANGE(""https://docs.google.com/spreadsheets/d/1BuTWp7qHGjWhqrnf-OmePP568O4A5Am9ttzvVdP67zw/edit#gid=1931367683"" ,""ENERGY!$A$2:$F$2692""), {2,3,4,5,6},0))"),"Asia")</f>
        <v>Asia</v>
      </c>
      <c r="AC888" s="14" t="str">
        <f>IFERROR(__xludf.DUMMYFUNCTION("""COMPUTED_VALUE"""),"Georgia-Asia")</f>
        <v>Georgia-Asia</v>
      </c>
      <c r="AD888" s="14" t="str">
        <f>IFERROR(__xludf.DUMMYFUNCTION("""COMPUTED_VALUE"""),"2002")</f>
        <v>2002</v>
      </c>
      <c r="AE888" s="14">
        <f>IFERROR(__xludf.DUMMYFUNCTION("""COMPUTED_VALUE"""),3122.0)</f>
        <v>3122</v>
      </c>
      <c r="AF888" s="14">
        <f>IFERROR(__xludf.DUMMYFUNCTION("""COMPUTED_VALUE"""),6241.0)</f>
        <v>6241</v>
      </c>
    </row>
    <row r="889">
      <c r="A889" s="12">
        <v>888.0</v>
      </c>
      <c r="B889" s="12" t="s">
        <v>147</v>
      </c>
      <c r="C889" s="5" t="s">
        <v>61</v>
      </c>
      <c r="D889" s="8"/>
      <c r="E889" s="11">
        <v>25.0</v>
      </c>
      <c r="F889" s="8"/>
      <c r="G889" s="8"/>
      <c r="H889" s="11">
        <v>0.026</v>
      </c>
      <c r="I889" s="11">
        <v>0.156</v>
      </c>
      <c r="J889" s="9" t="s">
        <v>64</v>
      </c>
      <c r="K889" s="14" t="str">
        <f>IFERROR(__xludf.DUMMYFUNCTION("ARRAYFORMULA(VLOOKUP(A889,IMPORTRANGE(""https://docs.google.com/spreadsheets/d/1BuTWp7qHGjWhqrnf-OmePP568O4A5Am9ttzvVdP67zw/edit#gid=1603210130"", ""TOURISM!$A$2:$F$2692""), {2,3,4,5,6},0))"),"Asia")</f>
        <v>Asia</v>
      </c>
      <c r="L889" s="14">
        <f>IFERROR(__xludf.DUMMYFUNCTION("""COMPUTED_VALUE"""),1.72E8)</f>
        <v>172000000</v>
      </c>
      <c r="M889" s="14" t="str">
        <f>IFERROR(__xludf.DUMMYFUNCTION("""COMPUTED_VALUE"""),"Georgia-Asia")</f>
        <v>Georgia-Asia</v>
      </c>
      <c r="N889" s="14" t="str">
        <f>IFERROR(__xludf.DUMMYFUNCTION("""COMPUTED_VALUE"""),"2003")</f>
        <v>2003</v>
      </c>
      <c r="O889" s="14">
        <f>IFERROR(__xludf.DUMMYFUNCTION("""COMPUTED_VALUE"""),1.7E8)</f>
        <v>170000000</v>
      </c>
      <c r="P889" s="15">
        <f>IFERROR(__xludf.DUMMYFUNCTION("ARRAYFORMULA(VLOOKUP(A889,IMPORTRANGE(""https://docs.google.com/spreadsheets/d/1BuTWp7qHGjWhqrnf-OmePP568O4A5Am9ttzvVdP67zw/edit#gid=771602874"" ,""HUMAN RESOURCES!$A$2:$M$2692""), {2,3,4,5,6,7,8,9,10,11,12,13},0))"),0.012)</f>
        <v>0.012</v>
      </c>
      <c r="Q889" s="14">
        <f>IFERROR(__xludf.DUMMYFUNCTION("""COMPUTED_VALUE"""),0.026)</f>
        <v>0.026</v>
      </c>
      <c r="R889" s="14">
        <f>IFERROR(__xludf.DUMMYFUNCTION("""COMPUTED_VALUE"""),76.0)</f>
        <v>76</v>
      </c>
      <c r="S889" s="14">
        <f>IFERROR(__xludf.DUMMYFUNCTION("""COMPUTED_VALUE"""),69.0)</f>
        <v>69</v>
      </c>
      <c r="T889" s="14">
        <f>IFERROR(__xludf.DUMMYFUNCTION("""COMPUTED_VALUE"""),0.197)</f>
        <v>0.197</v>
      </c>
      <c r="U889" s="14">
        <f>IFERROR(__xludf.DUMMYFUNCTION("""COMPUTED_VALUE"""),0.664)</f>
        <v>0.664</v>
      </c>
      <c r="V889" s="14">
        <f>IFERROR(__xludf.DUMMYFUNCTION("""COMPUTED_VALUE"""),0.139)</f>
        <v>0.139</v>
      </c>
      <c r="W889" s="14">
        <f>IFERROR(__xludf.DUMMYFUNCTION("""COMPUTED_VALUE"""),4328900.0)</f>
        <v>4328900</v>
      </c>
      <c r="X889" s="14">
        <f>IFERROR(__xludf.DUMMYFUNCTION("""COMPUTED_VALUE"""),0.524)</f>
        <v>0.524</v>
      </c>
      <c r="Y889" s="14" t="str">
        <f>IFERROR(__xludf.DUMMYFUNCTION("""COMPUTED_VALUE"""),"Georgia-Asia")</f>
        <v>Georgia-Asia</v>
      </c>
      <c r="Z889" s="14" t="str">
        <f>IFERROR(__xludf.DUMMYFUNCTION("""COMPUTED_VALUE"""),"Asia")</f>
        <v>Asia</v>
      </c>
      <c r="AA889" s="14" t="str">
        <f>IFERROR(__xludf.DUMMYFUNCTION("""COMPUTED_VALUE"""),"2003")</f>
        <v>2003</v>
      </c>
      <c r="AB889" s="15" t="str">
        <f>IFERROR(__xludf.DUMMYFUNCTION("ARRAYFORMULA(VLOOKUP(A889,IMPORTRANGE(""https://docs.google.com/spreadsheets/d/1BuTWp7qHGjWhqrnf-OmePP568O4A5Am9ttzvVdP67zw/edit#gid=1931367683"" ,""ENERGY!$A$2:$F$2692""), {2,3,4,5,6},0))"),"Asia")</f>
        <v>Asia</v>
      </c>
      <c r="AC889" s="14" t="str">
        <f>IFERROR(__xludf.DUMMYFUNCTION("""COMPUTED_VALUE"""),"Georgia-Asia")</f>
        <v>Georgia-Asia</v>
      </c>
      <c r="AD889" s="14" t="str">
        <f>IFERROR(__xludf.DUMMYFUNCTION("""COMPUTED_VALUE"""),"2003")</f>
        <v>2003</v>
      </c>
      <c r="AE889" s="14">
        <f>IFERROR(__xludf.DUMMYFUNCTION("""COMPUTED_VALUE"""),3096.0)</f>
        <v>3096</v>
      </c>
      <c r="AF889" s="14">
        <f>IFERROR(__xludf.DUMMYFUNCTION("""COMPUTED_VALUE"""),6058.0)</f>
        <v>6058</v>
      </c>
    </row>
    <row r="890">
      <c r="A890" s="12">
        <v>889.0</v>
      </c>
      <c r="B890" s="12" t="s">
        <v>147</v>
      </c>
      <c r="C890" s="5" t="s">
        <v>61</v>
      </c>
      <c r="D890" s="8"/>
      <c r="E890" s="11">
        <v>25.0</v>
      </c>
      <c r="F890" s="8"/>
      <c r="G890" s="8"/>
      <c r="H890" s="11">
        <v>0.039</v>
      </c>
      <c r="I890" s="11">
        <v>0.186</v>
      </c>
      <c r="J890" s="9" t="s">
        <v>65</v>
      </c>
      <c r="K890" s="14" t="str">
        <f>IFERROR(__xludf.DUMMYFUNCTION("ARRAYFORMULA(VLOOKUP(A890,IMPORTRANGE(""https://docs.google.com/spreadsheets/d/1BuTWp7qHGjWhqrnf-OmePP568O4A5Am9ttzvVdP67zw/edit#gid=1603210130"", ""TOURISM!$A$2:$F$2692""), {2,3,4,5,6},0))"),"Asia")</f>
        <v>Asia</v>
      </c>
      <c r="L890" s="14">
        <f>IFERROR(__xludf.DUMMYFUNCTION("""COMPUTED_VALUE"""),2.09E8)</f>
        <v>209000000</v>
      </c>
      <c r="M890" s="14" t="str">
        <f>IFERROR(__xludf.DUMMYFUNCTION("""COMPUTED_VALUE"""),"Georgia-Asia")</f>
        <v>Georgia-Asia</v>
      </c>
      <c r="N890" s="14" t="str">
        <f>IFERROR(__xludf.DUMMYFUNCTION("""COMPUTED_VALUE"""),"2004")</f>
        <v>2004</v>
      </c>
      <c r="O890" s="14">
        <f>IFERROR(__xludf.DUMMYFUNCTION("""COMPUTED_VALUE"""),1.96E8)</f>
        <v>196000000</v>
      </c>
      <c r="P890" s="15">
        <f>IFERROR(__xludf.DUMMYFUNCTION("ARRAYFORMULA(VLOOKUP(A890,IMPORTRANGE(""https://docs.google.com/spreadsheets/d/1BuTWp7qHGjWhqrnf-OmePP568O4A5Am9ttzvVdP67zw/edit#gid=771602874"" ,""HUMAN RESOURCES!$A$2:$M$2692""), {2,3,4,5,6,7,8,9,10,11,12,13},0))"),0.012)</f>
        <v>0.012</v>
      </c>
      <c r="Q890" s="14">
        <f>IFERROR(__xludf.DUMMYFUNCTION("""COMPUTED_VALUE"""),0.024)</f>
        <v>0.024</v>
      </c>
      <c r="R890" s="14">
        <f>IFERROR(__xludf.DUMMYFUNCTION("""COMPUTED_VALUE"""),76.0)</f>
        <v>76</v>
      </c>
      <c r="S890" s="14">
        <f>IFERROR(__xludf.DUMMYFUNCTION("""COMPUTED_VALUE"""),69.0)</f>
        <v>69</v>
      </c>
      <c r="T890" s="14">
        <f>IFERROR(__xludf.DUMMYFUNCTION("""COMPUTED_VALUE"""),0.19)</f>
        <v>0.19</v>
      </c>
      <c r="U890" s="14">
        <f>IFERROR(__xludf.DUMMYFUNCTION("""COMPUTED_VALUE"""),0.667)</f>
        <v>0.667</v>
      </c>
      <c r="V890" s="14">
        <f>IFERROR(__xludf.DUMMYFUNCTION("""COMPUTED_VALUE"""),0.143)</f>
        <v>0.143</v>
      </c>
      <c r="W890" s="14">
        <f>IFERROR(__xludf.DUMMYFUNCTION("""COMPUTED_VALUE"""),4318300.0)</f>
        <v>4318300</v>
      </c>
      <c r="X890" s="14">
        <f>IFERROR(__xludf.DUMMYFUNCTION("""COMPUTED_VALUE"""),0.524)</f>
        <v>0.524</v>
      </c>
      <c r="Y890" s="14" t="str">
        <f>IFERROR(__xludf.DUMMYFUNCTION("""COMPUTED_VALUE"""),"Georgia-Asia")</f>
        <v>Georgia-Asia</v>
      </c>
      <c r="Z890" s="14" t="str">
        <f>IFERROR(__xludf.DUMMYFUNCTION("""COMPUTED_VALUE"""),"Asia")</f>
        <v>Asia</v>
      </c>
      <c r="AA890" s="14" t="str">
        <f>IFERROR(__xludf.DUMMYFUNCTION("""COMPUTED_VALUE"""),"2004")</f>
        <v>2004</v>
      </c>
      <c r="AB890" s="15" t="str">
        <f>IFERROR(__xludf.DUMMYFUNCTION("ARRAYFORMULA(VLOOKUP(A890,IMPORTRANGE(""https://docs.google.com/spreadsheets/d/1BuTWp7qHGjWhqrnf-OmePP568O4A5Am9ttzvVdP67zw/edit#gid=1931367683"" ,""ENERGY!$A$2:$F$2692""), {2,3,4,5,6},0))"),"Asia")</f>
        <v>Asia</v>
      </c>
      <c r="AC890" s="14" t="str">
        <f>IFERROR(__xludf.DUMMYFUNCTION("""COMPUTED_VALUE"""),"Georgia-Asia")</f>
        <v>Georgia-Asia</v>
      </c>
      <c r="AD890" s="14" t="str">
        <f>IFERROR(__xludf.DUMMYFUNCTION("""COMPUTED_VALUE"""),"2004")</f>
        <v>2004</v>
      </c>
      <c r="AE890" s="14">
        <f>IFERROR(__xludf.DUMMYFUNCTION("""COMPUTED_VALUE"""),3005.0)</f>
        <v>3005</v>
      </c>
      <c r="AF890" s="14">
        <f>IFERROR(__xludf.DUMMYFUNCTION("""COMPUTED_VALUE"""),6238.0)</f>
        <v>6238</v>
      </c>
    </row>
    <row r="891">
      <c r="A891" s="12">
        <v>890.0</v>
      </c>
      <c r="B891" s="12" t="s">
        <v>147</v>
      </c>
      <c r="C891" s="5" t="s">
        <v>61</v>
      </c>
      <c r="D891" s="11">
        <v>0.57</v>
      </c>
      <c r="E891" s="11">
        <v>21.0</v>
      </c>
      <c r="F891" s="8"/>
      <c r="G891" s="11">
        <v>448.0</v>
      </c>
      <c r="H891" s="11">
        <v>0.061</v>
      </c>
      <c r="I891" s="11">
        <v>0.262</v>
      </c>
      <c r="J891" s="9" t="s">
        <v>66</v>
      </c>
      <c r="K891" s="14" t="str">
        <f>IFERROR(__xludf.DUMMYFUNCTION("ARRAYFORMULA(VLOOKUP(A891,IMPORTRANGE(""https://docs.google.com/spreadsheets/d/1BuTWp7qHGjWhqrnf-OmePP568O4A5Am9ttzvVdP67zw/edit#gid=1603210130"", ""TOURISM!$A$2:$F$2692""), {2,3,4,5,6},0))"),"Asia")</f>
        <v>Asia</v>
      </c>
      <c r="L891" s="14">
        <f>IFERROR(__xludf.DUMMYFUNCTION("""COMPUTED_VALUE"""),2.87E8)</f>
        <v>287000000</v>
      </c>
      <c r="M891" s="14" t="str">
        <f>IFERROR(__xludf.DUMMYFUNCTION("""COMPUTED_VALUE"""),"Georgia-Asia")</f>
        <v>Georgia-Asia</v>
      </c>
      <c r="N891" s="14" t="str">
        <f>IFERROR(__xludf.DUMMYFUNCTION("""COMPUTED_VALUE"""),"2005")</f>
        <v>2005</v>
      </c>
      <c r="O891" s="14">
        <f>IFERROR(__xludf.DUMMYFUNCTION("""COMPUTED_VALUE"""),2.37E8)</f>
        <v>237000000</v>
      </c>
      <c r="P891" s="15">
        <f>IFERROR(__xludf.DUMMYFUNCTION("ARRAYFORMULA(VLOOKUP(A891,IMPORTRANGE(""https://docs.google.com/spreadsheets/d/1BuTWp7qHGjWhqrnf-OmePP568O4A5Am9ttzvVdP67zw/edit#gid=771602874"" ,""HUMAN RESOURCES!$A$2:$M$2692""), {2,3,4,5,6,7,8,9,10,11,12,13},0))"),0.013)</f>
        <v>0.013</v>
      </c>
      <c r="Q891" s="14">
        <f>IFERROR(__xludf.DUMMYFUNCTION("""COMPUTED_VALUE"""),0.022)</f>
        <v>0.022</v>
      </c>
      <c r="R891" s="14">
        <f>IFERROR(__xludf.DUMMYFUNCTION("""COMPUTED_VALUE"""),77.0)</f>
        <v>77</v>
      </c>
      <c r="S891" s="14">
        <f>IFERROR(__xludf.DUMMYFUNCTION("""COMPUTED_VALUE"""),69.0)</f>
        <v>69</v>
      </c>
      <c r="T891" s="14">
        <f>IFERROR(__xludf.DUMMYFUNCTION("""COMPUTED_VALUE"""),0.184)</f>
        <v>0.184</v>
      </c>
      <c r="U891" s="14">
        <f>IFERROR(__xludf.DUMMYFUNCTION("""COMPUTED_VALUE"""),0.67)</f>
        <v>0.67</v>
      </c>
      <c r="V891" s="14">
        <f>IFERROR(__xludf.DUMMYFUNCTION("""COMPUTED_VALUE"""),0.146)</f>
        <v>0.146</v>
      </c>
      <c r="W891" s="14">
        <f>IFERROR(__xludf.DUMMYFUNCTION("""COMPUTED_VALUE"""),4361400.0)</f>
        <v>4361400</v>
      </c>
      <c r="X891" s="14">
        <f>IFERROR(__xludf.DUMMYFUNCTION("""COMPUTED_VALUE"""),0.525)</f>
        <v>0.525</v>
      </c>
      <c r="Y891" s="14" t="str">
        <f>IFERROR(__xludf.DUMMYFUNCTION("""COMPUTED_VALUE"""),"Georgia-Asia")</f>
        <v>Georgia-Asia</v>
      </c>
      <c r="Z891" s="14" t="str">
        <f>IFERROR(__xludf.DUMMYFUNCTION("""COMPUTED_VALUE"""),"Asia")</f>
        <v>Asia</v>
      </c>
      <c r="AA891" s="14" t="str">
        <f>IFERROR(__xludf.DUMMYFUNCTION("""COMPUTED_VALUE"""),"2005")</f>
        <v>2005</v>
      </c>
      <c r="AB891" s="15" t="str">
        <f>IFERROR(__xludf.DUMMYFUNCTION("ARRAYFORMULA(VLOOKUP(A891,IMPORTRANGE(""https://docs.google.com/spreadsheets/d/1BuTWp7qHGjWhqrnf-OmePP568O4A5Am9ttzvVdP67zw/edit#gid=1931367683"" ,""ENERGY!$A$2:$F$2692""), {2,3,4,5,6},0))"),"Asia")</f>
        <v>Asia</v>
      </c>
      <c r="AC891" s="14" t="str">
        <f>IFERROR(__xludf.DUMMYFUNCTION("""COMPUTED_VALUE"""),"Georgia-Asia")</f>
        <v>Georgia-Asia</v>
      </c>
      <c r="AD891" s="14" t="str">
        <f>IFERROR(__xludf.DUMMYFUNCTION("""COMPUTED_VALUE"""),"2006")</f>
        <v>2006</v>
      </c>
      <c r="AE891" s="14">
        <f>IFERROR(__xludf.DUMMYFUNCTION("""COMPUTED_VALUE"""),3341.0)</f>
        <v>3341</v>
      </c>
      <c r="AF891" s="14">
        <f>IFERROR(__xludf.DUMMYFUNCTION("""COMPUTED_VALUE"""),6190.0)</f>
        <v>6190</v>
      </c>
    </row>
    <row r="892">
      <c r="A892" s="12">
        <v>891.0</v>
      </c>
      <c r="B892" s="12" t="s">
        <v>147</v>
      </c>
      <c r="C892" s="5" t="s">
        <v>61</v>
      </c>
      <c r="D892" s="11">
        <v>0.386</v>
      </c>
      <c r="E892" s="11">
        <v>16.0</v>
      </c>
      <c r="F892" s="8"/>
      <c r="G892" s="11">
        <v>387.0</v>
      </c>
      <c r="H892" s="11">
        <v>0.075</v>
      </c>
      <c r="I892" s="11">
        <v>0.383</v>
      </c>
      <c r="J892" s="9" t="s">
        <v>67</v>
      </c>
      <c r="K892" s="14" t="str">
        <f>IFERROR(__xludf.DUMMYFUNCTION("ARRAYFORMULA(VLOOKUP(A892,IMPORTRANGE(""https://docs.google.com/spreadsheets/d/1BuTWp7qHGjWhqrnf-OmePP568O4A5Am9ttzvVdP67zw/edit#gid=1603210130"", ""TOURISM!$A$2:$F$2692""), {2,3,4,5,6},0))"),"Asia")</f>
        <v>Asia</v>
      </c>
      <c r="L892" s="14">
        <f>IFERROR(__xludf.DUMMYFUNCTION("""COMPUTED_VALUE"""),3.61E8)</f>
        <v>361000000</v>
      </c>
      <c r="M892" s="14" t="str">
        <f>IFERROR(__xludf.DUMMYFUNCTION("""COMPUTED_VALUE"""),"Georgia-Asia")</f>
        <v>Georgia-Asia</v>
      </c>
      <c r="N892" s="14" t="str">
        <f>IFERROR(__xludf.DUMMYFUNCTION("""COMPUTED_VALUE"""),"2006")</f>
        <v>2006</v>
      </c>
      <c r="O892" s="14">
        <f>IFERROR(__xludf.DUMMYFUNCTION("""COMPUTED_VALUE"""),2.57E8)</f>
        <v>257000000</v>
      </c>
      <c r="P892" s="15">
        <f>IFERROR(__xludf.DUMMYFUNCTION("ARRAYFORMULA(VLOOKUP(A892,IMPORTRANGE(""https://docs.google.com/spreadsheets/d/1BuTWp7qHGjWhqrnf-OmePP568O4A5Am9ttzvVdP67zw/edit#gid=771602874"" ,""HUMAN RESOURCES!$A$2:$M$2692""), {2,3,4,5,6,7,8,9,10,11,12,13},0))"),0.013)</f>
        <v>0.013</v>
      </c>
      <c r="Q892" s="14">
        <f>IFERROR(__xludf.DUMMYFUNCTION("""COMPUTED_VALUE"""),0.02)</f>
        <v>0.02</v>
      </c>
      <c r="R892" s="14">
        <f>IFERROR(__xludf.DUMMYFUNCTION("""COMPUTED_VALUE"""),77.0)</f>
        <v>77</v>
      </c>
      <c r="S892" s="14">
        <f>IFERROR(__xludf.DUMMYFUNCTION("""COMPUTED_VALUE"""),70.0)</f>
        <v>70</v>
      </c>
      <c r="T892" s="14">
        <f>IFERROR(__xludf.DUMMYFUNCTION("""COMPUTED_VALUE"""),0.179)</f>
        <v>0.179</v>
      </c>
      <c r="U892" s="14">
        <f>IFERROR(__xludf.DUMMYFUNCTION("""COMPUTED_VALUE"""),0.674)</f>
        <v>0.674</v>
      </c>
      <c r="V892" s="14">
        <f>IFERROR(__xludf.DUMMYFUNCTION("""COMPUTED_VALUE"""),0.147)</f>
        <v>0.147</v>
      </c>
      <c r="W892" s="14">
        <f>IFERROR(__xludf.DUMMYFUNCTION("""COMPUTED_VALUE"""),4398000.0)</f>
        <v>4398000</v>
      </c>
      <c r="X892" s="14">
        <f>IFERROR(__xludf.DUMMYFUNCTION("""COMPUTED_VALUE"""),0.525)</f>
        <v>0.525</v>
      </c>
      <c r="Y892" s="14" t="str">
        <f>IFERROR(__xludf.DUMMYFUNCTION("""COMPUTED_VALUE"""),"Georgia-Asia")</f>
        <v>Georgia-Asia</v>
      </c>
      <c r="Z892" s="14" t="str">
        <f>IFERROR(__xludf.DUMMYFUNCTION("""COMPUTED_VALUE"""),"Asia")</f>
        <v>Asia</v>
      </c>
      <c r="AA892" s="14" t="str">
        <f>IFERROR(__xludf.DUMMYFUNCTION("""COMPUTED_VALUE"""),"2006")</f>
        <v>2006</v>
      </c>
      <c r="AB892" s="15" t="str">
        <f>IFERROR(__xludf.DUMMYFUNCTION("ARRAYFORMULA(VLOOKUP(A892,IMPORTRANGE(""https://docs.google.com/spreadsheets/d/1BuTWp7qHGjWhqrnf-OmePP568O4A5Am9ttzvVdP67zw/edit#gid=1931367683"" ,""ENERGY!$A$2:$F$2692""), {2,3,4,5,6},0))"),"Asia")</f>
        <v>Asia</v>
      </c>
      <c r="AC892" s="14" t="str">
        <f>IFERROR(__xludf.DUMMYFUNCTION("""COMPUTED_VALUE"""),"Georgia-Asia")</f>
        <v>Georgia-Asia</v>
      </c>
      <c r="AD892" s="14" t="str">
        <f>IFERROR(__xludf.DUMMYFUNCTION("""COMPUTED_VALUE"""),"2010")</f>
        <v>2010</v>
      </c>
      <c r="AE892" s="14">
        <f>IFERROR(__xludf.DUMMYFUNCTION("""COMPUTED_VALUE"""),3032.0)</f>
        <v>3032</v>
      </c>
      <c r="AF892" s="14">
        <f>IFERROR(__xludf.DUMMYFUNCTION("""COMPUTED_VALUE"""),6150.0)</f>
        <v>6150</v>
      </c>
    </row>
    <row r="893">
      <c r="A893" s="12">
        <v>892.0</v>
      </c>
      <c r="B893" s="12" t="s">
        <v>147</v>
      </c>
      <c r="C893" s="5" t="s">
        <v>61</v>
      </c>
      <c r="D893" s="11">
        <v>0.386</v>
      </c>
      <c r="E893" s="11">
        <v>11.0</v>
      </c>
      <c r="F893" s="8"/>
      <c r="G893" s="11">
        <v>387.0</v>
      </c>
      <c r="H893" s="11">
        <v>0.083</v>
      </c>
      <c r="I893" s="11">
        <v>0.587</v>
      </c>
      <c r="J893" s="9" t="s">
        <v>68</v>
      </c>
      <c r="K893" s="14" t="str">
        <f>IFERROR(__xludf.DUMMYFUNCTION("ARRAYFORMULA(VLOOKUP(A893,IMPORTRANGE(""https://docs.google.com/spreadsheets/d/1BuTWp7qHGjWhqrnf-OmePP568O4A5Am9ttzvVdP67zw/edit#gid=1603210130"", ""TOURISM!$A$2:$F$2692""), {2,3,4,5,6},0))"),"Asia")</f>
        <v>Asia</v>
      </c>
      <c r="L893" s="14">
        <f>IFERROR(__xludf.DUMMYFUNCTION("""COMPUTED_VALUE"""),4.4E8)</f>
        <v>440000000</v>
      </c>
      <c r="M893" s="14" t="str">
        <f>IFERROR(__xludf.DUMMYFUNCTION("""COMPUTED_VALUE"""),"Georgia-Asia")</f>
        <v>Georgia-Asia</v>
      </c>
      <c r="N893" s="14" t="str">
        <f>IFERROR(__xludf.DUMMYFUNCTION("""COMPUTED_VALUE"""),"2007")</f>
        <v>2007</v>
      </c>
      <c r="O893" s="14">
        <f>IFERROR(__xludf.DUMMYFUNCTION("""COMPUTED_VALUE"""),2.77E8)</f>
        <v>277000000</v>
      </c>
      <c r="P893" s="15">
        <f>IFERROR(__xludf.DUMMYFUNCTION("ARRAYFORMULA(VLOOKUP(A893,IMPORTRANGE(""https://docs.google.com/spreadsheets/d/1BuTWp7qHGjWhqrnf-OmePP568O4A5Am9ttzvVdP67zw/edit#gid=771602874"" ,""HUMAN RESOURCES!$A$2:$M$2692""), {2,3,4,5,6,7,8,9,10,11,12,13},0))"),0.013)</f>
        <v>0.013</v>
      </c>
      <c r="Q893" s="14">
        <f>IFERROR(__xludf.DUMMYFUNCTION("""COMPUTED_VALUE"""),0.019)</f>
        <v>0.019</v>
      </c>
      <c r="R893" s="14">
        <f>IFERROR(__xludf.DUMMYFUNCTION("""COMPUTED_VALUE"""),77.0)</f>
        <v>77</v>
      </c>
      <c r="S893" s="14">
        <f>IFERROR(__xludf.DUMMYFUNCTION("""COMPUTED_VALUE"""),70.0)</f>
        <v>70</v>
      </c>
      <c r="T893" s="14">
        <f>IFERROR(__xludf.DUMMYFUNCTION("""COMPUTED_VALUE"""),0.176)</f>
        <v>0.176</v>
      </c>
      <c r="U893" s="14">
        <f>IFERROR(__xludf.DUMMYFUNCTION("""COMPUTED_VALUE"""),0.678)</f>
        <v>0.678</v>
      </c>
      <c r="V893" s="14">
        <f>IFERROR(__xludf.DUMMYFUNCTION("""COMPUTED_VALUE"""),0.146)</f>
        <v>0.146</v>
      </c>
      <c r="W893" s="14">
        <f>IFERROR(__xludf.DUMMYFUNCTION("""COMPUTED_VALUE"""),4388400.0)</f>
        <v>4388400</v>
      </c>
      <c r="X893" s="14">
        <f>IFERROR(__xludf.DUMMYFUNCTION("""COMPUTED_VALUE"""),0.526)</f>
        <v>0.526</v>
      </c>
      <c r="Y893" s="14" t="str">
        <f>IFERROR(__xludf.DUMMYFUNCTION("""COMPUTED_VALUE"""),"Georgia-Asia")</f>
        <v>Georgia-Asia</v>
      </c>
      <c r="Z893" s="14" t="str">
        <f>IFERROR(__xludf.DUMMYFUNCTION("""COMPUTED_VALUE"""),"Asia")</f>
        <v>Asia</v>
      </c>
      <c r="AA893" s="14" t="str">
        <f>IFERROR(__xludf.DUMMYFUNCTION("""COMPUTED_VALUE"""),"2007")</f>
        <v>2007</v>
      </c>
      <c r="AB893" s="15" t="str">
        <f>IFERROR(__xludf.DUMMYFUNCTION("ARRAYFORMULA(VLOOKUP(A893,IMPORTRANGE(""https://docs.google.com/spreadsheets/d/1BuTWp7qHGjWhqrnf-OmePP568O4A5Am9ttzvVdP67zw/edit#gid=1931367683"" ,""ENERGY!$A$2:$F$2692""), {2,3,4,5,6},0))"),"Asia")</f>
        <v>Asia</v>
      </c>
      <c r="AC893" s="14" t="str">
        <f>IFERROR(__xludf.DUMMYFUNCTION("""COMPUTED_VALUE"""),"Georgia-Asia")</f>
        <v>Georgia-Asia</v>
      </c>
      <c r="AD893" s="14" t="str">
        <f>IFERROR(__xludf.DUMMYFUNCTION("""COMPUTED_VALUE"""),"2007")</f>
        <v>2007</v>
      </c>
      <c r="AE893" s="14">
        <f>IFERROR(__xludf.DUMMYFUNCTION("""COMPUTED_VALUE"""),2841.0)</f>
        <v>2841</v>
      </c>
      <c r="AF893" s="14">
        <f>IFERROR(__xludf.DUMMYFUNCTION("""COMPUTED_VALUE"""),5068.0)</f>
        <v>5068</v>
      </c>
    </row>
    <row r="894">
      <c r="A894" s="12">
        <v>893.0</v>
      </c>
      <c r="B894" s="12" t="s">
        <v>147</v>
      </c>
      <c r="C894" s="5" t="s">
        <v>61</v>
      </c>
      <c r="D894" s="11">
        <v>0.386</v>
      </c>
      <c r="E894" s="11">
        <v>3.0</v>
      </c>
      <c r="F894" s="8"/>
      <c r="G894" s="11">
        <v>387.0</v>
      </c>
      <c r="H894" s="11">
        <v>0.1</v>
      </c>
      <c r="I894" s="11">
        <v>0.624</v>
      </c>
      <c r="J894" s="9" t="s">
        <v>69</v>
      </c>
      <c r="K894" s="14" t="str">
        <f>IFERROR(__xludf.DUMMYFUNCTION("ARRAYFORMULA(VLOOKUP(A894,IMPORTRANGE(""https://docs.google.com/spreadsheets/d/1BuTWp7qHGjWhqrnf-OmePP568O4A5Am9ttzvVdP67zw/edit#gid=1603210130"", ""TOURISM!$A$2:$F$2692""), {2,3,4,5,6},0))"),"Asia")</f>
        <v>Asia</v>
      </c>
      <c r="L894" s="14">
        <f>IFERROR(__xludf.DUMMYFUNCTION("""COMPUTED_VALUE"""),5.05E8)</f>
        <v>505000000</v>
      </c>
      <c r="M894" s="14" t="str">
        <f>IFERROR(__xludf.DUMMYFUNCTION("""COMPUTED_VALUE"""),"Georgia-Asia")</f>
        <v>Georgia-Asia</v>
      </c>
      <c r="N894" s="14" t="str">
        <f>IFERROR(__xludf.DUMMYFUNCTION("""COMPUTED_VALUE"""),"2008")</f>
        <v>2008</v>
      </c>
      <c r="O894" s="14">
        <f>IFERROR(__xludf.DUMMYFUNCTION("""COMPUTED_VALUE"""),3.37E8)</f>
        <v>337000000</v>
      </c>
      <c r="P894" s="15">
        <f>IFERROR(__xludf.DUMMYFUNCTION("ARRAYFORMULA(VLOOKUP(A894,IMPORTRANGE(""https://docs.google.com/spreadsheets/d/1BuTWp7qHGjWhqrnf-OmePP568O4A5Am9ttzvVdP67zw/edit#gid=771602874"" ,""HUMAN RESOURCES!$A$2:$M$2692""), {2,3,4,5,6,7,8,9,10,11,12,13},0))"),0.014)</f>
        <v>0.014</v>
      </c>
      <c r="Q894" s="14">
        <f>IFERROR(__xludf.DUMMYFUNCTION("""COMPUTED_VALUE"""),0.017)</f>
        <v>0.017</v>
      </c>
      <c r="R894" s="14">
        <f>IFERROR(__xludf.DUMMYFUNCTION("""COMPUTED_VALUE"""),77.0)</f>
        <v>77</v>
      </c>
      <c r="S894" s="14">
        <f>IFERROR(__xludf.DUMMYFUNCTION("""COMPUTED_VALUE"""),70.0)</f>
        <v>70</v>
      </c>
      <c r="T894" s="14">
        <f>IFERROR(__xludf.DUMMYFUNCTION("""COMPUTED_VALUE"""),0.174)</f>
        <v>0.174</v>
      </c>
      <c r="U894" s="14">
        <f>IFERROR(__xludf.DUMMYFUNCTION("""COMPUTED_VALUE"""),0.682)</f>
        <v>0.682</v>
      </c>
      <c r="V894" s="14">
        <f>IFERROR(__xludf.DUMMYFUNCTION("""COMPUTED_VALUE"""),0.145)</f>
        <v>0.145</v>
      </c>
      <c r="W894" s="14">
        <f>IFERROR(__xludf.DUMMYFUNCTION("""COMPUTED_VALUE"""),4383800.0)</f>
        <v>4383800</v>
      </c>
      <c r="X894" s="14">
        <f>IFERROR(__xludf.DUMMYFUNCTION("""COMPUTED_VALUE"""),0.526)</f>
        <v>0.526</v>
      </c>
      <c r="Y894" s="14" t="str">
        <f>IFERROR(__xludf.DUMMYFUNCTION("""COMPUTED_VALUE"""),"Georgia-Asia")</f>
        <v>Georgia-Asia</v>
      </c>
      <c r="Z894" s="14" t="str">
        <f>IFERROR(__xludf.DUMMYFUNCTION("""COMPUTED_VALUE"""),"Asia")</f>
        <v>Asia</v>
      </c>
      <c r="AA894" s="14" t="str">
        <f>IFERROR(__xludf.DUMMYFUNCTION("""COMPUTED_VALUE"""),"2008")</f>
        <v>2008</v>
      </c>
      <c r="AB894" s="15" t="str">
        <f>IFERROR(__xludf.DUMMYFUNCTION("ARRAYFORMULA(VLOOKUP(A894,IMPORTRANGE(""https://docs.google.com/spreadsheets/d/1BuTWp7qHGjWhqrnf-OmePP568O4A5Am9ttzvVdP67zw/edit#gid=1931367683"" ,""ENERGY!$A$2:$F$2692""), {2,3,4,5,6},0))"),"Asia")</f>
        <v>Asia</v>
      </c>
      <c r="AC894" s="14" t="str">
        <f>IFERROR(__xludf.DUMMYFUNCTION("""COMPUTED_VALUE"""),"Georgia-Asia")</f>
        <v>Georgia-Asia</v>
      </c>
      <c r="AD894" s="14" t="str">
        <f>IFERROR(__xludf.DUMMYFUNCTION("""COMPUTED_VALUE"""),"2005")</f>
        <v>2005</v>
      </c>
      <c r="AE894" s="14">
        <f>IFERROR(__xludf.DUMMYFUNCTION("""COMPUTED_VALUE"""),2781.0)</f>
        <v>2781</v>
      </c>
      <c r="AF894" s="14">
        <f>IFERROR(__xludf.DUMMYFUNCTION("""COMPUTED_VALUE"""),4323.0)</f>
        <v>4323</v>
      </c>
    </row>
    <row r="895">
      <c r="A895" s="12">
        <v>894.0</v>
      </c>
      <c r="B895" s="12" t="s">
        <v>147</v>
      </c>
      <c r="C895" s="5" t="s">
        <v>61</v>
      </c>
      <c r="D895" s="11">
        <v>0.153</v>
      </c>
      <c r="E895" s="11">
        <v>3.0</v>
      </c>
      <c r="F895" s="8"/>
      <c r="G895" s="11">
        <v>387.0</v>
      </c>
      <c r="H895" s="11">
        <v>0.201</v>
      </c>
      <c r="I895" s="11">
        <v>0.645</v>
      </c>
      <c r="J895" s="9" t="s">
        <v>70</v>
      </c>
      <c r="K895" s="14" t="str">
        <f>IFERROR(__xludf.DUMMYFUNCTION("ARRAYFORMULA(VLOOKUP(A895,IMPORTRANGE(""https://docs.google.com/spreadsheets/d/1BuTWp7qHGjWhqrnf-OmePP568O4A5Am9ttzvVdP67zw/edit#gid=1603210130"", ""TOURISM!$A$2:$F$2692""), {2,3,4,5,6},0))"),"Asia")</f>
        <v>Asia</v>
      </c>
      <c r="L895" s="14">
        <f>IFERROR(__xludf.DUMMYFUNCTION("""COMPUTED_VALUE"""),5.37E8)</f>
        <v>537000000</v>
      </c>
      <c r="M895" s="14" t="str">
        <f>IFERROR(__xludf.DUMMYFUNCTION("""COMPUTED_VALUE"""),"Georgia-Asia")</f>
        <v>Georgia-Asia</v>
      </c>
      <c r="N895" s="14" t="str">
        <f>IFERROR(__xludf.DUMMYFUNCTION("""COMPUTED_VALUE"""),"2009")</f>
        <v>2009</v>
      </c>
      <c r="O895" s="14">
        <f>IFERROR(__xludf.DUMMYFUNCTION("""COMPUTED_VALUE"""),3.11E8)</f>
        <v>311000000</v>
      </c>
      <c r="P895" s="15">
        <f>IFERROR(__xludf.DUMMYFUNCTION("ARRAYFORMULA(VLOOKUP(A895,IMPORTRANGE(""https://docs.google.com/spreadsheets/d/1BuTWp7qHGjWhqrnf-OmePP568O4A5Am9ttzvVdP67zw/edit#gid=771602874"" ,""HUMAN RESOURCES!$A$2:$M$2692""), {2,3,4,5,6,7,8,9,10,11,12,13},0))"),0.014)</f>
        <v>0.014</v>
      </c>
      <c r="Q895" s="14">
        <f>IFERROR(__xludf.DUMMYFUNCTION("""COMPUTED_VALUE"""),0.016)</f>
        <v>0.016</v>
      </c>
      <c r="R895" s="14">
        <f>IFERROR(__xludf.DUMMYFUNCTION("""COMPUTED_VALUE"""),77.0)</f>
        <v>77</v>
      </c>
      <c r="S895" s="14">
        <f>IFERROR(__xludf.DUMMYFUNCTION("""COMPUTED_VALUE"""),70.0)</f>
        <v>70</v>
      </c>
      <c r="T895" s="14">
        <f>IFERROR(__xludf.DUMMYFUNCTION("""COMPUTED_VALUE"""),0.173)</f>
        <v>0.173</v>
      </c>
      <c r="U895" s="14">
        <f>IFERROR(__xludf.DUMMYFUNCTION("""COMPUTED_VALUE"""),0.684)</f>
        <v>0.684</v>
      </c>
      <c r="V895" s="14">
        <f>IFERROR(__xludf.DUMMYFUNCTION("""COMPUTED_VALUE"""),0.143)</f>
        <v>0.143</v>
      </c>
      <c r="W895" s="14">
        <f>IFERROR(__xludf.DUMMYFUNCTION("""COMPUTED_VALUE"""),4410900.0)</f>
        <v>4410900</v>
      </c>
      <c r="X895" s="14">
        <f>IFERROR(__xludf.DUMMYFUNCTION("""COMPUTED_VALUE"""),0.527)</f>
        <v>0.527</v>
      </c>
      <c r="Y895" s="14" t="str">
        <f>IFERROR(__xludf.DUMMYFUNCTION("""COMPUTED_VALUE"""),"Georgia-Asia")</f>
        <v>Georgia-Asia</v>
      </c>
      <c r="Z895" s="14" t="str">
        <f>IFERROR(__xludf.DUMMYFUNCTION("""COMPUTED_VALUE"""),"Asia")</f>
        <v>Asia</v>
      </c>
      <c r="AA895" s="14" t="str">
        <f>IFERROR(__xludf.DUMMYFUNCTION("""COMPUTED_VALUE"""),"2009")</f>
        <v>2009</v>
      </c>
      <c r="AB895" s="15" t="str">
        <f>IFERROR(__xludf.DUMMYFUNCTION("ARRAYFORMULA(VLOOKUP(A895,IMPORTRANGE(""https://docs.google.com/spreadsheets/d/1BuTWp7qHGjWhqrnf-OmePP568O4A5Am9ttzvVdP67zw/edit#gid=1931367683"" ,""ENERGY!$A$2:$F$2692""), {2,3,4,5,6},0))"),"Asia")</f>
        <v>Asia</v>
      </c>
      <c r="AC895" s="14" t="str">
        <f>IFERROR(__xludf.DUMMYFUNCTION("""COMPUTED_VALUE"""),"Georgia-Asia")</f>
        <v>Georgia-Asia</v>
      </c>
      <c r="AD895" s="14" t="str">
        <f>IFERROR(__xludf.DUMMYFUNCTION("""COMPUTED_VALUE"""),"2009")</f>
        <v>2009</v>
      </c>
      <c r="AE895" s="14">
        <f>IFERROR(__xludf.DUMMYFUNCTION("""COMPUTED_VALUE"""),2705.0)</f>
        <v>2705</v>
      </c>
      <c r="AF895" s="14">
        <f>IFERROR(__xludf.DUMMYFUNCTION("""COMPUTED_VALUE"""),3773.0)</f>
        <v>3773</v>
      </c>
    </row>
    <row r="896">
      <c r="A896" s="12">
        <v>895.0</v>
      </c>
      <c r="B896" s="12" t="s">
        <v>147</v>
      </c>
      <c r="C896" s="5" t="s">
        <v>61</v>
      </c>
      <c r="D896" s="11">
        <v>0.153</v>
      </c>
      <c r="E896" s="11">
        <v>3.0</v>
      </c>
      <c r="F896" s="8"/>
      <c r="G896" s="11">
        <v>387.0</v>
      </c>
      <c r="H896" s="11">
        <v>0.269</v>
      </c>
      <c r="I896" s="11">
        <v>0.906</v>
      </c>
      <c r="J896" s="9" t="s">
        <v>71</v>
      </c>
      <c r="K896" s="14" t="str">
        <f>IFERROR(__xludf.DUMMYFUNCTION("ARRAYFORMULA(VLOOKUP(A896,IMPORTRANGE(""https://docs.google.com/spreadsheets/d/1BuTWp7qHGjWhqrnf-OmePP568O4A5Am9ttzvVdP67zw/edit#gid=1603210130"", ""TOURISM!$A$2:$F$2692""), {2,3,4,5,6},0))"),"Asia")</f>
        <v>Asia</v>
      </c>
      <c r="L896" s="14">
        <f>IFERROR(__xludf.DUMMYFUNCTION("""COMPUTED_VALUE"""),7.37E8)</f>
        <v>737000000</v>
      </c>
      <c r="M896" s="14" t="str">
        <f>IFERROR(__xludf.DUMMYFUNCTION("""COMPUTED_VALUE"""),"Georgia-Asia")</f>
        <v>Georgia-Asia</v>
      </c>
      <c r="N896" s="14" t="str">
        <f>IFERROR(__xludf.DUMMYFUNCTION("""COMPUTED_VALUE"""),"2010")</f>
        <v>2010</v>
      </c>
      <c r="O896" s="14">
        <f>IFERROR(__xludf.DUMMYFUNCTION("""COMPUTED_VALUE"""),3.29E8)</f>
        <v>329000000</v>
      </c>
      <c r="P896" s="15">
        <f>IFERROR(__xludf.DUMMYFUNCTION("ARRAYFORMULA(VLOOKUP(A896,IMPORTRANGE(""https://docs.google.com/spreadsheets/d/1BuTWp7qHGjWhqrnf-OmePP568O4A5Am9ttzvVdP67zw/edit#gid=771602874"" ,""HUMAN RESOURCES!$A$2:$M$2692""), {2,3,4,5,6,7,8,9,10,11,12,13},0))"),0.014)</f>
        <v>0.014</v>
      </c>
      <c r="Q896" s="14">
        <f>IFERROR(__xludf.DUMMYFUNCTION("""COMPUTED_VALUE"""),0.015)</f>
        <v>0.015</v>
      </c>
      <c r="R896" s="14">
        <f>IFERROR(__xludf.DUMMYFUNCTION("""COMPUTED_VALUE"""),77.0)</f>
        <v>77</v>
      </c>
      <c r="S896" s="14">
        <f>IFERROR(__xludf.DUMMYFUNCTION("""COMPUTED_VALUE"""),70.0)</f>
        <v>70</v>
      </c>
      <c r="T896" s="14">
        <f>IFERROR(__xludf.DUMMYFUNCTION("""COMPUTED_VALUE"""),0.173)</f>
        <v>0.173</v>
      </c>
      <c r="U896" s="14">
        <f>IFERROR(__xludf.DUMMYFUNCTION("""COMPUTED_VALUE"""),0.685)</f>
        <v>0.685</v>
      </c>
      <c r="V896" s="14">
        <f>IFERROR(__xludf.DUMMYFUNCTION("""COMPUTED_VALUE"""),0.142)</f>
        <v>0.142</v>
      </c>
      <c r="W896" s="14">
        <f>IFERROR(__xludf.DUMMYFUNCTION("""COMPUTED_VALUE"""),4452800.0)</f>
        <v>4452800</v>
      </c>
      <c r="X896" s="14">
        <f>IFERROR(__xludf.DUMMYFUNCTION("""COMPUTED_VALUE"""),0.529)</f>
        <v>0.529</v>
      </c>
      <c r="Y896" s="14" t="str">
        <f>IFERROR(__xludf.DUMMYFUNCTION("""COMPUTED_VALUE"""),"Georgia-Asia")</f>
        <v>Georgia-Asia</v>
      </c>
      <c r="Z896" s="14" t="str">
        <f>IFERROR(__xludf.DUMMYFUNCTION("""COMPUTED_VALUE"""),"Asia")</f>
        <v>Asia</v>
      </c>
      <c r="AA896" s="14" t="str">
        <f>IFERROR(__xludf.DUMMYFUNCTION("""COMPUTED_VALUE"""),"2010")</f>
        <v>2010</v>
      </c>
      <c r="AB896" s="15" t="str">
        <f>IFERROR(__xludf.DUMMYFUNCTION("ARRAYFORMULA(VLOOKUP(A896,IMPORTRANGE(""https://docs.google.com/spreadsheets/d/1BuTWp7qHGjWhqrnf-OmePP568O4A5Am9ttzvVdP67zw/edit#gid=1931367683"" ,""ENERGY!$A$2:$F$2692""), {2,3,4,5,6},0))"),"Asia")</f>
        <v>Asia</v>
      </c>
      <c r="AC896" s="14" t="str">
        <f>IFERROR(__xludf.DUMMYFUNCTION("""COMPUTED_VALUE"""),"Georgia-Asia")</f>
        <v>Georgia-Asia</v>
      </c>
      <c r="AD896" s="14" t="str">
        <f>IFERROR(__xludf.DUMMYFUNCTION("""COMPUTED_VALUE"""),"2009")</f>
        <v>2009</v>
      </c>
      <c r="AE896" s="14">
        <f>IFERROR(__xludf.DUMMYFUNCTION("""COMPUTED_VALUE"""),2544.0)</f>
        <v>2544</v>
      </c>
      <c r="AF896" s="14">
        <f>IFERROR(__xludf.DUMMYFUNCTION("""COMPUTED_VALUE"""),3388.0)</f>
        <v>3388</v>
      </c>
    </row>
    <row r="897">
      <c r="A897" s="12">
        <v>896.0</v>
      </c>
      <c r="B897" s="12" t="s">
        <v>147</v>
      </c>
      <c r="C897" s="5" t="s">
        <v>61</v>
      </c>
      <c r="D897" s="11">
        <v>0.165</v>
      </c>
      <c r="E897" s="11">
        <v>2.0</v>
      </c>
      <c r="F897" s="8"/>
      <c r="G897" s="11">
        <v>387.0</v>
      </c>
      <c r="H897" s="11">
        <v>0.315</v>
      </c>
      <c r="I897" s="11">
        <v>1.013</v>
      </c>
      <c r="J897" s="9" t="s">
        <v>72</v>
      </c>
      <c r="K897" s="14" t="str">
        <f>IFERROR(__xludf.DUMMYFUNCTION("ARRAYFORMULA(VLOOKUP(A897,IMPORTRANGE(""https://docs.google.com/spreadsheets/d/1BuTWp7qHGjWhqrnf-OmePP568O4A5Am9ttzvVdP67zw/edit#gid=1603210130"", ""TOURISM!$A$2:$F$2692""), {2,3,4,5,6},0))"),"Asia")</f>
        <v>Asia</v>
      </c>
      <c r="L897" s="14">
        <f>IFERROR(__xludf.DUMMYFUNCTION("""COMPUTED_VALUE"""),1.069E9)</f>
        <v>1069000000</v>
      </c>
      <c r="M897" s="14" t="str">
        <f>IFERROR(__xludf.DUMMYFUNCTION("""COMPUTED_VALUE"""),"Georgia-Asia")</f>
        <v>Georgia-Asia</v>
      </c>
      <c r="N897" s="14" t="str">
        <f>IFERROR(__xludf.DUMMYFUNCTION("""COMPUTED_VALUE"""),"2011")</f>
        <v>2011</v>
      </c>
      <c r="O897" s="14">
        <f>IFERROR(__xludf.DUMMYFUNCTION("""COMPUTED_VALUE"""),3.84E8)</f>
        <v>384000000</v>
      </c>
      <c r="P897" s="15">
        <f>IFERROR(__xludf.DUMMYFUNCTION("ARRAYFORMULA(VLOOKUP(A897,IMPORTRANGE(""https://docs.google.com/spreadsheets/d/1BuTWp7qHGjWhqrnf-OmePP568O4A5Am9ttzvVdP67zw/edit#gid=771602874"" ,""HUMAN RESOURCES!$A$2:$M$2692""), {2,3,4,5,6,7,8,9,10,11,12,13},0))"),0.014)</f>
        <v>0.014</v>
      </c>
      <c r="Q897" s="14">
        <f>IFERROR(__xludf.DUMMYFUNCTION("""COMPUTED_VALUE"""),0.014)</f>
        <v>0.014</v>
      </c>
      <c r="R897" s="14">
        <f>IFERROR(__xludf.DUMMYFUNCTION("""COMPUTED_VALUE"""),78.0)</f>
        <v>78</v>
      </c>
      <c r="S897" s="14">
        <f>IFERROR(__xludf.DUMMYFUNCTION("""COMPUTED_VALUE"""),70.0)</f>
        <v>70</v>
      </c>
      <c r="T897" s="14">
        <f>IFERROR(__xludf.DUMMYFUNCTION("""COMPUTED_VALUE"""),0.174)</f>
        <v>0.174</v>
      </c>
      <c r="U897" s="14">
        <f>IFERROR(__xludf.DUMMYFUNCTION("""COMPUTED_VALUE"""),0.684)</f>
        <v>0.684</v>
      </c>
      <c r="V897" s="14">
        <f>IFERROR(__xludf.DUMMYFUNCTION("""COMPUTED_VALUE"""),0.142)</f>
        <v>0.142</v>
      </c>
      <c r="W897" s="14">
        <f>IFERROR(__xludf.DUMMYFUNCTION("""COMPUTED_VALUE"""),4483350.0)</f>
        <v>4483350</v>
      </c>
      <c r="X897" s="14">
        <f>IFERROR(__xludf.DUMMYFUNCTION("""COMPUTED_VALUE"""),0.53)</f>
        <v>0.53</v>
      </c>
      <c r="Y897" s="14" t="str">
        <f>IFERROR(__xludf.DUMMYFUNCTION("""COMPUTED_VALUE"""),"Georgia-Asia")</f>
        <v>Georgia-Asia</v>
      </c>
      <c r="Z897" s="14" t="str">
        <f>IFERROR(__xludf.DUMMYFUNCTION("""COMPUTED_VALUE"""),"Asia")</f>
        <v>Asia</v>
      </c>
      <c r="AA897" s="14" t="str">
        <f>IFERROR(__xludf.DUMMYFUNCTION("""COMPUTED_VALUE"""),"2011")</f>
        <v>2011</v>
      </c>
      <c r="AB897" s="15" t="str">
        <f>IFERROR(__xludf.DUMMYFUNCTION("ARRAYFORMULA(VLOOKUP(A897,IMPORTRANGE(""https://docs.google.com/spreadsheets/d/1BuTWp7qHGjWhqrnf-OmePP568O4A5Am9ttzvVdP67zw/edit#gid=1931367683"" ,""ENERGY!$A$2:$F$2692""), {2,3,4,5,6},0))"),"Asia")</f>
        <v>Asia</v>
      </c>
      <c r="AC897" s="14" t="str">
        <f>IFERROR(__xludf.DUMMYFUNCTION("""COMPUTED_VALUE"""),"Georgia-Asia")</f>
        <v>Georgia-Asia</v>
      </c>
      <c r="AD897" s="14" t="str">
        <f>IFERROR(__xludf.DUMMYFUNCTION("""COMPUTED_VALUE"""),"2005")</f>
        <v>2005</v>
      </c>
      <c r="AE897" s="14">
        <f>IFERROR(__xludf.DUMMYFUNCTION("""COMPUTED_VALUE"""),2570.0)</f>
        <v>2570</v>
      </c>
      <c r="AF897" s="14">
        <f>IFERROR(__xludf.DUMMYFUNCTION("""COMPUTED_VALUE"""),3770.0)</f>
        <v>3770</v>
      </c>
    </row>
    <row r="898">
      <c r="A898" s="12">
        <v>897.0</v>
      </c>
      <c r="B898" s="12" t="s">
        <v>147</v>
      </c>
      <c r="C898" s="5" t="s">
        <v>61</v>
      </c>
      <c r="D898" s="11">
        <v>0.165</v>
      </c>
      <c r="E898" s="11">
        <v>2.0</v>
      </c>
      <c r="F898" s="11">
        <v>9.0</v>
      </c>
      <c r="G898" s="11">
        <v>280.0</v>
      </c>
      <c r="H898" s="11">
        <v>0.369</v>
      </c>
      <c r="I898" s="11">
        <v>1.078</v>
      </c>
      <c r="J898" s="9" t="s">
        <v>73</v>
      </c>
      <c r="K898" s="14" t="str">
        <f>IFERROR(__xludf.DUMMYFUNCTION("ARRAYFORMULA(VLOOKUP(A898,IMPORTRANGE(""https://docs.google.com/spreadsheets/d/1BuTWp7qHGjWhqrnf-OmePP568O4A5Am9ttzvVdP67zw/edit#gid=1603210130"", ""TOURISM!$A$2:$F$2692""), {2,3,4,5,6},0))"),"Asia")</f>
        <v>Asia</v>
      </c>
      <c r="L898" s="14">
        <f>IFERROR(__xludf.DUMMYFUNCTION("""COMPUTED_VALUE"""),1.565E9)</f>
        <v>1565000000</v>
      </c>
      <c r="M898" s="14" t="str">
        <f>IFERROR(__xludf.DUMMYFUNCTION("""COMPUTED_VALUE"""),"Georgia-Asia")</f>
        <v>Georgia-Asia</v>
      </c>
      <c r="N898" s="14" t="str">
        <f>IFERROR(__xludf.DUMMYFUNCTION("""COMPUTED_VALUE"""),"2012")</f>
        <v>2012</v>
      </c>
      <c r="O898" s="14">
        <f>IFERROR(__xludf.DUMMYFUNCTION("""COMPUTED_VALUE"""),4.71E8)</f>
        <v>471000000</v>
      </c>
      <c r="P898" s="15">
        <f>IFERROR(__xludf.DUMMYFUNCTION("ARRAYFORMULA(VLOOKUP(A898,IMPORTRANGE(""https://docs.google.com/spreadsheets/d/1BuTWp7qHGjWhqrnf-OmePP568O4A5Am9ttzvVdP67zw/edit#gid=771602874"" ,""HUMAN RESOURCES!$A$2:$M$2692""), {2,3,4,5,6,7,8,9,10,11,12,13},0))"),0.014)</f>
        <v>0.014</v>
      </c>
      <c r="Q898" s="14">
        <f>IFERROR(__xludf.DUMMYFUNCTION("""COMPUTED_VALUE"""),0.013)</f>
        <v>0.013</v>
      </c>
      <c r="R898" s="14">
        <f>IFERROR(__xludf.DUMMYFUNCTION("""COMPUTED_VALUE"""),78.0)</f>
        <v>78</v>
      </c>
      <c r="S898" s="14">
        <f>IFERROR(__xludf.DUMMYFUNCTION("""COMPUTED_VALUE"""),70.0)</f>
        <v>70</v>
      </c>
      <c r="T898" s="14">
        <f>IFERROR(__xludf.DUMMYFUNCTION("""COMPUTED_VALUE"""),0.176)</f>
        <v>0.176</v>
      </c>
      <c r="U898" s="14">
        <f>IFERROR(__xludf.DUMMYFUNCTION("""COMPUTED_VALUE"""),0.681)</f>
        <v>0.681</v>
      </c>
      <c r="V898" s="14">
        <f>IFERROR(__xludf.DUMMYFUNCTION("""COMPUTED_VALUE"""),0.143)</f>
        <v>0.143</v>
      </c>
      <c r="W898" s="14">
        <f>IFERROR(__xludf.DUMMYFUNCTION("""COMPUTED_VALUE"""),4490700.0)</f>
        <v>4490700</v>
      </c>
      <c r="X898" s="14">
        <f>IFERROR(__xludf.DUMMYFUNCTION("""COMPUTED_VALUE"""),0.532)</f>
        <v>0.532</v>
      </c>
      <c r="Y898" s="14" t="str">
        <f>IFERROR(__xludf.DUMMYFUNCTION("""COMPUTED_VALUE"""),"Georgia-Asia")</f>
        <v>Georgia-Asia</v>
      </c>
      <c r="Z898" s="14" t="str">
        <f>IFERROR(__xludf.DUMMYFUNCTION("""COMPUTED_VALUE"""),"Asia")</f>
        <v>Asia</v>
      </c>
      <c r="AA898" s="14" t="str">
        <f>IFERROR(__xludf.DUMMYFUNCTION("""COMPUTED_VALUE"""),"2012")</f>
        <v>2012</v>
      </c>
      <c r="AB898" s="15" t="str">
        <f>IFERROR(__xludf.DUMMYFUNCTION("ARRAYFORMULA(VLOOKUP(A898,IMPORTRANGE(""https://docs.google.com/spreadsheets/d/1BuTWp7qHGjWhqrnf-OmePP568O4A5Am9ttzvVdP67zw/edit#gid=1931367683"" ,""ENERGY!$A$2:$F$2692""), {2,3,4,5,6},0))"),"Asia")</f>
        <v>Asia</v>
      </c>
      <c r="AC898" s="14" t="str">
        <f>IFERROR(__xludf.DUMMYFUNCTION("""COMPUTED_VALUE"""),"Georgia-Asia")</f>
        <v>Georgia-Asia</v>
      </c>
      <c r="AD898" s="14" t="str">
        <f>IFERROR(__xludf.DUMMYFUNCTION("""COMPUTED_VALUE"""),"2009")</f>
        <v>2009</v>
      </c>
      <c r="AE898" s="14">
        <f>IFERROR(__xludf.DUMMYFUNCTION("""COMPUTED_VALUE"""),2869.0)</f>
        <v>2869</v>
      </c>
      <c r="AF898" s="14">
        <f>IFERROR(__xludf.DUMMYFUNCTION("""COMPUTED_VALUE"""),4536.0)</f>
        <v>4536</v>
      </c>
    </row>
    <row r="899">
      <c r="A899" s="12">
        <v>898.0</v>
      </c>
      <c r="B899" s="12" t="s">
        <v>148</v>
      </c>
      <c r="C899" s="5" t="s">
        <v>75</v>
      </c>
      <c r="D899" s="8"/>
      <c r="E899" s="8"/>
      <c r="F899" s="8"/>
      <c r="G899" s="8"/>
      <c r="H899" s="11">
        <v>0.302</v>
      </c>
      <c r="I899" s="11">
        <v>0.577</v>
      </c>
      <c r="J899" s="9" t="s">
        <v>60</v>
      </c>
      <c r="K899" s="14" t="str">
        <f>IFERROR(__xludf.DUMMYFUNCTION("ARRAYFORMULA(VLOOKUP(A899,IMPORTRANGE(""https://docs.google.com/spreadsheets/d/1BuTWp7qHGjWhqrnf-OmePP568O4A5Am9ttzvVdP67zw/edit#gid=1603210130"", ""TOURISM!$A$2:$F$2692""), {2,3,4,5,6},0))"),"Europe")</f>
        <v>Europe</v>
      </c>
      <c r="L899" s="14">
        <f>IFERROR(__xludf.DUMMYFUNCTION("""COMPUTED_VALUE"""),2.4943E10)</f>
        <v>24943000000</v>
      </c>
      <c r="M899" s="14" t="str">
        <f>IFERROR(__xludf.DUMMYFUNCTION("""COMPUTED_VALUE"""),"Germany-Europe")</f>
        <v>Germany-Europe</v>
      </c>
      <c r="N899" s="14" t="str">
        <f>IFERROR(__xludf.DUMMYFUNCTION("""COMPUTED_VALUE"""),"2000")</f>
        <v>2000</v>
      </c>
      <c r="O899" s="14">
        <f>IFERROR(__xludf.DUMMYFUNCTION("""COMPUTED_VALUE"""),5.7601E10)</f>
        <v>57601000000</v>
      </c>
      <c r="P899" s="15">
        <f>IFERROR(__xludf.DUMMYFUNCTION("ARRAYFORMULA(VLOOKUP(A899,IMPORTRANGE(""https://docs.google.com/spreadsheets/d/1BuTWp7qHGjWhqrnf-OmePP568O4A5Am9ttzvVdP67zw/edit#gid=771602874"" ,""HUMAN RESOURCES!$A$2:$M$2692""), {2,3,4,5,6,7,8,9,10,11,12,13},0))"),0.009)</f>
        <v>0.009</v>
      </c>
      <c r="Q899" s="14">
        <f>IFERROR(__xludf.DUMMYFUNCTION("""COMPUTED_VALUE"""),0.004)</f>
        <v>0.004</v>
      </c>
      <c r="R899" s="14">
        <f>IFERROR(__xludf.DUMMYFUNCTION("""COMPUTED_VALUE"""),81.0)</f>
        <v>81</v>
      </c>
      <c r="S899" s="14">
        <f>IFERROR(__xludf.DUMMYFUNCTION("""COMPUTED_VALUE"""),75.0)</f>
        <v>75</v>
      </c>
      <c r="T899" s="14">
        <f>IFERROR(__xludf.DUMMYFUNCTION("""COMPUTED_VALUE"""),0.156)</f>
        <v>0.156</v>
      </c>
      <c r="U899" s="14">
        <f>IFERROR(__xludf.DUMMYFUNCTION("""COMPUTED_VALUE"""),0.681)</f>
        <v>0.681</v>
      </c>
      <c r="V899" s="14">
        <f>IFERROR(__xludf.DUMMYFUNCTION("""COMPUTED_VALUE"""),0.163)</f>
        <v>0.163</v>
      </c>
      <c r="W899" s="14">
        <f>IFERROR(__xludf.DUMMYFUNCTION("""COMPUTED_VALUE"""),8.2211508E7)</f>
        <v>82211508</v>
      </c>
      <c r="X899" s="14">
        <f>IFERROR(__xludf.DUMMYFUNCTION("""COMPUTED_VALUE"""),0.731)</f>
        <v>0.731</v>
      </c>
      <c r="Y899" s="14" t="str">
        <f>IFERROR(__xludf.DUMMYFUNCTION("""COMPUTED_VALUE"""),"Germany-Europe")</f>
        <v>Germany-Europe</v>
      </c>
      <c r="Z899" s="14" t="str">
        <f>IFERROR(__xludf.DUMMYFUNCTION("""COMPUTED_VALUE"""),"Europe")</f>
        <v>Europe</v>
      </c>
      <c r="AA899" s="14" t="str">
        <f>IFERROR(__xludf.DUMMYFUNCTION("""COMPUTED_VALUE"""),"2000")</f>
        <v>2000</v>
      </c>
      <c r="AB899" s="15" t="str">
        <f>IFERROR(__xludf.DUMMYFUNCTION("ARRAYFORMULA(VLOOKUP(A899,IMPORTRANGE(""https://docs.google.com/spreadsheets/d/1BuTWp7qHGjWhqrnf-OmePP568O4A5Am9ttzvVdP67zw/edit#gid=1931367683"" ,""ENERGY!$A$2:$F$2692""), {2,3,4,5,6},0))"),"Europe")</f>
        <v>Europe</v>
      </c>
      <c r="AC899" s="14" t="str">
        <f>IFERROR(__xludf.DUMMYFUNCTION("""COMPUTED_VALUE"""),"Germany-Europe")</f>
        <v>Germany-Europe</v>
      </c>
      <c r="AD899" s="14" t="str">
        <f>IFERROR(__xludf.DUMMYFUNCTION("""COMPUTED_VALUE"""),"2000")</f>
        <v>2000</v>
      </c>
      <c r="AE899" s="14">
        <f>IFERROR(__xludf.DUMMYFUNCTION("""COMPUTED_VALUE"""),307381.0)</f>
        <v>307381</v>
      </c>
      <c r="AF899" s="14"/>
    </row>
    <row r="900">
      <c r="A900" s="12">
        <v>899.0</v>
      </c>
      <c r="B900" s="12" t="s">
        <v>148</v>
      </c>
      <c r="C900" s="5" t="s">
        <v>75</v>
      </c>
      <c r="D900" s="8"/>
      <c r="E900" s="8"/>
      <c r="F900" s="8"/>
      <c r="G900" s="8"/>
      <c r="H900" s="11">
        <v>0.317</v>
      </c>
      <c r="I900" s="11">
        <v>0.671</v>
      </c>
      <c r="J900" s="9" t="s">
        <v>62</v>
      </c>
      <c r="K900" s="14" t="str">
        <f>IFERROR(__xludf.DUMMYFUNCTION("ARRAYFORMULA(VLOOKUP(A900,IMPORTRANGE(""https://docs.google.com/spreadsheets/d/1BuTWp7qHGjWhqrnf-OmePP568O4A5Am9ttzvVdP67zw/edit#gid=1603210130"", ""TOURISM!$A$2:$F$2692""), {2,3,4,5,6},0))"),"Europe")</f>
        <v>Europe</v>
      </c>
      <c r="L900" s="14">
        <f>IFERROR(__xludf.DUMMYFUNCTION("""COMPUTED_VALUE"""),2.4175E10)</f>
        <v>24175000000</v>
      </c>
      <c r="M900" s="14" t="str">
        <f>IFERROR(__xludf.DUMMYFUNCTION("""COMPUTED_VALUE"""),"Germany-Europe")</f>
        <v>Germany-Europe</v>
      </c>
      <c r="N900" s="14" t="str">
        <f>IFERROR(__xludf.DUMMYFUNCTION("""COMPUTED_VALUE"""),"2001")</f>
        <v>2001</v>
      </c>
      <c r="O900" s="14">
        <f>IFERROR(__xludf.DUMMYFUNCTION("""COMPUTED_VALUE"""),5.6529E10)</f>
        <v>56529000000</v>
      </c>
      <c r="P900" s="15">
        <f>IFERROR(__xludf.DUMMYFUNCTION("ARRAYFORMULA(VLOOKUP(A900,IMPORTRANGE(""https://docs.google.com/spreadsheets/d/1BuTWp7qHGjWhqrnf-OmePP568O4A5Am9ttzvVdP67zw/edit#gid=771602874"" ,""HUMAN RESOURCES!$A$2:$M$2692""), {2,3,4,5,6,7,8,9,10,11,12,13},0))"),0.009)</f>
        <v>0.009</v>
      </c>
      <c r="Q900" s="14">
        <f>IFERROR(__xludf.DUMMYFUNCTION("""COMPUTED_VALUE"""),0.004)</f>
        <v>0.004</v>
      </c>
      <c r="R900" s="14">
        <f>IFERROR(__xludf.DUMMYFUNCTION("""COMPUTED_VALUE"""),81.0)</f>
        <v>81</v>
      </c>
      <c r="S900" s="14">
        <f>IFERROR(__xludf.DUMMYFUNCTION("""COMPUTED_VALUE"""),76.0)</f>
        <v>76</v>
      </c>
      <c r="T900" s="14">
        <f>IFERROR(__xludf.DUMMYFUNCTION("""COMPUTED_VALUE"""),0.154)</f>
        <v>0.154</v>
      </c>
      <c r="U900" s="14">
        <f>IFERROR(__xludf.DUMMYFUNCTION("""COMPUTED_VALUE"""),0.679)</f>
        <v>0.679</v>
      </c>
      <c r="V900" s="14">
        <f>IFERROR(__xludf.DUMMYFUNCTION("""COMPUTED_VALUE"""),0.168)</f>
        <v>0.168</v>
      </c>
      <c r="W900" s="14">
        <f>IFERROR(__xludf.DUMMYFUNCTION("""COMPUTED_VALUE"""),8.2349925E7)</f>
        <v>82349925</v>
      </c>
      <c r="X900" s="14">
        <f>IFERROR(__xludf.DUMMYFUNCTION("""COMPUTED_VALUE"""),0.731)</f>
        <v>0.731</v>
      </c>
      <c r="Y900" s="14" t="str">
        <f>IFERROR(__xludf.DUMMYFUNCTION("""COMPUTED_VALUE"""),"Germany-Europe")</f>
        <v>Germany-Europe</v>
      </c>
      <c r="Z900" s="14" t="str">
        <f>IFERROR(__xludf.DUMMYFUNCTION("""COMPUTED_VALUE"""),"Europe")</f>
        <v>Europe</v>
      </c>
      <c r="AA900" s="14" t="str">
        <f>IFERROR(__xludf.DUMMYFUNCTION("""COMPUTED_VALUE"""),"2001")</f>
        <v>2001</v>
      </c>
      <c r="AB900" s="15" t="str">
        <f>IFERROR(__xludf.DUMMYFUNCTION("ARRAYFORMULA(VLOOKUP(A900,IMPORTRANGE(""https://docs.google.com/spreadsheets/d/1BuTWp7qHGjWhqrnf-OmePP568O4A5Am9ttzvVdP67zw/edit#gid=1931367683"" ,""ENERGY!$A$2:$F$2692""), {2,3,4,5,6},0))"),"Europe")</f>
        <v>Europe</v>
      </c>
      <c r="AC900" s="14" t="str">
        <f>IFERROR(__xludf.DUMMYFUNCTION("""COMPUTED_VALUE"""),"Germany-Europe")</f>
        <v>Germany-Europe</v>
      </c>
      <c r="AD900" s="14" t="str">
        <f>IFERROR(__xludf.DUMMYFUNCTION("""COMPUTED_VALUE"""),"2001")</f>
        <v>2001</v>
      </c>
      <c r="AE900" s="14">
        <f>IFERROR(__xludf.DUMMYFUNCTION("""COMPUTED_VALUE"""),311770.0)</f>
        <v>311770</v>
      </c>
      <c r="AF900" s="14"/>
    </row>
    <row r="901">
      <c r="A901" s="12">
        <v>900.0</v>
      </c>
      <c r="B901" s="12" t="s">
        <v>148</v>
      </c>
      <c r="C901" s="5" t="s">
        <v>75</v>
      </c>
      <c r="D901" s="8"/>
      <c r="E901" s="8"/>
      <c r="F901" s="8"/>
      <c r="G901" s="8"/>
      <c r="H901" s="11">
        <v>0.488</v>
      </c>
      <c r="I901" s="11">
        <v>0.707</v>
      </c>
      <c r="J901" s="9" t="s">
        <v>63</v>
      </c>
      <c r="K901" s="14" t="str">
        <f>IFERROR(__xludf.DUMMYFUNCTION("ARRAYFORMULA(VLOOKUP(A901,IMPORTRANGE(""https://docs.google.com/spreadsheets/d/1BuTWp7qHGjWhqrnf-OmePP568O4A5Am9ttzvVdP67zw/edit#gid=1603210130"", ""TOURISM!$A$2:$F$2692""), {2,3,4,5,6},0))"),"Europe")</f>
        <v>Europe</v>
      </c>
      <c r="L901" s="14">
        <f>IFERROR(__xludf.DUMMYFUNCTION("""COMPUTED_VALUE"""),2.669E10)</f>
        <v>26690000000</v>
      </c>
      <c r="M901" s="14" t="str">
        <f>IFERROR(__xludf.DUMMYFUNCTION("""COMPUTED_VALUE"""),"Germany-Europe")</f>
        <v>Germany-Europe</v>
      </c>
      <c r="N901" s="14" t="str">
        <f>IFERROR(__xludf.DUMMYFUNCTION("""COMPUTED_VALUE"""),"2002")</f>
        <v>2002</v>
      </c>
      <c r="O901" s="14">
        <f>IFERROR(__xludf.DUMMYFUNCTION("""COMPUTED_VALUE"""),5.9496E10)</f>
        <v>59496000000</v>
      </c>
      <c r="P901" s="15">
        <f>IFERROR(__xludf.DUMMYFUNCTION("ARRAYFORMULA(VLOOKUP(A901,IMPORTRANGE(""https://docs.google.com/spreadsheets/d/1BuTWp7qHGjWhqrnf-OmePP568O4A5Am9ttzvVdP67zw/edit#gid=771602874"" ,""HUMAN RESOURCES!$A$2:$M$2692""), {2,3,4,5,6,7,8,9,10,11,12,13},0))"),0.009)</f>
        <v>0.009</v>
      </c>
      <c r="Q901" s="14">
        <f>IFERROR(__xludf.DUMMYFUNCTION("""COMPUTED_VALUE"""),0.004)</f>
        <v>0.004</v>
      </c>
      <c r="R901" s="14">
        <f>IFERROR(__xludf.DUMMYFUNCTION("""COMPUTED_VALUE"""),81.0)</f>
        <v>81</v>
      </c>
      <c r="S901" s="14">
        <f>IFERROR(__xludf.DUMMYFUNCTION("""COMPUTED_VALUE"""),75.0)</f>
        <v>75</v>
      </c>
      <c r="T901" s="14">
        <f>IFERROR(__xludf.DUMMYFUNCTION("""COMPUTED_VALUE"""),0.151)</f>
        <v>0.151</v>
      </c>
      <c r="U901" s="14">
        <f>IFERROR(__xludf.DUMMYFUNCTION("""COMPUTED_VALUE"""),0.676)</f>
        <v>0.676</v>
      </c>
      <c r="V901" s="14">
        <f>IFERROR(__xludf.DUMMYFUNCTION("""COMPUTED_VALUE"""),0.173)</f>
        <v>0.173</v>
      </c>
      <c r="W901" s="14">
        <f>IFERROR(__xludf.DUMMYFUNCTION("""COMPUTED_VALUE"""),8.2488495E7)</f>
        <v>82488495</v>
      </c>
      <c r="X901" s="14">
        <f>IFERROR(__xludf.DUMMYFUNCTION("""COMPUTED_VALUE"""),0.732)</f>
        <v>0.732</v>
      </c>
      <c r="Y901" s="14" t="str">
        <f>IFERROR(__xludf.DUMMYFUNCTION("""COMPUTED_VALUE"""),"Germany-Europe")</f>
        <v>Germany-Europe</v>
      </c>
      <c r="Z901" s="14" t="str">
        <f>IFERROR(__xludf.DUMMYFUNCTION("""COMPUTED_VALUE"""),"Europe")</f>
        <v>Europe</v>
      </c>
      <c r="AA901" s="14" t="str">
        <f>IFERROR(__xludf.DUMMYFUNCTION("""COMPUTED_VALUE"""),"2002")</f>
        <v>2002</v>
      </c>
      <c r="AB901" s="15" t="str">
        <f>IFERROR(__xludf.DUMMYFUNCTION("ARRAYFORMULA(VLOOKUP(A901,IMPORTRANGE(""https://docs.google.com/spreadsheets/d/1BuTWp7qHGjWhqrnf-OmePP568O4A5Am9ttzvVdP67zw/edit#gid=1931367683"" ,""ENERGY!$A$2:$F$2692""), {2,3,4,5,6},0))"),"Europe")</f>
        <v>Europe</v>
      </c>
      <c r="AC901" s="14" t="str">
        <f>IFERROR(__xludf.DUMMYFUNCTION("""COMPUTED_VALUE"""),"Germany-Europe")</f>
        <v>Germany-Europe</v>
      </c>
      <c r="AD901" s="14" t="str">
        <f>IFERROR(__xludf.DUMMYFUNCTION("""COMPUTED_VALUE"""),"2002")</f>
        <v>2002</v>
      </c>
      <c r="AE901" s="14">
        <f>IFERROR(__xludf.DUMMYFUNCTION("""COMPUTED_VALUE"""),329769.0)</f>
        <v>329769</v>
      </c>
      <c r="AF901" s="14">
        <f>IFERROR(__xludf.DUMMYFUNCTION("""COMPUTED_VALUE"""),745384.0)</f>
        <v>745384</v>
      </c>
    </row>
    <row r="902">
      <c r="A902" s="12">
        <v>901.0</v>
      </c>
      <c r="B902" s="12" t="s">
        <v>148</v>
      </c>
      <c r="C902" s="5" t="s">
        <v>75</v>
      </c>
      <c r="D902" s="8"/>
      <c r="E902" s="11">
        <v>45.0</v>
      </c>
      <c r="F902" s="8"/>
      <c r="G902" s="8"/>
      <c r="H902" s="11">
        <v>0.559</v>
      </c>
      <c r="I902" s="11">
        <v>0.773</v>
      </c>
      <c r="J902" s="9" t="s">
        <v>64</v>
      </c>
      <c r="K902" s="14" t="str">
        <f>IFERROR(__xludf.DUMMYFUNCTION("ARRAYFORMULA(VLOOKUP(A902,IMPORTRANGE(""https://docs.google.com/spreadsheets/d/1BuTWp7qHGjWhqrnf-OmePP568O4A5Am9ttzvVdP67zw/edit#gid=1603210130"", ""TOURISM!$A$2:$F$2692""), {2,3,4,5,6},0))"),"Europe")</f>
        <v>Europe</v>
      </c>
      <c r="L902" s="14">
        <f>IFERROR(__xludf.DUMMYFUNCTION("""COMPUTED_VALUE"""),3.0104E10)</f>
        <v>30104000000</v>
      </c>
      <c r="M902" s="14" t="str">
        <f>IFERROR(__xludf.DUMMYFUNCTION("""COMPUTED_VALUE"""),"Germany-Europe")</f>
        <v>Germany-Europe</v>
      </c>
      <c r="N902" s="14" t="str">
        <f>IFERROR(__xludf.DUMMYFUNCTION("""COMPUTED_VALUE"""),"2003")</f>
        <v>2003</v>
      </c>
      <c r="O902" s="14">
        <f>IFERROR(__xludf.DUMMYFUNCTION("""COMPUTED_VALUE"""),7.3203E10)</f>
        <v>73203000000</v>
      </c>
      <c r="P902" s="15">
        <f>IFERROR(__xludf.DUMMYFUNCTION("ARRAYFORMULA(VLOOKUP(A902,IMPORTRANGE(""https://docs.google.com/spreadsheets/d/1BuTWp7qHGjWhqrnf-OmePP568O4A5Am9ttzvVdP67zw/edit#gid=771602874"" ,""HUMAN RESOURCES!$A$2:$M$2692""), {2,3,4,5,6,7,8,9,10,11,12,13},0))"),0.009)</f>
        <v>0.009</v>
      </c>
      <c r="Q902" s="14">
        <f>IFERROR(__xludf.DUMMYFUNCTION("""COMPUTED_VALUE"""),0.004)</f>
        <v>0.004</v>
      </c>
      <c r="R902" s="14">
        <f>IFERROR(__xludf.DUMMYFUNCTION("""COMPUTED_VALUE"""),81.0)</f>
        <v>81</v>
      </c>
      <c r="S902" s="14">
        <f>IFERROR(__xludf.DUMMYFUNCTION("""COMPUTED_VALUE"""),76.0)</f>
        <v>76</v>
      </c>
      <c r="T902" s="14">
        <f>IFERROR(__xludf.DUMMYFUNCTION("""COMPUTED_VALUE"""),0.148)</f>
        <v>0.148</v>
      </c>
      <c r="U902" s="14">
        <f>IFERROR(__xludf.DUMMYFUNCTION("""COMPUTED_VALUE"""),0.673)</f>
        <v>0.673</v>
      </c>
      <c r="V902" s="14">
        <f>IFERROR(__xludf.DUMMYFUNCTION("""COMPUTED_VALUE"""),0.179)</f>
        <v>0.179</v>
      </c>
      <c r="W902" s="14">
        <f>IFERROR(__xludf.DUMMYFUNCTION("""COMPUTED_VALUE"""),8.2534176E7)</f>
        <v>82534176</v>
      </c>
      <c r="X902" s="14">
        <f>IFERROR(__xludf.DUMMYFUNCTION("""COMPUTED_VALUE"""),0.732)</f>
        <v>0.732</v>
      </c>
      <c r="Y902" s="14" t="str">
        <f>IFERROR(__xludf.DUMMYFUNCTION("""COMPUTED_VALUE"""),"Germany-Europe")</f>
        <v>Germany-Europe</v>
      </c>
      <c r="Z902" s="14" t="str">
        <f>IFERROR(__xludf.DUMMYFUNCTION("""COMPUTED_VALUE"""),"Europe")</f>
        <v>Europe</v>
      </c>
      <c r="AA902" s="14" t="str">
        <f>IFERROR(__xludf.DUMMYFUNCTION("""COMPUTED_VALUE"""),"2003")</f>
        <v>2003</v>
      </c>
      <c r="AB902" s="15" t="str">
        <f>IFERROR(__xludf.DUMMYFUNCTION("ARRAYFORMULA(VLOOKUP(A902,IMPORTRANGE(""https://docs.google.com/spreadsheets/d/1BuTWp7qHGjWhqrnf-OmePP568O4A5Am9ttzvVdP67zw/edit#gid=1931367683"" ,""ENERGY!$A$2:$F$2692""), {2,3,4,5,6},0))"),"Europe")</f>
        <v>Europe</v>
      </c>
      <c r="AC902" s="14" t="str">
        <f>IFERROR(__xludf.DUMMYFUNCTION("""COMPUTED_VALUE"""),"Germany-Europe")</f>
        <v>Germany-Europe</v>
      </c>
      <c r="AD902" s="14" t="str">
        <f>IFERROR(__xludf.DUMMYFUNCTION("""COMPUTED_VALUE"""),"2003")</f>
        <v>2003</v>
      </c>
      <c r="AE902" s="14">
        <f>IFERROR(__xludf.DUMMYFUNCTION("""COMPUTED_VALUE"""),313249.0)</f>
        <v>313249</v>
      </c>
      <c r="AF902" s="14">
        <f>IFERROR(__xludf.DUMMYFUNCTION("""COMPUTED_VALUE"""),732249.0)</f>
        <v>732249</v>
      </c>
    </row>
    <row r="903">
      <c r="A903" s="12">
        <v>902.0</v>
      </c>
      <c r="B903" s="12" t="s">
        <v>148</v>
      </c>
      <c r="C903" s="5" t="s">
        <v>75</v>
      </c>
      <c r="D903" s="8"/>
      <c r="E903" s="11">
        <v>45.0</v>
      </c>
      <c r="F903" s="8"/>
      <c r="G903" s="8"/>
      <c r="H903" s="11">
        <v>0.647</v>
      </c>
      <c r="I903" s="11">
        <v>0.851</v>
      </c>
      <c r="J903" s="9" t="s">
        <v>65</v>
      </c>
      <c r="K903" s="14" t="str">
        <f>IFERROR(__xludf.DUMMYFUNCTION("ARRAYFORMULA(VLOOKUP(A903,IMPORTRANGE(""https://docs.google.com/spreadsheets/d/1BuTWp7qHGjWhqrnf-OmePP568O4A5Am9ttzvVdP67zw/edit#gid=1603210130"", ""TOURISM!$A$2:$F$2692""), {2,3,4,5,6},0))"),"Europe")</f>
        <v>Europe</v>
      </c>
      <c r="L903" s="14">
        <f>IFERROR(__xludf.DUMMYFUNCTION("""COMPUTED_VALUE"""),3.639E10)</f>
        <v>36390000000</v>
      </c>
      <c r="M903" s="14" t="str">
        <f>IFERROR(__xludf.DUMMYFUNCTION("""COMPUTED_VALUE"""),"Germany-Europe")</f>
        <v>Germany-Europe</v>
      </c>
      <c r="N903" s="14" t="str">
        <f>IFERROR(__xludf.DUMMYFUNCTION("""COMPUTED_VALUE"""),"2004")</f>
        <v>2004</v>
      </c>
      <c r="O903" s="14">
        <f>IFERROR(__xludf.DUMMYFUNCTION("""COMPUTED_VALUE"""),8.0624E10)</f>
        <v>80624000000</v>
      </c>
      <c r="P903" s="15">
        <f>IFERROR(__xludf.DUMMYFUNCTION("ARRAYFORMULA(VLOOKUP(A903,IMPORTRANGE(""https://docs.google.com/spreadsheets/d/1BuTWp7qHGjWhqrnf-OmePP568O4A5Am9ttzvVdP67zw/edit#gid=771602874"" ,""HUMAN RESOURCES!$A$2:$M$2692""), {2,3,4,5,6,7,8,9,10,11,12,13},0))"),0.009)</f>
        <v>0.009</v>
      </c>
      <c r="Q903" s="14">
        <f>IFERROR(__xludf.DUMMYFUNCTION("""COMPUTED_VALUE"""),0.004)</f>
        <v>0.004</v>
      </c>
      <c r="R903" s="14">
        <f>IFERROR(__xludf.DUMMYFUNCTION("""COMPUTED_VALUE"""),82.0)</f>
        <v>82</v>
      </c>
      <c r="S903" s="14">
        <f>IFERROR(__xludf.DUMMYFUNCTION("""COMPUTED_VALUE"""),76.0)</f>
        <v>76</v>
      </c>
      <c r="T903" s="14">
        <f>IFERROR(__xludf.DUMMYFUNCTION("""COMPUTED_VALUE"""),0.146)</f>
        <v>0.146</v>
      </c>
      <c r="U903" s="14">
        <f>IFERROR(__xludf.DUMMYFUNCTION("""COMPUTED_VALUE"""),0.67)</f>
        <v>0.67</v>
      </c>
      <c r="V903" s="14">
        <f>IFERROR(__xludf.DUMMYFUNCTION("""COMPUTED_VALUE"""),0.184)</f>
        <v>0.184</v>
      </c>
      <c r="W903" s="14">
        <f>IFERROR(__xludf.DUMMYFUNCTION("""COMPUTED_VALUE"""),8.251626E7)</f>
        <v>82516260</v>
      </c>
      <c r="X903" s="14">
        <f>IFERROR(__xludf.DUMMYFUNCTION("""COMPUTED_VALUE"""),0.733)</f>
        <v>0.733</v>
      </c>
      <c r="Y903" s="14" t="str">
        <f>IFERROR(__xludf.DUMMYFUNCTION("""COMPUTED_VALUE"""),"Germany-Europe")</f>
        <v>Germany-Europe</v>
      </c>
      <c r="Z903" s="14" t="str">
        <f>IFERROR(__xludf.DUMMYFUNCTION("""COMPUTED_VALUE"""),"Europe")</f>
        <v>Europe</v>
      </c>
      <c r="AA903" s="14" t="str">
        <f>IFERROR(__xludf.DUMMYFUNCTION("""COMPUTED_VALUE"""),"2004")</f>
        <v>2004</v>
      </c>
      <c r="AB903" s="15" t="str">
        <f>IFERROR(__xludf.DUMMYFUNCTION("ARRAYFORMULA(VLOOKUP(A903,IMPORTRANGE(""https://docs.google.com/spreadsheets/d/1BuTWp7qHGjWhqrnf-OmePP568O4A5Am9ttzvVdP67zw/edit#gid=1931367683"" ,""ENERGY!$A$2:$F$2692""), {2,3,4,5,6},0))"),"Europe")</f>
        <v>Europe</v>
      </c>
      <c r="AC903" s="14" t="str">
        <f>IFERROR(__xludf.DUMMYFUNCTION("""COMPUTED_VALUE"""),"Germany-Europe")</f>
        <v>Germany-Europe</v>
      </c>
      <c r="AD903" s="14" t="str">
        <f>IFERROR(__xludf.DUMMYFUNCTION("""COMPUTED_VALUE"""),"2004")</f>
        <v>2004</v>
      </c>
      <c r="AE903" s="14">
        <f>IFERROR(__xludf.DUMMYFUNCTION("""COMPUTED_VALUE"""),334634.0)</f>
        <v>334634</v>
      </c>
      <c r="AF903" s="14">
        <f>IFERROR(__xludf.DUMMYFUNCTION("""COMPUTED_VALUE"""),783359.0)</f>
        <v>783359</v>
      </c>
    </row>
    <row r="904">
      <c r="A904" s="12">
        <v>903.0</v>
      </c>
      <c r="B904" s="12" t="s">
        <v>148</v>
      </c>
      <c r="C904" s="5" t="s">
        <v>75</v>
      </c>
      <c r="D904" s="11">
        <v>0.477</v>
      </c>
      <c r="E904" s="11">
        <v>45.0</v>
      </c>
      <c r="F904" s="8"/>
      <c r="G904" s="11">
        <v>196.0</v>
      </c>
      <c r="H904" s="11">
        <v>0.687</v>
      </c>
      <c r="I904" s="11">
        <v>0.946</v>
      </c>
      <c r="J904" s="9" t="s">
        <v>66</v>
      </c>
      <c r="K904" s="14" t="str">
        <f>IFERROR(__xludf.DUMMYFUNCTION("ARRAYFORMULA(VLOOKUP(A904,IMPORTRANGE(""https://docs.google.com/spreadsheets/d/1BuTWp7qHGjWhqrnf-OmePP568O4A5Am9ttzvVdP67zw/edit#gid=1603210130"", ""TOURISM!$A$2:$F$2692""), {2,3,4,5,6},0))"),"Europe")</f>
        <v>Europe</v>
      </c>
      <c r="L904" s="14">
        <f>IFERROR(__xludf.DUMMYFUNCTION("""COMPUTED_VALUE"""),4.0531E10)</f>
        <v>40531000000</v>
      </c>
      <c r="M904" s="14" t="str">
        <f>IFERROR(__xludf.DUMMYFUNCTION("""COMPUTED_VALUE"""),"Germany-Europe")</f>
        <v>Germany-Europe</v>
      </c>
      <c r="N904" s="14" t="str">
        <f>IFERROR(__xludf.DUMMYFUNCTION("""COMPUTED_VALUE"""),"2005")</f>
        <v>2005</v>
      </c>
      <c r="O904" s="14">
        <f>IFERROR(__xludf.DUMMYFUNCTION("""COMPUTED_VALUE"""),8.4838E10)</f>
        <v>84838000000</v>
      </c>
      <c r="P904" s="15">
        <f>IFERROR(__xludf.DUMMYFUNCTION("ARRAYFORMULA(VLOOKUP(A904,IMPORTRANGE(""https://docs.google.com/spreadsheets/d/1BuTWp7qHGjWhqrnf-OmePP568O4A5Am9ttzvVdP67zw/edit#gid=771602874"" ,""HUMAN RESOURCES!$A$2:$M$2692""), {2,3,4,5,6,7,8,9,10,11,12,13},0))"),0.008)</f>
        <v>0.008</v>
      </c>
      <c r="Q904" s="14">
        <f>IFERROR(__xludf.DUMMYFUNCTION("""COMPUTED_VALUE"""),0.004)</f>
        <v>0.004</v>
      </c>
      <c r="R904" s="14">
        <f>IFERROR(__xludf.DUMMYFUNCTION("""COMPUTED_VALUE"""),82.0)</f>
        <v>82</v>
      </c>
      <c r="S904" s="14">
        <f>IFERROR(__xludf.DUMMYFUNCTION("""COMPUTED_VALUE"""),76.0)</f>
        <v>76</v>
      </c>
      <c r="T904" s="14">
        <f>IFERROR(__xludf.DUMMYFUNCTION("""COMPUTED_VALUE"""),0.143)</f>
        <v>0.143</v>
      </c>
      <c r="U904" s="14">
        <f>IFERROR(__xludf.DUMMYFUNCTION("""COMPUTED_VALUE"""),0.667)</f>
        <v>0.667</v>
      </c>
      <c r="V904" s="14">
        <f>IFERROR(__xludf.DUMMYFUNCTION("""COMPUTED_VALUE"""),0.189)</f>
        <v>0.189</v>
      </c>
      <c r="W904" s="14">
        <f>IFERROR(__xludf.DUMMYFUNCTION("""COMPUTED_VALUE"""),8.2469422E7)</f>
        <v>82469422</v>
      </c>
      <c r="X904" s="14">
        <f>IFERROR(__xludf.DUMMYFUNCTION("""COMPUTED_VALUE"""),0.734)</f>
        <v>0.734</v>
      </c>
      <c r="Y904" s="14" t="str">
        <f>IFERROR(__xludf.DUMMYFUNCTION("""COMPUTED_VALUE"""),"Germany-Europe")</f>
        <v>Germany-Europe</v>
      </c>
      <c r="Z904" s="14" t="str">
        <f>IFERROR(__xludf.DUMMYFUNCTION("""COMPUTED_VALUE"""),"Europe")</f>
        <v>Europe</v>
      </c>
      <c r="AA904" s="14" t="str">
        <f>IFERROR(__xludf.DUMMYFUNCTION("""COMPUTED_VALUE"""),"2005")</f>
        <v>2005</v>
      </c>
      <c r="AB904" s="15" t="str">
        <f>IFERROR(__xludf.DUMMYFUNCTION("ARRAYFORMULA(VLOOKUP(A904,IMPORTRANGE(""https://docs.google.com/spreadsheets/d/1BuTWp7qHGjWhqrnf-OmePP568O4A5Am9ttzvVdP67zw/edit#gid=1931367683"" ,""ENERGY!$A$2:$F$2692""), {2,3,4,5,6},0))"),"Europe")</f>
        <v>Europe</v>
      </c>
      <c r="AC904" s="14" t="str">
        <f>IFERROR(__xludf.DUMMYFUNCTION("""COMPUTED_VALUE"""),"Germany-Europe")</f>
        <v>Germany-Europe</v>
      </c>
      <c r="AD904" s="14" t="str">
        <f>IFERROR(__xludf.DUMMYFUNCTION("""COMPUTED_VALUE"""),"2006")</f>
        <v>2006</v>
      </c>
      <c r="AE904" s="14">
        <f>IFERROR(__xludf.DUMMYFUNCTION("""COMPUTED_VALUE"""),330719.0)</f>
        <v>330719</v>
      </c>
      <c r="AF904" s="14">
        <f>IFERROR(__xludf.DUMMYFUNCTION("""COMPUTED_VALUE"""),784016.0)</f>
        <v>784016</v>
      </c>
    </row>
    <row r="905">
      <c r="A905" s="12">
        <v>904.0</v>
      </c>
      <c r="B905" s="12" t="s">
        <v>148</v>
      </c>
      <c r="C905" s="5" t="s">
        <v>75</v>
      </c>
      <c r="D905" s="11">
        <v>0.474</v>
      </c>
      <c r="E905" s="11">
        <v>24.0</v>
      </c>
      <c r="F905" s="8"/>
      <c r="G905" s="11">
        <v>196.0</v>
      </c>
      <c r="H905" s="11">
        <v>0.722</v>
      </c>
      <c r="I905" s="11">
        <v>1.023</v>
      </c>
      <c r="J905" s="9" t="s">
        <v>67</v>
      </c>
      <c r="K905" s="14" t="str">
        <f>IFERROR(__xludf.DUMMYFUNCTION("ARRAYFORMULA(VLOOKUP(A905,IMPORTRANGE(""https://docs.google.com/spreadsheets/d/1BuTWp7qHGjWhqrnf-OmePP568O4A5Am9ttzvVdP67zw/edit#gid=1603210130"", ""TOURISM!$A$2:$F$2692""), {2,3,4,5,6},0))"),"Europe")</f>
        <v>Europe</v>
      </c>
      <c r="L905" s="14">
        <f>IFERROR(__xludf.DUMMYFUNCTION("""COMPUTED_VALUE"""),4.5538E10)</f>
        <v>45538000000</v>
      </c>
      <c r="M905" s="14" t="str">
        <f>IFERROR(__xludf.DUMMYFUNCTION("""COMPUTED_VALUE"""),"Germany-Europe")</f>
        <v>Germany-Europe</v>
      </c>
      <c r="N905" s="14" t="str">
        <f>IFERROR(__xludf.DUMMYFUNCTION("""COMPUTED_VALUE"""),"2006")</f>
        <v>2006</v>
      </c>
      <c r="O905" s="14">
        <f>IFERROR(__xludf.DUMMYFUNCTION("""COMPUTED_VALUE"""),8.5974E10)</f>
        <v>85974000000</v>
      </c>
      <c r="P905" s="15">
        <f>IFERROR(__xludf.DUMMYFUNCTION("ARRAYFORMULA(VLOOKUP(A905,IMPORTRANGE(""https://docs.google.com/spreadsheets/d/1BuTWp7qHGjWhqrnf-OmePP568O4A5Am9ttzvVdP67zw/edit#gid=771602874"" ,""HUMAN RESOURCES!$A$2:$M$2692""), {2,3,4,5,6,7,8,9,10,11,12,13},0))"),0.008)</f>
        <v>0.008</v>
      </c>
      <c r="Q905" s="14">
        <f>IFERROR(__xludf.DUMMYFUNCTION("""COMPUTED_VALUE"""),0.004)</f>
        <v>0.004</v>
      </c>
      <c r="R905" s="14">
        <f>IFERROR(__xludf.DUMMYFUNCTION("""COMPUTED_VALUE"""),82.0)</f>
        <v>82</v>
      </c>
      <c r="S905" s="14">
        <f>IFERROR(__xludf.DUMMYFUNCTION("""COMPUTED_VALUE"""),76.0)</f>
        <v>76</v>
      </c>
      <c r="T905" s="14">
        <f>IFERROR(__xludf.DUMMYFUNCTION("""COMPUTED_VALUE"""),0.141)</f>
        <v>0.141</v>
      </c>
      <c r="U905" s="14">
        <f>IFERROR(__xludf.DUMMYFUNCTION("""COMPUTED_VALUE"""),0.665)</f>
        <v>0.665</v>
      </c>
      <c r="V905" s="14">
        <f>IFERROR(__xludf.DUMMYFUNCTION("""COMPUTED_VALUE"""),0.194)</f>
        <v>0.194</v>
      </c>
      <c r="W905" s="14">
        <f>IFERROR(__xludf.DUMMYFUNCTION("""COMPUTED_VALUE"""),8.2376451E7)</f>
        <v>82376451</v>
      </c>
      <c r="X905" s="14">
        <f>IFERROR(__xludf.DUMMYFUNCTION("""COMPUTED_VALUE"""),0.735)</f>
        <v>0.735</v>
      </c>
      <c r="Y905" s="14" t="str">
        <f>IFERROR(__xludf.DUMMYFUNCTION("""COMPUTED_VALUE"""),"Germany-Europe")</f>
        <v>Germany-Europe</v>
      </c>
      <c r="Z905" s="14" t="str">
        <f>IFERROR(__xludf.DUMMYFUNCTION("""COMPUTED_VALUE"""),"Europe")</f>
        <v>Europe</v>
      </c>
      <c r="AA905" s="14" t="str">
        <f>IFERROR(__xludf.DUMMYFUNCTION("""COMPUTED_VALUE"""),"2006")</f>
        <v>2006</v>
      </c>
      <c r="AB905" s="15" t="str">
        <f>IFERROR(__xludf.DUMMYFUNCTION("ARRAYFORMULA(VLOOKUP(A905,IMPORTRANGE(""https://docs.google.com/spreadsheets/d/1BuTWp7qHGjWhqrnf-OmePP568O4A5Am9ttzvVdP67zw/edit#gid=1931367683"" ,""ENERGY!$A$2:$F$2692""), {2,3,4,5,6},0))"),"Europe")</f>
        <v>Europe</v>
      </c>
      <c r="AC905" s="14" t="str">
        <f>IFERROR(__xludf.DUMMYFUNCTION("""COMPUTED_VALUE"""),"Germany-Europe")</f>
        <v>Germany-Europe</v>
      </c>
      <c r="AD905" s="14" t="str">
        <f>IFERROR(__xludf.DUMMYFUNCTION("""COMPUTED_VALUE"""),"2010")</f>
        <v>2010</v>
      </c>
      <c r="AE905" s="14">
        <f>IFERROR(__xludf.DUMMYFUNCTION("""COMPUTED_VALUE"""),340492.0)</f>
        <v>340492</v>
      </c>
      <c r="AF905" s="14">
        <f>IFERROR(__xludf.DUMMYFUNCTION("""COMPUTED_VALUE"""),808860.0)</f>
        <v>808860</v>
      </c>
    </row>
    <row r="906">
      <c r="A906" s="12">
        <v>905.0</v>
      </c>
      <c r="B906" s="12" t="s">
        <v>148</v>
      </c>
      <c r="C906" s="5" t="s">
        <v>75</v>
      </c>
      <c r="D906" s="11">
        <v>0.49</v>
      </c>
      <c r="E906" s="11">
        <v>18.0</v>
      </c>
      <c r="F906" s="8"/>
      <c r="G906" s="11">
        <v>196.0</v>
      </c>
      <c r="H906" s="11">
        <v>0.752</v>
      </c>
      <c r="I906" s="11">
        <v>1.151</v>
      </c>
      <c r="J906" s="9" t="s">
        <v>68</v>
      </c>
      <c r="K906" s="14" t="str">
        <f>IFERROR(__xludf.DUMMYFUNCTION("ARRAYFORMULA(VLOOKUP(A906,IMPORTRANGE(""https://docs.google.com/spreadsheets/d/1BuTWp7qHGjWhqrnf-OmePP568O4A5Am9ttzvVdP67zw/edit#gid=1603210130"", ""TOURISM!$A$2:$F$2692""), {2,3,4,5,6},0))"),"Europe")</f>
        <v>Europe</v>
      </c>
      <c r="L906" s="14">
        <f>IFERROR(__xludf.DUMMYFUNCTION("""COMPUTED_VALUE"""),4.9332E10)</f>
        <v>49332000000</v>
      </c>
      <c r="M906" s="14" t="str">
        <f>IFERROR(__xludf.DUMMYFUNCTION("""COMPUTED_VALUE"""),"Germany-Europe")</f>
        <v>Germany-Europe</v>
      </c>
      <c r="N906" s="14" t="str">
        <f>IFERROR(__xludf.DUMMYFUNCTION("""COMPUTED_VALUE"""),"2007")</f>
        <v>2007</v>
      </c>
      <c r="O906" s="14">
        <f>IFERROR(__xludf.DUMMYFUNCTION("""COMPUTED_VALUE"""),9.6549E10)</f>
        <v>96549000000</v>
      </c>
      <c r="P906" s="15">
        <f>IFERROR(__xludf.DUMMYFUNCTION("ARRAYFORMULA(VLOOKUP(A906,IMPORTRANGE(""https://docs.google.com/spreadsheets/d/1BuTWp7qHGjWhqrnf-OmePP568O4A5Am9ttzvVdP67zw/edit#gid=771602874"" ,""HUMAN RESOURCES!$A$2:$M$2692""), {2,3,4,5,6,7,8,9,10,11,12,13},0))"),0.008)</f>
        <v>0.008</v>
      </c>
      <c r="Q906" s="14">
        <f>IFERROR(__xludf.DUMMYFUNCTION("""COMPUTED_VALUE"""),0.004)</f>
        <v>0.004</v>
      </c>
      <c r="R906" s="14">
        <f>IFERROR(__xludf.DUMMYFUNCTION("""COMPUTED_VALUE"""),82.0)</f>
        <v>82</v>
      </c>
      <c r="S906" s="14">
        <f>IFERROR(__xludf.DUMMYFUNCTION("""COMPUTED_VALUE"""),77.0)</f>
        <v>77</v>
      </c>
      <c r="T906" s="14">
        <f>IFERROR(__xludf.DUMMYFUNCTION("""COMPUTED_VALUE"""),0.139)</f>
        <v>0.139</v>
      </c>
      <c r="U906" s="14">
        <f>IFERROR(__xludf.DUMMYFUNCTION("""COMPUTED_VALUE"""),0.662)</f>
        <v>0.662</v>
      </c>
      <c r="V906" s="14">
        <f>IFERROR(__xludf.DUMMYFUNCTION("""COMPUTED_VALUE"""),0.198)</f>
        <v>0.198</v>
      </c>
      <c r="W906" s="14">
        <f>IFERROR(__xludf.DUMMYFUNCTION("""COMPUTED_VALUE"""),8.2266372E7)</f>
        <v>82266372</v>
      </c>
      <c r="X906" s="14">
        <f>IFERROR(__xludf.DUMMYFUNCTION("""COMPUTED_VALUE"""),0.737)</f>
        <v>0.737</v>
      </c>
      <c r="Y906" s="14" t="str">
        <f>IFERROR(__xludf.DUMMYFUNCTION("""COMPUTED_VALUE"""),"Germany-Europe")</f>
        <v>Germany-Europe</v>
      </c>
      <c r="Z906" s="14" t="str">
        <f>IFERROR(__xludf.DUMMYFUNCTION("""COMPUTED_VALUE"""),"Europe")</f>
        <v>Europe</v>
      </c>
      <c r="AA906" s="14" t="str">
        <f>IFERROR(__xludf.DUMMYFUNCTION("""COMPUTED_VALUE"""),"2007")</f>
        <v>2007</v>
      </c>
      <c r="AB906" s="15" t="str">
        <f>IFERROR(__xludf.DUMMYFUNCTION("ARRAYFORMULA(VLOOKUP(A906,IMPORTRANGE(""https://docs.google.com/spreadsheets/d/1BuTWp7qHGjWhqrnf-OmePP568O4A5Am9ttzvVdP67zw/edit#gid=1931367683"" ,""ENERGY!$A$2:$F$2692""), {2,3,4,5,6},0))"),"Europe")</f>
        <v>Europe</v>
      </c>
      <c r="AC906" s="14" t="str">
        <f>IFERROR(__xludf.DUMMYFUNCTION("""COMPUTED_VALUE"""),"Germany-Europe")</f>
        <v>Germany-Europe</v>
      </c>
      <c r="AD906" s="14" t="str">
        <f>IFERROR(__xludf.DUMMYFUNCTION("""COMPUTED_VALUE"""),"2007")</f>
        <v>2007</v>
      </c>
      <c r="AE906" s="14">
        <f>IFERROR(__xludf.DUMMYFUNCTION("""COMPUTED_VALUE"""),335185.0)</f>
        <v>335185</v>
      </c>
      <c r="AF906" s="14">
        <f>IFERROR(__xludf.DUMMYFUNCTION("""COMPUTED_VALUE"""),806703.0)</f>
        <v>806703</v>
      </c>
    </row>
    <row r="907">
      <c r="A907" s="12">
        <v>906.0</v>
      </c>
      <c r="B907" s="12" t="s">
        <v>148</v>
      </c>
      <c r="C907" s="5" t="s">
        <v>75</v>
      </c>
      <c r="D907" s="11">
        <v>0.494</v>
      </c>
      <c r="E907" s="11">
        <v>18.0</v>
      </c>
      <c r="F907" s="8"/>
      <c r="G907" s="11">
        <v>196.0</v>
      </c>
      <c r="H907" s="11">
        <v>0.78</v>
      </c>
      <c r="I907" s="11">
        <v>1.266</v>
      </c>
      <c r="J907" s="9" t="s">
        <v>69</v>
      </c>
      <c r="K907" s="14" t="str">
        <f>IFERROR(__xludf.DUMMYFUNCTION("ARRAYFORMULA(VLOOKUP(A907,IMPORTRANGE(""https://docs.google.com/spreadsheets/d/1BuTWp7qHGjWhqrnf-OmePP568O4A5Am9ttzvVdP67zw/edit#gid=1603210130"", ""TOURISM!$A$2:$F$2692""), {2,3,4,5,6},0))"),"Europe")</f>
        <v>Europe</v>
      </c>
      <c r="L907" s="14">
        <f>IFERROR(__xludf.DUMMYFUNCTION("""COMPUTED_VALUE"""),5.3398E10)</f>
        <v>53398000000</v>
      </c>
      <c r="M907" s="14" t="str">
        <f>IFERROR(__xludf.DUMMYFUNCTION("""COMPUTED_VALUE"""),"Germany-Europe")</f>
        <v>Germany-Europe</v>
      </c>
      <c r="N907" s="14" t="str">
        <f>IFERROR(__xludf.DUMMYFUNCTION("""COMPUTED_VALUE"""),"2008")</f>
        <v>2008</v>
      </c>
      <c r="O907" s="14"/>
      <c r="P907" s="15">
        <f>IFERROR(__xludf.DUMMYFUNCTION("ARRAYFORMULA(VLOOKUP(A907,IMPORTRANGE(""https://docs.google.com/spreadsheets/d/1BuTWp7qHGjWhqrnf-OmePP568O4A5Am9ttzvVdP67zw/edit#gid=771602874"" ,""HUMAN RESOURCES!$A$2:$M$2692""), {2,3,4,5,6,7,8,9,10,11,12,13},0))"),0.008)</f>
        <v>0.008</v>
      </c>
      <c r="Q907" s="14">
        <f>IFERROR(__xludf.DUMMYFUNCTION("""COMPUTED_VALUE"""),0.004)</f>
        <v>0.004</v>
      </c>
      <c r="R907" s="14">
        <f>IFERROR(__xludf.DUMMYFUNCTION("""COMPUTED_VALUE"""),82.0)</f>
        <v>82</v>
      </c>
      <c r="S907" s="14">
        <f>IFERROR(__xludf.DUMMYFUNCTION("""COMPUTED_VALUE"""),77.0)</f>
        <v>77</v>
      </c>
      <c r="T907" s="14">
        <f>IFERROR(__xludf.DUMMYFUNCTION("""COMPUTED_VALUE"""),0.137)</f>
        <v>0.137</v>
      </c>
      <c r="U907" s="14">
        <f>IFERROR(__xludf.DUMMYFUNCTION("""COMPUTED_VALUE"""),0.66)</f>
        <v>0.66</v>
      </c>
      <c r="V907" s="14">
        <f>IFERROR(__xludf.DUMMYFUNCTION("""COMPUTED_VALUE"""),0.202)</f>
        <v>0.202</v>
      </c>
      <c r="W907" s="14">
        <f>IFERROR(__xludf.DUMMYFUNCTION("""COMPUTED_VALUE"""),8.2110097E7)</f>
        <v>82110097</v>
      </c>
      <c r="X907" s="14">
        <f>IFERROR(__xludf.DUMMYFUNCTION("""COMPUTED_VALUE"""),0.739)</f>
        <v>0.739</v>
      </c>
      <c r="Y907" s="14" t="str">
        <f>IFERROR(__xludf.DUMMYFUNCTION("""COMPUTED_VALUE"""),"Germany-Europe")</f>
        <v>Germany-Europe</v>
      </c>
      <c r="Z907" s="14" t="str">
        <f>IFERROR(__xludf.DUMMYFUNCTION("""COMPUTED_VALUE"""),"Europe")</f>
        <v>Europe</v>
      </c>
      <c r="AA907" s="14" t="str">
        <f>IFERROR(__xludf.DUMMYFUNCTION("""COMPUTED_VALUE"""),"2008")</f>
        <v>2008</v>
      </c>
      <c r="AB907" s="15" t="str">
        <f>IFERROR(__xludf.DUMMYFUNCTION("ARRAYFORMULA(VLOOKUP(A907,IMPORTRANGE(""https://docs.google.com/spreadsheets/d/1BuTWp7qHGjWhqrnf-OmePP568O4A5Am9ttzvVdP67zw/edit#gid=1931367683"" ,""ENERGY!$A$2:$F$2692""), {2,3,4,5,6},0))"),"Europe")</f>
        <v>Europe</v>
      </c>
      <c r="AC907" s="14" t="str">
        <f>IFERROR(__xludf.DUMMYFUNCTION("""COMPUTED_VALUE"""),"Germany-Europe")</f>
        <v>Germany-Europe</v>
      </c>
      <c r="AD907" s="14" t="str">
        <f>IFERROR(__xludf.DUMMYFUNCTION("""COMPUTED_VALUE"""),"2005")</f>
        <v>2005</v>
      </c>
      <c r="AE907" s="14">
        <f>IFERROR(__xludf.DUMMYFUNCTION("""COMPUTED_VALUE"""),340676.0)</f>
        <v>340676</v>
      </c>
      <c r="AF907" s="14">
        <f>IFERROR(__xludf.DUMMYFUNCTION("""COMPUTED_VALUE"""),825896.0)</f>
        <v>825896</v>
      </c>
    </row>
    <row r="908">
      <c r="A908" s="12">
        <v>907.0</v>
      </c>
      <c r="B908" s="12" t="s">
        <v>148</v>
      </c>
      <c r="C908" s="5" t="s">
        <v>75</v>
      </c>
      <c r="D908" s="11">
        <v>0.439</v>
      </c>
      <c r="E908" s="11">
        <v>18.0</v>
      </c>
      <c r="F908" s="8"/>
      <c r="G908" s="11">
        <v>196.0</v>
      </c>
      <c r="H908" s="11">
        <v>0.79</v>
      </c>
      <c r="I908" s="11">
        <v>1.262</v>
      </c>
      <c r="J908" s="9" t="s">
        <v>70</v>
      </c>
      <c r="K908" s="14" t="str">
        <f>IFERROR(__xludf.DUMMYFUNCTION("ARRAYFORMULA(VLOOKUP(A908,IMPORTRANGE(""https://docs.google.com/spreadsheets/d/1BuTWp7qHGjWhqrnf-OmePP568O4A5Am9ttzvVdP67zw/edit#gid=1603210130"", ""TOURISM!$A$2:$F$2692""), {2,3,4,5,6},0))"),"Europe")</f>
        <v>Europe</v>
      </c>
      <c r="L908" s="14">
        <f>IFERROR(__xludf.DUMMYFUNCTION("""COMPUTED_VALUE"""),4.7466E10)</f>
        <v>47466000000</v>
      </c>
      <c r="M908" s="14" t="str">
        <f>IFERROR(__xludf.DUMMYFUNCTION("""COMPUTED_VALUE"""),"Germany-Europe")</f>
        <v>Germany-Europe</v>
      </c>
      <c r="N908" s="14" t="str">
        <f>IFERROR(__xludf.DUMMYFUNCTION("""COMPUTED_VALUE"""),"2009")</f>
        <v>2009</v>
      </c>
      <c r="O908" s="14">
        <f>IFERROR(__xludf.DUMMYFUNCTION("""COMPUTED_VALUE"""),9.3112E10)</f>
        <v>93112000000</v>
      </c>
      <c r="P908" s="15">
        <f>IFERROR(__xludf.DUMMYFUNCTION("ARRAYFORMULA(VLOOKUP(A908,IMPORTRANGE(""https://docs.google.com/spreadsheets/d/1BuTWp7qHGjWhqrnf-OmePP568O4A5Am9ttzvVdP67zw/edit#gid=771602874"" ,""HUMAN RESOURCES!$A$2:$M$2692""), {2,3,4,5,6,7,8,9,10,11,12,13},0))"),0.008)</f>
        <v>0.008</v>
      </c>
      <c r="Q908" s="14">
        <f>IFERROR(__xludf.DUMMYFUNCTION("""COMPUTED_VALUE"""),0.004)</f>
        <v>0.004</v>
      </c>
      <c r="R908" s="14">
        <f>IFERROR(__xludf.DUMMYFUNCTION("""COMPUTED_VALUE"""),83.0)</f>
        <v>83</v>
      </c>
      <c r="S908" s="14">
        <f>IFERROR(__xludf.DUMMYFUNCTION("""COMPUTED_VALUE"""),77.0)</f>
        <v>77</v>
      </c>
      <c r="T908" s="14">
        <f>IFERROR(__xludf.DUMMYFUNCTION("""COMPUTED_VALUE"""),0.136)</f>
        <v>0.136</v>
      </c>
      <c r="U908" s="14">
        <f>IFERROR(__xludf.DUMMYFUNCTION("""COMPUTED_VALUE"""),0.659)</f>
        <v>0.659</v>
      </c>
      <c r="V908" s="14">
        <f>IFERROR(__xludf.DUMMYFUNCTION("""COMPUTED_VALUE"""),0.206)</f>
        <v>0.206</v>
      </c>
      <c r="W908" s="14">
        <f>IFERROR(__xludf.DUMMYFUNCTION("""COMPUTED_VALUE"""),8.1902307E7)</f>
        <v>81902307</v>
      </c>
      <c r="X908" s="14">
        <f>IFERROR(__xludf.DUMMYFUNCTION("""COMPUTED_VALUE"""),0.741)</f>
        <v>0.741</v>
      </c>
      <c r="Y908" s="14" t="str">
        <f>IFERROR(__xludf.DUMMYFUNCTION("""COMPUTED_VALUE"""),"Germany-Europe")</f>
        <v>Germany-Europe</v>
      </c>
      <c r="Z908" s="14" t="str">
        <f>IFERROR(__xludf.DUMMYFUNCTION("""COMPUTED_VALUE"""),"Europe")</f>
        <v>Europe</v>
      </c>
      <c r="AA908" s="14" t="str">
        <f>IFERROR(__xludf.DUMMYFUNCTION("""COMPUTED_VALUE"""),"2009")</f>
        <v>2009</v>
      </c>
      <c r="AB908" s="15" t="str">
        <f>IFERROR(__xludf.DUMMYFUNCTION("ARRAYFORMULA(VLOOKUP(A908,IMPORTRANGE(""https://docs.google.com/spreadsheets/d/1BuTWp7qHGjWhqrnf-OmePP568O4A5Am9ttzvVdP67zw/edit#gid=1931367683"" ,""ENERGY!$A$2:$F$2692""), {2,3,4,5,6},0))"),"Europe")</f>
        <v>Europe</v>
      </c>
      <c r="AC908" s="14" t="str">
        <f>IFERROR(__xludf.DUMMYFUNCTION("""COMPUTED_VALUE"""),"Germany-Europe")</f>
        <v>Germany-Europe</v>
      </c>
      <c r="AD908" s="14" t="str">
        <f>IFERROR(__xludf.DUMMYFUNCTION("""COMPUTED_VALUE"""),"2009")</f>
        <v>2009</v>
      </c>
      <c r="AE908" s="14">
        <f>IFERROR(__xludf.DUMMYFUNCTION("""COMPUTED_VALUE"""),338070.0)</f>
        <v>338070</v>
      </c>
      <c r="AF908" s="14">
        <f>IFERROR(__xludf.DUMMYFUNCTION("""COMPUTED_VALUE"""),833406.0)</f>
        <v>833406</v>
      </c>
    </row>
    <row r="909">
      <c r="A909" s="12">
        <v>908.0</v>
      </c>
      <c r="B909" s="12" t="s">
        <v>148</v>
      </c>
      <c r="C909" s="5" t="s">
        <v>75</v>
      </c>
      <c r="D909" s="11">
        <v>0.47</v>
      </c>
      <c r="E909" s="11">
        <v>15.0</v>
      </c>
      <c r="F909" s="8"/>
      <c r="G909" s="11">
        <v>215.0</v>
      </c>
      <c r="H909" s="11">
        <v>0.82</v>
      </c>
      <c r="I909" s="11">
        <v>1.065</v>
      </c>
      <c r="J909" s="9" t="s">
        <v>71</v>
      </c>
      <c r="K909" s="14" t="str">
        <f>IFERROR(__xludf.DUMMYFUNCTION("ARRAYFORMULA(VLOOKUP(A909,IMPORTRANGE(""https://docs.google.com/spreadsheets/d/1BuTWp7qHGjWhqrnf-OmePP568O4A5Am9ttzvVdP67zw/edit#gid=1603210130"", ""TOURISM!$A$2:$F$2692""), {2,3,4,5,6},0))"),"Europe")</f>
        <v>Europe</v>
      </c>
      <c r="L909" s="14">
        <f>IFERROR(__xludf.DUMMYFUNCTION("""COMPUTED_VALUE"""),4.9108E10)</f>
        <v>49108000000</v>
      </c>
      <c r="M909" s="14" t="str">
        <f>IFERROR(__xludf.DUMMYFUNCTION("""COMPUTED_VALUE"""),"Germany-Europe")</f>
        <v>Germany-Europe</v>
      </c>
      <c r="N909" s="14" t="str">
        <f>IFERROR(__xludf.DUMMYFUNCTION("""COMPUTED_VALUE"""),"2010")</f>
        <v>2010</v>
      </c>
      <c r="O909" s="14">
        <f>IFERROR(__xludf.DUMMYFUNCTION("""COMPUTED_VALUE"""),9.1166E10)</f>
        <v>91166000000</v>
      </c>
      <c r="P909" s="15">
        <f>IFERROR(__xludf.DUMMYFUNCTION("ARRAYFORMULA(VLOOKUP(A909,IMPORTRANGE(""https://docs.google.com/spreadsheets/d/1BuTWp7qHGjWhqrnf-OmePP568O4A5Am9ttzvVdP67zw/edit#gid=771602874"" ,""HUMAN RESOURCES!$A$2:$M$2692""), {2,3,4,5,6,7,8,9,10,11,12,13},0))"),0.008)</f>
        <v>0.008</v>
      </c>
      <c r="Q909" s="14">
        <f>IFERROR(__xludf.DUMMYFUNCTION("""COMPUTED_VALUE"""),0.004)</f>
        <v>0.004</v>
      </c>
      <c r="R909" s="14">
        <f>IFERROR(__xludf.DUMMYFUNCTION("""COMPUTED_VALUE"""),83.0)</f>
        <v>83</v>
      </c>
      <c r="S909" s="14">
        <f>IFERROR(__xludf.DUMMYFUNCTION("""COMPUTED_VALUE"""),78.0)</f>
        <v>78</v>
      </c>
      <c r="T909" s="14">
        <f>IFERROR(__xludf.DUMMYFUNCTION("""COMPUTED_VALUE"""),0.134)</f>
        <v>0.134</v>
      </c>
      <c r="U909" s="14">
        <f>IFERROR(__xludf.DUMMYFUNCTION("""COMPUTED_VALUE"""),0.658)</f>
        <v>0.658</v>
      </c>
      <c r="V909" s="14">
        <f>IFERROR(__xludf.DUMMYFUNCTION("""COMPUTED_VALUE"""),0.208)</f>
        <v>0.208</v>
      </c>
      <c r="W909" s="14">
        <f>IFERROR(__xludf.DUMMYFUNCTION("""COMPUTED_VALUE"""),8.177693E7)</f>
        <v>81776930</v>
      </c>
      <c r="X909" s="14">
        <f>IFERROR(__xludf.DUMMYFUNCTION("""COMPUTED_VALUE"""),0.743)</f>
        <v>0.743</v>
      </c>
      <c r="Y909" s="14" t="str">
        <f>IFERROR(__xludf.DUMMYFUNCTION("""COMPUTED_VALUE"""),"Germany-Europe")</f>
        <v>Germany-Europe</v>
      </c>
      <c r="Z909" s="14" t="str">
        <f>IFERROR(__xludf.DUMMYFUNCTION("""COMPUTED_VALUE"""),"Europe")</f>
        <v>Europe</v>
      </c>
      <c r="AA909" s="14" t="str">
        <f>IFERROR(__xludf.DUMMYFUNCTION("""COMPUTED_VALUE"""),"2010")</f>
        <v>2010</v>
      </c>
      <c r="AB909" s="15" t="str">
        <f>IFERROR(__xludf.DUMMYFUNCTION("ARRAYFORMULA(VLOOKUP(A909,IMPORTRANGE(""https://docs.google.com/spreadsheets/d/1BuTWp7qHGjWhqrnf-OmePP568O4A5Am9ttzvVdP67zw/edit#gid=1931367683"" ,""ENERGY!$A$2:$F$2692""), {2,3,4,5,6},0))"),"Europe")</f>
        <v>Europe</v>
      </c>
      <c r="AC909" s="14" t="str">
        <f>IFERROR(__xludf.DUMMYFUNCTION("""COMPUTED_VALUE"""),"Germany-Europe")</f>
        <v>Germany-Europe</v>
      </c>
      <c r="AD909" s="14" t="str">
        <f>IFERROR(__xludf.DUMMYFUNCTION("""COMPUTED_VALUE"""),"2009")</f>
        <v>2009</v>
      </c>
      <c r="AE909" s="14">
        <f>IFERROR(__xludf.DUMMYFUNCTION("""COMPUTED_VALUE"""),338553.0)</f>
        <v>338553</v>
      </c>
      <c r="AF909" s="14">
        <f>IFERROR(__xludf.DUMMYFUNCTION("""COMPUTED_VALUE"""),828771.0)</f>
        <v>828771</v>
      </c>
    </row>
    <row r="910">
      <c r="A910" s="12">
        <v>909.0</v>
      </c>
      <c r="B910" s="12" t="s">
        <v>148</v>
      </c>
      <c r="C910" s="5" t="s">
        <v>75</v>
      </c>
      <c r="D910" s="11">
        <v>0.456</v>
      </c>
      <c r="E910" s="11">
        <v>15.0</v>
      </c>
      <c r="F910" s="8"/>
      <c r="G910" s="11">
        <v>221.0</v>
      </c>
      <c r="H910" s="11">
        <v>0.813</v>
      </c>
      <c r="I910" s="11">
        <v>1.097</v>
      </c>
      <c r="J910" s="9" t="s">
        <v>72</v>
      </c>
      <c r="K910" s="14" t="str">
        <f>IFERROR(__xludf.DUMMYFUNCTION("ARRAYFORMULA(VLOOKUP(A910,IMPORTRANGE(""https://docs.google.com/spreadsheets/d/1BuTWp7qHGjWhqrnf-OmePP568O4A5Am9ttzvVdP67zw/edit#gid=1603210130"", ""TOURISM!$A$2:$F$2692""), {2,3,4,5,6},0))"),"Europe")</f>
        <v>Europe</v>
      </c>
      <c r="L910" s="14">
        <f>IFERROR(__xludf.DUMMYFUNCTION("""COMPUTED_VALUE"""),5.3399E10)</f>
        <v>53399000000</v>
      </c>
      <c r="M910" s="14" t="str">
        <f>IFERROR(__xludf.DUMMYFUNCTION("""COMPUTED_VALUE"""),"Germany-Europe")</f>
        <v>Germany-Europe</v>
      </c>
      <c r="N910" s="14" t="str">
        <f>IFERROR(__xludf.DUMMYFUNCTION("""COMPUTED_VALUE"""),"2011")</f>
        <v>2011</v>
      </c>
      <c r="O910" s="14"/>
      <c r="P910" s="15">
        <f>IFERROR(__xludf.DUMMYFUNCTION("ARRAYFORMULA(VLOOKUP(A910,IMPORTRANGE(""https://docs.google.com/spreadsheets/d/1BuTWp7qHGjWhqrnf-OmePP568O4A5Am9ttzvVdP67zw/edit#gid=771602874"" ,""HUMAN RESOURCES!$A$2:$M$2692""), {2,3,4,5,6,7,8,9,10,11,12,13},0))"),0.008)</f>
        <v>0.008</v>
      </c>
      <c r="Q910" s="14">
        <f>IFERROR(__xludf.DUMMYFUNCTION("""COMPUTED_VALUE"""),0.003)</f>
        <v>0.003</v>
      </c>
      <c r="R910" s="14">
        <f>IFERROR(__xludf.DUMMYFUNCTION("""COMPUTED_VALUE"""),83.0)</f>
        <v>83</v>
      </c>
      <c r="S910" s="14">
        <f>IFERROR(__xludf.DUMMYFUNCTION("""COMPUTED_VALUE"""),78.0)</f>
        <v>78</v>
      </c>
      <c r="T910" s="14">
        <f>IFERROR(__xludf.DUMMYFUNCTION("""COMPUTED_VALUE"""),0.133)</f>
        <v>0.133</v>
      </c>
      <c r="U910" s="14">
        <f>IFERROR(__xludf.DUMMYFUNCTION("""COMPUTED_VALUE"""),0.657)</f>
        <v>0.657</v>
      </c>
      <c r="V910" s="14">
        <f>IFERROR(__xludf.DUMMYFUNCTION("""COMPUTED_VALUE"""),0.21)</f>
        <v>0.21</v>
      </c>
      <c r="W910" s="14">
        <f>IFERROR(__xludf.DUMMYFUNCTION("""COMPUTED_VALUE"""),8.1797673E7)</f>
        <v>81797673</v>
      </c>
      <c r="X910" s="14">
        <f>IFERROR(__xludf.DUMMYFUNCTION("""COMPUTED_VALUE"""),0.745)</f>
        <v>0.745</v>
      </c>
      <c r="Y910" s="14" t="str">
        <f>IFERROR(__xludf.DUMMYFUNCTION("""COMPUTED_VALUE"""),"Germany-Europe")</f>
        <v>Germany-Europe</v>
      </c>
      <c r="Z910" s="14" t="str">
        <f>IFERROR(__xludf.DUMMYFUNCTION("""COMPUTED_VALUE"""),"Europe")</f>
        <v>Europe</v>
      </c>
      <c r="AA910" s="14" t="str">
        <f>IFERROR(__xludf.DUMMYFUNCTION("""COMPUTED_VALUE"""),"2011")</f>
        <v>2011</v>
      </c>
      <c r="AB910" s="15" t="str">
        <f>IFERROR(__xludf.DUMMYFUNCTION("ARRAYFORMULA(VLOOKUP(A910,IMPORTRANGE(""https://docs.google.com/spreadsheets/d/1BuTWp7qHGjWhqrnf-OmePP568O4A5Am9ttzvVdP67zw/edit#gid=1931367683"" ,""ENERGY!$A$2:$F$2692""), {2,3,4,5,6},0))"),"Europe")</f>
        <v>Europe</v>
      </c>
      <c r="AC910" s="14" t="str">
        <f>IFERROR(__xludf.DUMMYFUNCTION("""COMPUTED_VALUE"""),"Germany-Europe")</f>
        <v>Germany-Europe</v>
      </c>
      <c r="AD910" s="14" t="str">
        <f>IFERROR(__xludf.DUMMYFUNCTION("""COMPUTED_VALUE"""),"2005")</f>
        <v>2005</v>
      </c>
      <c r="AE910" s="14">
        <f>IFERROR(__xludf.DUMMYFUNCTION("""COMPUTED_VALUE"""),346679.0)</f>
        <v>346679</v>
      </c>
      <c r="AF910" s="14">
        <f>IFERROR(__xludf.DUMMYFUNCTION("""COMPUTED_VALUE"""),853663.0)</f>
        <v>853663</v>
      </c>
    </row>
    <row r="911">
      <c r="A911" s="12">
        <v>910.0</v>
      </c>
      <c r="B911" s="12" t="s">
        <v>148</v>
      </c>
      <c r="C911" s="5" t="s">
        <v>75</v>
      </c>
      <c r="D911" s="11">
        <v>0.459</v>
      </c>
      <c r="E911" s="11">
        <v>15.0</v>
      </c>
      <c r="F911" s="11">
        <v>19.0</v>
      </c>
      <c r="G911" s="11">
        <v>207.0</v>
      </c>
      <c r="H911" s="11">
        <v>0.823</v>
      </c>
      <c r="I911" s="11">
        <v>1.116</v>
      </c>
      <c r="J911" s="9" t="s">
        <v>73</v>
      </c>
      <c r="K911" s="14" t="str">
        <f>IFERROR(__xludf.DUMMYFUNCTION("ARRAYFORMULA(VLOOKUP(A911,IMPORTRANGE(""https://docs.google.com/spreadsheets/d/1BuTWp7qHGjWhqrnf-OmePP568O4A5Am9ttzvVdP67zw/edit#gid=1603210130"", ""TOURISM!$A$2:$F$2692""), {2,3,4,5,6},0))"),"Europe")</f>
        <v>Europe</v>
      </c>
      <c r="L911" s="14">
        <f>IFERROR(__xludf.DUMMYFUNCTION("""COMPUTED_VALUE"""),5.1581E10)</f>
        <v>51581000000</v>
      </c>
      <c r="M911" s="14" t="str">
        <f>IFERROR(__xludf.DUMMYFUNCTION("""COMPUTED_VALUE"""),"Germany-Europe")</f>
        <v>Germany-Europe</v>
      </c>
      <c r="N911" s="14" t="str">
        <f>IFERROR(__xludf.DUMMYFUNCTION("""COMPUTED_VALUE"""),"2012")</f>
        <v>2012</v>
      </c>
      <c r="O911" s="14">
        <f>IFERROR(__xludf.DUMMYFUNCTION("""COMPUTED_VALUE"""),9.6361E10)</f>
        <v>96361000000</v>
      </c>
      <c r="P911" s="15">
        <f>IFERROR(__xludf.DUMMYFUNCTION("ARRAYFORMULA(VLOOKUP(A911,IMPORTRANGE(""https://docs.google.com/spreadsheets/d/1BuTWp7qHGjWhqrnf-OmePP568O4A5Am9ttzvVdP67zw/edit#gid=771602874"" ,""HUMAN RESOURCES!$A$2:$M$2692""), {2,3,4,5,6,7,8,9,10,11,12,13},0))"),0.008)</f>
        <v>0.008</v>
      </c>
      <c r="Q911" s="14">
        <f>IFERROR(__xludf.DUMMYFUNCTION("""COMPUTED_VALUE"""),0.003)</f>
        <v>0.003</v>
      </c>
      <c r="R911" s="14">
        <f>IFERROR(__xludf.DUMMYFUNCTION("""COMPUTED_VALUE"""),83.0)</f>
        <v>83</v>
      </c>
      <c r="S911" s="14">
        <f>IFERROR(__xludf.DUMMYFUNCTION("""COMPUTED_VALUE"""),79.0)</f>
        <v>79</v>
      </c>
      <c r="T911" s="14">
        <f>IFERROR(__xludf.DUMMYFUNCTION("""COMPUTED_VALUE"""),0.132)</f>
        <v>0.132</v>
      </c>
      <c r="U911" s="14">
        <f>IFERROR(__xludf.DUMMYFUNCTION("""COMPUTED_VALUE"""),0.657)</f>
        <v>0.657</v>
      </c>
      <c r="V911" s="14">
        <f>IFERROR(__xludf.DUMMYFUNCTION("""COMPUTED_VALUE"""),0.211)</f>
        <v>0.211</v>
      </c>
      <c r="W911" s="14">
        <f>IFERROR(__xludf.DUMMYFUNCTION("""COMPUTED_VALUE"""),8.0425823E7)</f>
        <v>80425823</v>
      </c>
      <c r="X911" s="14">
        <f>IFERROR(__xludf.DUMMYFUNCTION("""COMPUTED_VALUE"""),0.747)</f>
        <v>0.747</v>
      </c>
      <c r="Y911" s="14" t="str">
        <f>IFERROR(__xludf.DUMMYFUNCTION("""COMPUTED_VALUE"""),"Germany-Europe")</f>
        <v>Germany-Europe</v>
      </c>
      <c r="Z911" s="14" t="str">
        <f>IFERROR(__xludf.DUMMYFUNCTION("""COMPUTED_VALUE"""),"Europe")</f>
        <v>Europe</v>
      </c>
      <c r="AA911" s="14" t="str">
        <f>IFERROR(__xludf.DUMMYFUNCTION("""COMPUTED_VALUE"""),"2012")</f>
        <v>2012</v>
      </c>
      <c r="AB911" s="15" t="str">
        <f>IFERROR(__xludf.DUMMYFUNCTION("ARRAYFORMULA(VLOOKUP(A911,IMPORTRANGE(""https://docs.google.com/spreadsheets/d/1BuTWp7qHGjWhqrnf-OmePP568O4A5Am9ttzvVdP67zw/edit#gid=1931367683"" ,""ENERGY!$A$2:$F$2692""), {2,3,4,5,6},0))"),"Europe")</f>
        <v>Europe</v>
      </c>
      <c r="AC911" s="14" t="str">
        <f>IFERROR(__xludf.DUMMYFUNCTION("""COMPUTED_VALUE"""),"Germany-Europe")</f>
        <v>Germany-Europe</v>
      </c>
      <c r="AD911" s="14" t="str">
        <f>IFERROR(__xludf.DUMMYFUNCTION("""COMPUTED_VALUE"""),"2009")</f>
        <v>2009</v>
      </c>
      <c r="AE911" s="14">
        <f>IFERROR(__xludf.DUMMYFUNCTION("""COMPUTED_VALUE"""),336584.0)</f>
        <v>336584</v>
      </c>
      <c r="AF911" s="14">
        <f>IFERROR(__xludf.DUMMYFUNCTION("""COMPUTED_VALUE"""),829978.0)</f>
        <v>829978</v>
      </c>
    </row>
    <row r="912">
      <c r="A912" s="12">
        <v>911.0</v>
      </c>
      <c r="B912" s="12" t="s">
        <v>149</v>
      </c>
      <c r="C912" s="5" t="s">
        <v>77</v>
      </c>
      <c r="D912" s="8"/>
      <c r="E912" s="8"/>
      <c r="F912" s="8"/>
      <c r="G912" s="8"/>
      <c r="H912" s="11">
        <v>0.002</v>
      </c>
      <c r="I912" s="11">
        <v>0.007</v>
      </c>
      <c r="J912" s="9" t="s">
        <v>60</v>
      </c>
      <c r="K912" s="14" t="str">
        <f>IFERROR(__xludf.DUMMYFUNCTION("ARRAYFORMULA(VLOOKUP(A912,IMPORTRANGE(""https://docs.google.com/spreadsheets/d/1BuTWp7qHGjWhqrnf-OmePP568O4A5Am9ttzvVdP67zw/edit#gid=1603210130"", ""TOURISM!$A$2:$F$2692""), {2,3,4,5,6},0))"),"Africa")</f>
        <v>Africa</v>
      </c>
      <c r="L912" s="14">
        <f>IFERROR(__xludf.DUMMYFUNCTION("""COMPUTED_VALUE"""),3.57E8)</f>
        <v>357000000</v>
      </c>
      <c r="M912" s="14" t="str">
        <f>IFERROR(__xludf.DUMMYFUNCTION("""COMPUTED_VALUE"""),"Ghana-Africa")</f>
        <v>Ghana-Africa</v>
      </c>
      <c r="N912" s="14" t="str">
        <f>IFERROR(__xludf.DUMMYFUNCTION("""COMPUTED_VALUE"""),"2000")</f>
        <v>2000</v>
      </c>
      <c r="O912" s="14">
        <f>IFERROR(__xludf.DUMMYFUNCTION("""COMPUTED_VALUE"""),1.62E8)</f>
        <v>162000000</v>
      </c>
      <c r="P912" s="15">
        <f>IFERROR(__xludf.DUMMYFUNCTION("ARRAYFORMULA(VLOOKUP(A912,IMPORTRANGE(""https://docs.google.com/spreadsheets/d/1BuTWp7qHGjWhqrnf-OmePP568O4A5Am9ttzvVdP67zw/edit#gid=771602874"" ,""HUMAN RESOURCES!$A$2:$M$2692""), {2,3,4,5,6,7,8,9,10,11,12,13},0))"),0.035)</f>
        <v>0.035</v>
      </c>
      <c r="Q912" s="14">
        <f>IFERROR(__xludf.DUMMYFUNCTION("""COMPUTED_VALUE"""),0.065)</f>
        <v>0.065</v>
      </c>
      <c r="R912" s="14">
        <f>IFERROR(__xludf.DUMMYFUNCTION("""COMPUTED_VALUE"""),58.0)</f>
        <v>58</v>
      </c>
      <c r="S912" s="14">
        <f>IFERROR(__xludf.DUMMYFUNCTION("""COMPUTED_VALUE"""),56.0)</f>
        <v>56</v>
      </c>
      <c r="T912" s="14">
        <f>IFERROR(__xludf.DUMMYFUNCTION("""COMPUTED_VALUE"""),0.414)</f>
        <v>0.414</v>
      </c>
      <c r="U912" s="14">
        <f>IFERROR(__xludf.DUMMYFUNCTION("""COMPUTED_VALUE"""),0.556)</f>
        <v>0.556</v>
      </c>
      <c r="V912" s="14">
        <f>IFERROR(__xludf.DUMMYFUNCTION("""COMPUTED_VALUE"""),0.03)</f>
        <v>0.03</v>
      </c>
      <c r="W912" s="14">
        <f>IFERROR(__xludf.DUMMYFUNCTION("""COMPUTED_VALUE"""),1.8825034E7)</f>
        <v>18825034</v>
      </c>
      <c r="X912" s="14">
        <f>IFERROR(__xludf.DUMMYFUNCTION("""COMPUTED_VALUE"""),0.439)</f>
        <v>0.439</v>
      </c>
      <c r="Y912" s="14" t="str">
        <f>IFERROR(__xludf.DUMMYFUNCTION("""COMPUTED_VALUE"""),"Ghana-Africa")</f>
        <v>Ghana-Africa</v>
      </c>
      <c r="Z912" s="14" t="str">
        <f>IFERROR(__xludf.DUMMYFUNCTION("""COMPUTED_VALUE"""),"Africa")</f>
        <v>Africa</v>
      </c>
      <c r="AA912" s="14" t="str">
        <f>IFERROR(__xludf.DUMMYFUNCTION("""COMPUTED_VALUE"""),"2000")</f>
        <v>2000</v>
      </c>
      <c r="AB912" s="15" t="str">
        <f>IFERROR(__xludf.DUMMYFUNCTION("ARRAYFORMULA(VLOOKUP(A912,IMPORTRANGE(""https://docs.google.com/spreadsheets/d/1BuTWp7qHGjWhqrnf-OmePP568O4A5Am9ttzvVdP67zw/edit#gid=1931367683"" ,""ENERGY!$A$2:$F$2692""), {2,3,4,5,6},0))"),"Africa")</f>
        <v>Africa</v>
      </c>
      <c r="AC912" s="14" t="str">
        <f>IFERROR(__xludf.DUMMYFUNCTION("""COMPUTED_VALUE"""),"Ghana-Africa")</f>
        <v>Ghana-Africa</v>
      </c>
      <c r="AD912" s="14" t="str">
        <f>IFERROR(__xludf.DUMMYFUNCTION("""COMPUTED_VALUE"""),"2000")</f>
        <v>2000</v>
      </c>
      <c r="AE912" s="14"/>
      <c r="AF912" s="14"/>
    </row>
    <row r="913">
      <c r="A913" s="12">
        <v>912.0</v>
      </c>
      <c r="B913" s="12" t="s">
        <v>149</v>
      </c>
      <c r="C913" s="5" t="s">
        <v>77</v>
      </c>
      <c r="D913" s="8"/>
      <c r="E913" s="8"/>
      <c r="F913" s="8"/>
      <c r="G913" s="8"/>
      <c r="H913" s="11">
        <v>0.002</v>
      </c>
      <c r="I913" s="11">
        <v>0.013</v>
      </c>
      <c r="J913" s="9" t="s">
        <v>62</v>
      </c>
      <c r="K913" s="14" t="str">
        <f>IFERROR(__xludf.DUMMYFUNCTION("ARRAYFORMULA(VLOOKUP(A913,IMPORTRANGE(""https://docs.google.com/spreadsheets/d/1BuTWp7qHGjWhqrnf-OmePP568O4A5Am9ttzvVdP67zw/edit#gid=1603210130"", ""TOURISM!$A$2:$F$2692""), {2,3,4,5,6},0))"),"Africa")</f>
        <v>Africa</v>
      </c>
      <c r="L913" s="14">
        <f>IFERROR(__xludf.DUMMYFUNCTION("""COMPUTED_VALUE"""),3.74E8)</f>
        <v>374000000</v>
      </c>
      <c r="M913" s="14" t="str">
        <f>IFERROR(__xludf.DUMMYFUNCTION("""COMPUTED_VALUE"""),"Ghana-Africa")</f>
        <v>Ghana-Africa</v>
      </c>
      <c r="N913" s="14" t="str">
        <f>IFERROR(__xludf.DUMMYFUNCTION("""COMPUTED_VALUE"""),"2001")</f>
        <v>2001</v>
      </c>
      <c r="O913" s="14">
        <f>IFERROR(__xludf.DUMMYFUNCTION("""COMPUTED_VALUE"""),1.65E8)</f>
        <v>165000000</v>
      </c>
      <c r="P913" s="15">
        <f>IFERROR(__xludf.DUMMYFUNCTION("ARRAYFORMULA(VLOOKUP(A913,IMPORTRANGE(""https://docs.google.com/spreadsheets/d/1BuTWp7qHGjWhqrnf-OmePP568O4A5Am9ttzvVdP67zw/edit#gid=771602874"" ,""HUMAN RESOURCES!$A$2:$M$2692""), {2,3,4,5,6,7,8,9,10,11,12,13},0))"),0.034)</f>
        <v>0.034</v>
      </c>
      <c r="Q913" s="14">
        <f>IFERROR(__xludf.DUMMYFUNCTION("""COMPUTED_VALUE"""),0.063)</f>
        <v>0.063</v>
      </c>
      <c r="R913" s="14">
        <f>IFERROR(__xludf.DUMMYFUNCTION("""COMPUTED_VALUE"""),58.0)</f>
        <v>58</v>
      </c>
      <c r="S913" s="14">
        <f>IFERROR(__xludf.DUMMYFUNCTION("""COMPUTED_VALUE"""),56.0)</f>
        <v>56</v>
      </c>
      <c r="T913" s="14">
        <f>IFERROR(__xludf.DUMMYFUNCTION("""COMPUTED_VALUE"""),0.412)</f>
        <v>0.412</v>
      </c>
      <c r="U913" s="14">
        <f>IFERROR(__xludf.DUMMYFUNCTION("""COMPUTED_VALUE"""),0.557)</f>
        <v>0.557</v>
      </c>
      <c r="V913" s="14">
        <f>IFERROR(__xludf.DUMMYFUNCTION("""COMPUTED_VALUE"""),0.031)</f>
        <v>0.031</v>
      </c>
      <c r="W913" s="14">
        <f>IFERROR(__xludf.DUMMYFUNCTION("""COMPUTED_VALUE"""),1.9293392E7)</f>
        <v>19293392</v>
      </c>
      <c r="X913" s="14">
        <f>IFERROR(__xludf.DUMMYFUNCTION("""COMPUTED_VALUE"""),0.446)</f>
        <v>0.446</v>
      </c>
      <c r="Y913" s="14" t="str">
        <f>IFERROR(__xludf.DUMMYFUNCTION("""COMPUTED_VALUE"""),"Ghana-Africa")</f>
        <v>Ghana-Africa</v>
      </c>
      <c r="Z913" s="14" t="str">
        <f>IFERROR(__xludf.DUMMYFUNCTION("""COMPUTED_VALUE"""),"Africa")</f>
        <v>Africa</v>
      </c>
      <c r="AA913" s="14" t="str">
        <f>IFERROR(__xludf.DUMMYFUNCTION("""COMPUTED_VALUE"""),"2001")</f>
        <v>2001</v>
      </c>
      <c r="AB913" s="15" t="str">
        <f>IFERROR(__xludf.DUMMYFUNCTION("ARRAYFORMULA(VLOOKUP(A913,IMPORTRANGE(""https://docs.google.com/spreadsheets/d/1BuTWp7qHGjWhqrnf-OmePP568O4A5Am9ttzvVdP67zw/edit#gid=1931367683"" ,""ENERGY!$A$2:$F$2692""), {2,3,4,5,6},0))"),"Africa")</f>
        <v>Africa</v>
      </c>
      <c r="AC913" s="14" t="str">
        <f>IFERROR(__xludf.DUMMYFUNCTION("""COMPUTED_VALUE"""),"Ghana-Africa")</f>
        <v>Ghana-Africa</v>
      </c>
      <c r="AD913" s="14" t="str">
        <f>IFERROR(__xludf.DUMMYFUNCTION("""COMPUTED_VALUE"""),"2001")</f>
        <v>2001</v>
      </c>
      <c r="AE913" s="14">
        <f>IFERROR(__xludf.DUMMYFUNCTION("""COMPUTED_VALUE"""),10550.0)</f>
        <v>10550</v>
      </c>
      <c r="AF913" s="14"/>
    </row>
    <row r="914">
      <c r="A914" s="12">
        <v>913.0</v>
      </c>
      <c r="B914" s="12" t="s">
        <v>149</v>
      </c>
      <c r="C914" s="5" t="s">
        <v>77</v>
      </c>
      <c r="D914" s="8"/>
      <c r="E914" s="8"/>
      <c r="F914" s="8"/>
      <c r="G914" s="8"/>
      <c r="H914" s="11">
        <v>0.008</v>
      </c>
      <c r="I914" s="11">
        <v>0.02</v>
      </c>
      <c r="J914" s="9" t="s">
        <v>63</v>
      </c>
      <c r="K914" s="14" t="str">
        <f>IFERROR(__xludf.DUMMYFUNCTION("ARRAYFORMULA(VLOOKUP(A914,IMPORTRANGE(""https://docs.google.com/spreadsheets/d/1BuTWp7qHGjWhqrnf-OmePP568O4A5Am9ttzvVdP67zw/edit#gid=1603210130"", ""TOURISM!$A$2:$F$2692""), {2,3,4,5,6},0))"),"Africa")</f>
        <v>Africa</v>
      </c>
      <c r="L914" s="14">
        <f>IFERROR(__xludf.DUMMYFUNCTION("""COMPUTED_VALUE"""),3.83E8)</f>
        <v>383000000</v>
      </c>
      <c r="M914" s="14" t="str">
        <f>IFERROR(__xludf.DUMMYFUNCTION("""COMPUTED_VALUE"""),"Ghana-Africa")</f>
        <v>Ghana-Africa</v>
      </c>
      <c r="N914" s="14" t="str">
        <f>IFERROR(__xludf.DUMMYFUNCTION("""COMPUTED_VALUE"""),"2002")</f>
        <v>2002</v>
      </c>
      <c r="O914" s="14">
        <f>IFERROR(__xludf.DUMMYFUNCTION("""COMPUTED_VALUE"""),1.84E8)</f>
        <v>184000000</v>
      </c>
      <c r="P914" s="15">
        <f>IFERROR(__xludf.DUMMYFUNCTION("ARRAYFORMULA(VLOOKUP(A914,IMPORTRANGE(""https://docs.google.com/spreadsheets/d/1BuTWp7qHGjWhqrnf-OmePP568O4A5Am9ttzvVdP67zw/edit#gid=771602874"" ,""HUMAN RESOURCES!$A$2:$M$2692""), {2,3,4,5,6,7,8,9,10,11,12,13},0))"),0.034)</f>
        <v>0.034</v>
      </c>
      <c r="Q914" s="14">
        <f>IFERROR(__xludf.DUMMYFUNCTION("""COMPUTED_VALUE"""),0.062)</f>
        <v>0.062</v>
      </c>
      <c r="R914" s="14">
        <f>IFERROR(__xludf.DUMMYFUNCTION("""COMPUTED_VALUE"""),58.0)</f>
        <v>58</v>
      </c>
      <c r="S914" s="14">
        <f>IFERROR(__xludf.DUMMYFUNCTION("""COMPUTED_VALUE"""),57.0)</f>
        <v>57</v>
      </c>
      <c r="T914" s="14">
        <f>IFERROR(__xludf.DUMMYFUNCTION("""COMPUTED_VALUE"""),0.409)</f>
        <v>0.409</v>
      </c>
      <c r="U914" s="14">
        <f>IFERROR(__xludf.DUMMYFUNCTION("""COMPUTED_VALUE"""),0.559)</f>
        <v>0.559</v>
      </c>
      <c r="V914" s="14">
        <f>IFERROR(__xludf.DUMMYFUNCTION("""COMPUTED_VALUE"""),0.032)</f>
        <v>0.032</v>
      </c>
      <c r="W914" s="14">
        <f>IFERROR(__xludf.DUMMYFUNCTION("""COMPUTED_VALUE"""),1.9786307E7)</f>
        <v>19786307</v>
      </c>
      <c r="X914" s="14">
        <f>IFERROR(__xludf.DUMMYFUNCTION("""COMPUTED_VALUE"""),0.453)</f>
        <v>0.453</v>
      </c>
      <c r="Y914" s="14" t="str">
        <f>IFERROR(__xludf.DUMMYFUNCTION("""COMPUTED_VALUE"""),"Ghana-Africa")</f>
        <v>Ghana-Africa</v>
      </c>
      <c r="Z914" s="14" t="str">
        <f>IFERROR(__xludf.DUMMYFUNCTION("""COMPUTED_VALUE"""),"Africa")</f>
        <v>Africa</v>
      </c>
      <c r="AA914" s="14" t="str">
        <f>IFERROR(__xludf.DUMMYFUNCTION("""COMPUTED_VALUE"""),"2002")</f>
        <v>2002</v>
      </c>
      <c r="AB914" s="15" t="str">
        <f>IFERROR(__xludf.DUMMYFUNCTION("ARRAYFORMULA(VLOOKUP(A914,IMPORTRANGE(""https://docs.google.com/spreadsheets/d/1BuTWp7qHGjWhqrnf-OmePP568O4A5Am9ttzvVdP67zw/edit#gid=1931367683"" ,""ENERGY!$A$2:$F$2692""), {2,3,4,5,6},0))"),"Africa")</f>
        <v>Africa</v>
      </c>
      <c r="AC914" s="14" t="str">
        <f>IFERROR(__xludf.DUMMYFUNCTION("""COMPUTED_VALUE"""),"Ghana-Africa")</f>
        <v>Ghana-Africa</v>
      </c>
      <c r="AD914" s="14" t="str">
        <f>IFERROR(__xludf.DUMMYFUNCTION("""COMPUTED_VALUE"""),"2002")</f>
        <v>2002</v>
      </c>
      <c r="AE914" s="14">
        <f>IFERROR(__xludf.DUMMYFUNCTION("""COMPUTED_VALUE"""),10011.0)</f>
        <v>10011</v>
      </c>
      <c r="AF914" s="14">
        <f>IFERROR(__xludf.DUMMYFUNCTION("""COMPUTED_VALUE"""),8999.0)</f>
        <v>8999</v>
      </c>
    </row>
    <row r="915">
      <c r="A915" s="12">
        <v>914.0</v>
      </c>
      <c r="B915" s="12" t="s">
        <v>149</v>
      </c>
      <c r="C915" s="5" t="s">
        <v>77</v>
      </c>
      <c r="D915" s="8"/>
      <c r="E915" s="11">
        <v>22.0</v>
      </c>
      <c r="F915" s="8"/>
      <c r="G915" s="8"/>
      <c r="H915" s="11">
        <v>0.012</v>
      </c>
      <c r="I915" s="11">
        <v>0.039</v>
      </c>
      <c r="J915" s="9" t="s">
        <v>64</v>
      </c>
      <c r="K915" s="14" t="str">
        <f>IFERROR(__xludf.DUMMYFUNCTION("ARRAYFORMULA(VLOOKUP(A915,IMPORTRANGE(""https://docs.google.com/spreadsheets/d/1BuTWp7qHGjWhqrnf-OmePP568O4A5Am9ttzvVdP67zw/edit#gid=1603210130"", ""TOURISM!$A$2:$F$2692""), {2,3,4,5,6},0))"),"Africa")</f>
        <v>Africa</v>
      </c>
      <c r="L915" s="14">
        <f>IFERROR(__xludf.DUMMYFUNCTION("""COMPUTED_VALUE"""),4.41E8)</f>
        <v>441000000</v>
      </c>
      <c r="M915" s="14" t="str">
        <f>IFERROR(__xludf.DUMMYFUNCTION("""COMPUTED_VALUE"""),"Ghana-Africa")</f>
        <v>Ghana-Africa</v>
      </c>
      <c r="N915" s="14" t="str">
        <f>IFERROR(__xludf.DUMMYFUNCTION("""COMPUTED_VALUE"""),"2003")</f>
        <v>2003</v>
      </c>
      <c r="O915" s="14">
        <f>IFERROR(__xludf.DUMMYFUNCTION("""COMPUTED_VALUE"""),2.16E8)</f>
        <v>216000000</v>
      </c>
      <c r="P915" s="15">
        <f>IFERROR(__xludf.DUMMYFUNCTION("ARRAYFORMULA(VLOOKUP(A915,IMPORTRANGE(""https://docs.google.com/spreadsheets/d/1BuTWp7qHGjWhqrnf-OmePP568O4A5Am9ttzvVdP67zw/edit#gid=771602874"" ,""HUMAN RESOURCES!$A$2:$M$2692""), {2,3,4,5,6,7,8,9,10,11,12,13},0))"),0.034)</f>
        <v>0.034</v>
      </c>
      <c r="Q915" s="14">
        <f>IFERROR(__xludf.DUMMYFUNCTION("""COMPUTED_VALUE"""),0.06)</f>
        <v>0.06</v>
      </c>
      <c r="R915" s="14">
        <f>IFERROR(__xludf.DUMMYFUNCTION("""COMPUTED_VALUE"""),59.0)</f>
        <v>59</v>
      </c>
      <c r="S915" s="14">
        <f>IFERROR(__xludf.DUMMYFUNCTION("""COMPUTED_VALUE"""),57.0)</f>
        <v>57</v>
      </c>
      <c r="T915" s="14">
        <f>IFERROR(__xludf.DUMMYFUNCTION("""COMPUTED_VALUE"""),0.407)</f>
        <v>0.407</v>
      </c>
      <c r="U915" s="14">
        <f>IFERROR(__xludf.DUMMYFUNCTION("""COMPUTED_VALUE"""),0.561)</f>
        <v>0.561</v>
      </c>
      <c r="V915" s="14">
        <f>IFERROR(__xludf.DUMMYFUNCTION("""COMPUTED_VALUE"""),0.032)</f>
        <v>0.032</v>
      </c>
      <c r="W915" s="14">
        <f>IFERROR(__xludf.DUMMYFUNCTION("""COMPUTED_VALUE"""),2.0301686E7)</f>
        <v>20301686</v>
      </c>
      <c r="X915" s="14">
        <f>IFERROR(__xludf.DUMMYFUNCTION("""COMPUTED_VALUE"""),0.46)</f>
        <v>0.46</v>
      </c>
      <c r="Y915" s="14" t="str">
        <f>IFERROR(__xludf.DUMMYFUNCTION("""COMPUTED_VALUE"""),"Ghana-Africa")</f>
        <v>Ghana-Africa</v>
      </c>
      <c r="Z915" s="14" t="str">
        <f>IFERROR(__xludf.DUMMYFUNCTION("""COMPUTED_VALUE"""),"Africa")</f>
        <v>Africa</v>
      </c>
      <c r="AA915" s="14" t="str">
        <f>IFERROR(__xludf.DUMMYFUNCTION("""COMPUTED_VALUE"""),"2003")</f>
        <v>2003</v>
      </c>
      <c r="AB915" s="15" t="str">
        <f>IFERROR(__xludf.DUMMYFUNCTION("ARRAYFORMULA(VLOOKUP(A915,IMPORTRANGE(""https://docs.google.com/spreadsheets/d/1BuTWp7qHGjWhqrnf-OmePP568O4A5Am9ttzvVdP67zw/edit#gid=1931367683"" ,""ENERGY!$A$2:$F$2692""), {2,3,4,5,6},0))"),"Africa")</f>
        <v>Africa</v>
      </c>
      <c r="AC915" s="14" t="str">
        <f>IFERROR(__xludf.DUMMYFUNCTION("""COMPUTED_VALUE"""),"Ghana-Africa")</f>
        <v>Ghana-Africa</v>
      </c>
      <c r="AD915" s="14" t="str">
        <f>IFERROR(__xludf.DUMMYFUNCTION("""COMPUTED_VALUE"""),"2003")</f>
        <v>2003</v>
      </c>
      <c r="AE915" s="14">
        <f>IFERROR(__xludf.DUMMYFUNCTION("""COMPUTED_VALUE"""),9320.0)</f>
        <v>9320</v>
      </c>
      <c r="AF915" s="14">
        <f>IFERROR(__xludf.DUMMYFUNCTION("""COMPUTED_VALUE"""),7444.0)</f>
        <v>7444</v>
      </c>
    </row>
    <row r="916">
      <c r="A916" s="12">
        <v>915.0</v>
      </c>
      <c r="B916" s="12" t="s">
        <v>149</v>
      </c>
      <c r="C916" s="5" t="s">
        <v>77</v>
      </c>
      <c r="D916" s="8"/>
      <c r="E916" s="11">
        <v>22.0</v>
      </c>
      <c r="F916" s="8"/>
      <c r="G916" s="8"/>
      <c r="H916" s="11">
        <v>0.017</v>
      </c>
      <c r="I916" s="11">
        <v>0.081</v>
      </c>
      <c r="J916" s="9" t="s">
        <v>65</v>
      </c>
      <c r="K916" s="14" t="str">
        <f>IFERROR(__xludf.DUMMYFUNCTION("ARRAYFORMULA(VLOOKUP(A916,IMPORTRANGE(""https://docs.google.com/spreadsheets/d/1BuTWp7qHGjWhqrnf-OmePP568O4A5Am9ttzvVdP67zw/edit#gid=1603210130"", ""TOURISM!$A$2:$F$2692""), {2,3,4,5,6},0))"),"Africa")</f>
        <v>Africa</v>
      </c>
      <c r="L916" s="14">
        <f>IFERROR(__xludf.DUMMYFUNCTION("""COMPUTED_VALUE"""),4.95E8)</f>
        <v>495000000</v>
      </c>
      <c r="M916" s="14" t="str">
        <f>IFERROR(__xludf.DUMMYFUNCTION("""COMPUTED_VALUE"""),"Ghana-Africa")</f>
        <v>Ghana-Africa</v>
      </c>
      <c r="N916" s="14" t="str">
        <f>IFERROR(__xludf.DUMMYFUNCTION("""COMPUTED_VALUE"""),"2004")</f>
        <v>2004</v>
      </c>
      <c r="O916" s="14">
        <f>IFERROR(__xludf.DUMMYFUNCTION("""COMPUTED_VALUE"""),2.7E8)</f>
        <v>270000000</v>
      </c>
      <c r="P916" s="15">
        <f>IFERROR(__xludf.DUMMYFUNCTION("ARRAYFORMULA(VLOOKUP(A916,IMPORTRANGE(""https://docs.google.com/spreadsheets/d/1BuTWp7qHGjWhqrnf-OmePP568O4A5Am9ttzvVdP67zw/edit#gid=771602874"" ,""HUMAN RESOURCES!$A$2:$M$2692""), {2,3,4,5,6,7,8,9,10,11,12,13},0))"),0.034)</f>
        <v>0.034</v>
      </c>
      <c r="Q916" s="14">
        <f>IFERROR(__xludf.DUMMYFUNCTION("""COMPUTED_VALUE"""),0.059)</f>
        <v>0.059</v>
      </c>
      <c r="R916" s="14">
        <f>IFERROR(__xludf.DUMMYFUNCTION("""COMPUTED_VALUE"""),59.0)</f>
        <v>59</v>
      </c>
      <c r="S916" s="14">
        <f>IFERROR(__xludf.DUMMYFUNCTION("""COMPUTED_VALUE"""),57.0)</f>
        <v>57</v>
      </c>
      <c r="T916" s="14">
        <f>IFERROR(__xludf.DUMMYFUNCTION("""COMPUTED_VALUE"""),0.404)</f>
        <v>0.404</v>
      </c>
      <c r="U916" s="14">
        <f>IFERROR(__xludf.DUMMYFUNCTION("""COMPUTED_VALUE"""),0.562)</f>
        <v>0.562</v>
      </c>
      <c r="V916" s="14">
        <f>IFERROR(__xludf.DUMMYFUNCTION("""COMPUTED_VALUE"""),0.033)</f>
        <v>0.033</v>
      </c>
      <c r="W916" s="14">
        <f>IFERROR(__xludf.DUMMYFUNCTION("""COMPUTED_VALUE"""),2.0835514E7)</f>
        <v>20835514</v>
      </c>
      <c r="X916" s="14">
        <f>IFERROR(__xludf.DUMMYFUNCTION("""COMPUTED_VALUE"""),0.466)</f>
        <v>0.466</v>
      </c>
      <c r="Y916" s="14" t="str">
        <f>IFERROR(__xludf.DUMMYFUNCTION("""COMPUTED_VALUE"""),"Ghana-Africa")</f>
        <v>Ghana-Africa</v>
      </c>
      <c r="Z916" s="14" t="str">
        <f>IFERROR(__xludf.DUMMYFUNCTION("""COMPUTED_VALUE"""),"Africa")</f>
        <v>Africa</v>
      </c>
      <c r="AA916" s="14" t="str">
        <f>IFERROR(__xludf.DUMMYFUNCTION("""COMPUTED_VALUE"""),"2004")</f>
        <v>2004</v>
      </c>
      <c r="AB916" s="15" t="str">
        <f>IFERROR(__xludf.DUMMYFUNCTION("ARRAYFORMULA(VLOOKUP(A916,IMPORTRANGE(""https://docs.google.com/spreadsheets/d/1BuTWp7qHGjWhqrnf-OmePP568O4A5Am9ttzvVdP67zw/edit#gid=1931367683"" ,""ENERGY!$A$2:$F$2692""), {2,3,4,5,6},0))"),"Africa")</f>
        <v>Africa</v>
      </c>
      <c r="AC916" s="14" t="str">
        <f>IFERROR(__xludf.DUMMYFUNCTION("""COMPUTED_VALUE"""),"Ghana-Africa")</f>
        <v>Ghana-Africa</v>
      </c>
      <c r="AD916" s="14" t="str">
        <f>IFERROR(__xludf.DUMMYFUNCTION("""COMPUTED_VALUE"""),"2004")</f>
        <v>2004</v>
      </c>
      <c r="AE916" s="14">
        <f>IFERROR(__xludf.DUMMYFUNCTION("""COMPUTED_VALUE"""),8958.0)</f>
        <v>8958</v>
      </c>
      <c r="AF916" s="14">
        <f>IFERROR(__xludf.DUMMYFUNCTION("""COMPUTED_VALUE"""),8529.0)</f>
        <v>8529</v>
      </c>
    </row>
    <row r="917">
      <c r="A917" s="12">
        <v>916.0</v>
      </c>
      <c r="B917" s="12" t="s">
        <v>149</v>
      </c>
      <c r="C917" s="5" t="s">
        <v>77</v>
      </c>
      <c r="D917" s="11">
        <v>0.398</v>
      </c>
      <c r="E917" s="11">
        <v>18.0</v>
      </c>
      <c r="F917" s="8"/>
      <c r="G917" s="11">
        <v>304.0</v>
      </c>
      <c r="H917" s="11">
        <v>0.018</v>
      </c>
      <c r="I917" s="11">
        <v>0.134</v>
      </c>
      <c r="J917" s="9" t="s">
        <v>66</v>
      </c>
      <c r="K917" s="14" t="str">
        <f>IFERROR(__xludf.DUMMYFUNCTION("ARRAYFORMULA(VLOOKUP(A917,IMPORTRANGE(""https://docs.google.com/spreadsheets/d/1BuTWp7qHGjWhqrnf-OmePP568O4A5Am9ttzvVdP67zw/edit#gid=1603210130"", ""TOURISM!$A$2:$F$2692""), {2,3,4,5,6},0))"),"Africa")</f>
        <v>Africa</v>
      </c>
      <c r="L917" s="14">
        <f>IFERROR(__xludf.DUMMYFUNCTION("""COMPUTED_VALUE"""),8.67E8)</f>
        <v>867000000</v>
      </c>
      <c r="M917" s="14" t="str">
        <f>IFERROR(__xludf.DUMMYFUNCTION("""COMPUTED_VALUE"""),"Ghana-Africa")</f>
        <v>Ghana-Africa</v>
      </c>
      <c r="N917" s="14" t="str">
        <f>IFERROR(__xludf.DUMMYFUNCTION("""COMPUTED_VALUE"""),"2005")</f>
        <v>2005</v>
      </c>
      <c r="O917" s="14">
        <f>IFERROR(__xludf.DUMMYFUNCTION("""COMPUTED_VALUE"""),4.72E8)</f>
        <v>472000000</v>
      </c>
      <c r="P917" s="15">
        <f>IFERROR(__xludf.DUMMYFUNCTION("ARRAYFORMULA(VLOOKUP(A917,IMPORTRANGE(""https://docs.google.com/spreadsheets/d/1BuTWp7qHGjWhqrnf-OmePP568O4A5Am9ttzvVdP67zw/edit#gid=771602874"" ,""HUMAN RESOURCES!$A$2:$M$2692""), {2,3,4,5,6,7,8,9,10,11,12,13},0))"),0.034)</f>
        <v>0.034</v>
      </c>
      <c r="Q917" s="14">
        <f>IFERROR(__xludf.DUMMYFUNCTION("""COMPUTED_VALUE"""),0.058)</f>
        <v>0.058</v>
      </c>
      <c r="R917" s="14">
        <f>IFERROR(__xludf.DUMMYFUNCTION("""COMPUTED_VALUE"""),60.0)</f>
        <v>60</v>
      </c>
      <c r="S917" s="14">
        <f>IFERROR(__xludf.DUMMYFUNCTION("""COMPUTED_VALUE"""),58.0)</f>
        <v>58</v>
      </c>
      <c r="T917" s="14">
        <f>IFERROR(__xludf.DUMMYFUNCTION("""COMPUTED_VALUE"""),0.402)</f>
        <v>0.402</v>
      </c>
      <c r="U917" s="14">
        <f>IFERROR(__xludf.DUMMYFUNCTION("""COMPUTED_VALUE"""),0.564)</f>
        <v>0.564</v>
      </c>
      <c r="V917" s="14">
        <f>IFERROR(__xludf.DUMMYFUNCTION("""COMPUTED_VALUE"""),0.034)</f>
        <v>0.034</v>
      </c>
      <c r="W917" s="14">
        <f>IFERROR(__xludf.DUMMYFUNCTION("""COMPUTED_VALUE"""),2.1384034E7)</f>
        <v>21384034</v>
      </c>
      <c r="X917" s="14">
        <f>IFERROR(__xludf.DUMMYFUNCTION("""COMPUTED_VALUE"""),0.473)</f>
        <v>0.473</v>
      </c>
      <c r="Y917" s="14" t="str">
        <f>IFERROR(__xludf.DUMMYFUNCTION("""COMPUTED_VALUE"""),"Ghana-Africa")</f>
        <v>Ghana-Africa</v>
      </c>
      <c r="Z917" s="14" t="str">
        <f>IFERROR(__xludf.DUMMYFUNCTION("""COMPUTED_VALUE"""),"Africa")</f>
        <v>Africa</v>
      </c>
      <c r="AA917" s="14" t="str">
        <f>IFERROR(__xludf.DUMMYFUNCTION("""COMPUTED_VALUE"""),"2005")</f>
        <v>2005</v>
      </c>
      <c r="AB917" s="15" t="str">
        <f>IFERROR(__xludf.DUMMYFUNCTION("ARRAYFORMULA(VLOOKUP(A917,IMPORTRANGE(""https://docs.google.com/spreadsheets/d/1BuTWp7qHGjWhqrnf-OmePP568O4A5Am9ttzvVdP67zw/edit#gid=1931367683"" ,""ENERGY!$A$2:$F$2692""), {2,3,4,5,6},0))"),"Africa")</f>
        <v>Africa</v>
      </c>
      <c r="AC917" s="14" t="str">
        <f>IFERROR(__xludf.DUMMYFUNCTION("""COMPUTED_VALUE"""),"Ghana-Africa")</f>
        <v>Ghana-Africa</v>
      </c>
      <c r="AD917" s="14" t="str">
        <f>IFERROR(__xludf.DUMMYFUNCTION("""COMPUTED_VALUE"""),"2006")</f>
        <v>2006</v>
      </c>
      <c r="AE917" s="14">
        <f>IFERROR(__xludf.DUMMYFUNCTION("""COMPUTED_VALUE"""),9064.0)</f>
        <v>9064</v>
      </c>
      <c r="AF917" s="14">
        <f>IFERROR(__xludf.DUMMYFUNCTION("""COMPUTED_VALUE"""),9578.0)</f>
        <v>9578</v>
      </c>
    </row>
    <row r="918">
      <c r="A918" s="12">
        <v>917.0</v>
      </c>
      <c r="B918" s="12" t="s">
        <v>149</v>
      </c>
      <c r="C918" s="5" t="s">
        <v>77</v>
      </c>
      <c r="D918" s="11">
        <v>0.359</v>
      </c>
      <c r="E918" s="11">
        <v>18.0</v>
      </c>
      <c r="F918" s="8"/>
      <c r="G918" s="11">
        <v>304.0</v>
      </c>
      <c r="H918" s="11">
        <v>0.027</v>
      </c>
      <c r="I918" s="11">
        <v>0.237</v>
      </c>
      <c r="J918" s="9" t="s">
        <v>67</v>
      </c>
      <c r="K918" s="14" t="str">
        <f>IFERROR(__xludf.DUMMYFUNCTION("ARRAYFORMULA(VLOOKUP(A918,IMPORTRANGE(""https://docs.google.com/spreadsheets/d/1BuTWp7qHGjWhqrnf-OmePP568O4A5Am9ttzvVdP67zw/edit#gid=1603210130"", ""TOURISM!$A$2:$F$2692""), {2,3,4,5,6},0))"),"Africa")</f>
        <v>Africa</v>
      </c>
      <c r="L918" s="14">
        <f>IFERROR(__xludf.DUMMYFUNCTION("""COMPUTED_VALUE"""),9.1E8)</f>
        <v>910000000</v>
      </c>
      <c r="M918" s="14" t="str">
        <f>IFERROR(__xludf.DUMMYFUNCTION("""COMPUTED_VALUE"""),"Ghana-Africa")</f>
        <v>Ghana-Africa</v>
      </c>
      <c r="N918" s="14" t="str">
        <f>IFERROR(__xludf.DUMMYFUNCTION("""COMPUTED_VALUE"""),"2006")</f>
        <v>2006</v>
      </c>
      <c r="O918" s="14">
        <f>IFERROR(__xludf.DUMMYFUNCTION("""COMPUTED_VALUE"""),5.75E8)</f>
        <v>575000000</v>
      </c>
      <c r="P918" s="15">
        <f>IFERROR(__xludf.DUMMYFUNCTION("ARRAYFORMULA(VLOOKUP(A918,IMPORTRANGE(""https://docs.google.com/spreadsheets/d/1BuTWp7qHGjWhqrnf-OmePP568O4A5Am9ttzvVdP67zw/edit#gid=771602874"" ,""HUMAN RESOURCES!$A$2:$M$2692""), {2,3,4,5,6,7,8,9,10,11,12,13},0))"),0.034)</f>
        <v>0.034</v>
      </c>
      <c r="Q918" s="14">
        <f>IFERROR(__xludf.DUMMYFUNCTION("""COMPUTED_VALUE"""),0.057)</f>
        <v>0.057</v>
      </c>
      <c r="R918" s="14">
        <f>IFERROR(__xludf.DUMMYFUNCTION("""COMPUTED_VALUE"""),60.0)</f>
        <v>60</v>
      </c>
      <c r="S918" s="14">
        <f>IFERROR(__xludf.DUMMYFUNCTION("""COMPUTED_VALUE"""),58.0)</f>
        <v>58</v>
      </c>
      <c r="T918" s="14">
        <f>IFERROR(__xludf.DUMMYFUNCTION("""COMPUTED_VALUE"""),0.399)</f>
        <v>0.399</v>
      </c>
      <c r="U918" s="14">
        <f>IFERROR(__xludf.DUMMYFUNCTION("""COMPUTED_VALUE"""),0.566)</f>
        <v>0.566</v>
      </c>
      <c r="V918" s="14">
        <f>IFERROR(__xludf.DUMMYFUNCTION("""COMPUTED_VALUE"""),0.034)</f>
        <v>0.034</v>
      </c>
      <c r="W918" s="14">
        <f>IFERROR(__xludf.DUMMYFUNCTION("""COMPUTED_VALUE"""),2.1947779E7)</f>
        <v>21947779</v>
      </c>
      <c r="X918" s="14">
        <f>IFERROR(__xludf.DUMMYFUNCTION("""COMPUTED_VALUE"""),0.48)</f>
        <v>0.48</v>
      </c>
      <c r="Y918" s="14" t="str">
        <f>IFERROR(__xludf.DUMMYFUNCTION("""COMPUTED_VALUE"""),"Ghana-Africa")</f>
        <v>Ghana-Africa</v>
      </c>
      <c r="Z918" s="14" t="str">
        <f>IFERROR(__xludf.DUMMYFUNCTION("""COMPUTED_VALUE"""),"Africa")</f>
        <v>Africa</v>
      </c>
      <c r="AA918" s="14" t="str">
        <f>IFERROR(__xludf.DUMMYFUNCTION("""COMPUTED_VALUE"""),"2006")</f>
        <v>2006</v>
      </c>
      <c r="AB918" s="15" t="str">
        <f>IFERROR(__xludf.DUMMYFUNCTION("ARRAYFORMULA(VLOOKUP(A918,IMPORTRANGE(""https://docs.google.com/spreadsheets/d/1BuTWp7qHGjWhqrnf-OmePP568O4A5Am9ttzvVdP67zw/edit#gid=1931367683"" ,""ENERGY!$A$2:$F$2692""), {2,3,4,5,6},0))"),"Africa")</f>
        <v>Africa</v>
      </c>
      <c r="AC918" s="14" t="str">
        <f>IFERROR(__xludf.DUMMYFUNCTION("""COMPUTED_VALUE"""),"Ghana-Africa")</f>
        <v>Ghana-Africa</v>
      </c>
      <c r="AD918" s="14" t="str">
        <f>IFERROR(__xludf.DUMMYFUNCTION("""COMPUTED_VALUE"""),"2010")</f>
        <v>2010</v>
      </c>
      <c r="AE918" s="14">
        <f>IFERROR(__xludf.DUMMYFUNCTION("""COMPUTED_VALUE"""),9062.0)</f>
        <v>9062</v>
      </c>
      <c r="AF918" s="14">
        <f>IFERROR(__xludf.DUMMYFUNCTION("""COMPUTED_VALUE"""),9289.0)</f>
        <v>9289</v>
      </c>
    </row>
    <row r="919">
      <c r="A919" s="12">
        <v>918.0</v>
      </c>
      <c r="B919" s="12" t="s">
        <v>149</v>
      </c>
      <c r="C919" s="5" t="s">
        <v>77</v>
      </c>
      <c r="D919" s="11">
        <v>0.327</v>
      </c>
      <c r="E919" s="11">
        <v>15.0</v>
      </c>
      <c r="F919" s="8"/>
      <c r="G919" s="11">
        <v>304.0</v>
      </c>
      <c r="H919" s="11">
        <v>0.039</v>
      </c>
      <c r="I919" s="11">
        <v>0.338</v>
      </c>
      <c r="J919" s="9" t="s">
        <v>68</v>
      </c>
      <c r="K919" s="14" t="str">
        <f>IFERROR(__xludf.DUMMYFUNCTION("ARRAYFORMULA(VLOOKUP(A919,IMPORTRANGE(""https://docs.google.com/spreadsheets/d/1BuTWp7qHGjWhqrnf-OmePP568O4A5Am9ttzvVdP67zw/edit#gid=1603210130"", ""TOURISM!$A$2:$F$2692""), {2,3,4,5,6},0))"),"Africa")</f>
        <v>Africa</v>
      </c>
      <c r="L919" s="14">
        <f>IFERROR(__xludf.DUMMYFUNCTION("""COMPUTED_VALUE"""),9.9E8)</f>
        <v>990000000</v>
      </c>
      <c r="M919" s="14" t="str">
        <f>IFERROR(__xludf.DUMMYFUNCTION("""COMPUTED_VALUE"""),"Ghana-Africa")</f>
        <v>Ghana-Africa</v>
      </c>
      <c r="N919" s="14" t="str">
        <f>IFERROR(__xludf.DUMMYFUNCTION("""COMPUTED_VALUE"""),"2007")</f>
        <v>2007</v>
      </c>
      <c r="O919" s="14">
        <f>IFERROR(__xludf.DUMMYFUNCTION("""COMPUTED_VALUE"""),8.16E8)</f>
        <v>816000000</v>
      </c>
      <c r="P919" s="15">
        <f>IFERROR(__xludf.DUMMYFUNCTION("ARRAYFORMULA(VLOOKUP(A919,IMPORTRANGE(""https://docs.google.com/spreadsheets/d/1BuTWp7qHGjWhqrnf-OmePP568O4A5Am9ttzvVdP67zw/edit#gid=771602874"" ,""HUMAN RESOURCES!$A$2:$M$2692""), {2,3,4,5,6,7,8,9,10,11,12,13},0))"),0.033)</f>
        <v>0.033</v>
      </c>
      <c r="Q919" s="14">
        <f>IFERROR(__xludf.DUMMYFUNCTION("""COMPUTED_VALUE"""),0.057)</f>
        <v>0.057</v>
      </c>
      <c r="R919" s="14">
        <f>IFERROR(__xludf.DUMMYFUNCTION("""COMPUTED_VALUE"""),61.0)</f>
        <v>61</v>
      </c>
      <c r="S919" s="14">
        <f>IFERROR(__xludf.DUMMYFUNCTION("""COMPUTED_VALUE"""),59.0)</f>
        <v>59</v>
      </c>
      <c r="T919" s="14">
        <f>IFERROR(__xludf.DUMMYFUNCTION("""COMPUTED_VALUE"""),0.397)</f>
        <v>0.397</v>
      </c>
      <c r="U919" s="14">
        <f>IFERROR(__xludf.DUMMYFUNCTION("""COMPUTED_VALUE"""),0.568)</f>
        <v>0.568</v>
      </c>
      <c r="V919" s="14">
        <f>IFERROR(__xludf.DUMMYFUNCTION("""COMPUTED_VALUE"""),0.035)</f>
        <v>0.035</v>
      </c>
      <c r="W919" s="14">
        <f>IFERROR(__xludf.DUMMYFUNCTION("""COMPUTED_VALUE"""),2.2525659E7)</f>
        <v>22525659</v>
      </c>
      <c r="X919" s="14">
        <f>IFERROR(__xludf.DUMMYFUNCTION("""COMPUTED_VALUE"""),0.487)</f>
        <v>0.487</v>
      </c>
      <c r="Y919" s="14" t="str">
        <f>IFERROR(__xludf.DUMMYFUNCTION("""COMPUTED_VALUE"""),"Ghana-Africa")</f>
        <v>Ghana-Africa</v>
      </c>
      <c r="Z919" s="14" t="str">
        <f>IFERROR(__xludf.DUMMYFUNCTION("""COMPUTED_VALUE"""),"Africa")</f>
        <v>Africa</v>
      </c>
      <c r="AA919" s="14" t="str">
        <f>IFERROR(__xludf.DUMMYFUNCTION("""COMPUTED_VALUE"""),"2007")</f>
        <v>2007</v>
      </c>
      <c r="AB919" s="15" t="str">
        <f>IFERROR(__xludf.DUMMYFUNCTION("ARRAYFORMULA(VLOOKUP(A919,IMPORTRANGE(""https://docs.google.com/spreadsheets/d/1BuTWp7qHGjWhqrnf-OmePP568O4A5Am9ttzvVdP67zw/edit#gid=1931367683"" ,""ENERGY!$A$2:$F$2692""), {2,3,4,5,6},0))"),"Africa")</f>
        <v>Africa</v>
      </c>
      <c r="AC919" s="14" t="str">
        <f>IFERROR(__xludf.DUMMYFUNCTION("""COMPUTED_VALUE"""),"Ghana-Africa")</f>
        <v>Ghana-Africa</v>
      </c>
      <c r="AD919" s="14" t="str">
        <f>IFERROR(__xludf.DUMMYFUNCTION("""COMPUTED_VALUE"""),"2007")</f>
        <v>2007</v>
      </c>
      <c r="AE919" s="14">
        <f>IFERROR(__xludf.DUMMYFUNCTION("""COMPUTED_VALUE"""),8229.0)</f>
        <v>8229</v>
      </c>
      <c r="AF919" s="14">
        <f>IFERROR(__xludf.DUMMYFUNCTION("""COMPUTED_VALUE"""),6956.0)</f>
        <v>6956</v>
      </c>
    </row>
    <row r="920">
      <c r="A920" s="12">
        <v>919.0</v>
      </c>
      <c r="B920" s="12" t="s">
        <v>149</v>
      </c>
      <c r="C920" s="5" t="s">
        <v>77</v>
      </c>
      <c r="D920" s="11">
        <v>0.325</v>
      </c>
      <c r="E920" s="11">
        <v>13.0</v>
      </c>
      <c r="F920" s="8"/>
      <c r="G920" s="11">
        <v>224.0</v>
      </c>
      <c r="H920" s="11">
        <v>0.043</v>
      </c>
      <c r="I920" s="11">
        <v>0.501</v>
      </c>
      <c r="J920" s="9" t="s">
        <v>69</v>
      </c>
      <c r="K920" s="14" t="str">
        <f>IFERROR(__xludf.DUMMYFUNCTION("ARRAYFORMULA(VLOOKUP(A920,IMPORTRANGE(""https://docs.google.com/spreadsheets/d/1BuTWp7qHGjWhqrnf-OmePP568O4A5Am9ttzvVdP67zw/edit#gid=1603210130"", ""TOURISM!$A$2:$F$2692""), {2,3,4,5,6},0))"),"Africa")</f>
        <v>Africa</v>
      </c>
      <c r="L920" s="14">
        <f>IFERROR(__xludf.DUMMYFUNCTION("""COMPUTED_VALUE"""),9.7E8)</f>
        <v>970000000</v>
      </c>
      <c r="M920" s="14" t="str">
        <f>IFERROR(__xludf.DUMMYFUNCTION("""COMPUTED_VALUE"""),"Ghana-Africa")</f>
        <v>Ghana-Africa</v>
      </c>
      <c r="N920" s="14" t="str">
        <f>IFERROR(__xludf.DUMMYFUNCTION("""COMPUTED_VALUE"""),"2008")</f>
        <v>2008</v>
      </c>
      <c r="O920" s="14">
        <f>IFERROR(__xludf.DUMMYFUNCTION("""COMPUTED_VALUE"""),8.7E8)</f>
        <v>870000000</v>
      </c>
      <c r="P920" s="15">
        <f>IFERROR(__xludf.DUMMYFUNCTION("ARRAYFORMULA(VLOOKUP(A920,IMPORTRANGE(""https://docs.google.com/spreadsheets/d/1BuTWp7qHGjWhqrnf-OmePP568O4A5Am9ttzvVdP67zw/edit#gid=771602874"" ,""HUMAN RESOURCES!$A$2:$M$2692""), {2,3,4,5,6,7,8,9,10,11,12,13},0))"),0.033)</f>
        <v>0.033</v>
      </c>
      <c r="Q920" s="14">
        <f>IFERROR(__xludf.DUMMYFUNCTION("""COMPUTED_VALUE"""),0.056)</f>
        <v>0.056</v>
      </c>
      <c r="R920" s="14">
        <f>IFERROR(__xludf.DUMMYFUNCTION("""COMPUTED_VALUE"""),61.0)</f>
        <v>61</v>
      </c>
      <c r="S920" s="14">
        <f>IFERROR(__xludf.DUMMYFUNCTION("""COMPUTED_VALUE"""),59.0)</f>
        <v>59</v>
      </c>
      <c r="T920" s="14">
        <f>IFERROR(__xludf.DUMMYFUNCTION("""COMPUTED_VALUE"""),0.394)</f>
        <v>0.394</v>
      </c>
      <c r="U920" s="14">
        <f>IFERROR(__xludf.DUMMYFUNCTION("""COMPUTED_VALUE"""),0.571)</f>
        <v>0.571</v>
      </c>
      <c r="V920" s="14">
        <f>IFERROR(__xludf.DUMMYFUNCTION("""COMPUTED_VALUE"""),0.035)</f>
        <v>0.035</v>
      </c>
      <c r="W920" s="14">
        <f>IFERROR(__xludf.DUMMYFUNCTION("""COMPUTED_VALUE"""),2.3110139E7)</f>
        <v>23110139</v>
      </c>
      <c r="X920" s="14">
        <f>IFERROR(__xludf.DUMMYFUNCTION("""COMPUTED_VALUE"""),0.494)</f>
        <v>0.494</v>
      </c>
      <c r="Y920" s="14" t="str">
        <f>IFERROR(__xludf.DUMMYFUNCTION("""COMPUTED_VALUE"""),"Ghana-Africa")</f>
        <v>Ghana-Africa</v>
      </c>
      <c r="Z920" s="14" t="str">
        <f>IFERROR(__xludf.DUMMYFUNCTION("""COMPUTED_VALUE"""),"Africa")</f>
        <v>Africa</v>
      </c>
      <c r="AA920" s="14" t="str">
        <f>IFERROR(__xludf.DUMMYFUNCTION("""COMPUTED_VALUE"""),"2008")</f>
        <v>2008</v>
      </c>
      <c r="AB920" s="15" t="str">
        <f>IFERROR(__xludf.DUMMYFUNCTION("ARRAYFORMULA(VLOOKUP(A920,IMPORTRANGE(""https://docs.google.com/spreadsheets/d/1BuTWp7qHGjWhqrnf-OmePP568O4A5Am9ttzvVdP67zw/edit#gid=1931367683"" ,""ENERGY!$A$2:$F$2692""), {2,3,4,5,6},0))"),"Africa")</f>
        <v>Africa</v>
      </c>
      <c r="AC920" s="14" t="str">
        <f>IFERROR(__xludf.DUMMYFUNCTION("""COMPUTED_VALUE"""),"Ghana-Africa")</f>
        <v>Ghana-Africa</v>
      </c>
      <c r="AD920" s="14" t="str">
        <f>IFERROR(__xludf.DUMMYFUNCTION("""COMPUTED_VALUE"""),"2005")</f>
        <v>2005</v>
      </c>
      <c r="AE920" s="14">
        <f>IFERROR(__xludf.DUMMYFUNCTION("""COMPUTED_VALUE"""),8267.0)</f>
        <v>8267</v>
      </c>
      <c r="AF920" s="14">
        <f>IFERROR(__xludf.DUMMYFUNCTION("""COMPUTED_VALUE"""),7349.0)</f>
        <v>7349</v>
      </c>
    </row>
    <row r="921">
      <c r="A921" s="12">
        <v>920.0</v>
      </c>
      <c r="B921" s="12" t="s">
        <v>149</v>
      </c>
      <c r="C921" s="5" t="s">
        <v>77</v>
      </c>
      <c r="D921" s="11">
        <v>0.325</v>
      </c>
      <c r="E921" s="11">
        <v>12.0</v>
      </c>
      <c r="F921" s="8"/>
      <c r="G921" s="11">
        <v>224.0</v>
      </c>
      <c r="H921" s="11">
        <v>0.054</v>
      </c>
      <c r="I921" s="11">
        <v>0.638</v>
      </c>
      <c r="J921" s="9" t="s">
        <v>70</v>
      </c>
      <c r="K921" s="14" t="str">
        <f>IFERROR(__xludf.DUMMYFUNCTION("ARRAYFORMULA(VLOOKUP(A921,IMPORTRANGE(""https://docs.google.com/spreadsheets/d/1BuTWp7qHGjWhqrnf-OmePP568O4A5Am9ttzvVdP67zw/edit#gid=1603210130"", ""TOURISM!$A$2:$F$2692""), {2,3,4,5,6},0))"),"Africa")</f>
        <v>Africa</v>
      </c>
      <c r="L921" s="14">
        <f>IFERROR(__xludf.DUMMYFUNCTION("""COMPUTED_VALUE"""),8.49E8)</f>
        <v>849000000</v>
      </c>
      <c r="M921" s="14" t="str">
        <f>IFERROR(__xludf.DUMMYFUNCTION("""COMPUTED_VALUE"""),"Ghana-Africa")</f>
        <v>Ghana-Africa</v>
      </c>
      <c r="N921" s="14" t="str">
        <f>IFERROR(__xludf.DUMMYFUNCTION("""COMPUTED_VALUE"""),"2009")</f>
        <v>2009</v>
      </c>
      <c r="O921" s="14">
        <f>IFERROR(__xludf.DUMMYFUNCTION("""COMPUTED_VALUE"""),9.48E8)</f>
        <v>948000000</v>
      </c>
      <c r="P921" s="15">
        <f>IFERROR(__xludf.DUMMYFUNCTION("ARRAYFORMULA(VLOOKUP(A921,IMPORTRANGE(""https://docs.google.com/spreadsheets/d/1BuTWp7qHGjWhqrnf-OmePP568O4A5Am9ttzvVdP67zw/edit#gid=771602874"" ,""HUMAN RESOURCES!$A$2:$M$2692""), {2,3,4,5,6,7,8,9,10,11,12,13},0))"),0.033)</f>
        <v>0.033</v>
      </c>
      <c r="Q921" s="14">
        <f>IFERROR(__xludf.DUMMYFUNCTION("""COMPUTED_VALUE"""),0.056)</f>
        <v>0.056</v>
      </c>
      <c r="R921" s="14">
        <f>IFERROR(__xludf.DUMMYFUNCTION("""COMPUTED_VALUE"""),61.0)</f>
        <v>61</v>
      </c>
      <c r="S921" s="14">
        <f>IFERROR(__xludf.DUMMYFUNCTION("""COMPUTED_VALUE"""),59.0)</f>
        <v>59</v>
      </c>
      <c r="T921" s="14">
        <f>IFERROR(__xludf.DUMMYFUNCTION("""COMPUTED_VALUE"""),0.392)</f>
        <v>0.392</v>
      </c>
      <c r="U921" s="14">
        <f>IFERROR(__xludf.DUMMYFUNCTION("""COMPUTED_VALUE"""),0.573)</f>
        <v>0.573</v>
      </c>
      <c r="V921" s="14">
        <f>IFERROR(__xludf.DUMMYFUNCTION("""COMPUTED_VALUE"""),0.035)</f>
        <v>0.035</v>
      </c>
      <c r="W921" s="14">
        <f>IFERROR(__xludf.DUMMYFUNCTION("""COMPUTED_VALUE"""),2.3691533E7)</f>
        <v>23691533</v>
      </c>
      <c r="X921" s="14">
        <f>IFERROR(__xludf.DUMMYFUNCTION("""COMPUTED_VALUE"""),0.5)</f>
        <v>0.5</v>
      </c>
      <c r="Y921" s="14" t="str">
        <f>IFERROR(__xludf.DUMMYFUNCTION("""COMPUTED_VALUE"""),"Ghana-Africa")</f>
        <v>Ghana-Africa</v>
      </c>
      <c r="Z921" s="14" t="str">
        <f>IFERROR(__xludf.DUMMYFUNCTION("""COMPUTED_VALUE"""),"Africa")</f>
        <v>Africa</v>
      </c>
      <c r="AA921" s="14" t="str">
        <f>IFERROR(__xludf.DUMMYFUNCTION("""COMPUTED_VALUE"""),"2009")</f>
        <v>2009</v>
      </c>
      <c r="AB921" s="15" t="str">
        <f>IFERROR(__xludf.DUMMYFUNCTION("ARRAYFORMULA(VLOOKUP(A921,IMPORTRANGE(""https://docs.google.com/spreadsheets/d/1BuTWp7qHGjWhqrnf-OmePP568O4A5Am9ttzvVdP67zw/edit#gid=1931367683"" ,""ENERGY!$A$2:$F$2692""), {2,3,4,5,6},0))"),"Africa")</f>
        <v>Africa</v>
      </c>
      <c r="AC921" s="14" t="str">
        <f>IFERROR(__xludf.DUMMYFUNCTION("""COMPUTED_VALUE"""),"Ghana-Africa")</f>
        <v>Ghana-Africa</v>
      </c>
      <c r="AD921" s="14" t="str">
        <f>IFERROR(__xludf.DUMMYFUNCTION("""COMPUTED_VALUE"""),"2009")</f>
        <v>2009</v>
      </c>
      <c r="AE921" s="14">
        <f>IFERROR(__xludf.DUMMYFUNCTION("""COMPUTED_VALUE"""),8226.0)</f>
        <v>8226</v>
      </c>
      <c r="AF921" s="14">
        <f>IFERROR(__xludf.DUMMYFUNCTION("""COMPUTED_VALUE"""),7631.0)</f>
        <v>7631</v>
      </c>
    </row>
    <row r="922">
      <c r="A922" s="12">
        <v>921.0</v>
      </c>
      <c r="B922" s="12" t="s">
        <v>149</v>
      </c>
      <c r="C922" s="5" t="s">
        <v>77</v>
      </c>
      <c r="D922" s="11">
        <v>0.325</v>
      </c>
      <c r="E922" s="11">
        <v>12.0</v>
      </c>
      <c r="F922" s="8"/>
      <c r="G922" s="11">
        <v>224.0</v>
      </c>
      <c r="H922" s="11">
        <v>0.078</v>
      </c>
      <c r="I922" s="11">
        <v>0.719</v>
      </c>
      <c r="J922" s="9" t="s">
        <v>71</v>
      </c>
      <c r="K922" s="14" t="str">
        <f>IFERROR(__xludf.DUMMYFUNCTION("ARRAYFORMULA(VLOOKUP(A922,IMPORTRANGE(""https://docs.google.com/spreadsheets/d/1BuTWp7qHGjWhqrnf-OmePP568O4A5Am9ttzvVdP67zw/edit#gid=1603210130"", ""TOURISM!$A$2:$F$2692""), {2,3,4,5,6},0))"),"Africa")</f>
        <v>Africa</v>
      </c>
      <c r="L922" s="14">
        <f>IFERROR(__xludf.DUMMYFUNCTION("""COMPUTED_VALUE"""),7.06E8)</f>
        <v>706000000</v>
      </c>
      <c r="M922" s="14" t="str">
        <f>IFERROR(__xludf.DUMMYFUNCTION("""COMPUTED_VALUE"""),"Ghana-Africa")</f>
        <v>Ghana-Africa</v>
      </c>
      <c r="N922" s="14" t="str">
        <f>IFERROR(__xludf.DUMMYFUNCTION("""COMPUTED_VALUE"""),"2010")</f>
        <v>2010</v>
      </c>
      <c r="O922" s="14">
        <f>IFERROR(__xludf.DUMMYFUNCTION("""COMPUTED_VALUE"""),8.82E8)</f>
        <v>882000000</v>
      </c>
      <c r="P922" s="15">
        <f>IFERROR(__xludf.DUMMYFUNCTION("ARRAYFORMULA(VLOOKUP(A922,IMPORTRANGE(""https://docs.google.com/spreadsheets/d/1BuTWp7qHGjWhqrnf-OmePP568O4A5Am9ttzvVdP67zw/edit#gid=771602874"" ,""HUMAN RESOURCES!$A$2:$M$2692""), {2,3,4,5,6,7,8,9,10,11,12,13},0))"),0.032)</f>
        <v>0.032</v>
      </c>
      <c r="Q922" s="14">
        <f>IFERROR(__xludf.DUMMYFUNCTION("""COMPUTED_VALUE"""),0.055)</f>
        <v>0.055</v>
      </c>
      <c r="R922" s="14">
        <f>IFERROR(__xludf.DUMMYFUNCTION("""COMPUTED_VALUE"""),62.0)</f>
        <v>62</v>
      </c>
      <c r="S922" s="14">
        <f>IFERROR(__xludf.DUMMYFUNCTION("""COMPUTED_VALUE"""),60.0)</f>
        <v>60</v>
      </c>
      <c r="T922" s="14">
        <f>IFERROR(__xludf.DUMMYFUNCTION("""COMPUTED_VALUE"""),0.39)</f>
        <v>0.39</v>
      </c>
      <c r="U922" s="14">
        <f>IFERROR(__xludf.DUMMYFUNCTION("""COMPUTED_VALUE"""),0.575)</f>
        <v>0.575</v>
      </c>
      <c r="V922" s="14">
        <f>IFERROR(__xludf.DUMMYFUNCTION("""COMPUTED_VALUE"""),0.035)</f>
        <v>0.035</v>
      </c>
      <c r="W922" s="14">
        <f>IFERROR(__xludf.DUMMYFUNCTION("""COMPUTED_VALUE"""),2.4262901E7)</f>
        <v>24262901</v>
      </c>
      <c r="X922" s="14">
        <f>IFERROR(__xludf.DUMMYFUNCTION("""COMPUTED_VALUE"""),0.507)</f>
        <v>0.507</v>
      </c>
      <c r="Y922" s="14" t="str">
        <f>IFERROR(__xludf.DUMMYFUNCTION("""COMPUTED_VALUE"""),"Ghana-Africa")</f>
        <v>Ghana-Africa</v>
      </c>
      <c r="Z922" s="14" t="str">
        <f>IFERROR(__xludf.DUMMYFUNCTION("""COMPUTED_VALUE"""),"Africa")</f>
        <v>Africa</v>
      </c>
      <c r="AA922" s="14" t="str">
        <f>IFERROR(__xludf.DUMMYFUNCTION("""COMPUTED_VALUE"""),"2010")</f>
        <v>2010</v>
      </c>
      <c r="AB922" s="15" t="str">
        <f>IFERROR(__xludf.DUMMYFUNCTION("ARRAYFORMULA(VLOOKUP(A922,IMPORTRANGE(""https://docs.google.com/spreadsheets/d/1BuTWp7qHGjWhqrnf-OmePP568O4A5Am9ttzvVdP67zw/edit#gid=1931367683"" ,""ENERGY!$A$2:$F$2692""), {2,3,4,5,6},0))"),"Africa")</f>
        <v>Africa</v>
      </c>
      <c r="AC922" s="14" t="str">
        <f>IFERROR(__xludf.DUMMYFUNCTION("""COMPUTED_VALUE"""),"Ghana-Africa")</f>
        <v>Ghana-Africa</v>
      </c>
      <c r="AD922" s="14" t="str">
        <f>IFERROR(__xludf.DUMMYFUNCTION("""COMPUTED_VALUE"""),"2009")</f>
        <v>2009</v>
      </c>
      <c r="AE922" s="14">
        <f>IFERROR(__xludf.DUMMYFUNCTION("""COMPUTED_VALUE"""),8264.0)</f>
        <v>8264</v>
      </c>
      <c r="AF922" s="14">
        <f>IFERROR(__xludf.DUMMYFUNCTION("""COMPUTED_VALUE"""),7437.0)</f>
        <v>7437</v>
      </c>
    </row>
    <row r="923">
      <c r="A923" s="12">
        <v>922.0</v>
      </c>
      <c r="B923" s="12" t="s">
        <v>149</v>
      </c>
      <c r="C923" s="5" t="s">
        <v>77</v>
      </c>
      <c r="D923" s="11">
        <v>0.334</v>
      </c>
      <c r="E923" s="11">
        <v>12.0</v>
      </c>
      <c r="F923" s="8"/>
      <c r="G923" s="11">
        <v>224.0</v>
      </c>
      <c r="H923" s="11">
        <v>0.141</v>
      </c>
      <c r="I923" s="11">
        <v>0.853</v>
      </c>
      <c r="J923" s="9" t="s">
        <v>72</v>
      </c>
      <c r="K923" s="14" t="str">
        <f>IFERROR(__xludf.DUMMYFUNCTION("ARRAYFORMULA(VLOOKUP(A923,IMPORTRANGE(""https://docs.google.com/spreadsheets/d/1BuTWp7qHGjWhqrnf-OmePP568O4A5Am9ttzvVdP67zw/edit#gid=1603210130"", ""TOURISM!$A$2:$F$2692""), {2,3,4,5,6},0))"),"Africa")</f>
        <v>Africa</v>
      </c>
      <c r="L923" s="14">
        <f>IFERROR(__xludf.DUMMYFUNCTION("""COMPUTED_VALUE"""),7.97E8)</f>
        <v>797000000</v>
      </c>
      <c r="M923" s="14" t="str">
        <f>IFERROR(__xludf.DUMMYFUNCTION("""COMPUTED_VALUE"""),"Ghana-Africa")</f>
        <v>Ghana-Africa</v>
      </c>
      <c r="N923" s="14" t="str">
        <f>IFERROR(__xludf.DUMMYFUNCTION("""COMPUTED_VALUE"""),"2011")</f>
        <v>2011</v>
      </c>
      <c r="O923" s="14">
        <f>IFERROR(__xludf.DUMMYFUNCTION("""COMPUTED_VALUE"""),1.026E9)</f>
        <v>1026000000</v>
      </c>
      <c r="P923" s="15">
        <f>IFERROR(__xludf.DUMMYFUNCTION("ARRAYFORMULA(VLOOKUP(A923,IMPORTRANGE(""https://docs.google.com/spreadsheets/d/1BuTWp7qHGjWhqrnf-OmePP568O4A5Am9ttzvVdP67zw/edit#gid=771602874"" ,""HUMAN RESOURCES!$A$2:$M$2692""), {2,3,4,5,6,7,8,9,10,11,12,13},0))"),0.032)</f>
        <v>0.032</v>
      </c>
      <c r="Q923" s="14">
        <f>IFERROR(__xludf.DUMMYFUNCTION("""COMPUTED_VALUE"""),0.054)</f>
        <v>0.054</v>
      </c>
      <c r="R923" s="14">
        <f>IFERROR(__xludf.DUMMYFUNCTION("""COMPUTED_VALUE"""),62.0)</f>
        <v>62</v>
      </c>
      <c r="S923" s="14">
        <f>IFERROR(__xludf.DUMMYFUNCTION("""COMPUTED_VALUE"""),60.0)</f>
        <v>60</v>
      </c>
      <c r="T923" s="14">
        <f>IFERROR(__xludf.DUMMYFUNCTION("""COMPUTED_VALUE"""),0.388)</f>
        <v>0.388</v>
      </c>
      <c r="U923" s="14">
        <f>IFERROR(__xludf.DUMMYFUNCTION("""COMPUTED_VALUE"""),0.577)</f>
        <v>0.577</v>
      </c>
      <c r="V923" s="14">
        <f>IFERROR(__xludf.DUMMYFUNCTION("""COMPUTED_VALUE"""),0.035)</f>
        <v>0.035</v>
      </c>
      <c r="W923" s="14">
        <f>IFERROR(__xludf.DUMMYFUNCTION("""COMPUTED_VALUE"""),2.4820706E7)</f>
        <v>24820706</v>
      </c>
      <c r="X923" s="14">
        <f>IFERROR(__xludf.DUMMYFUNCTION("""COMPUTED_VALUE"""),0.514)</f>
        <v>0.514</v>
      </c>
      <c r="Y923" s="14" t="str">
        <f>IFERROR(__xludf.DUMMYFUNCTION("""COMPUTED_VALUE"""),"Ghana-Africa")</f>
        <v>Ghana-Africa</v>
      </c>
      <c r="Z923" s="14" t="str">
        <f>IFERROR(__xludf.DUMMYFUNCTION("""COMPUTED_VALUE"""),"Africa")</f>
        <v>Africa</v>
      </c>
      <c r="AA923" s="14" t="str">
        <f>IFERROR(__xludf.DUMMYFUNCTION("""COMPUTED_VALUE"""),"2011")</f>
        <v>2011</v>
      </c>
      <c r="AB923" s="15" t="str">
        <f>IFERROR(__xludf.DUMMYFUNCTION("ARRAYFORMULA(VLOOKUP(A923,IMPORTRANGE(""https://docs.google.com/spreadsheets/d/1BuTWp7qHGjWhqrnf-OmePP568O4A5Am9ttzvVdP67zw/edit#gid=1931367683"" ,""ENERGY!$A$2:$F$2692""), {2,3,4,5,6},0))"),"Africa")</f>
        <v>Africa</v>
      </c>
      <c r="AC923" s="14" t="str">
        <f>IFERROR(__xludf.DUMMYFUNCTION("""COMPUTED_VALUE"""),"Ghana-Africa")</f>
        <v>Ghana-Africa</v>
      </c>
      <c r="AD923" s="14" t="str">
        <f>IFERROR(__xludf.DUMMYFUNCTION("""COMPUTED_VALUE"""),"2005")</f>
        <v>2005</v>
      </c>
      <c r="AE923" s="14">
        <f>IFERROR(__xludf.DUMMYFUNCTION("""COMPUTED_VALUE"""),8045.0)</f>
        <v>8045</v>
      </c>
      <c r="AF923" s="14">
        <f>IFERROR(__xludf.DUMMYFUNCTION("""COMPUTED_VALUE"""),6920.0)</f>
        <v>6920</v>
      </c>
    </row>
    <row r="924">
      <c r="A924" s="12">
        <v>923.0</v>
      </c>
      <c r="B924" s="12" t="s">
        <v>149</v>
      </c>
      <c r="C924" s="5" t="s">
        <v>77</v>
      </c>
      <c r="D924" s="11">
        <v>0.334</v>
      </c>
      <c r="E924" s="11">
        <v>12.0</v>
      </c>
      <c r="F924" s="11">
        <v>62.0</v>
      </c>
      <c r="G924" s="11">
        <v>224.0</v>
      </c>
      <c r="H924" s="11">
        <v>0.123</v>
      </c>
      <c r="I924" s="11">
        <v>1.01</v>
      </c>
      <c r="J924" s="9" t="s">
        <v>73</v>
      </c>
      <c r="K924" s="14" t="str">
        <f>IFERROR(__xludf.DUMMYFUNCTION("ARRAYFORMULA(VLOOKUP(A924,IMPORTRANGE(""https://docs.google.com/spreadsheets/d/1BuTWp7qHGjWhqrnf-OmePP568O4A5Am9ttzvVdP67zw/edit#gid=1603210130"", ""TOURISM!$A$2:$F$2692""), {2,3,4,5,6},0))"),"Africa")</f>
        <v>Africa</v>
      </c>
      <c r="L924" s="14">
        <f>IFERROR(__xludf.DUMMYFUNCTION("""COMPUTED_VALUE"""),1.154E9)</f>
        <v>1154000000</v>
      </c>
      <c r="M924" s="14" t="str">
        <f>IFERROR(__xludf.DUMMYFUNCTION("""COMPUTED_VALUE"""),"Ghana-Africa")</f>
        <v>Ghana-Africa</v>
      </c>
      <c r="N924" s="14" t="str">
        <f>IFERROR(__xludf.DUMMYFUNCTION("""COMPUTED_VALUE"""),"2012")</f>
        <v>2012</v>
      </c>
      <c r="O924" s="14">
        <f>IFERROR(__xludf.DUMMYFUNCTION("""COMPUTED_VALUE"""),9.79E8)</f>
        <v>979000000</v>
      </c>
      <c r="P924" s="15">
        <f>IFERROR(__xludf.DUMMYFUNCTION("ARRAYFORMULA(VLOOKUP(A924,IMPORTRANGE(""https://docs.google.com/spreadsheets/d/1BuTWp7qHGjWhqrnf-OmePP568O4A5Am9ttzvVdP67zw/edit#gid=771602874"" ,""HUMAN RESOURCES!$A$2:$M$2692""), {2,3,4,5,6,7,8,9,10,11,12,13},0))"),0.031)</f>
        <v>0.031</v>
      </c>
      <c r="Q924" s="14">
        <f>IFERROR(__xludf.DUMMYFUNCTION("""COMPUTED_VALUE"""),0.053)</f>
        <v>0.053</v>
      </c>
      <c r="R924" s="14">
        <f>IFERROR(__xludf.DUMMYFUNCTION("""COMPUTED_VALUE"""),62.0)</f>
        <v>62</v>
      </c>
      <c r="S924" s="14">
        <f>IFERROR(__xludf.DUMMYFUNCTION("""COMPUTED_VALUE"""),60.0)</f>
        <v>60</v>
      </c>
      <c r="T924" s="14">
        <f>IFERROR(__xludf.DUMMYFUNCTION("""COMPUTED_VALUE"""),0.386)</f>
        <v>0.386</v>
      </c>
      <c r="U924" s="14">
        <f>IFERROR(__xludf.DUMMYFUNCTION("""COMPUTED_VALUE"""),0.579)</f>
        <v>0.579</v>
      </c>
      <c r="V924" s="14">
        <f>IFERROR(__xludf.DUMMYFUNCTION("""COMPUTED_VALUE"""),0.035)</f>
        <v>0.035</v>
      </c>
      <c r="W924" s="14">
        <f>IFERROR(__xludf.DUMMYFUNCTION("""COMPUTED_VALUE"""),2.5366462E7)</f>
        <v>25366462</v>
      </c>
      <c r="X924" s="14">
        <f>IFERROR(__xludf.DUMMYFUNCTION("""COMPUTED_VALUE"""),0.521)</f>
        <v>0.521</v>
      </c>
      <c r="Y924" s="14" t="str">
        <f>IFERROR(__xludf.DUMMYFUNCTION("""COMPUTED_VALUE"""),"Ghana-Africa")</f>
        <v>Ghana-Africa</v>
      </c>
      <c r="Z924" s="14" t="str">
        <f>IFERROR(__xludf.DUMMYFUNCTION("""COMPUTED_VALUE"""),"Africa")</f>
        <v>Africa</v>
      </c>
      <c r="AA924" s="14" t="str">
        <f>IFERROR(__xludf.DUMMYFUNCTION("""COMPUTED_VALUE"""),"2012")</f>
        <v>2012</v>
      </c>
      <c r="AB924" s="15" t="str">
        <f>IFERROR(__xludf.DUMMYFUNCTION("ARRAYFORMULA(VLOOKUP(A924,IMPORTRANGE(""https://docs.google.com/spreadsheets/d/1BuTWp7qHGjWhqrnf-OmePP568O4A5Am9ttzvVdP67zw/edit#gid=1931367683"" ,""ENERGY!$A$2:$F$2692""), {2,3,4,5,6},0))"),"Africa")</f>
        <v>Africa</v>
      </c>
      <c r="AC924" s="14" t="str">
        <f>IFERROR(__xludf.DUMMYFUNCTION("""COMPUTED_VALUE"""),"Ghana-Africa")</f>
        <v>Ghana-Africa</v>
      </c>
      <c r="AD924" s="14" t="str">
        <f>IFERROR(__xludf.DUMMYFUNCTION("""COMPUTED_VALUE"""),"2009")</f>
        <v>2009</v>
      </c>
      <c r="AE924" s="14">
        <f>IFERROR(__xludf.DUMMYFUNCTION("""COMPUTED_VALUE"""),7736.0)</f>
        <v>7736</v>
      </c>
      <c r="AF924" s="14">
        <f>IFERROR(__xludf.DUMMYFUNCTION("""COMPUTED_VALUE"""),6289.0)</f>
        <v>6289</v>
      </c>
    </row>
    <row r="925">
      <c r="A925" s="12">
        <v>924.0</v>
      </c>
      <c r="B925" s="12" t="s">
        <v>150</v>
      </c>
      <c r="C925" s="5" t="s">
        <v>75</v>
      </c>
      <c r="D925" s="8"/>
      <c r="E925" s="8"/>
      <c r="F925" s="8"/>
      <c r="G925" s="8"/>
      <c r="H925" s="11">
        <v>0.091</v>
      </c>
      <c r="I925" s="11">
        <v>0.54</v>
      </c>
      <c r="J925" s="9" t="s">
        <v>60</v>
      </c>
      <c r="K925" s="14" t="str">
        <f>IFERROR(__xludf.DUMMYFUNCTION("ARRAYFORMULA(VLOOKUP(A925,IMPORTRANGE(""https://docs.google.com/spreadsheets/d/1BuTWp7qHGjWhqrnf-OmePP568O4A5Am9ttzvVdP67zw/edit#gid=1603210130"", ""TOURISM!$A$2:$F$2692""), {2,3,4,5,6},0))"),"Europe")</f>
        <v>Europe</v>
      </c>
      <c r="L925" s="14">
        <f>IFERROR(__xludf.DUMMYFUNCTION("""COMPUTED_VALUE"""),9.262E9)</f>
        <v>9262000000</v>
      </c>
      <c r="M925" s="14" t="str">
        <f>IFERROR(__xludf.DUMMYFUNCTION("""COMPUTED_VALUE"""),"Greece-Europe")</f>
        <v>Greece-Europe</v>
      </c>
      <c r="N925" s="14" t="str">
        <f>IFERROR(__xludf.DUMMYFUNCTION("""COMPUTED_VALUE"""),"2000")</f>
        <v>2000</v>
      </c>
      <c r="O925" s="14">
        <f>IFERROR(__xludf.DUMMYFUNCTION("""COMPUTED_VALUE"""),4.564E9)</f>
        <v>4564000000</v>
      </c>
      <c r="P925" s="15">
        <f>IFERROR(__xludf.DUMMYFUNCTION("ARRAYFORMULA(VLOOKUP(A925,IMPORTRANGE(""https://docs.google.com/spreadsheets/d/1BuTWp7qHGjWhqrnf-OmePP568O4A5Am9ttzvVdP67zw/edit#gid=771602874"" ,""HUMAN RESOURCES!$A$2:$M$2692""), {2,3,4,5,6,7,8,9,10,11,12,13},0))"),0.01)</f>
        <v>0.01</v>
      </c>
      <c r="Q925" s="14">
        <f>IFERROR(__xludf.DUMMYFUNCTION("""COMPUTED_VALUE"""),0.007)</f>
        <v>0.007</v>
      </c>
      <c r="R925" s="14">
        <f>IFERROR(__xludf.DUMMYFUNCTION("""COMPUTED_VALUE"""),81.0)</f>
        <v>81</v>
      </c>
      <c r="S925" s="14">
        <f>IFERROR(__xludf.DUMMYFUNCTION("""COMPUTED_VALUE"""),75.0)</f>
        <v>75</v>
      </c>
      <c r="T925" s="14">
        <f>IFERROR(__xludf.DUMMYFUNCTION("""COMPUTED_VALUE"""),0.152)</f>
        <v>0.152</v>
      </c>
      <c r="U925" s="14">
        <f>IFERROR(__xludf.DUMMYFUNCTION("""COMPUTED_VALUE"""),0.68)</f>
        <v>0.68</v>
      </c>
      <c r="V925" s="14">
        <f>IFERROR(__xludf.DUMMYFUNCTION("""COMPUTED_VALUE"""),0.168)</f>
        <v>0.168</v>
      </c>
      <c r="W925" s="14">
        <f>IFERROR(__xludf.DUMMYFUNCTION("""COMPUTED_VALUE"""),1.0917482E7)</f>
        <v>10917482</v>
      </c>
      <c r="X925" s="14">
        <f>IFERROR(__xludf.DUMMYFUNCTION("""COMPUTED_VALUE"""),0.727)</f>
        <v>0.727</v>
      </c>
      <c r="Y925" s="14" t="str">
        <f>IFERROR(__xludf.DUMMYFUNCTION("""COMPUTED_VALUE"""),"Greece-Europe")</f>
        <v>Greece-Europe</v>
      </c>
      <c r="Z925" s="14" t="str">
        <f>IFERROR(__xludf.DUMMYFUNCTION("""COMPUTED_VALUE"""),"Europe")</f>
        <v>Europe</v>
      </c>
      <c r="AA925" s="14" t="str">
        <f>IFERROR(__xludf.DUMMYFUNCTION("""COMPUTED_VALUE"""),"2000")</f>
        <v>2000</v>
      </c>
      <c r="AB925" s="15" t="str">
        <f>IFERROR(__xludf.DUMMYFUNCTION("ARRAYFORMULA(VLOOKUP(A925,IMPORTRANGE(""https://docs.google.com/spreadsheets/d/1BuTWp7qHGjWhqrnf-OmePP568O4A5Am9ttzvVdP67zw/edit#gid=1931367683"" ,""ENERGY!$A$2:$F$2692""), {2,3,4,5,6},0))"),"Europe")</f>
        <v>Europe</v>
      </c>
      <c r="AC925" s="14" t="str">
        <f>IFERROR(__xludf.DUMMYFUNCTION("""COMPUTED_VALUE"""),"Greece-Europe")</f>
        <v>Greece-Europe</v>
      </c>
      <c r="AD925" s="14" t="str">
        <f>IFERROR(__xludf.DUMMYFUNCTION("""COMPUTED_VALUE"""),"2000")</f>
        <v>2000</v>
      </c>
      <c r="AE925" s="14">
        <f>IFERROR(__xludf.DUMMYFUNCTION("""COMPUTED_VALUE"""),25991.0)</f>
        <v>25991</v>
      </c>
      <c r="AF925" s="14"/>
    </row>
    <row r="926">
      <c r="A926" s="12">
        <v>925.0</v>
      </c>
      <c r="B926" s="12" t="s">
        <v>150</v>
      </c>
      <c r="C926" s="5" t="s">
        <v>75</v>
      </c>
      <c r="D926" s="8"/>
      <c r="E926" s="8"/>
      <c r="F926" s="8"/>
      <c r="G926" s="8"/>
      <c r="H926" s="11">
        <v>0.109</v>
      </c>
      <c r="I926" s="11">
        <v>0.723</v>
      </c>
      <c r="J926" s="9" t="s">
        <v>62</v>
      </c>
      <c r="K926" s="14" t="str">
        <f>IFERROR(__xludf.DUMMYFUNCTION("ARRAYFORMULA(VLOOKUP(A926,IMPORTRANGE(""https://docs.google.com/spreadsheets/d/1BuTWp7qHGjWhqrnf-OmePP568O4A5Am9ttzvVdP67zw/edit#gid=1603210130"", ""TOURISM!$A$2:$F$2692""), {2,3,4,5,6},0))"),"Europe")</f>
        <v>Europe</v>
      </c>
      <c r="L926" s="14">
        <f>IFERROR(__xludf.DUMMYFUNCTION("""COMPUTED_VALUE"""),9.216E9)</f>
        <v>9216000000</v>
      </c>
      <c r="M926" s="14" t="str">
        <f>IFERROR(__xludf.DUMMYFUNCTION("""COMPUTED_VALUE"""),"Greece-Europe")</f>
        <v>Greece-Europe</v>
      </c>
      <c r="N926" s="14" t="str">
        <f>IFERROR(__xludf.DUMMYFUNCTION("""COMPUTED_VALUE"""),"2001")</f>
        <v>2001</v>
      </c>
      <c r="O926" s="14">
        <f>IFERROR(__xludf.DUMMYFUNCTION("""COMPUTED_VALUE"""),4.189E9)</f>
        <v>4189000000</v>
      </c>
      <c r="P926" s="15">
        <f>IFERROR(__xludf.DUMMYFUNCTION("ARRAYFORMULA(VLOOKUP(A926,IMPORTRANGE(""https://docs.google.com/spreadsheets/d/1BuTWp7qHGjWhqrnf-OmePP568O4A5Am9ttzvVdP67zw/edit#gid=771602874"" ,""HUMAN RESOURCES!$A$2:$M$2692""), {2,3,4,5,6,7,8,9,10,11,12,13},0))"),0.009)</f>
        <v>0.009</v>
      </c>
      <c r="Q926" s="14">
        <f>IFERROR(__xludf.DUMMYFUNCTION("""COMPUTED_VALUE"""),0.006)</f>
        <v>0.006</v>
      </c>
      <c r="R926" s="14">
        <f>IFERROR(__xludf.DUMMYFUNCTION("""COMPUTED_VALUE"""),81.0)</f>
        <v>81</v>
      </c>
      <c r="S926" s="14">
        <f>IFERROR(__xludf.DUMMYFUNCTION("""COMPUTED_VALUE"""),76.0)</f>
        <v>76</v>
      </c>
      <c r="T926" s="14">
        <f>IFERROR(__xludf.DUMMYFUNCTION("""COMPUTED_VALUE"""),0.15)</f>
        <v>0.15</v>
      </c>
      <c r="U926" s="14">
        <f>IFERROR(__xludf.DUMMYFUNCTION("""COMPUTED_VALUE"""),0.678)</f>
        <v>0.678</v>
      </c>
      <c r="V926" s="14">
        <f>IFERROR(__xludf.DUMMYFUNCTION("""COMPUTED_VALUE"""),0.172)</f>
        <v>0.172</v>
      </c>
      <c r="W926" s="14">
        <f>IFERROR(__xludf.DUMMYFUNCTION("""COMPUTED_VALUE"""),1.0951764E7)</f>
        <v>10951764</v>
      </c>
      <c r="X926" s="14">
        <f>IFERROR(__xludf.DUMMYFUNCTION("""COMPUTED_VALUE"""),0.729)</f>
        <v>0.729</v>
      </c>
      <c r="Y926" s="14" t="str">
        <f>IFERROR(__xludf.DUMMYFUNCTION("""COMPUTED_VALUE"""),"Greece-Europe")</f>
        <v>Greece-Europe</v>
      </c>
      <c r="Z926" s="14" t="str">
        <f>IFERROR(__xludf.DUMMYFUNCTION("""COMPUTED_VALUE"""),"Europe")</f>
        <v>Europe</v>
      </c>
      <c r="AA926" s="14" t="str">
        <f>IFERROR(__xludf.DUMMYFUNCTION("""COMPUTED_VALUE"""),"2001")</f>
        <v>2001</v>
      </c>
      <c r="AB926" s="15" t="str">
        <f>IFERROR(__xludf.DUMMYFUNCTION("ARRAYFORMULA(VLOOKUP(A926,IMPORTRANGE(""https://docs.google.com/spreadsheets/d/1BuTWp7qHGjWhqrnf-OmePP568O4A5Am9ttzvVdP67zw/edit#gid=1931367683"" ,""ENERGY!$A$2:$F$2692""), {2,3,4,5,6},0))"),"Europe")</f>
        <v>Europe</v>
      </c>
      <c r="AC926" s="14" t="str">
        <f>IFERROR(__xludf.DUMMYFUNCTION("""COMPUTED_VALUE"""),"Greece-Europe")</f>
        <v>Greece-Europe</v>
      </c>
      <c r="AD926" s="14" t="str">
        <f>IFERROR(__xludf.DUMMYFUNCTION("""COMPUTED_VALUE"""),"2001")</f>
        <v>2001</v>
      </c>
      <c r="AE926" s="14">
        <f>IFERROR(__xludf.DUMMYFUNCTION("""COMPUTED_VALUE"""),26723.0)</f>
        <v>26723</v>
      </c>
      <c r="AF926" s="14"/>
    </row>
    <row r="927">
      <c r="A927" s="12">
        <v>926.0</v>
      </c>
      <c r="B927" s="12" t="s">
        <v>150</v>
      </c>
      <c r="C927" s="5" t="s">
        <v>75</v>
      </c>
      <c r="D927" s="8"/>
      <c r="E927" s="8"/>
      <c r="F927" s="8"/>
      <c r="G927" s="8"/>
      <c r="H927" s="11">
        <v>0.147</v>
      </c>
      <c r="I927" s="11">
        <v>0.845</v>
      </c>
      <c r="J927" s="9" t="s">
        <v>63</v>
      </c>
      <c r="K927" s="14" t="str">
        <f>IFERROR(__xludf.DUMMYFUNCTION("ARRAYFORMULA(VLOOKUP(A927,IMPORTRANGE(""https://docs.google.com/spreadsheets/d/1BuTWp7qHGjWhqrnf-OmePP568O4A5Am9ttzvVdP67zw/edit#gid=1603210130"", ""TOURISM!$A$2:$F$2692""), {2,3,4,5,6},0))"),"Europe")</f>
        <v>Europe</v>
      </c>
      <c r="L927" s="14">
        <f>IFERROR(__xludf.DUMMYFUNCTION("""COMPUTED_VALUE"""),1.0005E10)</f>
        <v>10005000000</v>
      </c>
      <c r="M927" s="14" t="str">
        <f>IFERROR(__xludf.DUMMYFUNCTION("""COMPUTED_VALUE"""),"Greece-Europe")</f>
        <v>Greece-Europe</v>
      </c>
      <c r="N927" s="14" t="str">
        <f>IFERROR(__xludf.DUMMYFUNCTION("""COMPUTED_VALUE"""),"2002")</f>
        <v>2002</v>
      </c>
      <c r="O927" s="14">
        <f>IFERROR(__xludf.DUMMYFUNCTION("""COMPUTED_VALUE"""),2.453E9)</f>
        <v>2453000000</v>
      </c>
      <c r="P927" s="15">
        <f>IFERROR(__xludf.DUMMYFUNCTION("ARRAYFORMULA(VLOOKUP(A927,IMPORTRANGE(""https://docs.google.com/spreadsheets/d/1BuTWp7qHGjWhqrnf-OmePP568O4A5Am9ttzvVdP67zw/edit#gid=771602874"" ,""HUMAN RESOURCES!$A$2:$M$2692""), {2,3,4,5,6,7,8,9,10,11,12,13},0))"),0.009)</f>
        <v>0.009</v>
      </c>
      <c r="Q927" s="14">
        <f>IFERROR(__xludf.DUMMYFUNCTION("""COMPUTED_VALUE"""),0.006)</f>
        <v>0.006</v>
      </c>
      <c r="R927" s="14">
        <f>IFERROR(__xludf.DUMMYFUNCTION("""COMPUTED_VALUE"""),81.0)</f>
        <v>81</v>
      </c>
      <c r="S927" s="14">
        <f>IFERROR(__xludf.DUMMYFUNCTION("""COMPUTED_VALUE"""),76.0)</f>
        <v>76</v>
      </c>
      <c r="T927" s="14">
        <f>IFERROR(__xludf.DUMMYFUNCTION("""COMPUTED_VALUE"""),0.148)</f>
        <v>0.148</v>
      </c>
      <c r="U927" s="14">
        <f>IFERROR(__xludf.DUMMYFUNCTION("""COMPUTED_VALUE"""),0.676)</f>
        <v>0.676</v>
      </c>
      <c r="V927" s="14">
        <f>IFERROR(__xludf.DUMMYFUNCTION("""COMPUTED_VALUE"""),0.176)</f>
        <v>0.176</v>
      </c>
      <c r="W927" s="14">
        <f>IFERROR(__xludf.DUMMYFUNCTION("""COMPUTED_VALUE"""),1.0983723E7)</f>
        <v>10983723</v>
      </c>
      <c r="X927" s="14">
        <f>IFERROR(__xludf.DUMMYFUNCTION("""COMPUTED_VALUE"""),0.733)</f>
        <v>0.733</v>
      </c>
      <c r="Y927" s="14" t="str">
        <f>IFERROR(__xludf.DUMMYFUNCTION("""COMPUTED_VALUE"""),"Greece-Europe")</f>
        <v>Greece-Europe</v>
      </c>
      <c r="Z927" s="14" t="str">
        <f>IFERROR(__xludf.DUMMYFUNCTION("""COMPUTED_VALUE"""),"Europe")</f>
        <v>Europe</v>
      </c>
      <c r="AA927" s="14" t="str">
        <f>IFERROR(__xludf.DUMMYFUNCTION("""COMPUTED_VALUE"""),"2002")</f>
        <v>2002</v>
      </c>
      <c r="AB927" s="15" t="str">
        <f>IFERROR(__xludf.DUMMYFUNCTION("ARRAYFORMULA(VLOOKUP(A927,IMPORTRANGE(""https://docs.google.com/spreadsheets/d/1BuTWp7qHGjWhqrnf-OmePP568O4A5Am9ttzvVdP67zw/edit#gid=1931367683"" ,""ENERGY!$A$2:$F$2692""), {2,3,4,5,6},0))"),"Europe")</f>
        <v>Europe</v>
      </c>
      <c r="AC927" s="14" t="str">
        <f>IFERROR(__xludf.DUMMYFUNCTION("""COMPUTED_VALUE"""),"Greece-Europe")</f>
        <v>Greece-Europe</v>
      </c>
      <c r="AD927" s="14" t="str">
        <f>IFERROR(__xludf.DUMMYFUNCTION("""COMPUTED_VALUE"""),"2002")</f>
        <v>2002</v>
      </c>
      <c r="AE927" s="14">
        <f>IFERROR(__xludf.DUMMYFUNCTION("""COMPUTED_VALUE"""),27615.0)</f>
        <v>27615</v>
      </c>
      <c r="AF927" s="14">
        <f>IFERROR(__xludf.DUMMYFUNCTION("""COMPUTED_VALUE"""),86717.0)</f>
        <v>86717</v>
      </c>
    </row>
    <row r="928">
      <c r="A928" s="12">
        <v>927.0</v>
      </c>
      <c r="B928" s="12" t="s">
        <v>150</v>
      </c>
      <c r="C928" s="5" t="s">
        <v>75</v>
      </c>
      <c r="D928" s="8"/>
      <c r="E928" s="11">
        <v>38.0</v>
      </c>
      <c r="F928" s="8"/>
      <c r="G928" s="8"/>
      <c r="H928" s="11">
        <v>0.178</v>
      </c>
      <c r="I928" s="11">
        <v>0.81</v>
      </c>
      <c r="J928" s="9" t="s">
        <v>64</v>
      </c>
      <c r="K928" s="14" t="str">
        <f>IFERROR(__xludf.DUMMYFUNCTION("ARRAYFORMULA(VLOOKUP(A928,IMPORTRANGE(""https://docs.google.com/spreadsheets/d/1BuTWp7qHGjWhqrnf-OmePP568O4A5Am9ttzvVdP67zw/edit#gid=1603210130"", ""TOURISM!$A$2:$F$2692""), {2,3,4,5,6},0))"),"Europe")</f>
        <v>Europe</v>
      </c>
      <c r="L928" s="14">
        <f>IFERROR(__xludf.DUMMYFUNCTION("""COMPUTED_VALUE"""),1.0842E10)</f>
        <v>10842000000</v>
      </c>
      <c r="M928" s="14" t="str">
        <f>IFERROR(__xludf.DUMMYFUNCTION("""COMPUTED_VALUE"""),"Greece-Europe")</f>
        <v>Greece-Europe</v>
      </c>
      <c r="N928" s="14" t="str">
        <f>IFERROR(__xludf.DUMMYFUNCTION("""COMPUTED_VALUE"""),"2003")</f>
        <v>2003</v>
      </c>
      <c r="O928" s="14">
        <f>IFERROR(__xludf.DUMMYFUNCTION("""COMPUTED_VALUE"""),2.439E9)</f>
        <v>2439000000</v>
      </c>
      <c r="P928" s="15">
        <f>IFERROR(__xludf.DUMMYFUNCTION("ARRAYFORMULA(VLOOKUP(A928,IMPORTRANGE(""https://docs.google.com/spreadsheets/d/1BuTWp7qHGjWhqrnf-OmePP568O4A5Am9ttzvVdP67zw/edit#gid=771602874"" ,""HUMAN RESOURCES!$A$2:$M$2692""), {2,3,4,5,6,7,8,9,10,11,12,13},0))"),0.01)</f>
        <v>0.01</v>
      </c>
      <c r="Q928" s="14">
        <f>IFERROR(__xludf.DUMMYFUNCTION("""COMPUTED_VALUE"""),0.006)</f>
        <v>0.006</v>
      </c>
      <c r="R928" s="14">
        <f>IFERROR(__xludf.DUMMYFUNCTION("""COMPUTED_VALUE"""),81.0)</f>
        <v>81</v>
      </c>
      <c r="S928" s="14">
        <f>IFERROR(__xludf.DUMMYFUNCTION("""COMPUTED_VALUE"""),77.0)</f>
        <v>77</v>
      </c>
      <c r="T928" s="14">
        <f>IFERROR(__xludf.DUMMYFUNCTION("""COMPUTED_VALUE"""),0.146)</f>
        <v>0.146</v>
      </c>
      <c r="U928" s="14">
        <f>IFERROR(__xludf.DUMMYFUNCTION("""COMPUTED_VALUE"""),0.674)</f>
        <v>0.674</v>
      </c>
      <c r="V928" s="14">
        <f>IFERROR(__xludf.DUMMYFUNCTION("""COMPUTED_VALUE"""),0.18)</f>
        <v>0.18</v>
      </c>
      <c r="W928" s="14">
        <f>IFERROR(__xludf.DUMMYFUNCTION("""COMPUTED_VALUE"""),1.1018324E7)</f>
        <v>11018324</v>
      </c>
      <c r="X928" s="14">
        <f>IFERROR(__xludf.DUMMYFUNCTION("""COMPUTED_VALUE"""),0.737)</f>
        <v>0.737</v>
      </c>
      <c r="Y928" s="14" t="str">
        <f>IFERROR(__xludf.DUMMYFUNCTION("""COMPUTED_VALUE"""),"Greece-Europe")</f>
        <v>Greece-Europe</v>
      </c>
      <c r="Z928" s="14" t="str">
        <f>IFERROR(__xludf.DUMMYFUNCTION("""COMPUTED_VALUE"""),"Europe")</f>
        <v>Europe</v>
      </c>
      <c r="AA928" s="14" t="str">
        <f>IFERROR(__xludf.DUMMYFUNCTION("""COMPUTED_VALUE"""),"2003")</f>
        <v>2003</v>
      </c>
      <c r="AB928" s="15" t="str">
        <f>IFERROR(__xludf.DUMMYFUNCTION("ARRAYFORMULA(VLOOKUP(A928,IMPORTRANGE(""https://docs.google.com/spreadsheets/d/1BuTWp7qHGjWhqrnf-OmePP568O4A5Am9ttzvVdP67zw/edit#gid=1931367683"" ,""ENERGY!$A$2:$F$2692""), {2,3,4,5,6},0))"),"Europe")</f>
        <v>Europe</v>
      </c>
      <c r="AC928" s="14" t="str">
        <f>IFERROR(__xludf.DUMMYFUNCTION("""COMPUTED_VALUE"""),"Greece-Europe")</f>
        <v>Greece-Europe</v>
      </c>
      <c r="AD928" s="14" t="str">
        <f>IFERROR(__xludf.DUMMYFUNCTION("""COMPUTED_VALUE"""),"2003")</f>
        <v>2003</v>
      </c>
      <c r="AE928" s="14">
        <f>IFERROR(__xludf.DUMMYFUNCTION("""COMPUTED_VALUE"""),29436.0)</f>
        <v>29436</v>
      </c>
      <c r="AF928" s="14">
        <f>IFERROR(__xludf.DUMMYFUNCTION("""COMPUTED_VALUE"""),94902.0)</f>
        <v>94902</v>
      </c>
    </row>
    <row r="929">
      <c r="A929" s="12">
        <v>928.0</v>
      </c>
      <c r="B929" s="12" t="s">
        <v>150</v>
      </c>
      <c r="C929" s="5" t="s">
        <v>75</v>
      </c>
      <c r="D929" s="8"/>
      <c r="E929" s="11">
        <v>38.0</v>
      </c>
      <c r="F929" s="8"/>
      <c r="G929" s="8"/>
      <c r="H929" s="11">
        <v>0.214</v>
      </c>
      <c r="I929" s="11">
        <v>0.845</v>
      </c>
      <c r="J929" s="9" t="s">
        <v>65</v>
      </c>
      <c r="K929" s="14" t="str">
        <f>IFERROR(__xludf.DUMMYFUNCTION("ARRAYFORMULA(VLOOKUP(A929,IMPORTRANGE(""https://docs.google.com/spreadsheets/d/1BuTWp7qHGjWhqrnf-OmePP568O4A5Am9ttzvVdP67zw/edit#gid=1603210130"", ""TOURISM!$A$2:$F$2692""), {2,3,4,5,6},0))"),"Europe")</f>
        <v>Europe</v>
      </c>
      <c r="L929" s="14">
        <f>IFERROR(__xludf.DUMMYFUNCTION("""COMPUTED_VALUE"""),1.2809E10)</f>
        <v>12809000000</v>
      </c>
      <c r="M929" s="14" t="str">
        <f>IFERROR(__xludf.DUMMYFUNCTION("""COMPUTED_VALUE"""),"Greece-Europe")</f>
        <v>Greece-Europe</v>
      </c>
      <c r="N929" s="14" t="str">
        <f>IFERROR(__xludf.DUMMYFUNCTION("""COMPUTED_VALUE"""),"2004")</f>
        <v>2004</v>
      </c>
      <c r="O929" s="14">
        <f>IFERROR(__xludf.DUMMYFUNCTION("""COMPUTED_VALUE"""),2.88E9)</f>
        <v>2880000000</v>
      </c>
      <c r="P929" s="15">
        <f>IFERROR(__xludf.DUMMYFUNCTION("ARRAYFORMULA(VLOOKUP(A929,IMPORTRANGE(""https://docs.google.com/spreadsheets/d/1BuTWp7qHGjWhqrnf-OmePP568O4A5Am9ttzvVdP67zw/edit#gid=771602874"" ,""HUMAN RESOURCES!$A$2:$M$2692""), {2,3,4,5,6,7,8,9,10,11,12,13},0))"),0.01)</f>
        <v>0.01</v>
      </c>
      <c r="Q929" s="14">
        <f>IFERROR(__xludf.DUMMYFUNCTION("""COMPUTED_VALUE"""),0.005)</f>
        <v>0.005</v>
      </c>
      <c r="R929" s="14">
        <f>IFERROR(__xludf.DUMMYFUNCTION("""COMPUTED_VALUE"""),82.0)</f>
        <v>82</v>
      </c>
      <c r="S929" s="14">
        <f>IFERROR(__xludf.DUMMYFUNCTION("""COMPUTED_VALUE"""),77.0)</f>
        <v>77</v>
      </c>
      <c r="T929" s="14">
        <f>IFERROR(__xludf.DUMMYFUNCTION("""COMPUTED_VALUE"""),0.145)</f>
        <v>0.145</v>
      </c>
      <c r="U929" s="14">
        <f>IFERROR(__xludf.DUMMYFUNCTION("""COMPUTED_VALUE"""),0.672)</f>
        <v>0.672</v>
      </c>
      <c r="V929" s="14">
        <f>IFERROR(__xludf.DUMMYFUNCTION("""COMPUTED_VALUE"""),0.183)</f>
        <v>0.183</v>
      </c>
      <c r="W929" s="14">
        <f>IFERROR(__xludf.DUMMYFUNCTION("""COMPUTED_VALUE"""),1.1055729E7)</f>
        <v>11055729</v>
      </c>
      <c r="X929" s="14">
        <f>IFERROR(__xludf.DUMMYFUNCTION("""COMPUTED_VALUE"""),0.741)</f>
        <v>0.741</v>
      </c>
      <c r="Y929" s="14" t="str">
        <f>IFERROR(__xludf.DUMMYFUNCTION("""COMPUTED_VALUE"""),"Greece-Europe")</f>
        <v>Greece-Europe</v>
      </c>
      <c r="Z929" s="14" t="str">
        <f>IFERROR(__xludf.DUMMYFUNCTION("""COMPUTED_VALUE"""),"Europe")</f>
        <v>Europe</v>
      </c>
      <c r="AA929" s="14" t="str">
        <f>IFERROR(__xludf.DUMMYFUNCTION("""COMPUTED_VALUE"""),"2004")</f>
        <v>2004</v>
      </c>
      <c r="AB929" s="15" t="str">
        <f>IFERROR(__xludf.DUMMYFUNCTION("ARRAYFORMULA(VLOOKUP(A929,IMPORTRANGE(""https://docs.google.com/spreadsheets/d/1BuTWp7qHGjWhqrnf-OmePP568O4A5Am9ttzvVdP67zw/edit#gid=1931367683"" ,""ENERGY!$A$2:$F$2692""), {2,3,4,5,6},0))"),"Europe")</f>
        <v>Europe</v>
      </c>
      <c r="AC929" s="14" t="str">
        <f>IFERROR(__xludf.DUMMYFUNCTION("""COMPUTED_VALUE"""),"Greece-Europe")</f>
        <v>Greece-Europe</v>
      </c>
      <c r="AD929" s="14" t="str">
        <f>IFERROR(__xludf.DUMMYFUNCTION("""COMPUTED_VALUE"""),"2004")</f>
        <v>2004</v>
      </c>
      <c r="AE929" s="14">
        <f>IFERROR(__xludf.DUMMYFUNCTION("""COMPUTED_VALUE"""),30419.0)</f>
        <v>30419</v>
      </c>
      <c r="AF929" s="14">
        <f>IFERROR(__xludf.DUMMYFUNCTION("""COMPUTED_VALUE"""),97810.0)</f>
        <v>97810</v>
      </c>
    </row>
    <row r="930">
      <c r="A930" s="12">
        <v>929.0</v>
      </c>
      <c r="B930" s="12" t="s">
        <v>150</v>
      </c>
      <c r="C930" s="5" t="s">
        <v>75</v>
      </c>
      <c r="D930" s="11">
        <v>0.54</v>
      </c>
      <c r="E930" s="11">
        <v>38.0</v>
      </c>
      <c r="F930" s="8"/>
      <c r="G930" s="11">
        <v>264.0</v>
      </c>
      <c r="H930" s="11">
        <v>0.24</v>
      </c>
      <c r="I930" s="11">
        <v>0.929</v>
      </c>
      <c r="J930" s="9" t="s">
        <v>66</v>
      </c>
      <c r="K930" s="14" t="str">
        <f>IFERROR(__xludf.DUMMYFUNCTION("ARRAYFORMULA(VLOOKUP(A930,IMPORTRANGE(""https://docs.google.com/spreadsheets/d/1BuTWp7qHGjWhqrnf-OmePP568O4A5Am9ttzvVdP67zw/edit#gid=1603210130"", ""TOURISM!$A$2:$F$2692""), {2,3,4,5,6},0))"),"Europe")</f>
        <v>Europe</v>
      </c>
      <c r="L930" s="14">
        <f>IFERROR(__xludf.DUMMYFUNCTION("""COMPUTED_VALUE"""),1.3453E10)</f>
        <v>13453000000</v>
      </c>
      <c r="M930" s="14" t="str">
        <f>IFERROR(__xludf.DUMMYFUNCTION("""COMPUTED_VALUE"""),"Greece-Europe")</f>
        <v>Greece-Europe</v>
      </c>
      <c r="N930" s="14" t="str">
        <f>IFERROR(__xludf.DUMMYFUNCTION("""COMPUTED_VALUE"""),"2005")</f>
        <v>2005</v>
      </c>
      <c r="O930" s="14">
        <f>IFERROR(__xludf.DUMMYFUNCTION("""COMPUTED_VALUE"""),3.045E9)</f>
        <v>3045000000</v>
      </c>
      <c r="P930" s="15">
        <f>IFERROR(__xludf.DUMMYFUNCTION("ARRAYFORMULA(VLOOKUP(A930,IMPORTRANGE(""https://docs.google.com/spreadsheets/d/1BuTWp7qHGjWhqrnf-OmePP568O4A5Am9ttzvVdP67zw/edit#gid=771602874"" ,""HUMAN RESOURCES!$A$2:$M$2692""), {2,3,4,5,6,7,8,9,10,11,12,13},0))"),0.01)</f>
        <v>0.01</v>
      </c>
      <c r="Q930" s="14">
        <f>IFERROR(__xludf.DUMMYFUNCTION("""COMPUTED_VALUE"""),0.005)</f>
        <v>0.005</v>
      </c>
      <c r="R930" s="14">
        <f>IFERROR(__xludf.DUMMYFUNCTION("""COMPUTED_VALUE"""),82.0)</f>
        <v>82</v>
      </c>
      <c r="S930" s="14">
        <f>IFERROR(__xludf.DUMMYFUNCTION("""COMPUTED_VALUE"""),77.0)</f>
        <v>77</v>
      </c>
      <c r="T930" s="14">
        <f>IFERROR(__xludf.DUMMYFUNCTION("""COMPUTED_VALUE"""),0.144)</f>
        <v>0.144</v>
      </c>
      <c r="U930" s="14">
        <f>IFERROR(__xludf.DUMMYFUNCTION("""COMPUTED_VALUE"""),0.671)</f>
        <v>0.671</v>
      </c>
      <c r="V930" s="14">
        <f>IFERROR(__xludf.DUMMYFUNCTION("""COMPUTED_VALUE"""),0.186)</f>
        <v>0.186</v>
      </c>
      <c r="W930" s="14">
        <f>IFERROR(__xludf.DUMMYFUNCTION("""COMPUTED_VALUE"""),1.1092913E7)</f>
        <v>11092913</v>
      </c>
      <c r="X930" s="14">
        <f>IFERROR(__xludf.DUMMYFUNCTION("""COMPUTED_VALUE"""),0.745)</f>
        <v>0.745</v>
      </c>
      <c r="Y930" s="14" t="str">
        <f>IFERROR(__xludf.DUMMYFUNCTION("""COMPUTED_VALUE"""),"Greece-Europe")</f>
        <v>Greece-Europe</v>
      </c>
      <c r="Z930" s="14" t="str">
        <f>IFERROR(__xludf.DUMMYFUNCTION("""COMPUTED_VALUE"""),"Europe")</f>
        <v>Europe</v>
      </c>
      <c r="AA930" s="14" t="str">
        <f>IFERROR(__xludf.DUMMYFUNCTION("""COMPUTED_VALUE"""),"2005")</f>
        <v>2005</v>
      </c>
      <c r="AB930" s="15" t="str">
        <f>IFERROR(__xludf.DUMMYFUNCTION("ARRAYFORMULA(VLOOKUP(A930,IMPORTRANGE(""https://docs.google.com/spreadsheets/d/1BuTWp7qHGjWhqrnf-OmePP568O4A5Am9ttzvVdP67zw/edit#gid=1931367683"" ,""ENERGY!$A$2:$F$2692""), {2,3,4,5,6},0))"),"Europe")</f>
        <v>Europe</v>
      </c>
      <c r="AC930" s="14" t="str">
        <f>IFERROR(__xludf.DUMMYFUNCTION("""COMPUTED_VALUE"""),"Greece-Europe")</f>
        <v>Greece-Europe</v>
      </c>
      <c r="AD930" s="14" t="str">
        <f>IFERROR(__xludf.DUMMYFUNCTION("""COMPUTED_VALUE"""),"2007")</f>
        <v>2007</v>
      </c>
      <c r="AE930" s="14">
        <f>IFERROR(__xludf.DUMMYFUNCTION("""COMPUTED_VALUE"""),30217.0)</f>
        <v>30217</v>
      </c>
      <c r="AF930" s="14">
        <f>IFERROR(__xludf.DUMMYFUNCTION("""COMPUTED_VALUE"""),98246.0)</f>
        <v>98246</v>
      </c>
    </row>
    <row r="931">
      <c r="A931" s="12">
        <v>930.0</v>
      </c>
      <c r="B931" s="12" t="s">
        <v>150</v>
      </c>
      <c r="C931" s="5" t="s">
        <v>75</v>
      </c>
      <c r="D931" s="11">
        <v>0.495</v>
      </c>
      <c r="E931" s="11">
        <v>38.0</v>
      </c>
      <c r="F931" s="8"/>
      <c r="G931" s="11">
        <v>264.0</v>
      </c>
      <c r="H931" s="11">
        <v>0.323</v>
      </c>
      <c r="I931" s="11">
        <v>0.993</v>
      </c>
      <c r="J931" s="9" t="s">
        <v>67</v>
      </c>
      <c r="K931" s="14" t="str">
        <f>IFERROR(__xludf.DUMMYFUNCTION("ARRAYFORMULA(VLOOKUP(A931,IMPORTRANGE(""https://docs.google.com/spreadsheets/d/1BuTWp7qHGjWhqrnf-OmePP568O4A5Am9ttzvVdP67zw/edit#gid=1603210130"", ""TOURISM!$A$2:$F$2692""), {2,3,4,5,6},0))"),"Europe")</f>
        <v>Europe</v>
      </c>
      <c r="L931" s="14">
        <f>IFERROR(__xludf.DUMMYFUNCTION("""COMPUTED_VALUE"""),1.4495E10)</f>
        <v>14495000000</v>
      </c>
      <c r="M931" s="14" t="str">
        <f>IFERROR(__xludf.DUMMYFUNCTION("""COMPUTED_VALUE"""),"Greece-Europe")</f>
        <v>Greece-Europe</v>
      </c>
      <c r="N931" s="14" t="str">
        <f>IFERROR(__xludf.DUMMYFUNCTION("""COMPUTED_VALUE"""),"2006")</f>
        <v>2006</v>
      </c>
      <c r="O931" s="14">
        <f>IFERROR(__xludf.DUMMYFUNCTION("""COMPUTED_VALUE"""),3.004E9)</f>
        <v>3004000000</v>
      </c>
      <c r="P931" s="15">
        <f>IFERROR(__xludf.DUMMYFUNCTION("ARRAYFORMULA(VLOOKUP(A931,IMPORTRANGE(""https://docs.google.com/spreadsheets/d/1BuTWp7qHGjWhqrnf-OmePP568O4A5Am9ttzvVdP67zw/edit#gid=771602874"" ,""HUMAN RESOURCES!$A$2:$M$2692""), {2,3,4,5,6,7,8,9,10,11,12,13},0))"),0.01)</f>
        <v>0.01</v>
      </c>
      <c r="Q931" s="14">
        <f>IFERROR(__xludf.DUMMYFUNCTION("""COMPUTED_VALUE"""),0.005)</f>
        <v>0.005</v>
      </c>
      <c r="R931" s="14">
        <f>IFERROR(__xludf.DUMMYFUNCTION("""COMPUTED_VALUE"""),82.0)</f>
        <v>82</v>
      </c>
      <c r="S931" s="14">
        <f>IFERROR(__xludf.DUMMYFUNCTION("""COMPUTED_VALUE"""),77.0)</f>
        <v>77</v>
      </c>
      <c r="T931" s="14">
        <f>IFERROR(__xludf.DUMMYFUNCTION("""COMPUTED_VALUE"""),0.144)</f>
        <v>0.144</v>
      </c>
      <c r="U931" s="14">
        <f>IFERROR(__xludf.DUMMYFUNCTION("""COMPUTED_VALUE"""),0.669)</f>
        <v>0.669</v>
      </c>
      <c r="V931" s="14">
        <f>IFERROR(__xludf.DUMMYFUNCTION("""COMPUTED_VALUE"""),0.187)</f>
        <v>0.187</v>
      </c>
      <c r="W931" s="14">
        <f>IFERROR(__xludf.DUMMYFUNCTION("""COMPUTED_VALUE"""),1.1127947E7)</f>
        <v>11127947</v>
      </c>
      <c r="X931" s="14">
        <f>IFERROR(__xludf.DUMMYFUNCTION("""COMPUTED_VALUE"""),0.748)</f>
        <v>0.748</v>
      </c>
      <c r="Y931" s="14" t="str">
        <f>IFERROR(__xludf.DUMMYFUNCTION("""COMPUTED_VALUE"""),"Greece-Europe")</f>
        <v>Greece-Europe</v>
      </c>
      <c r="Z931" s="14" t="str">
        <f>IFERROR(__xludf.DUMMYFUNCTION("""COMPUTED_VALUE"""),"Europe")</f>
        <v>Europe</v>
      </c>
      <c r="AA931" s="14" t="str">
        <f>IFERROR(__xludf.DUMMYFUNCTION("""COMPUTED_VALUE"""),"2006")</f>
        <v>2006</v>
      </c>
      <c r="AB931" s="15" t="str">
        <f>IFERROR(__xludf.DUMMYFUNCTION("ARRAYFORMULA(VLOOKUP(A931,IMPORTRANGE(""https://docs.google.com/spreadsheets/d/1BuTWp7qHGjWhqrnf-OmePP568O4A5Am9ttzvVdP67zw/edit#gid=1931367683"" ,""ENERGY!$A$2:$F$2692""), {2,3,4,5,6},0))"),"Europe")</f>
        <v>Europe</v>
      </c>
      <c r="AC931" s="14" t="str">
        <f>IFERROR(__xludf.DUMMYFUNCTION("""COMPUTED_VALUE"""),"Greece-Europe")</f>
        <v>Greece-Europe</v>
      </c>
      <c r="AD931" s="14" t="str">
        <f>IFERROR(__xludf.DUMMYFUNCTION("""COMPUTED_VALUE"""),"2010")</f>
        <v>2010</v>
      </c>
      <c r="AE931" s="14">
        <f>IFERROR(__xludf.DUMMYFUNCTION("""COMPUTED_VALUE"""),30223.0)</f>
        <v>30223</v>
      </c>
      <c r="AF931" s="14">
        <f>IFERROR(__xludf.DUMMYFUNCTION("""COMPUTED_VALUE"""),97286.0)</f>
        <v>97286</v>
      </c>
    </row>
    <row r="932">
      <c r="A932" s="12">
        <v>931.0</v>
      </c>
      <c r="B932" s="12" t="s">
        <v>150</v>
      </c>
      <c r="C932" s="5" t="s">
        <v>75</v>
      </c>
      <c r="D932" s="11">
        <v>0.489</v>
      </c>
      <c r="E932" s="11">
        <v>38.0</v>
      </c>
      <c r="F932" s="8"/>
      <c r="G932" s="11">
        <v>264.0</v>
      </c>
      <c r="H932" s="11">
        <v>0.359</v>
      </c>
      <c r="I932" s="11">
        <v>1.111</v>
      </c>
      <c r="J932" s="9" t="s">
        <v>68</v>
      </c>
      <c r="K932" s="14" t="str">
        <f>IFERROR(__xludf.DUMMYFUNCTION("ARRAYFORMULA(VLOOKUP(A932,IMPORTRANGE(""https://docs.google.com/spreadsheets/d/1BuTWp7qHGjWhqrnf-OmePP568O4A5Am9ttzvVdP67zw/edit#gid=1603210130"", ""TOURISM!$A$2:$F$2692""), {2,3,4,5,6},0))"),"Europe")</f>
        <v>Europe</v>
      </c>
      <c r="L932" s="14">
        <f>IFERROR(__xludf.DUMMYFUNCTION("""COMPUTED_VALUE"""),1.5687E10)</f>
        <v>15687000000</v>
      </c>
      <c r="M932" s="14" t="str">
        <f>IFERROR(__xludf.DUMMYFUNCTION("""COMPUTED_VALUE"""),"Greece-Europe")</f>
        <v>Greece-Europe</v>
      </c>
      <c r="N932" s="14" t="str">
        <f>IFERROR(__xludf.DUMMYFUNCTION("""COMPUTED_VALUE"""),"2007")</f>
        <v>2007</v>
      </c>
      <c r="O932" s="14">
        <f>IFERROR(__xludf.DUMMYFUNCTION("""COMPUTED_VALUE"""),3.43E9)</f>
        <v>3430000000</v>
      </c>
      <c r="P932" s="15">
        <f>IFERROR(__xludf.DUMMYFUNCTION("ARRAYFORMULA(VLOOKUP(A932,IMPORTRANGE(""https://docs.google.com/spreadsheets/d/1BuTWp7qHGjWhqrnf-OmePP568O4A5Am9ttzvVdP67zw/edit#gid=771602874"" ,""HUMAN RESOURCES!$A$2:$M$2692""), {2,3,4,5,6,7,8,9,10,11,12,13},0))"),0.01)</f>
        <v>0.01</v>
      </c>
      <c r="Q932" s="14">
        <f>IFERROR(__xludf.DUMMYFUNCTION("""COMPUTED_VALUE"""),0.004)</f>
        <v>0.004</v>
      </c>
      <c r="R932" s="14">
        <f>IFERROR(__xludf.DUMMYFUNCTION("""COMPUTED_VALUE"""),82.0)</f>
        <v>82</v>
      </c>
      <c r="S932" s="14">
        <f>IFERROR(__xludf.DUMMYFUNCTION("""COMPUTED_VALUE"""),77.0)</f>
        <v>77</v>
      </c>
      <c r="T932" s="14">
        <f>IFERROR(__xludf.DUMMYFUNCTION("""COMPUTED_VALUE"""),0.144)</f>
        <v>0.144</v>
      </c>
      <c r="U932" s="14">
        <f>IFERROR(__xludf.DUMMYFUNCTION("""COMPUTED_VALUE"""),0.668)</f>
        <v>0.668</v>
      </c>
      <c r="V932" s="14">
        <f>IFERROR(__xludf.DUMMYFUNCTION("""COMPUTED_VALUE"""),0.188)</f>
        <v>0.188</v>
      </c>
      <c r="W932" s="14">
        <f>IFERROR(__xludf.DUMMYFUNCTION("""COMPUTED_VALUE"""),1.1163002E7)</f>
        <v>11163002</v>
      </c>
      <c r="X932" s="14">
        <f>IFERROR(__xludf.DUMMYFUNCTION("""COMPUTED_VALUE"""),0.752)</f>
        <v>0.752</v>
      </c>
      <c r="Y932" s="14" t="str">
        <f>IFERROR(__xludf.DUMMYFUNCTION("""COMPUTED_VALUE"""),"Greece-Europe")</f>
        <v>Greece-Europe</v>
      </c>
      <c r="Z932" s="14" t="str">
        <f>IFERROR(__xludf.DUMMYFUNCTION("""COMPUTED_VALUE"""),"Europe")</f>
        <v>Europe</v>
      </c>
      <c r="AA932" s="14" t="str">
        <f>IFERROR(__xludf.DUMMYFUNCTION("""COMPUTED_VALUE"""),"2007")</f>
        <v>2007</v>
      </c>
      <c r="AB932" s="15" t="str">
        <f>IFERROR(__xludf.DUMMYFUNCTION("ARRAYFORMULA(VLOOKUP(A932,IMPORTRANGE(""https://docs.google.com/spreadsheets/d/1BuTWp7qHGjWhqrnf-OmePP568O4A5Am9ttzvVdP67zw/edit#gid=1931367683"" ,""ENERGY!$A$2:$F$2692""), {2,3,4,5,6},0))"),"Europe")</f>
        <v>Europe</v>
      </c>
      <c r="AC932" s="14" t="str">
        <f>IFERROR(__xludf.DUMMYFUNCTION("""COMPUTED_VALUE"""),"Greece-Europe")</f>
        <v>Greece-Europe</v>
      </c>
      <c r="AD932" s="14" t="str">
        <f>IFERROR(__xludf.DUMMYFUNCTION("""COMPUTED_VALUE"""),"2007")</f>
        <v>2007</v>
      </c>
      <c r="AE932" s="14">
        <f>IFERROR(__xludf.DUMMYFUNCTION("""COMPUTED_VALUE"""),30248.0)</f>
        <v>30248</v>
      </c>
      <c r="AF932" s="14">
        <f>IFERROR(__xludf.DUMMYFUNCTION("""COMPUTED_VALUE"""),98675.0)</f>
        <v>98675</v>
      </c>
    </row>
    <row r="933">
      <c r="A933" s="12">
        <v>932.0</v>
      </c>
      <c r="B933" s="12" t="s">
        <v>150</v>
      </c>
      <c r="C933" s="5" t="s">
        <v>75</v>
      </c>
      <c r="D933" s="11">
        <v>0.467</v>
      </c>
      <c r="E933" s="11">
        <v>19.0</v>
      </c>
      <c r="F933" s="8"/>
      <c r="G933" s="11">
        <v>224.0</v>
      </c>
      <c r="H933" s="11">
        <v>0.382</v>
      </c>
      <c r="I933" s="11">
        <v>1.245</v>
      </c>
      <c r="J933" s="9" t="s">
        <v>69</v>
      </c>
      <c r="K933" s="14" t="str">
        <f>IFERROR(__xludf.DUMMYFUNCTION("ARRAYFORMULA(VLOOKUP(A933,IMPORTRANGE(""https://docs.google.com/spreadsheets/d/1BuTWp7qHGjWhqrnf-OmePP568O4A5Am9ttzvVdP67zw/edit#gid=1603210130"", ""TOURISM!$A$2:$F$2692""), {2,3,4,5,6},0))"),"Europe")</f>
        <v>Europe</v>
      </c>
      <c r="L933" s="14">
        <f>IFERROR(__xludf.DUMMYFUNCTION("""COMPUTED_VALUE"""),1.7586E10)</f>
        <v>17586000000</v>
      </c>
      <c r="M933" s="14" t="str">
        <f>IFERROR(__xludf.DUMMYFUNCTION("""COMPUTED_VALUE"""),"Greece-Europe")</f>
        <v>Greece-Europe</v>
      </c>
      <c r="N933" s="14" t="str">
        <f>IFERROR(__xludf.DUMMYFUNCTION("""COMPUTED_VALUE"""),"2008")</f>
        <v>2008</v>
      </c>
      <c r="O933" s="14">
        <f>IFERROR(__xludf.DUMMYFUNCTION("""COMPUTED_VALUE"""),3.946E9)</f>
        <v>3946000000</v>
      </c>
      <c r="P933" s="15">
        <f>IFERROR(__xludf.DUMMYFUNCTION("ARRAYFORMULA(VLOOKUP(A933,IMPORTRANGE(""https://docs.google.com/spreadsheets/d/1BuTWp7qHGjWhqrnf-OmePP568O4A5Am9ttzvVdP67zw/edit#gid=771602874"" ,""HUMAN RESOURCES!$A$2:$M$2692""), {2,3,4,5,6,7,8,9,10,11,12,13},0))"),0.011)</f>
        <v>0.011</v>
      </c>
      <c r="Q933" s="14">
        <f>IFERROR(__xludf.DUMMYFUNCTION("""COMPUTED_VALUE"""),0.004)</f>
        <v>0.004</v>
      </c>
      <c r="R933" s="14">
        <f>IFERROR(__xludf.DUMMYFUNCTION("""COMPUTED_VALUE"""),83.0)</f>
        <v>83</v>
      </c>
      <c r="S933" s="14">
        <f>IFERROR(__xludf.DUMMYFUNCTION("""COMPUTED_VALUE"""),78.0)</f>
        <v>78</v>
      </c>
      <c r="T933" s="14">
        <f>IFERROR(__xludf.DUMMYFUNCTION("""COMPUTED_VALUE"""),0.144)</f>
        <v>0.144</v>
      </c>
      <c r="U933" s="14">
        <f>IFERROR(__xludf.DUMMYFUNCTION("""COMPUTED_VALUE"""),0.668)</f>
        <v>0.668</v>
      </c>
      <c r="V933" s="14">
        <f>IFERROR(__xludf.DUMMYFUNCTION("""COMPUTED_VALUE"""),0.188)</f>
        <v>0.188</v>
      </c>
      <c r="W933" s="14">
        <f>IFERROR(__xludf.DUMMYFUNCTION("""COMPUTED_VALUE"""),1.1186439E7)</f>
        <v>11186439</v>
      </c>
      <c r="X933" s="14">
        <f>IFERROR(__xludf.DUMMYFUNCTION("""COMPUTED_VALUE"""),0.756)</f>
        <v>0.756</v>
      </c>
      <c r="Y933" s="14" t="str">
        <f>IFERROR(__xludf.DUMMYFUNCTION("""COMPUTED_VALUE"""),"Greece-Europe")</f>
        <v>Greece-Europe</v>
      </c>
      <c r="Z933" s="14" t="str">
        <f>IFERROR(__xludf.DUMMYFUNCTION("""COMPUTED_VALUE"""),"Europe")</f>
        <v>Europe</v>
      </c>
      <c r="AA933" s="14" t="str">
        <f>IFERROR(__xludf.DUMMYFUNCTION("""COMPUTED_VALUE"""),"2008")</f>
        <v>2008</v>
      </c>
      <c r="AB933" s="15" t="str">
        <f>IFERROR(__xludf.DUMMYFUNCTION("ARRAYFORMULA(VLOOKUP(A933,IMPORTRANGE(""https://docs.google.com/spreadsheets/d/1BuTWp7qHGjWhqrnf-OmePP568O4A5Am9ttzvVdP67zw/edit#gid=1931367683"" ,""ENERGY!$A$2:$F$2692""), {2,3,4,5,6},0))"),"Europe")</f>
        <v>Europe</v>
      </c>
      <c r="AC933" s="14" t="str">
        <f>IFERROR(__xludf.DUMMYFUNCTION("""COMPUTED_VALUE"""),"Greece-Europe")</f>
        <v>Greece-Europe</v>
      </c>
      <c r="AD933" s="14" t="str">
        <f>IFERROR(__xludf.DUMMYFUNCTION("""COMPUTED_VALUE"""),"2005")</f>
        <v>2005</v>
      </c>
      <c r="AE933" s="14">
        <f>IFERROR(__xludf.DUMMYFUNCTION("""COMPUTED_VALUE"""),29707.0)</f>
        <v>29707</v>
      </c>
      <c r="AF933" s="14">
        <f>IFERROR(__xludf.DUMMYFUNCTION("""COMPUTED_VALUE"""),97150.0)</f>
        <v>97150</v>
      </c>
    </row>
    <row r="934">
      <c r="A934" s="12">
        <v>933.0</v>
      </c>
      <c r="B934" s="12" t="s">
        <v>150</v>
      </c>
      <c r="C934" s="5" t="s">
        <v>75</v>
      </c>
      <c r="D934" s="11">
        <v>0.467</v>
      </c>
      <c r="E934" s="11">
        <v>19.0</v>
      </c>
      <c r="F934" s="8"/>
      <c r="G934" s="11">
        <v>224.0</v>
      </c>
      <c r="H934" s="11">
        <v>0.424</v>
      </c>
      <c r="I934" s="11">
        <v>1.198</v>
      </c>
      <c r="J934" s="9" t="s">
        <v>70</v>
      </c>
      <c r="K934" s="14" t="str">
        <f>IFERROR(__xludf.DUMMYFUNCTION("ARRAYFORMULA(VLOOKUP(A934,IMPORTRANGE(""https://docs.google.com/spreadsheets/d/1BuTWp7qHGjWhqrnf-OmePP568O4A5Am9ttzvVdP67zw/edit#gid=1603210130"", ""TOURISM!$A$2:$F$2692""), {2,3,4,5,6},0))"),"Europe")</f>
        <v>Europe</v>
      </c>
      <c r="L934" s="14">
        <f>IFERROR(__xludf.DUMMYFUNCTION("""COMPUTED_VALUE"""),1.4796E10)</f>
        <v>14796000000</v>
      </c>
      <c r="M934" s="14" t="str">
        <f>IFERROR(__xludf.DUMMYFUNCTION("""COMPUTED_VALUE"""),"Greece-Europe")</f>
        <v>Greece-Europe</v>
      </c>
      <c r="N934" s="14" t="str">
        <f>IFERROR(__xludf.DUMMYFUNCTION("""COMPUTED_VALUE"""),"2009")</f>
        <v>2009</v>
      </c>
      <c r="O934" s="14">
        <f>IFERROR(__xludf.DUMMYFUNCTION("""COMPUTED_VALUE"""),3.401E9)</f>
        <v>3401000000</v>
      </c>
      <c r="P934" s="15">
        <f>IFERROR(__xludf.DUMMYFUNCTION("ARRAYFORMULA(VLOOKUP(A934,IMPORTRANGE(""https://docs.google.com/spreadsheets/d/1BuTWp7qHGjWhqrnf-OmePP568O4A5Am9ttzvVdP67zw/edit#gid=771602874"" ,""HUMAN RESOURCES!$A$2:$M$2692""), {2,3,4,5,6,7,8,9,10,11,12,13},0))"),0.011)</f>
        <v>0.011</v>
      </c>
      <c r="Q934" s="14">
        <f>IFERROR(__xludf.DUMMYFUNCTION("""COMPUTED_VALUE"""),0.004)</f>
        <v>0.004</v>
      </c>
      <c r="R934" s="14">
        <f>IFERROR(__xludf.DUMMYFUNCTION("""COMPUTED_VALUE"""),83.0)</f>
        <v>83</v>
      </c>
      <c r="S934" s="14">
        <f>IFERROR(__xludf.DUMMYFUNCTION("""COMPUTED_VALUE"""),78.0)</f>
        <v>78</v>
      </c>
      <c r="T934" s="14">
        <f>IFERROR(__xludf.DUMMYFUNCTION("""COMPUTED_VALUE"""),0.145)</f>
        <v>0.145</v>
      </c>
      <c r="U934" s="14">
        <f>IFERROR(__xludf.DUMMYFUNCTION("""COMPUTED_VALUE"""),0.667)</f>
        <v>0.667</v>
      </c>
      <c r="V934" s="14">
        <f>IFERROR(__xludf.DUMMYFUNCTION("""COMPUTED_VALUE"""),0.189)</f>
        <v>0.189</v>
      </c>
      <c r="W934" s="14">
        <f>IFERROR(__xludf.DUMMYFUNCTION("""COMPUTED_VALUE"""),1.1187085E7)</f>
        <v>11187085</v>
      </c>
      <c r="X934" s="14">
        <f>IFERROR(__xludf.DUMMYFUNCTION("""COMPUTED_VALUE"""),0.759)</f>
        <v>0.759</v>
      </c>
      <c r="Y934" s="14" t="str">
        <f>IFERROR(__xludf.DUMMYFUNCTION("""COMPUTED_VALUE"""),"Greece-Europe")</f>
        <v>Greece-Europe</v>
      </c>
      <c r="Z934" s="14" t="str">
        <f>IFERROR(__xludf.DUMMYFUNCTION("""COMPUTED_VALUE"""),"Europe")</f>
        <v>Europe</v>
      </c>
      <c r="AA934" s="14" t="str">
        <f>IFERROR(__xludf.DUMMYFUNCTION("""COMPUTED_VALUE"""),"2009")</f>
        <v>2009</v>
      </c>
      <c r="AB934" s="15" t="str">
        <f>IFERROR(__xludf.DUMMYFUNCTION("ARRAYFORMULA(VLOOKUP(A934,IMPORTRANGE(""https://docs.google.com/spreadsheets/d/1BuTWp7qHGjWhqrnf-OmePP568O4A5Am9ttzvVdP67zw/edit#gid=1931367683"" ,""ENERGY!$A$2:$F$2692""), {2,3,4,5,6},0))"),"Europe")</f>
        <v>Europe</v>
      </c>
      <c r="AC934" s="14" t="str">
        <f>IFERROR(__xludf.DUMMYFUNCTION("""COMPUTED_VALUE"""),"Greece-Europe")</f>
        <v>Greece-Europe</v>
      </c>
      <c r="AD934" s="14" t="str">
        <f>IFERROR(__xludf.DUMMYFUNCTION("""COMPUTED_VALUE"""),"2009")</f>
        <v>2009</v>
      </c>
      <c r="AE934" s="14">
        <f>IFERROR(__xludf.DUMMYFUNCTION("""COMPUTED_VALUE"""),29141.0)</f>
        <v>29141</v>
      </c>
      <c r="AF934" s="14">
        <f>IFERROR(__xludf.DUMMYFUNCTION("""COMPUTED_VALUE"""),95738.0)</f>
        <v>95738</v>
      </c>
    </row>
    <row r="935">
      <c r="A935" s="12">
        <v>934.0</v>
      </c>
      <c r="B935" s="12" t="s">
        <v>150</v>
      </c>
      <c r="C935" s="5" t="s">
        <v>75</v>
      </c>
      <c r="D935" s="11">
        <v>0.467</v>
      </c>
      <c r="E935" s="11">
        <v>19.0</v>
      </c>
      <c r="F935" s="8"/>
      <c r="G935" s="11">
        <v>224.0</v>
      </c>
      <c r="H935" s="11">
        <v>0.444</v>
      </c>
      <c r="I935" s="11">
        <v>1.106</v>
      </c>
      <c r="J935" s="9" t="s">
        <v>71</v>
      </c>
      <c r="K935" s="14" t="str">
        <f>IFERROR(__xludf.DUMMYFUNCTION("ARRAYFORMULA(VLOOKUP(A935,IMPORTRANGE(""https://docs.google.com/spreadsheets/d/1BuTWp7qHGjWhqrnf-OmePP568O4A5Am9ttzvVdP67zw/edit#gid=1603210130"", ""TOURISM!$A$2:$F$2692""), {2,3,4,5,6},0))"),"Europe")</f>
        <v>Europe</v>
      </c>
      <c r="L935" s="14">
        <f>IFERROR(__xludf.DUMMYFUNCTION("""COMPUTED_VALUE"""),1.2579E10)</f>
        <v>12579000000</v>
      </c>
      <c r="M935" s="14" t="str">
        <f>IFERROR(__xludf.DUMMYFUNCTION("""COMPUTED_VALUE"""),"Greece-Europe")</f>
        <v>Greece-Europe</v>
      </c>
      <c r="N935" s="14" t="str">
        <f>IFERROR(__xludf.DUMMYFUNCTION("""COMPUTED_VALUE"""),"2010")</f>
        <v>2010</v>
      </c>
      <c r="O935" s="14">
        <f>IFERROR(__xludf.DUMMYFUNCTION("""COMPUTED_VALUE"""),2.874E9)</f>
        <v>2874000000</v>
      </c>
      <c r="P935" s="15">
        <f>IFERROR(__xludf.DUMMYFUNCTION("ARRAYFORMULA(VLOOKUP(A935,IMPORTRANGE(""https://docs.google.com/spreadsheets/d/1BuTWp7qHGjWhqrnf-OmePP568O4A5Am9ttzvVdP67zw/edit#gid=771602874"" ,""HUMAN RESOURCES!$A$2:$M$2692""), {2,3,4,5,6,7,8,9,10,11,12,13},0))"),0.01)</f>
        <v>0.01</v>
      </c>
      <c r="Q935" s="14">
        <f>IFERROR(__xludf.DUMMYFUNCTION("""COMPUTED_VALUE"""),0.004)</f>
        <v>0.004</v>
      </c>
      <c r="R935" s="14">
        <f>IFERROR(__xludf.DUMMYFUNCTION("""COMPUTED_VALUE"""),83.0)</f>
        <v>83</v>
      </c>
      <c r="S935" s="14">
        <f>IFERROR(__xludf.DUMMYFUNCTION("""COMPUTED_VALUE"""),78.0)</f>
        <v>78</v>
      </c>
      <c r="T935" s="14">
        <f>IFERROR(__xludf.DUMMYFUNCTION("""COMPUTED_VALUE"""),0.145)</f>
        <v>0.145</v>
      </c>
      <c r="U935" s="14">
        <f>IFERROR(__xludf.DUMMYFUNCTION("""COMPUTED_VALUE"""),0.665)</f>
        <v>0.665</v>
      </c>
      <c r="V935" s="14">
        <f>IFERROR(__xludf.DUMMYFUNCTION("""COMPUTED_VALUE"""),0.19)</f>
        <v>0.19</v>
      </c>
      <c r="W935" s="14">
        <f>IFERROR(__xludf.DUMMYFUNCTION("""COMPUTED_VALUE"""),1.1153454E7)</f>
        <v>11153454</v>
      </c>
      <c r="X935" s="14">
        <f>IFERROR(__xludf.DUMMYFUNCTION("""COMPUTED_VALUE"""),0.763)</f>
        <v>0.763</v>
      </c>
      <c r="Y935" s="14" t="str">
        <f>IFERROR(__xludf.DUMMYFUNCTION("""COMPUTED_VALUE"""),"Greece-Europe")</f>
        <v>Greece-Europe</v>
      </c>
      <c r="Z935" s="14" t="str">
        <f>IFERROR(__xludf.DUMMYFUNCTION("""COMPUTED_VALUE"""),"Europe")</f>
        <v>Europe</v>
      </c>
      <c r="AA935" s="14" t="str">
        <f>IFERROR(__xludf.DUMMYFUNCTION("""COMPUTED_VALUE"""),"2010")</f>
        <v>2010</v>
      </c>
      <c r="AB935" s="15" t="str">
        <f>IFERROR(__xludf.DUMMYFUNCTION("ARRAYFORMULA(VLOOKUP(A935,IMPORTRANGE(""https://docs.google.com/spreadsheets/d/1BuTWp7qHGjWhqrnf-OmePP568O4A5Am9ttzvVdP67zw/edit#gid=1931367683"" ,""ENERGY!$A$2:$F$2692""), {2,3,4,5,6},0))"),"Europe")</f>
        <v>Europe</v>
      </c>
      <c r="AC935" s="14" t="str">
        <f>IFERROR(__xludf.DUMMYFUNCTION("""COMPUTED_VALUE"""),"Greece-Europe")</f>
        <v>Greece-Europe</v>
      </c>
      <c r="AD935" s="14" t="str">
        <f>IFERROR(__xludf.DUMMYFUNCTION("""COMPUTED_VALUE"""),"2009")</f>
        <v>2009</v>
      </c>
      <c r="AE935" s="14">
        <f>IFERROR(__xludf.DUMMYFUNCTION("""COMPUTED_VALUE"""),28321.0)</f>
        <v>28321</v>
      </c>
      <c r="AF935" s="14">
        <f>IFERROR(__xludf.DUMMYFUNCTION("""COMPUTED_VALUE"""),93670.0)</f>
        <v>93670</v>
      </c>
    </row>
    <row r="936">
      <c r="A936" s="12">
        <v>935.0</v>
      </c>
      <c r="B936" s="12" t="s">
        <v>150</v>
      </c>
      <c r="C936" s="5" t="s">
        <v>75</v>
      </c>
      <c r="D936" s="11">
        <v>0.459</v>
      </c>
      <c r="E936" s="11">
        <v>11.0</v>
      </c>
      <c r="F936" s="8"/>
      <c r="G936" s="11">
        <v>224.0</v>
      </c>
      <c r="H936" s="11">
        <v>0.516</v>
      </c>
      <c r="I936" s="11">
        <v>1.091</v>
      </c>
      <c r="J936" s="9" t="s">
        <v>72</v>
      </c>
      <c r="K936" s="14" t="str">
        <f>IFERROR(__xludf.DUMMYFUNCTION("ARRAYFORMULA(VLOOKUP(A936,IMPORTRANGE(""https://docs.google.com/spreadsheets/d/1BuTWp7qHGjWhqrnf-OmePP568O4A5Am9ttzvVdP67zw/edit#gid=1603210130"", ""TOURISM!$A$2:$F$2692""), {2,3,4,5,6},0))"),"Europe")</f>
        <v>Europe</v>
      </c>
      <c r="L936" s="14">
        <f>IFERROR(__xludf.DUMMYFUNCTION("""COMPUTED_VALUE"""),1.4984E10)</f>
        <v>14984000000</v>
      </c>
      <c r="M936" s="14" t="str">
        <f>IFERROR(__xludf.DUMMYFUNCTION("""COMPUTED_VALUE"""),"Greece-Europe")</f>
        <v>Greece-Europe</v>
      </c>
      <c r="N936" s="14" t="str">
        <f>IFERROR(__xludf.DUMMYFUNCTION("""COMPUTED_VALUE"""),"2011")</f>
        <v>2011</v>
      </c>
      <c r="O936" s="14">
        <f>IFERROR(__xludf.DUMMYFUNCTION("""COMPUTED_VALUE"""),3.197E9)</f>
        <v>3197000000</v>
      </c>
      <c r="P936" s="15">
        <f>IFERROR(__xludf.DUMMYFUNCTION("ARRAYFORMULA(VLOOKUP(A936,IMPORTRANGE(""https://docs.google.com/spreadsheets/d/1BuTWp7qHGjWhqrnf-OmePP568O4A5Am9ttzvVdP67zw/edit#gid=771602874"" ,""HUMAN RESOURCES!$A$2:$M$2692""), {2,3,4,5,6,7,8,9,10,11,12,13},0))"),0.01)</f>
        <v>0.01</v>
      </c>
      <c r="Q936" s="14">
        <f>IFERROR(__xludf.DUMMYFUNCTION("""COMPUTED_VALUE"""),0.004)</f>
        <v>0.004</v>
      </c>
      <c r="R936" s="14">
        <f>IFERROR(__xludf.DUMMYFUNCTION("""COMPUTED_VALUE"""),84.0)</f>
        <v>84</v>
      </c>
      <c r="S936" s="14">
        <f>IFERROR(__xludf.DUMMYFUNCTION("""COMPUTED_VALUE"""),78.0)</f>
        <v>78</v>
      </c>
      <c r="T936" s="14">
        <f>IFERROR(__xludf.DUMMYFUNCTION("""COMPUTED_VALUE"""),0.146)</f>
        <v>0.146</v>
      </c>
      <c r="U936" s="14">
        <f>IFERROR(__xludf.DUMMYFUNCTION("""COMPUTED_VALUE"""),0.663)</f>
        <v>0.663</v>
      </c>
      <c r="V936" s="14">
        <f>IFERROR(__xludf.DUMMYFUNCTION("""COMPUTED_VALUE"""),0.192)</f>
        <v>0.192</v>
      </c>
      <c r="W936" s="14">
        <f>IFERROR(__xludf.DUMMYFUNCTION("""COMPUTED_VALUE"""),1.1123213E7)</f>
        <v>11123213</v>
      </c>
      <c r="X936" s="14">
        <f>IFERROR(__xludf.DUMMYFUNCTION("""COMPUTED_VALUE"""),0.766)</f>
        <v>0.766</v>
      </c>
      <c r="Y936" s="14" t="str">
        <f>IFERROR(__xludf.DUMMYFUNCTION("""COMPUTED_VALUE"""),"Greece-Europe")</f>
        <v>Greece-Europe</v>
      </c>
      <c r="Z936" s="14" t="str">
        <f>IFERROR(__xludf.DUMMYFUNCTION("""COMPUTED_VALUE"""),"Europe")</f>
        <v>Europe</v>
      </c>
      <c r="AA936" s="14" t="str">
        <f>IFERROR(__xludf.DUMMYFUNCTION("""COMPUTED_VALUE"""),"2011")</f>
        <v>2011</v>
      </c>
      <c r="AB936" s="15" t="str">
        <f>IFERROR(__xludf.DUMMYFUNCTION("ARRAYFORMULA(VLOOKUP(A936,IMPORTRANGE(""https://docs.google.com/spreadsheets/d/1BuTWp7qHGjWhqrnf-OmePP568O4A5Am9ttzvVdP67zw/edit#gid=1931367683"" ,""ENERGY!$A$2:$F$2692""), {2,3,4,5,6},0))"),"Europe")</f>
        <v>Europe</v>
      </c>
      <c r="AC936" s="14" t="str">
        <f>IFERROR(__xludf.DUMMYFUNCTION("""COMPUTED_VALUE"""),"Greece-Europe")</f>
        <v>Greece-Europe</v>
      </c>
      <c r="AD936" s="14" t="str">
        <f>IFERROR(__xludf.DUMMYFUNCTION("""COMPUTED_VALUE"""),"2005")</f>
        <v>2005</v>
      </c>
      <c r="AE936" s="14">
        <f>IFERROR(__xludf.DUMMYFUNCTION("""COMPUTED_VALUE"""),28004.0)</f>
        <v>28004</v>
      </c>
      <c r="AF936" s="14">
        <f>IFERROR(__xludf.DUMMYFUNCTION("""COMPUTED_VALUE"""),93806.0)</f>
        <v>93806</v>
      </c>
    </row>
    <row r="937">
      <c r="A937" s="12">
        <v>936.0</v>
      </c>
      <c r="B937" s="12" t="s">
        <v>150</v>
      </c>
      <c r="C937" s="5" t="s">
        <v>75</v>
      </c>
      <c r="D937" s="11">
        <v>0.441</v>
      </c>
      <c r="E937" s="11">
        <v>12.0</v>
      </c>
      <c r="F937" s="11">
        <v>89.0</v>
      </c>
      <c r="G937" s="11">
        <v>202.0</v>
      </c>
      <c r="H937" s="11">
        <v>0.551</v>
      </c>
      <c r="I937" s="11">
        <v>1.201</v>
      </c>
      <c r="J937" s="9" t="s">
        <v>73</v>
      </c>
      <c r="K937" s="14" t="str">
        <f>IFERROR(__xludf.DUMMYFUNCTION("ARRAYFORMULA(VLOOKUP(A937,IMPORTRANGE(""https://docs.google.com/spreadsheets/d/1BuTWp7qHGjWhqrnf-OmePP568O4A5Am9ttzvVdP67zw/edit#gid=1603210130"", ""TOURISM!$A$2:$F$2692""), {2,3,4,5,6},0))"),"Europe")</f>
        <v>Europe</v>
      </c>
      <c r="L937" s="14">
        <f>IFERROR(__xludf.DUMMYFUNCTION("""COMPUTED_VALUE"""),1.3313E10)</f>
        <v>13313000000</v>
      </c>
      <c r="M937" s="14" t="str">
        <f>IFERROR(__xludf.DUMMYFUNCTION("""COMPUTED_VALUE"""),"Greece-Europe")</f>
        <v>Greece-Europe</v>
      </c>
      <c r="N937" s="14" t="str">
        <f>IFERROR(__xludf.DUMMYFUNCTION("""COMPUTED_VALUE"""),"2012")</f>
        <v>2012</v>
      </c>
      <c r="O937" s="14">
        <f>IFERROR(__xludf.DUMMYFUNCTION("""COMPUTED_VALUE"""),2.392E9)</f>
        <v>2392000000</v>
      </c>
      <c r="P937" s="15">
        <f>IFERROR(__xludf.DUMMYFUNCTION("ARRAYFORMULA(VLOOKUP(A937,IMPORTRANGE(""https://docs.google.com/spreadsheets/d/1BuTWp7qHGjWhqrnf-OmePP568O4A5Am9ttzvVdP67zw/edit#gid=771602874"" ,""HUMAN RESOURCES!$A$2:$M$2692""), {2,3,4,5,6,7,8,9,10,11,12,13},0))"),0.009)</f>
        <v>0.009</v>
      </c>
      <c r="Q937" s="14">
        <f>IFERROR(__xludf.DUMMYFUNCTION("""COMPUTED_VALUE"""),0.004)</f>
        <v>0.004</v>
      </c>
      <c r="R937" s="14">
        <f>IFERROR(__xludf.DUMMYFUNCTION("""COMPUTED_VALUE"""),83.0)</f>
        <v>83</v>
      </c>
      <c r="S937" s="14">
        <f>IFERROR(__xludf.DUMMYFUNCTION("""COMPUTED_VALUE"""),78.0)</f>
        <v>78</v>
      </c>
      <c r="T937" s="14">
        <f>IFERROR(__xludf.DUMMYFUNCTION("""COMPUTED_VALUE"""),0.146)</f>
        <v>0.146</v>
      </c>
      <c r="U937" s="14">
        <f>IFERROR(__xludf.DUMMYFUNCTION("""COMPUTED_VALUE"""),0.66)</f>
        <v>0.66</v>
      </c>
      <c r="V937" s="14">
        <f>IFERROR(__xludf.DUMMYFUNCTION("""COMPUTED_VALUE"""),0.194)</f>
        <v>0.194</v>
      </c>
      <c r="W937" s="14">
        <f>IFERROR(__xludf.DUMMYFUNCTION("""COMPUTED_VALUE"""),1.1092771E7)</f>
        <v>11092771</v>
      </c>
      <c r="X937" s="14">
        <f>IFERROR(__xludf.DUMMYFUNCTION("""COMPUTED_VALUE"""),0.77)</f>
        <v>0.77</v>
      </c>
      <c r="Y937" s="14" t="str">
        <f>IFERROR(__xludf.DUMMYFUNCTION("""COMPUTED_VALUE"""),"Greece-Europe")</f>
        <v>Greece-Europe</v>
      </c>
      <c r="Z937" s="14" t="str">
        <f>IFERROR(__xludf.DUMMYFUNCTION("""COMPUTED_VALUE"""),"Europe")</f>
        <v>Europe</v>
      </c>
      <c r="AA937" s="14" t="str">
        <f>IFERROR(__xludf.DUMMYFUNCTION("""COMPUTED_VALUE"""),"2012")</f>
        <v>2012</v>
      </c>
      <c r="AB937" s="15" t="str">
        <f>IFERROR(__xludf.DUMMYFUNCTION("ARRAYFORMULA(VLOOKUP(A937,IMPORTRANGE(""https://docs.google.com/spreadsheets/d/1BuTWp7qHGjWhqrnf-OmePP568O4A5Am9ttzvVdP67zw/edit#gid=1931367683"" ,""ENERGY!$A$2:$F$2692""), {2,3,4,5,6},0))"),"Europe")</f>
        <v>Europe</v>
      </c>
      <c r="AC937" s="14" t="str">
        <f>IFERROR(__xludf.DUMMYFUNCTION("""COMPUTED_VALUE"""),"Greece-Europe")</f>
        <v>Greece-Europe</v>
      </c>
      <c r="AD937" s="14" t="str">
        <f>IFERROR(__xludf.DUMMYFUNCTION("""COMPUTED_VALUE"""),"2009")</f>
        <v>2009</v>
      </c>
      <c r="AE937" s="14">
        <f>IFERROR(__xludf.DUMMYFUNCTION("""COMPUTED_VALUE"""),27086.0)</f>
        <v>27086</v>
      </c>
      <c r="AF937" s="14">
        <f>IFERROR(__xludf.DUMMYFUNCTION("""COMPUTED_VALUE"""),91616.0)</f>
        <v>91616</v>
      </c>
    </row>
    <row r="938">
      <c r="A938" s="12">
        <v>937.0</v>
      </c>
      <c r="B938" s="12" t="s">
        <v>151</v>
      </c>
      <c r="C938" s="5" t="s">
        <v>84</v>
      </c>
      <c r="D938" s="8"/>
      <c r="E938" s="8"/>
      <c r="F938" s="8"/>
      <c r="G938" s="8"/>
      <c r="H938" s="11">
        <v>0.317</v>
      </c>
      <c r="I938" s="11">
        <v>0.269</v>
      </c>
      <c r="J938" s="9" t="s">
        <v>60</v>
      </c>
      <c r="K938" s="14" t="str">
        <f>IFERROR(__xludf.DUMMYFUNCTION("ARRAYFORMULA(VLOOKUP(A938,IMPORTRANGE(""https://docs.google.com/spreadsheets/d/1BuTWp7qHGjWhqrnf-OmePP568O4A5Am9ttzvVdP67zw/edit#gid=1603210130"", ""TOURISM!$A$2:$F$2692""), {2,3,4,5,6},0))"),"The Americas")</f>
        <v>The Americas</v>
      </c>
      <c r="L938" s="14"/>
      <c r="M938" s="14" t="str">
        <f>IFERROR(__xludf.DUMMYFUNCTION("""COMPUTED_VALUE"""),"Greenland-The Americas")</f>
        <v>Greenland-The Americas</v>
      </c>
      <c r="N938" s="14" t="str">
        <f>IFERROR(__xludf.DUMMYFUNCTION("""COMPUTED_VALUE"""),"2000")</f>
        <v>2000</v>
      </c>
      <c r="O938" s="14"/>
      <c r="P938" s="15">
        <f>IFERROR(__xludf.DUMMYFUNCTION("ARRAYFORMULA(VLOOKUP(A938,IMPORTRANGE(""https://docs.google.com/spreadsheets/d/1BuTWp7qHGjWhqrnf-OmePP568O4A5Am9ttzvVdP67zw/edit#gid=771602874"" ,""HUMAN RESOURCES!$A$2:$M$2692""), {2,3,4,5,6,7,8,9,10,11,12,13},0))"),0.016)</f>
        <v>0.016</v>
      </c>
      <c r="Q938" s="14"/>
      <c r="R938" s="14">
        <f>IFERROR(__xludf.DUMMYFUNCTION("""COMPUTED_VALUE"""),70.0)</f>
        <v>70</v>
      </c>
      <c r="S938" s="14">
        <f>IFERROR(__xludf.DUMMYFUNCTION("""COMPUTED_VALUE"""),64.0)</f>
        <v>64</v>
      </c>
      <c r="T938" s="14"/>
      <c r="U938" s="14"/>
      <c r="V938" s="14"/>
      <c r="W938" s="14">
        <f>IFERROR(__xludf.DUMMYFUNCTION("""COMPUTED_VALUE"""),56200.0)</f>
        <v>56200</v>
      </c>
      <c r="X938" s="14">
        <f>IFERROR(__xludf.DUMMYFUNCTION("""COMPUTED_VALUE"""),0.816)</f>
        <v>0.816</v>
      </c>
      <c r="Y938" s="14" t="str">
        <f>IFERROR(__xludf.DUMMYFUNCTION("""COMPUTED_VALUE"""),"Greenland-The Americas")</f>
        <v>Greenland-The Americas</v>
      </c>
      <c r="Z938" s="14" t="str">
        <f>IFERROR(__xludf.DUMMYFUNCTION("""COMPUTED_VALUE"""),"The Americas")</f>
        <v>The Americas</v>
      </c>
      <c r="AA938" s="14" t="str">
        <f>IFERROR(__xludf.DUMMYFUNCTION("""COMPUTED_VALUE"""),"2000")</f>
        <v>2000</v>
      </c>
      <c r="AB938" s="15" t="str">
        <f>IFERROR(__xludf.DUMMYFUNCTION("ARRAYFORMULA(VLOOKUP(A938,IMPORTRANGE(""https://docs.google.com/spreadsheets/d/1BuTWp7qHGjWhqrnf-OmePP568O4A5Am9ttzvVdP67zw/edit#gid=1931367683"" ,""ENERGY!$A$2:$F$2692""), {2,3,4,5,6},0))"),"The Americas")</f>
        <v>The Americas</v>
      </c>
      <c r="AC938" s="14" t="str">
        <f>IFERROR(__xludf.DUMMYFUNCTION("""COMPUTED_VALUE"""),"Greenland-The Americas")</f>
        <v>Greenland-The Americas</v>
      </c>
      <c r="AD938" s="14" t="str">
        <f>IFERROR(__xludf.DUMMYFUNCTION("""COMPUTED_VALUE"""),"2000")</f>
        <v>2000</v>
      </c>
      <c r="AE938" s="14"/>
      <c r="AF938" s="14"/>
    </row>
    <row r="939">
      <c r="A939" s="12">
        <v>938.0</v>
      </c>
      <c r="B939" s="12" t="s">
        <v>151</v>
      </c>
      <c r="C939" s="5" t="s">
        <v>84</v>
      </c>
      <c r="D939" s="8"/>
      <c r="E939" s="8"/>
      <c r="F939" s="8"/>
      <c r="G939" s="8"/>
      <c r="H939" s="11">
        <v>0.355</v>
      </c>
      <c r="I939" s="11">
        <v>0.282</v>
      </c>
      <c r="J939" s="9" t="s">
        <v>62</v>
      </c>
      <c r="K939" s="14" t="str">
        <f>IFERROR(__xludf.DUMMYFUNCTION("ARRAYFORMULA(VLOOKUP(A939,IMPORTRANGE(""https://docs.google.com/spreadsheets/d/1BuTWp7qHGjWhqrnf-OmePP568O4A5Am9ttzvVdP67zw/edit#gid=1603210130"", ""TOURISM!$A$2:$F$2692""), {2,3,4,5,6},0))"),"The Americas")</f>
        <v>The Americas</v>
      </c>
      <c r="L939" s="14"/>
      <c r="M939" s="14" t="str">
        <f>IFERROR(__xludf.DUMMYFUNCTION("""COMPUTED_VALUE"""),"Greenland-The Americas")</f>
        <v>Greenland-The Americas</v>
      </c>
      <c r="N939" s="14" t="str">
        <f>IFERROR(__xludf.DUMMYFUNCTION("""COMPUTED_VALUE"""),"2001")</f>
        <v>2001</v>
      </c>
      <c r="O939" s="14"/>
      <c r="P939" s="15">
        <f>IFERROR(__xludf.DUMMYFUNCTION("ARRAYFORMULA(VLOOKUP(A939,IMPORTRANGE(""https://docs.google.com/spreadsheets/d/1BuTWp7qHGjWhqrnf-OmePP568O4A5Am9ttzvVdP67zw/edit#gid=771602874"" ,""HUMAN RESOURCES!$A$2:$M$2692""), {2,3,4,5,6,7,8,9,10,11,12,13},0))"),0.017)</f>
        <v>0.017</v>
      </c>
      <c r="Q939" s="14"/>
      <c r="R939" s="14">
        <f>IFERROR(__xludf.DUMMYFUNCTION("""COMPUTED_VALUE"""),70.0)</f>
        <v>70</v>
      </c>
      <c r="S939" s="14">
        <f>IFERROR(__xludf.DUMMYFUNCTION("""COMPUTED_VALUE"""),65.0)</f>
        <v>65</v>
      </c>
      <c r="T939" s="14"/>
      <c r="U939" s="14"/>
      <c r="V939" s="14"/>
      <c r="W939" s="14">
        <f>IFERROR(__xludf.DUMMYFUNCTION("""COMPUTED_VALUE"""),56350.0)</f>
        <v>56350</v>
      </c>
      <c r="X939" s="14">
        <f>IFERROR(__xludf.DUMMYFUNCTION("""COMPUTED_VALUE"""),0.818)</f>
        <v>0.818</v>
      </c>
      <c r="Y939" s="14" t="str">
        <f>IFERROR(__xludf.DUMMYFUNCTION("""COMPUTED_VALUE"""),"Greenland-The Americas")</f>
        <v>Greenland-The Americas</v>
      </c>
      <c r="Z939" s="14" t="str">
        <f>IFERROR(__xludf.DUMMYFUNCTION("""COMPUTED_VALUE"""),"The Americas")</f>
        <v>The Americas</v>
      </c>
      <c r="AA939" s="14" t="str">
        <f>IFERROR(__xludf.DUMMYFUNCTION("""COMPUTED_VALUE"""),"2001")</f>
        <v>2001</v>
      </c>
      <c r="AB939" s="15" t="str">
        <f>IFERROR(__xludf.DUMMYFUNCTION("ARRAYFORMULA(VLOOKUP(A939,IMPORTRANGE(""https://docs.google.com/spreadsheets/d/1BuTWp7qHGjWhqrnf-OmePP568O4A5Am9ttzvVdP67zw/edit#gid=1931367683"" ,""ENERGY!$A$2:$F$2692""), {2,3,4,5,6},0))"),"The Americas")</f>
        <v>The Americas</v>
      </c>
      <c r="AC939" s="14" t="str">
        <f>IFERROR(__xludf.DUMMYFUNCTION("""COMPUTED_VALUE"""),"Greenland-The Americas")</f>
        <v>Greenland-The Americas</v>
      </c>
      <c r="AD939" s="14" t="str">
        <f>IFERROR(__xludf.DUMMYFUNCTION("""COMPUTED_VALUE"""),"2001")</f>
        <v>2001</v>
      </c>
      <c r="AE939" s="14"/>
      <c r="AF939" s="14"/>
    </row>
    <row r="940">
      <c r="A940" s="12">
        <v>939.0</v>
      </c>
      <c r="B940" s="12" t="s">
        <v>151</v>
      </c>
      <c r="C940" s="5" t="s">
        <v>84</v>
      </c>
      <c r="D940" s="8"/>
      <c r="E940" s="8"/>
      <c r="F940" s="8"/>
      <c r="G940" s="8"/>
      <c r="H940" s="11">
        <v>0.442</v>
      </c>
      <c r="I940" s="11">
        <v>0.352</v>
      </c>
      <c r="J940" s="9" t="s">
        <v>63</v>
      </c>
      <c r="K940" s="14" t="str">
        <f>IFERROR(__xludf.DUMMYFUNCTION("ARRAYFORMULA(VLOOKUP(A940,IMPORTRANGE(""https://docs.google.com/spreadsheets/d/1BuTWp7qHGjWhqrnf-OmePP568O4A5Am9ttzvVdP67zw/edit#gid=1603210130"", ""TOURISM!$A$2:$F$2692""), {2,3,4,5,6},0))"),"The Americas")</f>
        <v>The Americas</v>
      </c>
      <c r="L940" s="14"/>
      <c r="M940" s="14" t="str">
        <f>IFERROR(__xludf.DUMMYFUNCTION("""COMPUTED_VALUE"""),"Greenland-The Americas")</f>
        <v>Greenland-The Americas</v>
      </c>
      <c r="N940" s="14" t="str">
        <f>IFERROR(__xludf.DUMMYFUNCTION("""COMPUTED_VALUE"""),"2002")</f>
        <v>2002</v>
      </c>
      <c r="O940" s="14"/>
      <c r="P940" s="15">
        <f>IFERROR(__xludf.DUMMYFUNCTION("ARRAYFORMULA(VLOOKUP(A940,IMPORTRANGE(""https://docs.google.com/spreadsheets/d/1BuTWp7qHGjWhqrnf-OmePP568O4A5Am9ttzvVdP67zw/edit#gid=771602874"" ,""HUMAN RESOURCES!$A$2:$M$2692""), {2,3,4,5,6,7,8,9,10,11,12,13},0))"),0.017)</f>
        <v>0.017</v>
      </c>
      <c r="Q940" s="14"/>
      <c r="R940" s="14">
        <f>IFERROR(__xludf.DUMMYFUNCTION("""COMPUTED_VALUE"""),71.0)</f>
        <v>71</v>
      </c>
      <c r="S940" s="14">
        <f>IFERROR(__xludf.DUMMYFUNCTION("""COMPUTED_VALUE"""),65.0)</f>
        <v>65</v>
      </c>
      <c r="T940" s="14"/>
      <c r="U940" s="14"/>
      <c r="V940" s="14"/>
      <c r="W940" s="14">
        <f>IFERROR(__xludf.DUMMYFUNCTION("""COMPUTED_VALUE"""),56609.0)</f>
        <v>56609</v>
      </c>
      <c r="X940" s="14">
        <f>IFERROR(__xludf.DUMMYFUNCTION("""COMPUTED_VALUE"""),0.821)</f>
        <v>0.821</v>
      </c>
      <c r="Y940" s="14" t="str">
        <f>IFERROR(__xludf.DUMMYFUNCTION("""COMPUTED_VALUE"""),"Greenland-The Americas")</f>
        <v>Greenland-The Americas</v>
      </c>
      <c r="Z940" s="14" t="str">
        <f>IFERROR(__xludf.DUMMYFUNCTION("""COMPUTED_VALUE"""),"The Americas")</f>
        <v>The Americas</v>
      </c>
      <c r="AA940" s="14" t="str">
        <f>IFERROR(__xludf.DUMMYFUNCTION("""COMPUTED_VALUE"""),"2002")</f>
        <v>2002</v>
      </c>
      <c r="AB940" s="15" t="str">
        <f>IFERROR(__xludf.DUMMYFUNCTION("ARRAYFORMULA(VLOOKUP(A940,IMPORTRANGE(""https://docs.google.com/spreadsheets/d/1BuTWp7qHGjWhqrnf-OmePP568O4A5Am9ttzvVdP67zw/edit#gid=1931367683"" ,""ENERGY!$A$2:$F$2692""), {2,3,4,5,6},0))"),"The Americas")</f>
        <v>The Americas</v>
      </c>
      <c r="AC940" s="14" t="str">
        <f>IFERROR(__xludf.DUMMYFUNCTION("""COMPUTED_VALUE"""),"Greenland-The Americas")</f>
        <v>Greenland-The Americas</v>
      </c>
      <c r="AD940" s="14" t="str">
        <f>IFERROR(__xludf.DUMMYFUNCTION("""COMPUTED_VALUE"""),"2002")</f>
        <v>2002</v>
      </c>
      <c r="AE940" s="14"/>
      <c r="AF940" s="14">
        <f>IFERROR(__xludf.DUMMYFUNCTION("""COMPUTED_VALUE"""),634.0)</f>
        <v>634</v>
      </c>
    </row>
    <row r="941">
      <c r="A941" s="12">
        <v>940.0</v>
      </c>
      <c r="B941" s="12" t="s">
        <v>151</v>
      </c>
      <c r="C941" s="5" t="s">
        <v>84</v>
      </c>
      <c r="D941" s="8"/>
      <c r="E941" s="8"/>
      <c r="F941" s="8"/>
      <c r="G941" s="8"/>
      <c r="H941" s="11">
        <v>0.545</v>
      </c>
      <c r="I941" s="11">
        <v>0.524</v>
      </c>
      <c r="J941" s="9" t="s">
        <v>64</v>
      </c>
      <c r="K941" s="14" t="str">
        <f>IFERROR(__xludf.DUMMYFUNCTION("ARRAYFORMULA(VLOOKUP(A941,IMPORTRANGE(""https://docs.google.com/spreadsheets/d/1BuTWp7qHGjWhqrnf-OmePP568O4A5Am9ttzvVdP67zw/edit#gid=1603210130"", ""TOURISM!$A$2:$F$2692""), {2,3,4,5,6},0))"),"The Americas")</f>
        <v>The Americas</v>
      </c>
      <c r="L941" s="14"/>
      <c r="M941" s="14" t="str">
        <f>IFERROR(__xludf.DUMMYFUNCTION("""COMPUTED_VALUE"""),"Greenland-The Americas")</f>
        <v>Greenland-The Americas</v>
      </c>
      <c r="N941" s="14" t="str">
        <f>IFERROR(__xludf.DUMMYFUNCTION("""COMPUTED_VALUE"""),"2003")</f>
        <v>2003</v>
      </c>
      <c r="O941" s="14"/>
      <c r="P941" s="15">
        <f>IFERROR(__xludf.DUMMYFUNCTION("ARRAYFORMULA(VLOOKUP(A941,IMPORTRANGE(""https://docs.google.com/spreadsheets/d/1BuTWp7qHGjWhqrnf-OmePP568O4A5Am9ttzvVdP67zw/edit#gid=771602874"" ,""HUMAN RESOURCES!$A$2:$M$2692""), {2,3,4,5,6,7,8,9,10,11,12,13},0))"),0.016)</f>
        <v>0.016</v>
      </c>
      <c r="Q941" s="14"/>
      <c r="R941" s="14">
        <f>IFERROR(__xludf.DUMMYFUNCTION("""COMPUTED_VALUE"""),71.0)</f>
        <v>71</v>
      </c>
      <c r="S941" s="14">
        <f>IFERROR(__xludf.DUMMYFUNCTION("""COMPUTED_VALUE"""),66.0)</f>
        <v>66</v>
      </c>
      <c r="T941" s="14"/>
      <c r="U941" s="14"/>
      <c r="V941" s="14"/>
      <c r="W941" s="14">
        <f>IFERROR(__xludf.DUMMYFUNCTION("""COMPUTED_VALUE"""),56765.0)</f>
        <v>56765</v>
      </c>
      <c r="X941" s="14">
        <f>IFERROR(__xludf.DUMMYFUNCTION("""COMPUTED_VALUE"""),0.823)</f>
        <v>0.823</v>
      </c>
      <c r="Y941" s="14" t="str">
        <f>IFERROR(__xludf.DUMMYFUNCTION("""COMPUTED_VALUE"""),"Greenland-The Americas")</f>
        <v>Greenland-The Americas</v>
      </c>
      <c r="Z941" s="14" t="str">
        <f>IFERROR(__xludf.DUMMYFUNCTION("""COMPUTED_VALUE"""),"The Americas")</f>
        <v>The Americas</v>
      </c>
      <c r="AA941" s="14" t="str">
        <f>IFERROR(__xludf.DUMMYFUNCTION("""COMPUTED_VALUE"""),"2003")</f>
        <v>2003</v>
      </c>
      <c r="AB941" s="15" t="str">
        <f>IFERROR(__xludf.DUMMYFUNCTION("ARRAYFORMULA(VLOOKUP(A941,IMPORTRANGE(""https://docs.google.com/spreadsheets/d/1BuTWp7qHGjWhqrnf-OmePP568O4A5Am9ttzvVdP67zw/edit#gid=1931367683"" ,""ENERGY!$A$2:$F$2692""), {2,3,4,5,6},0))"),"The Americas")</f>
        <v>The Americas</v>
      </c>
      <c r="AC941" s="14" t="str">
        <f>IFERROR(__xludf.DUMMYFUNCTION("""COMPUTED_VALUE"""),"Greenland-The Americas")</f>
        <v>Greenland-The Americas</v>
      </c>
      <c r="AD941" s="14" t="str">
        <f>IFERROR(__xludf.DUMMYFUNCTION("""COMPUTED_VALUE"""),"2003")</f>
        <v>2003</v>
      </c>
      <c r="AE941" s="14"/>
      <c r="AF941" s="14">
        <f>IFERROR(__xludf.DUMMYFUNCTION("""COMPUTED_VALUE"""),557.0)</f>
        <v>557</v>
      </c>
    </row>
    <row r="942">
      <c r="A942" s="12">
        <v>941.0</v>
      </c>
      <c r="B942" s="12" t="s">
        <v>151</v>
      </c>
      <c r="C942" s="5" t="s">
        <v>84</v>
      </c>
      <c r="D942" s="8"/>
      <c r="E942" s="8"/>
      <c r="F942" s="8"/>
      <c r="G942" s="8"/>
      <c r="H942" s="11">
        <v>0.561</v>
      </c>
      <c r="I942" s="11">
        <v>0.686</v>
      </c>
      <c r="J942" s="9" t="s">
        <v>65</v>
      </c>
      <c r="K942" s="14" t="str">
        <f>IFERROR(__xludf.DUMMYFUNCTION("ARRAYFORMULA(VLOOKUP(A942,IMPORTRANGE(""https://docs.google.com/spreadsheets/d/1BuTWp7qHGjWhqrnf-OmePP568O4A5Am9ttzvVdP67zw/edit#gid=1603210130"", ""TOURISM!$A$2:$F$2692""), {2,3,4,5,6},0))"),"The Americas")</f>
        <v>The Americas</v>
      </c>
      <c r="L942" s="14"/>
      <c r="M942" s="14" t="str">
        <f>IFERROR(__xludf.DUMMYFUNCTION("""COMPUTED_VALUE"""),"Greenland-The Americas")</f>
        <v>Greenland-The Americas</v>
      </c>
      <c r="N942" s="14" t="str">
        <f>IFERROR(__xludf.DUMMYFUNCTION("""COMPUTED_VALUE"""),"2004")</f>
        <v>2004</v>
      </c>
      <c r="O942" s="14"/>
      <c r="P942" s="15">
        <f>IFERROR(__xludf.DUMMYFUNCTION("ARRAYFORMULA(VLOOKUP(A942,IMPORTRANGE(""https://docs.google.com/spreadsheets/d/1BuTWp7qHGjWhqrnf-OmePP568O4A5Am9ttzvVdP67zw/edit#gid=771602874"" ,""HUMAN RESOURCES!$A$2:$M$2692""), {2,3,4,5,6,7,8,9,10,11,12,13},0))"),0.016)</f>
        <v>0.016</v>
      </c>
      <c r="Q942" s="14"/>
      <c r="R942" s="14">
        <f>IFERROR(__xludf.DUMMYFUNCTION("""COMPUTED_VALUE"""),72.0)</f>
        <v>72</v>
      </c>
      <c r="S942" s="14">
        <f>IFERROR(__xludf.DUMMYFUNCTION("""COMPUTED_VALUE"""),66.0)</f>
        <v>66</v>
      </c>
      <c r="T942" s="14"/>
      <c r="U942" s="14"/>
      <c r="V942" s="14"/>
      <c r="W942" s="14">
        <f>IFERROR(__xludf.DUMMYFUNCTION("""COMPUTED_VALUE"""),56911.0)</f>
        <v>56911</v>
      </c>
      <c r="X942" s="14">
        <f>IFERROR(__xludf.DUMMYFUNCTION("""COMPUTED_VALUE"""),0.826)</f>
        <v>0.826</v>
      </c>
      <c r="Y942" s="14" t="str">
        <f>IFERROR(__xludf.DUMMYFUNCTION("""COMPUTED_VALUE"""),"Greenland-The Americas")</f>
        <v>Greenland-The Americas</v>
      </c>
      <c r="Z942" s="14" t="str">
        <f>IFERROR(__xludf.DUMMYFUNCTION("""COMPUTED_VALUE"""),"The Americas")</f>
        <v>The Americas</v>
      </c>
      <c r="AA942" s="14" t="str">
        <f>IFERROR(__xludf.DUMMYFUNCTION("""COMPUTED_VALUE"""),"2004")</f>
        <v>2004</v>
      </c>
      <c r="AB942" s="15" t="str">
        <f>IFERROR(__xludf.DUMMYFUNCTION("ARRAYFORMULA(VLOOKUP(A942,IMPORTRANGE(""https://docs.google.com/spreadsheets/d/1BuTWp7qHGjWhqrnf-OmePP568O4A5Am9ttzvVdP67zw/edit#gid=1931367683"" ,""ENERGY!$A$2:$F$2692""), {2,3,4,5,6},0))"),"The Americas")</f>
        <v>The Americas</v>
      </c>
      <c r="AC942" s="14" t="str">
        <f>IFERROR(__xludf.DUMMYFUNCTION("""COMPUTED_VALUE"""),"Greenland-The Americas")</f>
        <v>Greenland-The Americas</v>
      </c>
      <c r="AD942" s="14" t="str">
        <f>IFERROR(__xludf.DUMMYFUNCTION("""COMPUTED_VALUE"""),"2004")</f>
        <v>2004</v>
      </c>
      <c r="AE942" s="14"/>
      <c r="AF942" s="14">
        <f>IFERROR(__xludf.DUMMYFUNCTION("""COMPUTED_VALUE"""),638.0)</f>
        <v>638</v>
      </c>
    </row>
    <row r="943">
      <c r="A943" s="12">
        <v>942.0</v>
      </c>
      <c r="B943" s="12" t="s">
        <v>151</v>
      </c>
      <c r="C943" s="5" t="s">
        <v>84</v>
      </c>
      <c r="D943" s="8"/>
      <c r="E943" s="8"/>
      <c r="F943" s="8"/>
      <c r="G943" s="8"/>
      <c r="H943" s="11">
        <v>0.577</v>
      </c>
      <c r="I943" s="11">
        <v>0.816</v>
      </c>
      <c r="J943" s="9" t="s">
        <v>66</v>
      </c>
      <c r="K943" s="14" t="str">
        <f>IFERROR(__xludf.DUMMYFUNCTION("ARRAYFORMULA(VLOOKUP(A943,IMPORTRANGE(""https://docs.google.com/spreadsheets/d/1BuTWp7qHGjWhqrnf-OmePP568O4A5Am9ttzvVdP67zw/edit#gid=1603210130"", ""TOURISM!$A$2:$F$2692""), {2,3,4,5,6},0))"),"The Americas")</f>
        <v>The Americas</v>
      </c>
      <c r="L943" s="14"/>
      <c r="M943" s="14" t="str">
        <f>IFERROR(__xludf.DUMMYFUNCTION("""COMPUTED_VALUE"""),"Greenland-The Americas")</f>
        <v>Greenland-The Americas</v>
      </c>
      <c r="N943" s="14" t="str">
        <f>IFERROR(__xludf.DUMMYFUNCTION("""COMPUTED_VALUE"""),"2005")</f>
        <v>2005</v>
      </c>
      <c r="O943" s="14"/>
      <c r="P943" s="15">
        <f>IFERROR(__xludf.DUMMYFUNCTION("ARRAYFORMULA(VLOOKUP(A943,IMPORTRANGE(""https://docs.google.com/spreadsheets/d/1BuTWp7qHGjWhqrnf-OmePP568O4A5Am9ttzvVdP67zw/edit#gid=771602874"" ,""HUMAN RESOURCES!$A$2:$M$2692""), {2,3,4,5,6,7,8,9,10,11,12,13},0))"),0.016)</f>
        <v>0.016</v>
      </c>
      <c r="Q943" s="14"/>
      <c r="R943" s="14">
        <f>IFERROR(__xludf.DUMMYFUNCTION("""COMPUTED_VALUE"""),72.0)</f>
        <v>72</v>
      </c>
      <c r="S943" s="14">
        <f>IFERROR(__xludf.DUMMYFUNCTION("""COMPUTED_VALUE"""),67.0)</f>
        <v>67</v>
      </c>
      <c r="T943" s="14"/>
      <c r="U943" s="14"/>
      <c r="V943" s="14"/>
      <c r="W943" s="14">
        <f>IFERROR(__xludf.DUMMYFUNCTION("""COMPUTED_VALUE"""),56935.0)</f>
        <v>56935</v>
      </c>
      <c r="X943" s="14">
        <f>IFERROR(__xludf.DUMMYFUNCTION("""COMPUTED_VALUE"""),0.829)</f>
        <v>0.829</v>
      </c>
      <c r="Y943" s="14" t="str">
        <f>IFERROR(__xludf.DUMMYFUNCTION("""COMPUTED_VALUE"""),"Greenland-The Americas")</f>
        <v>Greenland-The Americas</v>
      </c>
      <c r="Z943" s="14" t="str">
        <f>IFERROR(__xludf.DUMMYFUNCTION("""COMPUTED_VALUE"""),"The Americas")</f>
        <v>The Americas</v>
      </c>
      <c r="AA943" s="14" t="str">
        <f>IFERROR(__xludf.DUMMYFUNCTION("""COMPUTED_VALUE"""),"2005")</f>
        <v>2005</v>
      </c>
      <c r="AB943" s="15" t="str">
        <f>IFERROR(__xludf.DUMMYFUNCTION("ARRAYFORMULA(VLOOKUP(A943,IMPORTRANGE(""https://docs.google.com/spreadsheets/d/1BuTWp7qHGjWhqrnf-OmePP568O4A5Am9ttzvVdP67zw/edit#gid=1931367683"" ,""ENERGY!$A$2:$F$2692""), {2,3,4,5,6},0))"),"The Americas")</f>
        <v>The Americas</v>
      </c>
      <c r="AC943" s="14" t="str">
        <f>IFERROR(__xludf.DUMMYFUNCTION("""COMPUTED_VALUE"""),"Greenland-The Americas")</f>
        <v>Greenland-The Americas</v>
      </c>
      <c r="AD943" s="14" t="str">
        <f>IFERROR(__xludf.DUMMYFUNCTION("""COMPUTED_VALUE"""),"2007")</f>
        <v>2007</v>
      </c>
      <c r="AE943" s="14"/>
      <c r="AF943" s="14">
        <f>IFERROR(__xludf.DUMMYFUNCTION("""COMPUTED_VALUE"""),616.0)</f>
        <v>616</v>
      </c>
    </row>
    <row r="944">
      <c r="A944" s="12">
        <v>943.0</v>
      </c>
      <c r="B944" s="12" t="s">
        <v>151</v>
      </c>
      <c r="C944" s="5" t="s">
        <v>84</v>
      </c>
      <c r="D944" s="8"/>
      <c r="E944" s="8"/>
      <c r="F944" s="8"/>
      <c r="G944" s="8"/>
      <c r="H944" s="11">
        <v>0.594</v>
      </c>
      <c r="I944" s="11">
        <v>0.947</v>
      </c>
      <c r="J944" s="9" t="s">
        <v>67</v>
      </c>
      <c r="K944" s="14" t="str">
        <f>IFERROR(__xludf.DUMMYFUNCTION("ARRAYFORMULA(VLOOKUP(A944,IMPORTRANGE(""https://docs.google.com/spreadsheets/d/1BuTWp7qHGjWhqrnf-OmePP568O4A5Am9ttzvVdP67zw/edit#gid=1603210130"", ""TOURISM!$A$2:$F$2692""), {2,3,4,5,6},0))"),"The Americas")</f>
        <v>The Americas</v>
      </c>
      <c r="L944" s="14"/>
      <c r="M944" s="14" t="str">
        <f>IFERROR(__xludf.DUMMYFUNCTION("""COMPUTED_VALUE"""),"Greenland-The Americas")</f>
        <v>Greenland-The Americas</v>
      </c>
      <c r="N944" s="14" t="str">
        <f>IFERROR(__xludf.DUMMYFUNCTION("""COMPUTED_VALUE"""),"2006")</f>
        <v>2006</v>
      </c>
      <c r="O944" s="14"/>
      <c r="P944" s="15">
        <f>IFERROR(__xludf.DUMMYFUNCTION("ARRAYFORMULA(VLOOKUP(A944,IMPORTRANGE(""https://docs.google.com/spreadsheets/d/1BuTWp7qHGjWhqrnf-OmePP568O4A5Am9ttzvVdP67zw/edit#gid=771602874"" ,""HUMAN RESOURCES!$A$2:$M$2692""), {2,3,4,5,6,7,8,9,10,11,12,13},0))"),0.015)</f>
        <v>0.015</v>
      </c>
      <c r="Q944" s="14"/>
      <c r="R944" s="14">
        <f>IFERROR(__xludf.DUMMYFUNCTION("""COMPUTED_VALUE"""),72.0)</f>
        <v>72</v>
      </c>
      <c r="S944" s="14">
        <f>IFERROR(__xludf.DUMMYFUNCTION("""COMPUTED_VALUE"""),67.0)</f>
        <v>67</v>
      </c>
      <c r="T944" s="14"/>
      <c r="U944" s="14"/>
      <c r="V944" s="14"/>
      <c r="W944" s="14">
        <f>IFERROR(__xludf.DUMMYFUNCTION("""COMPUTED_VALUE"""),56774.0)</f>
        <v>56774</v>
      </c>
      <c r="X944" s="14">
        <f>IFERROR(__xludf.DUMMYFUNCTION("""COMPUTED_VALUE"""),0.832)</f>
        <v>0.832</v>
      </c>
      <c r="Y944" s="14" t="str">
        <f>IFERROR(__xludf.DUMMYFUNCTION("""COMPUTED_VALUE"""),"Greenland-The Americas")</f>
        <v>Greenland-The Americas</v>
      </c>
      <c r="Z944" s="14" t="str">
        <f>IFERROR(__xludf.DUMMYFUNCTION("""COMPUTED_VALUE"""),"The Americas")</f>
        <v>The Americas</v>
      </c>
      <c r="AA944" s="14" t="str">
        <f>IFERROR(__xludf.DUMMYFUNCTION("""COMPUTED_VALUE"""),"2006")</f>
        <v>2006</v>
      </c>
      <c r="AB944" s="15" t="str">
        <f>IFERROR(__xludf.DUMMYFUNCTION("ARRAYFORMULA(VLOOKUP(A944,IMPORTRANGE(""https://docs.google.com/spreadsheets/d/1BuTWp7qHGjWhqrnf-OmePP568O4A5Am9ttzvVdP67zw/edit#gid=1931367683"" ,""ENERGY!$A$2:$F$2692""), {2,3,4,5,6},0))"),"The Americas")</f>
        <v>The Americas</v>
      </c>
      <c r="AC944" s="14" t="str">
        <f>IFERROR(__xludf.DUMMYFUNCTION("""COMPUTED_VALUE"""),"Greenland-The Americas")</f>
        <v>Greenland-The Americas</v>
      </c>
      <c r="AD944" s="14" t="str">
        <f>IFERROR(__xludf.DUMMYFUNCTION("""COMPUTED_VALUE"""),"2010")</f>
        <v>2010</v>
      </c>
      <c r="AE944" s="14"/>
      <c r="AF944" s="14">
        <f>IFERROR(__xludf.DUMMYFUNCTION("""COMPUTED_VALUE"""),627.0)</f>
        <v>627</v>
      </c>
    </row>
    <row r="945">
      <c r="A945" s="12">
        <v>944.0</v>
      </c>
      <c r="B945" s="12" t="s">
        <v>151</v>
      </c>
      <c r="C945" s="5" t="s">
        <v>84</v>
      </c>
      <c r="D945" s="8"/>
      <c r="E945" s="8"/>
      <c r="F945" s="8"/>
      <c r="G945" s="8"/>
      <c r="H945" s="11">
        <v>0.611</v>
      </c>
      <c r="I945" s="11">
        <v>1.169</v>
      </c>
      <c r="J945" s="9" t="s">
        <v>68</v>
      </c>
      <c r="K945" s="14" t="str">
        <f>IFERROR(__xludf.DUMMYFUNCTION("ARRAYFORMULA(VLOOKUP(A945,IMPORTRANGE(""https://docs.google.com/spreadsheets/d/1BuTWp7qHGjWhqrnf-OmePP568O4A5Am9ttzvVdP67zw/edit#gid=1603210130"", ""TOURISM!$A$2:$F$2692""), {2,3,4,5,6},0))"),"The Americas")</f>
        <v>The Americas</v>
      </c>
      <c r="L945" s="14"/>
      <c r="M945" s="14" t="str">
        <f>IFERROR(__xludf.DUMMYFUNCTION("""COMPUTED_VALUE"""),"Greenland-The Americas")</f>
        <v>Greenland-The Americas</v>
      </c>
      <c r="N945" s="14" t="str">
        <f>IFERROR(__xludf.DUMMYFUNCTION("""COMPUTED_VALUE"""),"2007")</f>
        <v>2007</v>
      </c>
      <c r="O945" s="14"/>
      <c r="P945" s="15">
        <f>IFERROR(__xludf.DUMMYFUNCTION("ARRAYFORMULA(VLOOKUP(A945,IMPORTRANGE(""https://docs.google.com/spreadsheets/d/1BuTWp7qHGjWhqrnf-OmePP568O4A5Am9ttzvVdP67zw/edit#gid=771602874"" ,""HUMAN RESOURCES!$A$2:$M$2692""), {2,3,4,5,6,7,8,9,10,11,12,13},0))"),0.015)</f>
        <v>0.015</v>
      </c>
      <c r="Q945" s="14"/>
      <c r="R945" s="14">
        <f>IFERROR(__xludf.DUMMYFUNCTION("""COMPUTED_VALUE"""),72.0)</f>
        <v>72</v>
      </c>
      <c r="S945" s="14">
        <f>IFERROR(__xludf.DUMMYFUNCTION("""COMPUTED_VALUE"""),68.0)</f>
        <v>68</v>
      </c>
      <c r="T945" s="14"/>
      <c r="U945" s="14"/>
      <c r="V945" s="14"/>
      <c r="W945" s="14">
        <f>IFERROR(__xludf.DUMMYFUNCTION("""COMPUTED_VALUE"""),56555.0)</f>
        <v>56555</v>
      </c>
      <c r="X945" s="14">
        <f>IFERROR(__xludf.DUMMYFUNCTION("""COMPUTED_VALUE"""),0.835)</f>
        <v>0.835</v>
      </c>
      <c r="Y945" s="14" t="str">
        <f>IFERROR(__xludf.DUMMYFUNCTION("""COMPUTED_VALUE"""),"Greenland-The Americas")</f>
        <v>Greenland-The Americas</v>
      </c>
      <c r="Z945" s="14" t="str">
        <f>IFERROR(__xludf.DUMMYFUNCTION("""COMPUTED_VALUE"""),"The Americas")</f>
        <v>The Americas</v>
      </c>
      <c r="AA945" s="14" t="str">
        <f>IFERROR(__xludf.DUMMYFUNCTION("""COMPUTED_VALUE"""),"2007")</f>
        <v>2007</v>
      </c>
      <c r="AB945" s="15" t="str">
        <f>IFERROR(__xludf.DUMMYFUNCTION("ARRAYFORMULA(VLOOKUP(A945,IMPORTRANGE(""https://docs.google.com/spreadsheets/d/1BuTWp7qHGjWhqrnf-OmePP568O4A5Am9ttzvVdP67zw/edit#gid=1931367683"" ,""ENERGY!$A$2:$F$2692""), {2,3,4,5,6},0))"),"The Americas")</f>
        <v>The Americas</v>
      </c>
      <c r="AC945" s="14" t="str">
        <f>IFERROR(__xludf.DUMMYFUNCTION("""COMPUTED_VALUE"""),"Greenland-The Americas")</f>
        <v>Greenland-The Americas</v>
      </c>
      <c r="AD945" s="14" t="str">
        <f>IFERROR(__xludf.DUMMYFUNCTION("""COMPUTED_VALUE"""),"2007")</f>
        <v>2007</v>
      </c>
      <c r="AE945" s="14"/>
      <c r="AF945" s="14">
        <f>IFERROR(__xludf.DUMMYFUNCTION("""COMPUTED_VALUE"""),609.0)</f>
        <v>609</v>
      </c>
    </row>
    <row r="946">
      <c r="A946" s="12">
        <v>945.0</v>
      </c>
      <c r="B946" s="12" t="s">
        <v>151</v>
      </c>
      <c r="C946" s="5" t="s">
        <v>84</v>
      </c>
      <c r="D946" s="8"/>
      <c r="E946" s="8"/>
      <c r="F946" s="8"/>
      <c r="G946" s="8"/>
      <c r="H946" s="11">
        <v>0.628</v>
      </c>
      <c r="I946" s="11">
        <v>0.985</v>
      </c>
      <c r="J946" s="9" t="s">
        <v>69</v>
      </c>
      <c r="K946" s="14" t="str">
        <f>IFERROR(__xludf.DUMMYFUNCTION("ARRAYFORMULA(VLOOKUP(A946,IMPORTRANGE(""https://docs.google.com/spreadsheets/d/1BuTWp7qHGjWhqrnf-OmePP568O4A5Am9ttzvVdP67zw/edit#gid=1603210130"", ""TOURISM!$A$2:$F$2692""), {2,3,4,5,6},0))"),"The Americas")</f>
        <v>The Americas</v>
      </c>
      <c r="L946" s="14"/>
      <c r="M946" s="14" t="str">
        <f>IFERROR(__xludf.DUMMYFUNCTION("""COMPUTED_VALUE"""),"Greenland-The Americas")</f>
        <v>Greenland-The Americas</v>
      </c>
      <c r="N946" s="14" t="str">
        <f>IFERROR(__xludf.DUMMYFUNCTION("""COMPUTED_VALUE"""),"2008")</f>
        <v>2008</v>
      </c>
      <c r="O946" s="14"/>
      <c r="P946" s="15">
        <f>IFERROR(__xludf.DUMMYFUNCTION("ARRAYFORMULA(VLOOKUP(A946,IMPORTRANGE(""https://docs.google.com/spreadsheets/d/1BuTWp7qHGjWhqrnf-OmePP568O4A5Am9ttzvVdP67zw/edit#gid=771602874"" ,""HUMAN RESOURCES!$A$2:$M$2692""), {2,3,4,5,6,7,8,9,10,11,12,13},0))"),0.015)</f>
        <v>0.015</v>
      </c>
      <c r="Q946" s="14"/>
      <c r="R946" s="14">
        <f>IFERROR(__xludf.DUMMYFUNCTION("""COMPUTED_VALUE"""),73.0)</f>
        <v>73</v>
      </c>
      <c r="S946" s="14">
        <f>IFERROR(__xludf.DUMMYFUNCTION("""COMPUTED_VALUE"""),68.0)</f>
        <v>68</v>
      </c>
      <c r="T946" s="14"/>
      <c r="U946" s="14"/>
      <c r="V946" s="14"/>
      <c r="W946" s="14">
        <f>IFERROR(__xludf.DUMMYFUNCTION("""COMPUTED_VALUE"""),56328.0)</f>
        <v>56328</v>
      </c>
      <c r="X946" s="14">
        <f>IFERROR(__xludf.DUMMYFUNCTION("""COMPUTED_VALUE"""),0.838)</f>
        <v>0.838</v>
      </c>
      <c r="Y946" s="14" t="str">
        <f>IFERROR(__xludf.DUMMYFUNCTION("""COMPUTED_VALUE"""),"Greenland-The Americas")</f>
        <v>Greenland-The Americas</v>
      </c>
      <c r="Z946" s="14" t="str">
        <f>IFERROR(__xludf.DUMMYFUNCTION("""COMPUTED_VALUE"""),"The Americas")</f>
        <v>The Americas</v>
      </c>
      <c r="AA946" s="14" t="str">
        <f>IFERROR(__xludf.DUMMYFUNCTION("""COMPUTED_VALUE"""),"2008")</f>
        <v>2008</v>
      </c>
      <c r="AB946" s="15" t="str">
        <f>IFERROR(__xludf.DUMMYFUNCTION("ARRAYFORMULA(VLOOKUP(A946,IMPORTRANGE(""https://docs.google.com/spreadsheets/d/1BuTWp7qHGjWhqrnf-OmePP568O4A5Am9ttzvVdP67zw/edit#gid=1931367683"" ,""ENERGY!$A$2:$F$2692""), {2,3,4,5,6},0))"),"The Americas")</f>
        <v>The Americas</v>
      </c>
      <c r="AC946" s="14" t="str">
        <f>IFERROR(__xludf.DUMMYFUNCTION("""COMPUTED_VALUE"""),"Greenland-The Americas")</f>
        <v>Greenland-The Americas</v>
      </c>
      <c r="AD946" s="14" t="str">
        <f>IFERROR(__xludf.DUMMYFUNCTION("""COMPUTED_VALUE"""),"2005")</f>
        <v>2005</v>
      </c>
      <c r="AE946" s="14"/>
      <c r="AF946" s="14">
        <f>IFERROR(__xludf.DUMMYFUNCTION("""COMPUTED_VALUE"""),583.0)</f>
        <v>583</v>
      </c>
    </row>
    <row r="947">
      <c r="A947" s="12">
        <v>946.0</v>
      </c>
      <c r="B947" s="12" t="s">
        <v>151</v>
      </c>
      <c r="C947" s="5" t="s">
        <v>84</v>
      </c>
      <c r="D947" s="8"/>
      <c r="E947" s="8"/>
      <c r="F947" s="8"/>
      <c r="G947" s="8"/>
      <c r="H947" s="11">
        <v>0.628</v>
      </c>
      <c r="I947" s="11">
        <v>0.945</v>
      </c>
      <c r="J947" s="9" t="s">
        <v>70</v>
      </c>
      <c r="K947" s="14" t="str">
        <f>IFERROR(__xludf.DUMMYFUNCTION("ARRAYFORMULA(VLOOKUP(A947,IMPORTRANGE(""https://docs.google.com/spreadsheets/d/1BuTWp7qHGjWhqrnf-OmePP568O4A5Am9ttzvVdP67zw/edit#gid=1603210130"", ""TOURISM!$A$2:$F$2692""), {2,3,4,5,6},0))"),"The Americas")</f>
        <v>The Americas</v>
      </c>
      <c r="L947" s="14"/>
      <c r="M947" s="14" t="str">
        <f>IFERROR(__xludf.DUMMYFUNCTION("""COMPUTED_VALUE"""),"Greenland-The Americas")</f>
        <v>Greenland-The Americas</v>
      </c>
      <c r="N947" s="14" t="str">
        <f>IFERROR(__xludf.DUMMYFUNCTION("""COMPUTED_VALUE"""),"2009")</f>
        <v>2009</v>
      </c>
      <c r="O947" s="14"/>
      <c r="P947" s="15">
        <f>IFERROR(__xludf.DUMMYFUNCTION("ARRAYFORMULA(VLOOKUP(A947,IMPORTRANGE(""https://docs.google.com/spreadsheets/d/1BuTWp7qHGjWhqrnf-OmePP568O4A5Am9ttzvVdP67zw/edit#gid=771602874"" ,""HUMAN RESOURCES!$A$2:$M$2692""), {2,3,4,5,6,7,8,9,10,11,12,13},0))"),0.016)</f>
        <v>0.016</v>
      </c>
      <c r="Q947" s="14"/>
      <c r="R947" s="14">
        <f>IFERROR(__xludf.DUMMYFUNCTION("""COMPUTED_VALUE"""),73.0)</f>
        <v>73</v>
      </c>
      <c r="S947" s="14">
        <f>IFERROR(__xludf.DUMMYFUNCTION("""COMPUTED_VALUE"""),68.0)</f>
        <v>68</v>
      </c>
      <c r="T947" s="14"/>
      <c r="U947" s="14"/>
      <c r="V947" s="14"/>
      <c r="W947" s="14">
        <f>IFERROR(__xludf.DUMMYFUNCTION("""COMPUTED_VALUE"""),56323.0)</f>
        <v>56323</v>
      </c>
      <c r="X947" s="14">
        <f>IFERROR(__xludf.DUMMYFUNCTION("""COMPUTED_VALUE"""),0.841)</f>
        <v>0.841</v>
      </c>
      <c r="Y947" s="14" t="str">
        <f>IFERROR(__xludf.DUMMYFUNCTION("""COMPUTED_VALUE"""),"Greenland-The Americas")</f>
        <v>Greenland-The Americas</v>
      </c>
      <c r="Z947" s="14" t="str">
        <f>IFERROR(__xludf.DUMMYFUNCTION("""COMPUTED_VALUE"""),"The Americas")</f>
        <v>The Americas</v>
      </c>
      <c r="AA947" s="14" t="str">
        <f>IFERROR(__xludf.DUMMYFUNCTION("""COMPUTED_VALUE"""),"2009")</f>
        <v>2009</v>
      </c>
      <c r="AB947" s="15" t="str">
        <f>IFERROR(__xludf.DUMMYFUNCTION("ARRAYFORMULA(VLOOKUP(A947,IMPORTRANGE(""https://docs.google.com/spreadsheets/d/1BuTWp7qHGjWhqrnf-OmePP568O4A5Am9ttzvVdP67zw/edit#gid=1931367683"" ,""ENERGY!$A$2:$F$2692""), {2,3,4,5,6},0))"),"The Americas")</f>
        <v>The Americas</v>
      </c>
      <c r="AC947" s="14" t="str">
        <f>IFERROR(__xludf.DUMMYFUNCTION("""COMPUTED_VALUE"""),"Greenland-The Americas")</f>
        <v>Greenland-The Americas</v>
      </c>
      <c r="AD947" s="14" t="str">
        <f>IFERROR(__xludf.DUMMYFUNCTION("""COMPUTED_VALUE"""),"2009")</f>
        <v>2009</v>
      </c>
      <c r="AE947" s="14"/>
      <c r="AF947" s="14">
        <f>IFERROR(__xludf.DUMMYFUNCTION("""COMPUTED_VALUE"""),532.0)</f>
        <v>532</v>
      </c>
    </row>
    <row r="948">
      <c r="A948" s="12">
        <v>947.0</v>
      </c>
      <c r="B948" s="12" t="s">
        <v>151</v>
      </c>
      <c r="C948" s="5" t="s">
        <v>84</v>
      </c>
      <c r="D948" s="8"/>
      <c r="E948" s="8"/>
      <c r="F948" s="8"/>
      <c r="G948" s="8"/>
      <c r="H948" s="11">
        <v>0.63</v>
      </c>
      <c r="I948" s="11">
        <v>1.014</v>
      </c>
      <c r="J948" s="9" t="s">
        <v>71</v>
      </c>
      <c r="K948" s="14" t="str">
        <f>IFERROR(__xludf.DUMMYFUNCTION("ARRAYFORMULA(VLOOKUP(A948,IMPORTRANGE(""https://docs.google.com/spreadsheets/d/1BuTWp7qHGjWhqrnf-OmePP568O4A5Am9ttzvVdP67zw/edit#gid=1603210130"", ""TOURISM!$A$2:$F$2692""), {2,3,4,5,6},0))"),"The Americas")</f>
        <v>The Americas</v>
      </c>
      <c r="L948" s="14"/>
      <c r="M948" s="14" t="str">
        <f>IFERROR(__xludf.DUMMYFUNCTION("""COMPUTED_VALUE"""),"Greenland-The Americas")</f>
        <v>Greenland-The Americas</v>
      </c>
      <c r="N948" s="14" t="str">
        <f>IFERROR(__xludf.DUMMYFUNCTION("""COMPUTED_VALUE"""),"2010")</f>
        <v>2010</v>
      </c>
      <c r="O948" s="14"/>
      <c r="P948" s="15">
        <f>IFERROR(__xludf.DUMMYFUNCTION("ARRAYFORMULA(VLOOKUP(A948,IMPORTRANGE(""https://docs.google.com/spreadsheets/d/1BuTWp7qHGjWhqrnf-OmePP568O4A5Am9ttzvVdP67zw/edit#gid=771602874"" ,""HUMAN RESOURCES!$A$2:$M$2692""), {2,3,4,5,6,7,8,9,10,11,12,13},0))"),0.015)</f>
        <v>0.015</v>
      </c>
      <c r="Q948" s="14"/>
      <c r="R948" s="14">
        <f>IFERROR(__xludf.DUMMYFUNCTION("""COMPUTED_VALUE"""),73.0)</f>
        <v>73</v>
      </c>
      <c r="S948" s="14">
        <f>IFERROR(__xludf.DUMMYFUNCTION("""COMPUTED_VALUE"""),69.0)</f>
        <v>69</v>
      </c>
      <c r="T948" s="14"/>
      <c r="U948" s="14"/>
      <c r="V948" s="14"/>
      <c r="W948" s="14">
        <f>IFERROR(__xludf.DUMMYFUNCTION("""COMPUTED_VALUE"""),56905.0)</f>
        <v>56905</v>
      </c>
      <c r="X948" s="14">
        <f>IFERROR(__xludf.DUMMYFUNCTION("""COMPUTED_VALUE"""),0.844)</f>
        <v>0.844</v>
      </c>
      <c r="Y948" s="14" t="str">
        <f>IFERROR(__xludf.DUMMYFUNCTION("""COMPUTED_VALUE"""),"Greenland-The Americas")</f>
        <v>Greenland-The Americas</v>
      </c>
      <c r="Z948" s="14" t="str">
        <f>IFERROR(__xludf.DUMMYFUNCTION("""COMPUTED_VALUE"""),"The Americas")</f>
        <v>The Americas</v>
      </c>
      <c r="AA948" s="14" t="str">
        <f>IFERROR(__xludf.DUMMYFUNCTION("""COMPUTED_VALUE"""),"2010")</f>
        <v>2010</v>
      </c>
      <c r="AB948" s="15" t="str">
        <f>IFERROR(__xludf.DUMMYFUNCTION("ARRAYFORMULA(VLOOKUP(A948,IMPORTRANGE(""https://docs.google.com/spreadsheets/d/1BuTWp7qHGjWhqrnf-OmePP568O4A5Am9ttzvVdP67zw/edit#gid=1931367683"" ,""ENERGY!$A$2:$F$2692""), {2,3,4,5,6},0))"),"The Americas")</f>
        <v>The Americas</v>
      </c>
      <c r="AC948" s="14" t="str">
        <f>IFERROR(__xludf.DUMMYFUNCTION("""COMPUTED_VALUE"""),"Greenland-The Americas")</f>
        <v>Greenland-The Americas</v>
      </c>
      <c r="AD948" s="14" t="str">
        <f>IFERROR(__xludf.DUMMYFUNCTION("""COMPUTED_VALUE"""),"2009")</f>
        <v>2009</v>
      </c>
      <c r="AE948" s="14"/>
      <c r="AF948" s="14">
        <f>IFERROR(__xludf.DUMMYFUNCTION("""COMPUTED_VALUE"""),539.0)</f>
        <v>539</v>
      </c>
    </row>
    <row r="949">
      <c r="A949" s="12">
        <v>948.0</v>
      </c>
      <c r="B949" s="12" t="s">
        <v>151</v>
      </c>
      <c r="C949" s="5" t="s">
        <v>84</v>
      </c>
      <c r="D949" s="8"/>
      <c r="E949" s="8"/>
      <c r="F949" s="8"/>
      <c r="G949" s="8"/>
      <c r="H949" s="11">
        <v>0.64</v>
      </c>
      <c r="I949" s="11">
        <v>1.037</v>
      </c>
      <c r="J949" s="9" t="s">
        <v>72</v>
      </c>
      <c r="K949" s="14" t="str">
        <f>IFERROR(__xludf.DUMMYFUNCTION("ARRAYFORMULA(VLOOKUP(A949,IMPORTRANGE(""https://docs.google.com/spreadsheets/d/1BuTWp7qHGjWhqrnf-OmePP568O4A5Am9ttzvVdP67zw/edit#gid=1603210130"", ""TOURISM!$A$2:$F$2692""), {2,3,4,5,6},0))"),"The Americas")</f>
        <v>The Americas</v>
      </c>
      <c r="L949" s="14"/>
      <c r="M949" s="14" t="str">
        <f>IFERROR(__xludf.DUMMYFUNCTION("""COMPUTED_VALUE"""),"Greenland-The Americas")</f>
        <v>Greenland-The Americas</v>
      </c>
      <c r="N949" s="14" t="str">
        <f>IFERROR(__xludf.DUMMYFUNCTION("""COMPUTED_VALUE"""),"2011")</f>
        <v>2011</v>
      </c>
      <c r="O949" s="14"/>
      <c r="P949" s="15">
        <f>IFERROR(__xludf.DUMMYFUNCTION("ARRAYFORMULA(VLOOKUP(A949,IMPORTRANGE(""https://docs.google.com/spreadsheets/d/1BuTWp7qHGjWhqrnf-OmePP568O4A5Am9ttzvVdP67zw/edit#gid=771602874"" ,""HUMAN RESOURCES!$A$2:$M$2692""), {2,3,4,5,6,7,8,9,10,11,12,13},0))"),0.014)</f>
        <v>0.014</v>
      </c>
      <c r="Q949" s="14"/>
      <c r="R949" s="14"/>
      <c r="S949" s="14"/>
      <c r="T949" s="14"/>
      <c r="U949" s="14"/>
      <c r="V949" s="14"/>
      <c r="W949" s="14">
        <f>IFERROR(__xludf.DUMMYFUNCTION("""COMPUTED_VALUE"""),56890.0)</f>
        <v>56890</v>
      </c>
      <c r="X949" s="14">
        <f>IFERROR(__xludf.DUMMYFUNCTION("""COMPUTED_VALUE"""),0.848)</f>
        <v>0.848</v>
      </c>
      <c r="Y949" s="14" t="str">
        <f>IFERROR(__xludf.DUMMYFUNCTION("""COMPUTED_VALUE"""),"Greenland-The Americas")</f>
        <v>Greenland-The Americas</v>
      </c>
      <c r="Z949" s="14" t="str">
        <f>IFERROR(__xludf.DUMMYFUNCTION("""COMPUTED_VALUE"""),"The Americas")</f>
        <v>The Americas</v>
      </c>
      <c r="AA949" s="14" t="str">
        <f>IFERROR(__xludf.DUMMYFUNCTION("""COMPUTED_VALUE"""),"2011")</f>
        <v>2011</v>
      </c>
      <c r="AB949" s="15" t="str">
        <f>IFERROR(__xludf.DUMMYFUNCTION("ARRAYFORMULA(VLOOKUP(A949,IMPORTRANGE(""https://docs.google.com/spreadsheets/d/1BuTWp7qHGjWhqrnf-OmePP568O4A5Am9ttzvVdP67zw/edit#gid=1931367683"" ,""ENERGY!$A$2:$F$2692""), {2,3,4,5,6},0))"),"The Americas")</f>
        <v>The Americas</v>
      </c>
      <c r="AC949" s="14" t="str">
        <f>IFERROR(__xludf.DUMMYFUNCTION("""COMPUTED_VALUE"""),"Greenland-The Americas")</f>
        <v>Greenland-The Americas</v>
      </c>
      <c r="AD949" s="14" t="str">
        <f>IFERROR(__xludf.DUMMYFUNCTION("""COMPUTED_VALUE"""),"2005")</f>
        <v>2005</v>
      </c>
      <c r="AE949" s="14"/>
      <c r="AF949" s="14">
        <f>IFERROR(__xludf.DUMMYFUNCTION("""COMPUTED_VALUE"""),539.0)</f>
        <v>539</v>
      </c>
    </row>
    <row r="950">
      <c r="A950" s="12">
        <v>949.0</v>
      </c>
      <c r="B950" s="12" t="s">
        <v>151</v>
      </c>
      <c r="C950" s="5" t="s">
        <v>84</v>
      </c>
      <c r="D950" s="8"/>
      <c r="E950" s="8"/>
      <c r="F950" s="8"/>
      <c r="G950" s="8"/>
      <c r="H950" s="11">
        <v>0.649</v>
      </c>
      <c r="I950" s="11">
        <v>1.047</v>
      </c>
      <c r="J950" s="9" t="s">
        <v>73</v>
      </c>
      <c r="K950" s="14" t="str">
        <f>IFERROR(__xludf.DUMMYFUNCTION("ARRAYFORMULA(VLOOKUP(A950,IMPORTRANGE(""https://docs.google.com/spreadsheets/d/1BuTWp7qHGjWhqrnf-OmePP568O4A5Am9ttzvVdP67zw/edit#gid=1603210130"", ""TOURISM!$A$2:$F$2692""), {2,3,4,5,6},0))"),"The Americas")</f>
        <v>The Americas</v>
      </c>
      <c r="L950" s="14"/>
      <c r="M950" s="14" t="str">
        <f>IFERROR(__xludf.DUMMYFUNCTION("""COMPUTED_VALUE"""),"Greenland-The Americas")</f>
        <v>Greenland-The Americas</v>
      </c>
      <c r="N950" s="14" t="str">
        <f>IFERROR(__xludf.DUMMYFUNCTION("""COMPUTED_VALUE"""),"2012")</f>
        <v>2012</v>
      </c>
      <c r="O950" s="14"/>
      <c r="P950" s="15">
        <f>IFERROR(__xludf.DUMMYFUNCTION("ARRAYFORMULA(VLOOKUP(A950,IMPORTRANGE(""https://docs.google.com/spreadsheets/d/1BuTWp7qHGjWhqrnf-OmePP568O4A5Am9ttzvVdP67zw/edit#gid=771602874"" ,""HUMAN RESOURCES!$A$2:$M$2692""), {2,3,4,5,6,7,8,9,10,11,12,13},0))"),0.014)</f>
        <v>0.014</v>
      </c>
      <c r="Q950" s="14"/>
      <c r="R950" s="14"/>
      <c r="S950" s="14"/>
      <c r="T950" s="14"/>
      <c r="U950" s="14"/>
      <c r="V950" s="14"/>
      <c r="W950" s="14">
        <f>IFERROR(__xludf.DUMMYFUNCTION("""COMPUTED_VALUE"""),56810.0)</f>
        <v>56810</v>
      </c>
      <c r="X950" s="14">
        <f>IFERROR(__xludf.DUMMYFUNCTION("""COMPUTED_VALUE"""),0.852)</f>
        <v>0.852</v>
      </c>
      <c r="Y950" s="14" t="str">
        <f>IFERROR(__xludf.DUMMYFUNCTION("""COMPUTED_VALUE"""),"Greenland-The Americas")</f>
        <v>Greenland-The Americas</v>
      </c>
      <c r="Z950" s="14" t="str">
        <f>IFERROR(__xludf.DUMMYFUNCTION("""COMPUTED_VALUE"""),"The Americas")</f>
        <v>The Americas</v>
      </c>
      <c r="AA950" s="14" t="str">
        <f>IFERROR(__xludf.DUMMYFUNCTION("""COMPUTED_VALUE"""),"2012")</f>
        <v>2012</v>
      </c>
      <c r="AB950" s="15" t="str">
        <f>IFERROR(__xludf.DUMMYFUNCTION("ARRAYFORMULA(VLOOKUP(A950,IMPORTRANGE(""https://docs.google.com/spreadsheets/d/1BuTWp7qHGjWhqrnf-OmePP568O4A5Am9ttzvVdP67zw/edit#gid=1931367683"" ,""ENERGY!$A$2:$F$2692""), {2,3,4,5,6},0))"),"The Americas")</f>
        <v>The Americas</v>
      </c>
      <c r="AC950" s="14" t="str">
        <f>IFERROR(__xludf.DUMMYFUNCTION("""COMPUTED_VALUE"""),"Greenland-The Americas")</f>
        <v>Greenland-The Americas</v>
      </c>
      <c r="AD950" s="14" t="str">
        <f>IFERROR(__xludf.DUMMYFUNCTION("""COMPUTED_VALUE"""),"2009")</f>
        <v>2009</v>
      </c>
      <c r="AE950" s="14"/>
      <c r="AF950" s="14">
        <f>IFERROR(__xludf.DUMMYFUNCTION("""COMPUTED_VALUE"""),532.0)</f>
        <v>532</v>
      </c>
    </row>
    <row r="951">
      <c r="A951" s="12">
        <v>950.0</v>
      </c>
      <c r="B951" s="12" t="s">
        <v>152</v>
      </c>
      <c r="C951" s="5" t="s">
        <v>84</v>
      </c>
      <c r="D951" s="8"/>
      <c r="E951" s="8"/>
      <c r="F951" s="8"/>
      <c r="G951" s="8"/>
      <c r="H951" s="11">
        <v>0.041</v>
      </c>
      <c r="I951" s="11">
        <v>0.042</v>
      </c>
      <c r="J951" s="9" t="s">
        <v>60</v>
      </c>
      <c r="K951" s="14" t="str">
        <f>IFERROR(__xludf.DUMMYFUNCTION("ARRAYFORMULA(VLOOKUP(A951,IMPORTRANGE(""https://docs.google.com/spreadsheets/d/1BuTWp7qHGjWhqrnf-OmePP568O4A5Am9ttzvVdP67zw/edit#gid=1603210130"", ""TOURISM!$A$2:$F$2692""), {2,3,4,5,6},0))"),"The Americas")</f>
        <v>The Americas</v>
      </c>
      <c r="L951" s="14">
        <f>IFERROR(__xludf.DUMMYFUNCTION("""COMPUTED_VALUE"""),9.3E7)</f>
        <v>93000000</v>
      </c>
      <c r="M951" s="14" t="str">
        <f>IFERROR(__xludf.DUMMYFUNCTION("""COMPUTED_VALUE"""),"Grenada-The Americas")</f>
        <v>Grenada-The Americas</v>
      </c>
      <c r="N951" s="14" t="str">
        <f>IFERROR(__xludf.DUMMYFUNCTION("""COMPUTED_VALUE"""),"2000")</f>
        <v>2000</v>
      </c>
      <c r="O951" s="14">
        <f>IFERROR(__xludf.DUMMYFUNCTION("""COMPUTED_VALUE"""),8000000.0)</f>
        <v>8000000</v>
      </c>
      <c r="P951" s="15">
        <f>IFERROR(__xludf.DUMMYFUNCTION("ARRAYFORMULA(VLOOKUP(A951,IMPORTRANGE(""https://docs.google.com/spreadsheets/d/1BuTWp7qHGjWhqrnf-OmePP568O4A5Am9ttzvVdP67zw/edit#gid=771602874"" ,""HUMAN RESOURCES!$A$2:$M$2692""), {2,3,4,5,6,7,8,9,10,11,12,13},0))"),0.019)</f>
        <v>0.019</v>
      </c>
      <c r="Q951" s="14">
        <f>IFERROR(__xludf.DUMMYFUNCTION("""COMPUTED_VALUE"""),0.014)</f>
        <v>0.014</v>
      </c>
      <c r="R951" s="14">
        <f>IFERROR(__xludf.DUMMYFUNCTION("""COMPUTED_VALUE"""),73.0)</f>
        <v>73</v>
      </c>
      <c r="S951" s="14">
        <f>IFERROR(__xludf.DUMMYFUNCTION("""COMPUTED_VALUE"""),68.0)</f>
        <v>68</v>
      </c>
      <c r="T951" s="14">
        <f>IFERROR(__xludf.DUMMYFUNCTION("""COMPUTED_VALUE"""),0.35)</f>
        <v>0.35</v>
      </c>
      <c r="U951" s="14">
        <f>IFERROR(__xludf.DUMMYFUNCTION("""COMPUTED_VALUE"""),0.572)</f>
        <v>0.572</v>
      </c>
      <c r="V951" s="14">
        <f>IFERROR(__xludf.DUMMYFUNCTION("""COMPUTED_VALUE"""),0.078)</f>
        <v>0.078</v>
      </c>
      <c r="W951" s="14">
        <f>IFERROR(__xludf.DUMMYFUNCTION("""COMPUTED_VALUE"""),101620.0)</f>
        <v>101620</v>
      </c>
      <c r="X951" s="14">
        <f>IFERROR(__xludf.DUMMYFUNCTION("""COMPUTED_VALUE"""),0.359)</f>
        <v>0.359</v>
      </c>
      <c r="Y951" s="14" t="str">
        <f>IFERROR(__xludf.DUMMYFUNCTION("""COMPUTED_VALUE"""),"Grenada-The Americas")</f>
        <v>Grenada-The Americas</v>
      </c>
      <c r="Z951" s="14" t="str">
        <f>IFERROR(__xludf.DUMMYFUNCTION("""COMPUTED_VALUE"""),"The Americas")</f>
        <v>The Americas</v>
      </c>
      <c r="AA951" s="14" t="str">
        <f>IFERROR(__xludf.DUMMYFUNCTION("""COMPUTED_VALUE"""),"2000")</f>
        <v>2000</v>
      </c>
      <c r="AB951" s="15" t="str">
        <f>IFERROR(__xludf.DUMMYFUNCTION("ARRAYFORMULA(VLOOKUP(A951,IMPORTRANGE(""https://docs.google.com/spreadsheets/d/1BuTWp7qHGjWhqrnf-OmePP568O4A5Am9ttzvVdP67zw/edit#gid=1931367683"" ,""ENERGY!$A$2:$F$2692""), {2,3,4,5,6},0))"),"The Americas")</f>
        <v>The Americas</v>
      </c>
      <c r="AC951" s="14" t="str">
        <f>IFERROR(__xludf.DUMMYFUNCTION("""COMPUTED_VALUE"""),"Grenada-The Americas")</f>
        <v>Grenada-The Americas</v>
      </c>
      <c r="AD951" s="14" t="str">
        <f>IFERROR(__xludf.DUMMYFUNCTION("""COMPUTED_VALUE"""),"2000")</f>
        <v>2000</v>
      </c>
      <c r="AE951" s="14"/>
      <c r="AF951" s="14"/>
    </row>
    <row r="952">
      <c r="A952" s="12">
        <v>951.0</v>
      </c>
      <c r="B952" s="12" t="s">
        <v>152</v>
      </c>
      <c r="C952" s="5" t="s">
        <v>84</v>
      </c>
      <c r="D952" s="8"/>
      <c r="E952" s="8"/>
      <c r="F952" s="8"/>
      <c r="G952" s="8"/>
      <c r="H952" s="11">
        <v>0.051</v>
      </c>
      <c r="I952" s="11">
        <v>0.063</v>
      </c>
      <c r="J952" s="9" t="s">
        <v>62</v>
      </c>
      <c r="K952" s="14" t="str">
        <f>IFERROR(__xludf.DUMMYFUNCTION("ARRAYFORMULA(VLOOKUP(A952,IMPORTRANGE(""https://docs.google.com/spreadsheets/d/1BuTWp7qHGjWhqrnf-OmePP568O4A5Am9ttzvVdP67zw/edit#gid=1603210130"", ""TOURISM!$A$2:$F$2692""), {2,3,4,5,6},0))"),"The Americas")</f>
        <v>The Americas</v>
      </c>
      <c r="L952" s="14">
        <f>IFERROR(__xludf.DUMMYFUNCTION("""COMPUTED_VALUE"""),8.3E7)</f>
        <v>83000000</v>
      </c>
      <c r="M952" s="14" t="str">
        <f>IFERROR(__xludf.DUMMYFUNCTION("""COMPUTED_VALUE"""),"Grenada-The Americas")</f>
        <v>Grenada-The Americas</v>
      </c>
      <c r="N952" s="14" t="str">
        <f>IFERROR(__xludf.DUMMYFUNCTION("""COMPUTED_VALUE"""),"2001")</f>
        <v>2001</v>
      </c>
      <c r="O952" s="14">
        <f>IFERROR(__xludf.DUMMYFUNCTION("""COMPUTED_VALUE"""),8000000.0)</f>
        <v>8000000</v>
      </c>
      <c r="P952" s="15">
        <f>IFERROR(__xludf.DUMMYFUNCTION("ARRAYFORMULA(VLOOKUP(A952,IMPORTRANGE(""https://docs.google.com/spreadsheets/d/1BuTWp7qHGjWhqrnf-OmePP568O4A5Am9ttzvVdP67zw/edit#gid=771602874"" ,""HUMAN RESOURCES!$A$2:$M$2692""), {2,3,4,5,6,7,8,9,10,11,12,13},0))"),0.019)</f>
        <v>0.019</v>
      </c>
      <c r="Q952" s="14">
        <f>IFERROR(__xludf.DUMMYFUNCTION("""COMPUTED_VALUE"""),0.013)</f>
        <v>0.013</v>
      </c>
      <c r="R952" s="14">
        <f>IFERROR(__xludf.DUMMYFUNCTION("""COMPUTED_VALUE"""),73.0)</f>
        <v>73</v>
      </c>
      <c r="S952" s="14">
        <f>IFERROR(__xludf.DUMMYFUNCTION("""COMPUTED_VALUE"""),68.0)</f>
        <v>68</v>
      </c>
      <c r="T952" s="14">
        <f>IFERROR(__xludf.DUMMYFUNCTION("""COMPUTED_VALUE"""),0.341)</f>
        <v>0.341</v>
      </c>
      <c r="U952" s="14">
        <f>IFERROR(__xludf.DUMMYFUNCTION("""COMPUTED_VALUE"""),0.582)</f>
        <v>0.582</v>
      </c>
      <c r="V952" s="14">
        <f>IFERROR(__xludf.DUMMYFUNCTION("""COMPUTED_VALUE"""),0.077)</f>
        <v>0.077</v>
      </c>
      <c r="W952" s="14">
        <f>IFERROR(__xludf.DUMMYFUNCTION("""COMPUTED_VALUE"""),101849.0)</f>
        <v>101849</v>
      </c>
      <c r="X952" s="14">
        <f>IFERROR(__xludf.DUMMYFUNCTION("""COMPUTED_VALUE"""),0.361)</f>
        <v>0.361</v>
      </c>
      <c r="Y952" s="14" t="str">
        <f>IFERROR(__xludf.DUMMYFUNCTION("""COMPUTED_VALUE"""),"Grenada-The Americas")</f>
        <v>Grenada-The Americas</v>
      </c>
      <c r="Z952" s="14" t="str">
        <f>IFERROR(__xludf.DUMMYFUNCTION("""COMPUTED_VALUE"""),"The Americas")</f>
        <v>The Americas</v>
      </c>
      <c r="AA952" s="14" t="str">
        <f>IFERROR(__xludf.DUMMYFUNCTION("""COMPUTED_VALUE"""),"2001")</f>
        <v>2001</v>
      </c>
      <c r="AB952" s="15" t="str">
        <f>IFERROR(__xludf.DUMMYFUNCTION("ARRAYFORMULA(VLOOKUP(A952,IMPORTRANGE(""https://docs.google.com/spreadsheets/d/1BuTWp7qHGjWhqrnf-OmePP568O4A5Am9ttzvVdP67zw/edit#gid=1931367683"" ,""ENERGY!$A$2:$F$2692""), {2,3,4,5,6},0))"),"The Americas")</f>
        <v>The Americas</v>
      </c>
      <c r="AC952" s="14" t="str">
        <f>IFERROR(__xludf.DUMMYFUNCTION("""COMPUTED_VALUE"""),"Grenada-The Americas")</f>
        <v>Grenada-The Americas</v>
      </c>
      <c r="AD952" s="14" t="str">
        <f>IFERROR(__xludf.DUMMYFUNCTION("""COMPUTED_VALUE"""),"2001")</f>
        <v>2001</v>
      </c>
      <c r="AE952" s="14"/>
      <c r="AF952" s="14"/>
    </row>
    <row r="953">
      <c r="A953" s="12">
        <v>952.0</v>
      </c>
      <c r="B953" s="12" t="s">
        <v>152</v>
      </c>
      <c r="C953" s="5" t="s">
        <v>84</v>
      </c>
      <c r="D953" s="8"/>
      <c r="E953" s="8"/>
      <c r="F953" s="8"/>
      <c r="G953" s="8"/>
      <c r="H953" s="11">
        <v>0.148</v>
      </c>
      <c r="I953" s="11">
        <v>0.074</v>
      </c>
      <c r="J953" s="9" t="s">
        <v>63</v>
      </c>
      <c r="K953" s="14" t="str">
        <f>IFERROR(__xludf.DUMMYFUNCTION("ARRAYFORMULA(VLOOKUP(A953,IMPORTRANGE(""https://docs.google.com/spreadsheets/d/1BuTWp7qHGjWhqrnf-OmePP568O4A5Am9ttzvVdP67zw/edit#gid=1603210130"", ""TOURISM!$A$2:$F$2692""), {2,3,4,5,6},0))"),"The Americas")</f>
        <v>The Americas</v>
      </c>
      <c r="L953" s="14">
        <f>IFERROR(__xludf.DUMMYFUNCTION("""COMPUTED_VALUE"""),9.1E7)</f>
        <v>91000000</v>
      </c>
      <c r="M953" s="14" t="str">
        <f>IFERROR(__xludf.DUMMYFUNCTION("""COMPUTED_VALUE"""),"Grenada-The Americas")</f>
        <v>Grenada-The Americas</v>
      </c>
      <c r="N953" s="14" t="str">
        <f>IFERROR(__xludf.DUMMYFUNCTION("""COMPUTED_VALUE"""),"2002")</f>
        <v>2002</v>
      </c>
      <c r="O953" s="14">
        <f>IFERROR(__xludf.DUMMYFUNCTION("""COMPUTED_VALUE"""),8000000.0)</f>
        <v>8000000</v>
      </c>
      <c r="P953" s="15">
        <f>IFERROR(__xludf.DUMMYFUNCTION("ARRAYFORMULA(VLOOKUP(A953,IMPORTRANGE(""https://docs.google.com/spreadsheets/d/1BuTWp7qHGjWhqrnf-OmePP568O4A5Am9ttzvVdP67zw/edit#gid=771602874"" ,""HUMAN RESOURCES!$A$2:$M$2692""), {2,3,4,5,6,7,8,9,10,11,12,13},0))"),0.019)</f>
        <v>0.019</v>
      </c>
      <c r="Q953" s="14">
        <f>IFERROR(__xludf.DUMMYFUNCTION("""COMPUTED_VALUE"""),0.013)</f>
        <v>0.013</v>
      </c>
      <c r="R953" s="14">
        <f>IFERROR(__xludf.DUMMYFUNCTION("""COMPUTED_VALUE"""),73.0)</f>
        <v>73</v>
      </c>
      <c r="S953" s="14">
        <f>IFERROR(__xludf.DUMMYFUNCTION("""COMPUTED_VALUE"""),68.0)</f>
        <v>68</v>
      </c>
      <c r="T953" s="14">
        <f>IFERROR(__xludf.DUMMYFUNCTION("""COMPUTED_VALUE"""),0.33)</f>
        <v>0.33</v>
      </c>
      <c r="U953" s="14">
        <f>IFERROR(__xludf.DUMMYFUNCTION("""COMPUTED_VALUE"""),0.592)</f>
        <v>0.592</v>
      </c>
      <c r="V953" s="14">
        <f>IFERROR(__xludf.DUMMYFUNCTION("""COMPUTED_VALUE"""),0.077)</f>
        <v>0.077</v>
      </c>
      <c r="W953" s="14">
        <f>IFERROR(__xludf.DUMMYFUNCTION("""COMPUTED_VALUE"""),102099.0)</f>
        <v>102099</v>
      </c>
      <c r="X953" s="14">
        <f>IFERROR(__xludf.DUMMYFUNCTION("""COMPUTED_VALUE"""),0.361)</f>
        <v>0.361</v>
      </c>
      <c r="Y953" s="14" t="str">
        <f>IFERROR(__xludf.DUMMYFUNCTION("""COMPUTED_VALUE"""),"Grenada-The Americas")</f>
        <v>Grenada-The Americas</v>
      </c>
      <c r="Z953" s="14" t="str">
        <f>IFERROR(__xludf.DUMMYFUNCTION("""COMPUTED_VALUE"""),"The Americas")</f>
        <v>The Americas</v>
      </c>
      <c r="AA953" s="14" t="str">
        <f>IFERROR(__xludf.DUMMYFUNCTION("""COMPUTED_VALUE"""),"2002")</f>
        <v>2002</v>
      </c>
      <c r="AB953" s="15" t="str">
        <f>IFERROR(__xludf.DUMMYFUNCTION("ARRAYFORMULA(VLOOKUP(A953,IMPORTRANGE(""https://docs.google.com/spreadsheets/d/1BuTWp7qHGjWhqrnf-OmePP568O4A5Am9ttzvVdP67zw/edit#gid=1931367683"" ,""ENERGY!$A$2:$F$2692""), {2,3,4,5,6},0))"),"The Americas")</f>
        <v>The Americas</v>
      </c>
      <c r="AC953" s="14" t="str">
        <f>IFERROR(__xludf.DUMMYFUNCTION("""COMPUTED_VALUE"""),"Grenada-The Americas")</f>
        <v>Grenada-The Americas</v>
      </c>
      <c r="AD953" s="14" t="str">
        <f>IFERROR(__xludf.DUMMYFUNCTION("""COMPUTED_VALUE"""),"2002")</f>
        <v>2002</v>
      </c>
      <c r="AE953" s="14"/>
      <c r="AF953" s="14">
        <f>IFERROR(__xludf.DUMMYFUNCTION("""COMPUTED_VALUE"""),260.0)</f>
        <v>260</v>
      </c>
    </row>
    <row r="954">
      <c r="A954" s="12">
        <v>953.0</v>
      </c>
      <c r="B954" s="12" t="s">
        <v>152</v>
      </c>
      <c r="C954" s="5" t="s">
        <v>84</v>
      </c>
      <c r="D954" s="8"/>
      <c r="E954" s="8"/>
      <c r="F954" s="8"/>
      <c r="G954" s="8"/>
      <c r="H954" s="11">
        <v>0.186</v>
      </c>
      <c r="I954" s="11">
        <v>0.413</v>
      </c>
      <c r="J954" s="9" t="s">
        <v>64</v>
      </c>
      <c r="K954" s="14" t="str">
        <f>IFERROR(__xludf.DUMMYFUNCTION("ARRAYFORMULA(VLOOKUP(A954,IMPORTRANGE(""https://docs.google.com/spreadsheets/d/1BuTWp7qHGjWhqrnf-OmePP568O4A5Am9ttzvVdP67zw/edit#gid=1603210130"", ""TOURISM!$A$2:$F$2692""), {2,3,4,5,6},0))"),"The Americas")</f>
        <v>The Americas</v>
      </c>
      <c r="L954" s="14">
        <f>IFERROR(__xludf.DUMMYFUNCTION("""COMPUTED_VALUE"""),1.04E8)</f>
        <v>104000000</v>
      </c>
      <c r="M954" s="14" t="str">
        <f>IFERROR(__xludf.DUMMYFUNCTION("""COMPUTED_VALUE"""),"Grenada-The Americas")</f>
        <v>Grenada-The Americas</v>
      </c>
      <c r="N954" s="14" t="str">
        <f>IFERROR(__xludf.DUMMYFUNCTION("""COMPUTED_VALUE"""),"2003")</f>
        <v>2003</v>
      </c>
      <c r="O954" s="14">
        <f>IFERROR(__xludf.DUMMYFUNCTION("""COMPUTED_VALUE"""),8000000.0)</f>
        <v>8000000</v>
      </c>
      <c r="P954" s="15">
        <f>IFERROR(__xludf.DUMMYFUNCTION("ARRAYFORMULA(VLOOKUP(A954,IMPORTRANGE(""https://docs.google.com/spreadsheets/d/1BuTWp7qHGjWhqrnf-OmePP568O4A5Am9ttzvVdP67zw/edit#gid=771602874"" ,""HUMAN RESOURCES!$A$2:$M$2692""), {2,3,4,5,6,7,8,9,10,11,12,13},0))"),0.019)</f>
        <v>0.019</v>
      </c>
      <c r="Q954" s="14">
        <f>IFERROR(__xludf.DUMMYFUNCTION("""COMPUTED_VALUE"""),0.013)</f>
        <v>0.013</v>
      </c>
      <c r="R954" s="14">
        <f>IFERROR(__xludf.DUMMYFUNCTION("""COMPUTED_VALUE"""),73.0)</f>
        <v>73</v>
      </c>
      <c r="S954" s="14">
        <f>IFERROR(__xludf.DUMMYFUNCTION("""COMPUTED_VALUE"""),69.0)</f>
        <v>69</v>
      </c>
      <c r="T954" s="14">
        <f>IFERROR(__xludf.DUMMYFUNCTION("""COMPUTED_VALUE"""),0.319)</f>
        <v>0.319</v>
      </c>
      <c r="U954" s="14">
        <f>IFERROR(__xludf.DUMMYFUNCTION("""COMPUTED_VALUE"""),0.603)</f>
        <v>0.603</v>
      </c>
      <c r="V954" s="14">
        <f>IFERROR(__xludf.DUMMYFUNCTION("""COMPUTED_VALUE"""),0.077)</f>
        <v>0.077</v>
      </c>
      <c r="W954" s="14">
        <f>IFERROR(__xludf.DUMMYFUNCTION("""COMPUTED_VALUE"""),102369.0)</f>
        <v>102369</v>
      </c>
      <c r="X954" s="14">
        <f>IFERROR(__xludf.DUMMYFUNCTION("""COMPUTED_VALUE"""),0.36)</f>
        <v>0.36</v>
      </c>
      <c r="Y954" s="14" t="str">
        <f>IFERROR(__xludf.DUMMYFUNCTION("""COMPUTED_VALUE"""),"Grenada-The Americas")</f>
        <v>Grenada-The Americas</v>
      </c>
      <c r="Z954" s="14" t="str">
        <f>IFERROR(__xludf.DUMMYFUNCTION("""COMPUTED_VALUE"""),"The Americas")</f>
        <v>The Americas</v>
      </c>
      <c r="AA954" s="14" t="str">
        <f>IFERROR(__xludf.DUMMYFUNCTION("""COMPUTED_VALUE"""),"2003")</f>
        <v>2003</v>
      </c>
      <c r="AB954" s="15" t="str">
        <f>IFERROR(__xludf.DUMMYFUNCTION("ARRAYFORMULA(VLOOKUP(A954,IMPORTRANGE(""https://docs.google.com/spreadsheets/d/1BuTWp7qHGjWhqrnf-OmePP568O4A5Am9ttzvVdP67zw/edit#gid=1931367683"" ,""ENERGY!$A$2:$F$2692""), {2,3,4,5,6},0))"),"The Americas")</f>
        <v>The Americas</v>
      </c>
      <c r="AC954" s="14" t="str">
        <f>IFERROR(__xludf.DUMMYFUNCTION("""COMPUTED_VALUE"""),"Grenada-The Americas")</f>
        <v>Grenada-The Americas</v>
      </c>
      <c r="AD954" s="14" t="str">
        <f>IFERROR(__xludf.DUMMYFUNCTION("""COMPUTED_VALUE"""),"2003")</f>
        <v>2003</v>
      </c>
      <c r="AE954" s="14"/>
      <c r="AF954" s="14">
        <f>IFERROR(__xludf.DUMMYFUNCTION("""COMPUTED_VALUE"""),253.0)</f>
        <v>253</v>
      </c>
    </row>
    <row r="955">
      <c r="A955" s="12">
        <v>954.0</v>
      </c>
      <c r="B955" s="12" t="s">
        <v>152</v>
      </c>
      <c r="C955" s="5" t="s">
        <v>84</v>
      </c>
      <c r="D955" s="8"/>
      <c r="E955" s="8"/>
      <c r="F955" s="8"/>
      <c r="G955" s="8"/>
      <c r="H955" s="11">
        <v>0.196</v>
      </c>
      <c r="I955" s="11">
        <v>0.422</v>
      </c>
      <c r="J955" s="9" t="s">
        <v>65</v>
      </c>
      <c r="K955" s="14" t="str">
        <f>IFERROR(__xludf.DUMMYFUNCTION("ARRAYFORMULA(VLOOKUP(A955,IMPORTRANGE(""https://docs.google.com/spreadsheets/d/1BuTWp7qHGjWhqrnf-OmePP568O4A5Am9ttzvVdP67zw/edit#gid=1603210130"", ""TOURISM!$A$2:$F$2692""), {2,3,4,5,6},0))"),"The Americas")</f>
        <v>The Americas</v>
      </c>
      <c r="L955" s="14">
        <f>IFERROR(__xludf.DUMMYFUNCTION("""COMPUTED_VALUE"""),8.6E7)</f>
        <v>86000000</v>
      </c>
      <c r="M955" s="14" t="str">
        <f>IFERROR(__xludf.DUMMYFUNCTION("""COMPUTED_VALUE"""),"Grenada-The Americas")</f>
        <v>Grenada-The Americas</v>
      </c>
      <c r="N955" s="14" t="str">
        <f>IFERROR(__xludf.DUMMYFUNCTION("""COMPUTED_VALUE"""),"2004")</f>
        <v>2004</v>
      </c>
      <c r="O955" s="14">
        <f>IFERROR(__xludf.DUMMYFUNCTION("""COMPUTED_VALUE"""),9000000.0)</f>
        <v>9000000</v>
      </c>
      <c r="P955" s="15">
        <f>IFERROR(__xludf.DUMMYFUNCTION("ARRAYFORMULA(VLOOKUP(A955,IMPORTRANGE(""https://docs.google.com/spreadsheets/d/1BuTWp7qHGjWhqrnf-OmePP568O4A5Am9ttzvVdP67zw/edit#gid=771602874"" ,""HUMAN RESOURCES!$A$2:$M$2692""), {2,3,4,5,6,7,8,9,10,11,12,13},0))"),0.019)</f>
        <v>0.019</v>
      </c>
      <c r="Q955" s="14">
        <f>IFERROR(__xludf.DUMMYFUNCTION("""COMPUTED_VALUE"""),0.013)</f>
        <v>0.013</v>
      </c>
      <c r="R955" s="14">
        <f>IFERROR(__xludf.DUMMYFUNCTION("""COMPUTED_VALUE"""),74.0)</f>
        <v>74</v>
      </c>
      <c r="S955" s="14">
        <f>IFERROR(__xludf.DUMMYFUNCTION("""COMPUTED_VALUE"""),69.0)</f>
        <v>69</v>
      </c>
      <c r="T955" s="14">
        <f>IFERROR(__xludf.DUMMYFUNCTION("""COMPUTED_VALUE"""),0.309)</f>
        <v>0.309</v>
      </c>
      <c r="U955" s="14">
        <f>IFERROR(__xludf.DUMMYFUNCTION("""COMPUTED_VALUE"""),0.614)</f>
        <v>0.614</v>
      </c>
      <c r="V955" s="14">
        <f>IFERROR(__xludf.DUMMYFUNCTION("""COMPUTED_VALUE"""),0.077)</f>
        <v>0.077</v>
      </c>
      <c r="W955" s="14">
        <f>IFERROR(__xludf.DUMMYFUNCTION("""COMPUTED_VALUE"""),102655.0)</f>
        <v>102655</v>
      </c>
      <c r="X955" s="14">
        <f>IFERROR(__xludf.DUMMYFUNCTION("""COMPUTED_VALUE"""),0.36)</f>
        <v>0.36</v>
      </c>
      <c r="Y955" s="14" t="str">
        <f>IFERROR(__xludf.DUMMYFUNCTION("""COMPUTED_VALUE"""),"Grenada-The Americas")</f>
        <v>Grenada-The Americas</v>
      </c>
      <c r="Z955" s="14" t="str">
        <f>IFERROR(__xludf.DUMMYFUNCTION("""COMPUTED_VALUE"""),"The Americas")</f>
        <v>The Americas</v>
      </c>
      <c r="AA955" s="14" t="str">
        <f>IFERROR(__xludf.DUMMYFUNCTION("""COMPUTED_VALUE"""),"2004")</f>
        <v>2004</v>
      </c>
      <c r="AB955" s="15" t="str">
        <f>IFERROR(__xludf.DUMMYFUNCTION("ARRAYFORMULA(VLOOKUP(A955,IMPORTRANGE(""https://docs.google.com/spreadsheets/d/1BuTWp7qHGjWhqrnf-OmePP568O4A5Am9ttzvVdP67zw/edit#gid=1931367683"" ,""ENERGY!$A$2:$F$2692""), {2,3,4,5,6},0))"),"The Americas")</f>
        <v>The Americas</v>
      </c>
      <c r="AC955" s="14" t="str">
        <f>IFERROR(__xludf.DUMMYFUNCTION("""COMPUTED_VALUE"""),"Grenada-The Americas")</f>
        <v>Grenada-The Americas</v>
      </c>
      <c r="AD955" s="14" t="str">
        <f>IFERROR(__xludf.DUMMYFUNCTION("""COMPUTED_VALUE"""),"2004")</f>
        <v>2004</v>
      </c>
      <c r="AE955" s="14"/>
      <c r="AF955" s="14">
        <f>IFERROR(__xludf.DUMMYFUNCTION("""COMPUTED_VALUE"""),260.0)</f>
        <v>260</v>
      </c>
    </row>
    <row r="956">
      <c r="A956" s="12">
        <v>955.0</v>
      </c>
      <c r="B956" s="12" t="s">
        <v>152</v>
      </c>
      <c r="C956" s="5" t="s">
        <v>84</v>
      </c>
      <c r="D956" s="11">
        <v>0.453</v>
      </c>
      <c r="E956" s="11">
        <v>20.0</v>
      </c>
      <c r="F956" s="8"/>
      <c r="G956" s="11">
        <v>140.0</v>
      </c>
      <c r="H956" s="11">
        <v>0.205</v>
      </c>
      <c r="I956" s="11">
        <v>0.455</v>
      </c>
      <c r="J956" s="9" t="s">
        <v>66</v>
      </c>
      <c r="K956" s="14" t="str">
        <f>IFERROR(__xludf.DUMMYFUNCTION("ARRAYFORMULA(VLOOKUP(A956,IMPORTRANGE(""https://docs.google.com/spreadsheets/d/1BuTWp7qHGjWhqrnf-OmePP568O4A5Am9ttzvVdP67zw/edit#gid=1603210130"", ""TOURISM!$A$2:$F$2692""), {2,3,4,5,6},0))"),"The Americas")</f>
        <v>The Americas</v>
      </c>
      <c r="L956" s="14">
        <f>IFERROR(__xludf.DUMMYFUNCTION("""COMPUTED_VALUE"""),7.1E7)</f>
        <v>71000000</v>
      </c>
      <c r="M956" s="14" t="str">
        <f>IFERROR(__xludf.DUMMYFUNCTION("""COMPUTED_VALUE"""),"Grenada-The Americas")</f>
        <v>Grenada-The Americas</v>
      </c>
      <c r="N956" s="14" t="str">
        <f>IFERROR(__xludf.DUMMYFUNCTION("""COMPUTED_VALUE"""),"2005")</f>
        <v>2005</v>
      </c>
      <c r="O956" s="14">
        <f>IFERROR(__xludf.DUMMYFUNCTION("""COMPUTED_VALUE"""),1.0E7)</f>
        <v>10000000</v>
      </c>
      <c r="P956" s="15">
        <f>IFERROR(__xludf.DUMMYFUNCTION("ARRAYFORMULA(VLOOKUP(A956,IMPORTRANGE(""https://docs.google.com/spreadsheets/d/1BuTWp7qHGjWhqrnf-OmePP568O4A5Am9ttzvVdP67zw/edit#gid=771602874"" ,""HUMAN RESOURCES!$A$2:$M$2692""), {2,3,4,5,6,7,8,9,10,11,12,13},0))"),0.019)</f>
        <v>0.019</v>
      </c>
      <c r="Q956" s="14">
        <f>IFERROR(__xludf.DUMMYFUNCTION("""COMPUTED_VALUE"""),0.013)</f>
        <v>0.013</v>
      </c>
      <c r="R956" s="14">
        <f>IFERROR(__xludf.DUMMYFUNCTION("""COMPUTED_VALUE"""),74.0)</f>
        <v>74</v>
      </c>
      <c r="S956" s="14">
        <f>IFERROR(__xludf.DUMMYFUNCTION("""COMPUTED_VALUE"""),69.0)</f>
        <v>69</v>
      </c>
      <c r="T956" s="14">
        <f>IFERROR(__xludf.DUMMYFUNCTION("""COMPUTED_VALUE"""),0.3)</f>
        <v>0.3</v>
      </c>
      <c r="U956" s="14">
        <f>IFERROR(__xludf.DUMMYFUNCTION("""COMPUTED_VALUE"""),0.623)</f>
        <v>0.623</v>
      </c>
      <c r="V956" s="14">
        <f>IFERROR(__xludf.DUMMYFUNCTION("""COMPUTED_VALUE"""),0.077)</f>
        <v>0.077</v>
      </c>
      <c r="W956" s="14">
        <f>IFERROR(__xludf.DUMMYFUNCTION("""COMPUTED_VALUE"""),102951.0)</f>
        <v>102951</v>
      </c>
      <c r="X956" s="14">
        <f>IFERROR(__xludf.DUMMYFUNCTION("""COMPUTED_VALUE"""),0.359)</f>
        <v>0.359</v>
      </c>
      <c r="Y956" s="14" t="str">
        <f>IFERROR(__xludf.DUMMYFUNCTION("""COMPUTED_VALUE"""),"Grenada-The Americas")</f>
        <v>Grenada-The Americas</v>
      </c>
      <c r="Z956" s="14" t="str">
        <f>IFERROR(__xludf.DUMMYFUNCTION("""COMPUTED_VALUE"""),"The Americas")</f>
        <v>The Americas</v>
      </c>
      <c r="AA956" s="14" t="str">
        <f>IFERROR(__xludf.DUMMYFUNCTION("""COMPUTED_VALUE"""),"2005")</f>
        <v>2005</v>
      </c>
      <c r="AB956" s="15" t="str">
        <f>IFERROR(__xludf.DUMMYFUNCTION("ARRAYFORMULA(VLOOKUP(A956,IMPORTRANGE(""https://docs.google.com/spreadsheets/d/1BuTWp7qHGjWhqrnf-OmePP568O4A5Am9ttzvVdP67zw/edit#gid=1931367683"" ,""ENERGY!$A$2:$F$2692""), {2,3,4,5,6},0))"),"The Americas")</f>
        <v>The Americas</v>
      </c>
      <c r="AC956" s="14" t="str">
        <f>IFERROR(__xludf.DUMMYFUNCTION("""COMPUTED_VALUE"""),"Grenada-The Americas")</f>
        <v>Grenada-The Americas</v>
      </c>
      <c r="AD956" s="14" t="str">
        <f>IFERROR(__xludf.DUMMYFUNCTION("""COMPUTED_VALUE"""),"2007")</f>
        <v>2007</v>
      </c>
      <c r="AE956" s="14">
        <f>IFERROR(__xludf.DUMMYFUNCTION("""COMPUTED_VALUE"""),81.0)</f>
        <v>81</v>
      </c>
      <c r="AF956" s="14">
        <f>IFERROR(__xludf.DUMMYFUNCTION("""COMPUTED_VALUE"""),238.0)</f>
        <v>238</v>
      </c>
    </row>
    <row r="957">
      <c r="A957" s="12">
        <v>956.0</v>
      </c>
      <c r="B957" s="12" t="s">
        <v>152</v>
      </c>
      <c r="C957" s="5" t="s">
        <v>84</v>
      </c>
      <c r="D957" s="11">
        <v>0.453</v>
      </c>
      <c r="E957" s="11">
        <v>20.0</v>
      </c>
      <c r="F957" s="8"/>
      <c r="G957" s="11">
        <v>140.0</v>
      </c>
      <c r="H957" s="11">
        <v>0.214</v>
      </c>
      <c r="I957" s="11">
        <v>0.447</v>
      </c>
      <c r="J957" s="9" t="s">
        <v>67</v>
      </c>
      <c r="K957" s="14" t="str">
        <f>IFERROR(__xludf.DUMMYFUNCTION("ARRAYFORMULA(VLOOKUP(A957,IMPORTRANGE(""https://docs.google.com/spreadsheets/d/1BuTWp7qHGjWhqrnf-OmePP568O4A5Am9ttzvVdP67zw/edit#gid=1603210130"", ""TOURISM!$A$2:$F$2692""), {2,3,4,5,6},0))"),"The Americas")</f>
        <v>The Americas</v>
      </c>
      <c r="L957" s="14">
        <f>IFERROR(__xludf.DUMMYFUNCTION("""COMPUTED_VALUE"""),9.4E7)</f>
        <v>94000000</v>
      </c>
      <c r="M957" s="14" t="str">
        <f>IFERROR(__xludf.DUMMYFUNCTION("""COMPUTED_VALUE"""),"Grenada-The Americas")</f>
        <v>Grenada-The Americas</v>
      </c>
      <c r="N957" s="14" t="str">
        <f>IFERROR(__xludf.DUMMYFUNCTION("""COMPUTED_VALUE"""),"2006")</f>
        <v>2006</v>
      </c>
      <c r="O957" s="14">
        <f>IFERROR(__xludf.DUMMYFUNCTION("""COMPUTED_VALUE"""),1.6E7)</f>
        <v>16000000</v>
      </c>
      <c r="P957" s="15">
        <f>IFERROR(__xludf.DUMMYFUNCTION("ARRAYFORMULA(VLOOKUP(A957,IMPORTRANGE(""https://docs.google.com/spreadsheets/d/1BuTWp7qHGjWhqrnf-OmePP568O4A5Am9ttzvVdP67zw/edit#gid=771602874"" ,""HUMAN RESOURCES!$A$2:$M$2692""), {2,3,4,5,6,7,8,9,10,11,12,13},0))"),0.019)</f>
        <v>0.019</v>
      </c>
      <c r="Q957" s="14">
        <f>IFERROR(__xludf.DUMMYFUNCTION("""COMPUTED_VALUE"""),0.013)</f>
        <v>0.013</v>
      </c>
      <c r="R957" s="14">
        <f>IFERROR(__xludf.DUMMYFUNCTION("""COMPUTED_VALUE"""),74.0)</f>
        <v>74</v>
      </c>
      <c r="S957" s="14">
        <f>IFERROR(__xludf.DUMMYFUNCTION("""COMPUTED_VALUE"""),69.0)</f>
        <v>69</v>
      </c>
      <c r="T957" s="14">
        <f>IFERROR(__xludf.DUMMYFUNCTION("""COMPUTED_VALUE"""),0.293)</f>
        <v>0.293</v>
      </c>
      <c r="U957" s="14">
        <f>IFERROR(__xludf.DUMMYFUNCTION("""COMPUTED_VALUE"""),0.631)</f>
        <v>0.631</v>
      </c>
      <c r="V957" s="14">
        <f>IFERROR(__xludf.DUMMYFUNCTION("""COMPUTED_VALUE"""),0.076)</f>
        <v>0.076</v>
      </c>
      <c r="W957" s="14">
        <f>IFERROR(__xludf.DUMMYFUNCTION("""COMPUTED_VALUE"""),103260.0)</f>
        <v>103260</v>
      </c>
      <c r="X957" s="14">
        <f>IFERROR(__xludf.DUMMYFUNCTION("""COMPUTED_VALUE"""),0.359)</f>
        <v>0.359</v>
      </c>
      <c r="Y957" s="14" t="str">
        <f>IFERROR(__xludf.DUMMYFUNCTION("""COMPUTED_VALUE"""),"Grenada-The Americas")</f>
        <v>Grenada-The Americas</v>
      </c>
      <c r="Z957" s="14" t="str">
        <f>IFERROR(__xludf.DUMMYFUNCTION("""COMPUTED_VALUE"""),"The Americas")</f>
        <v>The Americas</v>
      </c>
      <c r="AA957" s="14" t="str">
        <f>IFERROR(__xludf.DUMMYFUNCTION("""COMPUTED_VALUE"""),"2006")</f>
        <v>2006</v>
      </c>
      <c r="AB957" s="15" t="str">
        <f>IFERROR(__xludf.DUMMYFUNCTION("ARRAYFORMULA(VLOOKUP(A957,IMPORTRANGE(""https://docs.google.com/spreadsheets/d/1BuTWp7qHGjWhqrnf-OmePP568O4A5Am9ttzvVdP67zw/edit#gid=1931367683"" ,""ENERGY!$A$2:$F$2692""), {2,3,4,5,6},0))"),"The Americas")</f>
        <v>The Americas</v>
      </c>
      <c r="AC957" s="14" t="str">
        <f>IFERROR(__xludf.DUMMYFUNCTION("""COMPUTED_VALUE"""),"Grenada-The Americas")</f>
        <v>Grenada-The Americas</v>
      </c>
      <c r="AD957" s="14" t="str">
        <f>IFERROR(__xludf.DUMMYFUNCTION("""COMPUTED_VALUE"""),"2010")</f>
        <v>2010</v>
      </c>
      <c r="AE957" s="14">
        <f>IFERROR(__xludf.DUMMYFUNCTION("""COMPUTED_VALUE"""),81.0)</f>
        <v>81</v>
      </c>
      <c r="AF957" s="14">
        <f>IFERROR(__xludf.DUMMYFUNCTION("""COMPUTED_VALUE"""),231.0)</f>
        <v>231</v>
      </c>
    </row>
    <row r="958">
      <c r="A958" s="12">
        <v>957.0</v>
      </c>
      <c r="B958" s="12" t="s">
        <v>152</v>
      </c>
      <c r="C958" s="5" t="s">
        <v>84</v>
      </c>
      <c r="D958" s="11">
        <v>0.453</v>
      </c>
      <c r="E958" s="11">
        <v>20.0</v>
      </c>
      <c r="F958" s="8"/>
      <c r="G958" s="11">
        <v>140.0</v>
      </c>
      <c r="H958" s="11">
        <v>0.223</v>
      </c>
      <c r="I958" s="11">
        <v>0.496</v>
      </c>
      <c r="J958" s="9" t="s">
        <v>68</v>
      </c>
      <c r="K958" s="14" t="str">
        <f>IFERROR(__xludf.DUMMYFUNCTION("ARRAYFORMULA(VLOOKUP(A958,IMPORTRANGE(""https://docs.google.com/spreadsheets/d/1BuTWp7qHGjWhqrnf-OmePP568O4A5Am9ttzvVdP67zw/edit#gid=1603210130"", ""TOURISM!$A$2:$F$2692""), {2,3,4,5,6},0))"),"The Americas")</f>
        <v>The Americas</v>
      </c>
      <c r="L958" s="14">
        <f>IFERROR(__xludf.DUMMYFUNCTION("""COMPUTED_VALUE"""),1.29E8)</f>
        <v>129000000</v>
      </c>
      <c r="M958" s="14" t="str">
        <f>IFERROR(__xludf.DUMMYFUNCTION("""COMPUTED_VALUE"""),"Grenada-The Americas")</f>
        <v>Grenada-The Americas</v>
      </c>
      <c r="N958" s="14" t="str">
        <f>IFERROR(__xludf.DUMMYFUNCTION("""COMPUTED_VALUE"""),"2007")</f>
        <v>2007</v>
      </c>
      <c r="O958" s="14">
        <f>IFERROR(__xludf.DUMMYFUNCTION("""COMPUTED_VALUE"""),1.6E7)</f>
        <v>16000000</v>
      </c>
      <c r="P958" s="15">
        <f>IFERROR(__xludf.DUMMYFUNCTION("ARRAYFORMULA(VLOOKUP(A958,IMPORTRANGE(""https://docs.google.com/spreadsheets/d/1BuTWp7qHGjWhqrnf-OmePP568O4A5Am9ttzvVdP67zw/edit#gid=771602874"" ,""HUMAN RESOURCES!$A$2:$M$2692""), {2,3,4,5,6,7,8,9,10,11,12,13},0))"),0.019)</f>
        <v>0.019</v>
      </c>
      <c r="Q958" s="14">
        <f>IFERROR(__xludf.DUMMYFUNCTION("""COMPUTED_VALUE"""),0.012)</f>
        <v>0.012</v>
      </c>
      <c r="R958" s="14">
        <f>IFERROR(__xludf.DUMMYFUNCTION("""COMPUTED_VALUE"""),74.0)</f>
        <v>74</v>
      </c>
      <c r="S958" s="14">
        <f>IFERROR(__xludf.DUMMYFUNCTION("""COMPUTED_VALUE"""),69.0)</f>
        <v>69</v>
      </c>
      <c r="T958" s="14">
        <f>IFERROR(__xludf.DUMMYFUNCTION("""COMPUTED_VALUE"""),0.287)</f>
        <v>0.287</v>
      </c>
      <c r="U958" s="14">
        <f>IFERROR(__xludf.DUMMYFUNCTION("""COMPUTED_VALUE"""),0.638)</f>
        <v>0.638</v>
      </c>
      <c r="V958" s="14">
        <f>IFERROR(__xludf.DUMMYFUNCTION("""COMPUTED_VALUE"""),0.075)</f>
        <v>0.075</v>
      </c>
      <c r="W958" s="14">
        <f>IFERROR(__xludf.DUMMYFUNCTION("""COMPUTED_VALUE"""),103586.0)</f>
        <v>103586</v>
      </c>
      <c r="X958" s="14">
        <f>IFERROR(__xludf.DUMMYFUNCTION("""COMPUTED_VALUE"""),0.358)</f>
        <v>0.358</v>
      </c>
      <c r="Y958" s="14" t="str">
        <f>IFERROR(__xludf.DUMMYFUNCTION("""COMPUTED_VALUE"""),"Grenada-The Americas")</f>
        <v>Grenada-The Americas</v>
      </c>
      <c r="Z958" s="14" t="str">
        <f>IFERROR(__xludf.DUMMYFUNCTION("""COMPUTED_VALUE"""),"The Americas")</f>
        <v>The Americas</v>
      </c>
      <c r="AA958" s="14" t="str">
        <f>IFERROR(__xludf.DUMMYFUNCTION("""COMPUTED_VALUE"""),"2007")</f>
        <v>2007</v>
      </c>
      <c r="AB958" s="15" t="str">
        <f>IFERROR(__xludf.DUMMYFUNCTION("ARRAYFORMULA(VLOOKUP(A958,IMPORTRANGE(""https://docs.google.com/spreadsheets/d/1BuTWp7qHGjWhqrnf-OmePP568O4A5Am9ttzvVdP67zw/edit#gid=1931367683"" ,""ENERGY!$A$2:$F$2692""), {2,3,4,5,6},0))"),"The Americas")</f>
        <v>The Americas</v>
      </c>
      <c r="AC958" s="14" t="str">
        <f>IFERROR(__xludf.DUMMYFUNCTION("""COMPUTED_VALUE"""),"Grenada-The Americas")</f>
        <v>Grenada-The Americas</v>
      </c>
      <c r="AD958" s="14" t="str">
        <f>IFERROR(__xludf.DUMMYFUNCTION("""COMPUTED_VALUE"""),"2007")</f>
        <v>2007</v>
      </c>
      <c r="AE958" s="14">
        <f>IFERROR(__xludf.DUMMYFUNCTION("""COMPUTED_VALUE"""),79.0)</f>
        <v>79</v>
      </c>
      <c r="AF958" s="14">
        <f>IFERROR(__xludf.DUMMYFUNCTION("""COMPUTED_VALUE"""),216.0)</f>
        <v>216</v>
      </c>
    </row>
    <row r="959">
      <c r="A959" s="12">
        <v>958.0</v>
      </c>
      <c r="B959" s="12" t="s">
        <v>152</v>
      </c>
      <c r="C959" s="5" t="s">
        <v>84</v>
      </c>
      <c r="D959" s="11">
        <v>0.453</v>
      </c>
      <c r="E959" s="11">
        <v>20.0</v>
      </c>
      <c r="F959" s="8"/>
      <c r="G959" s="11">
        <v>140.0</v>
      </c>
      <c r="H959" s="11">
        <v>0.232</v>
      </c>
      <c r="I959" s="11">
        <v>0.578</v>
      </c>
      <c r="J959" s="9" t="s">
        <v>69</v>
      </c>
      <c r="K959" s="14" t="str">
        <f>IFERROR(__xludf.DUMMYFUNCTION("ARRAYFORMULA(VLOOKUP(A959,IMPORTRANGE(""https://docs.google.com/spreadsheets/d/1BuTWp7qHGjWhqrnf-OmePP568O4A5Am9ttzvVdP67zw/edit#gid=1603210130"", ""TOURISM!$A$2:$F$2692""), {2,3,4,5,6},0))"),"The Americas")</f>
        <v>The Americas</v>
      </c>
      <c r="L959" s="14">
        <f>IFERROR(__xludf.DUMMYFUNCTION("""COMPUTED_VALUE"""),1.27E8)</f>
        <v>127000000</v>
      </c>
      <c r="M959" s="14" t="str">
        <f>IFERROR(__xludf.DUMMYFUNCTION("""COMPUTED_VALUE"""),"Grenada-The Americas")</f>
        <v>Grenada-The Americas</v>
      </c>
      <c r="N959" s="14" t="str">
        <f>IFERROR(__xludf.DUMMYFUNCTION("""COMPUTED_VALUE"""),"2008")</f>
        <v>2008</v>
      </c>
      <c r="O959" s="14">
        <f>IFERROR(__xludf.DUMMYFUNCTION("""COMPUTED_VALUE"""),1.1E7)</f>
        <v>11000000</v>
      </c>
      <c r="P959" s="15">
        <f>IFERROR(__xludf.DUMMYFUNCTION("ARRAYFORMULA(VLOOKUP(A959,IMPORTRANGE(""https://docs.google.com/spreadsheets/d/1BuTWp7qHGjWhqrnf-OmePP568O4A5Am9ttzvVdP67zw/edit#gid=771602874"" ,""HUMAN RESOURCES!$A$2:$M$2692""), {2,3,4,5,6,7,8,9,10,11,12,13},0))"),0.019)</f>
        <v>0.019</v>
      </c>
      <c r="Q959" s="14">
        <f>IFERROR(__xludf.DUMMYFUNCTION("""COMPUTED_VALUE"""),0.012)</f>
        <v>0.012</v>
      </c>
      <c r="R959" s="14">
        <f>IFERROR(__xludf.DUMMYFUNCTION("""COMPUTED_VALUE"""),74.0)</f>
        <v>74</v>
      </c>
      <c r="S959" s="14">
        <f>IFERROR(__xludf.DUMMYFUNCTION("""COMPUTED_VALUE"""),70.0)</f>
        <v>70</v>
      </c>
      <c r="T959" s="14">
        <f>IFERROR(__xludf.DUMMYFUNCTION("""COMPUTED_VALUE"""),0.282)</f>
        <v>0.282</v>
      </c>
      <c r="U959" s="14">
        <f>IFERROR(__xludf.DUMMYFUNCTION("""COMPUTED_VALUE"""),0.643)</f>
        <v>0.643</v>
      </c>
      <c r="V959" s="14">
        <f>IFERROR(__xludf.DUMMYFUNCTION("""COMPUTED_VALUE"""),0.074)</f>
        <v>0.074</v>
      </c>
      <c r="W959" s="14">
        <f>IFERROR(__xludf.DUMMYFUNCTION("""COMPUTED_VALUE"""),103932.0)</f>
        <v>103932</v>
      </c>
      <c r="X959" s="14">
        <f>IFERROR(__xludf.DUMMYFUNCTION("""COMPUTED_VALUE"""),0.358)</f>
        <v>0.358</v>
      </c>
      <c r="Y959" s="14" t="str">
        <f>IFERROR(__xludf.DUMMYFUNCTION("""COMPUTED_VALUE"""),"Grenada-The Americas")</f>
        <v>Grenada-The Americas</v>
      </c>
      <c r="Z959" s="14" t="str">
        <f>IFERROR(__xludf.DUMMYFUNCTION("""COMPUTED_VALUE"""),"The Americas")</f>
        <v>The Americas</v>
      </c>
      <c r="AA959" s="14" t="str">
        <f>IFERROR(__xludf.DUMMYFUNCTION("""COMPUTED_VALUE"""),"2008")</f>
        <v>2008</v>
      </c>
      <c r="AB959" s="15" t="str">
        <f>IFERROR(__xludf.DUMMYFUNCTION("ARRAYFORMULA(VLOOKUP(A959,IMPORTRANGE(""https://docs.google.com/spreadsheets/d/1BuTWp7qHGjWhqrnf-OmePP568O4A5Am9ttzvVdP67zw/edit#gid=1931367683"" ,""ENERGY!$A$2:$F$2692""), {2,3,4,5,6},0))"),"The Americas")</f>
        <v>The Americas</v>
      </c>
      <c r="AC959" s="14" t="str">
        <f>IFERROR(__xludf.DUMMYFUNCTION("""COMPUTED_VALUE"""),"Grenada-The Americas")</f>
        <v>Grenada-The Americas</v>
      </c>
      <c r="AD959" s="14" t="str">
        <f>IFERROR(__xludf.DUMMYFUNCTION("""COMPUTED_VALUE"""),"2005")</f>
        <v>2005</v>
      </c>
      <c r="AE959" s="14">
        <f>IFERROR(__xludf.DUMMYFUNCTION("""COMPUTED_VALUE"""),74.0)</f>
        <v>74</v>
      </c>
      <c r="AF959" s="14">
        <f>IFERROR(__xludf.DUMMYFUNCTION("""COMPUTED_VALUE"""),205.0)</f>
        <v>205</v>
      </c>
    </row>
    <row r="960">
      <c r="A960" s="12">
        <v>959.0</v>
      </c>
      <c r="B960" s="12" t="s">
        <v>152</v>
      </c>
      <c r="C960" s="5" t="s">
        <v>84</v>
      </c>
      <c r="D960" s="11">
        <v>0.453</v>
      </c>
      <c r="E960" s="11">
        <v>20.0</v>
      </c>
      <c r="F960" s="8"/>
      <c r="G960" s="11">
        <v>140.0</v>
      </c>
      <c r="H960" s="11">
        <v>0.241</v>
      </c>
      <c r="I960" s="11">
        <v>1.097</v>
      </c>
      <c r="J960" s="9" t="s">
        <v>70</v>
      </c>
      <c r="K960" s="14" t="str">
        <f>IFERROR(__xludf.DUMMYFUNCTION("ARRAYFORMULA(VLOOKUP(A960,IMPORTRANGE(""https://docs.google.com/spreadsheets/d/1BuTWp7qHGjWhqrnf-OmePP568O4A5Am9ttzvVdP67zw/edit#gid=1603210130"", ""TOURISM!$A$2:$F$2692""), {2,3,4,5,6},0))"),"The Americas")</f>
        <v>The Americas</v>
      </c>
      <c r="L960" s="14">
        <f>IFERROR(__xludf.DUMMYFUNCTION("""COMPUTED_VALUE"""),1.12E8)</f>
        <v>112000000</v>
      </c>
      <c r="M960" s="14" t="str">
        <f>IFERROR(__xludf.DUMMYFUNCTION("""COMPUTED_VALUE"""),"Grenada-The Americas")</f>
        <v>Grenada-The Americas</v>
      </c>
      <c r="N960" s="14" t="str">
        <f>IFERROR(__xludf.DUMMYFUNCTION("""COMPUTED_VALUE"""),"2009")</f>
        <v>2009</v>
      </c>
      <c r="O960" s="14">
        <f>IFERROR(__xludf.DUMMYFUNCTION("""COMPUTED_VALUE"""),1.0E7)</f>
        <v>10000000</v>
      </c>
      <c r="P960" s="15">
        <f>IFERROR(__xludf.DUMMYFUNCTION("ARRAYFORMULA(VLOOKUP(A960,IMPORTRANGE(""https://docs.google.com/spreadsheets/d/1BuTWp7qHGjWhqrnf-OmePP568O4A5Am9ttzvVdP67zw/edit#gid=771602874"" ,""HUMAN RESOURCES!$A$2:$M$2692""), {2,3,4,5,6,7,8,9,10,11,12,13},0))"),0.019)</f>
        <v>0.019</v>
      </c>
      <c r="Q960" s="14">
        <f>IFERROR(__xludf.DUMMYFUNCTION("""COMPUTED_VALUE"""),0.012)</f>
        <v>0.012</v>
      </c>
      <c r="R960" s="14">
        <f>IFERROR(__xludf.DUMMYFUNCTION("""COMPUTED_VALUE"""),75.0)</f>
        <v>75</v>
      </c>
      <c r="S960" s="14">
        <f>IFERROR(__xludf.DUMMYFUNCTION("""COMPUTED_VALUE"""),70.0)</f>
        <v>70</v>
      </c>
      <c r="T960" s="14">
        <f>IFERROR(__xludf.DUMMYFUNCTION("""COMPUTED_VALUE"""),0.279)</f>
        <v>0.279</v>
      </c>
      <c r="U960" s="14">
        <f>IFERROR(__xludf.DUMMYFUNCTION("""COMPUTED_VALUE"""),0.648)</f>
        <v>0.648</v>
      </c>
      <c r="V960" s="14">
        <f>IFERROR(__xludf.DUMMYFUNCTION("""COMPUTED_VALUE"""),0.073)</f>
        <v>0.073</v>
      </c>
      <c r="W960" s="14">
        <f>IFERROR(__xludf.DUMMYFUNCTION("""COMPUTED_VALUE"""),104296.0)</f>
        <v>104296</v>
      </c>
      <c r="X960" s="14">
        <f>IFERROR(__xludf.DUMMYFUNCTION("""COMPUTED_VALUE"""),0.357)</f>
        <v>0.357</v>
      </c>
      <c r="Y960" s="14" t="str">
        <f>IFERROR(__xludf.DUMMYFUNCTION("""COMPUTED_VALUE"""),"Grenada-The Americas")</f>
        <v>Grenada-The Americas</v>
      </c>
      <c r="Z960" s="14" t="str">
        <f>IFERROR(__xludf.DUMMYFUNCTION("""COMPUTED_VALUE"""),"The Americas")</f>
        <v>The Americas</v>
      </c>
      <c r="AA960" s="14" t="str">
        <f>IFERROR(__xludf.DUMMYFUNCTION("""COMPUTED_VALUE"""),"2009")</f>
        <v>2009</v>
      </c>
      <c r="AB960" s="15" t="str">
        <f>IFERROR(__xludf.DUMMYFUNCTION("ARRAYFORMULA(VLOOKUP(A960,IMPORTRANGE(""https://docs.google.com/spreadsheets/d/1BuTWp7qHGjWhqrnf-OmePP568O4A5Am9ttzvVdP67zw/edit#gid=1931367683"" ,""ENERGY!$A$2:$F$2692""), {2,3,4,5,6},0))"),"The Americas")</f>
        <v>The Americas</v>
      </c>
      <c r="AC960" s="14" t="str">
        <f>IFERROR(__xludf.DUMMYFUNCTION("""COMPUTED_VALUE"""),"Grenada-The Americas")</f>
        <v>Grenada-The Americas</v>
      </c>
      <c r="AD960" s="14" t="str">
        <f>IFERROR(__xludf.DUMMYFUNCTION("""COMPUTED_VALUE"""),"2010")</f>
        <v>2010</v>
      </c>
      <c r="AE960" s="14"/>
      <c r="AF960" s="14">
        <f>IFERROR(__xludf.DUMMYFUNCTION("""COMPUTED_VALUE"""),216.0)</f>
        <v>216</v>
      </c>
    </row>
    <row r="961">
      <c r="A961" s="12">
        <v>960.0</v>
      </c>
      <c r="B961" s="12" t="s">
        <v>152</v>
      </c>
      <c r="C961" s="5" t="s">
        <v>84</v>
      </c>
      <c r="D961" s="11">
        <v>0.453</v>
      </c>
      <c r="E961" s="11">
        <v>15.0</v>
      </c>
      <c r="F961" s="8"/>
      <c r="G961" s="11">
        <v>140.0</v>
      </c>
      <c r="H961" s="11">
        <v>0.27</v>
      </c>
      <c r="I961" s="11">
        <v>1.165</v>
      </c>
      <c r="J961" s="9" t="s">
        <v>71</v>
      </c>
      <c r="K961" s="14" t="str">
        <f>IFERROR(__xludf.DUMMYFUNCTION("ARRAYFORMULA(VLOOKUP(A961,IMPORTRANGE(""https://docs.google.com/spreadsheets/d/1BuTWp7qHGjWhqrnf-OmePP568O4A5Am9ttzvVdP67zw/edit#gid=1603210130"", ""TOURISM!$A$2:$F$2692""), {2,3,4,5,6},0))"),"The Americas")</f>
        <v>The Americas</v>
      </c>
      <c r="L961" s="14">
        <f>IFERROR(__xludf.DUMMYFUNCTION("""COMPUTED_VALUE"""),1.12E8)</f>
        <v>112000000</v>
      </c>
      <c r="M961" s="14" t="str">
        <f>IFERROR(__xludf.DUMMYFUNCTION("""COMPUTED_VALUE"""),"Grenada-The Americas")</f>
        <v>Grenada-The Americas</v>
      </c>
      <c r="N961" s="14" t="str">
        <f>IFERROR(__xludf.DUMMYFUNCTION("""COMPUTED_VALUE"""),"2010")</f>
        <v>2010</v>
      </c>
      <c r="O961" s="14">
        <f>IFERROR(__xludf.DUMMYFUNCTION("""COMPUTED_VALUE"""),1.0E7)</f>
        <v>10000000</v>
      </c>
      <c r="P961" s="15">
        <f>IFERROR(__xludf.DUMMYFUNCTION("ARRAYFORMULA(VLOOKUP(A961,IMPORTRANGE(""https://docs.google.com/spreadsheets/d/1BuTWp7qHGjWhqrnf-OmePP568O4A5Am9ttzvVdP67zw/edit#gid=771602874"" ,""HUMAN RESOURCES!$A$2:$M$2692""), {2,3,4,5,6,7,8,9,10,11,12,13},0))"),0.019)</f>
        <v>0.019</v>
      </c>
      <c r="Q961" s="14">
        <f>IFERROR(__xludf.DUMMYFUNCTION("""COMPUTED_VALUE"""),0.012)</f>
        <v>0.012</v>
      </c>
      <c r="R961" s="14">
        <f>IFERROR(__xludf.DUMMYFUNCTION("""COMPUTED_VALUE"""),75.0)</f>
        <v>75</v>
      </c>
      <c r="S961" s="14">
        <f>IFERROR(__xludf.DUMMYFUNCTION("""COMPUTED_VALUE"""),70.0)</f>
        <v>70</v>
      </c>
      <c r="T961" s="14">
        <f>IFERROR(__xludf.DUMMYFUNCTION("""COMPUTED_VALUE"""),0.275)</f>
        <v>0.275</v>
      </c>
      <c r="U961" s="14">
        <f>IFERROR(__xludf.DUMMYFUNCTION("""COMPUTED_VALUE"""),0.652)</f>
        <v>0.652</v>
      </c>
      <c r="V961" s="14">
        <f>IFERROR(__xludf.DUMMYFUNCTION("""COMPUTED_VALUE"""),0.072)</f>
        <v>0.072</v>
      </c>
      <c r="W961" s="14">
        <f>IFERROR(__xludf.DUMMYFUNCTION("""COMPUTED_VALUE"""),104677.0)</f>
        <v>104677</v>
      </c>
      <c r="X961" s="14">
        <f>IFERROR(__xludf.DUMMYFUNCTION("""COMPUTED_VALUE"""),0.357)</f>
        <v>0.357</v>
      </c>
      <c r="Y961" s="14" t="str">
        <f>IFERROR(__xludf.DUMMYFUNCTION("""COMPUTED_VALUE"""),"Grenada-The Americas")</f>
        <v>Grenada-The Americas</v>
      </c>
      <c r="Z961" s="14" t="str">
        <f>IFERROR(__xludf.DUMMYFUNCTION("""COMPUTED_VALUE"""),"The Americas")</f>
        <v>The Americas</v>
      </c>
      <c r="AA961" s="14" t="str">
        <f>IFERROR(__xludf.DUMMYFUNCTION("""COMPUTED_VALUE"""),"2010")</f>
        <v>2010</v>
      </c>
      <c r="AB961" s="15" t="str">
        <f>IFERROR(__xludf.DUMMYFUNCTION("ARRAYFORMULA(VLOOKUP(A961,IMPORTRANGE(""https://docs.google.com/spreadsheets/d/1BuTWp7qHGjWhqrnf-OmePP568O4A5Am9ttzvVdP67zw/edit#gid=1931367683"" ,""ENERGY!$A$2:$F$2692""), {2,3,4,5,6},0))"),"The Americas")</f>
        <v>The Americas</v>
      </c>
      <c r="AC961" s="14" t="str">
        <f>IFERROR(__xludf.DUMMYFUNCTION("""COMPUTED_VALUE"""),"Grenada-The Americas")</f>
        <v>Grenada-The Americas</v>
      </c>
      <c r="AD961" s="14" t="str">
        <f>IFERROR(__xludf.DUMMYFUNCTION("""COMPUTED_VALUE"""),"2009")</f>
        <v>2009</v>
      </c>
      <c r="AE961" s="14"/>
      <c r="AF961" s="14">
        <f>IFERROR(__xludf.DUMMYFUNCTION("""COMPUTED_VALUE"""),205.0)</f>
        <v>205</v>
      </c>
    </row>
    <row r="962">
      <c r="A962" s="12">
        <v>961.0</v>
      </c>
      <c r="B962" s="12" t="s">
        <v>152</v>
      </c>
      <c r="C962" s="5" t="s">
        <v>84</v>
      </c>
      <c r="D962" s="11">
        <v>0.453</v>
      </c>
      <c r="E962" s="11">
        <v>15.0</v>
      </c>
      <c r="F962" s="8"/>
      <c r="G962" s="11">
        <v>140.0</v>
      </c>
      <c r="H962" s="11">
        <v>0.3</v>
      </c>
      <c r="I962" s="11">
        <v>1.15</v>
      </c>
      <c r="J962" s="9" t="s">
        <v>72</v>
      </c>
      <c r="K962" s="14" t="str">
        <f>IFERROR(__xludf.DUMMYFUNCTION("ARRAYFORMULA(VLOOKUP(A962,IMPORTRANGE(""https://docs.google.com/spreadsheets/d/1BuTWp7qHGjWhqrnf-OmePP568O4A5Am9ttzvVdP67zw/edit#gid=1603210130"", ""TOURISM!$A$2:$F$2692""), {2,3,4,5,6},0))"),"The Americas")</f>
        <v>The Americas</v>
      </c>
      <c r="L962" s="14">
        <f>IFERROR(__xludf.DUMMYFUNCTION("""COMPUTED_VALUE"""),1.17E8)</f>
        <v>117000000</v>
      </c>
      <c r="M962" s="14" t="str">
        <f>IFERROR(__xludf.DUMMYFUNCTION("""COMPUTED_VALUE"""),"Grenada-The Americas")</f>
        <v>Grenada-The Americas</v>
      </c>
      <c r="N962" s="14" t="str">
        <f>IFERROR(__xludf.DUMMYFUNCTION("""COMPUTED_VALUE"""),"2011")</f>
        <v>2011</v>
      </c>
      <c r="O962" s="14">
        <f>IFERROR(__xludf.DUMMYFUNCTION("""COMPUTED_VALUE"""),1.0E7)</f>
        <v>10000000</v>
      </c>
      <c r="P962" s="15">
        <f>IFERROR(__xludf.DUMMYFUNCTION("ARRAYFORMULA(VLOOKUP(A962,IMPORTRANGE(""https://docs.google.com/spreadsheets/d/1BuTWp7qHGjWhqrnf-OmePP568O4A5Am9ttzvVdP67zw/edit#gid=771602874"" ,""HUMAN RESOURCES!$A$2:$M$2692""), {2,3,4,5,6,7,8,9,10,11,12,13},0))"),0.019)</f>
        <v>0.019</v>
      </c>
      <c r="Q962" s="14">
        <f>IFERROR(__xludf.DUMMYFUNCTION("""COMPUTED_VALUE"""),0.011)</f>
        <v>0.011</v>
      </c>
      <c r="R962" s="14">
        <f>IFERROR(__xludf.DUMMYFUNCTION("""COMPUTED_VALUE"""),75.0)</f>
        <v>75</v>
      </c>
      <c r="S962" s="14">
        <f>IFERROR(__xludf.DUMMYFUNCTION("""COMPUTED_VALUE"""),70.0)</f>
        <v>70</v>
      </c>
      <c r="T962" s="14">
        <f>IFERROR(__xludf.DUMMYFUNCTION("""COMPUTED_VALUE"""),0.272)</f>
        <v>0.272</v>
      </c>
      <c r="U962" s="14">
        <f>IFERROR(__xludf.DUMMYFUNCTION("""COMPUTED_VALUE"""),0.656)</f>
        <v>0.656</v>
      </c>
      <c r="V962" s="14">
        <f>IFERROR(__xludf.DUMMYFUNCTION("""COMPUTED_VALUE"""),0.072)</f>
        <v>0.072</v>
      </c>
      <c r="W962" s="14">
        <f>IFERROR(__xludf.DUMMYFUNCTION("""COMPUTED_VALUE"""),105074.0)</f>
        <v>105074</v>
      </c>
      <c r="X962" s="14">
        <f>IFERROR(__xludf.DUMMYFUNCTION("""COMPUTED_VALUE"""),0.356)</f>
        <v>0.356</v>
      </c>
      <c r="Y962" s="14" t="str">
        <f>IFERROR(__xludf.DUMMYFUNCTION("""COMPUTED_VALUE"""),"Grenada-The Americas")</f>
        <v>Grenada-The Americas</v>
      </c>
      <c r="Z962" s="14" t="str">
        <f>IFERROR(__xludf.DUMMYFUNCTION("""COMPUTED_VALUE"""),"The Americas")</f>
        <v>The Americas</v>
      </c>
      <c r="AA962" s="14" t="str">
        <f>IFERROR(__xludf.DUMMYFUNCTION("""COMPUTED_VALUE"""),"2011")</f>
        <v>2011</v>
      </c>
      <c r="AB962" s="15" t="str">
        <f>IFERROR(__xludf.DUMMYFUNCTION("ARRAYFORMULA(VLOOKUP(A962,IMPORTRANGE(""https://docs.google.com/spreadsheets/d/1BuTWp7qHGjWhqrnf-OmePP568O4A5Am9ttzvVdP67zw/edit#gid=1931367683"" ,""ENERGY!$A$2:$F$2692""), {2,3,4,5,6},0))"),"The Americas")</f>
        <v>The Americas</v>
      </c>
      <c r="AC962" s="14" t="str">
        <f>IFERROR(__xludf.DUMMYFUNCTION("""COMPUTED_VALUE"""),"Grenada-The Americas")</f>
        <v>Grenada-The Americas</v>
      </c>
      <c r="AD962" s="14" t="str">
        <f>IFERROR(__xludf.DUMMYFUNCTION("""COMPUTED_VALUE"""),"2005")</f>
        <v>2005</v>
      </c>
      <c r="AE962" s="14"/>
      <c r="AF962" s="14">
        <f>IFERROR(__xludf.DUMMYFUNCTION("""COMPUTED_VALUE"""),194.0)</f>
        <v>194</v>
      </c>
    </row>
    <row r="963">
      <c r="A963" s="12">
        <v>962.0</v>
      </c>
      <c r="B963" s="12" t="s">
        <v>152</v>
      </c>
      <c r="C963" s="5" t="s">
        <v>84</v>
      </c>
      <c r="D963" s="11">
        <v>0.453</v>
      </c>
      <c r="E963" s="11">
        <v>15.0</v>
      </c>
      <c r="F963" s="11">
        <v>102.0</v>
      </c>
      <c r="G963" s="11">
        <v>140.0</v>
      </c>
      <c r="H963" s="11">
        <v>0.32</v>
      </c>
      <c r="I963" s="11">
        <v>1.232</v>
      </c>
      <c r="J963" s="9" t="s">
        <v>73</v>
      </c>
      <c r="K963" s="14" t="str">
        <f>IFERROR(__xludf.DUMMYFUNCTION("ARRAYFORMULA(VLOOKUP(A963,IMPORTRANGE(""https://docs.google.com/spreadsheets/d/1BuTWp7qHGjWhqrnf-OmePP568O4A5Am9ttzvVdP67zw/edit#gid=1603210130"", ""TOURISM!$A$2:$F$2692""), {2,3,4,5,6},0))"),"The Americas")</f>
        <v>The Americas</v>
      </c>
      <c r="L963" s="14">
        <f>IFERROR(__xludf.DUMMYFUNCTION("""COMPUTED_VALUE"""),1.1E8)</f>
        <v>110000000</v>
      </c>
      <c r="M963" s="14" t="str">
        <f>IFERROR(__xludf.DUMMYFUNCTION("""COMPUTED_VALUE"""),"Grenada-The Americas")</f>
        <v>Grenada-The Americas</v>
      </c>
      <c r="N963" s="14" t="str">
        <f>IFERROR(__xludf.DUMMYFUNCTION("""COMPUTED_VALUE"""),"2012")</f>
        <v>2012</v>
      </c>
      <c r="O963" s="14">
        <f>IFERROR(__xludf.DUMMYFUNCTION("""COMPUTED_VALUE"""),1.0E7)</f>
        <v>10000000</v>
      </c>
      <c r="P963" s="15">
        <f>IFERROR(__xludf.DUMMYFUNCTION("ARRAYFORMULA(VLOOKUP(A963,IMPORTRANGE(""https://docs.google.com/spreadsheets/d/1BuTWp7qHGjWhqrnf-OmePP568O4A5Am9ttzvVdP67zw/edit#gid=771602874"" ,""HUMAN RESOURCES!$A$2:$M$2692""), {2,3,4,5,6,7,8,9,10,11,12,13},0))"),0.019)</f>
        <v>0.019</v>
      </c>
      <c r="Q963" s="14">
        <f>IFERROR(__xludf.DUMMYFUNCTION("""COMPUTED_VALUE"""),0.011)</f>
        <v>0.011</v>
      </c>
      <c r="R963" s="14">
        <f>IFERROR(__xludf.DUMMYFUNCTION("""COMPUTED_VALUE"""),75.0)</f>
        <v>75</v>
      </c>
      <c r="S963" s="14">
        <f>IFERROR(__xludf.DUMMYFUNCTION("""COMPUTED_VALUE"""),70.0)</f>
        <v>70</v>
      </c>
      <c r="T963" s="14">
        <f>IFERROR(__xludf.DUMMYFUNCTION("""COMPUTED_VALUE"""),0.27)</f>
        <v>0.27</v>
      </c>
      <c r="U963" s="14">
        <f>IFERROR(__xludf.DUMMYFUNCTION("""COMPUTED_VALUE"""),0.659)</f>
        <v>0.659</v>
      </c>
      <c r="V963" s="14">
        <f>IFERROR(__xludf.DUMMYFUNCTION("""COMPUTED_VALUE"""),0.071)</f>
        <v>0.071</v>
      </c>
      <c r="W963" s="14">
        <f>IFERROR(__xludf.DUMMYFUNCTION("""COMPUTED_VALUE"""),105483.0)</f>
        <v>105483</v>
      </c>
      <c r="X963" s="14">
        <f>IFERROR(__xludf.DUMMYFUNCTION("""COMPUTED_VALUE"""),0.356)</f>
        <v>0.356</v>
      </c>
      <c r="Y963" s="14" t="str">
        <f>IFERROR(__xludf.DUMMYFUNCTION("""COMPUTED_VALUE"""),"Grenada-The Americas")</f>
        <v>Grenada-The Americas</v>
      </c>
      <c r="Z963" s="14" t="str">
        <f>IFERROR(__xludf.DUMMYFUNCTION("""COMPUTED_VALUE"""),"The Americas")</f>
        <v>The Americas</v>
      </c>
      <c r="AA963" s="14" t="str">
        <f>IFERROR(__xludf.DUMMYFUNCTION("""COMPUTED_VALUE"""),"2012")</f>
        <v>2012</v>
      </c>
      <c r="AB963" s="15" t="str">
        <f>IFERROR(__xludf.DUMMYFUNCTION("ARRAYFORMULA(VLOOKUP(A963,IMPORTRANGE(""https://docs.google.com/spreadsheets/d/1BuTWp7qHGjWhqrnf-OmePP568O4A5Am9ttzvVdP67zw/edit#gid=1931367683"" ,""ENERGY!$A$2:$F$2692""), {2,3,4,5,6},0))"),"The Americas")</f>
        <v>The Americas</v>
      </c>
      <c r="AC963" s="14" t="str">
        <f>IFERROR(__xludf.DUMMYFUNCTION("""COMPUTED_VALUE"""),"Grenada-The Americas")</f>
        <v>Grenada-The Americas</v>
      </c>
      <c r="AD963" s="14" t="str">
        <f>IFERROR(__xludf.DUMMYFUNCTION("""COMPUTED_VALUE"""),"2009")</f>
        <v>2009</v>
      </c>
      <c r="AE963" s="14"/>
      <c r="AF963" s="14">
        <f>IFERROR(__xludf.DUMMYFUNCTION("""COMPUTED_VALUE"""),191.0)</f>
        <v>191</v>
      </c>
    </row>
    <row r="964">
      <c r="A964" s="12">
        <v>963.0</v>
      </c>
      <c r="B964" s="12" t="s">
        <v>153</v>
      </c>
      <c r="C964" s="5" t="s">
        <v>80</v>
      </c>
      <c r="D964" s="8"/>
      <c r="E964" s="8"/>
      <c r="F964" s="8"/>
      <c r="G964" s="8"/>
      <c r="H964" s="11">
        <v>0.161</v>
      </c>
      <c r="I964" s="11">
        <v>0.175</v>
      </c>
      <c r="J964" s="9" t="s">
        <v>60</v>
      </c>
      <c r="K964" s="14" t="str">
        <f>IFERROR(__xludf.DUMMYFUNCTION("ARRAYFORMULA(VLOOKUP(A964,IMPORTRANGE(""https://docs.google.com/spreadsheets/d/1BuTWp7qHGjWhqrnf-OmePP568O4A5Am9ttzvVdP67zw/edit#gid=1603210130"", ""TOURISM!$A$2:$F$2692""), {2,3,4,5,6},0))"),"Oceania")</f>
        <v>Oceania</v>
      </c>
      <c r="L964" s="14"/>
      <c r="M964" s="14" t="str">
        <f>IFERROR(__xludf.DUMMYFUNCTION("""COMPUTED_VALUE"""),"Guam-Oceania")</f>
        <v>Guam-Oceania</v>
      </c>
      <c r="N964" s="14" t="str">
        <f>IFERROR(__xludf.DUMMYFUNCTION("""COMPUTED_VALUE"""),"2000")</f>
        <v>2000</v>
      </c>
      <c r="O964" s="14"/>
      <c r="P964" s="15">
        <f>IFERROR(__xludf.DUMMYFUNCTION("ARRAYFORMULA(VLOOKUP(A964,IMPORTRANGE(""https://docs.google.com/spreadsheets/d/1BuTWp7qHGjWhqrnf-OmePP568O4A5Am9ttzvVdP67zw/edit#gid=771602874"" ,""HUMAN RESOURCES!$A$2:$M$2692""), {2,3,4,5,6,7,8,9,10,11,12,13},0))"),0.022)</f>
        <v>0.022</v>
      </c>
      <c r="Q964" s="14"/>
      <c r="R964" s="14">
        <f>IFERROR(__xludf.DUMMYFUNCTION("""COMPUTED_VALUE"""),78.0)</f>
        <v>78</v>
      </c>
      <c r="S964" s="14">
        <f>IFERROR(__xludf.DUMMYFUNCTION("""COMPUTED_VALUE"""),73.0)</f>
        <v>73</v>
      </c>
      <c r="T964" s="14">
        <f>IFERROR(__xludf.DUMMYFUNCTION("""COMPUTED_VALUE"""),0.305)</f>
        <v>0.305</v>
      </c>
      <c r="U964" s="14">
        <f>IFERROR(__xludf.DUMMYFUNCTION("""COMPUTED_VALUE"""),0.642)</f>
        <v>0.642</v>
      </c>
      <c r="V964" s="14">
        <f>IFERROR(__xludf.DUMMYFUNCTION("""COMPUTED_VALUE"""),0.054)</f>
        <v>0.054</v>
      </c>
      <c r="W964" s="14">
        <f>IFERROR(__xludf.DUMMYFUNCTION("""COMPUTED_VALUE"""),155328.0)</f>
        <v>155328</v>
      </c>
      <c r="X964" s="14">
        <f>IFERROR(__xludf.DUMMYFUNCTION("""COMPUTED_VALUE"""),0.931)</f>
        <v>0.931</v>
      </c>
      <c r="Y964" s="14" t="str">
        <f>IFERROR(__xludf.DUMMYFUNCTION("""COMPUTED_VALUE"""),"Guam-Oceania")</f>
        <v>Guam-Oceania</v>
      </c>
      <c r="Z964" s="14" t="str">
        <f>IFERROR(__xludf.DUMMYFUNCTION("""COMPUTED_VALUE"""),"Oceania")</f>
        <v>Oceania</v>
      </c>
      <c r="AA964" s="14" t="str">
        <f>IFERROR(__xludf.DUMMYFUNCTION("""COMPUTED_VALUE"""),"2000")</f>
        <v>2000</v>
      </c>
      <c r="AB964" s="15" t="str">
        <f>IFERROR(__xludf.DUMMYFUNCTION("ARRAYFORMULA(VLOOKUP(A964,IMPORTRANGE(""https://docs.google.com/spreadsheets/d/1BuTWp7qHGjWhqrnf-OmePP568O4A5Am9ttzvVdP67zw/edit#gid=1931367683"" ,""ENERGY!$A$2:$F$2692""), {2,3,4,5,6},0))"),"Oceania")</f>
        <v>Oceania</v>
      </c>
      <c r="AC964" s="14" t="str">
        <f>IFERROR(__xludf.DUMMYFUNCTION("""COMPUTED_VALUE"""),"Guam-Oceania")</f>
        <v>Guam-Oceania</v>
      </c>
      <c r="AD964" s="14" t="str">
        <f>IFERROR(__xludf.DUMMYFUNCTION("""COMPUTED_VALUE"""),"2000")</f>
        <v>2000</v>
      </c>
      <c r="AE964" s="14"/>
      <c r="AF964" s="14"/>
    </row>
    <row r="965">
      <c r="A965" s="12">
        <v>964.0</v>
      </c>
      <c r="B965" s="12" t="s">
        <v>153</v>
      </c>
      <c r="C965" s="5" t="s">
        <v>80</v>
      </c>
      <c r="D965" s="8"/>
      <c r="E965" s="8"/>
      <c r="F965" s="8"/>
      <c r="G965" s="8"/>
      <c r="H965" s="11">
        <v>0.254</v>
      </c>
      <c r="I965" s="11">
        <v>0.208</v>
      </c>
      <c r="J965" s="9" t="s">
        <v>62</v>
      </c>
      <c r="K965" s="14" t="str">
        <f>IFERROR(__xludf.DUMMYFUNCTION("ARRAYFORMULA(VLOOKUP(A965,IMPORTRANGE(""https://docs.google.com/spreadsheets/d/1BuTWp7qHGjWhqrnf-OmePP568O4A5Am9ttzvVdP67zw/edit#gid=1603210130"", ""TOURISM!$A$2:$F$2692""), {2,3,4,5,6},0))"),"Oceania")</f>
        <v>Oceania</v>
      </c>
      <c r="L965" s="14"/>
      <c r="M965" s="14" t="str">
        <f>IFERROR(__xludf.DUMMYFUNCTION("""COMPUTED_VALUE"""),"Guam-Oceania")</f>
        <v>Guam-Oceania</v>
      </c>
      <c r="N965" s="14" t="str">
        <f>IFERROR(__xludf.DUMMYFUNCTION("""COMPUTED_VALUE"""),"2001")</f>
        <v>2001</v>
      </c>
      <c r="O965" s="14"/>
      <c r="P965" s="15">
        <f>IFERROR(__xludf.DUMMYFUNCTION("ARRAYFORMULA(VLOOKUP(A965,IMPORTRANGE(""https://docs.google.com/spreadsheets/d/1BuTWp7qHGjWhqrnf-OmePP568O4A5Am9ttzvVdP67zw/edit#gid=771602874"" ,""HUMAN RESOURCES!$A$2:$M$2692""), {2,3,4,5,6,7,8,9,10,11,12,13},0))"),0.021)</f>
        <v>0.021</v>
      </c>
      <c r="Q965" s="14"/>
      <c r="R965" s="14">
        <f>IFERROR(__xludf.DUMMYFUNCTION("""COMPUTED_VALUE"""),78.0)</f>
        <v>78</v>
      </c>
      <c r="S965" s="14">
        <f>IFERROR(__xludf.DUMMYFUNCTION("""COMPUTED_VALUE"""),73.0)</f>
        <v>73</v>
      </c>
      <c r="T965" s="14">
        <f>IFERROR(__xludf.DUMMYFUNCTION("""COMPUTED_VALUE"""),0.303)</f>
        <v>0.303</v>
      </c>
      <c r="U965" s="14">
        <f>IFERROR(__xludf.DUMMYFUNCTION("""COMPUTED_VALUE"""),0.641)</f>
        <v>0.641</v>
      </c>
      <c r="V965" s="14">
        <f>IFERROR(__xludf.DUMMYFUNCTION("""COMPUTED_VALUE"""),0.055)</f>
        <v>0.055</v>
      </c>
      <c r="W965" s="14">
        <f>IFERROR(__xludf.DUMMYFUNCTION("""COMPUTED_VALUE"""),156417.0)</f>
        <v>156417</v>
      </c>
      <c r="X965" s="14">
        <f>IFERROR(__xludf.DUMMYFUNCTION("""COMPUTED_VALUE"""),0.932)</f>
        <v>0.932</v>
      </c>
      <c r="Y965" s="14" t="str">
        <f>IFERROR(__xludf.DUMMYFUNCTION("""COMPUTED_VALUE"""),"Guam-Oceania")</f>
        <v>Guam-Oceania</v>
      </c>
      <c r="Z965" s="14" t="str">
        <f>IFERROR(__xludf.DUMMYFUNCTION("""COMPUTED_VALUE"""),"Oceania")</f>
        <v>Oceania</v>
      </c>
      <c r="AA965" s="14" t="str">
        <f>IFERROR(__xludf.DUMMYFUNCTION("""COMPUTED_VALUE"""),"2001")</f>
        <v>2001</v>
      </c>
      <c r="AB965" s="15" t="str">
        <f>IFERROR(__xludf.DUMMYFUNCTION("ARRAYFORMULA(VLOOKUP(A965,IMPORTRANGE(""https://docs.google.com/spreadsheets/d/1BuTWp7qHGjWhqrnf-OmePP568O4A5Am9ttzvVdP67zw/edit#gid=1931367683"" ,""ENERGY!$A$2:$F$2692""), {2,3,4,5,6},0))"),"Oceania")</f>
        <v>Oceania</v>
      </c>
      <c r="AC965" s="14" t="str">
        <f>IFERROR(__xludf.DUMMYFUNCTION("""COMPUTED_VALUE"""),"Guam-Oceania")</f>
        <v>Guam-Oceania</v>
      </c>
      <c r="AD965" s="14" t="str">
        <f>IFERROR(__xludf.DUMMYFUNCTION("""COMPUTED_VALUE"""),"2001")</f>
        <v>2001</v>
      </c>
      <c r="AE965" s="14"/>
      <c r="AF965" s="14"/>
    </row>
    <row r="966">
      <c r="A966" s="12">
        <v>965.0</v>
      </c>
      <c r="B966" s="12" t="s">
        <v>153</v>
      </c>
      <c r="C966" s="5" t="s">
        <v>80</v>
      </c>
      <c r="D966" s="8"/>
      <c r="E966" s="8"/>
      <c r="F966" s="8"/>
      <c r="G966" s="8"/>
      <c r="H966" s="11">
        <v>0.312</v>
      </c>
      <c r="I966" s="11">
        <v>0.448</v>
      </c>
      <c r="J966" s="9" t="s">
        <v>63</v>
      </c>
      <c r="K966" s="14" t="str">
        <f>IFERROR(__xludf.DUMMYFUNCTION("ARRAYFORMULA(VLOOKUP(A966,IMPORTRANGE(""https://docs.google.com/spreadsheets/d/1BuTWp7qHGjWhqrnf-OmePP568O4A5Am9ttzvVdP67zw/edit#gid=1603210130"", ""TOURISM!$A$2:$F$2692""), {2,3,4,5,6},0))"),"Oceania")</f>
        <v>Oceania</v>
      </c>
      <c r="L966" s="14"/>
      <c r="M966" s="14" t="str">
        <f>IFERROR(__xludf.DUMMYFUNCTION("""COMPUTED_VALUE"""),"Guam-Oceania")</f>
        <v>Guam-Oceania</v>
      </c>
      <c r="N966" s="14" t="str">
        <f>IFERROR(__xludf.DUMMYFUNCTION("""COMPUTED_VALUE"""),"2002")</f>
        <v>2002</v>
      </c>
      <c r="O966" s="14"/>
      <c r="P966" s="15">
        <f>IFERROR(__xludf.DUMMYFUNCTION("ARRAYFORMULA(VLOOKUP(A966,IMPORTRANGE(""https://docs.google.com/spreadsheets/d/1BuTWp7qHGjWhqrnf-OmePP568O4A5Am9ttzvVdP67zw/edit#gid=771602874"" ,""HUMAN RESOURCES!$A$2:$M$2692""), {2,3,4,5,6,7,8,9,10,11,12,13},0))"),0.021)</f>
        <v>0.021</v>
      </c>
      <c r="Q966" s="14"/>
      <c r="R966" s="14">
        <f>IFERROR(__xludf.DUMMYFUNCTION("""COMPUTED_VALUE"""),78.0)</f>
        <v>78</v>
      </c>
      <c r="S966" s="14">
        <f>IFERROR(__xludf.DUMMYFUNCTION("""COMPUTED_VALUE"""),73.0)</f>
        <v>73</v>
      </c>
      <c r="T966" s="14">
        <f>IFERROR(__xludf.DUMMYFUNCTION("""COMPUTED_VALUE"""),0.302)</f>
        <v>0.302</v>
      </c>
      <c r="U966" s="14">
        <f>IFERROR(__xludf.DUMMYFUNCTION("""COMPUTED_VALUE"""),0.641)</f>
        <v>0.641</v>
      </c>
      <c r="V966" s="14">
        <f>IFERROR(__xludf.DUMMYFUNCTION("""COMPUTED_VALUE"""),0.058)</f>
        <v>0.058</v>
      </c>
      <c r="W966" s="14">
        <f>IFERROR(__xludf.DUMMYFUNCTION("""COMPUTED_VALUE"""),157241.0)</f>
        <v>157241</v>
      </c>
      <c r="X966" s="14">
        <f>IFERROR(__xludf.DUMMYFUNCTION("""COMPUTED_VALUE"""),0.933)</f>
        <v>0.933</v>
      </c>
      <c r="Y966" s="14" t="str">
        <f>IFERROR(__xludf.DUMMYFUNCTION("""COMPUTED_VALUE"""),"Guam-Oceania")</f>
        <v>Guam-Oceania</v>
      </c>
      <c r="Z966" s="14" t="str">
        <f>IFERROR(__xludf.DUMMYFUNCTION("""COMPUTED_VALUE"""),"Oceania")</f>
        <v>Oceania</v>
      </c>
      <c r="AA966" s="14" t="str">
        <f>IFERROR(__xludf.DUMMYFUNCTION("""COMPUTED_VALUE"""),"2002")</f>
        <v>2002</v>
      </c>
      <c r="AB966" s="15" t="str">
        <f>IFERROR(__xludf.DUMMYFUNCTION("ARRAYFORMULA(VLOOKUP(A966,IMPORTRANGE(""https://docs.google.com/spreadsheets/d/1BuTWp7qHGjWhqrnf-OmePP568O4A5Am9ttzvVdP67zw/edit#gid=1931367683"" ,""ENERGY!$A$2:$F$2692""), {2,3,4,5,6},0))"),"Oceania")</f>
        <v>Oceania</v>
      </c>
      <c r="AC966" s="14" t="str">
        <f>IFERROR(__xludf.DUMMYFUNCTION("""COMPUTED_VALUE"""),"Guam-Oceania")</f>
        <v>Guam-Oceania</v>
      </c>
      <c r="AD966" s="14" t="str">
        <f>IFERROR(__xludf.DUMMYFUNCTION("""COMPUTED_VALUE"""),"2002")</f>
        <v>2002</v>
      </c>
      <c r="AE966" s="14"/>
      <c r="AF966" s="14"/>
    </row>
    <row r="967">
      <c r="A967" s="12">
        <v>966.0</v>
      </c>
      <c r="B967" s="12" t="s">
        <v>153</v>
      </c>
      <c r="C967" s="5" t="s">
        <v>80</v>
      </c>
      <c r="D967" s="8"/>
      <c r="E967" s="8"/>
      <c r="F967" s="8"/>
      <c r="G967" s="8"/>
      <c r="H967" s="11">
        <v>0.337</v>
      </c>
      <c r="I967" s="11">
        <v>0.506</v>
      </c>
      <c r="J967" s="9" t="s">
        <v>64</v>
      </c>
      <c r="K967" s="14" t="str">
        <f>IFERROR(__xludf.DUMMYFUNCTION("ARRAYFORMULA(VLOOKUP(A967,IMPORTRANGE(""https://docs.google.com/spreadsheets/d/1BuTWp7qHGjWhqrnf-OmePP568O4A5Am9ttzvVdP67zw/edit#gid=1603210130"", ""TOURISM!$A$2:$F$2692""), {2,3,4,5,6},0))"),"Oceania")</f>
        <v>Oceania</v>
      </c>
      <c r="L967" s="14"/>
      <c r="M967" s="14" t="str">
        <f>IFERROR(__xludf.DUMMYFUNCTION("""COMPUTED_VALUE"""),"Guam-Oceania")</f>
        <v>Guam-Oceania</v>
      </c>
      <c r="N967" s="14" t="str">
        <f>IFERROR(__xludf.DUMMYFUNCTION("""COMPUTED_VALUE"""),"2003")</f>
        <v>2003</v>
      </c>
      <c r="O967" s="14"/>
      <c r="P967" s="15">
        <f>IFERROR(__xludf.DUMMYFUNCTION("ARRAYFORMULA(VLOOKUP(A967,IMPORTRANGE(""https://docs.google.com/spreadsheets/d/1BuTWp7qHGjWhqrnf-OmePP568O4A5Am9ttzvVdP67zw/edit#gid=771602874"" ,""HUMAN RESOURCES!$A$2:$M$2692""), {2,3,4,5,6,7,8,9,10,11,12,13},0))"),0.02)</f>
        <v>0.02</v>
      </c>
      <c r="Q967" s="14"/>
      <c r="R967" s="14">
        <f>IFERROR(__xludf.DUMMYFUNCTION("""COMPUTED_VALUE"""),79.0)</f>
        <v>79</v>
      </c>
      <c r="S967" s="14">
        <f>IFERROR(__xludf.DUMMYFUNCTION("""COMPUTED_VALUE"""),74.0)</f>
        <v>74</v>
      </c>
      <c r="T967" s="14">
        <f>IFERROR(__xludf.DUMMYFUNCTION("""COMPUTED_VALUE"""),0.3)</f>
        <v>0.3</v>
      </c>
      <c r="U967" s="14">
        <f>IFERROR(__xludf.DUMMYFUNCTION("""COMPUTED_VALUE"""),0.64)</f>
        <v>0.64</v>
      </c>
      <c r="V967" s="14">
        <f>IFERROR(__xludf.DUMMYFUNCTION("""COMPUTED_VALUE"""),0.06)</f>
        <v>0.06</v>
      </c>
      <c r="W967" s="14">
        <f>IFERROR(__xludf.DUMMYFUNCTION("""COMPUTED_VALUE"""),157823.0)</f>
        <v>157823</v>
      </c>
      <c r="X967" s="14">
        <f>IFERROR(__xludf.DUMMYFUNCTION("""COMPUTED_VALUE"""),0.934)</f>
        <v>0.934</v>
      </c>
      <c r="Y967" s="14" t="str">
        <f>IFERROR(__xludf.DUMMYFUNCTION("""COMPUTED_VALUE"""),"Guam-Oceania")</f>
        <v>Guam-Oceania</v>
      </c>
      <c r="Z967" s="14" t="str">
        <f>IFERROR(__xludf.DUMMYFUNCTION("""COMPUTED_VALUE"""),"Oceania")</f>
        <v>Oceania</v>
      </c>
      <c r="AA967" s="14" t="str">
        <f>IFERROR(__xludf.DUMMYFUNCTION("""COMPUTED_VALUE"""),"2003")</f>
        <v>2003</v>
      </c>
      <c r="AB967" s="15" t="str">
        <f>IFERROR(__xludf.DUMMYFUNCTION("ARRAYFORMULA(VLOOKUP(A967,IMPORTRANGE(""https://docs.google.com/spreadsheets/d/1BuTWp7qHGjWhqrnf-OmePP568O4A5Am9ttzvVdP67zw/edit#gid=1931367683"" ,""ENERGY!$A$2:$F$2692""), {2,3,4,5,6},0))"),"Oceania")</f>
        <v>Oceania</v>
      </c>
      <c r="AC967" s="14" t="str">
        <f>IFERROR(__xludf.DUMMYFUNCTION("""COMPUTED_VALUE"""),"Guam-Oceania")</f>
        <v>Guam-Oceania</v>
      </c>
      <c r="AD967" s="14" t="str">
        <f>IFERROR(__xludf.DUMMYFUNCTION("""COMPUTED_VALUE"""),"2003")</f>
        <v>2003</v>
      </c>
      <c r="AE967" s="14"/>
      <c r="AF967" s="14"/>
    </row>
    <row r="968">
      <c r="A968" s="12">
        <v>967.0</v>
      </c>
      <c r="B968" s="12" t="s">
        <v>153</v>
      </c>
      <c r="C968" s="5" t="s">
        <v>80</v>
      </c>
      <c r="D968" s="8"/>
      <c r="E968" s="8"/>
      <c r="F968" s="8"/>
      <c r="G968" s="8"/>
      <c r="H968" s="11">
        <v>0.362</v>
      </c>
      <c r="I968" s="11">
        <v>0.619</v>
      </c>
      <c r="J968" s="9" t="s">
        <v>65</v>
      </c>
      <c r="K968" s="14" t="str">
        <f>IFERROR(__xludf.DUMMYFUNCTION("ARRAYFORMULA(VLOOKUP(A968,IMPORTRANGE(""https://docs.google.com/spreadsheets/d/1BuTWp7qHGjWhqrnf-OmePP568O4A5Am9ttzvVdP67zw/edit#gid=1603210130"", ""TOURISM!$A$2:$F$2692""), {2,3,4,5,6},0))"),"Oceania")</f>
        <v>Oceania</v>
      </c>
      <c r="L968" s="14"/>
      <c r="M968" s="14" t="str">
        <f>IFERROR(__xludf.DUMMYFUNCTION("""COMPUTED_VALUE"""),"Guam-Oceania")</f>
        <v>Guam-Oceania</v>
      </c>
      <c r="N968" s="14" t="str">
        <f>IFERROR(__xludf.DUMMYFUNCTION("""COMPUTED_VALUE"""),"2004")</f>
        <v>2004</v>
      </c>
      <c r="O968" s="14"/>
      <c r="P968" s="15">
        <f>IFERROR(__xludf.DUMMYFUNCTION("ARRAYFORMULA(VLOOKUP(A968,IMPORTRANGE(""https://docs.google.com/spreadsheets/d/1BuTWp7qHGjWhqrnf-OmePP568O4A5Am9ttzvVdP67zw/edit#gid=771602874"" ,""HUMAN RESOURCES!$A$2:$M$2692""), {2,3,4,5,6,7,8,9,10,11,12,13},0))"),0.02)</f>
        <v>0.02</v>
      </c>
      <c r="Q968" s="14"/>
      <c r="R968" s="14">
        <f>IFERROR(__xludf.DUMMYFUNCTION("""COMPUTED_VALUE"""),79.0)</f>
        <v>79</v>
      </c>
      <c r="S968" s="14">
        <f>IFERROR(__xludf.DUMMYFUNCTION("""COMPUTED_VALUE"""),74.0)</f>
        <v>74</v>
      </c>
      <c r="T968" s="14">
        <f>IFERROR(__xludf.DUMMYFUNCTION("""COMPUTED_VALUE"""),0.298)</f>
        <v>0.298</v>
      </c>
      <c r="U968" s="14">
        <f>IFERROR(__xludf.DUMMYFUNCTION("""COMPUTED_VALUE"""),0.64)</f>
        <v>0.64</v>
      </c>
      <c r="V968" s="14">
        <f>IFERROR(__xludf.DUMMYFUNCTION("""COMPUTED_VALUE"""),0.062)</f>
        <v>0.062</v>
      </c>
      <c r="W968" s="14">
        <f>IFERROR(__xludf.DUMMYFUNCTION("""COMPUTED_VALUE"""),158194.0)</f>
        <v>158194</v>
      </c>
      <c r="X968" s="14">
        <f>IFERROR(__xludf.DUMMYFUNCTION("""COMPUTED_VALUE"""),0.935)</f>
        <v>0.935</v>
      </c>
      <c r="Y968" s="14" t="str">
        <f>IFERROR(__xludf.DUMMYFUNCTION("""COMPUTED_VALUE"""),"Guam-Oceania")</f>
        <v>Guam-Oceania</v>
      </c>
      <c r="Z968" s="14" t="str">
        <f>IFERROR(__xludf.DUMMYFUNCTION("""COMPUTED_VALUE"""),"Oceania")</f>
        <v>Oceania</v>
      </c>
      <c r="AA968" s="14" t="str">
        <f>IFERROR(__xludf.DUMMYFUNCTION("""COMPUTED_VALUE"""),"2004")</f>
        <v>2004</v>
      </c>
      <c r="AB968" s="15" t="str">
        <f>IFERROR(__xludf.DUMMYFUNCTION("ARRAYFORMULA(VLOOKUP(A968,IMPORTRANGE(""https://docs.google.com/spreadsheets/d/1BuTWp7qHGjWhqrnf-OmePP568O4A5Am9ttzvVdP67zw/edit#gid=1931367683"" ,""ENERGY!$A$2:$F$2692""), {2,3,4,5,6},0))"),"Oceania")</f>
        <v>Oceania</v>
      </c>
      <c r="AC968" s="14" t="str">
        <f>IFERROR(__xludf.DUMMYFUNCTION("""COMPUTED_VALUE"""),"Guam-Oceania")</f>
        <v>Guam-Oceania</v>
      </c>
      <c r="AD968" s="14" t="str">
        <f>IFERROR(__xludf.DUMMYFUNCTION("""COMPUTED_VALUE"""),"2004")</f>
        <v>2004</v>
      </c>
      <c r="AE968" s="14"/>
      <c r="AF968" s="14"/>
    </row>
    <row r="969">
      <c r="A969" s="12">
        <v>968.0</v>
      </c>
      <c r="B969" s="12" t="s">
        <v>153</v>
      </c>
      <c r="C969" s="5" t="s">
        <v>80</v>
      </c>
      <c r="D969" s="8"/>
      <c r="E969" s="8"/>
      <c r="F969" s="8"/>
      <c r="G969" s="8"/>
      <c r="H969" s="11">
        <v>0.386</v>
      </c>
      <c r="I969" s="8"/>
      <c r="J969" s="9" t="s">
        <v>66</v>
      </c>
      <c r="K969" s="14" t="str">
        <f>IFERROR(__xludf.DUMMYFUNCTION("ARRAYFORMULA(VLOOKUP(A969,IMPORTRANGE(""https://docs.google.com/spreadsheets/d/1BuTWp7qHGjWhqrnf-OmePP568O4A5Am9ttzvVdP67zw/edit#gid=1603210130"", ""TOURISM!$A$2:$F$2692""), {2,3,4,5,6},0))"),"Oceania")</f>
        <v>Oceania</v>
      </c>
      <c r="L969" s="14"/>
      <c r="M969" s="14" t="str">
        <f>IFERROR(__xludf.DUMMYFUNCTION("""COMPUTED_VALUE"""),"Guam-Oceania")</f>
        <v>Guam-Oceania</v>
      </c>
      <c r="N969" s="14" t="str">
        <f>IFERROR(__xludf.DUMMYFUNCTION("""COMPUTED_VALUE"""),"2005")</f>
        <v>2005</v>
      </c>
      <c r="O969" s="14"/>
      <c r="P969" s="15">
        <f>IFERROR(__xludf.DUMMYFUNCTION("ARRAYFORMULA(VLOOKUP(A969,IMPORTRANGE(""https://docs.google.com/spreadsheets/d/1BuTWp7qHGjWhqrnf-OmePP568O4A5Am9ttzvVdP67zw/edit#gid=771602874"" ,""HUMAN RESOURCES!$A$2:$M$2692""), {2,3,4,5,6,7,8,9,10,11,12,13},0))"),0.019)</f>
        <v>0.019</v>
      </c>
      <c r="Q969" s="14"/>
      <c r="R969" s="14">
        <f>IFERROR(__xludf.DUMMYFUNCTION("""COMPUTED_VALUE"""),79.0)</f>
        <v>79</v>
      </c>
      <c r="S969" s="14">
        <f>IFERROR(__xludf.DUMMYFUNCTION("""COMPUTED_VALUE"""),74.0)</f>
        <v>74</v>
      </c>
      <c r="T969" s="14">
        <f>IFERROR(__xludf.DUMMYFUNCTION("""COMPUTED_VALUE"""),0.295)</f>
        <v>0.295</v>
      </c>
      <c r="U969" s="14">
        <f>IFERROR(__xludf.DUMMYFUNCTION("""COMPUTED_VALUE"""),0.641)</f>
        <v>0.641</v>
      </c>
      <c r="V969" s="14">
        <f>IFERROR(__xludf.DUMMYFUNCTION("""COMPUTED_VALUE"""),0.064)</f>
        <v>0.064</v>
      </c>
      <c r="W969" s="14">
        <f>IFERROR(__xludf.DUMMYFUNCTION("""COMPUTED_VALUE"""),158401.0)</f>
        <v>158401</v>
      </c>
      <c r="X969" s="14">
        <f>IFERROR(__xludf.DUMMYFUNCTION("""COMPUTED_VALUE"""),0.936)</f>
        <v>0.936</v>
      </c>
      <c r="Y969" s="14" t="str">
        <f>IFERROR(__xludf.DUMMYFUNCTION("""COMPUTED_VALUE"""),"Guam-Oceania")</f>
        <v>Guam-Oceania</v>
      </c>
      <c r="Z969" s="14" t="str">
        <f>IFERROR(__xludf.DUMMYFUNCTION("""COMPUTED_VALUE"""),"Oceania")</f>
        <v>Oceania</v>
      </c>
      <c r="AA969" s="14" t="str">
        <f>IFERROR(__xludf.DUMMYFUNCTION("""COMPUTED_VALUE"""),"2005")</f>
        <v>2005</v>
      </c>
      <c r="AB969" s="15" t="str">
        <f>IFERROR(__xludf.DUMMYFUNCTION("ARRAYFORMULA(VLOOKUP(A969,IMPORTRANGE(""https://docs.google.com/spreadsheets/d/1BuTWp7qHGjWhqrnf-OmePP568O4A5Am9ttzvVdP67zw/edit#gid=1931367683"" ,""ENERGY!$A$2:$F$2692""), {2,3,4,5,6},0))"),"Oceania")</f>
        <v>Oceania</v>
      </c>
      <c r="AC969" s="14" t="str">
        <f>IFERROR(__xludf.DUMMYFUNCTION("""COMPUTED_VALUE"""),"Guam-Oceania")</f>
        <v>Guam-Oceania</v>
      </c>
      <c r="AD969" s="14" t="str">
        <f>IFERROR(__xludf.DUMMYFUNCTION("""COMPUTED_VALUE"""),"2007")</f>
        <v>2007</v>
      </c>
      <c r="AE969" s="14"/>
      <c r="AF969" s="14"/>
    </row>
    <row r="970">
      <c r="A970" s="12">
        <v>969.0</v>
      </c>
      <c r="B970" s="12" t="s">
        <v>153</v>
      </c>
      <c r="C970" s="5" t="s">
        <v>80</v>
      </c>
      <c r="D970" s="8"/>
      <c r="E970" s="8"/>
      <c r="F970" s="8"/>
      <c r="G970" s="8"/>
      <c r="H970" s="11">
        <v>0.439</v>
      </c>
      <c r="I970" s="8"/>
      <c r="J970" s="9" t="s">
        <v>67</v>
      </c>
      <c r="K970" s="14" t="str">
        <f>IFERROR(__xludf.DUMMYFUNCTION("ARRAYFORMULA(VLOOKUP(A970,IMPORTRANGE(""https://docs.google.com/spreadsheets/d/1BuTWp7qHGjWhqrnf-OmePP568O4A5Am9ttzvVdP67zw/edit#gid=1603210130"", ""TOURISM!$A$2:$F$2692""), {2,3,4,5,6},0))"),"Oceania")</f>
        <v>Oceania</v>
      </c>
      <c r="L970" s="14"/>
      <c r="M970" s="14" t="str">
        <f>IFERROR(__xludf.DUMMYFUNCTION("""COMPUTED_VALUE"""),"Guam-Oceania")</f>
        <v>Guam-Oceania</v>
      </c>
      <c r="N970" s="14" t="str">
        <f>IFERROR(__xludf.DUMMYFUNCTION("""COMPUTED_VALUE"""),"2006")</f>
        <v>2006</v>
      </c>
      <c r="O970" s="14"/>
      <c r="P970" s="15">
        <f>IFERROR(__xludf.DUMMYFUNCTION("ARRAYFORMULA(VLOOKUP(A970,IMPORTRANGE(""https://docs.google.com/spreadsheets/d/1BuTWp7qHGjWhqrnf-OmePP568O4A5Am9ttzvVdP67zw/edit#gid=771602874"" ,""HUMAN RESOURCES!$A$2:$M$2692""), {2,3,4,5,6,7,8,9,10,11,12,13},0))"),0.019)</f>
        <v>0.019</v>
      </c>
      <c r="Q970" s="14"/>
      <c r="R970" s="14">
        <f>IFERROR(__xludf.DUMMYFUNCTION("""COMPUTED_VALUE"""),80.0)</f>
        <v>80</v>
      </c>
      <c r="S970" s="14">
        <f>IFERROR(__xludf.DUMMYFUNCTION("""COMPUTED_VALUE"""),74.0)</f>
        <v>74</v>
      </c>
      <c r="T970" s="14">
        <f>IFERROR(__xludf.DUMMYFUNCTION("""COMPUTED_VALUE"""),0.292)</f>
        <v>0.292</v>
      </c>
      <c r="U970" s="14">
        <f>IFERROR(__xludf.DUMMYFUNCTION("""COMPUTED_VALUE"""),0.642)</f>
        <v>0.642</v>
      </c>
      <c r="V970" s="14">
        <f>IFERROR(__xludf.DUMMYFUNCTION("""COMPUTED_VALUE"""),0.066)</f>
        <v>0.066</v>
      </c>
      <c r="W970" s="14">
        <f>IFERROR(__xludf.DUMMYFUNCTION("""COMPUTED_VALUE"""),158429.0)</f>
        <v>158429</v>
      </c>
      <c r="X970" s="14">
        <f>IFERROR(__xludf.DUMMYFUNCTION("""COMPUTED_VALUE"""),0.937)</f>
        <v>0.937</v>
      </c>
      <c r="Y970" s="14" t="str">
        <f>IFERROR(__xludf.DUMMYFUNCTION("""COMPUTED_VALUE"""),"Guam-Oceania")</f>
        <v>Guam-Oceania</v>
      </c>
      <c r="Z970" s="14" t="str">
        <f>IFERROR(__xludf.DUMMYFUNCTION("""COMPUTED_VALUE"""),"Oceania")</f>
        <v>Oceania</v>
      </c>
      <c r="AA970" s="14" t="str">
        <f>IFERROR(__xludf.DUMMYFUNCTION("""COMPUTED_VALUE"""),"2006")</f>
        <v>2006</v>
      </c>
      <c r="AB970" s="15" t="str">
        <f>IFERROR(__xludf.DUMMYFUNCTION("ARRAYFORMULA(VLOOKUP(A970,IMPORTRANGE(""https://docs.google.com/spreadsheets/d/1BuTWp7qHGjWhqrnf-OmePP568O4A5Am9ttzvVdP67zw/edit#gid=1931367683"" ,""ENERGY!$A$2:$F$2692""), {2,3,4,5,6},0))"),"Oceania")</f>
        <v>Oceania</v>
      </c>
      <c r="AC970" s="14" t="str">
        <f>IFERROR(__xludf.DUMMYFUNCTION("""COMPUTED_VALUE"""),"Guam-Oceania")</f>
        <v>Guam-Oceania</v>
      </c>
      <c r="AD970" s="14" t="str">
        <f>IFERROR(__xludf.DUMMYFUNCTION("""COMPUTED_VALUE"""),"2010")</f>
        <v>2010</v>
      </c>
      <c r="AE970" s="14"/>
      <c r="AF970" s="14"/>
    </row>
    <row r="971">
      <c r="A971" s="12">
        <v>970.0</v>
      </c>
      <c r="B971" s="12" t="s">
        <v>153</v>
      </c>
      <c r="C971" s="5" t="s">
        <v>80</v>
      </c>
      <c r="D971" s="8"/>
      <c r="E971" s="8"/>
      <c r="F971" s="8"/>
      <c r="G971" s="8"/>
      <c r="H971" s="11">
        <v>0.462</v>
      </c>
      <c r="I971" s="8"/>
      <c r="J971" s="9" t="s">
        <v>68</v>
      </c>
      <c r="K971" s="14" t="str">
        <f>IFERROR(__xludf.DUMMYFUNCTION("ARRAYFORMULA(VLOOKUP(A971,IMPORTRANGE(""https://docs.google.com/spreadsheets/d/1BuTWp7qHGjWhqrnf-OmePP568O4A5Am9ttzvVdP67zw/edit#gid=1603210130"", ""TOURISM!$A$2:$F$2692""), {2,3,4,5,6},0))"),"Oceania")</f>
        <v>Oceania</v>
      </c>
      <c r="L971" s="14"/>
      <c r="M971" s="14" t="str">
        <f>IFERROR(__xludf.DUMMYFUNCTION("""COMPUTED_VALUE"""),"Guam-Oceania")</f>
        <v>Guam-Oceania</v>
      </c>
      <c r="N971" s="14" t="str">
        <f>IFERROR(__xludf.DUMMYFUNCTION("""COMPUTED_VALUE"""),"2007")</f>
        <v>2007</v>
      </c>
      <c r="O971" s="14"/>
      <c r="P971" s="15">
        <f>IFERROR(__xludf.DUMMYFUNCTION("ARRAYFORMULA(VLOOKUP(A971,IMPORTRANGE(""https://docs.google.com/spreadsheets/d/1BuTWp7qHGjWhqrnf-OmePP568O4A5Am9ttzvVdP67zw/edit#gid=771602874"" ,""HUMAN RESOURCES!$A$2:$M$2692""), {2,3,4,5,6,7,8,9,10,11,12,13},0))"),0.019)</f>
        <v>0.019</v>
      </c>
      <c r="Q971" s="14"/>
      <c r="R971" s="14">
        <f>IFERROR(__xludf.DUMMYFUNCTION("""COMPUTED_VALUE"""),80.0)</f>
        <v>80</v>
      </c>
      <c r="S971" s="14">
        <f>IFERROR(__xludf.DUMMYFUNCTION("""COMPUTED_VALUE"""),75.0)</f>
        <v>75</v>
      </c>
      <c r="T971" s="14">
        <f>IFERROR(__xludf.DUMMYFUNCTION("""COMPUTED_VALUE"""),0.288)</f>
        <v>0.288</v>
      </c>
      <c r="U971" s="14">
        <f>IFERROR(__xludf.DUMMYFUNCTION("""COMPUTED_VALUE"""),0.645)</f>
        <v>0.645</v>
      </c>
      <c r="V971" s="14">
        <f>IFERROR(__xludf.DUMMYFUNCTION("""COMPUTED_VALUE"""),0.067)</f>
        <v>0.067</v>
      </c>
      <c r="W971" s="14">
        <f>IFERROR(__xludf.DUMMYFUNCTION("""COMPUTED_VALUE"""),158331.0)</f>
        <v>158331</v>
      </c>
      <c r="X971" s="14">
        <f>IFERROR(__xludf.DUMMYFUNCTION("""COMPUTED_VALUE"""),0.938)</f>
        <v>0.938</v>
      </c>
      <c r="Y971" s="14" t="str">
        <f>IFERROR(__xludf.DUMMYFUNCTION("""COMPUTED_VALUE"""),"Guam-Oceania")</f>
        <v>Guam-Oceania</v>
      </c>
      <c r="Z971" s="14" t="str">
        <f>IFERROR(__xludf.DUMMYFUNCTION("""COMPUTED_VALUE"""),"Oceania")</f>
        <v>Oceania</v>
      </c>
      <c r="AA971" s="14" t="str">
        <f>IFERROR(__xludf.DUMMYFUNCTION("""COMPUTED_VALUE"""),"2007")</f>
        <v>2007</v>
      </c>
      <c r="AB971" s="15" t="str">
        <f>IFERROR(__xludf.DUMMYFUNCTION("ARRAYFORMULA(VLOOKUP(A971,IMPORTRANGE(""https://docs.google.com/spreadsheets/d/1BuTWp7qHGjWhqrnf-OmePP568O4A5Am9ttzvVdP67zw/edit#gid=1931367683"" ,""ENERGY!$A$2:$F$2692""), {2,3,4,5,6},0))"),"Oceania")</f>
        <v>Oceania</v>
      </c>
      <c r="AC971" s="14" t="str">
        <f>IFERROR(__xludf.DUMMYFUNCTION("""COMPUTED_VALUE"""),"Guam-Oceania")</f>
        <v>Guam-Oceania</v>
      </c>
      <c r="AD971" s="14" t="str">
        <f>IFERROR(__xludf.DUMMYFUNCTION("""COMPUTED_VALUE"""),"2007")</f>
        <v>2007</v>
      </c>
      <c r="AE971" s="14"/>
      <c r="AF971" s="14"/>
    </row>
    <row r="972">
      <c r="A972" s="12">
        <v>971.0</v>
      </c>
      <c r="B972" s="12" t="s">
        <v>153</v>
      </c>
      <c r="C972" s="5" t="s">
        <v>80</v>
      </c>
      <c r="D972" s="8"/>
      <c r="E972" s="8"/>
      <c r="F972" s="8"/>
      <c r="G972" s="8"/>
      <c r="H972" s="11">
        <v>0.484</v>
      </c>
      <c r="I972" s="8"/>
      <c r="J972" s="9" t="s">
        <v>69</v>
      </c>
      <c r="K972" s="14" t="str">
        <f>IFERROR(__xludf.DUMMYFUNCTION("ARRAYFORMULA(VLOOKUP(A972,IMPORTRANGE(""https://docs.google.com/spreadsheets/d/1BuTWp7qHGjWhqrnf-OmePP568O4A5Am9ttzvVdP67zw/edit#gid=1603210130"", ""TOURISM!$A$2:$F$2692""), {2,3,4,5,6},0))"),"Oceania")</f>
        <v>Oceania</v>
      </c>
      <c r="L972" s="14"/>
      <c r="M972" s="14" t="str">
        <f>IFERROR(__xludf.DUMMYFUNCTION("""COMPUTED_VALUE"""),"Guam-Oceania")</f>
        <v>Guam-Oceania</v>
      </c>
      <c r="N972" s="14" t="str">
        <f>IFERROR(__xludf.DUMMYFUNCTION("""COMPUTED_VALUE"""),"2008")</f>
        <v>2008</v>
      </c>
      <c r="O972" s="14"/>
      <c r="P972" s="15">
        <f>IFERROR(__xludf.DUMMYFUNCTION("ARRAYFORMULA(VLOOKUP(A972,IMPORTRANGE(""https://docs.google.com/spreadsheets/d/1BuTWp7qHGjWhqrnf-OmePP568O4A5Am9ttzvVdP67zw/edit#gid=771602874"" ,""HUMAN RESOURCES!$A$2:$M$2692""), {2,3,4,5,6,7,8,9,10,11,12,13},0))"),0.018)</f>
        <v>0.018</v>
      </c>
      <c r="Q972" s="14"/>
      <c r="R972" s="14">
        <f>IFERROR(__xludf.DUMMYFUNCTION("""COMPUTED_VALUE"""),80.0)</f>
        <v>80</v>
      </c>
      <c r="S972" s="14">
        <f>IFERROR(__xludf.DUMMYFUNCTION("""COMPUTED_VALUE"""),75.0)</f>
        <v>75</v>
      </c>
      <c r="T972" s="14">
        <f>IFERROR(__xludf.DUMMYFUNCTION("""COMPUTED_VALUE"""),0.284)</f>
        <v>0.284</v>
      </c>
      <c r="U972" s="14">
        <f>IFERROR(__xludf.DUMMYFUNCTION("""COMPUTED_VALUE"""),0.647)</f>
        <v>0.647</v>
      </c>
      <c r="V972" s="14">
        <f>IFERROR(__xludf.DUMMYFUNCTION("""COMPUTED_VALUE"""),0.069)</f>
        <v>0.069</v>
      </c>
      <c r="W972" s="14">
        <f>IFERROR(__xludf.DUMMYFUNCTION("""COMPUTED_VALUE"""),158310.0)</f>
        <v>158310</v>
      </c>
      <c r="X972" s="14">
        <f>IFERROR(__xludf.DUMMYFUNCTION("""COMPUTED_VALUE"""),0.939)</f>
        <v>0.939</v>
      </c>
      <c r="Y972" s="14" t="str">
        <f>IFERROR(__xludf.DUMMYFUNCTION("""COMPUTED_VALUE"""),"Guam-Oceania")</f>
        <v>Guam-Oceania</v>
      </c>
      <c r="Z972" s="14" t="str">
        <f>IFERROR(__xludf.DUMMYFUNCTION("""COMPUTED_VALUE"""),"Oceania")</f>
        <v>Oceania</v>
      </c>
      <c r="AA972" s="14" t="str">
        <f>IFERROR(__xludf.DUMMYFUNCTION("""COMPUTED_VALUE"""),"2008")</f>
        <v>2008</v>
      </c>
      <c r="AB972" s="15" t="str">
        <f>IFERROR(__xludf.DUMMYFUNCTION("ARRAYFORMULA(VLOOKUP(A972,IMPORTRANGE(""https://docs.google.com/spreadsheets/d/1BuTWp7qHGjWhqrnf-OmePP568O4A5Am9ttzvVdP67zw/edit#gid=1931367683"" ,""ENERGY!$A$2:$F$2692""), {2,3,4,5,6},0))"),"Oceania")</f>
        <v>Oceania</v>
      </c>
      <c r="AC972" s="14" t="str">
        <f>IFERROR(__xludf.DUMMYFUNCTION("""COMPUTED_VALUE"""),"Guam-Oceania")</f>
        <v>Guam-Oceania</v>
      </c>
      <c r="AD972" s="14" t="str">
        <f>IFERROR(__xludf.DUMMYFUNCTION("""COMPUTED_VALUE"""),"2005")</f>
        <v>2005</v>
      </c>
      <c r="AE972" s="14"/>
      <c r="AF972" s="14"/>
    </row>
    <row r="973">
      <c r="A973" s="12">
        <v>972.0</v>
      </c>
      <c r="B973" s="12" t="s">
        <v>153</v>
      </c>
      <c r="C973" s="5" t="s">
        <v>80</v>
      </c>
      <c r="D973" s="8"/>
      <c r="E973" s="8"/>
      <c r="F973" s="8"/>
      <c r="G973" s="8"/>
      <c r="H973" s="11">
        <v>0.506</v>
      </c>
      <c r="I973" s="8"/>
      <c r="J973" s="9" t="s">
        <v>70</v>
      </c>
      <c r="K973" s="14" t="str">
        <f>IFERROR(__xludf.DUMMYFUNCTION("ARRAYFORMULA(VLOOKUP(A973,IMPORTRANGE(""https://docs.google.com/spreadsheets/d/1BuTWp7qHGjWhqrnf-OmePP568O4A5Am9ttzvVdP67zw/edit#gid=1603210130"", ""TOURISM!$A$2:$F$2692""), {2,3,4,5,6},0))"),"Oceania")</f>
        <v>Oceania</v>
      </c>
      <c r="L973" s="14"/>
      <c r="M973" s="14" t="str">
        <f>IFERROR(__xludf.DUMMYFUNCTION("""COMPUTED_VALUE"""),"Guam-Oceania")</f>
        <v>Guam-Oceania</v>
      </c>
      <c r="N973" s="14" t="str">
        <f>IFERROR(__xludf.DUMMYFUNCTION("""COMPUTED_VALUE"""),"2009")</f>
        <v>2009</v>
      </c>
      <c r="O973" s="14"/>
      <c r="P973" s="15">
        <f>IFERROR(__xludf.DUMMYFUNCTION("ARRAYFORMULA(VLOOKUP(A973,IMPORTRANGE(""https://docs.google.com/spreadsheets/d/1BuTWp7qHGjWhqrnf-OmePP568O4A5Am9ttzvVdP67zw/edit#gid=771602874"" ,""HUMAN RESOURCES!$A$2:$M$2692""), {2,3,4,5,6,7,8,9,10,11,12,13},0))"),0.018)</f>
        <v>0.018</v>
      </c>
      <c r="Q973" s="14"/>
      <c r="R973" s="14">
        <f>IFERROR(__xludf.DUMMYFUNCTION("""COMPUTED_VALUE"""),81.0)</f>
        <v>81</v>
      </c>
      <c r="S973" s="14">
        <f>IFERROR(__xludf.DUMMYFUNCTION("""COMPUTED_VALUE"""),75.0)</f>
        <v>75</v>
      </c>
      <c r="T973" s="14">
        <f>IFERROR(__xludf.DUMMYFUNCTION("""COMPUTED_VALUE"""),0.279)</f>
        <v>0.279</v>
      </c>
      <c r="U973" s="14">
        <f>IFERROR(__xludf.DUMMYFUNCTION("""COMPUTED_VALUE"""),0.65)</f>
        <v>0.65</v>
      </c>
      <c r="V973" s="14">
        <f>IFERROR(__xludf.DUMMYFUNCTION("""COMPUTED_VALUE"""),0.071)</f>
        <v>0.071</v>
      </c>
      <c r="W973" s="14">
        <f>IFERROR(__xludf.DUMMYFUNCTION("""COMPUTED_VALUE"""),158621.0)</f>
        <v>158621</v>
      </c>
      <c r="X973" s="14">
        <f>IFERROR(__xludf.DUMMYFUNCTION("""COMPUTED_VALUE"""),0.94)</f>
        <v>0.94</v>
      </c>
      <c r="Y973" s="14" t="str">
        <f>IFERROR(__xludf.DUMMYFUNCTION("""COMPUTED_VALUE"""),"Guam-Oceania")</f>
        <v>Guam-Oceania</v>
      </c>
      <c r="Z973" s="14" t="str">
        <f>IFERROR(__xludf.DUMMYFUNCTION("""COMPUTED_VALUE"""),"Oceania")</f>
        <v>Oceania</v>
      </c>
      <c r="AA973" s="14" t="str">
        <f>IFERROR(__xludf.DUMMYFUNCTION("""COMPUTED_VALUE"""),"2009")</f>
        <v>2009</v>
      </c>
      <c r="AB973" s="15" t="str">
        <f>IFERROR(__xludf.DUMMYFUNCTION("ARRAYFORMULA(VLOOKUP(A973,IMPORTRANGE(""https://docs.google.com/spreadsheets/d/1BuTWp7qHGjWhqrnf-OmePP568O4A5Am9ttzvVdP67zw/edit#gid=1931367683"" ,""ENERGY!$A$2:$F$2692""), {2,3,4,5,6},0))"),"Oceania")</f>
        <v>Oceania</v>
      </c>
      <c r="AC973" s="14" t="str">
        <f>IFERROR(__xludf.DUMMYFUNCTION("""COMPUTED_VALUE"""),"Guam-Oceania")</f>
        <v>Guam-Oceania</v>
      </c>
      <c r="AD973" s="14" t="str">
        <f>IFERROR(__xludf.DUMMYFUNCTION("""COMPUTED_VALUE"""),"2010")</f>
        <v>2010</v>
      </c>
      <c r="AE973" s="14"/>
      <c r="AF973" s="14"/>
    </row>
    <row r="974">
      <c r="A974" s="12">
        <v>973.0</v>
      </c>
      <c r="B974" s="12" t="s">
        <v>153</v>
      </c>
      <c r="C974" s="5" t="s">
        <v>80</v>
      </c>
      <c r="D974" s="8"/>
      <c r="E974" s="8"/>
      <c r="F974" s="8"/>
      <c r="G974" s="8"/>
      <c r="H974" s="11">
        <v>0.54</v>
      </c>
      <c r="I974" s="8"/>
      <c r="J974" s="9" t="s">
        <v>71</v>
      </c>
      <c r="K974" s="14" t="str">
        <f>IFERROR(__xludf.DUMMYFUNCTION("ARRAYFORMULA(VLOOKUP(A974,IMPORTRANGE(""https://docs.google.com/spreadsheets/d/1BuTWp7qHGjWhqrnf-OmePP568O4A5Am9ttzvVdP67zw/edit#gid=1603210130"", ""TOURISM!$A$2:$F$2692""), {2,3,4,5,6},0))"),"Oceania")</f>
        <v>Oceania</v>
      </c>
      <c r="L974" s="14"/>
      <c r="M974" s="14" t="str">
        <f>IFERROR(__xludf.DUMMYFUNCTION("""COMPUTED_VALUE"""),"Guam-Oceania")</f>
        <v>Guam-Oceania</v>
      </c>
      <c r="N974" s="14" t="str">
        <f>IFERROR(__xludf.DUMMYFUNCTION("""COMPUTED_VALUE"""),"2010")</f>
        <v>2010</v>
      </c>
      <c r="O974" s="14"/>
      <c r="P974" s="15">
        <f>IFERROR(__xludf.DUMMYFUNCTION("ARRAYFORMULA(VLOOKUP(A974,IMPORTRANGE(""https://docs.google.com/spreadsheets/d/1BuTWp7qHGjWhqrnf-OmePP568O4A5Am9ttzvVdP67zw/edit#gid=771602874"" ,""HUMAN RESOURCES!$A$2:$M$2692""), {2,3,4,5,6,7,8,9,10,11,12,13},0))"),0.018)</f>
        <v>0.018</v>
      </c>
      <c r="Q974" s="14"/>
      <c r="R974" s="14">
        <f>IFERROR(__xludf.DUMMYFUNCTION("""COMPUTED_VALUE"""),81.0)</f>
        <v>81</v>
      </c>
      <c r="S974" s="14">
        <f>IFERROR(__xludf.DUMMYFUNCTION("""COMPUTED_VALUE"""),75.0)</f>
        <v>75</v>
      </c>
      <c r="T974" s="14">
        <f>IFERROR(__xludf.DUMMYFUNCTION("""COMPUTED_VALUE"""),0.275)</f>
        <v>0.275</v>
      </c>
      <c r="U974" s="14">
        <f>IFERROR(__xludf.DUMMYFUNCTION("""COMPUTED_VALUE"""),0.652)</f>
        <v>0.652</v>
      </c>
      <c r="V974" s="14">
        <f>IFERROR(__xludf.DUMMYFUNCTION("""COMPUTED_VALUE"""),0.073)</f>
        <v>0.073</v>
      </c>
      <c r="W974" s="14">
        <f>IFERROR(__xludf.DUMMYFUNCTION("""COMPUTED_VALUE"""),159440.0)</f>
        <v>159440</v>
      </c>
      <c r="X974" s="14">
        <f>IFERROR(__xludf.DUMMYFUNCTION("""COMPUTED_VALUE"""),0.941)</f>
        <v>0.941</v>
      </c>
      <c r="Y974" s="14" t="str">
        <f>IFERROR(__xludf.DUMMYFUNCTION("""COMPUTED_VALUE"""),"Guam-Oceania")</f>
        <v>Guam-Oceania</v>
      </c>
      <c r="Z974" s="14" t="str">
        <f>IFERROR(__xludf.DUMMYFUNCTION("""COMPUTED_VALUE"""),"Oceania")</f>
        <v>Oceania</v>
      </c>
      <c r="AA974" s="14" t="str">
        <f>IFERROR(__xludf.DUMMYFUNCTION("""COMPUTED_VALUE"""),"2010")</f>
        <v>2010</v>
      </c>
      <c r="AB974" s="15" t="str">
        <f>IFERROR(__xludf.DUMMYFUNCTION("ARRAYFORMULA(VLOOKUP(A974,IMPORTRANGE(""https://docs.google.com/spreadsheets/d/1BuTWp7qHGjWhqrnf-OmePP568O4A5Am9ttzvVdP67zw/edit#gid=1931367683"" ,""ENERGY!$A$2:$F$2692""), {2,3,4,5,6},0))"),"Oceania")</f>
        <v>Oceania</v>
      </c>
      <c r="AC974" s="14" t="str">
        <f>IFERROR(__xludf.DUMMYFUNCTION("""COMPUTED_VALUE"""),"Guam-Oceania")</f>
        <v>Guam-Oceania</v>
      </c>
      <c r="AD974" s="14" t="str">
        <f>IFERROR(__xludf.DUMMYFUNCTION("""COMPUTED_VALUE"""),"2009")</f>
        <v>2009</v>
      </c>
      <c r="AE974" s="14"/>
      <c r="AF974" s="14"/>
    </row>
    <row r="975">
      <c r="A975" s="12">
        <v>974.0</v>
      </c>
      <c r="B975" s="12" t="s">
        <v>153</v>
      </c>
      <c r="C975" s="5" t="s">
        <v>80</v>
      </c>
      <c r="D975" s="8"/>
      <c r="E975" s="8"/>
      <c r="F975" s="8"/>
      <c r="G975" s="8"/>
      <c r="H975" s="11">
        <v>0.577</v>
      </c>
      <c r="I975" s="8"/>
      <c r="J975" s="9" t="s">
        <v>72</v>
      </c>
      <c r="K975" s="14" t="str">
        <f>IFERROR(__xludf.DUMMYFUNCTION("ARRAYFORMULA(VLOOKUP(A975,IMPORTRANGE(""https://docs.google.com/spreadsheets/d/1BuTWp7qHGjWhqrnf-OmePP568O4A5Am9ttzvVdP67zw/edit#gid=1603210130"", ""TOURISM!$A$2:$F$2692""), {2,3,4,5,6},0))"),"Oceania")</f>
        <v>Oceania</v>
      </c>
      <c r="L975" s="14"/>
      <c r="M975" s="14" t="str">
        <f>IFERROR(__xludf.DUMMYFUNCTION("""COMPUTED_VALUE"""),"Guam-Oceania")</f>
        <v>Guam-Oceania</v>
      </c>
      <c r="N975" s="14" t="str">
        <f>IFERROR(__xludf.DUMMYFUNCTION("""COMPUTED_VALUE"""),"2011")</f>
        <v>2011</v>
      </c>
      <c r="O975" s="14"/>
      <c r="P975" s="15">
        <f>IFERROR(__xludf.DUMMYFUNCTION("ARRAYFORMULA(VLOOKUP(A975,IMPORTRANGE(""https://docs.google.com/spreadsheets/d/1BuTWp7qHGjWhqrnf-OmePP568O4A5Am9ttzvVdP67zw/edit#gid=771602874"" ,""HUMAN RESOURCES!$A$2:$M$2692""), {2,3,4,5,6,7,8,9,10,11,12,13},0))"),0.018)</f>
        <v>0.018</v>
      </c>
      <c r="Q975" s="14"/>
      <c r="R975" s="14">
        <f>IFERROR(__xludf.DUMMYFUNCTION("""COMPUTED_VALUE"""),81.0)</f>
        <v>81</v>
      </c>
      <c r="S975" s="14">
        <f>IFERROR(__xludf.DUMMYFUNCTION("""COMPUTED_VALUE"""),76.0)</f>
        <v>76</v>
      </c>
      <c r="T975" s="14">
        <f>IFERROR(__xludf.DUMMYFUNCTION("""COMPUTED_VALUE"""),0.271)</f>
        <v>0.271</v>
      </c>
      <c r="U975" s="14">
        <f>IFERROR(__xludf.DUMMYFUNCTION("""COMPUTED_VALUE"""),0.654)</f>
        <v>0.654</v>
      </c>
      <c r="V975" s="14">
        <f>IFERROR(__xludf.DUMMYFUNCTION("""COMPUTED_VALUE"""),0.075)</f>
        <v>0.075</v>
      </c>
      <c r="W975" s="14">
        <f>IFERROR(__xludf.DUMMYFUNCTION("""COMPUTED_VALUE"""),160858.0)</f>
        <v>160858</v>
      </c>
      <c r="X975" s="14">
        <f>IFERROR(__xludf.DUMMYFUNCTION("""COMPUTED_VALUE"""),0.942)</f>
        <v>0.942</v>
      </c>
      <c r="Y975" s="14" t="str">
        <f>IFERROR(__xludf.DUMMYFUNCTION("""COMPUTED_VALUE"""),"Guam-Oceania")</f>
        <v>Guam-Oceania</v>
      </c>
      <c r="Z975" s="14" t="str">
        <f>IFERROR(__xludf.DUMMYFUNCTION("""COMPUTED_VALUE"""),"Oceania")</f>
        <v>Oceania</v>
      </c>
      <c r="AA975" s="14" t="str">
        <f>IFERROR(__xludf.DUMMYFUNCTION("""COMPUTED_VALUE"""),"2011")</f>
        <v>2011</v>
      </c>
      <c r="AB975" s="15" t="str">
        <f>IFERROR(__xludf.DUMMYFUNCTION("ARRAYFORMULA(VLOOKUP(A975,IMPORTRANGE(""https://docs.google.com/spreadsheets/d/1BuTWp7qHGjWhqrnf-OmePP568O4A5Am9ttzvVdP67zw/edit#gid=1931367683"" ,""ENERGY!$A$2:$F$2692""), {2,3,4,5,6},0))"),"Oceania")</f>
        <v>Oceania</v>
      </c>
      <c r="AC975" s="14" t="str">
        <f>IFERROR(__xludf.DUMMYFUNCTION("""COMPUTED_VALUE"""),"Guam-Oceania")</f>
        <v>Guam-Oceania</v>
      </c>
      <c r="AD975" s="14" t="str">
        <f>IFERROR(__xludf.DUMMYFUNCTION("""COMPUTED_VALUE"""),"2005")</f>
        <v>2005</v>
      </c>
      <c r="AE975" s="14"/>
      <c r="AF975" s="14"/>
    </row>
    <row r="976">
      <c r="A976" s="12">
        <v>975.0</v>
      </c>
      <c r="B976" s="12" t="s">
        <v>153</v>
      </c>
      <c r="C976" s="5" t="s">
        <v>80</v>
      </c>
      <c r="D976" s="8"/>
      <c r="E976" s="8"/>
      <c r="F976" s="8"/>
      <c r="G976" s="8"/>
      <c r="H976" s="11">
        <v>0.615</v>
      </c>
      <c r="I976" s="8"/>
      <c r="J976" s="9" t="s">
        <v>73</v>
      </c>
      <c r="K976" s="14" t="str">
        <f>IFERROR(__xludf.DUMMYFUNCTION("ARRAYFORMULA(VLOOKUP(A976,IMPORTRANGE(""https://docs.google.com/spreadsheets/d/1BuTWp7qHGjWhqrnf-OmePP568O4A5Am9ttzvVdP67zw/edit#gid=1603210130"", ""TOURISM!$A$2:$F$2692""), {2,3,4,5,6},0))"),"Oceania")</f>
        <v>Oceania</v>
      </c>
      <c r="L976" s="14"/>
      <c r="M976" s="14" t="str">
        <f>IFERROR(__xludf.DUMMYFUNCTION("""COMPUTED_VALUE"""),"Guam-Oceania")</f>
        <v>Guam-Oceania</v>
      </c>
      <c r="N976" s="14" t="str">
        <f>IFERROR(__xludf.DUMMYFUNCTION("""COMPUTED_VALUE"""),"2012")</f>
        <v>2012</v>
      </c>
      <c r="O976" s="14"/>
      <c r="P976" s="15">
        <f>IFERROR(__xludf.DUMMYFUNCTION("ARRAYFORMULA(VLOOKUP(A976,IMPORTRANGE(""https://docs.google.com/spreadsheets/d/1BuTWp7qHGjWhqrnf-OmePP568O4A5Am9ttzvVdP67zw/edit#gid=771602874"" ,""HUMAN RESOURCES!$A$2:$M$2692""), {2,3,4,5,6,7,8,9,10,11,12,13},0))"),0.017)</f>
        <v>0.017</v>
      </c>
      <c r="Q976" s="14"/>
      <c r="R976" s="14">
        <f>IFERROR(__xludf.DUMMYFUNCTION("""COMPUTED_VALUE"""),81.0)</f>
        <v>81</v>
      </c>
      <c r="S976" s="14">
        <f>IFERROR(__xludf.DUMMYFUNCTION("""COMPUTED_VALUE"""),76.0)</f>
        <v>76</v>
      </c>
      <c r="T976" s="14">
        <f>IFERROR(__xludf.DUMMYFUNCTION("""COMPUTED_VALUE"""),0.266)</f>
        <v>0.266</v>
      </c>
      <c r="U976" s="14">
        <f>IFERROR(__xludf.DUMMYFUNCTION("""COMPUTED_VALUE"""),0.656)</f>
        <v>0.656</v>
      </c>
      <c r="V976" s="14">
        <f>IFERROR(__xludf.DUMMYFUNCTION("""COMPUTED_VALUE"""),0.078)</f>
        <v>0.078</v>
      </c>
      <c r="W976" s="14">
        <f>IFERROR(__xludf.DUMMYFUNCTION("""COMPUTED_VALUE"""),162810.0)</f>
        <v>162810</v>
      </c>
      <c r="X976" s="14">
        <f>IFERROR(__xludf.DUMMYFUNCTION("""COMPUTED_VALUE"""),0.943)</f>
        <v>0.943</v>
      </c>
      <c r="Y976" s="14" t="str">
        <f>IFERROR(__xludf.DUMMYFUNCTION("""COMPUTED_VALUE"""),"Guam-Oceania")</f>
        <v>Guam-Oceania</v>
      </c>
      <c r="Z976" s="14" t="str">
        <f>IFERROR(__xludf.DUMMYFUNCTION("""COMPUTED_VALUE"""),"Oceania")</f>
        <v>Oceania</v>
      </c>
      <c r="AA976" s="14" t="str">
        <f>IFERROR(__xludf.DUMMYFUNCTION("""COMPUTED_VALUE"""),"2012")</f>
        <v>2012</v>
      </c>
      <c r="AB976" s="15" t="str">
        <f>IFERROR(__xludf.DUMMYFUNCTION("ARRAYFORMULA(VLOOKUP(A976,IMPORTRANGE(""https://docs.google.com/spreadsheets/d/1BuTWp7qHGjWhqrnf-OmePP568O4A5Am9ttzvVdP67zw/edit#gid=1931367683"" ,""ENERGY!$A$2:$F$2692""), {2,3,4,5,6},0))"),"Oceania")</f>
        <v>Oceania</v>
      </c>
      <c r="AC976" s="14" t="str">
        <f>IFERROR(__xludf.DUMMYFUNCTION("""COMPUTED_VALUE"""),"Guam-Oceania")</f>
        <v>Guam-Oceania</v>
      </c>
      <c r="AD976" s="14" t="str">
        <f>IFERROR(__xludf.DUMMYFUNCTION("""COMPUTED_VALUE"""),"2009")</f>
        <v>2009</v>
      </c>
      <c r="AE976" s="14"/>
      <c r="AF976" s="14"/>
    </row>
    <row r="977">
      <c r="A977" s="12">
        <v>976.0</v>
      </c>
      <c r="B977" s="12" t="s">
        <v>154</v>
      </c>
      <c r="C977" s="5" t="s">
        <v>84</v>
      </c>
      <c r="D977" s="8"/>
      <c r="E977" s="8"/>
      <c r="F977" s="8"/>
      <c r="G977" s="8"/>
      <c r="H977" s="11">
        <v>0.007</v>
      </c>
      <c r="I977" s="11">
        <v>0.076</v>
      </c>
      <c r="J977" s="9" t="s">
        <v>60</v>
      </c>
      <c r="K977" s="14" t="str">
        <f>IFERROR(__xludf.DUMMYFUNCTION("ARRAYFORMULA(VLOOKUP(A977,IMPORTRANGE(""https://docs.google.com/spreadsheets/d/1BuTWp7qHGjWhqrnf-OmePP568O4A5Am9ttzvVdP67zw/edit#gid=1603210130"", ""TOURISM!$A$2:$F$2692""), {2,3,4,5,6},0))"),"The Americas")</f>
        <v>The Americas</v>
      </c>
      <c r="L977" s="14">
        <f>IFERROR(__xludf.DUMMYFUNCTION("""COMPUTED_VALUE"""),4.98E8)</f>
        <v>498000000</v>
      </c>
      <c r="M977" s="14" t="str">
        <f>IFERROR(__xludf.DUMMYFUNCTION("""COMPUTED_VALUE"""),"Guatemala-The Americas")</f>
        <v>Guatemala-The Americas</v>
      </c>
      <c r="N977" s="14" t="str">
        <f>IFERROR(__xludf.DUMMYFUNCTION("""COMPUTED_VALUE"""),"2000")</f>
        <v>2000</v>
      </c>
      <c r="O977" s="14">
        <f>IFERROR(__xludf.DUMMYFUNCTION("""COMPUTED_VALUE"""),2.16E8)</f>
        <v>216000000</v>
      </c>
      <c r="P977" s="15">
        <f>IFERROR(__xludf.DUMMYFUNCTION("ARRAYFORMULA(VLOOKUP(A977,IMPORTRANGE(""https://docs.google.com/spreadsheets/d/1BuTWp7qHGjWhqrnf-OmePP568O4A5Am9ttzvVdP67zw/edit#gid=771602874"" ,""HUMAN RESOURCES!$A$2:$M$2692""), {2,3,4,5,6,7,8,9,10,11,12,13},0))"),0.037)</f>
        <v>0.037</v>
      </c>
      <c r="Q977" s="14">
        <f>IFERROR(__xludf.DUMMYFUNCTION("""COMPUTED_VALUE"""),0.04)</f>
        <v>0.04</v>
      </c>
      <c r="R977" s="14">
        <f>IFERROR(__xludf.DUMMYFUNCTION("""COMPUTED_VALUE"""),71.0)</f>
        <v>71</v>
      </c>
      <c r="S977" s="14">
        <f>IFERROR(__xludf.DUMMYFUNCTION("""COMPUTED_VALUE"""),64.0)</f>
        <v>64</v>
      </c>
      <c r="T977" s="14">
        <f>IFERROR(__xludf.DUMMYFUNCTION("""COMPUTED_VALUE"""),0.441)</f>
        <v>0.441</v>
      </c>
      <c r="U977" s="14">
        <f>IFERROR(__xludf.DUMMYFUNCTION("""COMPUTED_VALUE"""),0.519)</f>
        <v>0.519</v>
      </c>
      <c r="V977" s="14">
        <f>IFERROR(__xludf.DUMMYFUNCTION("""COMPUTED_VALUE"""),0.04)</f>
        <v>0.04</v>
      </c>
      <c r="W977" s="14">
        <f>IFERROR(__xludf.DUMMYFUNCTION("""COMPUTED_VALUE"""),1.1204183E7)</f>
        <v>11204183</v>
      </c>
      <c r="X977" s="14">
        <f>IFERROR(__xludf.DUMMYFUNCTION("""COMPUTED_VALUE"""),0.451)</f>
        <v>0.451</v>
      </c>
      <c r="Y977" s="14" t="str">
        <f>IFERROR(__xludf.DUMMYFUNCTION("""COMPUTED_VALUE"""),"Guatemala-The Americas")</f>
        <v>Guatemala-The Americas</v>
      </c>
      <c r="Z977" s="14" t="str">
        <f>IFERROR(__xludf.DUMMYFUNCTION("""COMPUTED_VALUE"""),"The Americas")</f>
        <v>The Americas</v>
      </c>
      <c r="AA977" s="14" t="str">
        <f>IFERROR(__xludf.DUMMYFUNCTION("""COMPUTED_VALUE"""),"2000")</f>
        <v>2000</v>
      </c>
      <c r="AB977" s="15" t="str">
        <f>IFERROR(__xludf.DUMMYFUNCTION("ARRAYFORMULA(VLOOKUP(A977,IMPORTRANGE(""https://docs.google.com/spreadsheets/d/1BuTWp7qHGjWhqrnf-OmePP568O4A5Am9ttzvVdP67zw/edit#gid=1931367683"" ,""ENERGY!$A$2:$F$2692""), {2,3,4,5,6},0))"),"The Americas")</f>
        <v>The Americas</v>
      </c>
      <c r="AC977" s="14" t="str">
        <f>IFERROR(__xludf.DUMMYFUNCTION("""COMPUTED_VALUE"""),"Guatemala-The Americas")</f>
        <v>Guatemala-The Americas</v>
      </c>
      <c r="AD977" s="14" t="str">
        <f>IFERROR(__xludf.DUMMYFUNCTION("""COMPUTED_VALUE"""),"2000")</f>
        <v>2000</v>
      </c>
      <c r="AE977" s="14"/>
      <c r="AF977" s="14"/>
    </row>
    <row r="978">
      <c r="A978" s="12">
        <v>977.0</v>
      </c>
      <c r="B978" s="12" t="s">
        <v>154</v>
      </c>
      <c r="C978" s="5" t="s">
        <v>84</v>
      </c>
      <c r="D978" s="8"/>
      <c r="E978" s="8"/>
      <c r="F978" s="8"/>
      <c r="G978" s="8"/>
      <c r="H978" s="11">
        <v>0.017</v>
      </c>
      <c r="I978" s="11">
        <v>0.1</v>
      </c>
      <c r="J978" s="9" t="s">
        <v>62</v>
      </c>
      <c r="K978" s="14" t="str">
        <f>IFERROR(__xludf.DUMMYFUNCTION("ARRAYFORMULA(VLOOKUP(A978,IMPORTRANGE(""https://docs.google.com/spreadsheets/d/1BuTWp7qHGjWhqrnf-OmePP568O4A5Am9ttzvVdP67zw/edit#gid=1603210130"", ""TOURISM!$A$2:$F$2692""), {2,3,4,5,6},0))"),"The Americas")</f>
        <v>The Americas</v>
      </c>
      <c r="L978" s="14">
        <f>IFERROR(__xludf.DUMMYFUNCTION("""COMPUTED_VALUE"""),5.88E8)</f>
        <v>588000000</v>
      </c>
      <c r="M978" s="14" t="str">
        <f>IFERROR(__xludf.DUMMYFUNCTION("""COMPUTED_VALUE"""),"Guatemala-The Americas")</f>
        <v>Guatemala-The Americas</v>
      </c>
      <c r="N978" s="14" t="str">
        <f>IFERROR(__xludf.DUMMYFUNCTION("""COMPUTED_VALUE"""),"2001")</f>
        <v>2001</v>
      </c>
      <c r="O978" s="14">
        <f>IFERROR(__xludf.DUMMYFUNCTION("""COMPUTED_VALUE"""),2.66E8)</f>
        <v>266000000</v>
      </c>
      <c r="P978" s="15">
        <f>IFERROR(__xludf.DUMMYFUNCTION("ARRAYFORMULA(VLOOKUP(A978,IMPORTRANGE(""https://docs.google.com/spreadsheets/d/1BuTWp7qHGjWhqrnf-OmePP568O4A5Am9ttzvVdP67zw/edit#gid=771602874"" ,""HUMAN RESOURCES!$A$2:$M$2692""), {2,3,4,5,6,7,8,9,10,11,12,13},0))"),0.036)</f>
        <v>0.036</v>
      </c>
      <c r="Q978" s="14">
        <f>IFERROR(__xludf.DUMMYFUNCTION("""COMPUTED_VALUE"""),0.039)</f>
        <v>0.039</v>
      </c>
      <c r="R978" s="14">
        <f>IFERROR(__xludf.DUMMYFUNCTION("""COMPUTED_VALUE"""),72.0)</f>
        <v>72</v>
      </c>
      <c r="S978" s="14">
        <f>IFERROR(__xludf.DUMMYFUNCTION("""COMPUTED_VALUE"""),65.0)</f>
        <v>65</v>
      </c>
      <c r="T978" s="14">
        <f>IFERROR(__xludf.DUMMYFUNCTION("""COMPUTED_VALUE"""),0.439)</f>
        <v>0.439</v>
      </c>
      <c r="U978" s="14">
        <f>IFERROR(__xludf.DUMMYFUNCTION("""COMPUTED_VALUE"""),0.52)</f>
        <v>0.52</v>
      </c>
      <c r="V978" s="14">
        <f>IFERROR(__xludf.DUMMYFUNCTION("""COMPUTED_VALUE"""),0.041)</f>
        <v>0.041</v>
      </c>
      <c r="W978" s="14">
        <f>IFERROR(__xludf.DUMMYFUNCTION("""COMPUTED_VALUE"""),1.1478984E7)</f>
        <v>11478984</v>
      </c>
      <c r="X978" s="14">
        <f>IFERROR(__xludf.DUMMYFUNCTION("""COMPUTED_VALUE"""),0.455)</f>
        <v>0.455</v>
      </c>
      <c r="Y978" s="14" t="str">
        <f>IFERROR(__xludf.DUMMYFUNCTION("""COMPUTED_VALUE"""),"Guatemala-The Americas")</f>
        <v>Guatemala-The Americas</v>
      </c>
      <c r="Z978" s="14" t="str">
        <f>IFERROR(__xludf.DUMMYFUNCTION("""COMPUTED_VALUE"""),"The Americas")</f>
        <v>The Americas</v>
      </c>
      <c r="AA978" s="14" t="str">
        <f>IFERROR(__xludf.DUMMYFUNCTION("""COMPUTED_VALUE"""),"2001")</f>
        <v>2001</v>
      </c>
      <c r="AB978" s="15" t="str">
        <f>IFERROR(__xludf.DUMMYFUNCTION("ARRAYFORMULA(VLOOKUP(A978,IMPORTRANGE(""https://docs.google.com/spreadsheets/d/1BuTWp7qHGjWhqrnf-OmePP568O4A5Am9ttzvVdP67zw/edit#gid=1931367683"" ,""ENERGY!$A$2:$F$2692""), {2,3,4,5,6},0))"),"The Americas")</f>
        <v>The Americas</v>
      </c>
      <c r="AC978" s="14" t="str">
        <f>IFERROR(__xludf.DUMMYFUNCTION("""COMPUTED_VALUE"""),"Guatemala-The Americas")</f>
        <v>Guatemala-The Americas</v>
      </c>
      <c r="AD978" s="14" t="str">
        <f>IFERROR(__xludf.DUMMYFUNCTION("""COMPUTED_VALUE"""),"2001")</f>
        <v>2001</v>
      </c>
      <c r="AE978" s="14">
        <f>IFERROR(__xludf.DUMMYFUNCTION("""COMPUTED_VALUE"""),10163.0)</f>
        <v>10163</v>
      </c>
      <c r="AF978" s="14"/>
    </row>
    <row r="979">
      <c r="A979" s="12">
        <v>978.0</v>
      </c>
      <c r="B979" s="12" t="s">
        <v>154</v>
      </c>
      <c r="C979" s="5" t="s">
        <v>84</v>
      </c>
      <c r="D979" s="8"/>
      <c r="E979" s="8"/>
      <c r="F979" s="8"/>
      <c r="G979" s="8"/>
      <c r="H979" s="11">
        <v>0.034</v>
      </c>
      <c r="I979" s="11">
        <v>0.134</v>
      </c>
      <c r="J979" s="9" t="s">
        <v>63</v>
      </c>
      <c r="K979" s="14" t="str">
        <f>IFERROR(__xludf.DUMMYFUNCTION("ARRAYFORMULA(VLOOKUP(A979,IMPORTRANGE(""https://docs.google.com/spreadsheets/d/1BuTWp7qHGjWhqrnf-OmePP568O4A5Am9ttzvVdP67zw/edit#gid=1603210130"", ""TOURISM!$A$2:$F$2692""), {2,3,4,5,6},0))"),"The Americas")</f>
        <v>The Americas</v>
      </c>
      <c r="L979" s="14">
        <f>IFERROR(__xludf.DUMMYFUNCTION("""COMPUTED_VALUE"""),6.47E8)</f>
        <v>647000000</v>
      </c>
      <c r="M979" s="14" t="str">
        <f>IFERROR(__xludf.DUMMYFUNCTION("""COMPUTED_VALUE"""),"Guatemala-The Americas")</f>
        <v>Guatemala-The Americas</v>
      </c>
      <c r="N979" s="14" t="str">
        <f>IFERROR(__xludf.DUMMYFUNCTION("""COMPUTED_VALUE"""),"2002")</f>
        <v>2002</v>
      </c>
      <c r="O979" s="14">
        <f>IFERROR(__xludf.DUMMYFUNCTION("""COMPUTED_VALUE"""),3.29E8)</f>
        <v>329000000</v>
      </c>
      <c r="P979" s="15">
        <f>IFERROR(__xludf.DUMMYFUNCTION("ARRAYFORMULA(VLOOKUP(A979,IMPORTRANGE(""https://docs.google.com/spreadsheets/d/1BuTWp7qHGjWhqrnf-OmePP568O4A5Am9ttzvVdP67zw/edit#gid=771602874"" ,""HUMAN RESOURCES!$A$2:$M$2692""), {2,3,4,5,6,7,8,9,10,11,12,13},0))"),0.036)</f>
        <v>0.036</v>
      </c>
      <c r="Q979" s="14">
        <f>IFERROR(__xludf.DUMMYFUNCTION("""COMPUTED_VALUE"""),0.037)</f>
        <v>0.037</v>
      </c>
      <c r="R979" s="14">
        <f>IFERROR(__xludf.DUMMYFUNCTION("""COMPUTED_VALUE"""),72.0)</f>
        <v>72</v>
      </c>
      <c r="S979" s="14">
        <f>IFERROR(__xludf.DUMMYFUNCTION("""COMPUTED_VALUE"""),65.0)</f>
        <v>65</v>
      </c>
      <c r="T979" s="14">
        <f>IFERROR(__xludf.DUMMYFUNCTION("""COMPUTED_VALUE"""),0.438)</f>
        <v>0.438</v>
      </c>
      <c r="U979" s="14">
        <f>IFERROR(__xludf.DUMMYFUNCTION("""COMPUTED_VALUE"""),0.521)</f>
        <v>0.521</v>
      </c>
      <c r="V979" s="14">
        <f>IFERROR(__xludf.DUMMYFUNCTION("""COMPUTED_VALUE"""),0.042)</f>
        <v>0.042</v>
      </c>
      <c r="W979" s="14">
        <f>IFERROR(__xludf.DUMMYFUNCTION("""COMPUTED_VALUE"""),1.1765738E7)</f>
        <v>11765738</v>
      </c>
      <c r="X979" s="14">
        <f>IFERROR(__xludf.DUMMYFUNCTION("""COMPUTED_VALUE"""),0.459)</f>
        <v>0.459</v>
      </c>
      <c r="Y979" s="14" t="str">
        <f>IFERROR(__xludf.DUMMYFUNCTION("""COMPUTED_VALUE"""),"Guatemala-The Americas")</f>
        <v>Guatemala-The Americas</v>
      </c>
      <c r="Z979" s="14" t="str">
        <f>IFERROR(__xludf.DUMMYFUNCTION("""COMPUTED_VALUE"""),"The Americas")</f>
        <v>The Americas</v>
      </c>
      <c r="AA979" s="14" t="str">
        <f>IFERROR(__xludf.DUMMYFUNCTION("""COMPUTED_VALUE"""),"2002")</f>
        <v>2002</v>
      </c>
      <c r="AB979" s="15" t="str">
        <f>IFERROR(__xludf.DUMMYFUNCTION("ARRAYFORMULA(VLOOKUP(A979,IMPORTRANGE(""https://docs.google.com/spreadsheets/d/1BuTWp7qHGjWhqrnf-OmePP568O4A5Am9ttzvVdP67zw/edit#gid=1931367683"" ,""ENERGY!$A$2:$F$2692""), {2,3,4,5,6},0))"),"The Americas")</f>
        <v>The Americas</v>
      </c>
      <c r="AC979" s="14" t="str">
        <f>IFERROR(__xludf.DUMMYFUNCTION("""COMPUTED_VALUE"""),"Guatemala-The Americas")</f>
        <v>Guatemala-The Americas</v>
      </c>
      <c r="AD979" s="14" t="str">
        <f>IFERROR(__xludf.DUMMYFUNCTION("""COMPUTED_VALUE"""),"2002")</f>
        <v>2002</v>
      </c>
      <c r="AE979" s="14">
        <f>IFERROR(__xludf.DUMMYFUNCTION("""COMPUTED_VALUE"""),10251.0)</f>
        <v>10251</v>
      </c>
      <c r="AF979" s="14">
        <f>IFERROR(__xludf.DUMMYFUNCTION("""COMPUTED_VALUE"""),11118.0)</f>
        <v>11118</v>
      </c>
    </row>
    <row r="980">
      <c r="A980" s="12">
        <v>979.0</v>
      </c>
      <c r="B980" s="12" t="s">
        <v>154</v>
      </c>
      <c r="C980" s="5" t="s">
        <v>84</v>
      </c>
      <c r="D980" s="8"/>
      <c r="E980" s="11">
        <v>39.0</v>
      </c>
      <c r="F980" s="8"/>
      <c r="G980" s="8"/>
      <c r="H980" s="11">
        <v>0.045</v>
      </c>
      <c r="I980" s="11">
        <v>0.169</v>
      </c>
      <c r="J980" s="9" t="s">
        <v>64</v>
      </c>
      <c r="K980" s="14" t="str">
        <f>IFERROR(__xludf.DUMMYFUNCTION("ARRAYFORMULA(VLOOKUP(A980,IMPORTRANGE(""https://docs.google.com/spreadsheets/d/1BuTWp7qHGjWhqrnf-OmePP568O4A5Am9ttzvVdP67zw/edit#gid=1603210130"", ""TOURISM!$A$2:$F$2692""), {2,3,4,5,6},0))"),"The Americas")</f>
        <v>The Americas</v>
      </c>
      <c r="L980" s="14">
        <f>IFERROR(__xludf.DUMMYFUNCTION("""COMPUTED_VALUE"""),6.46E8)</f>
        <v>646000000</v>
      </c>
      <c r="M980" s="14" t="str">
        <f>IFERROR(__xludf.DUMMYFUNCTION("""COMPUTED_VALUE"""),"Guatemala-The Americas")</f>
        <v>Guatemala-The Americas</v>
      </c>
      <c r="N980" s="14" t="str">
        <f>IFERROR(__xludf.DUMMYFUNCTION("""COMPUTED_VALUE"""),"2003")</f>
        <v>2003</v>
      </c>
      <c r="O980" s="14">
        <f>IFERROR(__xludf.DUMMYFUNCTION("""COMPUTED_VALUE"""),3.73E8)</f>
        <v>373000000</v>
      </c>
      <c r="P980" s="15">
        <f>IFERROR(__xludf.DUMMYFUNCTION("ARRAYFORMULA(VLOOKUP(A980,IMPORTRANGE(""https://docs.google.com/spreadsheets/d/1BuTWp7qHGjWhqrnf-OmePP568O4A5Am9ttzvVdP67zw/edit#gid=771602874"" ,""HUMAN RESOURCES!$A$2:$M$2692""), {2,3,4,5,6,7,8,9,10,11,12,13},0))"),0.035)</f>
        <v>0.035</v>
      </c>
      <c r="Q980" s="14">
        <f>IFERROR(__xludf.DUMMYFUNCTION("""COMPUTED_VALUE"""),0.036)</f>
        <v>0.036</v>
      </c>
      <c r="R980" s="14">
        <f>IFERROR(__xludf.DUMMYFUNCTION("""COMPUTED_VALUE"""),73.0)</f>
        <v>73</v>
      </c>
      <c r="S980" s="14">
        <f>IFERROR(__xludf.DUMMYFUNCTION("""COMPUTED_VALUE"""),66.0)</f>
        <v>66</v>
      </c>
      <c r="T980" s="14">
        <f>IFERROR(__xludf.DUMMYFUNCTION("""COMPUTED_VALUE"""),0.436)</f>
        <v>0.436</v>
      </c>
      <c r="U980" s="14">
        <f>IFERROR(__xludf.DUMMYFUNCTION("""COMPUTED_VALUE"""),0.522)</f>
        <v>0.522</v>
      </c>
      <c r="V980" s="14">
        <f>IFERROR(__xludf.DUMMYFUNCTION("""COMPUTED_VALUE"""),0.042)</f>
        <v>0.042</v>
      </c>
      <c r="W980" s="14">
        <f>IFERROR(__xludf.DUMMYFUNCTION("""COMPUTED_VALUE"""),1.2062835E7)</f>
        <v>12062835</v>
      </c>
      <c r="X980" s="14">
        <f>IFERROR(__xludf.DUMMYFUNCTION("""COMPUTED_VALUE"""),0.463)</f>
        <v>0.463</v>
      </c>
      <c r="Y980" s="14" t="str">
        <f>IFERROR(__xludf.DUMMYFUNCTION("""COMPUTED_VALUE"""),"Guatemala-The Americas")</f>
        <v>Guatemala-The Americas</v>
      </c>
      <c r="Z980" s="14" t="str">
        <f>IFERROR(__xludf.DUMMYFUNCTION("""COMPUTED_VALUE"""),"The Americas")</f>
        <v>The Americas</v>
      </c>
      <c r="AA980" s="14" t="str">
        <f>IFERROR(__xludf.DUMMYFUNCTION("""COMPUTED_VALUE"""),"2003")</f>
        <v>2003</v>
      </c>
      <c r="AB980" s="15" t="str">
        <f>IFERROR(__xludf.DUMMYFUNCTION("ARRAYFORMULA(VLOOKUP(A980,IMPORTRANGE(""https://docs.google.com/spreadsheets/d/1BuTWp7qHGjWhqrnf-OmePP568O4A5Am9ttzvVdP67zw/edit#gid=1931367683"" ,""ENERGY!$A$2:$F$2692""), {2,3,4,5,6},0))"),"The Americas")</f>
        <v>The Americas</v>
      </c>
      <c r="AC980" s="14" t="str">
        <f>IFERROR(__xludf.DUMMYFUNCTION("""COMPUTED_VALUE"""),"Guatemala-The Americas")</f>
        <v>Guatemala-The Americas</v>
      </c>
      <c r="AD980" s="14" t="str">
        <f>IFERROR(__xludf.DUMMYFUNCTION("""COMPUTED_VALUE"""),"2003")</f>
        <v>2003</v>
      </c>
      <c r="AE980" s="14">
        <f>IFERROR(__xludf.DUMMYFUNCTION("""COMPUTED_VALUE"""),9318.0)</f>
        <v>9318</v>
      </c>
      <c r="AF980" s="14">
        <f>IFERROR(__xludf.DUMMYFUNCTION("""COMPUTED_VALUE"""),11844.0)</f>
        <v>11844</v>
      </c>
    </row>
    <row r="981">
      <c r="A981" s="12">
        <v>980.0</v>
      </c>
      <c r="B981" s="12" t="s">
        <v>154</v>
      </c>
      <c r="C981" s="5" t="s">
        <v>84</v>
      </c>
      <c r="D981" s="8"/>
      <c r="E981" s="11">
        <v>39.0</v>
      </c>
      <c r="F981" s="8"/>
      <c r="G981" s="8"/>
      <c r="H981" s="11">
        <v>0.051</v>
      </c>
      <c r="I981" s="11">
        <v>0.256</v>
      </c>
      <c r="J981" s="9" t="s">
        <v>65</v>
      </c>
      <c r="K981" s="14" t="str">
        <f>IFERROR(__xludf.DUMMYFUNCTION("ARRAYFORMULA(VLOOKUP(A981,IMPORTRANGE(""https://docs.google.com/spreadsheets/d/1BuTWp7qHGjWhqrnf-OmePP568O4A5Am9ttzvVdP67zw/edit#gid=1603210130"", ""TOURISM!$A$2:$F$2692""), {2,3,4,5,6},0))"),"The Americas")</f>
        <v>The Americas</v>
      </c>
      <c r="L981" s="14">
        <f>IFERROR(__xludf.DUMMYFUNCTION("""COMPUTED_VALUE"""),6.3E8)</f>
        <v>630000000</v>
      </c>
      <c r="M981" s="14" t="str">
        <f>IFERROR(__xludf.DUMMYFUNCTION("""COMPUTED_VALUE"""),"Guatemala-The Americas")</f>
        <v>Guatemala-The Americas</v>
      </c>
      <c r="N981" s="14" t="str">
        <f>IFERROR(__xludf.DUMMYFUNCTION("""COMPUTED_VALUE"""),"2004")</f>
        <v>2004</v>
      </c>
      <c r="O981" s="14">
        <f>IFERROR(__xludf.DUMMYFUNCTION("""COMPUTED_VALUE"""),4.88E8)</f>
        <v>488000000</v>
      </c>
      <c r="P981" s="15">
        <f>IFERROR(__xludf.DUMMYFUNCTION("ARRAYFORMULA(VLOOKUP(A981,IMPORTRANGE(""https://docs.google.com/spreadsheets/d/1BuTWp7qHGjWhqrnf-OmePP568O4A5Am9ttzvVdP67zw/edit#gid=771602874"" ,""HUMAN RESOURCES!$A$2:$M$2692""), {2,3,4,5,6,7,8,9,10,11,12,13},0))"),0.035)</f>
        <v>0.035</v>
      </c>
      <c r="Q981" s="14">
        <f>IFERROR(__xludf.DUMMYFUNCTION("""COMPUTED_VALUE"""),0.035)</f>
        <v>0.035</v>
      </c>
      <c r="R981" s="14">
        <f>IFERROR(__xludf.DUMMYFUNCTION("""COMPUTED_VALUE"""),73.0)</f>
        <v>73</v>
      </c>
      <c r="S981" s="14">
        <f>IFERROR(__xludf.DUMMYFUNCTION("""COMPUTED_VALUE"""),66.0)</f>
        <v>66</v>
      </c>
      <c r="T981" s="14">
        <f>IFERROR(__xludf.DUMMYFUNCTION("""COMPUTED_VALUE"""),0.434)</f>
        <v>0.434</v>
      </c>
      <c r="U981" s="14">
        <f>IFERROR(__xludf.DUMMYFUNCTION("""COMPUTED_VALUE"""),0.524)</f>
        <v>0.524</v>
      </c>
      <c r="V981" s="14">
        <f>IFERROR(__xludf.DUMMYFUNCTION("""COMPUTED_VALUE"""),0.043)</f>
        <v>0.043</v>
      </c>
      <c r="W981" s="14">
        <f>IFERROR(__xludf.DUMMYFUNCTION("""COMPUTED_VALUE"""),1.23678E7)</f>
        <v>12367800</v>
      </c>
      <c r="X981" s="14">
        <f>IFERROR(__xludf.DUMMYFUNCTION("""COMPUTED_VALUE"""),0.468)</f>
        <v>0.468</v>
      </c>
      <c r="Y981" s="14" t="str">
        <f>IFERROR(__xludf.DUMMYFUNCTION("""COMPUTED_VALUE"""),"Guatemala-The Americas")</f>
        <v>Guatemala-The Americas</v>
      </c>
      <c r="Z981" s="14" t="str">
        <f>IFERROR(__xludf.DUMMYFUNCTION("""COMPUTED_VALUE"""),"The Americas")</f>
        <v>The Americas</v>
      </c>
      <c r="AA981" s="14" t="str">
        <f>IFERROR(__xludf.DUMMYFUNCTION("""COMPUTED_VALUE"""),"2004")</f>
        <v>2004</v>
      </c>
      <c r="AB981" s="15" t="str">
        <f>IFERROR(__xludf.DUMMYFUNCTION("ARRAYFORMULA(VLOOKUP(A981,IMPORTRANGE(""https://docs.google.com/spreadsheets/d/1BuTWp7qHGjWhqrnf-OmePP568O4A5Am9ttzvVdP67zw/edit#gid=1931367683"" ,""ENERGY!$A$2:$F$2692""), {2,3,4,5,6},0))"),"The Americas")</f>
        <v>The Americas</v>
      </c>
      <c r="AC981" s="14" t="str">
        <f>IFERROR(__xludf.DUMMYFUNCTION("""COMPUTED_VALUE"""),"Guatemala-The Americas")</f>
        <v>Guatemala-The Americas</v>
      </c>
      <c r="AD981" s="14" t="str">
        <f>IFERROR(__xludf.DUMMYFUNCTION("""COMPUTED_VALUE"""),"2004")</f>
        <v>2004</v>
      </c>
      <c r="AE981" s="14">
        <f>IFERROR(__xludf.DUMMYFUNCTION("""COMPUTED_VALUE"""),8157.0)</f>
        <v>8157</v>
      </c>
      <c r="AF981" s="14">
        <f>IFERROR(__xludf.DUMMYFUNCTION("""COMPUTED_VALUE"""),11441.0)</f>
        <v>11441</v>
      </c>
    </row>
    <row r="982">
      <c r="A982" s="12">
        <v>981.0</v>
      </c>
      <c r="B982" s="12" t="s">
        <v>154</v>
      </c>
      <c r="C982" s="5" t="s">
        <v>84</v>
      </c>
      <c r="D982" s="11">
        <v>0.387</v>
      </c>
      <c r="E982" s="11">
        <v>39.0</v>
      </c>
      <c r="F982" s="8"/>
      <c r="G982" s="11">
        <v>344.0</v>
      </c>
      <c r="H982" s="11">
        <v>0.057</v>
      </c>
      <c r="I982" s="11">
        <v>0.356</v>
      </c>
      <c r="J982" s="9" t="s">
        <v>66</v>
      </c>
      <c r="K982" s="14" t="str">
        <f>IFERROR(__xludf.DUMMYFUNCTION("ARRAYFORMULA(VLOOKUP(A982,IMPORTRANGE(""https://docs.google.com/spreadsheets/d/1BuTWp7qHGjWhqrnf-OmePP568O4A5Am9ttzvVdP67zw/edit#gid=1603210130"", ""TOURISM!$A$2:$F$2692""), {2,3,4,5,6},0))"),"The Americas")</f>
        <v>The Americas</v>
      </c>
      <c r="L982" s="14">
        <f>IFERROR(__xludf.DUMMYFUNCTION("""COMPUTED_VALUE"""),7.91E8)</f>
        <v>791000000</v>
      </c>
      <c r="M982" s="14" t="str">
        <f>IFERROR(__xludf.DUMMYFUNCTION("""COMPUTED_VALUE"""),"Guatemala-The Americas")</f>
        <v>Guatemala-The Americas</v>
      </c>
      <c r="N982" s="14" t="str">
        <f>IFERROR(__xludf.DUMMYFUNCTION("""COMPUTED_VALUE"""),"2005")</f>
        <v>2005</v>
      </c>
      <c r="O982" s="14">
        <f>IFERROR(__xludf.DUMMYFUNCTION("""COMPUTED_VALUE"""),5.32E8)</f>
        <v>532000000</v>
      </c>
      <c r="P982" s="15">
        <f>IFERROR(__xludf.DUMMYFUNCTION("ARRAYFORMULA(VLOOKUP(A982,IMPORTRANGE(""https://docs.google.com/spreadsheets/d/1BuTWp7qHGjWhqrnf-OmePP568O4A5Am9ttzvVdP67zw/edit#gid=771602874"" ,""HUMAN RESOURCES!$A$2:$M$2692""), {2,3,4,5,6,7,8,9,10,11,12,13},0))"),0.035)</f>
        <v>0.035</v>
      </c>
      <c r="Q982" s="14">
        <f>IFERROR(__xludf.DUMMYFUNCTION("""COMPUTED_VALUE"""),0.033)</f>
        <v>0.033</v>
      </c>
      <c r="R982" s="14">
        <f>IFERROR(__xludf.DUMMYFUNCTION("""COMPUTED_VALUE"""),73.0)</f>
        <v>73</v>
      </c>
      <c r="S982" s="14">
        <f>IFERROR(__xludf.DUMMYFUNCTION("""COMPUTED_VALUE"""),66.0)</f>
        <v>66</v>
      </c>
      <c r="T982" s="14">
        <f>IFERROR(__xludf.DUMMYFUNCTION("""COMPUTED_VALUE"""),0.432)</f>
        <v>0.432</v>
      </c>
      <c r="U982" s="14">
        <f>IFERROR(__xludf.DUMMYFUNCTION("""COMPUTED_VALUE"""),0.526)</f>
        <v>0.526</v>
      </c>
      <c r="V982" s="14">
        <f>IFERROR(__xludf.DUMMYFUNCTION("""COMPUTED_VALUE"""),0.043)</f>
        <v>0.043</v>
      </c>
      <c r="W982" s="14">
        <f>IFERROR(__xludf.DUMMYFUNCTION("""COMPUTED_VALUE"""),1.2678919E7)</f>
        <v>12678919</v>
      </c>
      <c r="X982" s="14">
        <f>IFERROR(__xludf.DUMMYFUNCTION("""COMPUTED_VALUE"""),0.472)</f>
        <v>0.472</v>
      </c>
      <c r="Y982" s="14" t="str">
        <f>IFERROR(__xludf.DUMMYFUNCTION("""COMPUTED_VALUE"""),"Guatemala-The Americas")</f>
        <v>Guatemala-The Americas</v>
      </c>
      <c r="Z982" s="14" t="str">
        <f>IFERROR(__xludf.DUMMYFUNCTION("""COMPUTED_VALUE"""),"The Americas")</f>
        <v>The Americas</v>
      </c>
      <c r="AA982" s="14" t="str">
        <f>IFERROR(__xludf.DUMMYFUNCTION("""COMPUTED_VALUE"""),"2005")</f>
        <v>2005</v>
      </c>
      <c r="AB982" s="15" t="str">
        <f>IFERROR(__xludf.DUMMYFUNCTION("ARRAYFORMULA(VLOOKUP(A982,IMPORTRANGE(""https://docs.google.com/spreadsheets/d/1BuTWp7qHGjWhqrnf-OmePP568O4A5Am9ttzvVdP67zw/edit#gid=1931367683"" ,""ENERGY!$A$2:$F$2692""), {2,3,4,5,6},0))"),"The Americas")</f>
        <v>The Americas</v>
      </c>
      <c r="AC982" s="14" t="str">
        <f>IFERROR(__xludf.DUMMYFUNCTION("""COMPUTED_VALUE"""),"Guatemala-The Americas")</f>
        <v>Guatemala-The Americas</v>
      </c>
      <c r="AD982" s="14" t="str">
        <f>IFERROR(__xludf.DUMMYFUNCTION("""COMPUTED_VALUE"""),"2007")</f>
        <v>2007</v>
      </c>
      <c r="AE982" s="14">
        <f>IFERROR(__xludf.DUMMYFUNCTION("""COMPUTED_VALUE"""),8528.0)</f>
        <v>8528</v>
      </c>
      <c r="AF982" s="14">
        <f>IFERROR(__xludf.DUMMYFUNCTION("""COMPUTED_VALUE"""),12636.0)</f>
        <v>12636</v>
      </c>
    </row>
    <row r="983">
      <c r="A983" s="12">
        <v>982.0</v>
      </c>
      <c r="B983" s="12" t="s">
        <v>154</v>
      </c>
      <c r="C983" s="5" t="s">
        <v>84</v>
      </c>
      <c r="D983" s="11">
        <v>0.387</v>
      </c>
      <c r="E983" s="11">
        <v>30.0</v>
      </c>
      <c r="F983" s="8"/>
      <c r="G983" s="11">
        <v>344.0</v>
      </c>
      <c r="H983" s="11">
        <v>0.065</v>
      </c>
      <c r="I983" s="11">
        <v>0.552</v>
      </c>
      <c r="J983" s="9" t="s">
        <v>67</v>
      </c>
      <c r="K983" s="14" t="str">
        <f>IFERROR(__xludf.DUMMYFUNCTION("ARRAYFORMULA(VLOOKUP(A983,IMPORTRANGE(""https://docs.google.com/spreadsheets/d/1BuTWp7qHGjWhqrnf-OmePP568O4A5Am9ttzvVdP67zw/edit#gid=1603210130"", ""TOURISM!$A$2:$F$2692""), {2,3,4,5,6},0))"),"The Americas")</f>
        <v>The Americas</v>
      </c>
      <c r="L983" s="14">
        <f>IFERROR(__xludf.DUMMYFUNCTION("""COMPUTED_VALUE"""),9.19E8)</f>
        <v>919000000</v>
      </c>
      <c r="M983" s="14" t="str">
        <f>IFERROR(__xludf.DUMMYFUNCTION("""COMPUTED_VALUE"""),"Guatemala-The Americas")</f>
        <v>Guatemala-The Americas</v>
      </c>
      <c r="N983" s="14" t="str">
        <f>IFERROR(__xludf.DUMMYFUNCTION("""COMPUTED_VALUE"""),"2006")</f>
        <v>2006</v>
      </c>
      <c r="O983" s="14">
        <f>IFERROR(__xludf.DUMMYFUNCTION("""COMPUTED_VALUE"""),6.55E8)</f>
        <v>655000000</v>
      </c>
      <c r="P983" s="15">
        <f>IFERROR(__xludf.DUMMYFUNCTION("ARRAYFORMULA(VLOOKUP(A983,IMPORTRANGE(""https://docs.google.com/spreadsheets/d/1BuTWp7qHGjWhqrnf-OmePP568O4A5Am9ttzvVdP67zw/edit#gid=771602874"" ,""HUMAN RESOURCES!$A$2:$M$2692""), {2,3,4,5,6,7,8,9,10,11,12,13},0))"),0.034)</f>
        <v>0.034</v>
      </c>
      <c r="Q983" s="14">
        <f>IFERROR(__xludf.DUMMYFUNCTION("""COMPUTED_VALUE"""),0.032)</f>
        <v>0.032</v>
      </c>
      <c r="R983" s="14">
        <f>IFERROR(__xludf.DUMMYFUNCTION("""COMPUTED_VALUE"""),73.0)</f>
        <v>73</v>
      </c>
      <c r="S983" s="14">
        <f>IFERROR(__xludf.DUMMYFUNCTION("""COMPUTED_VALUE"""),66.0)</f>
        <v>66</v>
      </c>
      <c r="T983" s="14">
        <f>IFERROR(__xludf.DUMMYFUNCTION("""COMPUTED_VALUE"""),0.429)</f>
        <v>0.429</v>
      </c>
      <c r="U983" s="14">
        <f>IFERROR(__xludf.DUMMYFUNCTION("""COMPUTED_VALUE"""),0.528)</f>
        <v>0.528</v>
      </c>
      <c r="V983" s="14">
        <f>IFERROR(__xludf.DUMMYFUNCTION("""COMPUTED_VALUE"""),0.043)</f>
        <v>0.043</v>
      </c>
      <c r="W983" s="14">
        <f>IFERROR(__xludf.DUMMYFUNCTION("""COMPUTED_VALUE"""),1.2995374E7)</f>
        <v>12995374</v>
      </c>
      <c r="X983" s="14">
        <f>IFERROR(__xludf.DUMMYFUNCTION("""COMPUTED_VALUE"""),0.476)</f>
        <v>0.476</v>
      </c>
      <c r="Y983" s="14" t="str">
        <f>IFERROR(__xludf.DUMMYFUNCTION("""COMPUTED_VALUE"""),"Guatemala-The Americas")</f>
        <v>Guatemala-The Americas</v>
      </c>
      <c r="Z983" s="14" t="str">
        <f>IFERROR(__xludf.DUMMYFUNCTION("""COMPUTED_VALUE"""),"The Americas")</f>
        <v>The Americas</v>
      </c>
      <c r="AA983" s="14" t="str">
        <f>IFERROR(__xludf.DUMMYFUNCTION("""COMPUTED_VALUE"""),"2006")</f>
        <v>2006</v>
      </c>
      <c r="AB983" s="15" t="str">
        <f>IFERROR(__xludf.DUMMYFUNCTION("ARRAYFORMULA(VLOOKUP(A983,IMPORTRANGE(""https://docs.google.com/spreadsheets/d/1BuTWp7qHGjWhqrnf-OmePP568O4A5Am9ttzvVdP67zw/edit#gid=1931367683"" ,""ENERGY!$A$2:$F$2692""), {2,3,4,5,6},0))"),"The Americas")</f>
        <v>The Americas</v>
      </c>
      <c r="AC983" s="14" t="str">
        <f>IFERROR(__xludf.DUMMYFUNCTION("""COMPUTED_VALUE"""),"Guatemala-The Americas")</f>
        <v>Guatemala-The Americas</v>
      </c>
      <c r="AD983" s="14" t="str">
        <f>IFERROR(__xludf.DUMMYFUNCTION("""COMPUTED_VALUE"""),"2010")</f>
        <v>2010</v>
      </c>
      <c r="AE983" s="14">
        <f>IFERROR(__xludf.DUMMYFUNCTION("""COMPUTED_VALUE"""),7940.0)</f>
        <v>7940</v>
      </c>
      <c r="AF983" s="14">
        <f>IFERROR(__xludf.DUMMYFUNCTION("""COMPUTED_VALUE"""),12526.0)</f>
        <v>12526</v>
      </c>
    </row>
    <row r="984">
      <c r="A984" s="12">
        <v>983.0</v>
      </c>
      <c r="B984" s="12" t="s">
        <v>154</v>
      </c>
      <c r="C984" s="5" t="s">
        <v>84</v>
      </c>
      <c r="D984" s="11">
        <v>0.365</v>
      </c>
      <c r="E984" s="11">
        <v>34.0</v>
      </c>
      <c r="F984" s="8"/>
      <c r="G984" s="11">
        <v>344.0</v>
      </c>
      <c r="H984" s="11">
        <v>0.073</v>
      </c>
      <c r="I984" s="11">
        <v>0.893</v>
      </c>
      <c r="J984" s="9" t="s">
        <v>68</v>
      </c>
      <c r="K984" s="14" t="str">
        <f>IFERROR(__xludf.DUMMYFUNCTION("ARRAYFORMULA(VLOOKUP(A984,IMPORTRANGE(""https://docs.google.com/spreadsheets/d/1BuTWp7qHGjWhqrnf-OmePP568O4A5Am9ttzvVdP67zw/edit#gid=1603210130"", ""TOURISM!$A$2:$F$2692""), {2,3,4,5,6},0))"),"The Americas")</f>
        <v>The Americas</v>
      </c>
      <c r="L984" s="14">
        <f>IFERROR(__xludf.DUMMYFUNCTION("""COMPUTED_VALUE"""),1.055E9)</f>
        <v>1055000000</v>
      </c>
      <c r="M984" s="14" t="str">
        <f>IFERROR(__xludf.DUMMYFUNCTION("""COMPUTED_VALUE"""),"Guatemala-The Americas")</f>
        <v>Guatemala-The Americas</v>
      </c>
      <c r="N984" s="14" t="str">
        <f>IFERROR(__xludf.DUMMYFUNCTION("""COMPUTED_VALUE"""),"2007")</f>
        <v>2007</v>
      </c>
      <c r="O984" s="14">
        <f>IFERROR(__xludf.DUMMYFUNCTION("""COMPUTED_VALUE"""),7.37E8)</f>
        <v>737000000</v>
      </c>
      <c r="P984" s="15">
        <f>IFERROR(__xludf.DUMMYFUNCTION("ARRAYFORMULA(VLOOKUP(A984,IMPORTRANGE(""https://docs.google.com/spreadsheets/d/1BuTWp7qHGjWhqrnf-OmePP568O4A5Am9ttzvVdP67zw/edit#gid=771602874"" ,""HUMAN RESOURCES!$A$2:$M$2692""), {2,3,4,5,6,7,8,9,10,11,12,13},0))"),0.034)</f>
        <v>0.034</v>
      </c>
      <c r="Q984" s="14">
        <f>IFERROR(__xludf.DUMMYFUNCTION("""COMPUTED_VALUE"""),0.031)</f>
        <v>0.031</v>
      </c>
      <c r="R984" s="14">
        <f>IFERROR(__xludf.DUMMYFUNCTION("""COMPUTED_VALUE"""),74.0)</f>
        <v>74</v>
      </c>
      <c r="S984" s="14">
        <f>IFERROR(__xludf.DUMMYFUNCTION("""COMPUTED_VALUE"""),67.0)</f>
        <v>67</v>
      </c>
      <c r="T984" s="14">
        <f>IFERROR(__xludf.DUMMYFUNCTION("""COMPUTED_VALUE"""),0.426)</f>
        <v>0.426</v>
      </c>
      <c r="U984" s="14">
        <f>IFERROR(__xludf.DUMMYFUNCTION("""COMPUTED_VALUE"""),0.531)</f>
        <v>0.531</v>
      </c>
      <c r="V984" s="14">
        <f>IFERROR(__xludf.DUMMYFUNCTION("""COMPUTED_VALUE"""),0.043)</f>
        <v>0.043</v>
      </c>
      <c r="W984" s="14">
        <f>IFERROR(__xludf.DUMMYFUNCTION("""COMPUTED_VALUE"""),1.3317931E7)</f>
        <v>13317931</v>
      </c>
      <c r="X984" s="14">
        <f>IFERROR(__xludf.DUMMYFUNCTION("""COMPUTED_VALUE"""),0.48)</f>
        <v>0.48</v>
      </c>
      <c r="Y984" s="14" t="str">
        <f>IFERROR(__xludf.DUMMYFUNCTION("""COMPUTED_VALUE"""),"Guatemala-The Americas")</f>
        <v>Guatemala-The Americas</v>
      </c>
      <c r="Z984" s="14" t="str">
        <f>IFERROR(__xludf.DUMMYFUNCTION("""COMPUTED_VALUE"""),"The Americas")</f>
        <v>The Americas</v>
      </c>
      <c r="AA984" s="14" t="str">
        <f>IFERROR(__xludf.DUMMYFUNCTION("""COMPUTED_VALUE"""),"2007")</f>
        <v>2007</v>
      </c>
      <c r="AB984" s="15" t="str">
        <f>IFERROR(__xludf.DUMMYFUNCTION("ARRAYFORMULA(VLOOKUP(A984,IMPORTRANGE(""https://docs.google.com/spreadsheets/d/1BuTWp7qHGjWhqrnf-OmePP568O4A5Am9ttzvVdP67zw/edit#gid=1931367683"" ,""ENERGY!$A$2:$F$2692""), {2,3,4,5,6},0))"),"The Americas")</f>
        <v>The Americas</v>
      </c>
      <c r="AC984" s="14" t="str">
        <f>IFERROR(__xludf.DUMMYFUNCTION("""COMPUTED_VALUE"""),"Guatemala-The Americas")</f>
        <v>Guatemala-The Americas</v>
      </c>
      <c r="AD984" s="14" t="str">
        <f>IFERROR(__xludf.DUMMYFUNCTION("""COMPUTED_VALUE"""),"2007")</f>
        <v>2007</v>
      </c>
      <c r="AE984" s="14">
        <f>IFERROR(__xludf.DUMMYFUNCTION("""COMPUTED_VALUE"""),7855.0)</f>
        <v>7855</v>
      </c>
      <c r="AF984" s="14">
        <f>IFERROR(__xludf.DUMMYFUNCTION("""COMPUTED_VALUE"""),12453.0)</f>
        <v>12453</v>
      </c>
    </row>
    <row r="985">
      <c r="A985" s="12">
        <v>984.0</v>
      </c>
      <c r="B985" s="12" t="s">
        <v>154</v>
      </c>
      <c r="C985" s="5" t="s">
        <v>84</v>
      </c>
      <c r="D985" s="11">
        <v>0.409</v>
      </c>
      <c r="E985" s="11">
        <v>34.0</v>
      </c>
      <c r="F985" s="8"/>
      <c r="G985" s="11">
        <v>344.0</v>
      </c>
      <c r="H985" s="11">
        <v>0.083</v>
      </c>
      <c r="I985" s="11">
        <v>1.095</v>
      </c>
      <c r="J985" s="9" t="s">
        <v>69</v>
      </c>
      <c r="K985" s="14" t="str">
        <f>IFERROR(__xludf.DUMMYFUNCTION("ARRAYFORMULA(VLOOKUP(A985,IMPORTRANGE(""https://docs.google.com/spreadsheets/d/1BuTWp7qHGjWhqrnf-OmePP568O4A5Am9ttzvVdP67zw/edit#gid=1603210130"", ""TOURISM!$A$2:$F$2692""), {2,3,4,5,6},0))"),"The Americas")</f>
        <v>The Americas</v>
      </c>
      <c r="L985" s="14">
        <f>IFERROR(__xludf.DUMMYFUNCTION("""COMPUTED_VALUE"""),1.068E9)</f>
        <v>1068000000</v>
      </c>
      <c r="M985" s="14" t="str">
        <f>IFERROR(__xludf.DUMMYFUNCTION("""COMPUTED_VALUE"""),"Guatemala-The Americas")</f>
        <v>Guatemala-The Americas</v>
      </c>
      <c r="N985" s="14" t="str">
        <f>IFERROR(__xludf.DUMMYFUNCTION("""COMPUTED_VALUE"""),"2008")</f>
        <v>2008</v>
      </c>
      <c r="O985" s="14">
        <f>IFERROR(__xludf.DUMMYFUNCTION("""COMPUTED_VALUE"""),7.41E8)</f>
        <v>741000000</v>
      </c>
      <c r="P985" s="15">
        <f>IFERROR(__xludf.DUMMYFUNCTION("ARRAYFORMULA(VLOOKUP(A985,IMPORTRANGE(""https://docs.google.com/spreadsheets/d/1BuTWp7qHGjWhqrnf-OmePP568O4A5Am9ttzvVdP67zw/edit#gid=771602874"" ,""HUMAN RESOURCES!$A$2:$M$2692""), {2,3,4,5,6,7,8,9,10,11,12,13},0))"),0.033)</f>
        <v>0.033</v>
      </c>
      <c r="Q985" s="14">
        <f>IFERROR(__xludf.DUMMYFUNCTION("""COMPUTED_VALUE"""),0.03)</f>
        <v>0.03</v>
      </c>
      <c r="R985" s="14">
        <f>IFERROR(__xludf.DUMMYFUNCTION("""COMPUTED_VALUE"""),74.0)</f>
        <v>74</v>
      </c>
      <c r="S985" s="14">
        <f>IFERROR(__xludf.DUMMYFUNCTION("""COMPUTED_VALUE"""),67.0)</f>
        <v>67</v>
      </c>
      <c r="T985" s="14">
        <f>IFERROR(__xludf.DUMMYFUNCTION("""COMPUTED_VALUE"""),0.422)</f>
        <v>0.422</v>
      </c>
      <c r="U985" s="14">
        <f>IFERROR(__xludf.DUMMYFUNCTION("""COMPUTED_VALUE"""),0.534)</f>
        <v>0.534</v>
      </c>
      <c r="V985" s="14">
        <f>IFERROR(__xludf.DUMMYFUNCTION("""COMPUTED_VALUE"""),0.044)</f>
        <v>0.044</v>
      </c>
      <c r="W985" s="14">
        <f>IFERROR(__xludf.DUMMYFUNCTION("""COMPUTED_VALUE"""),1.3648307E7)</f>
        <v>13648307</v>
      </c>
      <c r="X985" s="14">
        <f>IFERROR(__xludf.DUMMYFUNCTION("""COMPUTED_VALUE"""),0.484)</f>
        <v>0.484</v>
      </c>
      <c r="Y985" s="14" t="str">
        <f>IFERROR(__xludf.DUMMYFUNCTION("""COMPUTED_VALUE"""),"Guatemala-The Americas")</f>
        <v>Guatemala-The Americas</v>
      </c>
      <c r="Z985" s="14" t="str">
        <f>IFERROR(__xludf.DUMMYFUNCTION("""COMPUTED_VALUE"""),"The Americas")</f>
        <v>The Americas</v>
      </c>
      <c r="AA985" s="14" t="str">
        <f>IFERROR(__xludf.DUMMYFUNCTION("""COMPUTED_VALUE"""),"2008")</f>
        <v>2008</v>
      </c>
      <c r="AB985" s="15" t="str">
        <f>IFERROR(__xludf.DUMMYFUNCTION("ARRAYFORMULA(VLOOKUP(A985,IMPORTRANGE(""https://docs.google.com/spreadsheets/d/1BuTWp7qHGjWhqrnf-OmePP568O4A5Am9ttzvVdP67zw/edit#gid=1931367683"" ,""ENERGY!$A$2:$F$2692""), {2,3,4,5,6},0))"),"The Americas")</f>
        <v>The Americas</v>
      </c>
      <c r="AC985" s="14" t="str">
        <f>IFERROR(__xludf.DUMMYFUNCTION("""COMPUTED_VALUE"""),"Guatemala-The Americas")</f>
        <v>Guatemala-The Americas</v>
      </c>
      <c r="AD985" s="14" t="str">
        <f>IFERROR(__xludf.DUMMYFUNCTION("""COMPUTED_VALUE"""),"2005")</f>
        <v>2005</v>
      </c>
      <c r="AE985" s="14">
        <f>IFERROR(__xludf.DUMMYFUNCTION("""COMPUTED_VALUE"""),7785.0)</f>
        <v>7785</v>
      </c>
      <c r="AF985" s="14">
        <f>IFERROR(__xludf.DUMMYFUNCTION("""COMPUTED_VALUE"""),11621.0)</f>
        <v>11621</v>
      </c>
    </row>
    <row r="986">
      <c r="A986" s="12">
        <v>985.0</v>
      </c>
      <c r="B986" s="12" t="s">
        <v>154</v>
      </c>
      <c r="C986" s="5" t="s">
        <v>84</v>
      </c>
      <c r="D986" s="11">
        <v>0.409</v>
      </c>
      <c r="E986" s="11">
        <v>37.0</v>
      </c>
      <c r="F986" s="8"/>
      <c r="G986" s="11">
        <v>344.0</v>
      </c>
      <c r="H986" s="11">
        <v>0.093</v>
      </c>
      <c r="I986" s="11">
        <v>1.237</v>
      </c>
      <c r="J986" s="9" t="s">
        <v>70</v>
      </c>
      <c r="K986" s="14" t="str">
        <f>IFERROR(__xludf.DUMMYFUNCTION("ARRAYFORMULA(VLOOKUP(A986,IMPORTRANGE(""https://docs.google.com/spreadsheets/d/1BuTWp7qHGjWhqrnf-OmePP568O4A5Am9ttzvVdP67zw/edit#gid=1603210130"", ""TOURISM!$A$2:$F$2692""), {2,3,4,5,6},0))"),"The Americas")</f>
        <v>The Americas</v>
      </c>
      <c r="L986" s="14">
        <f>IFERROR(__xludf.DUMMYFUNCTION("""COMPUTED_VALUE"""),1.179E9)</f>
        <v>1179000000</v>
      </c>
      <c r="M986" s="14" t="str">
        <f>IFERROR(__xludf.DUMMYFUNCTION("""COMPUTED_VALUE"""),"Guatemala-The Americas")</f>
        <v>Guatemala-The Americas</v>
      </c>
      <c r="N986" s="14" t="str">
        <f>IFERROR(__xludf.DUMMYFUNCTION("""COMPUTED_VALUE"""),"2009")</f>
        <v>2009</v>
      </c>
      <c r="O986" s="14">
        <f>IFERROR(__xludf.DUMMYFUNCTION("""COMPUTED_VALUE"""),8.62E8)</f>
        <v>862000000</v>
      </c>
      <c r="P986" s="15">
        <f>IFERROR(__xludf.DUMMYFUNCTION("ARRAYFORMULA(VLOOKUP(A986,IMPORTRANGE(""https://docs.google.com/spreadsheets/d/1BuTWp7qHGjWhqrnf-OmePP568O4A5Am9ttzvVdP67zw/edit#gid=771602874"" ,""HUMAN RESOURCES!$A$2:$M$2692""), {2,3,4,5,6,7,8,9,10,11,12,13},0))"),0.033)</f>
        <v>0.033</v>
      </c>
      <c r="Q986" s="14">
        <f>IFERROR(__xludf.DUMMYFUNCTION("""COMPUTED_VALUE"""),0.029)</f>
        <v>0.029</v>
      </c>
      <c r="R986" s="14">
        <f>IFERROR(__xludf.DUMMYFUNCTION("""COMPUTED_VALUE"""),74.0)</f>
        <v>74</v>
      </c>
      <c r="S986" s="14">
        <f>IFERROR(__xludf.DUMMYFUNCTION("""COMPUTED_VALUE"""),67.0)</f>
        <v>67</v>
      </c>
      <c r="T986" s="14">
        <f>IFERROR(__xludf.DUMMYFUNCTION("""COMPUTED_VALUE"""),0.419)</f>
        <v>0.419</v>
      </c>
      <c r="U986" s="14">
        <f>IFERROR(__xludf.DUMMYFUNCTION("""COMPUTED_VALUE"""),0.537)</f>
        <v>0.537</v>
      </c>
      <c r="V986" s="14">
        <f>IFERROR(__xludf.DUMMYFUNCTION("""COMPUTED_VALUE"""),0.044)</f>
        <v>0.044</v>
      </c>
      <c r="W986" s="14">
        <f>IFERROR(__xludf.DUMMYFUNCTION("""COMPUTED_VALUE"""),1.3988988E7)</f>
        <v>13988988</v>
      </c>
      <c r="X986" s="14">
        <f>IFERROR(__xludf.DUMMYFUNCTION("""COMPUTED_VALUE"""),0.489)</f>
        <v>0.489</v>
      </c>
      <c r="Y986" s="14" t="str">
        <f>IFERROR(__xludf.DUMMYFUNCTION("""COMPUTED_VALUE"""),"Guatemala-The Americas")</f>
        <v>Guatemala-The Americas</v>
      </c>
      <c r="Z986" s="14" t="str">
        <f>IFERROR(__xludf.DUMMYFUNCTION("""COMPUTED_VALUE"""),"The Americas")</f>
        <v>The Americas</v>
      </c>
      <c r="AA986" s="14" t="str">
        <f>IFERROR(__xludf.DUMMYFUNCTION("""COMPUTED_VALUE"""),"2009")</f>
        <v>2009</v>
      </c>
      <c r="AB986" s="15" t="str">
        <f>IFERROR(__xludf.DUMMYFUNCTION("ARRAYFORMULA(VLOOKUP(A986,IMPORTRANGE(""https://docs.google.com/spreadsheets/d/1BuTWp7qHGjWhqrnf-OmePP568O4A5Am9ttzvVdP67zw/edit#gid=1931367683"" ,""ENERGY!$A$2:$F$2692""), {2,3,4,5,6},0))"),"The Americas")</f>
        <v>The Americas</v>
      </c>
      <c r="AC986" s="14" t="str">
        <f>IFERROR(__xludf.DUMMYFUNCTION("""COMPUTED_VALUE"""),"Guatemala-The Americas")</f>
        <v>Guatemala-The Americas</v>
      </c>
      <c r="AD986" s="14" t="str">
        <f>IFERROR(__xludf.DUMMYFUNCTION("""COMPUTED_VALUE"""),"2010")</f>
        <v>2010</v>
      </c>
      <c r="AE986" s="14">
        <f>IFERROR(__xludf.DUMMYFUNCTION("""COMPUTED_VALUE"""),7436.0)</f>
        <v>7436</v>
      </c>
      <c r="AF986" s="14">
        <f>IFERROR(__xludf.DUMMYFUNCTION("""COMPUTED_VALUE"""),10502.0)</f>
        <v>10502</v>
      </c>
    </row>
    <row r="987">
      <c r="A987" s="12">
        <v>986.0</v>
      </c>
      <c r="B987" s="12" t="s">
        <v>154</v>
      </c>
      <c r="C987" s="5" t="s">
        <v>84</v>
      </c>
      <c r="D987" s="11">
        <v>0.409</v>
      </c>
      <c r="E987" s="11">
        <v>37.0</v>
      </c>
      <c r="F987" s="8"/>
      <c r="G987" s="11">
        <v>344.0</v>
      </c>
      <c r="H987" s="11">
        <v>0.105</v>
      </c>
      <c r="I987" s="11">
        <v>1.26</v>
      </c>
      <c r="J987" s="9" t="s">
        <v>71</v>
      </c>
      <c r="K987" s="14" t="str">
        <f>IFERROR(__xludf.DUMMYFUNCTION("ARRAYFORMULA(VLOOKUP(A987,IMPORTRANGE(""https://docs.google.com/spreadsheets/d/1BuTWp7qHGjWhqrnf-OmePP568O4A5Am9ttzvVdP67zw/edit#gid=1603210130"", ""TOURISM!$A$2:$F$2692""), {2,3,4,5,6},0))"),"The Americas")</f>
        <v>The Americas</v>
      </c>
      <c r="L987" s="14">
        <f>IFERROR(__xludf.DUMMYFUNCTION("""COMPUTED_VALUE"""),1.379E9)</f>
        <v>1379000000</v>
      </c>
      <c r="M987" s="14" t="str">
        <f>IFERROR(__xludf.DUMMYFUNCTION("""COMPUTED_VALUE"""),"Guatemala-The Americas")</f>
        <v>Guatemala-The Americas</v>
      </c>
      <c r="N987" s="14" t="str">
        <f>IFERROR(__xludf.DUMMYFUNCTION("""COMPUTED_VALUE"""),"2010")</f>
        <v>2010</v>
      </c>
      <c r="O987" s="14">
        <f>IFERROR(__xludf.DUMMYFUNCTION("""COMPUTED_VALUE"""),1.002E9)</f>
        <v>1002000000</v>
      </c>
      <c r="P987" s="15">
        <f>IFERROR(__xludf.DUMMYFUNCTION("ARRAYFORMULA(VLOOKUP(A987,IMPORTRANGE(""https://docs.google.com/spreadsheets/d/1BuTWp7qHGjWhqrnf-OmePP568O4A5Am9ttzvVdP67zw/edit#gid=771602874"" ,""HUMAN RESOURCES!$A$2:$M$2692""), {2,3,4,5,6,7,8,9,10,11,12,13},0))"),0.032)</f>
        <v>0.032</v>
      </c>
      <c r="Q987" s="14">
        <f>IFERROR(__xludf.DUMMYFUNCTION("""COMPUTED_VALUE"""),0.028)</f>
        <v>0.028</v>
      </c>
      <c r="R987" s="14">
        <f>IFERROR(__xludf.DUMMYFUNCTION("""COMPUTED_VALUE"""),75.0)</f>
        <v>75</v>
      </c>
      <c r="S987" s="14">
        <f>IFERROR(__xludf.DUMMYFUNCTION("""COMPUTED_VALUE"""),68.0)</f>
        <v>68</v>
      </c>
      <c r="T987" s="14">
        <f>IFERROR(__xludf.DUMMYFUNCTION("""COMPUTED_VALUE"""),0.415)</f>
        <v>0.415</v>
      </c>
      <c r="U987" s="14">
        <f>IFERROR(__xludf.DUMMYFUNCTION("""COMPUTED_VALUE"""),0.541)</f>
        <v>0.541</v>
      </c>
      <c r="V987" s="14">
        <f>IFERROR(__xludf.DUMMYFUNCTION("""COMPUTED_VALUE"""),0.044)</f>
        <v>0.044</v>
      </c>
      <c r="W987" s="14">
        <f>IFERROR(__xludf.DUMMYFUNCTION("""COMPUTED_VALUE"""),1.4341576E7)</f>
        <v>14341576</v>
      </c>
      <c r="X987" s="14">
        <f>IFERROR(__xludf.DUMMYFUNCTION("""COMPUTED_VALUE"""),0.493)</f>
        <v>0.493</v>
      </c>
      <c r="Y987" s="14" t="str">
        <f>IFERROR(__xludf.DUMMYFUNCTION("""COMPUTED_VALUE"""),"Guatemala-The Americas")</f>
        <v>Guatemala-The Americas</v>
      </c>
      <c r="Z987" s="14" t="str">
        <f>IFERROR(__xludf.DUMMYFUNCTION("""COMPUTED_VALUE"""),"The Americas")</f>
        <v>The Americas</v>
      </c>
      <c r="AA987" s="14" t="str">
        <f>IFERROR(__xludf.DUMMYFUNCTION("""COMPUTED_VALUE"""),"2010")</f>
        <v>2010</v>
      </c>
      <c r="AB987" s="15" t="str">
        <f>IFERROR(__xludf.DUMMYFUNCTION("ARRAYFORMULA(VLOOKUP(A987,IMPORTRANGE(""https://docs.google.com/spreadsheets/d/1BuTWp7qHGjWhqrnf-OmePP568O4A5Am9ttzvVdP67zw/edit#gid=1931367683"" ,""ENERGY!$A$2:$F$2692""), {2,3,4,5,6},0))"),"The Americas")</f>
        <v>The Americas</v>
      </c>
      <c r="AC987" s="14" t="str">
        <f>IFERROR(__xludf.DUMMYFUNCTION("""COMPUTED_VALUE"""),"Guatemala-The Americas")</f>
        <v>Guatemala-The Americas</v>
      </c>
      <c r="AD987" s="14" t="str">
        <f>IFERROR(__xludf.DUMMYFUNCTION("""COMPUTED_VALUE"""),"2010")</f>
        <v>2010</v>
      </c>
      <c r="AE987" s="14">
        <f>IFERROR(__xludf.DUMMYFUNCTION("""COMPUTED_VALUE"""),7248.0)</f>
        <v>7248</v>
      </c>
      <c r="AF987" s="14">
        <f>IFERROR(__xludf.DUMMYFUNCTION("""COMPUTED_VALUE"""),11096.0)</f>
        <v>11096</v>
      </c>
    </row>
    <row r="988">
      <c r="A988" s="12">
        <v>987.0</v>
      </c>
      <c r="B988" s="12" t="s">
        <v>154</v>
      </c>
      <c r="C988" s="5" t="s">
        <v>84</v>
      </c>
      <c r="D988" s="11">
        <v>0.409</v>
      </c>
      <c r="E988" s="11">
        <v>37.0</v>
      </c>
      <c r="F988" s="8"/>
      <c r="G988" s="11">
        <v>344.0</v>
      </c>
      <c r="H988" s="11">
        <v>0.123</v>
      </c>
      <c r="I988" s="11">
        <v>1.325</v>
      </c>
      <c r="J988" s="9" t="s">
        <v>72</v>
      </c>
      <c r="K988" s="14" t="str">
        <f>IFERROR(__xludf.DUMMYFUNCTION("ARRAYFORMULA(VLOOKUP(A988,IMPORTRANGE(""https://docs.google.com/spreadsheets/d/1BuTWp7qHGjWhqrnf-OmePP568O4A5Am9ttzvVdP67zw/edit#gid=1603210130"", ""TOURISM!$A$2:$F$2692""), {2,3,4,5,6},0))"),"The Americas")</f>
        <v>The Americas</v>
      </c>
      <c r="L988" s="14">
        <f>IFERROR(__xludf.DUMMYFUNCTION("""COMPUTED_VALUE"""),1.35E9)</f>
        <v>1350000000</v>
      </c>
      <c r="M988" s="14" t="str">
        <f>IFERROR(__xludf.DUMMYFUNCTION("""COMPUTED_VALUE"""),"Guatemala-The Americas")</f>
        <v>Guatemala-The Americas</v>
      </c>
      <c r="N988" s="14" t="str">
        <f>IFERROR(__xludf.DUMMYFUNCTION("""COMPUTED_VALUE"""),"2011")</f>
        <v>2011</v>
      </c>
      <c r="O988" s="14">
        <f>IFERROR(__xludf.DUMMYFUNCTION("""COMPUTED_VALUE"""),9.35E8)</f>
        <v>935000000</v>
      </c>
      <c r="P988" s="15">
        <f>IFERROR(__xludf.DUMMYFUNCTION("ARRAYFORMULA(VLOOKUP(A988,IMPORTRANGE(""https://docs.google.com/spreadsheets/d/1BuTWp7qHGjWhqrnf-OmePP568O4A5Am9ttzvVdP67zw/edit#gid=771602874"" ,""HUMAN RESOURCES!$A$2:$M$2692""), {2,3,4,5,6,7,8,9,10,11,12,13},0))"),0.032)</f>
        <v>0.032</v>
      </c>
      <c r="Q988" s="14">
        <f>IFERROR(__xludf.DUMMYFUNCTION("""COMPUTED_VALUE"""),0.028)</f>
        <v>0.028</v>
      </c>
      <c r="R988" s="14">
        <f>IFERROR(__xludf.DUMMYFUNCTION("""COMPUTED_VALUE"""),75.0)</f>
        <v>75</v>
      </c>
      <c r="S988" s="14">
        <f>IFERROR(__xludf.DUMMYFUNCTION("""COMPUTED_VALUE"""),68.0)</f>
        <v>68</v>
      </c>
      <c r="T988" s="14">
        <f>IFERROR(__xludf.DUMMYFUNCTION("""COMPUTED_VALUE"""),0.412)</f>
        <v>0.412</v>
      </c>
      <c r="U988" s="14">
        <f>IFERROR(__xludf.DUMMYFUNCTION("""COMPUTED_VALUE"""),0.544)</f>
        <v>0.544</v>
      </c>
      <c r="V988" s="14">
        <f>IFERROR(__xludf.DUMMYFUNCTION("""COMPUTED_VALUE"""),0.045)</f>
        <v>0.045</v>
      </c>
      <c r="W988" s="14">
        <f>IFERROR(__xludf.DUMMYFUNCTION("""COMPUTED_VALUE"""),1.4706578E7)</f>
        <v>14706578</v>
      </c>
      <c r="X988" s="14">
        <f>IFERROR(__xludf.DUMMYFUNCTION("""COMPUTED_VALUE"""),0.498)</f>
        <v>0.498</v>
      </c>
      <c r="Y988" s="14" t="str">
        <f>IFERROR(__xludf.DUMMYFUNCTION("""COMPUTED_VALUE"""),"Guatemala-The Americas")</f>
        <v>Guatemala-The Americas</v>
      </c>
      <c r="Z988" s="14" t="str">
        <f>IFERROR(__xludf.DUMMYFUNCTION("""COMPUTED_VALUE"""),"The Americas")</f>
        <v>The Americas</v>
      </c>
      <c r="AA988" s="14" t="str">
        <f>IFERROR(__xludf.DUMMYFUNCTION("""COMPUTED_VALUE"""),"2011")</f>
        <v>2011</v>
      </c>
      <c r="AB988" s="15" t="str">
        <f>IFERROR(__xludf.DUMMYFUNCTION("ARRAYFORMULA(VLOOKUP(A988,IMPORTRANGE(""https://docs.google.com/spreadsheets/d/1BuTWp7qHGjWhqrnf-OmePP568O4A5Am9ttzvVdP67zw/edit#gid=1931367683"" ,""ENERGY!$A$2:$F$2692""), {2,3,4,5,6},0))"),"The Americas")</f>
        <v>The Americas</v>
      </c>
      <c r="AC988" s="14" t="str">
        <f>IFERROR(__xludf.DUMMYFUNCTION("""COMPUTED_VALUE"""),"Guatemala-The Americas")</f>
        <v>Guatemala-The Americas</v>
      </c>
      <c r="AD988" s="14" t="str">
        <f>IFERROR(__xludf.DUMMYFUNCTION("""COMPUTED_VALUE"""),"2005")</f>
        <v>2005</v>
      </c>
      <c r="AE988" s="14">
        <f>IFERROR(__xludf.DUMMYFUNCTION("""COMPUTED_VALUE"""),7188.0)</f>
        <v>7188</v>
      </c>
      <c r="AF988" s="14">
        <f>IFERROR(__xludf.DUMMYFUNCTION("""COMPUTED_VALUE"""),10627.0)</f>
        <v>10627</v>
      </c>
    </row>
    <row r="989">
      <c r="A989" s="12">
        <v>988.0</v>
      </c>
      <c r="B989" s="12" t="s">
        <v>154</v>
      </c>
      <c r="C989" s="5" t="s">
        <v>84</v>
      </c>
      <c r="D989" s="11">
        <v>0.409</v>
      </c>
      <c r="E989" s="11">
        <v>40.0</v>
      </c>
      <c r="F989" s="11">
        <v>93.0</v>
      </c>
      <c r="G989" s="11">
        <v>332.0</v>
      </c>
      <c r="H989" s="11">
        <v>0.16</v>
      </c>
      <c r="I989" s="11">
        <v>1.378</v>
      </c>
      <c r="J989" s="9" t="s">
        <v>73</v>
      </c>
      <c r="K989" s="14" t="str">
        <f>IFERROR(__xludf.DUMMYFUNCTION("ARRAYFORMULA(VLOOKUP(A989,IMPORTRANGE(""https://docs.google.com/spreadsheets/d/1BuTWp7qHGjWhqrnf-OmePP568O4A5Am9ttzvVdP67zw/edit#gid=1603210130"", ""TOURISM!$A$2:$F$2692""), {2,3,4,5,6},0))"),"The Americas")</f>
        <v>The Americas</v>
      </c>
      <c r="L989" s="14">
        <f>IFERROR(__xludf.DUMMYFUNCTION("""COMPUTED_VALUE"""),1.419E9)</f>
        <v>1419000000</v>
      </c>
      <c r="M989" s="14" t="str">
        <f>IFERROR(__xludf.DUMMYFUNCTION("""COMPUTED_VALUE"""),"Guatemala-The Americas")</f>
        <v>Guatemala-The Americas</v>
      </c>
      <c r="N989" s="14" t="str">
        <f>IFERROR(__xludf.DUMMYFUNCTION("""COMPUTED_VALUE"""),"2012")</f>
        <v>2012</v>
      </c>
      <c r="O989" s="14">
        <f>IFERROR(__xludf.DUMMYFUNCTION("""COMPUTED_VALUE"""),9.14E8)</f>
        <v>914000000</v>
      </c>
      <c r="P989" s="15">
        <f>IFERROR(__xludf.DUMMYFUNCTION("ARRAYFORMULA(VLOOKUP(A989,IMPORTRANGE(""https://docs.google.com/spreadsheets/d/1BuTWp7qHGjWhqrnf-OmePP568O4A5Am9ttzvVdP67zw/edit#gid=771602874"" ,""HUMAN RESOURCES!$A$2:$M$2692""), {2,3,4,5,6,7,8,9,10,11,12,13},0))"),0.031)</f>
        <v>0.031</v>
      </c>
      <c r="Q989" s="14">
        <f>IFERROR(__xludf.DUMMYFUNCTION("""COMPUTED_VALUE"""),0.027)</f>
        <v>0.027</v>
      </c>
      <c r="R989" s="14">
        <f>IFERROR(__xludf.DUMMYFUNCTION("""COMPUTED_VALUE"""),75.0)</f>
        <v>75</v>
      </c>
      <c r="S989" s="14">
        <f>IFERROR(__xludf.DUMMYFUNCTION("""COMPUTED_VALUE"""),68.0)</f>
        <v>68</v>
      </c>
      <c r="T989" s="14">
        <f>IFERROR(__xludf.DUMMYFUNCTION("""COMPUTED_VALUE"""),0.408)</f>
        <v>0.408</v>
      </c>
      <c r="U989" s="14">
        <f>IFERROR(__xludf.DUMMYFUNCTION("""COMPUTED_VALUE"""),0.547)</f>
        <v>0.547</v>
      </c>
      <c r="V989" s="14">
        <f>IFERROR(__xludf.DUMMYFUNCTION("""COMPUTED_VALUE"""),0.045)</f>
        <v>0.045</v>
      </c>
      <c r="W989" s="14">
        <f>IFERROR(__xludf.DUMMYFUNCTION("""COMPUTED_VALUE"""),1.5082831E7)</f>
        <v>15082831</v>
      </c>
      <c r="X989" s="14">
        <f>IFERROR(__xludf.DUMMYFUNCTION("""COMPUTED_VALUE"""),0.502)</f>
        <v>0.502</v>
      </c>
      <c r="Y989" s="14" t="str">
        <f>IFERROR(__xludf.DUMMYFUNCTION("""COMPUTED_VALUE"""),"Guatemala-The Americas")</f>
        <v>Guatemala-The Americas</v>
      </c>
      <c r="Z989" s="14" t="str">
        <f>IFERROR(__xludf.DUMMYFUNCTION("""COMPUTED_VALUE"""),"The Americas")</f>
        <v>The Americas</v>
      </c>
      <c r="AA989" s="14" t="str">
        <f>IFERROR(__xludf.DUMMYFUNCTION("""COMPUTED_VALUE"""),"2012")</f>
        <v>2012</v>
      </c>
      <c r="AB989" s="15" t="str">
        <f>IFERROR(__xludf.DUMMYFUNCTION("ARRAYFORMULA(VLOOKUP(A989,IMPORTRANGE(""https://docs.google.com/spreadsheets/d/1BuTWp7qHGjWhqrnf-OmePP568O4A5Am9ttzvVdP67zw/edit#gid=1931367683"" ,""ENERGY!$A$2:$F$2692""), {2,3,4,5,6},0))"),"The Americas")</f>
        <v>The Americas</v>
      </c>
      <c r="AC989" s="14" t="str">
        <f>IFERROR(__xludf.DUMMYFUNCTION("""COMPUTED_VALUE"""),"Guatemala-The Americas")</f>
        <v>Guatemala-The Americas</v>
      </c>
      <c r="AD989" s="14" t="str">
        <f>IFERROR(__xludf.DUMMYFUNCTION("""COMPUTED_VALUE"""),"2010")</f>
        <v>2010</v>
      </c>
      <c r="AE989" s="14">
        <f>IFERROR(__xludf.DUMMYFUNCTION("""COMPUTED_VALUE"""),7041.0)</f>
        <v>7041</v>
      </c>
      <c r="AF989" s="14">
        <f>IFERROR(__xludf.DUMMYFUNCTION("""COMPUTED_VALUE"""),9916.0)</f>
        <v>9916</v>
      </c>
    </row>
    <row r="990">
      <c r="A990" s="12">
        <v>989.0</v>
      </c>
      <c r="B990" s="12" t="s">
        <v>155</v>
      </c>
      <c r="C990" s="5" t="s">
        <v>77</v>
      </c>
      <c r="D990" s="8"/>
      <c r="E990" s="8"/>
      <c r="F990" s="8"/>
      <c r="G990" s="8"/>
      <c r="H990" s="11">
        <v>0.001</v>
      </c>
      <c r="I990" s="11">
        <v>0.005</v>
      </c>
      <c r="J990" s="9" t="s">
        <v>60</v>
      </c>
      <c r="K990" s="14" t="str">
        <f>IFERROR(__xludf.DUMMYFUNCTION("ARRAYFORMULA(VLOOKUP(A990,IMPORTRANGE(""https://docs.google.com/spreadsheets/d/1BuTWp7qHGjWhqrnf-OmePP568O4A5Am9ttzvVdP67zw/edit#gid=1603210130"", ""TOURISM!$A$2:$F$2692""), {2,3,4,5,6},0))"),"Africa")</f>
        <v>Africa</v>
      </c>
      <c r="L990" s="14">
        <f>IFERROR(__xludf.DUMMYFUNCTION("""COMPUTED_VALUE"""),7800000.0)</f>
        <v>7800000</v>
      </c>
      <c r="M990" s="14" t="str">
        <f>IFERROR(__xludf.DUMMYFUNCTION("""COMPUTED_VALUE"""),"Guinea-Africa")</f>
        <v>Guinea-Africa</v>
      </c>
      <c r="N990" s="14" t="str">
        <f>IFERROR(__xludf.DUMMYFUNCTION("""COMPUTED_VALUE"""),"2000")</f>
        <v>2000</v>
      </c>
      <c r="O990" s="14">
        <f>IFERROR(__xludf.DUMMYFUNCTION("""COMPUTED_VALUE"""),1.3E7)</f>
        <v>13000000</v>
      </c>
      <c r="P990" s="15">
        <f>IFERROR(__xludf.DUMMYFUNCTION("ARRAYFORMULA(VLOOKUP(A990,IMPORTRANGE(""https://docs.google.com/spreadsheets/d/1BuTWp7qHGjWhqrnf-OmePP568O4A5Am9ttzvVdP67zw/edit#gid=771602874"" ,""HUMAN RESOURCES!$A$2:$M$2692""), {2,3,4,5,6,7,8,9,10,11,12,13},0))"),0.042)</f>
        <v>0.042</v>
      </c>
      <c r="Q990" s="14">
        <f>IFERROR(__xludf.DUMMYFUNCTION("""COMPUTED_VALUE"""),0.103)</f>
        <v>0.103</v>
      </c>
      <c r="R990" s="14">
        <f>IFERROR(__xludf.DUMMYFUNCTION("""COMPUTED_VALUE"""),51.0)</f>
        <v>51</v>
      </c>
      <c r="S990" s="14">
        <f>IFERROR(__xludf.DUMMYFUNCTION("""COMPUTED_VALUE"""),51.0)</f>
        <v>51</v>
      </c>
      <c r="T990" s="14">
        <f>IFERROR(__xludf.DUMMYFUNCTION("""COMPUTED_VALUE"""),0.44)</f>
        <v>0.44</v>
      </c>
      <c r="U990" s="14">
        <f>IFERROR(__xludf.DUMMYFUNCTION("""COMPUTED_VALUE"""),0.525)</f>
        <v>0.525</v>
      </c>
      <c r="V990" s="14">
        <f>IFERROR(__xludf.DUMMYFUNCTION("""COMPUTED_VALUE"""),0.034)</f>
        <v>0.034</v>
      </c>
      <c r="W990" s="14">
        <f>IFERROR(__xludf.DUMMYFUNCTION("""COMPUTED_VALUE"""),8746128.0)</f>
        <v>8746128</v>
      </c>
      <c r="X990" s="14">
        <f>IFERROR(__xludf.DUMMYFUNCTION("""COMPUTED_VALUE"""),0.31)</f>
        <v>0.31</v>
      </c>
      <c r="Y990" s="14" t="str">
        <f>IFERROR(__xludf.DUMMYFUNCTION("""COMPUTED_VALUE"""),"Guinea-Africa")</f>
        <v>Guinea-Africa</v>
      </c>
      <c r="Z990" s="14" t="str">
        <f>IFERROR(__xludf.DUMMYFUNCTION("""COMPUTED_VALUE"""),"Africa")</f>
        <v>Africa</v>
      </c>
      <c r="AA990" s="14" t="str">
        <f>IFERROR(__xludf.DUMMYFUNCTION("""COMPUTED_VALUE"""),"2000")</f>
        <v>2000</v>
      </c>
      <c r="AB990" s="15" t="str">
        <f>IFERROR(__xludf.DUMMYFUNCTION("ARRAYFORMULA(VLOOKUP(A990,IMPORTRANGE(""https://docs.google.com/spreadsheets/d/1BuTWp7qHGjWhqrnf-OmePP568O4A5Am9ttzvVdP67zw/edit#gid=1931367683"" ,""ENERGY!$A$2:$F$2692""), {2,3,4,5,6},0))"),"Africa")</f>
        <v>Africa</v>
      </c>
      <c r="AC990" s="14" t="str">
        <f>IFERROR(__xludf.DUMMYFUNCTION("""COMPUTED_VALUE"""),"Guinea-Africa")</f>
        <v>Guinea-Africa</v>
      </c>
      <c r="AD990" s="14" t="str">
        <f>IFERROR(__xludf.DUMMYFUNCTION("""COMPUTED_VALUE"""),"2000")</f>
        <v>2000</v>
      </c>
      <c r="AE990" s="14"/>
      <c r="AF990" s="14"/>
    </row>
    <row r="991">
      <c r="A991" s="12">
        <v>990.0</v>
      </c>
      <c r="B991" s="12" t="s">
        <v>155</v>
      </c>
      <c r="C991" s="5" t="s">
        <v>77</v>
      </c>
      <c r="D991" s="8"/>
      <c r="E991" s="8"/>
      <c r="F991" s="8"/>
      <c r="G991" s="8"/>
      <c r="H991" s="11">
        <v>0.002</v>
      </c>
      <c r="I991" s="11">
        <v>0.006</v>
      </c>
      <c r="J991" s="9" t="s">
        <v>62</v>
      </c>
      <c r="K991" s="14" t="str">
        <f>IFERROR(__xludf.DUMMYFUNCTION("ARRAYFORMULA(VLOOKUP(A991,IMPORTRANGE(""https://docs.google.com/spreadsheets/d/1BuTWp7qHGjWhqrnf-OmePP568O4A5Am9ttzvVdP67zw/edit#gid=1603210130"", ""TOURISM!$A$2:$F$2692""), {2,3,4,5,6},0))"),"Africa")</f>
        <v>Africa</v>
      </c>
      <c r="L991" s="14">
        <f>IFERROR(__xludf.DUMMYFUNCTION("""COMPUTED_VALUE"""),8200000.0)</f>
        <v>8200000</v>
      </c>
      <c r="M991" s="14" t="str">
        <f>IFERROR(__xludf.DUMMYFUNCTION("""COMPUTED_VALUE"""),"Guinea-Africa")</f>
        <v>Guinea-Africa</v>
      </c>
      <c r="N991" s="14" t="str">
        <f>IFERROR(__xludf.DUMMYFUNCTION("""COMPUTED_VALUE"""),"2001")</f>
        <v>2001</v>
      </c>
      <c r="O991" s="14">
        <f>IFERROR(__xludf.DUMMYFUNCTION("""COMPUTED_VALUE"""),2.6E7)</f>
        <v>26000000</v>
      </c>
      <c r="P991" s="15">
        <f>IFERROR(__xludf.DUMMYFUNCTION("ARRAYFORMULA(VLOOKUP(A991,IMPORTRANGE(""https://docs.google.com/spreadsheets/d/1BuTWp7qHGjWhqrnf-OmePP568O4A5Am9ttzvVdP67zw/edit#gid=771602874"" ,""HUMAN RESOURCES!$A$2:$M$2692""), {2,3,4,5,6,7,8,9,10,11,12,13},0))"),0.042)</f>
        <v>0.042</v>
      </c>
      <c r="Q991" s="14">
        <f>IFERROR(__xludf.DUMMYFUNCTION("""COMPUTED_VALUE"""),0.099)</f>
        <v>0.099</v>
      </c>
      <c r="R991" s="14">
        <f>IFERROR(__xludf.DUMMYFUNCTION("""COMPUTED_VALUE"""),51.0)</f>
        <v>51</v>
      </c>
      <c r="S991" s="14">
        <f>IFERROR(__xludf.DUMMYFUNCTION("""COMPUTED_VALUE"""),51.0)</f>
        <v>51</v>
      </c>
      <c r="T991" s="14">
        <f>IFERROR(__xludf.DUMMYFUNCTION("""COMPUTED_VALUE"""),0.44)</f>
        <v>0.44</v>
      </c>
      <c r="U991" s="14">
        <f>IFERROR(__xludf.DUMMYFUNCTION("""COMPUTED_VALUE"""),0.526)</f>
        <v>0.526</v>
      </c>
      <c r="V991" s="14">
        <f>IFERROR(__xludf.DUMMYFUNCTION("""COMPUTED_VALUE"""),0.034)</f>
        <v>0.034</v>
      </c>
      <c r="W991" s="14">
        <f>IFERROR(__xludf.DUMMYFUNCTION("""COMPUTED_VALUE"""),8895353.0)</f>
        <v>8895353</v>
      </c>
      <c r="X991" s="14">
        <f>IFERROR(__xludf.DUMMYFUNCTION("""COMPUTED_VALUE"""),0.314)</f>
        <v>0.314</v>
      </c>
      <c r="Y991" s="14" t="str">
        <f>IFERROR(__xludf.DUMMYFUNCTION("""COMPUTED_VALUE"""),"Guinea-Africa")</f>
        <v>Guinea-Africa</v>
      </c>
      <c r="Z991" s="14" t="str">
        <f>IFERROR(__xludf.DUMMYFUNCTION("""COMPUTED_VALUE"""),"Africa")</f>
        <v>Africa</v>
      </c>
      <c r="AA991" s="14" t="str">
        <f>IFERROR(__xludf.DUMMYFUNCTION("""COMPUTED_VALUE"""),"2001")</f>
        <v>2001</v>
      </c>
      <c r="AB991" s="15" t="str">
        <f>IFERROR(__xludf.DUMMYFUNCTION("ARRAYFORMULA(VLOOKUP(A991,IMPORTRANGE(""https://docs.google.com/spreadsheets/d/1BuTWp7qHGjWhqrnf-OmePP568O4A5Am9ttzvVdP67zw/edit#gid=1931367683"" ,""ENERGY!$A$2:$F$2692""), {2,3,4,5,6},0))"),"Africa")</f>
        <v>Africa</v>
      </c>
      <c r="AC991" s="14" t="str">
        <f>IFERROR(__xludf.DUMMYFUNCTION("""COMPUTED_VALUE"""),"Guinea-Africa")</f>
        <v>Guinea-Africa</v>
      </c>
      <c r="AD991" s="14" t="str">
        <f>IFERROR(__xludf.DUMMYFUNCTION("""COMPUTED_VALUE"""),"2001")</f>
        <v>2001</v>
      </c>
      <c r="AE991" s="14"/>
      <c r="AF991" s="14"/>
    </row>
    <row r="992">
      <c r="A992" s="12">
        <v>991.0</v>
      </c>
      <c r="B992" s="12" t="s">
        <v>155</v>
      </c>
      <c r="C992" s="5" t="s">
        <v>77</v>
      </c>
      <c r="D992" s="8"/>
      <c r="E992" s="8"/>
      <c r="F992" s="8"/>
      <c r="G992" s="8"/>
      <c r="H992" s="11">
        <v>0.004</v>
      </c>
      <c r="I992" s="11">
        <v>0.01</v>
      </c>
      <c r="J992" s="9" t="s">
        <v>63</v>
      </c>
      <c r="K992" s="14" t="str">
        <f>IFERROR(__xludf.DUMMYFUNCTION("ARRAYFORMULA(VLOOKUP(A992,IMPORTRANGE(""https://docs.google.com/spreadsheets/d/1BuTWp7qHGjWhqrnf-OmePP568O4A5Am9ttzvVdP67zw/edit#gid=1603210130"", ""TOURISM!$A$2:$F$2692""), {2,3,4,5,6},0))"),"Africa")</f>
        <v>Africa</v>
      </c>
      <c r="L992" s="14"/>
      <c r="M992" s="14" t="str">
        <f>IFERROR(__xludf.DUMMYFUNCTION("""COMPUTED_VALUE"""),"Guinea-Africa")</f>
        <v>Guinea-Africa</v>
      </c>
      <c r="N992" s="14" t="str">
        <f>IFERROR(__xludf.DUMMYFUNCTION("""COMPUTED_VALUE"""),"2002")</f>
        <v>2002</v>
      </c>
      <c r="O992" s="14">
        <f>IFERROR(__xludf.DUMMYFUNCTION("""COMPUTED_VALUE"""),3.8E7)</f>
        <v>38000000</v>
      </c>
      <c r="P992" s="15">
        <f>IFERROR(__xludf.DUMMYFUNCTION("ARRAYFORMULA(VLOOKUP(A992,IMPORTRANGE(""https://docs.google.com/spreadsheets/d/1BuTWp7qHGjWhqrnf-OmePP568O4A5Am9ttzvVdP67zw/edit#gid=771602874"" ,""HUMAN RESOURCES!$A$2:$M$2692""), {2,3,4,5,6,7,8,9,10,11,12,13},0))"),0.041)</f>
        <v>0.041</v>
      </c>
      <c r="Q992" s="14">
        <f>IFERROR(__xludf.DUMMYFUNCTION("""COMPUTED_VALUE"""),0.095)</f>
        <v>0.095</v>
      </c>
      <c r="R992" s="14">
        <f>IFERROR(__xludf.DUMMYFUNCTION("""COMPUTED_VALUE"""),51.0)</f>
        <v>51</v>
      </c>
      <c r="S992" s="14">
        <f>IFERROR(__xludf.DUMMYFUNCTION("""COMPUTED_VALUE"""),51.0)</f>
        <v>51</v>
      </c>
      <c r="T992" s="14">
        <f>IFERROR(__xludf.DUMMYFUNCTION("""COMPUTED_VALUE"""),0.439)</f>
        <v>0.439</v>
      </c>
      <c r="U992" s="14">
        <f>IFERROR(__xludf.DUMMYFUNCTION("""COMPUTED_VALUE"""),0.527)</f>
        <v>0.527</v>
      </c>
      <c r="V992" s="14">
        <f>IFERROR(__xludf.DUMMYFUNCTION("""COMPUTED_VALUE"""),0.034)</f>
        <v>0.034</v>
      </c>
      <c r="W992" s="14">
        <f>IFERROR(__xludf.DUMMYFUNCTION("""COMPUTED_VALUE"""),9045748.0)</f>
        <v>9045748</v>
      </c>
      <c r="X992" s="14">
        <f>IFERROR(__xludf.DUMMYFUNCTION("""COMPUTED_VALUE"""),0.317)</f>
        <v>0.317</v>
      </c>
      <c r="Y992" s="14" t="str">
        <f>IFERROR(__xludf.DUMMYFUNCTION("""COMPUTED_VALUE"""),"Guinea-Africa")</f>
        <v>Guinea-Africa</v>
      </c>
      <c r="Z992" s="14" t="str">
        <f>IFERROR(__xludf.DUMMYFUNCTION("""COMPUTED_VALUE"""),"Africa")</f>
        <v>Africa</v>
      </c>
      <c r="AA992" s="14" t="str">
        <f>IFERROR(__xludf.DUMMYFUNCTION("""COMPUTED_VALUE"""),"2002")</f>
        <v>2002</v>
      </c>
      <c r="AB992" s="15" t="str">
        <f>IFERROR(__xludf.DUMMYFUNCTION("ARRAYFORMULA(VLOOKUP(A992,IMPORTRANGE(""https://docs.google.com/spreadsheets/d/1BuTWp7qHGjWhqrnf-OmePP568O4A5Am9ttzvVdP67zw/edit#gid=1931367683"" ,""ENERGY!$A$2:$F$2692""), {2,3,4,5,6},0))"),"Africa")</f>
        <v>Africa</v>
      </c>
      <c r="AC992" s="14" t="str">
        <f>IFERROR(__xludf.DUMMYFUNCTION("""COMPUTED_VALUE"""),"Guinea-Africa")</f>
        <v>Guinea-Africa</v>
      </c>
      <c r="AD992" s="14" t="str">
        <f>IFERROR(__xludf.DUMMYFUNCTION("""COMPUTED_VALUE"""),"2002")</f>
        <v>2002</v>
      </c>
      <c r="AE992" s="14"/>
      <c r="AF992" s="14">
        <f>IFERROR(__xludf.DUMMYFUNCTION("""COMPUTED_VALUE"""),1236.0)</f>
        <v>1236</v>
      </c>
    </row>
    <row r="993">
      <c r="A993" s="12">
        <v>992.0</v>
      </c>
      <c r="B993" s="12" t="s">
        <v>155</v>
      </c>
      <c r="C993" s="5" t="s">
        <v>77</v>
      </c>
      <c r="D993" s="8"/>
      <c r="E993" s="11">
        <v>40.0</v>
      </c>
      <c r="F993" s="8"/>
      <c r="G993" s="8"/>
      <c r="H993" s="11">
        <v>0.005</v>
      </c>
      <c r="I993" s="11">
        <v>0.012</v>
      </c>
      <c r="J993" s="9" t="s">
        <v>64</v>
      </c>
      <c r="K993" s="14" t="str">
        <f>IFERROR(__xludf.DUMMYFUNCTION("ARRAYFORMULA(VLOOKUP(A993,IMPORTRANGE(""https://docs.google.com/spreadsheets/d/1BuTWp7qHGjWhqrnf-OmePP568O4A5Am9ttzvVdP67zw/edit#gid=1603210130"", ""TOURISM!$A$2:$F$2692""), {2,3,4,5,6},0))"),"Africa")</f>
        <v>Africa</v>
      </c>
      <c r="L993" s="14"/>
      <c r="M993" s="14" t="str">
        <f>IFERROR(__xludf.DUMMYFUNCTION("""COMPUTED_VALUE"""),"Guinea-Africa")</f>
        <v>Guinea-Africa</v>
      </c>
      <c r="N993" s="14" t="str">
        <f>IFERROR(__xludf.DUMMYFUNCTION("""COMPUTED_VALUE"""),"2003")</f>
        <v>2003</v>
      </c>
      <c r="O993" s="14">
        <f>IFERROR(__xludf.DUMMYFUNCTION("""COMPUTED_VALUE"""),3.6E7)</f>
        <v>36000000</v>
      </c>
      <c r="P993" s="15">
        <f>IFERROR(__xludf.DUMMYFUNCTION("ARRAYFORMULA(VLOOKUP(A993,IMPORTRANGE(""https://docs.google.com/spreadsheets/d/1BuTWp7qHGjWhqrnf-OmePP568O4A5Am9ttzvVdP67zw/edit#gid=771602874"" ,""HUMAN RESOURCES!$A$2:$M$2692""), {2,3,4,5,6,7,8,9,10,11,12,13},0))"),0.041)</f>
        <v>0.041</v>
      </c>
      <c r="Q993" s="14">
        <f>IFERROR(__xludf.DUMMYFUNCTION("""COMPUTED_VALUE"""),0.092)</f>
        <v>0.092</v>
      </c>
      <c r="R993" s="14">
        <f>IFERROR(__xludf.DUMMYFUNCTION("""COMPUTED_VALUE"""),52.0)</f>
        <v>52</v>
      </c>
      <c r="S993" s="14">
        <f>IFERROR(__xludf.DUMMYFUNCTION("""COMPUTED_VALUE"""),52.0)</f>
        <v>52</v>
      </c>
      <c r="T993" s="14">
        <f>IFERROR(__xludf.DUMMYFUNCTION("""COMPUTED_VALUE"""),0.438)</f>
        <v>0.438</v>
      </c>
      <c r="U993" s="14">
        <f>IFERROR(__xludf.DUMMYFUNCTION("""COMPUTED_VALUE"""),0.529)</f>
        <v>0.529</v>
      </c>
      <c r="V993" s="14">
        <f>IFERROR(__xludf.DUMMYFUNCTION("""COMPUTED_VALUE"""),0.033)</f>
        <v>0.033</v>
      </c>
      <c r="W993" s="14">
        <f>IFERROR(__xludf.DUMMYFUNCTION("""COMPUTED_VALUE"""),9204581.0)</f>
        <v>9204581</v>
      </c>
      <c r="X993" s="14">
        <f>IFERROR(__xludf.DUMMYFUNCTION("""COMPUTED_VALUE"""),0.321)</f>
        <v>0.321</v>
      </c>
      <c r="Y993" s="14" t="str">
        <f>IFERROR(__xludf.DUMMYFUNCTION("""COMPUTED_VALUE"""),"Guinea-Africa")</f>
        <v>Guinea-Africa</v>
      </c>
      <c r="Z993" s="14" t="str">
        <f>IFERROR(__xludf.DUMMYFUNCTION("""COMPUTED_VALUE"""),"Africa")</f>
        <v>Africa</v>
      </c>
      <c r="AA993" s="14" t="str">
        <f>IFERROR(__xludf.DUMMYFUNCTION("""COMPUTED_VALUE"""),"2003")</f>
        <v>2003</v>
      </c>
      <c r="AB993" s="15" t="str">
        <f>IFERROR(__xludf.DUMMYFUNCTION("ARRAYFORMULA(VLOOKUP(A993,IMPORTRANGE(""https://docs.google.com/spreadsheets/d/1BuTWp7qHGjWhqrnf-OmePP568O4A5Am9ttzvVdP67zw/edit#gid=1931367683"" ,""ENERGY!$A$2:$F$2692""), {2,3,4,5,6},0))"),"Africa")</f>
        <v>Africa</v>
      </c>
      <c r="AC993" s="14" t="str">
        <f>IFERROR(__xludf.DUMMYFUNCTION("""COMPUTED_VALUE"""),"Guinea-Africa")</f>
        <v>Guinea-Africa</v>
      </c>
      <c r="AD993" s="14" t="str">
        <f>IFERROR(__xludf.DUMMYFUNCTION("""COMPUTED_VALUE"""),"2003")</f>
        <v>2003</v>
      </c>
      <c r="AE993" s="14"/>
      <c r="AF993" s="14">
        <f>IFERROR(__xludf.DUMMYFUNCTION("""COMPUTED_VALUE"""),1228.0)</f>
        <v>1228</v>
      </c>
    </row>
    <row r="994">
      <c r="A994" s="12">
        <v>993.0</v>
      </c>
      <c r="B994" s="12" t="s">
        <v>155</v>
      </c>
      <c r="C994" s="5" t="s">
        <v>77</v>
      </c>
      <c r="D994" s="8"/>
      <c r="E994" s="11">
        <v>40.0</v>
      </c>
      <c r="F994" s="8"/>
      <c r="G994" s="8"/>
      <c r="H994" s="11">
        <v>0.005</v>
      </c>
      <c r="I994" s="11">
        <v>0.017</v>
      </c>
      <c r="J994" s="9" t="s">
        <v>65</v>
      </c>
      <c r="K994" s="14" t="str">
        <f>IFERROR(__xludf.DUMMYFUNCTION("ARRAYFORMULA(VLOOKUP(A994,IMPORTRANGE(""https://docs.google.com/spreadsheets/d/1BuTWp7qHGjWhqrnf-OmePP568O4A5Am9ttzvVdP67zw/edit#gid=1603210130"", ""TOURISM!$A$2:$F$2692""), {2,3,4,5,6},0))"),"Africa")</f>
        <v>Africa</v>
      </c>
      <c r="L994" s="14"/>
      <c r="M994" s="14" t="str">
        <f>IFERROR(__xludf.DUMMYFUNCTION("""COMPUTED_VALUE"""),"Guinea-Africa")</f>
        <v>Guinea-Africa</v>
      </c>
      <c r="N994" s="14" t="str">
        <f>IFERROR(__xludf.DUMMYFUNCTION("""COMPUTED_VALUE"""),"2004")</f>
        <v>2004</v>
      </c>
      <c r="O994" s="14">
        <f>IFERROR(__xludf.DUMMYFUNCTION("""COMPUTED_VALUE"""),2.9E7)</f>
        <v>29000000</v>
      </c>
      <c r="P994" s="15">
        <f>IFERROR(__xludf.DUMMYFUNCTION("ARRAYFORMULA(VLOOKUP(A994,IMPORTRANGE(""https://docs.google.com/spreadsheets/d/1BuTWp7qHGjWhqrnf-OmePP568O4A5Am9ttzvVdP67zw/edit#gid=771602874"" ,""HUMAN RESOURCES!$A$2:$M$2692""), {2,3,4,5,6,7,8,9,10,11,12,13},0))"),0.04)</f>
        <v>0.04</v>
      </c>
      <c r="Q994" s="14">
        <f>IFERROR(__xludf.DUMMYFUNCTION("""COMPUTED_VALUE"""),0.088)</f>
        <v>0.088</v>
      </c>
      <c r="R994" s="14">
        <f>IFERROR(__xludf.DUMMYFUNCTION("""COMPUTED_VALUE"""),52.0)</f>
        <v>52</v>
      </c>
      <c r="S994" s="14">
        <f>IFERROR(__xludf.DUMMYFUNCTION("""COMPUTED_VALUE"""),52.0)</f>
        <v>52</v>
      </c>
      <c r="T994" s="14">
        <f>IFERROR(__xludf.DUMMYFUNCTION("""COMPUTED_VALUE"""),0.437)</f>
        <v>0.437</v>
      </c>
      <c r="U994" s="14">
        <f>IFERROR(__xludf.DUMMYFUNCTION("""COMPUTED_VALUE"""),0.53)</f>
        <v>0.53</v>
      </c>
      <c r="V994" s="14">
        <f>IFERROR(__xludf.DUMMYFUNCTION("""COMPUTED_VALUE"""),0.033)</f>
        <v>0.033</v>
      </c>
      <c r="W994" s="14">
        <f>IFERROR(__xludf.DUMMYFUNCTION("""COMPUTED_VALUE"""),9379621.0)</f>
        <v>9379621</v>
      </c>
      <c r="X994" s="14">
        <f>IFERROR(__xludf.DUMMYFUNCTION("""COMPUTED_VALUE"""),0.324)</f>
        <v>0.324</v>
      </c>
      <c r="Y994" s="14" t="str">
        <f>IFERROR(__xludf.DUMMYFUNCTION("""COMPUTED_VALUE"""),"Guinea-Africa")</f>
        <v>Guinea-Africa</v>
      </c>
      <c r="Z994" s="14" t="str">
        <f>IFERROR(__xludf.DUMMYFUNCTION("""COMPUTED_VALUE"""),"Africa")</f>
        <v>Africa</v>
      </c>
      <c r="AA994" s="14" t="str">
        <f>IFERROR(__xludf.DUMMYFUNCTION("""COMPUTED_VALUE"""),"2004")</f>
        <v>2004</v>
      </c>
      <c r="AB994" s="15" t="str">
        <f>IFERROR(__xludf.DUMMYFUNCTION("ARRAYFORMULA(VLOOKUP(A994,IMPORTRANGE(""https://docs.google.com/spreadsheets/d/1BuTWp7qHGjWhqrnf-OmePP568O4A5Am9ttzvVdP67zw/edit#gid=1931367683"" ,""ENERGY!$A$2:$F$2692""), {2,3,4,5,6},0))"),"Africa")</f>
        <v>Africa</v>
      </c>
      <c r="AC994" s="14" t="str">
        <f>IFERROR(__xludf.DUMMYFUNCTION("""COMPUTED_VALUE"""),"Guinea-Africa")</f>
        <v>Guinea-Africa</v>
      </c>
      <c r="AD994" s="14" t="str">
        <f>IFERROR(__xludf.DUMMYFUNCTION("""COMPUTED_VALUE"""),"2004")</f>
        <v>2004</v>
      </c>
      <c r="AE994" s="14"/>
      <c r="AF994" s="14">
        <f>IFERROR(__xludf.DUMMYFUNCTION("""COMPUTED_VALUE"""),1214.0)</f>
        <v>1214</v>
      </c>
    </row>
    <row r="995">
      <c r="A995" s="12">
        <v>994.0</v>
      </c>
      <c r="B995" s="12" t="s">
        <v>155</v>
      </c>
      <c r="C995" s="5" t="s">
        <v>77</v>
      </c>
      <c r="D995" s="11">
        <v>0.807</v>
      </c>
      <c r="E995" s="11">
        <v>40.0</v>
      </c>
      <c r="F995" s="8"/>
      <c r="G995" s="11">
        <v>416.0</v>
      </c>
      <c r="H995" s="11">
        <v>0.005</v>
      </c>
      <c r="I995" s="11">
        <v>0.02</v>
      </c>
      <c r="J995" s="9" t="s">
        <v>66</v>
      </c>
      <c r="K995" s="14" t="str">
        <f>IFERROR(__xludf.DUMMYFUNCTION("ARRAYFORMULA(VLOOKUP(A995,IMPORTRANGE(""https://docs.google.com/spreadsheets/d/1BuTWp7qHGjWhqrnf-OmePP568O4A5Am9ttzvVdP67zw/edit#gid=1603210130"", ""TOURISM!$A$2:$F$2692""), {2,3,4,5,6},0))"),"Africa")</f>
        <v>Africa</v>
      </c>
      <c r="L995" s="14"/>
      <c r="M995" s="14" t="str">
        <f>IFERROR(__xludf.DUMMYFUNCTION("""COMPUTED_VALUE"""),"Guinea-Africa")</f>
        <v>Guinea-Africa</v>
      </c>
      <c r="N995" s="14" t="str">
        <f>IFERROR(__xludf.DUMMYFUNCTION("""COMPUTED_VALUE"""),"2005")</f>
        <v>2005</v>
      </c>
      <c r="O995" s="14">
        <f>IFERROR(__xludf.DUMMYFUNCTION("""COMPUTED_VALUE"""),3.8E7)</f>
        <v>38000000</v>
      </c>
      <c r="P995" s="15">
        <f>IFERROR(__xludf.DUMMYFUNCTION("ARRAYFORMULA(VLOOKUP(A995,IMPORTRANGE(""https://docs.google.com/spreadsheets/d/1BuTWp7qHGjWhqrnf-OmePP568O4A5Am9ttzvVdP67zw/edit#gid=771602874"" ,""HUMAN RESOURCES!$A$2:$M$2692""), {2,3,4,5,6,7,8,9,10,11,12,13},0))"),0.04)</f>
        <v>0.04</v>
      </c>
      <c r="Q995" s="14">
        <f>IFERROR(__xludf.DUMMYFUNCTION("""COMPUTED_VALUE"""),0.085)</f>
        <v>0.085</v>
      </c>
      <c r="R995" s="14">
        <f>IFERROR(__xludf.DUMMYFUNCTION("""COMPUTED_VALUE"""),53.0)</f>
        <v>53</v>
      </c>
      <c r="S995" s="14">
        <f>IFERROR(__xludf.DUMMYFUNCTION("""COMPUTED_VALUE"""),52.0)</f>
        <v>52</v>
      </c>
      <c r="T995" s="14">
        <f>IFERROR(__xludf.DUMMYFUNCTION("""COMPUTED_VALUE"""),0.436)</f>
        <v>0.436</v>
      </c>
      <c r="U995" s="14">
        <f>IFERROR(__xludf.DUMMYFUNCTION("""COMPUTED_VALUE"""),0.531)</f>
        <v>0.531</v>
      </c>
      <c r="V995" s="14">
        <f>IFERROR(__xludf.DUMMYFUNCTION("""COMPUTED_VALUE"""),0.032)</f>
        <v>0.032</v>
      </c>
      <c r="W995" s="14">
        <f>IFERROR(__xludf.DUMMYFUNCTION("""COMPUTED_VALUE"""),9576331.0)</f>
        <v>9576331</v>
      </c>
      <c r="X995" s="14">
        <f>IFERROR(__xludf.DUMMYFUNCTION("""COMPUTED_VALUE"""),0.328)</f>
        <v>0.328</v>
      </c>
      <c r="Y995" s="14" t="str">
        <f>IFERROR(__xludf.DUMMYFUNCTION("""COMPUTED_VALUE"""),"Guinea-Africa")</f>
        <v>Guinea-Africa</v>
      </c>
      <c r="Z995" s="14" t="str">
        <f>IFERROR(__xludf.DUMMYFUNCTION("""COMPUTED_VALUE"""),"Africa")</f>
        <v>Africa</v>
      </c>
      <c r="AA995" s="14" t="str">
        <f>IFERROR(__xludf.DUMMYFUNCTION("""COMPUTED_VALUE"""),"2005")</f>
        <v>2005</v>
      </c>
      <c r="AB995" s="15" t="str">
        <f>IFERROR(__xludf.DUMMYFUNCTION("ARRAYFORMULA(VLOOKUP(A995,IMPORTRANGE(""https://docs.google.com/spreadsheets/d/1BuTWp7qHGjWhqrnf-OmePP568O4A5Am9ttzvVdP67zw/edit#gid=1931367683"" ,""ENERGY!$A$2:$F$2692""), {2,3,4,5,6},0))"),"Africa")</f>
        <v>Africa</v>
      </c>
      <c r="AC995" s="14" t="str">
        <f>IFERROR(__xludf.DUMMYFUNCTION("""COMPUTED_VALUE"""),"Guinea-Africa")</f>
        <v>Guinea-Africa</v>
      </c>
      <c r="AD995" s="14" t="str">
        <f>IFERROR(__xludf.DUMMYFUNCTION("""COMPUTED_VALUE"""),"2007")</f>
        <v>2007</v>
      </c>
      <c r="AE995" s="14"/>
      <c r="AF995" s="14">
        <f>IFERROR(__xludf.DUMMYFUNCTION("""COMPUTED_VALUE"""),1210.0)</f>
        <v>1210</v>
      </c>
    </row>
    <row r="996">
      <c r="A996" s="12">
        <v>995.0</v>
      </c>
      <c r="B996" s="12" t="s">
        <v>155</v>
      </c>
      <c r="C996" s="5" t="s">
        <v>77</v>
      </c>
      <c r="D996" s="11">
        <v>0.807</v>
      </c>
      <c r="E996" s="11">
        <v>40.0</v>
      </c>
      <c r="F996" s="8"/>
      <c r="G996" s="11">
        <v>416.0</v>
      </c>
      <c r="H996" s="11">
        <v>0.006</v>
      </c>
      <c r="I996" s="8"/>
      <c r="J996" s="9" t="s">
        <v>67</v>
      </c>
      <c r="K996" s="14" t="str">
        <f>IFERROR(__xludf.DUMMYFUNCTION("ARRAYFORMULA(VLOOKUP(A996,IMPORTRANGE(""https://docs.google.com/spreadsheets/d/1BuTWp7qHGjWhqrnf-OmePP568O4A5Am9ttzvVdP67zw/edit#gid=1603210130"", ""TOURISM!$A$2:$F$2692""), {2,3,4,5,6},0))"),"Africa")</f>
        <v>Africa</v>
      </c>
      <c r="L996" s="14"/>
      <c r="M996" s="14" t="str">
        <f>IFERROR(__xludf.DUMMYFUNCTION("""COMPUTED_VALUE"""),"Guinea-Africa")</f>
        <v>Guinea-Africa</v>
      </c>
      <c r="N996" s="14" t="str">
        <f>IFERROR(__xludf.DUMMYFUNCTION("""COMPUTED_VALUE"""),"2006")</f>
        <v>2006</v>
      </c>
      <c r="O996" s="14">
        <f>IFERROR(__xludf.DUMMYFUNCTION("""COMPUTED_VALUE"""),4.1E7)</f>
        <v>41000000</v>
      </c>
      <c r="P996" s="15">
        <f>IFERROR(__xludf.DUMMYFUNCTION("ARRAYFORMULA(VLOOKUP(A996,IMPORTRANGE(""https://docs.google.com/spreadsheets/d/1BuTWp7qHGjWhqrnf-OmePP568O4A5Am9ttzvVdP67zw/edit#gid=771602874"" ,""HUMAN RESOURCES!$A$2:$M$2692""), {2,3,4,5,6,7,8,9,10,11,12,13},0))"),0.04)</f>
        <v>0.04</v>
      </c>
      <c r="Q996" s="14">
        <f>IFERROR(__xludf.DUMMYFUNCTION("""COMPUTED_VALUE"""),0.082)</f>
        <v>0.082</v>
      </c>
      <c r="R996" s="14">
        <f>IFERROR(__xludf.DUMMYFUNCTION("""COMPUTED_VALUE"""),54.0)</f>
        <v>54</v>
      </c>
      <c r="S996" s="14">
        <f>IFERROR(__xludf.DUMMYFUNCTION("""COMPUTED_VALUE"""),53.0)</f>
        <v>53</v>
      </c>
      <c r="T996" s="14">
        <f>IFERROR(__xludf.DUMMYFUNCTION("""COMPUTED_VALUE"""),0.435)</f>
        <v>0.435</v>
      </c>
      <c r="U996" s="14">
        <f>IFERROR(__xludf.DUMMYFUNCTION("""COMPUTED_VALUE"""),0.533)</f>
        <v>0.533</v>
      </c>
      <c r="V996" s="14">
        <f>IFERROR(__xludf.DUMMYFUNCTION("""COMPUTED_VALUE"""),0.032)</f>
        <v>0.032</v>
      </c>
      <c r="W996" s="14">
        <f>IFERROR(__xludf.DUMMYFUNCTION("""COMPUTED_VALUE"""),9798963.0)</f>
        <v>9798963</v>
      </c>
      <c r="X996" s="14">
        <f>IFERROR(__xludf.DUMMYFUNCTION("""COMPUTED_VALUE"""),0.332)</f>
        <v>0.332</v>
      </c>
      <c r="Y996" s="14" t="str">
        <f>IFERROR(__xludf.DUMMYFUNCTION("""COMPUTED_VALUE"""),"Guinea-Africa")</f>
        <v>Guinea-Africa</v>
      </c>
      <c r="Z996" s="14" t="str">
        <f>IFERROR(__xludf.DUMMYFUNCTION("""COMPUTED_VALUE"""),"Africa")</f>
        <v>Africa</v>
      </c>
      <c r="AA996" s="14" t="str">
        <f>IFERROR(__xludf.DUMMYFUNCTION("""COMPUTED_VALUE"""),"2006")</f>
        <v>2006</v>
      </c>
      <c r="AB996" s="15" t="str">
        <f>IFERROR(__xludf.DUMMYFUNCTION("ARRAYFORMULA(VLOOKUP(A996,IMPORTRANGE(""https://docs.google.com/spreadsheets/d/1BuTWp7qHGjWhqrnf-OmePP568O4A5Am9ttzvVdP67zw/edit#gid=1931367683"" ,""ENERGY!$A$2:$F$2692""), {2,3,4,5,6},0))"),"Africa")</f>
        <v>Africa</v>
      </c>
      <c r="AC996" s="14" t="str">
        <f>IFERROR(__xludf.DUMMYFUNCTION("""COMPUTED_VALUE"""),"Guinea-Africa")</f>
        <v>Guinea-Africa</v>
      </c>
      <c r="AD996" s="14" t="str">
        <f>IFERROR(__xludf.DUMMYFUNCTION("""COMPUTED_VALUE"""),"2011")</f>
        <v>2011</v>
      </c>
      <c r="AE996" s="14"/>
      <c r="AF996" s="14">
        <f>IFERROR(__xludf.DUMMYFUNCTION("""COMPUTED_VALUE"""),1181.0)</f>
        <v>1181</v>
      </c>
    </row>
    <row r="997">
      <c r="A997" s="12">
        <v>996.0</v>
      </c>
      <c r="B997" s="12" t="s">
        <v>155</v>
      </c>
      <c r="C997" s="5" t="s">
        <v>77</v>
      </c>
      <c r="D997" s="11">
        <v>0.807</v>
      </c>
      <c r="E997" s="11">
        <v>40.0</v>
      </c>
      <c r="F997" s="8"/>
      <c r="G997" s="11">
        <v>416.0</v>
      </c>
      <c r="H997" s="11">
        <v>0.008</v>
      </c>
      <c r="I997" s="11">
        <v>0.199</v>
      </c>
      <c r="J997" s="9" t="s">
        <v>68</v>
      </c>
      <c r="K997" s="14" t="str">
        <f>IFERROR(__xludf.DUMMYFUNCTION("ARRAYFORMULA(VLOOKUP(A997,IMPORTRANGE(""https://docs.google.com/spreadsheets/d/1BuTWp7qHGjWhqrnf-OmePP568O4A5Am9ttzvVdP67zw/edit#gid=1603210130"", ""TOURISM!$A$2:$F$2692""), {2,3,4,5,6},0))"),"Africa")</f>
        <v>Africa</v>
      </c>
      <c r="L997" s="14">
        <f>IFERROR(__xludf.DUMMYFUNCTION("""COMPUTED_VALUE"""),1100000.0)</f>
        <v>1100000</v>
      </c>
      <c r="M997" s="14" t="str">
        <f>IFERROR(__xludf.DUMMYFUNCTION("""COMPUTED_VALUE"""),"Guinea-Africa")</f>
        <v>Guinea-Africa</v>
      </c>
      <c r="N997" s="14" t="str">
        <f>IFERROR(__xludf.DUMMYFUNCTION("""COMPUTED_VALUE"""),"2007")</f>
        <v>2007</v>
      </c>
      <c r="O997" s="14">
        <f>IFERROR(__xludf.DUMMYFUNCTION("""COMPUTED_VALUE"""),9.6E7)</f>
        <v>96000000</v>
      </c>
      <c r="P997" s="15">
        <f>IFERROR(__xludf.DUMMYFUNCTION("ARRAYFORMULA(VLOOKUP(A997,IMPORTRANGE(""https://docs.google.com/spreadsheets/d/1BuTWp7qHGjWhqrnf-OmePP568O4A5Am9ttzvVdP67zw/edit#gid=771602874"" ,""HUMAN RESOURCES!$A$2:$M$2692""), {2,3,4,5,6,7,8,9,10,11,12,13},0))"),0.039)</f>
        <v>0.039</v>
      </c>
      <c r="Q997" s="14">
        <f>IFERROR(__xludf.DUMMYFUNCTION("""COMPUTED_VALUE"""),0.079)</f>
        <v>0.079</v>
      </c>
      <c r="R997" s="14">
        <f>IFERROR(__xludf.DUMMYFUNCTION("""COMPUTED_VALUE"""),55.0)</f>
        <v>55</v>
      </c>
      <c r="S997" s="14">
        <f>IFERROR(__xludf.DUMMYFUNCTION("""COMPUTED_VALUE"""),53.0)</f>
        <v>53</v>
      </c>
      <c r="T997" s="14">
        <f>IFERROR(__xludf.DUMMYFUNCTION("""COMPUTED_VALUE"""),0.433)</f>
        <v>0.433</v>
      </c>
      <c r="U997" s="14">
        <f>IFERROR(__xludf.DUMMYFUNCTION("""COMPUTED_VALUE"""),0.534)</f>
        <v>0.534</v>
      </c>
      <c r="V997" s="14">
        <f>IFERROR(__xludf.DUMMYFUNCTION("""COMPUTED_VALUE"""),0.032)</f>
        <v>0.032</v>
      </c>
      <c r="W997" s="14">
        <f>IFERROR(__xludf.DUMMYFUNCTION("""COMPUTED_VALUE"""),1.0046967E7)</f>
        <v>10046967</v>
      </c>
      <c r="X997" s="14">
        <f>IFERROR(__xludf.DUMMYFUNCTION("""COMPUTED_VALUE"""),0.336)</f>
        <v>0.336</v>
      </c>
      <c r="Y997" s="14" t="str">
        <f>IFERROR(__xludf.DUMMYFUNCTION("""COMPUTED_VALUE"""),"Guinea-Africa")</f>
        <v>Guinea-Africa</v>
      </c>
      <c r="Z997" s="14" t="str">
        <f>IFERROR(__xludf.DUMMYFUNCTION("""COMPUTED_VALUE"""),"Africa")</f>
        <v>Africa</v>
      </c>
      <c r="AA997" s="14" t="str">
        <f>IFERROR(__xludf.DUMMYFUNCTION("""COMPUTED_VALUE"""),"2007")</f>
        <v>2007</v>
      </c>
      <c r="AB997" s="15" t="str">
        <f>IFERROR(__xludf.DUMMYFUNCTION("ARRAYFORMULA(VLOOKUP(A997,IMPORTRANGE(""https://docs.google.com/spreadsheets/d/1BuTWp7qHGjWhqrnf-OmePP568O4A5Am9ttzvVdP67zw/edit#gid=1931367683"" ,""ENERGY!$A$2:$F$2692""), {2,3,4,5,6},0))"),"Africa")</f>
        <v>Africa</v>
      </c>
      <c r="AC997" s="14" t="str">
        <f>IFERROR(__xludf.DUMMYFUNCTION("""COMPUTED_VALUE"""),"Guinea-Africa")</f>
        <v>Guinea-Africa</v>
      </c>
      <c r="AD997" s="14" t="str">
        <f>IFERROR(__xludf.DUMMYFUNCTION("""COMPUTED_VALUE"""),"2007")</f>
        <v>2007</v>
      </c>
      <c r="AE997" s="14"/>
      <c r="AF997" s="14">
        <f>IFERROR(__xludf.DUMMYFUNCTION("""COMPUTED_VALUE"""),1181.0)</f>
        <v>1181</v>
      </c>
    </row>
    <row r="998">
      <c r="A998" s="12">
        <v>997.0</v>
      </c>
      <c r="B998" s="12" t="s">
        <v>155</v>
      </c>
      <c r="C998" s="5" t="s">
        <v>77</v>
      </c>
      <c r="D998" s="11">
        <v>0.807</v>
      </c>
      <c r="E998" s="11">
        <v>40.0</v>
      </c>
      <c r="F998" s="8"/>
      <c r="G998" s="11">
        <v>416.0</v>
      </c>
      <c r="H998" s="11">
        <v>0.009</v>
      </c>
      <c r="I998" s="11">
        <v>0.267</v>
      </c>
      <c r="J998" s="9" t="s">
        <v>69</v>
      </c>
      <c r="K998" s="14" t="str">
        <f>IFERROR(__xludf.DUMMYFUNCTION("ARRAYFORMULA(VLOOKUP(A998,IMPORTRANGE(""https://docs.google.com/spreadsheets/d/1BuTWp7qHGjWhqrnf-OmePP568O4A5Am9ttzvVdP67zw/edit#gid=1603210130"", ""TOURISM!$A$2:$F$2692""), {2,3,4,5,6},0))"),"Africa")</f>
        <v>Africa</v>
      </c>
      <c r="L998" s="14">
        <f>IFERROR(__xludf.DUMMYFUNCTION("""COMPUTED_VALUE"""),2400000.0)</f>
        <v>2400000</v>
      </c>
      <c r="M998" s="14" t="str">
        <f>IFERROR(__xludf.DUMMYFUNCTION("""COMPUTED_VALUE"""),"Guinea-Africa")</f>
        <v>Guinea-Africa</v>
      </c>
      <c r="N998" s="14" t="str">
        <f>IFERROR(__xludf.DUMMYFUNCTION("""COMPUTED_VALUE"""),"2008")</f>
        <v>2008</v>
      </c>
      <c r="O998" s="14">
        <f>IFERROR(__xludf.DUMMYFUNCTION("""COMPUTED_VALUE"""),3.0E7)</f>
        <v>30000000</v>
      </c>
      <c r="P998" s="15">
        <f>IFERROR(__xludf.DUMMYFUNCTION("ARRAYFORMULA(VLOOKUP(A998,IMPORTRANGE(""https://docs.google.com/spreadsheets/d/1BuTWp7qHGjWhqrnf-OmePP568O4A5Am9ttzvVdP67zw/edit#gid=771602874"" ,""HUMAN RESOURCES!$A$2:$M$2692""), {2,3,4,5,6,7,8,9,10,11,12,13},0))"),0.039)</f>
        <v>0.039</v>
      </c>
      <c r="Q998" s="14">
        <f>IFERROR(__xludf.DUMMYFUNCTION("""COMPUTED_VALUE"""),0.077)</f>
        <v>0.077</v>
      </c>
      <c r="R998" s="14">
        <f>IFERROR(__xludf.DUMMYFUNCTION("""COMPUTED_VALUE"""),55.0)</f>
        <v>55</v>
      </c>
      <c r="S998" s="14">
        <f>IFERROR(__xludf.DUMMYFUNCTION("""COMPUTED_VALUE"""),54.0)</f>
        <v>54</v>
      </c>
      <c r="T998" s="14">
        <f>IFERROR(__xludf.DUMMYFUNCTION("""COMPUTED_VALUE"""),0.432)</f>
        <v>0.432</v>
      </c>
      <c r="U998" s="14">
        <f>IFERROR(__xludf.DUMMYFUNCTION("""COMPUTED_VALUE"""),0.536)</f>
        <v>0.536</v>
      </c>
      <c r="V998" s="14">
        <f>IFERROR(__xludf.DUMMYFUNCTION("""COMPUTED_VALUE"""),0.032)</f>
        <v>0.032</v>
      </c>
      <c r="W998" s="14">
        <f>IFERROR(__xludf.DUMMYFUNCTION("""COMPUTED_VALUE"""),1.0314678E7)</f>
        <v>10314678</v>
      </c>
      <c r="X998" s="14">
        <f>IFERROR(__xludf.DUMMYFUNCTION("""COMPUTED_VALUE"""),0.34)</f>
        <v>0.34</v>
      </c>
      <c r="Y998" s="14" t="str">
        <f>IFERROR(__xludf.DUMMYFUNCTION("""COMPUTED_VALUE"""),"Guinea-Africa")</f>
        <v>Guinea-Africa</v>
      </c>
      <c r="Z998" s="14" t="str">
        <f>IFERROR(__xludf.DUMMYFUNCTION("""COMPUTED_VALUE"""),"Africa")</f>
        <v>Africa</v>
      </c>
      <c r="AA998" s="14" t="str">
        <f>IFERROR(__xludf.DUMMYFUNCTION("""COMPUTED_VALUE"""),"2008")</f>
        <v>2008</v>
      </c>
      <c r="AB998" s="15" t="str">
        <f>IFERROR(__xludf.DUMMYFUNCTION("ARRAYFORMULA(VLOOKUP(A998,IMPORTRANGE(""https://docs.google.com/spreadsheets/d/1BuTWp7qHGjWhqrnf-OmePP568O4A5Am9ttzvVdP67zw/edit#gid=1931367683"" ,""ENERGY!$A$2:$F$2692""), {2,3,4,5,6},0))"),"Africa")</f>
        <v>Africa</v>
      </c>
      <c r="AC998" s="14" t="str">
        <f>IFERROR(__xludf.DUMMYFUNCTION("""COMPUTED_VALUE"""),"Guinea-Africa")</f>
        <v>Guinea-Africa</v>
      </c>
      <c r="AD998" s="14" t="str">
        <f>IFERROR(__xludf.DUMMYFUNCTION("""COMPUTED_VALUE"""),"2005")</f>
        <v>2005</v>
      </c>
      <c r="AE998" s="14"/>
      <c r="AF998" s="14">
        <f>IFERROR(__xludf.DUMMYFUNCTION("""COMPUTED_VALUE"""),1342.0)</f>
        <v>1342</v>
      </c>
    </row>
    <row r="999">
      <c r="A999" s="12">
        <v>998.0</v>
      </c>
      <c r="B999" s="12" t="s">
        <v>155</v>
      </c>
      <c r="C999" s="5" t="s">
        <v>77</v>
      </c>
      <c r="D999" s="11">
        <v>0.807</v>
      </c>
      <c r="E999" s="11">
        <v>40.0</v>
      </c>
      <c r="F999" s="8"/>
      <c r="G999" s="11">
        <v>416.0</v>
      </c>
      <c r="H999" s="11">
        <v>0.009</v>
      </c>
      <c r="I999" s="11">
        <v>0.329</v>
      </c>
      <c r="J999" s="9" t="s">
        <v>70</v>
      </c>
      <c r="K999" s="14" t="str">
        <f>IFERROR(__xludf.DUMMYFUNCTION("ARRAYFORMULA(VLOOKUP(A999,IMPORTRANGE(""https://docs.google.com/spreadsheets/d/1BuTWp7qHGjWhqrnf-OmePP568O4A5Am9ttzvVdP67zw/edit#gid=1603210130"", ""TOURISM!$A$2:$F$2692""), {2,3,4,5,6},0))"),"Africa")</f>
        <v>Africa</v>
      </c>
      <c r="L999" s="14">
        <f>IFERROR(__xludf.DUMMYFUNCTION("""COMPUTED_VALUE"""),4900000.0)</f>
        <v>4900000</v>
      </c>
      <c r="M999" s="14" t="str">
        <f>IFERROR(__xludf.DUMMYFUNCTION("""COMPUTED_VALUE"""),"Guinea-Africa")</f>
        <v>Guinea-Africa</v>
      </c>
      <c r="N999" s="14" t="str">
        <f>IFERROR(__xludf.DUMMYFUNCTION("""COMPUTED_VALUE"""),"2009")</f>
        <v>2009</v>
      </c>
      <c r="O999" s="14">
        <f>IFERROR(__xludf.DUMMYFUNCTION("""COMPUTED_VALUE"""),2.8E7)</f>
        <v>28000000</v>
      </c>
      <c r="P999" s="15">
        <f>IFERROR(__xludf.DUMMYFUNCTION("ARRAYFORMULA(VLOOKUP(A999,IMPORTRANGE(""https://docs.google.com/spreadsheets/d/1BuTWp7qHGjWhqrnf-OmePP568O4A5Am9ttzvVdP67zw/edit#gid=771602874"" ,""HUMAN RESOURCES!$A$2:$M$2692""), {2,3,4,5,6,7,8,9,10,11,12,13},0))"),0.039)</f>
        <v>0.039</v>
      </c>
      <c r="Q999" s="14">
        <f>IFERROR(__xludf.DUMMYFUNCTION("""COMPUTED_VALUE"""),0.074)</f>
        <v>0.074</v>
      </c>
      <c r="R999" s="14">
        <f>IFERROR(__xludf.DUMMYFUNCTION("""COMPUTED_VALUE"""),56.0)</f>
        <v>56</v>
      </c>
      <c r="S999" s="14">
        <f>IFERROR(__xludf.DUMMYFUNCTION("""COMPUTED_VALUE"""),54.0)</f>
        <v>54</v>
      </c>
      <c r="T999" s="14">
        <f>IFERROR(__xludf.DUMMYFUNCTION("""COMPUTED_VALUE"""),0.43)</f>
        <v>0.43</v>
      </c>
      <c r="U999" s="14">
        <f>IFERROR(__xludf.DUMMYFUNCTION("""COMPUTED_VALUE"""),0.538)</f>
        <v>0.538</v>
      </c>
      <c r="V999" s="14">
        <f>IFERROR(__xludf.DUMMYFUNCTION("""COMPUTED_VALUE"""),0.032)</f>
        <v>0.032</v>
      </c>
      <c r="W999" s="14">
        <f>IFERROR(__xludf.DUMMYFUNCTION("""COMPUTED_VALUE"""),1.0593248E7)</f>
        <v>10593248</v>
      </c>
      <c r="X999" s="14">
        <f>IFERROR(__xludf.DUMMYFUNCTION("""COMPUTED_VALUE"""),0.344)</f>
        <v>0.344</v>
      </c>
      <c r="Y999" s="14" t="str">
        <f>IFERROR(__xludf.DUMMYFUNCTION("""COMPUTED_VALUE"""),"Guinea-Africa")</f>
        <v>Guinea-Africa</v>
      </c>
      <c r="Z999" s="14" t="str">
        <f>IFERROR(__xludf.DUMMYFUNCTION("""COMPUTED_VALUE"""),"Africa")</f>
        <v>Africa</v>
      </c>
      <c r="AA999" s="14" t="str">
        <f>IFERROR(__xludf.DUMMYFUNCTION("""COMPUTED_VALUE"""),"2009")</f>
        <v>2009</v>
      </c>
      <c r="AB999" s="15" t="str">
        <f>IFERROR(__xludf.DUMMYFUNCTION("ARRAYFORMULA(VLOOKUP(A999,IMPORTRANGE(""https://docs.google.com/spreadsheets/d/1BuTWp7qHGjWhqrnf-OmePP568O4A5Am9ttzvVdP67zw/edit#gid=1931367683"" ,""ENERGY!$A$2:$F$2692""), {2,3,4,5,6},0))"),"Africa")</f>
        <v>Africa</v>
      </c>
      <c r="AC999" s="14" t="str">
        <f>IFERROR(__xludf.DUMMYFUNCTION("""COMPUTED_VALUE"""),"Guinea-Africa")</f>
        <v>Guinea-Africa</v>
      </c>
      <c r="AD999" s="14" t="str">
        <f>IFERROR(__xludf.DUMMYFUNCTION("""COMPUTED_VALUE"""),"2010")</f>
        <v>2010</v>
      </c>
      <c r="AE999" s="14"/>
      <c r="AF999" s="14">
        <f>IFERROR(__xludf.DUMMYFUNCTION("""COMPUTED_VALUE"""),1342.0)</f>
        <v>1342</v>
      </c>
    </row>
    <row r="1000">
      <c r="A1000" s="12">
        <v>999.0</v>
      </c>
      <c r="B1000" s="12" t="s">
        <v>155</v>
      </c>
      <c r="C1000" s="5" t="s">
        <v>77</v>
      </c>
      <c r="D1000" s="11">
        <v>0.879</v>
      </c>
      <c r="E1000" s="11">
        <v>40.0</v>
      </c>
      <c r="F1000" s="8"/>
      <c r="G1000" s="11">
        <v>416.0</v>
      </c>
      <c r="H1000" s="11">
        <v>0.01</v>
      </c>
      <c r="I1000" s="11">
        <v>0.368</v>
      </c>
      <c r="J1000" s="9" t="s">
        <v>71</v>
      </c>
      <c r="K1000" s="14" t="str">
        <f>IFERROR(__xludf.DUMMYFUNCTION("ARRAYFORMULA(VLOOKUP(A1000,IMPORTRANGE(""https://docs.google.com/spreadsheets/d/1BuTWp7qHGjWhqrnf-OmePP568O4A5Am9ttzvVdP67zw/edit#gid=1603210130"", ""TOURISM!$A$2:$F$2692""), {2,3,4,5,6},0))"),"Africa")</f>
        <v>Africa</v>
      </c>
      <c r="L1000" s="14">
        <f>IFERROR(__xludf.DUMMYFUNCTION("""COMPUTED_VALUE"""),2000000.0)</f>
        <v>2000000</v>
      </c>
      <c r="M1000" s="14" t="str">
        <f>IFERROR(__xludf.DUMMYFUNCTION("""COMPUTED_VALUE"""),"Guinea-Africa")</f>
        <v>Guinea-Africa</v>
      </c>
      <c r="N1000" s="14" t="str">
        <f>IFERROR(__xludf.DUMMYFUNCTION("""COMPUTED_VALUE"""),"2010")</f>
        <v>2010</v>
      </c>
      <c r="O1000" s="14">
        <f>IFERROR(__xludf.DUMMYFUNCTION("""COMPUTED_VALUE"""),1.7E7)</f>
        <v>17000000</v>
      </c>
      <c r="P1000" s="15">
        <f>IFERROR(__xludf.DUMMYFUNCTION("ARRAYFORMULA(VLOOKUP(A1000,IMPORTRANGE(""https://docs.google.com/spreadsheets/d/1BuTWp7qHGjWhqrnf-OmePP568O4A5Am9ttzvVdP67zw/edit#gid=771602874"" ,""HUMAN RESOURCES!$A$2:$M$2692""), {2,3,4,5,6,7,8,9,10,11,12,13},0))"),0.038)</f>
        <v>0.038</v>
      </c>
      <c r="Q1000" s="14">
        <f>IFERROR(__xludf.DUMMYFUNCTION("""COMPUTED_VALUE"""),0.071)</f>
        <v>0.071</v>
      </c>
      <c r="R1000" s="14">
        <f>IFERROR(__xludf.DUMMYFUNCTION("""COMPUTED_VALUE"""),56.0)</f>
        <v>56</v>
      </c>
      <c r="S1000" s="14">
        <f>IFERROR(__xludf.DUMMYFUNCTION("""COMPUTED_VALUE"""),55.0)</f>
        <v>55</v>
      </c>
      <c r="T1000" s="14">
        <f>IFERROR(__xludf.DUMMYFUNCTION("""COMPUTED_VALUE"""),0.428)</f>
        <v>0.428</v>
      </c>
      <c r="U1000" s="14">
        <f>IFERROR(__xludf.DUMMYFUNCTION("""COMPUTED_VALUE"""),0.54)</f>
        <v>0.54</v>
      </c>
      <c r="V1000" s="14">
        <f>IFERROR(__xludf.DUMMYFUNCTION("""COMPUTED_VALUE"""),0.032)</f>
        <v>0.032</v>
      </c>
      <c r="W1000" s="14">
        <f>IFERROR(__xludf.DUMMYFUNCTION("""COMPUTED_VALUE"""),1.0876033E7)</f>
        <v>10876033</v>
      </c>
      <c r="X1000" s="14">
        <f>IFERROR(__xludf.DUMMYFUNCTION("""COMPUTED_VALUE"""),0.349)</f>
        <v>0.349</v>
      </c>
      <c r="Y1000" s="14" t="str">
        <f>IFERROR(__xludf.DUMMYFUNCTION("""COMPUTED_VALUE"""),"Guinea-Africa")</f>
        <v>Guinea-Africa</v>
      </c>
      <c r="Z1000" s="14" t="str">
        <f>IFERROR(__xludf.DUMMYFUNCTION("""COMPUTED_VALUE"""),"Africa")</f>
        <v>Africa</v>
      </c>
      <c r="AA1000" s="14" t="str">
        <f>IFERROR(__xludf.DUMMYFUNCTION("""COMPUTED_VALUE"""),"2010")</f>
        <v>2010</v>
      </c>
      <c r="AB1000" s="15" t="str">
        <f>IFERROR(__xludf.DUMMYFUNCTION("ARRAYFORMULA(VLOOKUP(A1000,IMPORTRANGE(""https://docs.google.com/spreadsheets/d/1BuTWp7qHGjWhqrnf-OmePP568O4A5Am9ttzvVdP67zw/edit#gid=1931367683"" ,""ENERGY!$A$2:$F$2692""), {2,3,4,5,6},0))"),"Africa")</f>
        <v>Africa</v>
      </c>
      <c r="AC1000" s="14" t="str">
        <f>IFERROR(__xludf.DUMMYFUNCTION("""COMPUTED_VALUE"""),"Guinea-Africa")</f>
        <v>Guinea-Africa</v>
      </c>
      <c r="AD1000" s="14" t="str">
        <f>IFERROR(__xludf.DUMMYFUNCTION("""COMPUTED_VALUE"""),"2010")</f>
        <v>2010</v>
      </c>
      <c r="AE1000" s="14"/>
      <c r="AF1000" s="14">
        <f>IFERROR(__xludf.DUMMYFUNCTION("""COMPUTED_VALUE"""),1324.0)</f>
        <v>1324</v>
      </c>
    </row>
    <row r="1001">
      <c r="A1001" s="12">
        <v>1000.0</v>
      </c>
      <c r="B1001" s="12" t="s">
        <v>155</v>
      </c>
      <c r="C1001" s="5" t="s">
        <v>77</v>
      </c>
      <c r="D1001" s="11">
        <v>0.912</v>
      </c>
      <c r="E1001" s="11">
        <v>40.0</v>
      </c>
      <c r="F1001" s="8"/>
      <c r="G1001" s="11">
        <v>416.0</v>
      </c>
      <c r="H1001" s="11">
        <v>0.013</v>
      </c>
      <c r="I1001" s="11">
        <v>0.435</v>
      </c>
      <c r="J1001" s="9" t="s">
        <v>72</v>
      </c>
      <c r="K1001" s="14" t="str">
        <f>IFERROR(__xludf.DUMMYFUNCTION("ARRAYFORMULA(VLOOKUP(A1001,IMPORTRANGE(""https://docs.google.com/spreadsheets/d/1BuTWp7qHGjWhqrnf-OmePP568O4A5Am9ttzvVdP67zw/edit#gid=1603210130"", ""TOURISM!$A$2:$F$2692""), {2,3,4,5,6},0))"),"Africa")</f>
        <v>Africa</v>
      </c>
      <c r="L1001" s="14">
        <f>IFERROR(__xludf.DUMMYFUNCTION("""COMPUTED_VALUE"""),2100000.0)</f>
        <v>2100000</v>
      </c>
      <c r="M1001" s="14" t="str">
        <f>IFERROR(__xludf.DUMMYFUNCTION("""COMPUTED_VALUE"""),"Guinea-Africa")</f>
        <v>Guinea-Africa</v>
      </c>
      <c r="N1001" s="14" t="str">
        <f>IFERROR(__xludf.DUMMYFUNCTION("""COMPUTED_VALUE"""),"2011")</f>
        <v>2011</v>
      </c>
      <c r="O1001" s="14">
        <f>IFERROR(__xludf.DUMMYFUNCTION("""COMPUTED_VALUE"""),4.9E7)</f>
        <v>49000000</v>
      </c>
      <c r="P1001" s="15">
        <f>IFERROR(__xludf.DUMMYFUNCTION("ARRAYFORMULA(VLOOKUP(A1001,IMPORTRANGE(""https://docs.google.com/spreadsheets/d/1BuTWp7qHGjWhqrnf-OmePP568O4A5Am9ttzvVdP67zw/edit#gid=771602874"" ,""HUMAN RESOURCES!$A$2:$M$2692""), {2,3,4,5,6,7,8,9,10,11,12,13},0))"),0.038)</f>
        <v>0.038</v>
      </c>
      <c r="Q1001" s="14">
        <f>IFERROR(__xludf.DUMMYFUNCTION("""COMPUTED_VALUE"""),0.069)</f>
        <v>0.069</v>
      </c>
      <c r="R1001" s="14">
        <f>IFERROR(__xludf.DUMMYFUNCTION("""COMPUTED_VALUE"""),56.0)</f>
        <v>56</v>
      </c>
      <c r="S1001" s="14">
        <f>IFERROR(__xludf.DUMMYFUNCTION("""COMPUTED_VALUE"""),55.0)</f>
        <v>55</v>
      </c>
      <c r="T1001" s="14">
        <f>IFERROR(__xludf.DUMMYFUNCTION("""COMPUTED_VALUE"""),0.427)</f>
        <v>0.427</v>
      </c>
      <c r="U1001" s="14">
        <f>IFERROR(__xludf.DUMMYFUNCTION("""COMPUTED_VALUE"""),0.542)</f>
        <v>0.542</v>
      </c>
      <c r="V1001" s="14">
        <f>IFERROR(__xludf.DUMMYFUNCTION("""COMPUTED_VALUE"""),0.031)</f>
        <v>0.031</v>
      </c>
      <c r="W1001" s="14">
        <f>IFERROR(__xludf.DUMMYFUNCTION("""COMPUTED_VALUE"""),1.116153E7)</f>
        <v>11161530</v>
      </c>
      <c r="X1001" s="14">
        <f>IFERROR(__xludf.DUMMYFUNCTION("""COMPUTED_VALUE"""),0.353)</f>
        <v>0.353</v>
      </c>
      <c r="Y1001" s="14" t="str">
        <f>IFERROR(__xludf.DUMMYFUNCTION("""COMPUTED_VALUE"""),"Guinea-Africa")</f>
        <v>Guinea-Africa</v>
      </c>
      <c r="Z1001" s="14" t="str">
        <f>IFERROR(__xludf.DUMMYFUNCTION("""COMPUTED_VALUE"""),"Africa")</f>
        <v>Africa</v>
      </c>
      <c r="AA1001" s="14" t="str">
        <f>IFERROR(__xludf.DUMMYFUNCTION("""COMPUTED_VALUE"""),"2011")</f>
        <v>2011</v>
      </c>
      <c r="AB1001" s="15" t="str">
        <f>IFERROR(__xludf.DUMMYFUNCTION("ARRAYFORMULA(VLOOKUP(A1001,IMPORTRANGE(""https://docs.google.com/spreadsheets/d/1BuTWp7qHGjWhqrnf-OmePP568O4A5Am9ttzvVdP67zw/edit#gid=1931367683"" ,""ENERGY!$A$2:$F$2692""), {2,3,4,5,6},0))"),"Africa")</f>
        <v>Africa</v>
      </c>
      <c r="AC1001" s="14" t="str">
        <f>IFERROR(__xludf.DUMMYFUNCTION("""COMPUTED_VALUE"""),"Guinea-Africa")</f>
        <v>Guinea-Africa</v>
      </c>
      <c r="AD1001" s="14" t="str">
        <f>IFERROR(__xludf.DUMMYFUNCTION("""COMPUTED_VALUE"""),"2005")</f>
        <v>2005</v>
      </c>
      <c r="AE1001" s="14"/>
      <c r="AF1001" s="14">
        <f>IFERROR(__xludf.DUMMYFUNCTION("""COMPUTED_VALUE"""),1298.0)</f>
        <v>1298</v>
      </c>
    </row>
    <row r="1002">
      <c r="A1002" s="12">
        <v>1001.0</v>
      </c>
      <c r="B1002" s="12" t="s">
        <v>155</v>
      </c>
      <c r="C1002" s="5" t="s">
        <v>77</v>
      </c>
      <c r="D1002" s="11">
        <v>0.912</v>
      </c>
      <c r="E1002" s="11">
        <v>35.0</v>
      </c>
      <c r="F1002" s="11">
        <v>179.0</v>
      </c>
      <c r="G1002" s="11">
        <v>416.0</v>
      </c>
      <c r="H1002" s="11">
        <v>0.015</v>
      </c>
      <c r="I1002" s="11">
        <v>0.488</v>
      </c>
      <c r="J1002" s="9" t="s">
        <v>73</v>
      </c>
      <c r="K1002" s="14" t="str">
        <f>IFERROR(__xludf.DUMMYFUNCTION("ARRAYFORMULA(VLOOKUP(A1002,IMPORTRANGE(""https://docs.google.com/spreadsheets/d/1BuTWp7qHGjWhqrnf-OmePP568O4A5Am9ttzvVdP67zw/edit#gid=1603210130"", ""TOURISM!$A$2:$F$2692""), {2,3,4,5,6},0))"),"Africa")</f>
        <v>Africa</v>
      </c>
      <c r="L1002" s="14">
        <f>IFERROR(__xludf.DUMMYFUNCTION("""COMPUTED_VALUE"""),1700000.0)</f>
        <v>1700000</v>
      </c>
      <c r="M1002" s="14" t="str">
        <f>IFERROR(__xludf.DUMMYFUNCTION("""COMPUTED_VALUE"""),"Guinea-Africa")</f>
        <v>Guinea-Africa</v>
      </c>
      <c r="N1002" s="14" t="str">
        <f>IFERROR(__xludf.DUMMYFUNCTION("""COMPUTED_VALUE"""),"2012")</f>
        <v>2012</v>
      </c>
      <c r="O1002" s="14">
        <f>IFERROR(__xludf.DUMMYFUNCTION("""COMPUTED_VALUE"""),4.1E7)</f>
        <v>41000000</v>
      </c>
      <c r="P1002" s="15">
        <f>IFERROR(__xludf.DUMMYFUNCTION("ARRAYFORMULA(VLOOKUP(A1002,IMPORTRANGE(""https://docs.google.com/spreadsheets/d/1BuTWp7qHGjWhqrnf-OmePP568O4A5Am9ttzvVdP67zw/edit#gid=771602874"" ,""HUMAN RESOURCES!$A$2:$M$2692""), {2,3,4,5,6,7,8,9,10,11,12,13},0))"),0.037)</f>
        <v>0.037</v>
      </c>
      <c r="Q1002" s="14">
        <f>IFERROR(__xludf.DUMMYFUNCTION("""COMPUTED_VALUE"""),0.067)</f>
        <v>0.067</v>
      </c>
      <c r="R1002" s="14">
        <f>IFERROR(__xludf.DUMMYFUNCTION("""COMPUTED_VALUE"""),57.0)</f>
        <v>57</v>
      </c>
      <c r="S1002" s="14">
        <f>IFERROR(__xludf.DUMMYFUNCTION("""COMPUTED_VALUE"""),55.0)</f>
        <v>55</v>
      </c>
      <c r="T1002" s="14">
        <f>IFERROR(__xludf.DUMMYFUNCTION("""COMPUTED_VALUE"""),0.425)</f>
        <v>0.425</v>
      </c>
      <c r="U1002" s="14">
        <f>IFERROR(__xludf.DUMMYFUNCTION("""COMPUTED_VALUE"""),0.544)</f>
        <v>0.544</v>
      </c>
      <c r="V1002" s="14">
        <f>IFERROR(__xludf.DUMMYFUNCTION("""COMPUTED_VALUE"""),0.031)</f>
        <v>0.031</v>
      </c>
      <c r="W1002" s="14">
        <f>IFERROR(__xludf.DUMMYFUNCTION("""COMPUTED_VALUE"""),1.1451273E7)</f>
        <v>11451273</v>
      </c>
      <c r="X1002" s="14">
        <f>IFERROR(__xludf.DUMMYFUNCTION("""COMPUTED_VALUE"""),0.357)</f>
        <v>0.357</v>
      </c>
      <c r="Y1002" s="14" t="str">
        <f>IFERROR(__xludf.DUMMYFUNCTION("""COMPUTED_VALUE"""),"Guinea-Africa")</f>
        <v>Guinea-Africa</v>
      </c>
      <c r="Z1002" s="14" t="str">
        <f>IFERROR(__xludf.DUMMYFUNCTION("""COMPUTED_VALUE"""),"Africa")</f>
        <v>Africa</v>
      </c>
      <c r="AA1002" s="14" t="str">
        <f>IFERROR(__xludf.DUMMYFUNCTION("""COMPUTED_VALUE"""),"2012")</f>
        <v>2012</v>
      </c>
      <c r="AB1002" s="15" t="str">
        <f>IFERROR(__xludf.DUMMYFUNCTION("ARRAYFORMULA(VLOOKUP(A1002,IMPORTRANGE(""https://docs.google.com/spreadsheets/d/1BuTWp7qHGjWhqrnf-OmePP568O4A5Am9ttzvVdP67zw/edit#gid=1931367683"" ,""ENERGY!$A$2:$F$2692""), {2,3,4,5,6},0))"),"Africa")</f>
        <v>Africa</v>
      </c>
      <c r="AC1002" s="14" t="str">
        <f>IFERROR(__xludf.DUMMYFUNCTION("""COMPUTED_VALUE"""),"Guinea-Africa")</f>
        <v>Guinea-Africa</v>
      </c>
      <c r="AD1002" s="14" t="str">
        <f>IFERROR(__xludf.DUMMYFUNCTION("""COMPUTED_VALUE"""),"2010")</f>
        <v>2010</v>
      </c>
      <c r="AE1002" s="14"/>
      <c r="AF1002" s="14">
        <f>IFERROR(__xludf.DUMMYFUNCTION("""COMPUTED_VALUE"""),1280.0)</f>
        <v>1280</v>
      </c>
    </row>
    <row r="1003">
      <c r="A1003" s="12">
        <v>1002.0</v>
      </c>
      <c r="B1003" s="12" t="s">
        <v>156</v>
      </c>
      <c r="C1003" s="5" t="s">
        <v>77</v>
      </c>
      <c r="D1003" s="8"/>
      <c r="E1003" s="8"/>
      <c r="F1003" s="8"/>
      <c r="G1003" s="8"/>
      <c r="H1003" s="11">
        <v>0.002</v>
      </c>
      <c r="I1003" s="8"/>
      <c r="J1003" s="9" t="s">
        <v>60</v>
      </c>
      <c r="K1003" s="14" t="str">
        <f>IFERROR(__xludf.DUMMYFUNCTION("ARRAYFORMULA(VLOOKUP(A1003,IMPORTRANGE(""https://docs.google.com/spreadsheets/d/1BuTWp7qHGjWhqrnf-OmePP568O4A5Am9ttzvVdP67zw/edit#gid=1603210130"", ""TOURISM!$A$2:$F$2692""), {2,3,4,5,6},0))"),"Africa")</f>
        <v>Africa</v>
      </c>
      <c r="L1003" s="14"/>
      <c r="M1003" s="14" t="str">
        <f>IFERROR(__xludf.DUMMYFUNCTION("""COMPUTED_VALUE"""),"Guinea-Bissau-Africa")</f>
        <v>Guinea-Bissau-Africa</v>
      </c>
      <c r="N1003" s="14" t="str">
        <f>IFERROR(__xludf.DUMMYFUNCTION("""COMPUTED_VALUE"""),"2000")</f>
        <v>2000</v>
      </c>
      <c r="O1003" s="14"/>
      <c r="P1003" s="15">
        <f>IFERROR(__xludf.DUMMYFUNCTION("ARRAYFORMULA(VLOOKUP(A1003,IMPORTRANGE(""https://docs.google.com/spreadsheets/d/1BuTWp7qHGjWhqrnf-OmePP568O4A5Am9ttzvVdP67zw/edit#gid=771602874"" ,""HUMAN RESOURCES!$A$2:$M$2692""), {2,3,4,5,6,7,8,9,10,11,12,13},0))"),0.042)</f>
        <v>0.042</v>
      </c>
      <c r="Q1003" s="14">
        <f>IFERROR(__xludf.DUMMYFUNCTION("""COMPUTED_VALUE"""),0.109)</f>
        <v>0.109</v>
      </c>
      <c r="R1003" s="14">
        <f>IFERROR(__xludf.DUMMYFUNCTION("""COMPUTED_VALUE"""),53.0)</f>
        <v>53</v>
      </c>
      <c r="S1003" s="14">
        <f>IFERROR(__xludf.DUMMYFUNCTION("""COMPUTED_VALUE"""),50.0)</f>
        <v>50</v>
      </c>
      <c r="T1003" s="14">
        <f>IFERROR(__xludf.DUMMYFUNCTION("""COMPUTED_VALUE"""),0.435)</f>
        <v>0.435</v>
      </c>
      <c r="U1003" s="14">
        <f>IFERROR(__xludf.DUMMYFUNCTION("""COMPUTED_VALUE"""),0.534)</f>
        <v>0.534</v>
      </c>
      <c r="V1003" s="14">
        <f>IFERROR(__xludf.DUMMYFUNCTION("""COMPUTED_VALUE"""),0.031)</f>
        <v>0.031</v>
      </c>
      <c r="W1003" s="14">
        <f>IFERROR(__xludf.DUMMYFUNCTION("""COMPUTED_VALUE"""),1273312.0)</f>
        <v>1273312</v>
      </c>
      <c r="X1003" s="14">
        <f>IFERROR(__xludf.DUMMYFUNCTION("""COMPUTED_VALUE"""),0.367)</f>
        <v>0.367</v>
      </c>
      <c r="Y1003" s="14" t="str">
        <f>IFERROR(__xludf.DUMMYFUNCTION("""COMPUTED_VALUE"""),"Guinea-Bissau-Africa")</f>
        <v>Guinea-Bissau-Africa</v>
      </c>
      <c r="Z1003" s="14" t="str">
        <f>IFERROR(__xludf.DUMMYFUNCTION("""COMPUTED_VALUE"""),"Africa")</f>
        <v>Africa</v>
      </c>
      <c r="AA1003" s="14" t="str">
        <f>IFERROR(__xludf.DUMMYFUNCTION("""COMPUTED_VALUE"""),"2000")</f>
        <v>2000</v>
      </c>
      <c r="AB1003" s="15" t="str">
        <f>IFERROR(__xludf.DUMMYFUNCTION("ARRAYFORMULA(VLOOKUP(A1003,IMPORTRANGE(""https://docs.google.com/spreadsheets/d/1BuTWp7qHGjWhqrnf-OmePP568O4A5Am9ttzvVdP67zw/edit#gid=1931367683"" ,""ENERGY!$A$2:$F$2692""), {2,3,4,5,6},0))"),"Africa")</f>
        <v>Africa</v>
      </c>
      <c r="AC1003" s="14" t="str">
        <f>IFERROR(__xludf.DUMMYFUNCTION("""COMPUTED_VALUE"""),"Guinea-Bissau-Africa")</f>
        <v>Guinea-Bissau-Africa</v>
      </c>
      <c r="AD1003" s="14" t="str">
        <f>IFERROR(__xludf.DUMMYFUNCTION("""COMPUTED_VALUE"""),"2000")</f>
        <v>2000</v>
      </c>
      <c r="AE1003" s="14"/>
      <c r="AF1003" s="14"/>
    </row>
    <row r="1004">
      <c r="A1004" s="12">
        <v>1003.0</v>
      </c>
      <c r="B1004" s="12" t="s">
        <v>156</v>
      </c>
      <c r="C1004" s="5" t="s">
        <v>77</v>
      </c>
      <c r="D1004" s="8"/>
      <c r="E1004" s="8"/>
      <c r="F1004" s="8"/>
      <c r="G1004" s="8"/>
      <c r="H1004" s="11">
        <v>0.003</v>
      </c>
      <c r="I1004" s="8"/>
      <c r="J1004" s="9" t="s">
        <v>62</v>
      </c>
      <c r="K1004" s="14" t="str">
        <f>IFERROR(__xludf.DUMMYFUNCTION("ARRAYFORMULA(VLOOKUP(A1004,IMPORTRANGE(""https://docs.google.com/spreadsheets/d/1BuTWp7qHGjWhqrnf-OmePP568O4A5Am9ttzvVdP67zw/edit#gid=1603210130"", ""TOURISM!$A$2:$F$2692""), {2,3,4,5,6},0))"),"Africa")</f>
        <v>Africa</v>
      </c>
      <c r="L1004" s="14">
        <f>IFERROR(__xludf.DUMMYFUNCTION("""COMPUTED_VALUE"""),2700000.0)</f>
        <v>2700000</v>
      </c>
      <c r="M1004" s="14" t="str">
        <f>IFERROR(__xludf.DUMMYFUNCTION("""COMPUTED_VALUE"""),"Guinea-Bissau-Africa")</f>
        <v>Guinea-Bissau-Africa</v>
      </c>
      <c r="N1004" s="14" t="str">
        <f>IFERROR(__xludf.DUMMYFUNCTION("""COMPUTED_VALUE"""),"2001")</f>
        <v>2001</v>
      </c>
      <c r="O1004" s="14">
        <f>IFERROR(__xludf.DUMMYFUNCTION("""COMPUTED_VALUE"""),5500000.0)</f>
        <v>5500000</v>
      </c>
      <c r="P1004" s="15">
        <f>IFERROR(__xludf.DUMMYFUNCTION("ARRAYFORMULA(VLOOKUP(A1004,IMPORTRANGE(""https://docs.google.com/spreadsheets/d/1BuTWp7qHGjWhqrnf-OmePP568O4A5Am9ttzvVdP67zw/edit#gid=771602874"" ,""HUMAN RESOURCES!$A$2:$M$2692""), {2,3,4,5,6,7,8,9,10,11,12,13},0))"),0.041)</f>
        <v>0.041</v>
      </c>
      <c r="Q1004" s="14">
        <f>IFERROR(__xludf.DUMMYFUNCTION("""COMPUTED_VALUE"""),0.106)</f>
        <v>0.106</v>
      </c>
      <c r="R1004" s="14">
        <f>IFERROR(__xludf.DUMMYFUNCTION("""COMPUTED_VALUE"""),53.0)</f>
        <v>53</v>
      </c>
      <c r="S1004" s="14">
        <f>IFERROR(__xludf.DUMMYFUNCTION("""COMPUTED_VALUE"""),51.0)</f>
        <v>51</v>
      </c>
      <c r="T1004" s="14">
        <f>IFERROR(__xludf.DUMMYFUNCTION("""COMPUTED_VALUE"""),0.434)</f>
        <v>0.434</v>
      </c>
      <c r="U1004" s="14">
        <f>IFERROR(__xludf.DUMMYFUNCTION("""COMPUTED_VALUE"""),0.535)</f>
        <v>0.535</v>
      </c>
      <c r="V1004" s="14">
        <f>IFERROR(__xludf.DUMMYFUNCTION("""COMPUTED_VALUE"""),0.031)</f>
        <v>0.031</v>
      </c>
      <c r="W1004" s="14">
        <f>IFERROR(__xludf.DUMMYFUNCTION("""COMPUTED_VALUE"""),1301748.0)</f>
        <v>1301748</v>
      </c>
      <c r="X1004" s="14">
        <f>IFERROR(__xludf.DUMMYFUNCTION("""COMPUTED_VALUE"""),0.375)</f>
        <v>0.375</v>
      </c>
      <c r="Y1004" s="14" t="str">
        <f>IFERROR(__xludf.DUMMYFUNCTION("""COMPUTED_VALUE"""),"Guinea-Bissau-Africa")</f>
        <v>Guinea-Bissau-Africa</v>
      </c>
      <c r="Z1004" s="14" t="str">
        <f>IFERROR(__xludf.DUMMYFUNCTION("""COMPUTED_VALUE"""),"Africa")</f>
        <v>Africa</v>
      </c>
      <c r="AA1004" s="14" t="str">
        <f>IFERROR(__xludf.DUMMYFUNCTION("""COMPUTED_VALUE"""),"2001")</f>
        <v>2001</v>
      </c>
      <c r="AB1004" s="15" t="str">
        <f>IFERROR(__xludf.DUMMYFUNCTION("ARRAYFORMULA(VLOOKUP(A1004,IMPORTRANGE(""https://docs.google.com/spreadsheets/d/1BuTWp7qHGjWhqrnf-OmePP568O4A5Am9ttzvVdP67zw/edit#gid=1931367683"" ,""ENERGY!$A$2:$F$2692""), {2,3,4,5,6},0))"),"Africa")</f>
        <v>Africa</v>
      </c>
      <c r="AC1004" s="14" t="str">
        <f>IFERROR(__xludf.DUMMYFUNCTION("""COMPUTED_VALUE"""),"Guinea-Bissau-Africa")</f>
        <v>Guinea-Bissau-Africa</v>
      </c>
      <c r="AD1004" s="14" t="str">
        <f>IFERROR(__xludf.DUMMYFUNCTION("""COMPUTED_VALUE"""),"2001")</f>
        <v>2001</v>
      </c>
      <c r="AE1004" s="14"/>
      <c r="AF1004" s="14"/>
    </row>
    <row r="1005">
      <c r="A1005" s="12">
        <v>1004.0</v>
      </c>
      <c r="B1005" s="12" t="s">
        <v>156</v>
      </c>
      <c r="C1005" s="5" t="s">
        <v>77</v>
      </c>
      <c r="D1005" s="8"/>
      <c r="E1005" s="8"/>
      <c r="F1005" s="8"/>
      <c r="G1005" s="8"/>
      <c r="H1005" s="11">
        <v>0.01</v>
      </c>
      <c r="I1005" s="8"/>
      <c r="J1005" s="9" t="s">
        <v>63</v>
      </c>
      <c r="K1005" s="14" t="str">
        <f>IFERROR(__xludf.DUMMYFUNCTION("ARRAYFORMULA(VLOOKUP(A1005,IMPORTRANGE(""https://docs.google.com/spreadsheets/d/1BuTWp7qHGjWhqrnf-OmePP568O4A5Am9ttzvVdP67zw/edit#gid=1603210130"", ""TOURISM!$A$2:$F$2692""), {2,3,4,5,6},0))"),"Africa")</f>
        <v>Africa</v>
      </c>
      <c r="L1005" s="14">
        <f>IFERROR(__xludf.DUMMYFUNCTION("""COMPUTED_VALUE"""),2300000.0)</f>
        <v>2300000</v>
      </c>
      <c r="M1005" s="14" t="str">
        <f>IFERROR(__xludf.DUMMYFUNCTION("""COMPUTED_VALUE"""),"Guinea-Bissau-Africa")</f>
        <v>Guinea-Bissau-Africa</v>
      </c>
      <c r="N1005" s="14" t="str">
        <f>IFERROR(__xludf.DUMMYFUNCTION("""COMPUTED_VALUE"""),"2002")</f>
        <v>2002</v>
      </c>
      <c r="O1005" s="14">
        <f>IFERROR(__xludf.DUMMYFUNCTION("""COMPUTED_VALUE"""),1.02E7)</f>
        <v>10200000</v>
      </c>
      <c r="P1005" s="15">
        <f>IFERROR(__xludf.DUMMYFUNCTION("ARRAYFORMULA(VLOOKUP(A1005,IMPORTRANGE(""https://docs.google.com/spreadsheets/d/1BuTWp7qHGjWhqrnf-OmePP568O4A5Am9ttzvVdP67zw/edit#gid=771602874"" ,""HUMAN RESOURCES!$A$2:$M$2692""), {2,3,4,5,6,7,8,9,10,11,12,13},0))"),0.041)</f>
        <v>0.041</v>
      </c>
      <c r="Q1005" s="14">
        <f>IFERROR(__xludf.DUMMYFUNCTION("""COMPUTED_VALUE"""),0.104)</f>
        <v>0.104</v>
      </c>
      <c r="R1005" s="14">
        <f>IFERROR(__xludf.DUMMYFUNCTION("""COMPUTED_VALUE"""),53.0)</f>
        <v>53</v>
      </c>
      <c r="S1005" s="14">
        <f>IFERROR(__xludf.DUMMYFUNCTION("""COMPUTED_VALUE"""),51.0)</f>
        <v>51</v>
      </c>
      <c r="T1005" s="14">
        <f>IFERROR(__xludf.DUMMYFUNCTION("""COMPUTED_VALUE"""),0.433)</f>
        <v>0.433</v>
      </c>
      <c r="U1005" s="14">
        <f>IFERROR(__xludf.DUMMYFUNCTION("""COMPUTED_VALUE"""),0.537)</f>
        <v>0.537</v>
      </c>
      <c r="V1005" s="14">
        <f>IFERROR(__xludf.DUMMYFUNCTION("""COMPUTED_VALUE"""),0.03)</f>
        <v>0.03</v>
      </c>
      <c r="W1005" s="14">
        <f>IFERROR(__xludf.DUMMYFUNCTION("""COMPUTED_VALUE"""),1330849.0)</f>
        <v>1330849</v>
      </c>
      <c r="X1005" s="14">
        <f>IFERROR(__xludf.DUMMYFUNCTION("""COMPUTED_VALUE"""),0.383)</f>
        <v>0.383</v>
      </c>
      <c r="Y1005" s="14" t="str">
        <f>IFERROR(__xludf.DUMMYFUNCTION("""COMPUTED_VALUE"""),"Guinea-Bissau-Africa")</f>
        <v>Guinea-Bissau-Africa</v>
      </c>
      <c r="Z1005" s="14" t="str">
        <f>IFERROR(__xludf.DUMMYFUNCTION("""COMPUTED_VALUE"""),"Africa")</f>
        <v>Africa</v>
      </c>
      <c r="AA1005" s="14" t="str">
        <f>IFERROR(__xludf.DUMMYFUNCTION("""COMPUTED_VALUE"""),"2002")</f>
        <v>2002</v>
      </c>
      <c r="AB1005" s="15" t="str">
        <f>IFERROR(__xludf.DUMMYFUNCTION("ARRAYFORMULA(VLOOKUP(A1005,IMPORTRANGE(""https://docs.google.com/spreadsheets/d/1BuTWp7qHGjWhqrnf-OmePP568O4A5Am9ttzvVdP67zw/edit#gid=1931367683"" ,""ENERGY!$A$2:$F$2692""), {2,3,4,5,6},0))"),"Africa")</f>
        <v>Africa</v>
      </c>
      <c r="AC1005" s="14" t="str">
        <f>IFERROR(__xludf.DUMMYFUNCTION("""COMPUTED_VALUE"""),"Guinea-Bissau-Africa")</f>
        <v>Guinea-Bissau-Africa</v>
      </c>
      <c r="AD1005" s="14" t="str">
        <f>IFERROR(__xludf.DUMMYFUNCTION("""COMPUTED_VALUE"""),"2002")</f>
        <v>2002</v>
      </c>
      <c r="AE1005" s="14"/>
      <c r="AF1005" s="14">
        <f>IFERROR(__xludf.DUMMYFUNCTION("""COMPUTED_VALUE"""),238.0)</f>
        <v>238</v>
      </c>
    </row>
    <row r="1006">
      <c r="A1006" s="12">
        <v>1005.0</v>
      </c>
      <c r="B1006" s="12" t="s">
        <v>156</v>
      </c>
      <c r="C1006" s="5" t="s">
        <v>77</v>
      </c>
      <c r="D1006" s="8"/>
      <c r="E1006" s="8"/>
      <c r="F1006" s="8"/>
      <c r="G1006" s="8"/>
      <c r="H1006" s="11">
        <v>0.014</v>
      </c>
      <c r="I1006" s="11">
        <v>0.001</v>
      </c>
      <c r="J1006" s="9" t="s">
        <v>64</v>
      </c>
      <c r="K1006" s="14" t="str">
        <f>IFERROR(__xludf.DUMMYFUNCTION("ARRAYFORMULA(VLOOKUP(A1006,IMPORTRANGE(""https://docs.google.com/spreadsheets/d/1BuTWp7qHGjWhqrnf-OmePP568O4A5Am9ttzvVdP67zw/edit#gid=1603210130"", ""TOURISM!$A$2:$F$2692""), {2,3,4,5,6},0))"),"Africa")</f>
        <v>Africa</v>
      </c>
      <c r="L1006" s="14">
        <f>IFERROR(__xludf.DUMMYFUNCTION("""COMPUTED_VALUE"""),2400000.0)</f>
        <v>2400000</v>
      </c>
      <c r="M1006" s="14" t="str">
        <f>IFERROR(__xludf.DUMMYFUNCTION("""COMPUTED_VALUE"""),"Guinea-Bissau-Africa")</f>
        <v>Guinea-Bissau-Africa</v>
      </c>
      <c r="N1006" s="14" t="str">
        <f>IFERROR(__xludf.DUMMYFUNCTION("""COMPUTED_VALUE"""),"2003")</f>
        <v>2003</v>
      </c>
      <c r="O1006" s="14">
        <f>IFERROR(__xludf.DUMMYFUNCTION("""COMPUTED_VALUE"""),2.13E7)</f>
        <v>21300000</v>
      </c>
      <c r="P1006" s="15">
        <f>IFERROR(__xludf.DUMMYFUNCTION("ARRAYFORMULA(VLOOKUP(A1006,IMPORTRANGE(""https://docs.google.com/spreadsheets/d/1BuTWp7qHGjWhqrnf-OmePP568O4A5Am9ttzvVdP67zw/edit#gid=771602874"" ,""HUMAN RESOURCES!$A$2:$M$2692""), {2,3,4,5,6,7,8,9,10,11,12,13},0))"),0.041)</f>
        <v>0.041</v>
      </c>
      <c r="Q1006" s="14">
        <f>IFERROR(__xludf.DUMMYFUNCTION("""COMPUTED_VALUE"""),0.101)</f>
        <v>0.101</v>
      </c>
      <c r="R1006" s="14">
        <f>IFERROR(__xludf.DUMMYFUNCTION("""COMPUTED_VALUE"""),53.0)</f>
        <v>53</v>
      </c>
      <c r="S1006" s="14">
        <f>IFERROR(__xludf.DUMMYFUNCTION("""COMPUTED_VALUE"""),51.0)</f>
        <v>51</v>
      </c>
      <c r="T1006" s="14">
        <f>IFERROR(__xludf.DUMMYFUNCTION("""COMPUTED_VALUE"""),0.431)</f>
        <v>0.431</v>
      </c>
      <c r="U1006" s="14">
        <f>IFERROR(__xludf.DUMMYFUNCTION("""COMPUTED_VALUE"""),0.539)</f>
        <v>0.539</v>
      </c>
      <c r="V1006" s="14">
        <f>IFERROR(__xludf.DUMMYFUNCTION("""COMPUTED_VALUE"""),0.03)</f>
        <v>0.03</v>
      </c>
      <c r="W1006" s="14">
        <f>IFERROR(__xludf.DUMMYFUNCTION("""COMPUTED_VALUE"""),1360559.0)</f>
        <v>1360559</v>
      </c>
      <c r="X1006" s="14">
        <f>IFERROR(__xludf.DUMMYFUNCTION("""COMPUTED_VALUE"""),0.392)</f>
        <v>0.392</v>
      </c>
      <c r="Y1006" s="14" t="str">
        <f>IFERROR(__xludf.DUMMYFUNCTION("""COMPUTED_VALUE"""),"Guinea-Bissau-Africa")</f>
        <v>Guinea-Bissau-Africa</v>
      </c>
      <c r="Z1006" s="14" t="str">
        <f>IFERROR(__xludf.DUMMYFUNCTION("""COMPUTED_VALUE"""),"Africa")</f>
        <v>Africa</v>
      </c>
      <c r="AA1006" s="14" t="str">
        <f>IFERROR(__xludf.DUMMYFUNCTION("""COMPUTED_VALUE"""),"2003")</f>
        <v>2003</v>
      </c>
      <c r="AB1006" s="15" t="str">
        <f>IFERROR(__xludf.DUMMYFUNCTION("ARRAYFORMULA(VLOOKUP(A1006,IMPORTRANGE(""https://docs.google.com/spreadsheets/d/1BuTWp7qHGjWhqrnf-OmePP568O4A5Am9ttzvVdP67zw/edit#gid=1931367683"" ,""ENERGY!$A$2:$F$2692""), {2,3,4,5,6},0))"),"Africa")</f>
        <v>Africa</v>
      </c>
      <c r="AC1006" s="14" t="str">
        <f>IFERROR(__xludf.DUMMYFUNCTION("""COMPUTED_VALUE"""),"Guinea-Bissau-Africa")</f>
        <v>Guinea-Bissau-Africa</v>
      </c>
      <c r="AD1006" s="14" t="str">
        <f>IFERROR(__xludf.DUMMYFUNCTION("""COMPUTED_VALUE"""),"2003")</f>
        <v>2003</v>
      </c>
      <c r="AE1006" s="14"/>
      <c r="AF1006" s="14">
        <f>IFERROR(__xludf.DUMMYFUNCTION("""COMPUTED_VALUE"""),235.0)</f>
        <v>235</v>
      </c>
    </row>
    <row r="1007">
      <c r="A1007" s="12">
        <v>1006.0</v>
      </c>
      <c r="B1007" s="12" t="s">
        <v>156</v>
      </c>
      <c r="C1007" s="5" t="s">
        <v>77</v>
      </c>
      <c r="D1007" s="8"/>
      <c r="E1007" s="8"/>
      <c r="F1007" s="8"/>
      <c r="G1007" s="8"/>
      <c r="H1007" s="11">
        <v>0.018</v>
      </c>
      <c r="I1007" s="11">
        <v>0.028</v>
      </c>
      <c r="J1007" s="9" t="s">
        <v>65</v>
      </c>
      <c r="K1007" s="14" t="str">
        <f>IFERROR(__xludf.DUMMYFUNCTION("ARRAYFORMULA(VLOOKUP(A1007,IMPORTRANGE(""https://docs.google.com/spreadsheets/d/1BuTWp7qHGjWhqrnf-OmePP568O4A5Am9ttzvVdP67zw/edit#gid=1603210130"", ""TOURISM!$A$2:$F$2692""), {2,3,4,5,6},0))"),"Africa")</f>
        <v>Africa</v>
      </c>
      <c r="L1007" s="14">
        <f>IFERROR(__xludf.DUMMYFUNCTION("""COMPUTED_VALUE"""),2200000.0)</f>
        <v>2200000</v>
      </c>
      <c r="M1007" s="14" t="str">
        <f>IFERROR(__xludf.DUMMYFUNCTION("""COMPUTED_VALUE"""),"Guinea-Bissau-Africa")</f>
        <v>Guinea-Bissau-Africa</v>
      </c>
      <c r="N1007" s="14" t="str">
        <f>IFERROR(__xludf.DUMMYFUNCTION("""COMPUTED_VALUE"""),"2004")</f>
        <v>2004</v>
      </c>
      <c r="O1007" s="14">
        <f>IFERROR(__xludf.DUMMYFUNCTION("""COMPUTED_VALUE"""),2.23E7)</f>
        <v>22300000</v>
      </c>
      <c r="P1007" s="15">
        <f>IFERROR(__xludf.DUMMYFUNCTION("ARRAYFORMULA(VLOOKUP(A1007,IMPORTRANGE(""https://docs.google.com/spreadsheets/d/1BuTWp7qHGjWhqrnf-OmePP568O4A5Am9ttzvVdP67zw/edit#gid=771602874"" ,""HUMAN RESOURCES!$A$2:$M$2692""), {2,3,4,5,6,7,8,9,10,11,12,13},0))"),0.04)</f>
        <v>0.04</v>
      </c>
      <c r="Q1007" s="14">
        <f>IFERROR(__xludf.DUMMYFUNCTION("""COMPUTED_VALUE"""),0.099)</f>
        <v>0.099</v>
      </c>
      <c r="R1007" s="14">
        <f>IFERROR(__xludf.DUMMYFUNCTION("""COMPUTED_VALUE"""),53.0)</f>
        <v>53</v>
      </c>
      <c r="S1007" s="14">
        <f>IFERROR(__xludf.DUMMYFUNCTION("""COMPUTED_VALUE"""),51.0)</f>
        <v>51</v>
      </c>
      <c r="T1007" s="14">
        <f>IFERROR(__xludf.DUMMYFUNCTION("""COMPUTED_VALUE"""),0.43)</f>
        <v>0.43</v>
      </c>
      <c r="U1007" s="14">
        <f>IFERROR(__xludf.DUMMYFUNCTION("""COMPUTED_VALUE"""),0.54)</f>
        <v>0.54</v>
      </c>
      <c r="V1007" s="14">
        <f>IFERROR(__xludf.DUMMYFUNCTION("""COMPUTED_VALUE"""),0.029)</f>
        <v>0.029</v>
      </c>
      <c r="W1007" s="14">
        <f>IFERROR(__xludf.DUMMYFUNCTION("""COMPUTED_VALUE"""),1390791.0)</f>
        <v>1390791</v>
      </c>
      <c r="X1007" s="14">
        <f>IFERROR(__xludf.DUMMYFUNCTION("""COMPUTED_VALUE"""),0.4)</f>
        <v>0.4</v>
      </c>
      <c r="Y1007" s="14" t="str">
        <f>IFERROR(__xludf.DUMMYFUNCTION("""COMPUTED_VALUE"""),"Guinea-Bissau-Africa")</f>
        <v>Guinea-Bissau-Africa</v>
      </c>
      <c r="Z1007" s="14" t="str">
        <f>IFERROR(__xludf.DUMMYFUNCTION("""COMPUTED_VALUE"""),"Africa")</f>
        <v>Africa</v>
      </c>
      <c r="AA1007" s="14" t="str">
        <f>IFERROR(__xludf.DUMMYFUNCTION("""COMPUTED_VALUE"""),"2004")</f>
        <v>2004</v>
      </c>
      <c r="AB1007" s="15" t="str">
        <f>IFERROR(__xludf.DUMMYFUNCTION("ARRAYFORMULA(VLOOKUP(A1007,IMPORTRANGE(""https://docs.google.com/spreadsheets/d/1BuTWp7qHGjWhqrnf-OmePP568O4A5Am9ttzvVdP67zw/edit#gid=1931367683"" ,""ENERGY!$A$2:$F$2692""), {2,3,4,5,6},0))"),"Africa")</f>
        <v>Africa</v>
      </c>
      <c r="AC1007" s="14" t="str">
        <f>IFERROR(__xludf.DUMMYFUNCTION("""COMPUTED_VALUE"""),"Guinea-Bissau-Africa")</f>
        <v>Guinea-Bissau-Africa</v>
      </c>
      <c r="AD1007" s="14" t="str">
        <f>IFERROR(__xludf.DUMMYFUNCTION("""COMPUTED_VALUE"""),"2004")</f>
        <v>2004</v>
      </c>
      <c r="AE1007" s="14"/>
      <c r="AF1007" s="14">
        <f>IFERROR(__xludf.DUMMYFUNCTION("""COMPUTED_VALUE"""),227.0)</f>
        <v>227</v>
      </c>
    </row>
    <row r="1008">
      <c r="A1008" s="12">
        <v>1007.0</v>
      </c>
      <c r="B1008" s="12" t="s">
        <v>156</v>
      </c>
      <c r="C1008" s="5" t="s">
        <v>77</v>
      </c>
      <c r="D1008" s="11">
        <v>0.542</v>
      </c>
      <c r="E1008" s="11">
        <v>259.0</v>
      </c>
      <c r="F1008" s="8"/>
      <c r="G1008" s="11">
        <v>208.0</v>
      </c>
      <c r="H1008" s="11">
        <v>0.019</v>
      </c>
      <c r="I1008" s="11">
        <v>0.07</v>
      </c>
      <c r="J1008" s="9" t="s">
        <v>66</v>
      </c>
      <c r="K1008" s="14" t="str">
        <f>IFERROR(__xludf.DUMMYFUNCTION("ARRAYFORMULA(VLOOKUP(A1008,IMPORTRANGE(""https://docs.google.com/spreadsheets/d/1BuTWp7qHGjWhqrnf-OmePP568O4A5Am9ttzvVdP67zw/edit#gid=1603210130"", ""TOURISM!$A$2:$F$2692""), {2,3,4,5,6},0))"),"Africa")</f>
        <v>Africa</v>
      </c>
      <c r="L1008" s="14">
        <f>IFERROR(__xludf.DUMMYFUNCTION("""COMPUTED_VALUE"""),1600000.0)</f>
        <v>1600000</v>
      </c>
      <c r="M1008" s="14" t="str">
        <f>IFERROR(__xludf.DUMMYFUNCTION("""COMPUTED_VALUE"""),"Guinea-Bissau-Africa")</f>
        <v>Guinea-Bissau-Africa</v>
      </c>
      <c r="N1008" s="14" t="str">
        <f>IFERROR(__xludf.DUMMYFUNCTION("""COMPUTED_VALUE"""),"2005")</f>
        <v>2005</v>
      </c>
      <c r="O1008" s="14">
        <f>IFERROR(__xludf.DUMMYFUNCTION("""COMPUTED_VALUE"""),1.89E7)</f>
        <v>18900000</v>
      </c>
      <c r="P1008" s="15">
        <f>IFERROR(__xludf.DUMMYFUNCTION("ARRAYFORMULA(VLOOKUP(A1008,IMPORTRANGE(""https://docs.google.com/spreadsheets/d/1BuTWp7qHGjWhqrnf-OmePP568O4A5Am9ttzvVdP67zw/edit#gid=771602874"" ,""HUMAN RESOURCES!$A$2:$M$2692""), {2,3,4,5,6,7,8,9,10,11,12,13},0))"),0.04)</f>
        <v>0.04</v>
      </c>
      <c r="Q1008" s="14">
        <f>IFERROR(__xludf.DUMMYFUNCTION("""COMPUTED_VALUE"""),0.096)</f>
        <v>0.096</v>
      </c>
      <c r="R1008" s="14">
        <f>IFERROR(__xludf.DUMMYFUNCTION("""COMPUTED_VALUE"""),53.0)</f>
        <v>53</v>
      </c>
      <c r="S1008" s="14">
        <f>IFERROR(__xludf.DUMMYFUNCTION("""COMPUTED_VALUE"""),51.0)</f>
        <v>51</v>
      </c>
      <c r="T1008" s="14">
        <f>IFERROR(__xludf.DUMMYFUNCTION("""COMPUTED_VALUE"""),0.429)</f>
        <v>0.429</v>
      </c>
      <c r="U1008" s="14">
        <f>IFERROR(__xludf.DUMMYFUNCTION("""COMPUTED_VALUE"""),0.542)</f>
        <v>0.542</v>
      </c>
      <c r="V1008" s="14">
        <f>IFERROR(__xludf.DUMMYFUNCTION("""COMPUTED_VALUE"""),0.029)</f>
        <v>0.029</v>
      </c>
      <c r="W1008" s="14">
        <f>IFERROR(__xludf.DUMMYFUNCTION("""COMPUTED_VALUE"""),1421515.0)</f>
        <v>1421515</v>
      </c>
      <c r="X1008" s="14">
        <f>IFERROR(__xludf.DUMMYFUNCTION("""COMPUTED_VALUE"""),0.409)</f>
        <v>0.409</v>
      </c>
      <c r="Y1008" s="14" t="str">
        <f>IFERROR(__xludf.DUMMYFUNCTION("""COMPUTED_VALUE"""),"Guinea-Bissau-Africa")</f>
        <v>Guinea-Bissau-Africa</v>
      </c>
      <c r="Z1008" s="14" t="str">
        <f>IFERROR(__xludf.DUMMYFUNCTION("""COMPUTED_VALUE"""),"Africa")</f>
        <v>Africa</v>
      </c>
      <c r="AA1008" s="14" t="str">
        <f>IFERROR(__xludf.DUMMYFUNCTION("""COMPUTED_VALUE"""),"2005")</f>
        <v>2005</v>
      </c>
      <c r="AB1008" s="15" t="str">
        <f>IFERROR(__xludf.DUMMYFUNCTION("ARRAYFORMULA(VLOOKUP(A1008,IMPORTRANGE(""https://docs.google.com/spreadsheets/d/1BuTWp7qHGjWhqrnf-OmePP568O4A5Am9ttzvVdP67zw/edit#gid=1931367683"" ,""ENERGY!$A$2:$F$2692""), {2,3,4,5,6},0))"),"Africa")</f>
        <v>Africa</v>
      </c>
      <c r="AC1008" s="14" t="str">
        <f>IFERROR(__xludf.DUMMYFUNCTION("""COMPUTED_VALUE"""),"Guinea-Bissau-Africa")</f>
        <v>Guinea-Bissau-Africa</v>
      </c>
      <c r="AD1008" s="14" t="str">
        <f>IFERROR(__xludf.DUMMYFUNCTION("""COMPUTED_VALUE"""),"2007")</f>
        <v>2007</v>
      </c>
      <c r="AE1008" s="14">
        <f>IFERROR(__xludf.DUMMYFUNCTION("""COMPUTED_VALUE"""),95.0)</f>
        <v>95</v>
      </c>
      <c r="AF1008" s="14">
        <f>IFERROR(__xludf.DUMMYFUNCTION("""COMPUTED_VALUE"""),231.0)</f>
        <v>231</v>
      </c>
    </row>
    <row r="1009">
      <c r="A1009" s="12">
        <v>1008.0</v>
      </c>
      <c r="B1009" s="12" t="s">
        <v>156</v>
      </c>
      <c r="C1009" s="5" t="s">
        <v>77</v>
      </c>
      <c r="D1009" s="11">
        <v>0.459</v>
      </c>
      <c r="E1009" s="11">
        <v>259.0</v>
      </c>
      <c r="F1009" s="8"/>
      <c r="G1009" s="11">
        <v>208.0</v>
      </c>
      <c r="H1009" s="11">
        <v>0.021</v>
      </c>
      <c r="I1009" s="11">
        <v>0.108</v>
      </c>
      <c r="J1009" s="9" t="s">
        <v>67</v>
      </c>
      <c r="K1009" s="14" t="str">
        <f>IFERROR(__xludf.DUMMYFUNCTION("ARRAYFORMULA(VLOOKUP(A1009,IMPORTRANGE(""https://docs.google.com/spreadsheets/d/1BuTWp7qHGjWhqrnf-OmePP568O4A5Am9ttzvVdP67zw/edit#gid=1603210130"", ""TOURISM!$A$2:$F$2692""), {2,3,4,5,6},0))"),"Africa")</f>
        <v>Africa</v>
      </c>
      <c r="L1009" s="14">
        <f>IFERROR(__xludf.DUMMYFUNCTION("""COMPUTED_VALUE"""),2800000.0)</f>
        <v>2800000</v>
      </c>
      <c r="M1009" s="14" t="str">
        <f>IFERROR(__xludf.DUMMYFUNCTION("""COMPUTED_VALUE"""),"Guinea-Bissau-Africa")</f>
        <v>Guinea-Bissau-Africa</v>
      </c>
      <c r="N1009" s="14" t="str">
        <f>IFERROR(__xludf.DUMMYFUNCTION("""COMPUTED_VALUE"""),"2006")</f>
        <v>2006</v>
      </c>
      <c r="O1009" s="14">
        <f>IFERROR(__xludf.DUMMYFUNCTION("""COMPUTED_VALUE"""),1.78E7)</f>
        <v>17800000</v>
      </c>
      <c r="P1009" s="15">
        <f>IFERROR(__xludf.DUMMYFUNCTION("ARRAYFORMULA(VLOOKUP(A1009,IMPORTRANGE(""https://docs.google.com/spreadsheets/d/1BuTWp7qHGjWhqrnf-OmePP568O4A5Am9ttzvVdP67zw/edit#gid=771602874"" ,""HUMAN RESOURCES!$A$2:$M$2692""), {2,3,4,5,6,7,8,9,10,11,12,13},0))"),0.04)</f>
        <v>0.04</v>
      </c>
      <c r="Q1009" s="14">
        <f>IFERROR(__xludf.DUMMYFUNCTION("""COMPUTED_VALUE"""),0.094)</f>
        <v>0.094</v>
      </c>
      <c r="R1009" s="14">
        <f>IFERROR(__xludf.DUMMYFUNCTION("""COMPUTED_VALUE"""),54.0)</f>
        <v>54</v>
      </c>
      <c r="S1009" s="14">
        <f>IFERROR(__xludf.DUMMYFUNCTION("""COMPUTED_VALUE"""),52.0)</f>
        <v>52</v>
      </c>
      <c r="T1009" s="14">
        <f>IFERROR(__xludf.DUMMYFUNCTION("""COMPUTED_VALUE"""),0.427)</f>
        <v>0.427</v>
      </c>
      <c r="U1009" s="14">
        <f>IFERROR(__xludf.DUMMYFUNCTION("""COMPUTED_VALUE"""),0.544)</f>
        <v>0.544</v>
      </c>
      <c r="V1009" s="14">
        <f>IFERROR(__xludf.DUMMYFUNCTION("""COMPUTED_VALUE"""),0.029)</f>
        <v>0.029</v>
      </c>
      <c r="W1009" s="14">
        <f>IFERROR(__xludf.DUMMYFUNCTION("""COMPUTED_VALUE"""),1452659.0)</f>
        <v>1452659</v>
      </c>
      <c r="X1009" s="14">
        <f>IFERROR(__xludf.DUMMYFUNCTION("""COMPUTED_VALUE"""),0.417)</f>
        <v>0.417</v>
      </c>
      <c r="Y1009" s="14" t="str">
        <f>IFERROR(__xludf.DUMMYFUNCTION("""COMPUTED_VALUE"""),"Guinea-Bissau-Africa")</f>
        <v>Guinea-Bissau-Africa</v>
      </c>
      <c r="Z1009" s="14" t="str">
        <f>IFERROR(__xludf.DUMMYFUNCTION("""COMPUTED_VALUE"""),"Africa")</f>
        <v>Africa</v>
      </c>
      <c r="AA1009" s="14" t="str">
        <f>IFERROR(__xludf.DUMMYFUNCTION("""COMPUTED_VALUE"""),"2006")</f>
        <v>2006</v>
      </c>
      <c r="AB1009" s="15" t="str">
        <f>IFERROR(__xludf.DUMMYFUNCTION("ARRAYFORMULA(VLOOKUP(A1009,IMPORTRANGE(""https://docs.google.com/spreadsheets/d/1BuTWp7qHGjWhqrnf-OmePP568O4A5Am9ttzvVdP67zw/edit#gid=1931367683"" ,""ENERGY!$A$2:$F$2692""), {2,3,4,5,6},0))"),"Africa")</f>
        <v>Africa</v>
      </c>
      <c r="AC1009" s="14" t="str">
        <f>IFERROR(__xludf.DUMMYFUNCTION("""COMPUTED_VALUE"""),"Guinea-Bissau-Africa")</f>
        <v>Guinea-Bissau-Africa</v>
      </c>
      <c r="AD1009" s="14" t="str">
        <f>IFERROR(__xludf.DUMMYFUNCTION("""COMPUTED_VALUE"""),"2011")</f>
        <v>2011</v>
      </c>
      <c r="AE1009" s="14">
        <f>IFERROR(__xludf.DUMMYFUNCTION("""COMPUTED_VALUE"""),90.0)</f>
        <v>90</v>
      </c>
      <c r="AF1009" s="14">
        <f>IFERROR(__xludf.DUMMYFUNCTION("""COMPUTED_VALUE"""),216.0)</f>
        <v>216</v>
      </c>
    </row>
    <row r="1010">
      <c r="A1010" s="12">
        <v>1009.0</v>
      </c>
      <c r="B1010" s="12" t="s">
        <v>156</v>
      </c>
      <c r="C1010" s="5" t="s">
        <v>77</v>
      </c>
      <c r="D1010" s="11">
        <v>0.459</v>
      </c>
      <c r="E1010" s="11">
        <v>259.0</v>
      </c>
      <c r="F1010" s="8"/>
      <c r="G1010" s="11">
        <v>208.0</v>
      </c>
      <c r="H1010" s="11">
        <v>0.022</v>
      </c>
      <c r="I1010" s="11">
        <v>0.2</v>
      </c>
      <c r="J1010" s="9" t="s">
        <v>68</v>
      </c>
      <c r="K1010" s="14" t="str">
        <f>IFERROR(__xludf.DUMMYFUNCTION("ARRAYFORMULA(VLOOKUP(A1010,IMPORTRANGE(""https://docs.google.com/spreadsheets/d/1BuTWp7qHGjWhqrnf-OmePP568O4A5Am9ttzvVdP67zw/edit#gid=1603210130"", ""TOURISM!$A$2:$F$2692""), {2,3,4,5,6},0))"),"Africa")</f>
        <v>Africa</v>
      </c>
      <c r="L1010" s="14">
        <f>IFERROR(__xludf.DUMMYFUNCTION("""COMPUTED_VALUE"""),2.84E7)</f>
        <v>28400000</v>
      </c>
      <c r="M1010" s="14" t="str">
        <f>IFERROR(__xludf.DUMMYFUNCTION("""COMPUTED_VALUE"""),"Guinea-Bissau-Africa")</f>
        <v>Guinea-Bissau-Africa</v>
      </c>
      <c r="N1010" s="14" t="str">
        <f>IFERROR(__xludf.DUMMYFUNCTION("""COMPUTED_VALUE"""),"2007")</f>
        <v>2007</v>
      </c>
      <c r="O1010" s="14">
        <f>IFERROR(__xludf.DUMMYFUNCTION("""COMPUTED_VALUE"""),4.07E7)</f>
        <v>40700000</v>
      </c>
      <c r="P1010" s="15">
        <f>IFERROR(__xludf.DUMMYFUNCTION("ARRAYFORMULA(VLOOKUP(A1010,IMPORTRANGE(""https://docs.google.com/spreadsheets/d/1BuTWp7qHGjWhqrnf-OmePP568O4A5Am9ttzvVdP67zw/edit#gid=771602874"" ,""HUMAN RESOURCES!$A$2:$M$2692""), {2,3,4,5,6,7,8,9,10,11,12,13},0))"),0.04)</f>
        <v>0.04</v>
      </c>
      <c r="Q1010" s="14">
        <f>IFERROR(__xludf.DUMMYFUNCTION("""COMPUTED_VALUE"""),0.091)</f>
        <v>0.091</v>
      </c>
      <c r="R1010" s="14">
        <f>IFERROR(__xludf.DUMMYFUNCTION("""COMPUTED_VALUE"""),54.0)</f>
        <v>54</v>
      </c>
      <c r="S1010" s="14">
        <f>IFERROR(__xludf.DUMMYFUNCTION("""COMPUTED_VALUE"""),52.0)</f>
        <v>52</v>
      </c>
      <c r="T1010" s="14">
        <f>IFERROR(__xludf.DUMMYFUNCTION("""COMPUTED_VALUE"""),0.425)</f>
        <v>0.425</v>
      </c>
      <c r="U1010" s="14">
        <f>IFERROR(__xludf.DUMMYFUNCTION("""COMPUTED_VALUE"""),0.546)</f>
        <v>0.546</v>
      </c>
      <c r="V1010" s="14">
        <f>IFERROR(__xludf.DUMMYFUNCTION("""COMPUTED_VALUE"""),0.029)</f>
        <v>0.029</v>
      </c>
      <c r="W1010" s="14">
        <f>IFERROR(__xludf.DUMMYFUNCTION("""COMPUTED_VALUE"""),1484337.0)</f>
        <v>1484337</v>
      </c>
      <c r="X1010" s="14">
        <f>IFERROR(__xludf.DUMMYFUNCTION("""COMPUTED_VALUE"""),0.426)</f>
        <v>0.426</v>
      </c>
      <c r="Y1010" s="14" t="str">
        <f>IFERROR(__xludf.DUMMYFUNCTION("""COMPUTED_VALUE"""),"Guinea-Bissau-Africa")</f>
        <v>Guinea-Bissau-Africa</v>
      </c>
      <c r="Z1010" s="14" t="str">
        <f>IFERROR(__xludf.DUMMYFUNCTION("""COMPUTED_VALUE"""),"Africa")</f>
        <v>Africa</v>
      </c>
      <c r="AA1010" s="14" t="str">
        <f>IFERROR(__xludf.DUMMYFUNCTION("""COMPUTED_VALUE"""),"2007")</f>
        <v>2007</v>
      </c>
      <c r="AB1010" s="15" t="str">
        <f>IFERROR(__xludf.DUMMYFUNCTION("ARRAYFORMULA(VLOOKUP(A1010,IMPORTRANGE(""https://docs.google.com/spreadsheets/d/1BuTWp7qHGjWhqrnf-OmePP568O4A5Am9ttzvVdP67zw/edit#gid=1931367683"" ,""ENERGY!$A$2:$F$2692""), {2,3,4,5,6},0))"),"Africa")</f>
        <v>Africa</v>
      </c>
      <c r="AC1010" s="14" t="str">
        <f>IFERROR(__xludf.DUMMYFUNCTION("""COMPUTED_VALUE"""),"Guinea-Bissau-Africa")</f>
        <v>Guinea-Bissau-Africa</v>
      </c>
      <c r="AD1010" s="14" t="str">
        <f>IFERROR(__xludf.DUMMYFUNCTION("""COMPUTED_VALUE"""),"2008")</f>
        <v>2008</v>
      </c>
      <c r="AE1010" s="14">
        <f>IFERROR(__xludf.DUMMYFUNCTION("""COMPUTED_VALUE"""),87.0)</f>
        <v>87</v>
      </c>
      <c r="AF1010" s="14">
        <f>IFERROR(__xludf.DUMMYFUNCTION("""COMPUTED_VALUE"""),213.0)</f>
        <v>213</v>
      </c>
    </row>
    <row r="1011">
      <c r="A1011" s="12">
        <v>1010.0</v>
      </c>
      <c r="B1011" s="12" t="s">
        <v>156</v>
      </c>
      <c r="C1011" s="5" t="s">
        <v>77</v>
      </c>
      <c r="D1011" s="11">
        <v>0.459</v>
      </c>
      <c r="E1011" s="11">
        <v>259.0</v>
      </c>
      <c r="F1011" s="8"/>
      <c r="G1011" s="11">
        <v>208.0</v>
      </c>
      <c r="H1011" s="11">
        <v>0.024</v>
      </c>
      <c r="I1011" s="11">
        <v>0.33</v>
      </c>
      <c r="J1011" s="9" t="s">
        <v>69</v>
      </c>
      <c r="K1011" s="14" t="str">
        <f>IFERROR(__xludf.DUMMYFUNCTION("ARRAYFORMULA(VLOOKUP(A1011,IMPORTRANGE(""https://docs.google.com/spreadsheets/d/1BuTWp7qHGjWhqrnf-OmePP568O4A5Am9ttzvVdP67zw/edit#gid=1603210130"", ""TOURISM!$A$2:$F$2692""), {2,3,4,5,6},0))"),"Africa")</f>
        <v>Africa</v>
      </c>
      <c r="L1011" s="14">
        <f>IFERROR(__xludf.DUMMYFUNCTION("""COMPUTED_VALUE"""),3.82E7)</f>
        <v>38200000</v>
      </c>
      <c r="M1011" s="14" t="str">
        <f>IFERROR(__xludf.DUMMYFUNCTION("""COMPUTED_VALUE"""),"Guinea-Bissau-Africa")</f>
        <v>Guinea-Bissau-Africa</v>
      </c>
      <c r="N1011" s="14" t="str">
        <f>IFERROR(__xludf.DUMMYFUNCTION("""COMPUTED_VALUE"""),"2008")</f>
        <v>2008</v>
      </c>
      <c r="O1011" s="14">
        <f>IFERROR(__xludf.DUMMYFUNCTION("""COMPUTED_VALUE"""),4.61E7)</f>
        <v>46100000</v>
      </c>
      <c r="P1011" s="15">
        <f>IFERROR(__xludf.DUMMYFUNCTION("ARRAYFORMULA(VLOOKUP(A1011,IMPORTRANGE(""https://docs.google.com/spreadsheets/d/1BuTWp7qHGjWhqrnf-OmePP568O4A5Am9ttzvVdP67zw/edit#gid=771602874"" ,""HUMAN RESOURCES!$A$2:$M$2692""), {2,3,4,5,6,7,8,9,10,11,12,13},0))"),0.039)</f>
        <v>0.039</v>
      </c>
      <c r="Q1011" s="14">
        <f>IFERROR(__xludf.DUMMYFUNCTION("""COMPUTED_VALUE"""),0.089)</f>
        <v>0.089</v>
      </c>
      <c r="R1011" s="14">
        <f>IFERROR(__xludf.DUMMYFUNCTION("""COMPUTED_VALUE"""),55.0)</f>
        <v>55</v>
      </c>
      <c r="S1011" s="14">
        <f>IFERROR(__xludf.DUMMYFUNCTION("""COMPUTED_VALUE"""),52.0)</f>
        <v>52</v>
      </c>
      <c r="T1011" s="14">
        <f>IFERROR(__xludf.DUMMYFUNCTION("""COMPUTED_VALUE"""),0.423)</f>
        <v>0.423</v>
      </c>
      <c r="U1011" s="14">
        <f>IFERROR(__xludf.DUMMYFUNCTION("""COMPUTED_VALUE"""),0.548)</f>
        <v>0.548</v>
      </c>
      <c r="V1011" s="14">
        <f>IFERROR(__xludf.DUMMYFUNCTION("""COMPUTED_VALUE"""),0.029)</f>
        <v>0.029</v>
      </c>
      <c r="W1011" s="14">
        <f>IFERROR(__xludf.DUMMYFUNCTION("""COMPUTED_VALUE"""),1516920.0)</f>
        <v>1516920</v>
      </c>
      <c r="X1011" s="14">
        <f>IFERROR(__xludf.DUMMYFUNCTION("""COMPUTED_VALUE"""),0.435)</f>
        <v>0.435</v>
      </c>
      <c r="Y1011" s="14" t="str">
        <f>IFERROR(__xludf.DUMMYFUNCTION("""COMPUTED_VALUE"""),"Guinea-Bissau-Africa")</f>
        <v>Guinea-Bissau-Africa</v>
      </c>
      <c r="Z1011" s="14" t="str">
        <f>IFERROR(__xludf.DUMMYFUNCTION("""COMPUTED_VALUE"""),"Africa")</f>
        <v>Africa</v>
      </c>
      <c r="AA1011" s="14" t="str">
        <f>IFERROR(__xludf.DUMMYFUNCTION("""COMPUTED_VALUE"""),"2008")</f>
        <v>2008</v>
      </c>
      <c r="AB1011" s="15" t="str">
        <f>IFERROR(__xludf.DUMMYFUNCTION("ARRAYFORMULA(VLOOKUP(A1011,IMPORTRANGE(""https://docs.google.com/spreadsheets/d/1BuTWp7qHGjWhqrnf-OmePP568O4A5Am9ttzvVdP67zw/edit#gid=1931367683"" ,""ENERGY!$A$2:$F$2692""), {2,3,4,5,6},0))"),"Africa")</f>
        <v>Africa</v>
      </c>
      <c r="AC1011" s="14" t="str">
        <f>IFERROR(__xludf.DUMMYFUNCTION("""COMPUTED_VALUE"""),"Guinea-Bissau-Africa")</f>
        <v>Guinea-Bissau-Africa</v>
      </c>
      <c r="AD1011" s="14" t="str">
        <f>IFERROR(__xludf.DUMMYFUNCTION("""COMPUTED_VALUE"""),"2005")</f>
        <v>2005</v>
      </c>
      <c r="AE1011" s="14">
        <f>IFERROR(__xludf.DUMMYFUNCTION("""COMPUTED_VALUE"""),86.0)</f>
        <v>86</v>
      </c>
      <c r="AF1011" s="14">
        <f>IFERROR(__xludf.DUMMYFUNCTION("""COMPUTED_VALUE"""),202.0)</f>
        <v>202</v>
      </c>
    </row>
    <row r="1012">
      <c r="A1012" s="12">
        <v>1011.0</v>
      </c>
      <c r="B1012" s="12" t="s">
        <v>156</v>
      </c>
      <c r="C1012" s="5" t="s">
        <v>77</v>
      </c>
      <c r="D1012" s="11">
        <v>0.459</v>
      </c>
      <c r="E1012" s="11">
        <v>216.0</v>
      </c>
      <c r="F1012" s="8"/>
      <c r="G1012" s="11">
        <v>208.0</v>
      </c>
      <c r="H1012" s="11">
        <v>0.023</v>
      </c>
      <c r="I1012" s="11">
        <v>0.361</v>
      </c>
      <c r="J1012" s="9" t="s">
        <v>70</v>
      </c>
      <c r="K1012" s="14" t="str">
        <f>IFERROR(__xludf.DUMMYFUNCTION("ARRAYFORMULA(VLOOKUP(A1012,IMPORTRANGE(""https://docs.google.com/spreadsheets/d/1BuTWp7qHGjWhqrnf-OmePP568O4A5Am9ttzvVdP67zw/edit#gid=1603210130"", ""TOURISM!$A$2:$F$2692""), {2,3,4,5,6},0))"),"Africa")</f>
        <v>Africa</v>
      </c>
      <c r="L1012" s="14">
        <f>IFERROR(__xludf.DUMMYFUNCTION("""COMPUTED_VALUE"""),1.2E7)</f>
        <v>12000000</v>
      </c>
      <c r="M1012" s="14" t="str">
        <f>IFERROR(__xludf.DUMMYFUNCTION("""COMPUTED_VALUE"""),"Guinea-Bissau-Africa")</f>
        <v>Guinea-Bissau-Africa</v>
      </c>
      <c r="N1012" s="14" t="str">
        <f>IFERROR(__xludf.DUMMYFUNCTION("""COMPUTED_VALUE"""),"2009")</f>
        <v>2009</v>
      </c>
      <c r="O1012" s="14">
        <f>IFERROR(__xludf.DUMMYFUNCTION("""COMPUTED_VALUE"""),2.6E7)</f>
        <v>26000000</v>
      </c>
      <c r="P1012" s="15">
        <f>IFERROR(__xludf.DUMMYFUNCTION("ARRAYFORMULA(VLOOKUP(A1012,IMPORTRANGE(""https://docs.google.com/spreadsheets/d/1BuTWp7qHGjWhqrnf-OmePP568O4A5Am9ttzvVdP67zw/edit#gid=771602874"" ,""HUMAN RESOURCES!$A$2:$M$2692""), {2,3,4,5,6,7,8,9,10,11,12,13},0))"),0.039)</f>
        <v>0.039</v>
      </c>
      <c r="Q1012" s="14">
        <f>IFERROR(__xludf.DUMMYFUNCTION("""COMPUTED_VALUE"""),0.087)</f>
        <v>0.087</v>
      </c>
      <c r="R1012" s="14">
        <f>IFERROR(__xludf.DUMMYFUNCTION("""COMPUTED_VALUE"""),55.0)</f>
        <v>55</v>
      </c>
      <c r="S1012" s="14">
        <f>IFERROR(__xludf.DUMMYFUNCTION("""COMPUTED_VALUE"""),52.0)</f>
        <v>52</v>
      </c>
      <c r="T1012" s="14">
        <f>IFERROR(__xludf.DUMMYFUNCTION("""COMPUTED_VALUE"""),0.421)</f>
        <v>0.421</v>
      </c>
      <c r="U1012" s="14">
        <f>IFERROR(__xludf.DUMMYFUNCTION("""COMPUTED_VALUE"""),0.55)</f>
        <v>0.55</v>
      </c>
      <c r="V1012" s="14">
        <f>IFERROR(__xludf.DUMMYFUNCTION("""COMPUTED_VALUE"""),0.03)</f>
        <v>0.03</v>
      </c>
      <c r="W1012" s="14">
        <f>IFERROR(__xludf.DUMMYFUNCTION("""COMPUTED_VALUE"""),1550905.0)</f>
        <v>1550905</v>
      </c>
      <c r="X1012" s="14">
        <f>IFERROR(__xludf.DUMMYFUNCTION("""COMPUTED_VALUE"""),0.443)</f>
        <v>0.443</v>
      </c>
      <c r="Y1012" s="14" t="str">
        <f>IFERROR(__xludf.DUMMYFUNCTION("""COMPUTED_VALUE"""),"Guinea-Bissau-Africa")</f>
        <v>Guinea-Bissau-Africa</v>
      </c>
      <c r="Z1012" s="14" t="str">
        <f>IFERROR(__xludf.DUMMYFUNCTION("""COMPUTED_VALUE"""),"Africa")</f>
        <v>Africa</v>
      </c>
      <c r="AA1012" s="14" t="str">
        <f>IFERROR(__xludf.DUMMYFUNCTION("""COMPUTED_VALUE"""),"2009")</f>
        <v>2009</v>
      </c>
      <c r="AB1012" s="15" t="str">
        <f>IFERROR(__xludf.DUMMYFUNCTION("ARRAYFORMULA(VLOOKUP(A1012,IMPORTRANGE(""https://docs.google.com/spreadsheets/d/1BuTWp7qHGjWhqrnf-OmePP568O4A5Am9ttzvVdP67zw/edit#gid=1931367683"" ,""ENERGY!$A$2:$F$2692""), {2,3,4,5,6},0))"),"Africa")</f>
        <v>Africa</v>
      </c>
      <c r="AC1012" s="14" t="str">
        <f>IFERROR(__xludf.DUMMYFUNCTION("""COMPUTED_VALUE"""),"Guinea-Bissau-Africa")</f>
        <v>Guinea-Bissau-Africa</v>
      </c>
      <c r="AD1012" s="14" t="str">
        <f>IFERROR(__xludf.DUMMYFUNCTION("""COMPUTED_VALUE"""),"2010")</f>
        <v>2010</v>
      </c>
      <c r="AE1012" s="14"/>
      <c r="AF1012" s="14">
        <f>IFERROR(__xludf.DUMMYFUNCTION("""COMPUTED_VALUE"""),194.0)</f>
        <v>194</v>
      </c>
    </row>
    <row r="1013">
      <c r="A1013" s="12">
        <v>1012.0</v>
      </c>
      <c r="B1013" s="12" t="s">
        <v>156</v>
      </c>
      <c r="C1013" s="5" t="s">
        <v>77</v>
      </c>
      <c r="D1013" s="11">
        <v>0.459</v>
      </c>
      <c r="E1013" s="11">
        <v>216.0</v>
      </c>
      <c r="F1013" s="8"/>
      <c r="G1013" s="11">
        <v>208.0</v>
      </c>
      <c r="H1013" s="11">
        <v>0.025</v>
      </c>
      <c r="I1013" s="11">
        <v>0.427</v>
      </c>
      <c r="J1013" s="9" t="s">
        <v>71</v>
      </c>
      <c r="K1013" s="14" t="str">
        <f>IFERROR(__xludf.DUMMYFUNCTION("ARRAYFORMULA(VLOOKUP(A1013,IMPORTRANGE(""https://docs.google.com/spreadsheets/d/1BuTWp7qHGjWhqrnf-OmePP568O4A5Am9ttzvVdP67zw/edit#gid=1603210130"", ""TOURISM!$A$2:$F$2692""), {2,3,4,5,6},0))"),"Africa")</f>
        <v>Africa</v>
      </c>
      <c r="L1013" s="14">
        <f>IFERROR(__xludf.DUMMYFUNCTION("""COMPUTED_VALUE"""),1.36E7)</f>
        <v>13600000</v>
      </c>
      <c r="M1013" s="14" t="str">
        <f>IFERROR(__xludf.DUMMYFUNCTION("""COMPUTED_VALUE"""),"Guinea-Bissau-Africa")</f>
        <v>Guinea-Bissau-Africa</v>
      </c>
      <c r="N1013" s="14" t="str">
        <f>IFERROR(__xludf.DUMMYFUNCTION("""COMPUTED_VALUE"""),"2010")</f>
        <v>2010</v>
      </c>
      <c r="O1013" s="14">
        <f>IFERROR(__xludf.DUMMYFUNCTION("""COMPUTED_VALUE"""),2.95E7)</f>
        <v>29500000</v>
      </c>
      <c r="P1013" s="15">
        <f>IFERROR(__xludf.DUMMYFUNCTION("ARRAYFORMULA(VLOOKUP(A1013,IMPORTRANGE(""https://docs.google.com/spreadsheets/d/1BuTWp7qHGjWhqrnf-OmePP568O4A5Am9ttzvVdP67zw/edit#gid=771602874"" ,""HUMAN RESOURCES!$A$2:$M$2692""), {2,3,4,5,6,7,8,9,10,11,12,13},0))"),0.039)</f>
        <v>0.039</v>
      </c>
      <c r="Q1013" s="14">
        <f>IFERROR(__xludf.DUMMYFUNCTION("""COMPUTED_VALUE"""),0.085)</f>
        <v>0.085</v>
      </c>
      <c r="R1013" s="14">
        <f>IFERROR(__xludf.DUMMYFUNCTION("""COMPUTED_VALUE"""),55.0)</f>
        <v>55</v>
      </c>
      <c r="S1013" s="14">
        <f>IFERROR(__xludf.DUMMYFUNCTION("""COMPUTED_VALUE"""),52.0)</f>
        <v>52</v>
      </c>
      <c r="T1013" s="14">
        <f>IFERROR(__xludf.DUMMYFUNCTION("""COMPUTED_VALUE"""),0.419)</f>
        <v>0.419</v>
      </c>
      <c r="U1013" s="14">
        <f>IFERROR(__xludf.DUMMYFUNCTION("""COMPUTED_VALUE"""),0.551)</f>
        <v>0.551</v>
      </c>
      <c r="V1013" s="14">
        <f>IFERROR(__xludf.DUMMYFUNCTION("""COMPUTED_VALUE"""),0.03)</f>
        <v>0.03</v>
      </c>
      <c r="W1013" s="14">
        <f>IFERROR(__xludf.DUMMYFUNCTION("""COMPUTED_VALUE"""),1586624.0)</f>
        <v>1586624</v>
      </c>
      <c r="X1013" s="14">
        <f>IFERROR(__xludf.DUMMYFUNCTION("""COMPUTED_VALUE"""),0.452)</f>
        <v>0.452</v>
      </c>
      <c r="Y1013" s="14" t="str">
        <f>IFERROR(__xludf.DUMMYFUNCTION("""COMPUTED_VALUE"""),"Guinea-Bissau-Africa")</f>
        <v>Guinea-Bissau-Africa</v>
      </c>
      <c r="Z1013" s="14" t="str">
        <f>IFERROR(__xludf.DUMMYFUNCTION("""COMPUTED_VALUE"""),"Africa")</f>
        <v>Africa</v>
      </c>
      <c r="AA1013" s="14" t="str">
        <f>IFERROR(__xludf.DUMMYFUNCTION("""COMPUTED_VALUE"""),"2010")</f>
        <v>2010</v>
      </c>
      <c r="AB1013" s="15" t="str">
        <f>IFERROR(__xludf.DUMMYFUNCTION("ARRAYFORMULA(VLOOKUP(A1013,IMPORTRANGE(""https://docs.google.com/spreadsheets/d/1BuTWp7qHGjWhqrnf-OmePP568O4A5Am9ttzvVdP67zw/edit#gid=1931367683"" ,""ENERGY!$A$2:$F$2692""), {2,3,4,5,6},0))"),"Africa")</f>
        <v>Africa</v>
      </c>
      <c r="AC1013" s="14" t="str">
        <f>IFERROR(__xludf.DUMMYFUNCTION("""COMPUTED_VALUE"""),"Guinea-Bissau-Africa")</f>
        <v>Guinea-Bissau-Africa</v>
      </c>
      <c r="AD1013" s="14" t="str">
        <f>IFERROR(__xludf.DUMMYFUNCTION("""COMPUTED_VALUE"""),"2010")</f>
        <v>2010</v>
      </c>
      <c r="AE1013" s="14"/>
      <c r="AF1013" s="14">
        <f>IFERROR(__xludf.DUMMYFUNCTION("""COMPUTED_VALUE"""),154.0)</f>
        <v>154</v>
      </c>
    </row>
    <row r="1014">
      <c r="A1014" s="12">
        <v>1013.0</v>
      </c>
      <c r="B1014" s="12" t="s">
        <v>156</v>
      </c>
      <c r="C1014" s="5" t="s">
        <v>77</v>
      </c>
      <c r="D1014" s="11">
        <v>0.459</v>
      </c>
      <c r="E1014" s="11">
        <v>9.0</v>
      </c>
      <c r="F1014" s="8"/>
      <c r="G1014" s="11">
        <v>208.0</v>
      </c>
      <c r="H1014" s="11">
        <v>0.027</v>
      </c>
      <c r="I1014" s="11">
        <v>0.451</v>
      </c>
      <c r="J1014" s="9" t="s">
        <v>72</v>
      </c>
      <c r="K1014" s="14" t="str">
        <f>IFERROR(__xludf.DUMMYFUNCTION("ARRAYFORMULA(VLOOKUP(A1014,IMPORTRANGE(""https://docs.google.com/spreadsheets/d/1BuTWp7qHGjWhqrnf-OmePP568O4A5Am9ttzvVdP67zw/edit#gid=1603210130"", ""TOURISM!$A$2:$F$2692""), {2,3,4,5,6},0))"),"Africa")</f>
        <v>Africa</v>
      </c>
      <c r="L1014" s="14"/>
      <c r="M1014" s="14" t="str">
        <f>IFERROR(__xludf.DUMMYFUNCTION("""COMPUTED_VALUE"""),"Guinea-Bissau-Africa")</f>
        <v>Guinea-Bissau-Africa</v>
      </c>
      <c r="N1014" s="14" t="str">
        <f>IFERROR(__xludf.DUMMYFUNCTION("""COMPUTED_VALUE"""),"2011")</f>
        <v>2011</v>
      </c>
      <c r="O1014" s="14"/>
      <c r="P1014" s="15">
        <f>IFERROR(__xludf.DUMMYFUNCTION("ARRAYFORMULA(VLOOKUP(A1014,IMPORTRANGE(""https://docs.google.com/spreadsheets/d/1BuTWp7qHGjWhqrnf-OmePP568O4A5Am9ttzvVdP67zw/edit#gid=771602874"" ,""HUMAN RESOURCES!$A$2:$M$2692""), {2,3,4,5,6,7,8,9,10,11,12,13},0))"),0.038)</f>
        <v>0.038</v>
      </c>
      <c r="Q1014" s="14">
        <f>IFERROR(__xludf.DUMMYFUNCTION("""COMPUTED_VALUE"""),0.082)</f>
        <v>0.082</v>
      </c>
      <c r="R1014" s="14">
        <f>IFERROR(__xludf.DUMMYFUNCTION("""COMPUTED_VALUE"""),55.0)</f>
        <v>55</v>
      </c>
      <c r="S1014" s="14">
        <f>IFERROR(__xludf.DUMMYFUNCTION("""COMPUTED_VALUE"""),52.0)</f>
        <v>52</v>
      </c>
      <c r="T1014" s="14">
        <f>IFERROR(__xludf.DUMMYFUNCTION("""COMPUTED_VALUE"""),0.417)</f>
        <v>0.417</v>
      </c>
      <c r="U1014" s="14">
        <f>IFERROR(__xludf.DUMMYFUNCTION("""COMPUTED_VALUE"""),0.553)</f>
        <v>0.553</v>
      </c>
      <c r="V1014" s="14">
        <f>IFERROR(__xludf.DUMMYFUNCTION("""COMPUTED_VALUE"""),0.029)</f>
        <v>0.029</v>
      </c>
      <c r="W1014" s="14">
        <f>IFERROR(__xludf.DUMMYFUNCTION("""COMPUTED_VALUE"""),1624228.0)</f>
        <v>1624228</v>
      </c>
      <c r="X1014" s="14">
        <f>IFERROR(__xludf.DUMMYFUNCTION("""COMPUTED_VALUE"""),0.461)</f>
        <v>0.461</v>
      </c>
      <c r="Y1014" s="14" t="str">
        <f>IFERROR(__xludf.DUMMYFUNCTION("""COMPUTED_VALUE"""),"Guinea-Bissau-Africa")</f>
        <v>Guinea-Bissau-Africa</v>
      </c>
      <c r="Z1014" s="14" t="str">
        <f>IFERROR(__xludf.DUMMYFUNCTION("""COMPUTED_VALUE"""),"Africa")</f>
        <v>Africa</v>
      </c>
      <c r="AA1014" s="14" t="str">
        <f>IFERROR(__xludf.DUMMYFUNCTION("""COMPUTED_VALUE"""),"2011")</f>
        <v>2011</v>
      </c>
      <c r="AB1014" s="15" t="str">
        <f>IFERROR(__xludf.DUMMYFUNCTION("ARRAYFORMULA(VLOOKUP(A1014,IMPORTRANGE(""https://docs.google.com/spreadsheets/d/1BuTWp7qHGjWhqrnf-OmePP568O4A5Am9ttzvVdP67zw/edit#gid=1931367683"" ,""ENERGY!$A$2:$F$2692""), {2,3,4,5,6},0))"),"Africa")</f>
        <v>Africa</v>
      </c>
      <c r="AC1014" s="14" t="str">
        <f>IFERROR(__xludf.DUMMYFUNCTION("""COMPUTED_VALUE"""),"Guinea-Bissau-Africa")</f>
        <v>Guinea-Bissau-Africa</v>
      </c>
      <c r="AD1014" s="14" t="str">
        <f>IFERROR(__xludf.DUMMYFUNCTION("""COMPUTED_VALUE"""),"2005")</f>
        <v>2005</v>
      </c>
      <c r="AE1014" s="14"/>
      <c r="AF1014" s="14">
        <f>IFERROR(__xludf.DUMMYFUNCTION("""COMPUTED_VALUE"""),150.0)</f>
        <v>150</v>
      </c>
    </row>
    <row r="1015">
      <c r="A1015" s="12">
        <v>1014.0</v>
      </c>
      <c r="B1015" s="12" t="s">
        <v>156</v>
      </c>
      <c r="C1015" s="5" t="s">
        <v>77</v>
      </c>
      <c r="D1015" s="11">
        <v>0.459</v>
      </c>
      <c r="E1015" s="11">
        <v>9.0</v>
      </c>
      <c r="F1015" s="11">
        <v>181.0</v>
      </c>
      <c r="G1015" s="11">
        <v>208.0</v>
      </c>
      <c r="H1015" s="11">
        <v>0.029</v>
      </c>
      <c r="I1015" s="11">
        <v>0.631</v>
      </c>
      <c r="J1015" s="9" t="s">
        <v>73</v>
      </c>
      <c r="K1015" s="14" t="str">
        <f>IFERROR(__xludf.DUMMYFUNCTION("ARRAYFORMULA(VLOOKUP(A1015,IMPORTRANGE(""https://docs.google.com/spreadsheets/d/1BuTWp7qHGjWhqrnf-OmePP568O4A5Am9ttzvVdP67zw/edit#gid=1603210130"", ""TOURISM!$A$2:$F$2692""), {2,3,4,5,6},0))"),"Africa")</f>
        <v>Africa</v>
      </c>
      <c r="L1015" s="14"/>
      <c r="M1015" s="14" t="str">
        <f>IFERROR(__xludf.DUMMYFUNCTION("""COMPUTED_VALUE"""),"Guinea-Bissau-Africa")</f>
        <v>Guinea-Bissau-Africa</v>
      </c>
      <c r="N1015" s="14" t="str">
        <f>IFERROR(__xludf.DUMMYFUNCTION("""COMPUTED_VALUE"""),"2012")</f>
        <v>2012</v>
      </c>
      <c r="O1015" s="14"/>
      <c r="P1015" s="15">
        <f>IFERROR(__xludf.DUMMYFUNCTION("ARRAYFORMULA(VLOOKUP(A1015,IMPORTRANGE(""https://docs.google.com/spreadsheets/d/1BuTWp7qHGjWhqrnf-OmePP568O4A5Am9ttzvVdP67zw/edit#gid=771602874"" ,""HUMAN RESOURCES!$A$2:$M$2692""), {2,3,4,5,6,7,8,9,10,11,12,13},0))"),0.038)</f>
        <v>0.038</v>
      </c>
      <c r="Q1015" s="14">
        <f>IFERROR(__xludf.DUMMYFUNCTION("""COMPUTED_VALUE"""),0.08)</f>
        <v>0.08</v>
      </c>
      <c r="R1015" s="14">
        <f>IFERROR(__xludf.DUMMYFUNCTION("""COMPUTED_VALUE"""),56.0)</f>
        <v>56</v>
      </c>
      <c r="S1015" s="14">
        <f>IFERROR(__xludf.DUMMYFUNCTION("""COMPUTED_VALUE"""),53.0)</f>
        <v>53</v>
      </c>
      <c r="T1015" s="14">
        <f>IFERROR(__xludf.DUMMYFUNCTION("""COMPUTED_VALUE"""),0.416)</f>
        <v>0.416</v>
      </c>
      <c r="U1015" s="14">
        <f>IFERROR(__xludf.DUMMYFUNCTION("""COMPUTED_VALUE"""),0.555)</f>
        <v>0.555</v>
      </c>
      <c r="V1015" s="14">
        <f>IFERROR(__xludf.DUMMYFUNCTION("""COMPUTED_VALUE"""),0.029)</f>
        <v>0.029</v>
      </c>
      <c r="W1015" s="14">
        <f>IFERROR(__xludf.DUMMYFUNCTION("""COMPUTED_VALUE"""),1663558.0)</f>
        <v>1663558</v>
      </c>
      <c r="X1015" s="14">
        <f>IFERROR(__xludf.DUMMYFUNCTION("""COMPUTED_VALUE"""),0.469)</f>
        <v>0.469</v>
      </c>
      <c r="Y1015" s="14" t="str">
        <f>IFERROR(__xludf.DUMMYFUNCTION("""COMPUTED_VALUE"""),"Guinea-Bissau-Africa")</f>
        <v>Guinea-Bissau-Africa</v>
      </c>
      <c r="Z1015" s="14" t="str">
        <f>IFERROR(__xludf.DUMMYFUNCTION("""COMPUTED_VALUE"""),"Africa")</f>
        <v>Africa</v>
      </c>
      <c r="AA1015" s="14" t="str">
        <f>IFERROR(__xludf.DUMMYFUNCTION("""COMPUTED_VALUE"""),"2012")</f>
        <v>2012</v>
      </c>
      <c r="AB1015" s="15" t="str">
        <f>IFERROR(__xludf.DUMMYFUNCTION("ARRAYFORMULA(VLOOKUP(A1015,IMPORTRANGE(""https://docs.google.com/spreadsheets/d/1BuTWp7qHGjWhqrnf-OmePP568O4A5Am9ttzvVdP67zw/edit#gid=1931367683"" ,""ENERGY!$A$2:$F$2692""), {2,3,4,5,6},0))"),"Africa")</f>
        <v>Africa</v>
      </c>
      <c r="AC1015" s="14" t="str">
        <f>IFERROR(__xludf.DUMMYFUNCTION("""COMPUTED_VALUE"""),"Guinea-Bissau-Africa")</f>
        <v>Guinea-Bissau-Africa</v>
      </c>
      <c r="AD1015" s="14" t="str">
        <f>IFERROR(__xludf.DUMMYFUNCTION("""COMPUTED_VALUE"""),"2010")</f>
        <v>2010</v>
      </c>
      <c r="AE1015" s="14"/>
      <c r="AF1015" s="14">
        <f>IFERROR(__xludf.DUMMYFUNCTION("""COMPUTED_VALUE"""),147.0)</f>
        <v>147</v>
      </c>
    </row>
    <row r="1016">
      <c r="A1016" s="12">
        <v>1015.0</v>
      </c>
      <c r="B1016" s="12" t="s">
        <v>157</v>
      </c>
      <c r="C1016" s="5" t="s">
        <v>84</v>
      </c>
      <c r="D1016" s="8"/>
      <c r="E1016" s="8"/>
      <c r="F1016" s="8"/>
      <c r="G1016" s="8"/>
      <c r="H1016" s="11">
        <v>0.066</v>
      </c>
      <c r="I1016" s="11">
        <v>0.054</v>
      </c>
      <c r="J1016" s="9" t="s">
        <v>60</v>
      </c>
      <c r="K1016" s="14" t="str">
        <f>IFERROR(__xludf.DUMMYFUNCTION("ARRAYFORMULA(VLOOKUP(A1016,IMPORTRANGE(""https://docs.google.com/spreadsheets/d/1BuTWp7qHGjWhqrnf-OmePP568O4A5Am9ttzvVdP67zw/edit#gid=1603210130"", ""TOURISM!$A$2:$F$2692""), {2,3,4,5,6},0))"),"The Americas")</f>
        <v>The Americas</v>
      </c>
      <c r="L1016" s="14">
        <f>IFERROR(__xludf.DUMMYFUNCTION("""COMPUTED_VALUE"""),8.0E7)</f>
        <v>80000000</v>
      </c>
      <c r="M1016" s="14" t="str">
        <f>IFERROR(__xludf.DUMMYFUNCTION("""COMPUTED_VALUE"""),"Guyana-The Americas")</f>
        <v>Guyana-The Americas</v>
      </c>
      <c r="N1016" s="14" t="str">
        <f>IFERROR(__xludf.DUMMYFUNCTION("""COMPUTED_VALUE"""),"2000")</f>
        <v>2000</v>
      </c>
      <c r="O1016" s="14">
        <f>IFERROR(__xludf.DUMMYFUNCTION("""COMPUTED_VALUE"""),7.7E7)</f>
        <v>77000000</v>
      </c>
      <c r="P1016" s="15">
        <f>IFERROR(__xludf.DUMMYFUNCTION("ARRAYFORMULA(VLOOKUP(A1016,IMPORTRANGE(""https://docs.google.com/spreadsheets/d/1BuTWp7qHGjWhqrnf-OmePP568O4A5Am9ttzvVdP67zw/edit#gid=771602874"" ,""HUMAN RESOURCES!$A$2:$M$2692""), {2,3,4,5,6,7,8,9,10,11,12,13},0))"),0.022)</f>
        <v>0.022</v>
      </c>
      <c r="Q1016" s="14">
        <f>IFERROR(__xludf.DUMMYFUNCTION("""COMPUTED_VALUE"""),0.039)</f>
        <v>0.039</v>
      </c>
      <c r="R1016" s="14">
        <f>IFERROR(__xludf.DUMMYFUNCTION("""COMPUTED_VALUE"""),67.0)</f>
        <v>67</v>
      </c>
      <c r="S1016" s="14">
        <f>IFERROR(__xludf.DUMMYFUNCTION("""COMPUTED_VALUE"""),60.0)</f>
        <v>60</v>
      </c>
      <c r="T1016" s="14">
        <f>IFERROR(__xludf.DUMMYFUNCTION("""COMPUTED_VALUE"""),0.354)</f>
        <v>0.354</v>
      </c>
      <c r="U1016" s="14">
        <f>IFERROR(__xludf.DUMMYFUNCTION("""COMPUTED_VALUE"""),0.602)</f>
        <v>0.602</v>
      </c>
      <c r="V1016" s="14">
        <f>IFERROR(__xludf.DUMMYFUNCTION("""COMPUTED_VALUE"""),0.045)</f>
        <v>0.045</v>
      </c>
      <c r="W1016" s="14">
        <f>IFERROR(__xludf.DUMMYFUNCTION("""COMPUTED_VALUE"""),744471.0)</f>
        <v>744471</v>
      </c>
      <c r="X1016" s="14">
        <f>IFERROR(__xludf.DUMMYFUNCTION("""COMPUTED_VALUE"""),0.287)</f>
        <v>0.287</v>
      </c>
      <c r="Y1016" s="14" t="str">
        <f>IFERROR(__xludf.DUMMYFUNCTION("""COMPUTED_VALUE"""),"Guyana-The Americas")</f>
        <v>Guyana-The Americas</v>
      </c>
      <c r="Z1016" s="14" t="str">
        <f>IFERROR(__xludf.DUMMYFUNCTION("""COMPUTED_VALUE"""),"The Americas")</f>
        <v>The Americas</v>
      </c>
      <c r="AA1016" s="14" t="str">
        <f>IFERROR(__xludf.DUMMYFUNCTION("""COMPUTED_VALUE"""),"2000")</f>
        <v>2000</v>
      </c>
      <c r="AB1016" s="15" t="str">
        <f>IFERROR(__xludf.DUMMYFUNCTION("ARRAYFORMULA(VLOOKUP(A1016,IMPORTRANGE(""https://docs.google.com/spreadsheets/d/1BuTWp7qHGjWhqrnf-OmePP568O4A5Am9ttzvVdP67zw/edit#gid=1931367683"" ,""ENERGY!$A$2:$F$2692""), {2,3,4,5,6},0))"),"The Americas")</f>
        <v>The Americas</v>
      </c>
      <c r="AC1016" s="14" t="str">
        <f>IFERROR(__xludf.DUMMYFUNCTION("""COMPUTED_VALUE"""),"Guyana-The Americas")</f>
        <v>Guyana-The Americas</v>
      </c>
      <c r="AD1016" s="14" t="str">
        <f>IFERROR(__xludf.DUMMYFUNCTION("""COMPUTED_VALUE"""),"2000")</f>
        <v>2000</v>
      </c>
      <c r="AE1016" s="14"/>
      <c r="AF1016" s="14"/>
    </row>
    <row r="1017">
      <c r="A1017" s="12">
        <v>1016.0</v>
      </c>
      <c r="B1017" s="12" t="s">
        <v>157</v>
      </c>
      <c r="C1017" s="5" t="s">
        <v>84</v>
      </c>
      <c r="D1017" s="8"/>
      <c r="E1017" s="8"/>
      <c r="F1017" s="8"/>
      <c r="G1017" s="8"/>
      <c r="H1017" s="11">
        <v>0.132</v>
      </c>
      <c r="I1017" s="11">
        <v>0.101</v>
      </c>
      <c r="J1017" s="9" t="s">
        <v>62</v>
      </c>
      <c r="K1017" s="14" t="str">
        <f>IFERROR(__xludf.DUMMYFUNCTION("ARRAYFORMULA(VLOOKUP(A1017,IMPORTRANGE(""https://docs.google.com/spreadsheets/d/1BuTWp7qHGjWhqrnf-OmePP568O4A5Am9ttzvVdP67zw/edit#gid=1603210130"", ""TOURISM!$A$2:$F$2692""), {2,3,4,5,6},0))"),"The Americas")</f>
        <v>The Americas</v>
      </c>
      <c r="L1017" s="14">
        <f>IFERROR(__xludf.DUMMYFUNCTION("""COMPUTED_VALUE"""),6.5E7)</f>
        <v>65000000</v>
      </c>
      <c r="M1017" s="14" t="str">
        <f>IFERROR(__xludf.DUMMYFUNCTION("""COMPUTED_VALUE"""),"Guyana-The Americas")</f>
        <v>Guyana-The Americas</v>
      </c>
      <c r="N1017" s="14" t="str">
        <f>IFERROR(__xludf.DUMMYFUNCTION("""COMPUTED_VALUE"""),"2001")</f>
        <v>2001</v>
      </c>
      <c r="O1017" s="14">
        <f>IFERROR(__xludf.DUMMYFUNCTION("""COMPUTED_VALUE"""),6.2E7)</f>
        <v>62000000</v>
      </c>
      <c r="P1017" s="15">
        <f>IFERROR(__xludf.DUMMYFUNCTION("ARRAYFORMULA(VLOOKUP(A1017,IMPORTRANGE(""https://docs.google.com/spreadsheets/d/1BuTWp7qHGjWhqrnf-OmePP568O4A5Am9ttzvVdP67zw/edit#gid=771602874"" ,""HUMAN RESOURCES!$A$2:$M$2692""), {2,3,4,5,6,7,8,9,10,11,12,13},0))"),0.022)</f>
        <v>0.022</v>
      </c>
      <c r="Q1017" s="14">
        <f>IFERROR(__xludf.DUMMYFUNCTION("""COMPUTED_VALUE"""),0.038)</f>
        <v>0.038</v>
      </c>
      <c r="R1017" s="14">
        <f>IFERROR(__xludf.DUMMYFUNCTION("""COMPUTED_VALUE"""),67.0)</f>
        <v>67</v>
      </c>
      <c r="S1017" s="14">
        <f>IFERROR(__xludf.DUMMYFUNCTION("""COMPUTED_VALUE"""),60.0)</f>
        <v>60</v>
      </c>
      <c r="T1017" s="14">
        <f>IFERROR(__xludf.DUMMYFUNCTION("""COMPUTED_VALUE"""),0.356)</f>
        <v>0.356</v>
      </c>
      <c r="U1017" s="14">
        <f>IFERROR(__xludf.DUMMYFUNCTION("""COMPUTED_VALUE"""),0.601)</f>
        <v>0.601</v>
      </c>
      <c r="V1017" s="14">
        <f>IFERROR(__xludf.DUMMYFUNCTION("""COMPUTED_VALUE"""),0.044)</f>
        <v>0.044</v>
      </c>
      <c r="W1017" s="14">
        <f>IFERROR(__xludf.DUMMYFUNCTION("""COMPUTED_VALUE"""),747657.0)</f>
        <v>747657</v>
      </c>
      <c r="X1017" s="14">
        <f>IFERROR(__xludf.DUMMYFUNCTION("""COMPUTED_VALUE"""),0.286)</f>
        <v>0.286</v>
      </c>
      <c r="Y1017" s="14" t="str">
        <f>IFERROR(__xludf.DUMMYFUNCTION("""COMPUTED_VALUE"""),"Guyana-The Americas")</f>
        <v>Guyana-The Americas</v>
      </c>
      <c r="Z1017" s="14" t="str">
        <f>IFERROR(__xludf.DUMMYFUNCTION("""COMPUTED_VALUE"""),"The Americas")</f>
        <v>The Americas</v>
      </c>
      <c r="AA1017" s="14" t="str">
        <f>IFERROR(__xludf.DUMMYFUNCTION("""COMPUTED_VALUE"""),"2001")</f>
        <v>2001</v>
      </c>
      <c r="AB1017" s="15" t="str">
        <f>IFERROR(__xludf.DUMMYFUNCTION("ARRAYFORMULA(VLOOKUP(A1017,IMPORTRANGE(""https://docs.google.com/spreadsheets/d/1BuTWp7qHGjWhqrnf-OmePP568O4A5Am9ttzvVdP67zw/edit#gid=1931367683"" ,""ENERGY!$A$2:$F$2692""), {2,3,4,5,6},0))"),"The Americas")</f>
        <v>The Americas</v>
      </c>
      <c r="AC1017" s="14" t="str">
        <f>IFERROR(__xludf.DUMMYFUNCTION("""COMPUTED_VALUE"""),"Guyana-The Americas")</f>
        <v>Guyana-The Americas</v>
      </c>
      <c r="AD1017" s="14" t="str">
        <f>IFERROR(__xludf.DUMMYFUNCTION("""COMPUTED_VALUE"""),"2001")</f>
        <v>2001</v>
      </c>
      <c r="AE1017" s="14"/>
      <c r="AF1017" s="14"/>
    </row>
    <row r="1018">
      <c r="A1018" s="12">
        <v>1017.0</v>
      </c>
      <c r="B1018" s="12" t="s">
        <v>157</v>
      </c>
      <c r="C1018" s="5" t="s">
        <v>84</v>
      </c>
      <c r="D1018" s="8"/>
      <c r="E1018" s="8"/>
      <c r="F1018" s="8"/>
      <c r="G1018" s="8"/>
      <c r="H1018" s="8"/>
      <c r="I1018" s="11">
        <v>0.106</v>
      </c>
      <c r="J1018" s="9" t="s">
        <v>63</v>
      </c>
      <c r="K1018" s="14" t="str">
        <f>IFERROR(__xludf.DUMMYFUNCTION("ARRAYFORMULA(VLOOKUP(A1018,IMPORTRANGE(""https://docs.google.com/spreadsheets/d/1BuTWp7qHGjWhqrnf-OmePP568O4A5Am9ttzvVdP67zw/edit#gid=1603210130"", ""TOURISM!$A$2:$F$2692""), {2,3,4,5,6},0))"),"The Americas")</f>
        <v>The Americas</v>
      </c>
      <c r="L1018" s="14">
        <f>IFERROR(__xludf.DUMMYFUNCTION("""COMPUTED_VALUE"""),5.3E7)</f>
        <v>53000000</v>
      </c>
      <c r="M1018" s="14" t="str">
        <f>IFERROR(__xludf.DUMMYFUNCTION("""COMPUTED_VALUE"""),"Guyana-The Americas")</f>
        <v>Guyana-The Americas</v>
      </c>
      <c r="N1018" s="14" t="str">
        <f>IFERROR(__xludf.DUMMYFUNCTION("""COMPUTED_VALUE"""),"2002")</f>
        <v>2002</v>
      </c>
      <c r="O1018" s="14">
        <f>IFERROR(__xludf.DUMMYFUNCTION("""COMPUTED_VALUE"""),4.4E7)</f>
        <v>44000000</v>
      </c>
      <c r="P1018" s="15">
        <f>IFERROR(__xludf.DUMMYFUNCTION("ARRAYFORMULA(VLOOKUP(A1018,IMPORTRANGE(""https://docs.google.com/spreadsheets/d/1BuTWp7qHGjWhqrnf-OmePP568O4A5Am9ttzvVdP67zw/edit#gid=771602874"" ,""HUMAN RESOURCES!$A$2:$M$2692""), {2,3,4,5,6,7,8,9,10,11,12,13},0))"),0.022)</f>
        <v>0.022</v>
      </c>
      <c r="Q1018" s="14">
        <f>IFERROR(__xludf.DUMMYFUNCTION("""COMPUTED_VALUE"""),0.037)</f>
        <v>0.037</v>
      </c>
      <c r="R1018" s="14">
        <f>IFERROR(__xludf.DUMMYFUNCTION("""COMPUTED_VALUE"""),67.0)</f>
        <v>67</v>
      </c>
      <c r="S1018" s="14">
        <f>IFERROR(__xludf.DUMMYFUNCTION("""COMPUTED_VALUE"""),60.0)</f>
        <v>60</v>
      </c>
      <c r="T1018" s="14">
        <f>IFERROR(__xludf.DUMMYFUNCTION("""COMPUTED_VALUE"""),0.358)</f>
        <v>0.358</v>
      </c>
      <c r="U1018" s="14">
        <f>IFERROR(__xludf.DUMMYFUNCTION("""COMPUTED_VALUE"""),0.6)</f>
        <v>0.6</v>
      </c>
      <c r="V1018" s="14">
        <f>IFERROR(__xludf.DUMMYFUNCTION("""COMPUTED_VALUE"""),0.042)</f>
        <v>0.042</v>
      </c>
      <c r="W1018" s="14">
        <f>IFERROR(__xludf.DUMMYFUNCTION("""COMPUTED_VALUE"""),750629.0)</f>
        <v>750629</v>
      </c>
      <c r="X1018" s="14">
        <f>IFERROR(__xludf.DUMMYFUNCTION("""COMPUTED_VALUE"""),0.285)</f>
        <v>0.285</v>
      </c>
      <c r="Y1018" s="14" t="str">
        <f>IFERROR(__xludf.DUMMYFUNCTION("""COMPUTED_VALUE"""),"Guyana-The Americas")</f>
        <v>Guyana-The Americas</v>
      </c>
      <c r="Z1018" s="14" t="str">
        <f>IFERROR(__xludf.DUMMYFUNCTION("""COMPUTED_VALUE"""),"The Americas")</f>
        <v>The Americas</v>
      </c>
      <c r="AA1018" s="14" t="str">
        <f>IFERROR(__xludf.DUMMYFUNCTION("""COMPUTED_VALUE"""),"2002")</f>
        <v>2002</v>
      </c>
      <c r="AB1018" s="15" t="str">
        <f>IFERROR(__xludf.DUMMYFUNCTION("ARRAYFORMULA(VLOOKUP(A1018,IMPORTRANGE(""https://docs.google.com/spreadsheets/d/1BuTWp7qHGjWhqrnf-OmePP568O4A5Am9ttzvVdP67zw/edit#gid=1931367683"" ,""ENERGY!$A$2:$F$2692""), {2,3,4,5,6},0))"),"The Americas")</f>
        <v>The Americas</v>
      </c>
      <c r="AC1018" s="14" t="str">
        <f>IFERROR(__xludf.DUMMYFUNCTION("""COMPUTED_VALUE"""),"Guyana-The Americas")</f>
        <v>Guyana-The Americas</v>
      </c>
      <c r="AD1018" s="14" t="str">
        <f>IFERROR(__xludf.DUMMYFUNCTION("""COMPUTED_VALUE"""),"2002")</f>
        <v>2002</v>
      </c>
      <c r="AE1018" s="14"/>
      <c r="AF1018" s="14">
        <f>IFERROR(__xludf.DUMMYFUNCTION("""COMPUTED_VALUE"""),1701.0)</f>
        <v>1701</v>
      </c>
    </row>
    <row r="1019">
      <c r="A1019" s="12">
        <v>1018.0</v>
      </c>
      <c r="B1019" s="12" t="s">
        <v>157</v>
      </c>
      <c r="C1019" s="5" t="s">
        <v>84</v>
      </c>
      <c r="D1019" s="8"/>
      <c r="E1019" s="8"/>
      <c r="F1019" s="8"/>
      <c r="G1019" s="8"/>
      <c r="H1019" s="8"/>
      <c r="I1019" s="11">
        <v>0.183</v>
      </c>
      <c r="J1019" s="9" t="s">
        <v>64</v>
      </c>
      <c r="K1019" s="14" t="str">
        <f>IFERROR(__xludf.DUMMYFUNCTION("ARRAYFORMULA(VLOOKUP(A1019,IMPORTRANGE(""https://docs.google.com/spreadsheets/d/1BuTWp7qHGjWhqrnf-OmePP568O4A5Am9ttzvVdP67zw/edit#gid=1603210130"", ""TOURISM!$A$2:$F$2692""), {2,3,4,5,6},0))"),"The Americas")</f>
        <v>The Americas</v>
      </c>
      <c r="L1019" s="14">
        <f>IFERROR(__xludf.DUMMYFUNCTION("""COMPUTED_VALUE"""),2.8E7)</f>
        <v>28000000</v>
      </c>
      <c r="M1019" s="14" t="str">
        <f>IFERROR(__xludf.DUMMYFUNCTION("""COMPUTED_VALUE"""),"Guyana-The Americas")</f>
        <v>Guyana-The Americas</v>
      </c>
      <c r="N1019" s="14" t="str">
        <f>IFERROR(__xludf.DUMMYFUNCTION("""COMPUTED_VALUE"""),"2003")</f>
        <v>2003</v>
      </c>
      <c r="O1019" s="14">
        <f>IFERROR(__xludf.DUMMYFUNCTION("""COMPUTED_VALUE"""),3.0E7)</f>
        <v>30000000</v>
      </c>
      <c r="P1019" s="15">
        <f>IFERROR(__xludf.DUMMYFUNCTION("ARRAYFORMULA(VLOOKUP(A1019,IMPORTRANGE(""https://docs.google.com/spreadsheets/d/1BuTWp7qHGjWhqrnf-OmePP568O4A5Am9ttzvVdP67zw/edit#gid=771602874"" ,""HUMAN RESOURCES!$A$2:$M$2692""), {2,3,4,5,6,7,8,9,10,11,12,13},0))"),0.022)</f>
        <v>0.022</v>
      </c>
      <c r="Q1019" s="14">
        <f>IFERROR(__xludf.DUMMYFUNCTION("""COMPUTED_VALUE"""),0.037)</f>
        <v>0.037</v>
      </c>
      <c r="R1019" s="14">
        <f>IFERROR(__xludf.DUMMYFUNCTION("""COMPUTED_VALUE"""),68.0)</f>
        <v>68</v>
      </c>
      <c r="S1019" s="14">
        <f>IFERROR(__xludf.DUMMYFUNCTION("""COMPUTED_VALUE"""),61.0)</f>
        <v>61</v>
      </c>
      <c r="T1019" s="14">
        <f>IFERROR(__xludf.DUMMYFUNCTION("""COMPUTED_VALUE"""),0.36)</f>
        <v>0.36</v>
      </c>
      <c r="U1019" s="14">
        <f>IFERROR(__xludf.DUMMYFUNCTION("""COMPUTED_VALUE"""),0.599)</f>
        <v>0.599</v>
      </c>
      <c r="V1019" s="14">
        <f>IFERROR(__xludf.DUMMYFUNCTION("""COMPUTED_VALUE"""),0.041)</f>
        <v>0.041</v>
      </c>
      <c r="W1019" s="14">
        <f>IFERROR(__xludf.DUMMYFUNCTION("""COMPUTED_VALUE"""),753612.0)</f>
        <v>753612</v>
      </c>
      <c r="X1019" s="14">
        <f>IFERROR(__xludf.DUMMYFUNCTION("""COMPUTED_VALUE"""),0.284)</f>
        <v>0.284</v>
      </c>
      <c r="Y1019" s="14" t="str">
        <f>IFERROR(__xludf.DUMMYFUNCTION("""COMPUTED_VALUE"""),"Guyana-The Americas")</f>
        <v>Guyana-The Americas</v>
      </c>
      <c r="Z1019" s="14" t="str">
        <f>IFERROR(__xludf.DUMMYFUNCTION("""COMPUTED_VALUE"""),"The Americas")</f>
        <v>The Americas</v>
      </c>
      <c r="AA1019" s="14" t="str">
        <f>IFERROR(__xludf.DUMMYFUNCTION("""COMPUTED_VALUE"""),"2003")</f>
        <v>2003</v>
      </c>
      <c r="AB1019" s="15" t="str">
        <f>IFERROR(__xludf.DUMMYFUNCTION("ARRAYFORMULA(VLOOKUP(A1019,IMPORTRANGE(""https://docs.google.com/spreadsheets/d/1BuTWp7qHGjWhqrnf-OmePP568O4A5Am9ttzvVdP67zw/edit#gid=1931367683"" ,""ENERGY!$A$2:$F$2692""), {2,3,4,5,6},0))"),"The Americas")</f>
        <v>The Americas</v>
      </c>
      <c r="AC1019" s="14" t="str">
        <f>IFERROR(__xludf.DUMMYFUNCTION("""COMPUTED_VALUE"""),"Guyana-The Americas")</f>
        <v>Guyana-The Americas</v>
      </c>
      <c r="AD1019" s="14" t="str">
        <f>IFERROR(__xludf.DUMMYFUNCTION("""COMPUTED_VALUE"""),"2003")</f>
        <v>2003</v>
      </c>
      <c r="AE1019" s="14"/>
      <c r="AF1019" s="14">
        <f>IFERROR(__xludf.DUMMYFUNCTION("""COMPUTED_VALUE"""),1555.0)</f>
        <v>1555</v>
      </c>
    </row>
    <row r="1020">
      <c r="A1020" s="12">
        <v>1019.0</v>
      </c>
      <c r="B1020" s="12" t="s">
        <v>157</v>
      </c>
      <c r="C1020" s="5" t="s">
        <v>84</v>
      </c>
      <c r="D1020" s="8"/>
      <c r="E1020" s="11">
        <v>46.0</v>
      </c>
      <c r="F1020" s="8"/>
      <c r="G1020" s="8"/>
      <c r="H1020" s="8"/>
      <c r="I1020" s="11">
        <v>0.227</v>
      </c>
      <c r="J1020" s="9" t="s">
        <v>65</v>
      </c>
      <c r="K1020" s="14" t="str">
        <f>IFERROR(__xludf.DUMMYFUNCTION("ARRAYFORMULA(VLOOKUP(A1020,IMPORTRANGE(""https://docs.google.com/spreadsheets/d/1BuTWp7qHGjWhqrnf-OmePP568O4A5Am9ttzvVdP67zw/edit#gid=1603210130"", ""TOURISM!$A$2:$F$2692""), {2,3,4,5,6},0))"),"The Americas")</f>
        <v>The Americas</v>
      </c>
      <c r="L1020" s="14">
        <f>IFERROR(__xludf.DUMMYFUNCTION("""COMPUTED_VALUE"""),2.7E7)</f>
        <v>27000000</v>
      </c>
      <c r="M1020" s="14" t="str">
        <f>IFERROR(__xludf.DUMMYFUNCTION("""COMPUTED_VALUE"""),"Guyana-The Americas")</f>
        <v>Guyana-The Americas</v>
      </c>
      <c r="N1020" s="14" t="str">
        <f>IFERROR(__xludf.DUMMYFUNCTION("""COMPUTED_VALUE"""),"2004")</f>
        <v>2004</v>
      </c>
      <c r="O1020" s="14">
        <f>IFERROR(__xludf.DUMMYFUNCTION("""COMPUTED_VALUE"""),3.0E7)</f>
        <v>30000000</v>
      </c>
      <c r="P1020" s="15">
        <f>IFERROR(__xludf.DUMMYFUNCTION("ARRAYFORMULA(VLOOKUP(A1020,IMPORTRANGE(""https://docs.google.com/spreadsheets/d/1BuTWp7qHGjWhqrnf-OmePP568O4A5Am9ttzvVdP67zw/edit#gid=771602874"" ,""HUMAN RESOURCES!$A$2:$M$2692""), {2,3,4,5,6,7,8,9,10,11,12,13},0))"),0.022)</f>
        <v>0.022</v>
      </c>
      <c r="Q1020" s="14">
        <f>IFERROR(__xludf.DUMMYFUNCTION("""COMPUTED_VALUE"""),0.036)</f>
        <v>0.036</v>
      </c>
      <c r="R1020" s="14">
        <f>IFERROR(__xludf.DUMMYFUNCTION("""COMPUTED_VALUE"""),68.0)</f>
        <v>68</v>
      </c>
      <c r="S1020" s="14">
        <f>IFERROR(__xludf.DUMMYFUNCTION("""COMPUTED_VALUE"""),61.0)</f>
        <v>61</v>
      </c>
      <c r="T1020" s="14">
        <f>IFERROR(__xludf.DUMMYFUNCTION("""COMPUTED_VALUE"""),0.363)</f>
        <v>0.363</v>
      </c>
      <c r="U1020" s="14">
        <f>IFERROR(__xludf.DUMMYFUNCTION("""COMPUTED_VALUE"""),0.598)</f>
        <v>0.598</v>
      </c>
      <c r="V1020" s="14">
        <f>IFERROR(__xludf.DUMMYFUNCTION("""COMPUTED_VALUE"""),0.039)</f>
        <v>0.039</v>
      </c>
      <c r="W1020" s="14">
        <f>IFERROR(__xludf.DUMMYFUNCTION("""COMPUTED_VALUE"""),756939.0)</f>
        <v>756939</v>
      </c>
      <c r="X1020" s="14">
        <f>IFERROR(__xludf.DUMMYFUNCTION("""COMPUTED_VALUE"""),0.284)</f>
        <v>0.284</v>
      </c>
      <c r="Y1020" s="14" t="str">
        <f>IFERROR(__xludf.DUMMYFUNCTION("""COMPUTED_VALUE"""),"Guyana-The Americas")</f>
        <v>Guyana-The Americas</v>
      </c>
      <c r="Z1020" s="14" t="str">
        <f>IFERROR(__xludf.DUMMYFUNCTION("""COMPUTED_VALUE"""),"The Americas")</f>
        <v>The Americas</v>
      </c>
      <c r="AA1020" s="14" t="str">
        <f>IFERROR(__xludf.DUMMYFUNCTION("""COMPUTED_VALUE"""),"2004")</f>
        <v>2004</v>
      </c>
      <c r="AB1020" s="15" t="str">
        <f>IFERROR(__xludf.DUMMYFUNCTION("ARRAYFORMULA(VLOOKUP(A1020,IMPORTRANGE(""https://docs.google.com/spreadsheets/d/1BuTWp7qHGjWhqrnf-OmePP568O4A5Am9ttzvVdP67zw/edit#gid=1931367683"" ,""ENERGY!$A$2:$F$2692""), {2,3,4,5,6},0))"),"The Americas")</f>
        <v>The Americas</v>
      </c>
      <c r="AC1020" s="14" t="str">
        <f>IFERROR(__xludf.DUMMYFUNCTION("""COMPUTED_VALUE"""),"Guyana-The Americas")</f>
        <v>Guyana-The Americas</v>
      </c>
      <c r="AD1020" s="14" t="str">
        <f>IFERROR(__xludf.DUMMYFUNCTION("""COMPUTED_VALUE"""),"2004")</f>
        <v>2004</v>
      </c>
      <c r="AE1020" s="14"/>
      <c r="AF1020" s="14">
        <f>IFERROR(__xludf.DUMMYFUNCTION("""COMPUTED_VALUE"""),1558.0)</f>
        <v>1558</v>
      </c>
    </row>
    <row r="1021">
      <c r="A1021" s="12">
        <v>1020.0</v>
      </c>
      <c r="B1021" s="12" t="s">
        <v>157</v>
      </c>
      <c r="C1021" s="5" t="s">
        <v>84</v>
      </c>
      <c r="D1021" s="11">
        <v>0.39</v>
      </c>
      <c r="E1021" s="11">
        <v>42.0</v>
      </c>
      <c r="F1021" s="8"/>
      <c r="G1021" s="11">
        <v>288.0</v>
      </c>
      <c r="H1021" s="8"/>
      <c r="I1021" s="11">
        <v>0.37</v>
      </c>
      <c r="J1021" s="9" t="s">
        <v>66</v>
      </c>
      <c r="K1021" s="14" t="str">
        <f>IFERROR(__xludf.DUMMYFUNCTION("ARRAYFORMULA(VLOOKUP(A1021,IMPORTRANGE(""https://docs.google.com/spreadsheets/d/1BuTWp7qHGjWhqrnf-OmePP568O4A5Am9ttzvVdP67zw/edit#gid=1603210130"", ""TOURISM!$A$2:$F$2692""), {2,3,4,5,6},0))"),"The Americas")</f>
        <v>The Americas</v>
      </c>
      <c r="L1021" s="14">
        <f>IFERROR(__xludf.DUMMYFUNCTION("""COMPUTED_VALUE"""),3.5E7)</f>
        <v>35000000</v>
      </c>
      <c r="M1021" s="14" t="str">
        <f>IFERROR(__xludf.DUMMYFUNCTION("""COMPUTED_VALUE"""),"Guyana-The Americas")</f>
        <v>Guyana-The Americas</v>
      </c>
      <c r="N1021" s="14" t="str">
        <f>IFERROR(__xludf.DUMMYFUNCTION("""COMPUTED_VALUE"""),"2005")</f>
        <v>2005</v>
      </c>
      <c r="O1021" s="14">
        <f>IFERROR(__xludf.DUMMYFUNCTION("""COMPUTED_VALUE"""),4.0E7)</f>
        <v>40000000</v>
      </c>
      <c r="P1021" s="15">
        <f>IFERROR(__xludf.DUMMYFUNCTION("ARRAYFORMULA(VLOOKUP(A1021,IMPORTRANGE(""https://docs.google.com/spreadsheets/d/1BuTWp7qHGjWhqrnf-OmePP568O4A5Am9ttzvVdP67zw/edit#gid=771602874"" ,""HUMAN RESOURCES!$A$2:$M$2692""), {2,3,4,5,6,7,8,9,10,11,12,13},0))"),0.022)</f>
        <v>0.022</v>
      </c>
      <c r="Q1021" s="14">
        <f>IFERROR(__xludf.DUMMYFUNCTION("""COMPUTED_VALUE"""),0.036)</f>
        <v>0.036</v>
      </c>
      <c r="R1021" s="14">
        <f>IFERROR(__xludf.DUMMYFUNCTION("""COMPUTED_VALUE"""),68.0)</f>
        <v>68</v>
      </c>
      <c r="S1021" s="14">
        <f>IFERROR(__xludf.DUMMYFUNCTION("""COMPUTED_VALUE"""),62.0)</f>
        <v>62</v>
      </c>
      <c r="T1021" s="14">
        <f>IFERROR(__xludf.DUMMYFUNCTION("""COMPUTED_VALUE"""),0.366)</f>
        <v>0.366</v>
      </c>
      <c r="U1021" s="14">
        <f>IFERROR(__xludf.DUMMYFUNCTION("""COMPUTED_VALUE"""),0.596)</f>
        <v>0.596</v>
      </c>
      <c r="V1021" s="14">
        <f>IFERROR(__xludf.DUMMYFUNCTION("""COMPUTED_VALUE"""),0.038)</f>
        <v>0.038</v>
      </c>
      <c r="W1021" s="14">
        <f>IFERROR(__xludf.DUMMYFUNCTION("""COMPUTED_VALUE"""),760834.0)</f>
        <v>760834</v>
      </c>
      <c r="X1021" s="14">
        <f>IFERROR(__xludf.DUMMYFUNCTION("""COMPUTED_VALUE"""),0.283)</f>
        <v>0.283</v>
      </c>
      <c r="Y1021" s="14" t="str">
        <f>IFERROR(__xludf.DUMMYFUNCTION("""COMPUTED_VALUE"""),"Guyana-The Americas")</f>
        <v>Guyana-The Americas</v>
      </c>
      <c r="Z1021" s="14" t="str">
        <f>IFERROR(__xludf.DUMMYFUNCTION("""COMPUTED_VALUE"""),"The Americas")</f>
        <v>The Americas</v>
      </c>
      <c r="AA1021" s="14" t="str">
        <f>IFERROR(__xludf.DUMMYFUNCTION("""COMPUTED_VALUE"""),"2005")</f>
        <v>2005</v>
      </c>
      <c r="AB1021" s="15" t="str">
        <f>IFERROR(__xludf.DUMMYFUNCTION("ARRAYFORMULA(VLOOKUP(A1021,IMPORTRANGE(""https://docs.google.com/spreadsheets/d/1BuTWp7qHGjWhqrnf-OmePP568O4A5Am9ttzvVdP67zw/edit#gid=1931367683"" ,""ENERGY!$A$2:$F$2692""), {2,3,4,5,6},0))"),"The Americas")</f>
        <v>The Americas</v>
      </c>
      <c r="AC1021" s="14" t="str">
        <f>IFERROR(__xludf.DUMMYFUNCTION("""COMPUTED_VALUE"""),"Guyana-The Americas")</f>
        <v>Guyana-The Americas</v>
      </c>
      <c r="AD1021" s="14" t="str">
        <f>IFERROR(__xludf.DUMMYFUNCTION("""COMPUTED_VALUE"""),"2007")</f>
        <v>2007</v>
      </c>
      <c r="AE1021" s="14">
        <f>IFERROR(__xludf.DUMMYFUNCTION("""COMPUTED_VALUE"""),500.0)</f>
        <v>500</v>
      </c>
      <c r="AF1021" s="14">
        <f>IFERROR(__xludf.DUMMYFUNCTION("""COMPUTED_VALUE"""),1566.0)</f>
        <v>1566</v>
      </c>
    </row>
    <row r="1022">
      <c r="A1022" s="12">
        <v>1021.0</v>
      </c>
      <c r="B1022" s="12" t="s">
        <v>157</v>
      </c>
      <c r="C1022" s="5" t="s">
        <v>84</v>
      </c>
      <c r="D1022" s="11">
        <v>0.39</v>
      </c>
      <c r="E1022" s="11">
        <v>41.0</v>
      </c>
      <c r="F1022" s="8"/>
      <c r="G1022" s="11">
        <v>288.0</v>
      </c>
      <c r="H1022" s="8"/>
      <c r="I1022" s="11">
        <v>0.523</v>
      </c>
      <c r="J1022" s="9" t="s">
        <v>67</v>
      </c>
      <c r="K1022" s="14" t="str">
        <f>IFERROR(__xludf.DUMMYFUNCTION("ARRAYFORMULA(VLOOKUP(A1022,IMPORTRANGE(""https://docs.google.com/spreadsheets/d/1BuTWp7qHGjWhqrnf-OmePP568O4A5Am9ttzvVdP67zw/edit#gid=1603210130"", ""TOURISM!$A$2:$F$2692""), {2,3,4,5,6},0))"),"The Americas")</f>
        <v>The Americas</v>
      </c>
      <c r="L1022" s="14">
        <f>IFERROR(__xludf.DUMMYFUNCTION("""COMPUTED_VALUE"""),3.7E7)</f>
        <v>37000000</v>
      </c>
      <c r="M1022" s="14" t="str">
        <f>IFERROR(__xludf.DUMMYFUNCTION("""COMPUTED_VALUE"""),"Guyana-The Americas")</f>
        <v>Guyana-The Americas</v>
      </c>
      <c r="N1022" s="14" t="str">
        <f>IFERROR(__xludf.DUMMYFUNCTION("""COMPUTED_VALUE"""),"2006")</f>
        <v>2006</v>
      </c>
      <c r="O1022" s="14">
        <f>IFERROR(__xludf.DUMMYFUNCTION("""COMPUTED_VALUE"""),4.9E7)</f>
        <v>49000000</v>
      </c>
      <c r="P1022" s="15">
        <f>IFERROR(__xludf.DUMMYFUNCTION("ARRAYFORMULA(VLOOKUP(A1022,IMPORTRANGE(""https://docs.google.com/spreadsheets/d/1BuTWp7qHGjWhqrnf-OmePP568O4A5Am9ttzvVdP67zw/edit#gid=771602874"" ,""HUMAN RESOURCES!$A$2:$M$2692""), {2,3,4,5,6,7,8,9,10,11,12,13},0))"),0.022)</f>
        <v>0.022</v>
      </c>
      <c r="Q1022" s="14">
        <f>IFERROR(__xludf.DUMMYFUNCTION("""COMPUTED_VALUE"""),0.035)</f>
        <v>0.035</v>
      </c>
      <c r="R1022" s="14">
        <f>IFERROR(__xludf.DUMMYFUNCTION("""COMPUTED_VALUE"""),68.0)</f>
        <v>68</v>
      </c>
      <c r="S1022" s="14">
        <f>IFERROR(__xludf.DUMMYFUNCTION("""COMPUTED_VALUE"""),62.0)</f>
        <v>62</v>
      </c>
      <c r="T1022" s="14">
        <f>IFERROR(__xludf.DUMMYFUNCTION("""COMPUTED_VALUE"""),0.369)</f>
        <v>0.369</v>
      </c>
      <c r="U1022" s="14">
        <f>IFERROR(__xludf.DUMMYFUNCTION("""COMPUTED_VALUE"""),0.594)</f>
        <v>0.594</v>
      </c>
      <c r="V1022" s="14">
        <f>IFERROR(__xludf.DUMMYFUNCTION("""COMPUTED_VALUE"""),0.037)</f>
        <v>0.037</v>
      </c>
      <c r="W1022" s="14">
        <f>IFERROR(__xludf.DUMMYFUNCTION("""COMPUTED_VALUE"""),765367.0)</f>
        <v>765367</v>
      </c>
      <c r="X1022" s="14">
        <f>IFERROR(__xludf.DUMMYFUNCTION("""COMPUTED_VALUE"""),0.283)</f>
        <v>0.283</v>
      </c>
      <c r="Y1022" s="14" t="str">
        <f>IFERROR(__xludf.DUMMYFUNCTION("""COMPUTED_VALUE"""),"Guyana-The Americas")</f>
        <v>Guyana-The Americas</v>
      </c>
      <c r="Z1022" s="14" t="str">
        <f>IFERROR(__xludf.DUMMYFUNCTION("""COMPUTED_VALUE"""),"The Americas")</f>
        <v>The Americas</v>
      </c>
      <c r="AA1022" s="14" t="str">
        <f>IFERROR(__xludf.DUMMYFUNCTION("""COMPUTED_VALUE"""),"2006")</f>
        <v>2006</v>
      </c>
      <c r="AB1022" s="15" t="str">
        <f>IFERROR(__xludf.DUMMYFUNCTION("ARRAYFORMULA(VLOOKUP(A1022,IMPORTRANGE(""https://docs.google.com/spreadsheets/d/1BuTWp7qHGjWhqrnf-OmePP568O4A5Am9ttzvVdP67zw/edit#gid=1931367683"" ,""ENERGY!$A$2:$F$2692""), {2,3,4,5,6},0))"),"The Americas")</f>
        <v>The Americas</v>
      </c>
      <c r="AC1022" s="14" t="str">
        <f>IFERROR(__xludf.DUMMYFUNCTION("""COMPUTED_VALUE"""),"Guyana-The Americas")</f>
        <v>Guyana-The Americas</v>
      </c>
      <c r="AD1022" s="14" t="str">
        <f>IFERROR(__xludf.DUMMYFUNCTION("""COMPUTED_VALUE"""),"2011")</f>
        <v>2011</v>
      </c>
      <c r="AE1022" s="14">
        <f>IFERROR(__xludf.DUMMYFUNCTION("""COMPUTED_VALUE"""),500.0)</f>
        <v>500</v>
      </c>
      <c r="AF1022" s="14">
        <f>IFERROR(__xludf.DUMMYFUNCTION("""COMPUTED_VALUE"""),1291.0)</f>
        <v>1291</v>
      </c>
    </row>
    <row r="1023">
      <c r="A1023" s="12">
        <v>1022.0</v>
      </c>
      <c r="B1023" s="12" t="s">
        <v>157</v>
      </c>
      <c r="C1023" s="5" t="s">
        <v>84</v>
      </c>
      <c r="D1023" s="11">
        <v>0.39</v>
      </c>
      <c r="E1023" s="11">
        <v>37.0</v>
      </c>
      <c r="F1023" s="8"/>
      <c r="G1023" s="11">
        <v>288.0</v>
      </c>
      <c r="H1023" s="11">
        <v>0.138</v>
      </c>
      <c r="I1023" s="11">
        <v>0.699</v>
      </c>
      <c r="J1023" s="9" t="s">
        <v>68</v>
      </c>
      <c r="K1023" s="14" t="str">
        <f>IFERROR(__xludf.DUMMYFUNCTION("ARRAYFORMULA(VLOOKUP(A1023,IMPORTRANGE(""https://docs.google.com/spreadsheets/d/1BuTWp7qHGjWhqrnf-OmePP568O4A5Am9ttzvVdP67zw/edit#gid=1603210130"", ""TOURISM!$A$2:$F$2692""), {2,3,4,5,6},0))"),"The Americas")</f>
        <v>The Americas</v>
      </c>
      <c r="L1023" s="14">
        <f>IFERROR(__xludf.DUMMYFUNCTION("""COMPUTED_VALUE"""),5.0E7)</f>
        <v>50000000</v>
      </c>
      <c r="M1023" s="14" t="str">
        <f>IFERROR(__xludf.DUMMYFUNCTION("""COMPUTED_VALUE"""),"Guyana-The Americas")</f>
        <v>Guyana-The Americas</v>
      </c>
      <c r="N1023" s="14" t="str">
        <f>IFERROR(__xludf.DUMMYFUNCTION("""COMPUTED_VALUE"""),"2007")</f>
        <v>2007</v>
      </c>
      <c r="O1023" s="14">
        <f>IFERROR(__xludf.DUMMYFUNCTION("""COMPUTED_VALUE"""),5.8E7)</f>
        <v>58000000</v>
      </c>
      <c r="P1023" s="15">
        <f>IFERROR(__xludf.DUMMYFUNCTION("ARRAYFORMULA(VLOOKUP(A1023,IMPORTRANGE(""https://docs.google.com/spreadsheets/d/1BuTWp7qHGjWhqrnf-OmePP568O4A5Am9ttzvVdP67zw/edit#gid=771602874"" ,""HUMAN RESOURCES!$A$2:$M$2692""), {2,3,4,5,6,7,8,9,10,11,12,13},0))"),0.022)</f>
        <v>0.022</v>
      </c>
      <c r="Q1023" s="14">
        <f>IFERROR(__xludf.DUMMYFUNCTION("""COMPUTED_VALUE"""),0.034)</f>
        <v>0.034</v>
      </c>
      <c r="R1023" s="14">
        <f>IFERROR(__xludf.DUMMYFUNCTION("""COMPUTED_VALUE"""),68.0)</f>
        <v>68</v>
      </c>
      <c r="S1023" s="14">
        <f>IFERROR(__xludf.DUMMYFUNCTION("""COMPUTED_VALUE"""),62.0)</f>
        <v>62</v>
      </c>
      <c r="T1023" s="14">
        <f>IFERROR(__xludf.DUMMYFUNCTION("""COMPUTED_VALUE"""),0.372)</f>
        <v>0.372</v>
      </c>
      <c r="U1023" s="14">
        <f>IFERROR(__xludf.DUMMYFUNCTION("""COMPUTED_VALUE"""),0.592)</f>
        <v>0.592</v>
      </c>
      <c r="V1023" s="14">
        <f>IFERROR(__xludf.DUMMYFUNCTION("""COMPUTED_VALUE"""),0.035)</f>
        <v>0.035</v>
      </c>
      <c r="W1023" s="14">
        <f>IFERROR(__xludf.DUMMYFUNCTION("""COMPUTED_VALUE"""),770407.0)</f>
        <v>770407</v>
      </c>
      <c r="X1023" s="14">
        <f>IFERROR(__xludf.DUMMYFUNCTION("""COMPUTED_VALUE"""),0.282)</f>
        <v>0.282</v>
      </c>
      <c r="Y1023" s="14" t="str">
        <f>IFERROR(__xludf.DUMMYFUNCTION("""COMPUTED_VALUE"""),"Guyana-The Americas")</f>
        <v>Guyana-The Americas</v>
      </c>
      <c r="Z1023" s="14" t="str">
        <f>IFERROR(__xludf.DUMMYFUNCTION("""COMPUTED_VALUE"""),"The Americas")</f>
        <v>The Americas</v>
      </c>
      <c r="AA1023" s="14" t="str">
        <f>IFERROR(__xludf.DUMMYFUNCTION("""COMPUTED_VALUE"""),"2007")</f>
        <v>2007</v>
      </c>
      <c r="AB1023" s="15" t="str">
        <f>IFERROR(__xludf.DUMMYFUNCTION("ARRAYFORMULA(VLOOKUP(A1023,IMPORTRANGE(""https://docs.google.com/spreadsheets/d/1BuTWp7qHGjWhqrnf-OmePP568O4A5Am9ttzvVdP67zw/edit#gid=1931367683"" ,""ENERGY!$A$2:$F$2692""), {2,3,4,5,6},0))"),"The Americas")</f>
        <v>The Americas</v>
      </c>
      <c r="AC1023" s="14" t="str">
        <f>IFERROR(__xludf.DUMMYFUNCTION("""COMPUTED_VALUE"""),"Guyana-The Americas")</f>
        <v>Guyana-The Americas</v>
      </c>
      <c r="AD1023" s="14" t="str">
        <f>IFERROR(__xludf.DUMMYFUNCTION("""COMPUTED_VALUE"""),"2008")</f>
        <v>2008</v>
      </c>
      <c r="AE1023" s="14">
        <f>IFERROR(__xludf.DUMMYFUNCTION("""COMPUTED_VALUE"""),495.0)</f>
        <v>495</v>
      </c>
      <c r="AF1023" s="14">
        <f>IFERROR(__xludf.DUMMYFUNCTION("""COMPUTED_VALUE"""),1434.0)</f>
        <v>1434</v>
      </c>
    </row>
    <row r="1024">
      <c r="A1024" s="12">
        <v>1023.0</v>
      </c>
      <c r="B1024" s="12" t="s">
        <v>157</v>
      </c>
      <c r="C1024" s="5" t="s">
        <v>84</v>
      </c>
      <c r="D1024" s="11">
        <v>0.39</v>
      </c>
      <c r="E1024" s="11">
        <v>39.0</v>
      </c>
      <c r="F1024" s="8"/>
      <c r="G1024" s="11">
        <v>288.0</v>
      </c>
      <c r="H1024" s="11">
        <v>0.182</v>
      </c>
      <c r="I1024" s="11">
        <v>0.577</v>
      </c>
      <c r="J1024" s="9" t="s">
        <v>69</v>
      </c>
      <c r="K1024" s="14" t="str">
        <f>IFERROR(__xludf.DUMMYFUNCTION("ARRAYFORMULA(VLOOKUP(A1024,IMPORTRANGE(""https://docs.google.com/spreadsheets/d/1BuTWp7qHGjWhqrnf-OmePP568O4A5Am9ttzvVdP67zw/edit#gid=1603210130"", ""TOURISM!$A$2:$F$2692""), {2,3,4,5,6},0))"),"The Americas")</f>
        <v>The Americas</v>
      </c>
      <c r="L1024" s="14">
        <f>IFERROR(__xludf.DUMMYFUNCTION("""COMPUTED_VALUE"""),5.9E7)</f>
        <v>59000000</v>
      </c>
      <c r="M1024" s="14" t="str">
        <f>IFERROR(__xludf.DUMMYFUNCTION("""COMPUTED_VALUE"""),"Guyana-The Americas")</f>
        <v>Guyana-The Americas</v>
      </c>
      <c r="N1024" s="14" t="str">
        <f>IFERROR(__xludf.DUMMYFUNCTION("""COMPUTED_VALUE"""),"2008")</f>
        <v>2008</v>
      </c>
      <c r="O1024" s="14">
        <f>IFERROR(__xludf.DUMMYFUNCTION("""COMPUTED_VALUE"""),5.2E7)</f>
        <v>52000000</v>
      </c>
      <c r="P1024" s="15">
        <f>IFERROR(__xludf.DUMMYFUNCTION("ARRAYFORMULA(VLOOKUP(A1024,IMPORTRANGE(""https://docs.google.com/spreadsheets/d/1BuTWp7qHGjWhqrnf-OmePP568O4A5Am9ttzvVdP67zw/edit#gid=771602874"" ,""HUMAN RESOURCES!$A$2:$M$2692""), {2,3,4,5,6,7,8,9,10,11,12,13},0))"),0.022)</f>
        <v>0.022</v>
      </c>
      <c r="Q1024" s="14">
        <f>IFERROR(__xludf.DUMMYFUNCTION("""COMPUTED_VALUE"""),0.034)</f>
        <v>0.034</v>
      </c>
      <c r="R1024" s="14">
        <f>IFERROR(__xludf.DUMMYFUNCTION("""COMPUTED_VALUE"""),68.0)</f>
        <v>68</v>
      </c>
      <c r="S1024" s="14">
        <f>IFERROR(__xludf.DUMMYFUNCTION("""COMPUTED_VALUE"""),63.0)</f>
        <v>63</v>
      </c>
      <c r="T1024" s="14">
        <f>IFERROR(__xludf.DUMMYFUNCTION("""COMPUTED_VALUE"""),0.375)</f>
        <v>0.375</v>
      </c>
      <c r="U1024" s="14">
        <f>IFERROR(__xludf.DUMMYFUNCTION("""COMPUTED_VALUE"""),0.591)</f>
        <v>0.591</v>
      </c>
      <c r="V1024" s="14">
        <f>IFERROR(__xludf.DUMMYFUNCTION("""COMPUTED_VALUE"""),0.034)</f>
        <v>0.034</v>
      </c>
      <c r="W1024" s="14">
        <f>IFERROR(__xludf.DUMMYFUNCTION("""COMPUTED_VALUE"""),775739.0)</f>
        <v>775739</v>
      </c>
      <c r="X1024" s="14">
        <f>IFERROR(__xludf.DUMMYFUNCTION("""COMPUTED_VALUE"""),0.282)</f>
        <v>0.282</v>
      </c>
      <c r="Y1024" s="14" t="str">
        <f>IFERROR(__xludf.DUMMYFUNCTION("""COMPUTED_VALUE"""),"Guyana-The Americas")</f>
        <v>Guyana-The Americas</v>
      </c>
      <c r="Z1024" s="14" t="str">
        <f>IFERROR(__xludf.DUMMYFUNCTION("""COMPUTED_VALUE"""),"The Americas")</f>
        <v>The Americas</v>
      </c>
      <c r="AA1024" s="14" t="str">
        <f>IFERROR(__xludf.DUMMYFUNCTION("""COMPUTED_VALUE"""),"2008")</f>
        <v>2008</v>
      </c>
      <c r="AB1024" s="15" t="str">
        <f>IFERROR(__xludf.DUMMYFUNCTION("ARRAYFORMULA(VLOOKUP(A1024,IMPORTRANGE(""https://docs.google.com/spreadsheets/d/1BuTWp7qHGjWhqrnf-OmePP568O4A5Am9ttzvVdP67zw/edit#gid=1931367683"" ,""ENERGY!$A$2:$F$2692""), {2,3,4,5,6},0))"),"The Americas")</f>
        <v>The Americas</v>
      </c>
      <c r="AC1024" s="14" t="str">
        <f>IFERROR(__xludf.DUMMYFUNCTION("""COMPUTED_VALUE"""),"Guyana-The Americas")</f>
        <v>Guyana-The Americas</v>
      </c>
      <c r="AD1024" s="14" t="str">
        <f>IFERROR(__xludf.DUMMYFUNCTION("""COMPUTED_VALUE"""),"2005")</f>
        <v>2005</v>
      </c>
      <c r="AE1024" s="14">
        <f>IFERROR(__xludf.DUMMYFUNCTION("""COMPUTED_VALUE"""),479.0)</f>
        <v>479</v>
      </c>
      <c r="AF1024" s="14">
        <f>IFERROR(__xludf.DUMMYFUNCTION("""COMPUTED_VALUE"""),1628.0)</f>
        <v>1628</v>
      </c>
    </row>
    <row r="1025">
      <c r="A1025" s="12">
        <v>1024.0</v>
      </c>
      <c r="B1025" s="12" t="s">
        <v>157</v>
      </c>
      <c r="C1025" s="5" t="s">
        <v>84</v>
      </c>
      <c r="D1025" s="11">
        <v>0.388</v>
      </c>
      <c r="E1025" s="11">
        <v>30.0</v>
      </c>
      <c r="F1025" s="8"/>
      <c r="G1025" s="11">
        <v>288.0</v>
      </c>
      <c r="H1025" s="11">
        <v>0.239</v>
      </c>
      <c r="I1025" s="11">
        <v>0.625</v>
      </c>
      <c r="J1025" s="9" t="s">
        <v>70</v>
      </c>
      <c r="K1025" s="14" t="str">
        <f>IFERROR(__xludf.DUMMYFUNCTION("ARRAYFORMULA(VLOOKUP(A1025,IMPORTRANGE(""https://docs.google.com/spreadsheets/d/1BuTWp7qHGjWhqrnf-OmePP568O4A5Am9ttzvVdP67zw/edit#gid=1603210130"", ""TOURISM!$A$2:$F$2692""), {2,3,4,5,6},0))"),"The Americas")</f>
        <v>The Americas</v>
      </c>
      <c r="L1025" s="14">
        <f>IFERROR(__xludf.DUMMYFUNCTION("""COMPUTED_VALUE"""),3.5E7)</f>
        <v>35000000</v>
      </c>
      <c r="M1025" s="14" t="str">
        <f>IFERROR(__xludf.DUMMYFUNCTION("""COMPUTED_VALUE"""),"Guyana-The Americas")</f>
        <v>Guyana-The Americas</v>
      </c>
      <c r="N1025" s="14" t="str">
        <f>IFERROR(__xludf.DUMMYFUNCTION("""COMPUTED_VALUE"""),"2009")</f>
        <v>2009</v>
      </c>
      <c r="O1025" s="14">
        <f>IFERROR(__xludf.DUMMYFUNCTION("""COMPUTED_VALUE"""),5.2E7)</f>
        <v>52000000</v>
      </c>
      <c r="P1025" s="15">
        <f>IFERROR(__xludf.DUMMYFUNCTION("ARRAYFORMULA(VLOOKUP(A1025,IMPORTRANGE(""https://docs.google.com/spreadsheets/d/1BuTWp7qHGjWhqrnf-OmePP568O4A5Am9ttzvVdP67zw/edit#gid=771602874"" ,""HUMAN RESOURCES!$A$2:$M$2692""), {2,3,4,5,6,7,8,9,10,11,12,13},0))"),0.022)</f>
        <v>0.022</v>
      </c>
      <c r="Q1025" s="14">
        <f>IFERROR(__xludf.DUMMYFUNCTION("""COMPUTED_VALUE"""),0.033)</f>
        <v>0.033</v>
      </c>
      <c r="R1025" s="14">
        <f>IFERROR(__xludf.DUMMYFUNCTION("""COMPUTED_VALUE"""),68.0)</f>
        <v>68</v>
      </c>
      <c r="S1025" s="14">
        <f>IFERROR(__xludf.DUMMYFUNCTION("""COMPUTED_VALUE"""),63.0)</f>
        <v>63</v>
      </c>
      <c r="T1025" s="14">
        <f>IFERROR(__xludf.DUMMYFUNCTION("""COMPUTED_VALUE"""),0.376)</f>
        <v>0.376</v>
      </c>
      <c r="U1025" s="14">
        <f>IFERROR(__xludf.DUMMYFUNCTION("""COMPUTED_VALUE"""),0.591)</f>
        <v>0.591</v>
      </c>
      <c r="V1025" s="14">
        <f>IFERROR(__xludf.DUMMYFUNCTION("""COMPUTED_VALUE"""),0.033)</f>
        <v>0.033</v>
      </c>
      <c r="W1025" s="14">
        <f>IFERROR(__xludf.DUMMYFUNCTION("""COMPUTED_VALUE"""),781055.0)</f>
        <v>781055</v>
      </c>
      <c r="X1025" s="14">
        <f>IFERROR(__xludf.DUMMYFUNCTION("""COMPUTED_VALUE"""),0.282)</f>
        <v>0.282</v>
      </c>
      <c r="Y1025" s="14" t="str">
        <f>IFERROR(__xludf.DUMMYFUNCTION("""COMPUTED_VALUE"""),"Guyana-The Americas")</f>
        <v>Guyana-The Americas</v>
      </c>
      <c r="Z1025" s="14" t="str">
        <f>IFERROR(__xludf.DUMMYFUNCTION("""COMPUTED_VALUE"""),"The Americas")</f>
        <v>The Americas</v>
      </c>
      <c r="AA1025" s="14" t="str">
        <f>IFERROR(__xludf.DUMMYFUNCTION("""COMPUTED_VALUE"""),"2009")</f>
        <v>2009</v>
      </c>
      <c r="AB1025" s="15" t="str">
        <f>IFERROR(__xludf.DUMMYFUNCTION("ARRAYFORMULA(VLOOKUP(A1025,IMPORTRANGE(""https://docs.google.com/spreadsheets/d/1BuTWp7qHGjWhqrnf-OmePP568O4A5Am9ttzvVdP67zw/edit#gid=1931367683"" ,""ENERGY!$A$2:$F$2692""), {2,3,4,5,6},0))"),"The Americas")</f>
        <v>The Americas</v>
      </c>
      <c r="AC1025" s="14" t="str">
        <f>IFERROR(__xludf.DUMMYFUNCTION("""COMPUTED_VALUE"""),"Guyana-The Americas")</f>
        <v>Guyana-The Americas</v>
      </c>
      <c r="AD1025" s="14" t="str">
        <f>IFERROR(__xludf.DUMMYFUNCTION("""COMPUTED_VALUE"""),"2010")</f>
        <v>2010</v>
      </c>
      <c r="AE1025" s="14"/>
      <c r="AF1025" s="14">
        <f>IFERROR(__xludf.DUMMYFUNCTION("""COMPUTED_VALUE"""),1566.0)</f>
        <v>1566</v>
      </c>
    </row>
    <row r="1026">
      <c r="A1026" s="12">
        <v>1025.0</v>
      </c>
      <c r="B1026" s="12" t="s">
        <v>157</v>
      </c>
      <c r="C1026" s="5" t="s">
        <v>84</v>
      </c>
      <c r="D1026" s="11">
        <v>0.388</v>
      </c>
      <c r="E1026" s="11">
        <v>24.0</v>
      </c>
      <c r="F1026" s="8"/>
      <c r="G1026" s="11">
        <v>288.0</v>
      </c>
      <c r="H1026" s="11">
        <v>0.299</v>
      </c>
      <c r="I1026" s="11">
        <v>0.713</v>
      </c>
      <c r="J1026" s="9" t="s">
        <v>71</v>
      </c>
      <c r="K1026" s="14" t="str">
        <f>IFERROR(__xludf.DUMMYFUNCTION("ARRAYFORMULA(VLOOKUP(A1026,IMPORTRANGE(""https://docs.google.com/spreadsheets/d/1BuTWp7qHGjWhqrnf-OmePP568O4A5Am9ttzvVdP67zw/edit#gid=1603210130"", ""TOURISM!$A$2:$F$2692""), {2,3,4,5,6},0))"),"The Americas")</f>
        <v>The Americas</v>
      </c>
      <c r="L1026" s="14">
        <f>IFERROR(__xludf.DUMMYFUNCTION("""COMPUTED_VALUE"""),8.0E7)</f>
        <v>80000000</v>
      </c>
      <c r="M1026" s="14" t="str">
        <f>IFERROR(__xludf.DUMMYFUNCTION("""COMPUTED_VALUE"""),"Guyana-The Americas")</f>
        <v>Guyana-The Americas</v>
      </c>
      <c r="N1026" s="14" t="str">
        <f>IFERROR(__xludf.DUMMYFUNCTION("""COMPUTED_VALUE"""),"2010")</f>
        <v>2010</v>
      </c>
      <c r="O1026" s="14">
        <f>IFERROR(__xludf.DUMMYFUNCTION("""COMPUTED_VALUE"""),7.3E7)</f>
        <v>73000000</v>
      </c>
      <c r="P1026" s="15">
        <f>IFERROR(__xludf.DUMMYFUNCTION("ARRAYFORMULA(VLOOKUP(A1026,IMPORTRANGE(""https://docs.google.com/spreadsheets/d/1BuTWp7qHGjWhqrnf-OmePP568O4A5Am9ttzvVdP67zw/edit#gid=771602874"" ,""HUMAN RESOURCES!$A$2:$M$2692""), {2,3,4,5,6,7,8,9,10,11,12,13},0))"),0.022)</f>
        <v>0.022</v>
      </c>
      <c r="Q1026" s="14">
        <f>IFERROR(__xludf.DUMMYFUNCTION("""COMPUTED_VALUE"""),0.032)</f>
        <v>0.032</v>
      </c>
      <c r="R1026" s="14">
        <f>IFERROR(__xludf.DUMMYFUNCTION("""COMPUTED_VALUE"""),68.0)</f>
        <v>68</v>
      </c>
      <c r="S1026" s="14">
        <f>IFERROR(__xludf.DUMMYFUNCTION("""COMPUTED_VALUE"""),63.0)</f>
        <v>63</v>
      </c>
      <c r="T1026" s="14">
        <f>IFERROR(__xludf.DUMMYFUNCTION("""COMPUTED_VALUE"""),0.376)</f>
        <v>0.376</v>
      </c>
      <c r="U1026" s="14">
        <f>IFERROR(__xludf.DUMMYFUNCTION("""COMPUTED_VALUE"""),0.592)</f>
        <v>0.592</v>
      </c>
      <c r="V1026" s="14">
        <f>IFERROR(__xludf.DUMMYFUNCTION("""COMPUTED_VALUE"""),0.033)</f>
        <v>0.033</v>
      </c>
      <c r="W1026" s="14">
        <f>IFERROR(__xludf.DUMMYFUNCTION("""COMPUTED_VALUE"""),786126.0)</f>
        <v>786126</v>
      </c>
      <c r="X1026" s="14">
        <f>IFERROR(__xludf.DUMMYFUNCTION("""COMPUTED_VALUE"""),0.282)</f>
        <v>0.282</v>
      </c>
      <c r="Y1026" s="14" t="str">
        <f>IFERROR(__xludf.DUMMYFUNCTION("""COMPUTED_VALUE"""),"Guyana-The Americas")</f>
        <v>Guyana-The Americas</v>
      </c>
      <c r="Z1026" s="14" t="str">
        <f>IFERROR(__xludf.DUMMYFUNCTION("""COMPUTED_VALUE"""),"The Americas")</f>
        <v>The Americas</v>
      </c>
      <c r="AA1026" s="14" t="str">
        <f>IFERROR(__xludf.DUMMYFUNCTION("""COMPUTED_VALUE"""),"2010")</f>
        <v>2010</v>
      </c>
      <c r="AB1026" s="15" t="str">
        <f>IFERROR(__xludf.DUMMYFUNCTION("ARRAYFORMULA(VLOOKUP(A1026,IMPORTRANGE(""https://docs.google.com/spreadsheets/d/1BuTWp7qHGjWhqrnf-OmePP568O4A5Am9ttzvVdP67zw/edit#gid=1931367683"" ,""ENERGY!$A$2:$F$2692""), {2,3,4,5,6},0))"),"The Americas")</f>
        <v>The Americas</v>
      </c>
      <c r="AC1026" s="14" t="str">
        <f>IFERROR(__xludf.DUMMYFUNCTION("""COMPUTED_VALUE"""),"Guyana-The Americas")</f>
        <v>Guyana-The Americas</v>
      </c>
      <c r="AD1026" s="14" t="str">
        <f>IFERROR(__xludf.DUMMYFUNCTION("""COMPUTED_VALUE"""),"2010")</f>
        <v>2010</v>
      </c>
      <c r="AE1026" s="14"/>
      <c r="AF1026" s="14">
        <f>IFERROR(__xludf.DUMMYFUNCTION("""COMPUTED_VALUE"""),1580.0)</f>
        <v>1580</v>
      </c>
    </row>
    <row r="1027">
      <c r="A1027" s="12">
        <v>1026.0</v>
      </c>
      <c r="B1027" s="12" t="s">
        <v>157</v>
      </c>
      <c r="C1027" s="5" t="s">
        <v>84</v>
      </c>
      <c r="D1027" s="11">
        <v>0.359</v>
      </c>
      <c r="E1027" s="11">
        <v>20.0</v>
      </c>
      <c r="F1027" s="8"/>
      <c r="G1027" s="11">
        <v>263.0</v>
      </c>
      <c r="H1027" s="11">
        <v>0.31</v>
      </c>
      <c r="I1027" s="11">
        <v>0.669</v>
      </c>
      <c r="J1027" s="9" t="s">
        <v>72</v>
      </c>
      <c r="K1027" s="14" t="str">
        <f>IFERROR(__xludf.DUMMYFUNCTION("ARRAYFORMULA(VLOOKUP(A1027,IMPORTRANGE(""https://docs.google.com/spreadsheets/d/1BuTWp7qHGjWhqrnf-OmePP568O4A5Am9ttzvVdP67zw/edit#gid=1603210130"", ""TOURISM!$A$2:$F$2692""), {2,3,4,5,6},0))"),"The Americas")</f>
        <v>The Americas</v>
      </c>
      <c r="L1027" s="14">
        <f>IFERROR(__xludf.DUMMYFUNCTION("""COMPUTED_VALUE"""),9.5E7)</f>
        <v>95000000</v>
      </c>
      <c r="M1027" s="14" t="str">
        <f>IFERROR(__xludf.DUMMYFUNCTION("""COMPUTED_VALUE"""),"Guyana-The Americas")</f>
        <v>Guyana-The Americas</v>
      </c>
      <c r="N1027" s="14" t="str">
        <f>IFERROR(__xludf.DUMMYFUNCTION("""COMPUTED_VALUE"""),"2011")</f>
        <v>2011</v>
      </c>
      <c r="O1027" s="14">
        <f>IFERROR(__xludf.DUMMYFUNCTION("""COMPUTED_VALUE"""),7.9E7)</f>
        <v>79000000</v>
      </c>
      <c r="P1027" s="15">
        <f>IFERROR(__xludf.DUMMYFUNCTION("ARRAYFORMULA(VLOOKUP(A1027,IMPORTRANGE(""https://docs.google.com/spreadsheets/d/1BuTWp7qHGjWhqrnf-OmePP568O4A5Am9ttzvVdP67zw/edit#gid=771602874"" ,""HUMAN RESOURCES!$A$2:$M$2692""), {2,3,4,5,6,7,8,9,10,11,12,13},0))"),0.021)</f>
        <v>0.021</v>
      </c>
      <c r="Q1027" s="14">
        <f>IFERROR(__xludf.DUMMYFUNCTION("""COMPUTED_VALUE"""),0.032)</f>
        <v>0.032</v>
      </c>
      <c r="R1027" s="14">
        <f>IFERROR(__xludf.DUMMYFUNCTION("""COMPUTED_VALUE"""),69.0)</f>
        <v>69</v>
      </c>
      <c r="S1027" s="14">
        <f>IFERROR(__xludf.DUMMYFUNCTION("""COMPUTED_VALUE"""),63.0)</f>
        <v>63</v>
      </c>
      <c r="T1027" s="14">
        <f>IFERROR(__xludf.DUMMYFUNCTION("""COMPUTED_VALUE"""),0.373)</f>
        <v>0.373</v>
      </c>
      <c r="U1027" s="14">
        <f>IFERROR(__xludf.DUMMYFUNCTION("""COMPUTED_VALUE"""),0.595)</f>
        <v>0.595</v>
      </c>
      <c r="V1027" s="14">
        <f>IFERROR(__xludf.DUMMYFUNCTION("""COMPUTED_VALUE"""),0.033)</f>
        <v>0.033</v>
      </c>
      <c r="W1027" s="14">
        <f>IFERROR(__xludf.DUMMYFUNCTION("""COMPUTED_VALUE"""),790882.0)</f>
        <v>790882</v>
      </c>
      <c r="X1027" s="14">
        <f>IFERROR(__xludf.DUMMYFUNCTION("""COMPUTED_VALUE"""),0.283)</f>
        <v>0.283</v>
      </c>
      <c r="Y1027" s="14" t="str">
        <f>IFERROR(__xludf.DUMMYFUNCTION("""COMPUTED_VALUE"""),"Guyana-The Americas")</f>
        <v>Guyana-The Americas</v>
      </c>
      <c r="Z1027" s="14" t="str">
        <f>IFERROR(__xludf.DUMMYFUNCTION("""COMPUTED_VALUE"""),"The Americas")</f>
        <v>The Americas</v>
      </c>
      <c r="AA1027" s="14" t="str">
        <f>IFERROR(__xludf.DUMMYFUNCTION("""COMPUTED_VALUE"""),"2011")</f>
        <v>2011</v>
      </c>
      <c r="AB1027" s="15" t="str">
        <f>IFERROR(__xludf.DUMMYFUNCTION("ARRAYFORMULA(VLOOKUP(A1027,IMPORTRANGE(""https://docs.google.com/spreadsheets/d/1BuTWp7qHGjWhqrnf-OmePP568O4A5Am9ttzvVdP67zw/edit#gid=1931367683"" ,""ENERGY!$A$2:$F$2692""), {2,3,4,5,6},0))"),"The Americas")</f>
        <v>The Americas</v>
      </c>
      <c r="AC1027" s="14" t="str">
        <f>IFERROR(__xludf.DUMMYFUNCTION("""COMPUTED_VALUE"""),"Guyana-The Americas")</f>
        <v>Guyana-The Americas</v>
      </c>
      <c r="AD1027" s="14" t="str">
        <f>IFERROR(__xludf.DUMMYFUNCTION("""COMPUTED_VALUE"""),"2005")</f>
        <v>2005</v>
      </c>
      <c r="AE1027" s="14"/>
      <c r="AF1027" s="14">
        <f>IFERROR(__xludf.DUMMYFUNCTION("""COMPUTED_VALUE"""),1595.0)</f>
        <v>1595</v>
      </c>
    </row>
    <row r="1028">
      <c r="A1028" s="12">
        <v>1027.0</v>
      </c>
      <c r="B1028" s="12" t="s">
        <v>157</v>
      </c>
      <c r="C1028" s="5" t="s">
        <v>84</v>
      </c>
      <c r="D1028" s="11">
        <v>0.359</v>
      </c>
      <c r="E1028" s="11">
        <v>20.0</v>
      </c>
      <c r="F1028" s="11">
        <v>113.0</v>
      </c>
      <c r="G1028" s="11">
        <v>263.0</v>
      </c>
      <c r="H1028" s="11">
        <v>0.33</v>
      </c>
      <c r="I1028" s="11">
        <v>0.688</v>
      </c>
      <c r="J1028" s="9" t="s">
        <v>73</v>
      </c>
      <c r="K1028" s="14" t="str">
        <f>IFERROR(__xludf.DUMMYFUNCTION("ARRAYFORMULA(VLOOKUP(A1028,IMPORTRANGE(""https://docs.google.com/spreadsheets/d/1BuTWp7qHGjWhqrnf-OmePP568O4A5Am9ttzvVdP67zw/edit#gid=1603210130"", ""TOURISM!$A$2:$F$2692""), {2,3,4,5,6},0))"),"The Americas")</f>
        <v>The Americas</v>
      </c>
      <c r="L1028" s="14">
        <f>IFERROR(__xludf.DUMMYFUNCTION("""COMPUTED_VALUE"""),6.4E7)</f>
        <v>64000000</v>
      </c>
      <c r="M1028" s="14" t="str">
        <f>IFERROR(__xludf.DUMMYFUNCTION("""COMPUTED_VALUE"""),"Guyana-The Americas")</f>
        <v>Guyana-The Americas</v>
      </c>
      <c r="N1028" s="14" t="str">
        <f>IFERROR(__xludf.DUMMYFUNCTION("""COMPUTED_VALUE"""),"2012")</f>
        <v>2012</v>
      </c>
      <c r="O1028" s="14">
        <f>IFERROR(__xludf.DUMMYFUNCTION("""COMPUTED_VALUE"""),8.2E7)</f>
        <v>82000000</v>
      </c>
      <c r="P1028" s="15">
        <f>IFERROR(__xludf.DUMMYFUNCTION("ARRAYFORMULA(VLOOKUP(A1028,IMPORTRANGE(""https://docs.google.com/spreadsheets/d/1BuTWp7qHGjWhqrnf-OmePP568O4A5Am9ttzvVdP67zw/edit#gid=771602874"" ,""HUMAN RESOURCES!$A$2:$M$2692""), {2,3,4,5,6,7,8,9,10,11,12,13},0))"),0.021)</f>
        <v>0.021</v>
      </c>
      <c r="Q1028" s="14">
        <f>IFERROR(__xludf.DUMMYFUNCTION("""COMPUTED_VALUE"""),0.031)</f>
        <v>0.031</v>
      </c>
      <c r="R1028" s="14">
        <f>IFERROR(__xludf.DUMMYFUNCTION("""COMPUTED_VALUE"""),69.0)</f>
        <v>69</v>
      </c>
      <c r="S1028" s="14">
        <f>IFERROR(__xludf.DUMMYFUNCTION("""COMPUTED_VALUE"""),63.0)</f>
        <v>63</v>
      </c>
      <c r="T1028" s="14">
        <f>IFERROR(__xludf.DUMMYFUNCTION("""COMPUTED_VALUE"""),0.368)</f>
        <v>0.368</v>
      </c>
      <c r="U1028" s="14">
        <f>IFERROR(__xludf.DUMMYFUNCTION("""COMPUTED_VALUE"""),0.599)</f>
        <v>0.599</v>
      </c>
      <c r="V1028" s="14">
        <f>IFERROR(__xludf.DUMMYFUNCTION("""COMPUTED_VALUE"""),0.033)</f>
        <v>0.033</v>
      </c>
      <c r="W1028" s="14">
        <f>IFERROR(__xludf.DUMMYFUNCTION("""COMPUTED_VALUE"""),795369.0)</f>
        <v>795369</v>
      </c>
      <c r="X1028" s="14">
        <f>IFERROR(__xludf.DUMMYFUNCTION("""COMPUTED_VALUE"""),0.283)</f>
        <v>0.283</v>
      </c>
      <c r="Y1028" s="14" t="str">
        <f>IFERROR(__xludf.DUMMYFUNCTION("""COMPUTED_VALUE"""),"Guyana-The Americas")</f>
        <v>Guyana-The Americas</v>
      </c>
      <c r="Z1028" s="14" t="str">
        <f>IFERROR(__xludf.DUMMYFUNCTION("""COMPUTED_VALUE"""),"The Americas")</f>
        <v>The Americas</v>
      </c>
      <c r="AA1028" s="14" t="str">
        <f>IFERROR(__xludf.DUMMYFUNCTION("""COMPUTED_VALUE"""),"2012")</f>
        <v>2012</v>
      </c>
      <c r="AB1028" s="15" t="str">
        <f>IFERROR(__xludf.DUMMYFUNCTION("ARRAYFORMULA(VLOOKUP(A1028,IMPORTRANGE(""https://docs.google.com/spreadsheets/d/1BuTWp7qHGjWhqrnf-OmePP568O4A5Am9ttzvVdP67zw/edit#gid=1931367683"" ,""ENERGY!$A$2:$F$2692""), {2,3,4,5,6},0))"),"The Americas")</f>
        <v>The Americas</v>
      </c>
      <c r="AC1028" s="14" t="str">
        <f>IFERROR(__xludf.DUMMYFUNCTION("""COMPUTED_VALUE"""),"Guyana-The Americas")</f>
        <v>Guyana-The Americas</v>
      </c>
      <c r="AD1028" s="14" t="str">
        <f>IFERROR(__xludf.DUMMYFUNCTION("""COMPUTED_VALUE"""),"2010")</f>
        <v>2010</v>
      </c>
      <c r="AE1028" s="14"/>
      <c r="AF1028" s="14">
        <f>IFERROR(__xludf.DUMMYFUNCTION("""COMPUTED_VALUE"""),1610.0)</f>
        <v>1610</v>
      </c>
    </row>
    <row r="1029">
      <c r="A1029" s="12">
        <v>1028.0</v>
      </c>
      <c r="B1029" s="12" t="s">
        <v>158</v>
      </c>
      <c r="C1029" s="5" t="s">
        <v>84</v>
      </c>
      <c r="D1029" s="8"/>
      <c r="E1029" s="8"/>
      <c r="F1029" s="8"/>
      <c r="G1029" s="8"/>
      <c r="H1029" s="11">
        <v>0.002</v>
      </c>
      <c r="I1029" s="11">
        <v>0.006</v>
      </c>
      <c r="J1029" s="9" t="s">
        <v>60</v>
      </c>
      <c r="K1029" s="14" t="str">
        <f>IFERROR(__xludf.DUMMYFUNCTION("ARRAYFORMULA(VLOOKUP(A1029,IMPORTRANGE(""https://docs.google.com/spreadsheets/d/1BuTWp7qHGjWhqrnf-OmePP568O4A5Am9ttzvVdP67zw/edit#gid=1603210130"", ""TOURISM!$A$2:$F$2692""), {2,3,4,5,6},0))"),"The Americas")</f>
        <v>The Americas</v>
      </c>
      <c r="L1029" s="14">
        <f>IFERROR(__xludf.DUMMYFUNCTION("""COMPUTED_VALUE"""),1.28E8)</f>
        <v>128000000</v>
      </c>
      <c r="M1029" s="14" t="str">
        <f>IFERROR(__xludf.DUMMYFUNCTION("""COMPUTED_VALUE"""),"Haiti-The Americas")</f>
        <v>Haiti-The Americas</v>
      </c>
      <c r="N1029" s="14" t="str">
        <f>IFERROR(__xludf.DUMMYFUNCTION("""COMPUTED_VALUE"""),"2000")</f>
        <v>2000</v>
      </c>
      <c r="O1029" s="14">
        <f>IFERROR(__xludf.DUMMYFUNCTION("""COMPUTED_VALUE"""),1.73E8)</f>
        <v>173000000</v>
      </c>
      <c r="P1029" s="15">
        <f>IFERROR(__xludf.DUMMYFUNCTION("ARRAYFORMULA(VLOOKUP(A1029,IMPORTRANGE(""https://docs.google.com/spreadsheets/d/1BuTWp7qHGjWhqrnf-OmePP568O4A5Am9ttzvVdP67zw/edit#gid=771602874"" ,""HUMAN RESOURCES!$A$2:$M$2692""), {2,3,4,5,6,7,8,9,10,11,12,13},0))"),0.031)</f>
        <v>0.031</v>
      </c>
      <c r="Q1029" s="14">
        <f>IFERROR(__xludf.DUMMYFUNCTION("""COMPUTED_VALUE"""),0.075)</f>
        <v>0.075</v>
      </c>
      <c r="R1029" s="14">
        <f>IFERROR(__xludf.DUMMYFUNCTION("""COMPUTED_VALUE"""),59.0)</f>
        <v>59</v>
      </c>
      <c r="S1029" s="14">
        <f>IFERROR(__xludf.DUMMYFUNCTION("""COMPUTED_VALUE"""),56.0)</f>
        <v>56</v>
      </c>
      <c r="T1029" s="14">
        <f>IFERROR(__xludf.DUMMYFUNCTION("""COMPUTED_VALUE"""),0.403)</f>
        <v>0.403</v>
      </c>
      <c r="U1029" s="14">
        <f>IFERROR(__xludf.DUMMYFUNCTION("""COMPUTED_VALUE"""),0.557)</f>
        <v>0.557</v>
      </c>
      <c r="V1029" s="14">
        <f>IFERROR(__xludf.DUMMYFUNCTION("""COMPUTED_VALUE"""),0.04)</f>
        <v>0.04</v>
      </c>
      <c r="W1029" s="14">
        <f>IFERROR(__xludf.DUMMYFUNCTION("""COMPUTED_VALUE"""),8578234.0)</f>
        <v>8578234</v>
      </c>
      <c r="X1029" s="14">
        <f>IFERROR(__xludf.DUMMYFUNCTION("""COMPUTED_VALUE"""),0.356)</f>
        <v>0.356</v>
      </c>
      <c r="Y1029" s="14" t="str">
        <f>IFERROR(__xludf.DUMMYFUNCTION("""COMPUTED_VALUE"""),"Haiti-The Americas")</f>
        <v>Haiti-The Americas</v>
      </c>
      <c r="Z1029" s="14" t="str">
        <f>IFERROR(__xludf.DUMMYFUNCTION("""COMPUTED_VALUE"""),"The Americas")</f>
        <v>The Americas</v>
      </c>
      <c r="AA1029" s="14" t="str">
        <f>IFERROR(__xludf.DUMMYFUNCTION("""COMPUTED_VALUE"""),"2000")</f>
        <v>2000</v>
      </c>
      <c r="AB1029" s="15" t="str">
        <f>IFERROR(__xludf.DUMMYFUNCTION("ARRAYFORMULA(VLOOKUP(A1029,IMPORTRANGE(""https://docs.google.com/spreadsheets/d/1BuTWp7qHGjWhqrnf-OmePP568O4A5Am9ttzvVdP67zw/edit#gid=1931367683"" ,""ENERGY!$A$2:$F$2692""), {2,3,4,5,6},0))"),"The Americas")</f>
        <v>The Americas</v>
      </c>
      <c r="AC1029" s="14" t="str">
        <f>IFERROR(__xludf.DUMMYFUNCTION("""COMPUTED_VALUE"""),"Haiti-The Americas")</f>
        <v>Haiti-The Americas</v>
      </c>
      <c r="AD1029" s="14" t="str">
        <f>IFERROR(__xludf.DUMMYFUNCTION("""COMPUTED_VALUE"""),"2000")</f>
        <v>2000</v>
      </c>
      <c r="AE1029" s="14"/>
      <c r="AF1029" s="14"/>
    </row>
    <row r="1030">
      <c r="A1030" s="12">
        <v>1029.0</v>
      </c>
      <c r="B1030" s="12" t="s">
        <v>158</v>
      </c>
      <c r="C1030" s="5" t="s">
        <v>84</v>
      </c>
      <c r="D1030" s="8"/>
      <c r="E1030" s="8"/>
      <c r="F1030" s="8"/>
      <c r="G1030" s="8"/>
      <c r="H1030" s="11">
        <v>0.003</v>
      </c>
      <c r="I1030" s="11">
        <v>0.01</v>
      </c>
      <c r="J1030" s="9" t="s">
        <v>62</v>
      </c>
      <c r="K1030" s="14" t="str">
        <f>IFERROR(__xludf.DUMMYFUNCTION("ARRAYFORMULA(VLOOKUP(A1030,IMPORTRANGE(""https://docs.google.com/spreadsheets/d/1BuTWp7qHGjWhqrnf-OmePP568O4A5Am9ttzvVdP67zw/edit#gid=1603210130"", ""TOURISM!$A$2:$F$2692""), {2,3,4,5,6},0))"),"The Americas")</f>
        <v>The Americas</v>
      </c>
      <c r="L1030" s="14">
        <f>IFERROR(__xludf.DUMMYFUNCTION("""COMPUTED_VALUE"""),1.05E8)</f>
        <v>105000000</v>
      </c>
      <c r="M1030" s="14" t="str">
        <f>IFERROR(__xludf.DUMMYFUNCTION("""COMPUTED_VALUE"""),"Haiti-The Americas")</f>
        <v>Haiti-The Americas</v>
      </c>
      <c r="N1030" s="14" t="str">
        <f>IFERROR(__xludf.DUMMYFUNCTION("""COMPUTED_VALUE"""),"2001")</f>
        <v>2001</v>
      </c>
      <c r="O1030" s="14">
        <f>IFERROR(__xludf.DUMMYFUNCTION("""COMPUTED_VALUE"""),1.68E8)</f>
        <v>168000000</v>
      </c>
      <c r="P1030" s="15">
        <f>IFERROR(__xludf.DUMMYFUNCTION("ARRAYFORMULA(VLOOKUP(A1030,IMPORTRANGE(""https://docs.google.com/spreadsheets/d/1BuTWp7qHGjWhqrnf-OmePP568O4A5Am9ttzvVdP67zw/edit#gid=771602874"" ,""HUMAN RESOURCES!$A$2:$M$2692""), {2,3,4,5,6,7,8,9,10,11,12,13},0))"),0.031)</f>
        <v>0.031</v>
      </c>
      <c r="Q1030" s="14">
        <f>IFERROR(__xludf.DUMMYFUNCTION("""COMPUTED_VALUE"""),0.073)</f>
        <v>0.073</v>
      </c>
      <c r="R1030" s="14">
        <f>IFERROR(__xludf.DUMMYFUNCTION("""COMPUTED_VALUE"""),59.0)</f>
        <v>59</v>
      </c>
      <c r="S1030" s="14">
        <f>IFERROR(__xludf.DUMMYFUNCTION("""COMPUTED_VALUE"""),56.0)</f>
        <v>56</v>
      </c>
      <c r="T1030" s="14">
        <f>IFERROR(__xludf.DUMMYFUNCTION("""COMPUTED_VALUE"""),0.398)</f>
        <v>0.398</v>
      </c>
      <c r="U1030" s="14">
        <f>IFERROR(__xludf.DUMMYFUNCTION("""COMPUTED_VALUE"""),0.561)</f>
        <v>0.561</v>
      </c>
      <c r="V1030" s="14">
        <f>IFERROR(__xludf.DUMMYFUNCTION("""COMPUTED_VALUE"""),0.04)</f>
        <v>0.04</v>
      </c>
      <c r="W1030" s="14">
        <f>IFERROR(__xludf.DUMMYFUNCTION("""COMPUTED_VALUE"""),8720247.0)</f>
        <v>8720247</v>
      </c>
      <c r="X1030" s="14">
        <f>IFERROR(__xludf.DUMMYFUNCTION("""COMPUTED_VALUE"""),0.373)</f>
        <v>0.373</v>
      </c>
      <c r="Y1030" s="14" t="str">
        <f>IFERROR(__xludf.DUMMYFUNCTION("""COMPUTED_VALUE"""),"Haiti-The Americas")</f>
        <v>Haiti-The Americas</v>
      </c>
      <c r="Z1030" s="14" t="str">
        <f>IFERROR(__xludf.DUMMYFUNCTION("""COMPUTED_VALUE"""),"The Americas")</f>
        <v>The Americas</v>
      </c>
      <c r="AA1030" s="14" t="str">
        <f>IFERROR(__xludf.DUMMYFUNCTION("""COMPUTED_VALUE"""),"2001")</f>
        <v>2001</v>
      </c>
      <c r="AB1030" s="15" t="str">
        <f>IFERROR(__xludf.DUMMYFUNCTION("ARRAYFORMULA(VLOOKUP(A1030,IMPORTRANGE(""https://docs.google.com/spreadsheets/d/1BuTWp7qHGjWhqrnf-OmePP568O4A5Am9ttzvVdP67zw/edit#gid=1931367683"" ,""ENERGY!$A$2:$F$2692""), {2,3,4,5,6},0))"),"The Americas")</f>
        <v>The Americas</v>
      </c>
      <c r="AC1030" s="14" t="str">
        <f>IFERROR(__xludf.DUMMYFUNCTION("""COMPUTED_VALUE"""),"Haiti-The Americas")</f>
        <v>Haiti-The Americas</v>
      </c>
      <c r="AD1030" s="14" t="str">
        <f>IFERROR(__xludf.DUMMYFUNCTION("""COMPUTED_VALUE"""),"2001")</f>
        <v>2001</v>
      </c>
      <c r="AE1030" s="14">
        <f>IFERROR(__xludf.DUMMYFUNCTION("""COMPUTED_VALUE"""),3211.0)</f>
        <v>3211</v>
      </c>
      <c r="AF1030" s="14"/>
    </row>
    <row r="1031">
      <c r="A1031" s="12">
        <v>1030.0</v>
      </c>
      <c r="B1031" s="12" t="s">
        <v>158</v>
      </c>
      <c r="C1031" s="5" t="s">
        <v>84</v>
      </c>
      <c r="D1031" s="8"/>
      <c r="E1031" s="8"/>
      <c r="F1031" s="8"/>
      <c r="G1031" s="8"/>
      <c r="H1031" s="11">
        <v>0.009</v>
      </c>
      <c r="I1031" s="11">
        <v>0.016</v>
      </c>
      <c r="J1031" s="9" t="s">
        <v>63</v>
      </c>
      <c r="K1031" s="14" t="str">
        <f>IFERROR(__xludf.DUMMYFUNCTION("ARRAYFORMULA(VLOOKUP(A1031,IMPORTRANGE(""https://docs.google.com/spreadsheets/d/1BuTWp7qHGjWhqrnf-OmePP568O4A5Am9ttzvVdP67zw/edit#gid=1603210130"", ""TOURISM!$A$2:$F$2692""), {2,3,4,5,6},0))"),"The Americas")</f>
        <v>The Americas</v>
      </c>
      <c r="L1031" s="14">
        <f>IFERROR(__xludf.DUMMYFUNCTION("""COMPUTED_VALUE"""),1.08E8)</f>
        <v>108000000</v>
      </c>
      <c r="M1031" s="14" t="str">
        <f>IFERROR(__xludf.DUMMYFUNCTION("""COMPUTED_VALUE"""),"Haiti-The Americas")</f>
        <v>Haiti-The Americas</v>
      </c>
      <c r="N1031" s="14" t="str">
        <f>IFERROR(__xludf.DUMMYFUNCTION("""COMPUTED_VALUE"""),"2002")</f>
        <v>2002</v>
      </c>
      <c r="O1031" s="14">
        <f>IFERROR(__xludf.DUMMYFUNCTION("""COMPUTED_VALUE"""),1.72E8)</f>
        <v>172000000</v>
      </c>
      <c r="P1031" s="15">
        <f>IFERROR(__xludf.DUMMYFUNCTION("ARRAYFORMULA(VLOOKUP(A1031,IMPORTRANGE(""https://docs.google.com/spreadsheets/d/1BuTWp7qHGjWhqrnf-OmePP568O4A5Am9ttzvVdP67zw/edit#gid=771602874"" ,""HUMAN RESOURCES!$A$2:$M$2692""), {2,3,4,5,6,7,8,9,10,11,12,13},0))"),0.03)</f>
        <v>0.03</v>
      </c>
      <c r="Q1031" s="14">
        <f>IFERROR(__xludf.DUMMYFUNCTION("""COMPUTED_VALUE"""),0.071)</f>
        <v>0.071</v>
      </c>
      <c r="R1031" s="14">
        <f>IFERROR(__xludf.DUMMYFUNCTION("""COMPUTED_VALUE"""),60.0)</f>
        <v>60</v>
      </c>
      <c r="S1031" s="14">
        <f>IFERROR(__xludf.DUMMYFUNCTION("""COMPUTED_VALUE"""),56.0)</f>
        <v>56</v>
      </c>
      <c r="T1031" s="14">
        <f>IFERROR(__xludf.DUMMYFUNCTION("""COMPUTED_VALUE"""),0.394)</f>
        <v>0.394</v>
      </c>
      <c r="U1031" s="14">
        <f>IFERROR(__xludf.DUMMYFUNCTION("""COMPUTED_VALUE"""),0.566)</f>
        <v>0.566</v>
      </c>
      <c r="V1031" s="14">
        <f>IFERROR(__xludf.DUMMYFUNCTION("""COMPUTED_VALUE"""),0.04)</f>
        <v>0.04</v>
      </c>
      <c r="W1031" s="14">
        <f>IFERROR(__xludf.DUMMYFUNCTION("""COMPUTED_VALUE"""),8859635.0)</f>
        <v>8859635</v>
      </c>
      <c r="X1031" s="14">
        <f>IFERROR(__xludf.DUMMYFUNCTION("""COMPUTED_VALUE"""),0.389)</f>
        <v>0.389</v>
      </c>
      <c r="Y1031" s="14" t="str">
        <f>IFERROR(__xludf.DUMMYFUNCTION("""COMPUTED_VALUE"""),"Haiti-The Americas")</f>
        <v>Haiti-The Americas</v>
      </c>
      <c r="Z1031" s="14" t="str">
        <f>IFERROR(__xludf.DUMMYFUNCTION("""COMPUTED_VALUE"""),"The Americas")</f>
        <v>The Americas</v>
      </c>
      <c r="AA1031" s="14" t="str">
        <f>IFERROR(__xludf.DUMMYFUNCTION("""COMPUTED_VALUE"""),"2002")</f>
        <v>2002</v>
      </c>
      <c r="AB1031" s="15" t="str">
        <f>IFERROR(__xludf.DUMMYFUNCTION("ARRAYFORMULA(VLOOKUP(A1031,IMPORTRANGE(""https://docs.google.com/spreadsheets/d/1BuTWp7qHGjWhqrnf-OmePP568O4A5Am9ttzvVdP67zw/edit#gid=1931367683"" ,""ENERGY!$A$2:$F$2692""), {2,3,4,5,6},0))"),"The Americas")</f>
        <v>The Americas</v>
      </c>
      <c r="AC1031" s="14" t="str">
        <f>IFERROR(__xludf.DUMMYFUNCTION("""COMPUTED_VALUE"""),"Haiti-The Americas")</f>
        <v>Haiti-The Americas</v>
      </c>
      <c r="AD1031" s="14" t="str">
        <f>IFERROR(__xludf.DUMMYFUNCTION("""COMPUTED_VALUE"""),"2002")</f>
        <v>2002</v>
      </c>
      <c r="AE1031" s="14">
        <f>IFERROR(__xludf.DUMMYFUNCTION("""COMPUTED_VALUE"""),2409.0)</f>
        <v>2409</v>
      </c>
      <c r="AF1031" s="14">
        <f>IFERROR(__xludf.DUMMYFUNCTION("""COMPUTED_VALUE"""),2120.0)</f>
        <v>2120</v>
      </c>
    </row>
    <row r="1032">
      <c r="A1032" s="12">
        <v>1031.0</v>
      </c>
      <c r="B1032" s="12" t="s">
        <v>158</v>
      </c>
      <c r="C1032" s="5" t="s">
        <v>84</v>
      </c>
      <c r="D1032" s="8"/>
      <c r="E1032" s="11">
        <v>202.0</v>
      </c>
      <c r="F1032" s="8"/>
      <c r="G1032" s="8"/>
      <c r="H1032" s="11">
        <v>0.016</v>
      </c>
      <c r="I1032" s="11">
        <v>0.036</v>
      </c>
      <c r="J1032" s="9" t="s">
        <v>64</v>
      </c>
      <c r="K1032" s="14" t="str">
        <f>IFERROR(__xludf.DUMMYFUNCTION("ARRAYFORMULA(VLOOKUP(A1032,IMPORTRANGE(""https://docs.google.com/spreadsheets/d/1BuTWp7qHGjWhqrnf-OmePP568O4A5Am9ttzvVdP67zw/edit#gid=1603210130"", ""TOURISM!$A$2:$F$2692""), {2,3,4,5,6},0))"),"The Americas")</f>
        <v>The Americas</v>
      </c>
      <c r="L1032" s="14">
        <f>IFERROR(__xludf.DUMMYFUNCTION("""COMPUTED_VALUE"""),9.6E7)</f>
        <v>96000000</v>
      </c>
      <c r="M1032" s="14" t="str">
        <f>IFERROR(__xludf.DUMMYFUNCTION("""COMPUTED_VALUE"""),"Haiti-The Americas")</f>
        <v>Haiti-The Americas</v>
      </c>
      <c r="N1032" s="14" t="str">
        <f>IFERROR(__xludf.DUMMYFUNCTION("""COMPUTED_VALUE"""),"2003")</f>
        <v>2003</v>
      </c>
      <c r="O1032" s="14">
        <f>IFERROR(__xludf.DUMMYFUNCTION("""COMPUTED_VALUE"""),2.02E8)</f>
        <v>202000000</v>
      </c>
      <c r="P1032" s="15">
        <f>IFERROR(__xludf.DUMMYFUNCTION("ARRAYFORMULA(VLOOKUP(A1032,IMPORTRANGE(""https://docs.google.com/spreadsheets/d/1BuTWp7qHGjWhqrnf-OmePP568O4A5Am9ttzvVdP67zw/edit#gid=771602874"" ,""HUMAN RESOURCES!$A$2:$M$2692""), {2,3,4,5,6,7,8,9,10,11,12,13},0))"),0.03)</f>
        <v>0.03</v>
      </c>
      <c r="Q1032" s="14">
        <f>IFERROR(__xludf.DUMMYFUNCTION("""COMPUTED_VALUE"""),0.069)</f>
        <v>0.069</v>
      </c>
      <c r="R1032" s="14">
        <f>IFERROR(__xludf.DUMMYFUNCTION("""COMPUTED_VALUE"""),60.0)</f>
        <v>60</v>
      </c>
      <c r="S1032" s="14">
        <f>IFERROR(__xludf.DUMMYFUNCTION("""COMPUTED_VALUE"""),57.0)</f>
        <v>57</v>
      </c>
      <c r="T1032" s="14">
        <f>IFERROR(__xludf.DUMMYFUNCTION("""COMPUTED_VALUE"""),0.389)</f>
        <v>0.389</v>
      </c>
      <c r="U1032" s="14">
        <f>IFERROR(__xludf.DUMMYFUNCTION("""COMPUTED_VALUE"""),0.57)</f>
        <v>0.57</v>
      </c>
      <c r="V1032" s="14">
        <f>IFERROR(__xludf.DUMMYFUNCTION("""COMPUTED_VALUE"""),0.041)</f>
        <v>0.041</v>
      </c>
      <c r="W1032" s="14">
        <f>IFERROR(__xludf.DUMMYFUNCTION("""COMPUTED_VALUE"""),8996229.0)</f>
        <v>8996229</v>
      </c>
      <c r="X1032" s="14">
        <f>IFERROR(__xludf.DUMMYFUNCTION("""COMPUTED_VALUE"""),0.406)</f>
        <v>0.406</v>
      </c>
      <c r="Y1032" s="14" t="str">
        <f>IFERROR(__xludf.DUMMYFUNCTION("""COMPUTED_VALUE"""),"Haiti-The Americas")</f>
        <v>Haiti-The Americas</v>
      </c>
      <c r="Z1032" s="14" t="str">
        <f>IFERROR(__xludf.DUMMYFUNCTION("""COMPUTED_VALUE"""),"The Americas")</f>
        <v>The Americas</v>
      </c>
      <c r="AA1032" s="14" t="str">
        <f>IFERROR(__xludf.DUMMYFUNCTION("""COMPUTED_VALUE"""),"2003")</f>
        <v>2003</v>
      </c>
      <c r="AB1032" s="15" t="str">
        <f>IFERROR(__xludf.DUMMYFUNCTION("ARRAYFORMULA(VLOOKUP(A1032,IMPORTRANGE(""https://docs.google.com/spreadsheets/d/1BuTWp7qHGjWhqrnf-OmePP568O4A5Am9ttzvVdP67zw/edit#gid=1931367683"" ,""ENERGY!$A$2:$F$2692""), {2,3,4,5,6},0))"),"The Americas")</f>
        <v>The Americas</v>
      </c>
      <c r="AC1032" s="14" t="str">
        <f>IFERROR(__xludf.DUMMYFUNCTION("""COMPUTED_VALUE"""),"Haiti-The Americas")</f>
        <v>Haiti-The Americas</v>
      </c>
      <c r="AD1032" s="14" t="str">
        <f>IFERROR(__xludf.DUMMYFUNCTION("""COMPUTED_VALUE"""),"2003")</f>
        <v>2003</v>
      </c>
      <c r="AE1032" s="14">
        <f>IFERROR(__xludf.DUMMYFUNCTION("""COMPUTED_VALUE"""),2732.0)</f>
        <v>2732</v>
      </c>
      <c r="AF1032" s="14">
        <f>IFERROR(__xludf.DUMMYFUNCTION("""COMPUTED_VALUE"""),2263.0)</f>
        <v>2263</v>
      </c>
    </row>
    <row r="1033">
      <c r="A1033" s="12">
        <v>1032.0</v>
      </c>
      <c r="B1033" s="12" t="s">
        <v>158</v>
      </c>
      <c r="C1033" s="5" t="s">
        <v>84</v>
      </c>
      <c r="D1033" s="8"/>
      <c r="E1033" s="11">
        <v>202.0</v>
      </c>
      <c r="F1033" s="8"/>
      <c r="G1033" s="8"/>
      <c r="H1033" s="11">
        <v>0.054</v>
      </c>
      <c r="I1033" s="11">
        <v>0.044</v>
      </c>
      <c r="J1033" s="9" t="s">
        <v>65</v>
      </c>
      <c r="K1033" s="14" t="str">
        <f>IFERROR(__xludf.DUMMYFUNCTION("ARRAYFORMULA(VLOOKUP(A1033,IMPORTRANGE(""https://docs.google.com/spreadsheets/d/1BuTWp7qHGjWhqrnf-OmePP568O4A5Am9ttzvVdP67zw/edit#gid=1603210130"", ""TOURISM!$A$2:$F$2692""), {2,3,4,5,6},0))"),"The Americas")</f>
        <v>The Americas</v>
      </c>
      <c r="L1033" s="14">
        <f>IFERROR(__xludf.DUMMYFUNCTION("""COMPUTED_VALUE"""),9.3E7)</f>
        <v>93000000</v>
      </c>
      <c r="M1033" s="14" t="str">
        <f>IFERROR(__xludf.DUMMYFUNCTION("""COMPUTED_VALUE"""),"Haiti-The Americas")</f>
        <v>Haiti-The Americas</v>
      </c>
      <c r="N1033" s="14" t="str">
        <f>IFERROR(__xludf.DUMMYFUNCTION("""COMPUTED_VALUE"""),"2004")</f>
        <v>2004</v>
      </c>
      <c r="O1033" s="14">
        <f>IFERROR(__xludf.DUMMYFUNCTION("""COMPUTED_VALUE"""),2.06E8)</f>
        <v>206000000</v>
      </c>
      <c r="P1033" s="15">
        <f>IFERROR(__xludf.DUMMYFUNCTION("ARRAYFORMULA(VLOOKUP(A1033,IMPORTRANGE(""https://docs.google.com/spreadsheets/d/1BuTWp7qHGjWhqrnf-OmePP568O4A5Am9ttzvVdP67zw/edit#gid=771602874"" ,""HUMAN RESOURCES!$A$2:$M$2692""), {2,3,4,5,6,7,8,9,10,11,12,13},0))"),0.029)</f>
        <v>0.029</v>
      </c>
      <c r="Q1033" s="14">
        <f>IFERROR(__xludf.DUMMYFUNCTION("""COMPUTED_VALUE"""),0.067)</f>
        <v>0.067</v>
      </c>
      <c r="R1033" s="14">
        <f>IFERROR(__xludf.DUMMYFUNCTION("""COMPUTED_VALUE"""),61.0)</f>
        <v>61</v>
      </c>
      <c r="S1033" s="14">
        <f>IFERROR(__xludf.DUMMYFUNCTION("""COMPUTED_VALUE"""),57.0)</f>
        <v>57</v>
      </c>
      <c r="T1033" s="14">
        <f>IFERROR(__xludf.DUMMYFUNCTION("""COMPUTED_VALUE"""),0.385)</f>
        <v>0.385</v>
      </c>
      <c r="U1033" s="14">
        <f>IFERROR(__xludf.DUMMYFUNCTION("""COMPUTED_VALUE"""),0.574)</f>
        <v>0.574</v>
      </c>
      <c r="V1033" s="14">
        <f>IFERROR(__xludf.DUMMYFUNCTION("""COMPUTED_VALUE"""),0.041)</f>
        <v>0.041</v>
      </c>
      <c r="W1033" s="14">
        <f>IFERROR(__xludf.DUMMYFUNCTION("""COMPUTED_VALUE"""),9129933.0)</f>
        <v>9129933</v>
      </c>
      <c r="X1033" s="14">
        <f>IFERROR(__xludf.DUMMYFUNCTION("""COMPUTED_VALUE"""),0.424)</f>
        <v>0.424</v>
      </c>
      <c r="Y1033" s="14" t="str">
        <f>IFERROR(__xludf.DUMMYFUNCTION("""COMPUTED_VALUE"""),"Haiti-The Americas")</f>
        <v>Haiti-The Americas</v>
      </c>
      <c r="Z1033" s="14" t="str">
        <f>IFERROR(__xludf.DUMMYFUNCTION("""COMPUTED_VALUE"""),"The Americas")</f>
        <v>The Americas</v>
      </c>
      <c r="AA1033" s="14" t="str">
        <f>IFERROR(__xludf.DUMMYFUNCTION("""COMPUTED_VALUE"""),"2004")</f>
        <v>2004</v>
      </c>
      <c r="AB1033" s="15" t="str">
        <f>IFERROR(__xludf.DUMMYFUNCTION("ARRAYFORMULA(VLOOKUP(A1033,IMPORTRANGE(""https://docs.google.com/spreadsheets/d/1BuTWp7qHGjWhqrnf-OmePP568O4A5Am9ttzvVdP67zw/edit#gid=1931367683"" ,""ENERGY!$A$2:$F$2692""), {2,3,4,5,6},0))"),"The Americas")</f>
        <v>The Americas</v>
      </c>
      <c r="AC1033" s="14" t="str">
        <f>IFERROR(__xludf.DUMMYFUNCTION("""COMPUTED_VALUE"""),"Haiti-The Americas")</f>
        <v>Haiti-The Americas</v>
      </c>
      <c r="AD1033" s="14" t="str">
        <f>IFERROR(__xludf.DUMMYFUNCTION("""COMPUTED_VALUE"""),"2004")</f>
        <v>2004</v>
      </c>
      <c r="AE1033" s="14">
        <f>IFERROR(__xludf.DUMMYFUNCTION("""COMPUTED_VALUE"""),2927.0)</f>
        <v>2927</v>
      </c>
      <c r="AF1033" s="14">
        <f>IFERROR(__xludf.DUMMYFUNCTION("""COMPUTED_VALUE"""),2428.0)</f>
        <v>2428</v>
      </c>
    </row>
    <row r="1034">
      <c r="A1034" s="12">
        <v>1033.0</v>
      </c>
      <c r="B1034" s="12" t="s">
        <v>158</v>
      </c>
      <c r="C1034" s="5" t="s">
        <v>84</v>
      </c>
      <c r="D1034" s="11">
        <v>0.404</v>
      </c>
      <c r="E1034" s="11">
        <v>202.0</v>
      </c>
      <c r="F1034" s="8"/>
      <c r="G1034" s="11">
        <v>184.0</v>
      </c>
      <c r="H1034" s="11">
        <v>0.064</v>
      </c>
      <c r="I1034" s="11">
        <v>0.054</v>
      </c>
      <c r="J1034" s="9" t="s">
        <v>66</v>
      </c>
      <c r="K1034" s="14" t="str">
        <f>IFERROR(__xludf.DUMMYFUNCTION("ARRAYFORMULA(VLOOKUP(A1034,IMPORTRANGE(""https://docs.google.com/spreadsheets/d/1BuTWp7qHGjWhqrnf-OmePP568O4A5Am9ttzvVdP67zw/edit#gid=1603210130"", ""TOURISM!$A$2:$F$2692""), {2,3,4,5,6},0))"),"The Americas")</f>
        <v>The Americas</v>
      </c>
      <c r="L1034" s="14">
        <f>IFERROR(__xludf.DUMMYFUNCTION("""COMPUTED_VALUE"""),8.0E7)</f>
        <v>80000000</v>
      </c>
      <c r="M1034" s="14" t="str">
        <f>IFERROR(__xludf.DUMMYFUNCTION("""COMPUTED_VALUE"""),"Haiti-The Americas")</f>
        <v>Haiti-The Americas</v>
      </c>
      <c r="N1034" s="14" t="str">
        <f>IFERROR(__xludf.DUMMYFUNCTION("""COMPUTED_VALUE"""),"2005")</f>
        <v>2005</v>
      </c>
      <c r="O1034" s="14">
        <f>IFERROR(__xludf.DUMMYFUNCTION("""COMPUTED_VALUE"""),1.74E8)</f>
        <v>174000000</v>
      </c>
      <c r="P1034" s="15">
        <f>IFERROR(__xludf.DUMMYFUNCTION("ARRAYFORMULA(VLOOKUP(A1034,IMPORTRANGE(""https://docs.google.com/spreadsheets/d/1BuTWp7qHGjWhqrnf-OmePP568O4A5Am9ttzvVdP67zw/edit#gid=771602874"" ,""HUMAN RESOURCES!$A$2:$M$2692""), {2,3,4,5,6,7,8,9,10,11,12,13},0))"),0.029)</f>
        <v>0.029</v>
      </c>
      <c r="Q1034" s="14">
        <f>IFERROR(__xludf.DUMMYFUNCTION("""COMPUTED_VALUE"""),0.066)</f>
        <v>0.066</v>
      </c>
      <c r="R1034" s="14">
        <f>IFERROR(__xludf.DUMMYFUNCTION("""COMPUTED_VALUE"""),61.0)</f>
        <v>61</v>
      </c>
      <c r="S1034" s="14">
        <f>IFERROR(__xludf.DUMMYFUNCTION("""COMPUTED_VALUE"""),58.0)</f>
        <v>58</v>
      </c>
      <c r="T1034" s="14">
        <f>IFERROR(__xludf.DUMMYFUNCTION("""COMPUTED_VALUE"""),0.381)</f>
        <v>0.381</v>
      </c>
      <c r="U1034" s="14">
        <f>IFERROR(__xludf.DUMMYFUNCTION("""COMPUTED_VALUE"""),0.578)</f>
        <v>0.578</v>
      </c>
      <c r="V1034" s="14">
        <f>IFERROR(__xludf.DUMMYFUNCTION("""COMPUTED_VALUE"""),0.042)</f>
        <v>0.042</v>
      </c>
      <c r="W1034" s="14">
        <f>IFERROR(__xludf.DUMMYFUNCTION("""COMPUTED_VALUE"""),9260879.0)</f>
        <v>9260879</v>
      </c>
      <c r="X1034" s="14">
        <f>IFERROR(__xludf.DUMMYFUNCTION("""COMPUTED_VALUE"""),0.441)</f>
        <v>0.441</v>
      </c>
      <c r="Y1034" s="14" t="str">
        <f>IFERROR(__xludf.DUMMYFUNCTION("""COMPUTED_VALUE"""),"Haiti-The Americas")</f>
        <v>Haiti-The Americas</v>
      </c>
      <c r="Z1034" s="14" t="str">
        <f>IFERROR(__xludf.DUMMYFUNCTION("""COMPUTED_VALUE"""),"The Americas")</f>
        <v>The Americas</v>
      </c>
      <c r="AA1034" s="14" t="str">
        <f>IFERROR(__xludf.DUMMYFUNCTION("""COMPUTED_VALUE"""),"2005")</f>
        <v>2005</v>
      </c>
      <c r="AB1034" s="15" t="str">
        <f>IFERROR(__xludf.DUMMYFUNCTION("ARRAYFORMULA(VLOOKUP(A1034,IMPORTRANGE(""https://docs.google.com/spreadsheets/d/1BuTWp7qHGjWhqrnf-OmePP568O4A5Am9ttzvVdP67zw/edit#gid=1931367683"" ,""ENERGY!$A$2:$F$2692""), {2,3,4,5,6},0))"),"The Americas")</f>
        <v>The Americas</v>
      </c>
      <c r="AC1034" s="14" t="str">
        <f>IFERROR(__xludf.DUMMYFUNCTION("""COMPUTED_VALUE"""),"Haiti-The Americas")</f>
        <v>Haiti-The Americas</v>
      </c>
      <c r="AD1034" s="14" t="str">
        <f>IFERROR(__xludf.DUMMYFUNCTION("""COMPUTED_VALUE"""),"2007")</f>
        <v>2007</v>
      </c>
      <c r="AE1034" s="14">
        <f>IFERROR(__xludf.DUMMYFUNCTION("""COMPUTED_VALUE"""),2509.0)</f>
        <v>2509</v>
      </c>
      <c r="AF1034" s="14">
        <f>IFERROR(__xludf.DUMMYFUNCTION("""COMPUTED_VALUE"""),2391.0)</f>
        <v>2391</v>
      </c>
    </row>
    <row r="1035">
      <c r="A1035" s="12">
        <v>1034.0</v>
      </c>
      <c r="B1035" s="12" t="s">
        <v>158</v>
      </c>
      <c r="C1035" s="5" t="s">
        <v>84</v>
      </c>
      <c r="D1035" s="11">
        <v>0.404</v>
      </c>
      <c r="E1035" s="11">
        <v>202.0</v>
      </c>
      <c r="F1035" s="8"/>
      <c r="G1035" s="11">
        <v>184.0</v>
      </c>
      <c r="H1035" s="11">
        <v>0.068</v>
      </c>
      <c r="I1035" s="11">
        <v>0.128</v>
      </c>
      <c r="J1035" s="9" t="s">
        <v>67</v>
      </c>
      <c r="K1035" s="14" t="str">
        <f>IFERROR(__xludf.DUMMYFUNCTION("ARRAYFORMULA(VLOOKUP(A1035,IMPORTRANGE(""https://docs.google.com/spreadsheets/d/1BuTWp7qHGjWhqrnf-OmePP568O4A5Am9ttzvVdP67zw/edit#gid=1603210130"", ""TOURISM!$A$2:$F$2692""), {2,3,4,5,6},0))"),"The Americas")</f>
        <v>The Americas</v>
      </c>
      <c r="L1035" s="14">
        <f>IFERROR(__xludf.DUMMYFUNCTION("""COMPUTED_VALUE"""),1.26E8)</f>
        <v>126000000</v>
      </c>
      <c r="M1035" s="14" t="str">
        <f>IFERROR(__xludf.DUMMYFUNCTION("""COMPUTED_VALUE"""),"Haiti-The Americas")</f>
        <v>Haiti-The Americas</v>
      </c>
      <c r="N1035" s="14" t="str">
        <f>IFERROR(__xludf.DUMMYFUNCTION("""COMPUTED_VALUE"""),"2006")</f>
        <v>2006</v>
      </c>
      <c r="O1035" s="14">
        <f>IFERROR(__xludf.DUMMYFUNCTION("""COMPUTED_VALUE"""),2.39E8)</f>
        <v>239000000</v>
      </c>
      <c r="P1035" s="15">
        <f>IFERROR(__xludf.DUMMYFUNCTION("ARRAYFORMULA(VLOOKUP(A1035,IMPORTRANGE(""https://docs.google.com/spreadsheets/d/1BuTWp7qHGjWhqrnf-OmePP568O4A5Am9ttzvVdP67zw/edit#gid=771602874"" ,""HUMAN RESOURCES!$A$2:$M$2692""), {2,3,4,5,6,7,8,9,10,11,12,13},0))"),0.028)</f>
        <v>0.028</v>
      </c>
      <c r="Q1035" s="14">
        <f>IFERROR(__xludf.DUMMYFUNCTION("""COMPUTED_VALUE"""),0.064)</f>
        <v>0.064</v>
      </c>
      <c r="R1035" s="14">
        <f>IFERROR(__xludf.DUMMYFUNCTION("""COMPUTED_VALUE"""),62.0)</f>
        <v>62</v>
      </c>
      <c r="S1035" s="14">
        <f>IFERROR(__xludf.DUMMYFUNCTION("""COMPUTED_VALUE"""),58.0)</f>
        <v>58</v>
      </c>
      <c r="T1035" s="14">
        <f>IFERROR(__xludf.DUMMYFUNCTION("""COMPUTED_VALUE"""),0.377)</f>
        <v>0.377</v>
      </c>
      <c r="U1035" s="14">
        <f>IFERROR(__xludf.DUMMYFUNCTION("""COMPUTED_VALUE"""),0.581)</f>
        <v>0.581</v>
      </c>
      <c r="V1035" s="14">
        <f>IFERROR(__xludf.DUMMYFUNCTION("""COMPUTED_VALUE"""),0.042)</f>
        <v>0.042</v>
      </c>
      <c r="W1035" s="14">
        <f>IFERROR(__xludf.DUMMYFUNCTION("""COMPUTED_VALUE"""),9388642.0)</f>
        <v>9388642</v>
      </c>
      <c r="X1035" s="14">
        <f>IFERROR(__xludf.DUMMYFUNCTION("""COMPUTED_VALUE"""),0.458)</f>
        <v>0.458</v>
      </c>
      <c r="Y1035" s="14" t="str">
        <f>IFERROR(__xludf.DUMMYFUNCTION("""COMPUTED_VALUE"""),"Haiti-The Americas")</f>
        <v>Haiti-The Americas</v>
      </c>
      <c r="Z1035" s="14" t="str">
        <f>IFERROR(__xludf.DUMMYFUNCTION("""COMPUTED_VALUE"""),"The Americas")</f>
        <v>The Americas</v>
      </c>
      <c r="AA1035" s="14" t="str">
        <f>IFERROR(__xludf.DUMMYFUNCTION("""COMPUTED_VALUE"""),"2006")</f>
        <v>2006</v>
      </c>
      <c r="AB1035" s="15" t="str">
        <f>IFERROR(__xludf.DUMMYFUNCTION("ARRAYFORMULA(VLOOKUP(A1035,IMPORTRANGE(""https://docs.google.com/spreadsheets/d/1BuTWp7qHGjWhqrnf-OmePP568O4A5Am9ttzvVdP67zw/edit#gid=1931367683"" ,""ENERGY!$A$2:$F$2692""), {2,3,4,5,6},0))"),"The Americas")</f>
        <v>The Americas</v>
      </c>
      <c r="AC1035" s="14" t="str">
        <f>IFERROR(__xludf.DUMMYFUNCTION("""COMPUTED_VALUE"""),"Haiti-The Americas")</f>
        <v>Haiti-The Americas</v>
      </c>
      <c r="AD1035" s="14" t="str">
        <f>IFERROR(__xludf.DUMMYFUNCTION("""COMPUTED_VALUE"""),"2011")</f>
        <v>2011</v>
      </c>
      <c r="AE1035" s="14">
        <f>IFERROR(__xludf.DUMMYFUNCTION("""COMPUTED_VALUE"""),2645.0)</f>
        <v>2645</v>
      </c>
      <c r="AF1035" s="14">
        <f>IFERROR(__xludf.DUMMYFUNCTION("""COMPUTED_VALUE"""),2112.0)</f>
        <v>2112</v>
      </c>
    </row>
    <row r="1036">
      <c r="A1036" s="12">
        <v>1035.0</v>
      </c>
      <c r="B1036" s="12" t="s">
        <v>158</v>
      </c>
      <c r="C1036" s="5" t="s">
        <v>84</v>
      </c>
      <c r="D1036" s="11">
        <v>0.404</v>
      </c>
      <c r="E1036" s="11">
        <v>202.0</v>
      </c>
      <c r="F1036" s="8"/>
      <c r="G1036" s="11">
        <v>184.0</v>
      </c>
      <c r="H1036" s="11">
        <v>0.072</v>
      </c>
      <c r="I1036" s="11">
        <v>0.263</v>
      </c>
      <c r="J1036" s="9" t="s">
        <v>68</v>
      </c>
      <c r="K1036" s="14" t="str">
        <f>IFERROR(__xludf.DUMMYFUNCTION("ARRAYFORMULA(VLOOKUP(A1036,IMPORTRANGE(""https://docs.google.com/spreadsheets/d/1BuTWp7qHGjWhqrnf-OmePP568O4A5Am9ttzvVdP67zw/edit#gid=1603210130"", ""TOURISM!$A$2:$F$2692""), {2,3,4,5,6},0))"),"The Americas")</f>
        <v>The Americas</v>
      </c>
      <c r="L1036" s="14">
        <f>IFERROR(__xludf.DUMMYFUNCTION("""COMPUTED_VALUE"""),1.9E8)</f>
        <v>190000000</v>
      </c>
      <c r="M1036" s="14" t="str">
        <f>IFERROR(__xludf.DUMMYFUNCTION("""COMPUTED_VALUE"""),"Haiti-The Americas")</f>
        <v>Haiti-The Americas</v>
      </c>
      <c r="N1036" s="14" t="str">
        <f>IFERROR(__xludf.DUMMYFUNCTION("""COMPUTED_VALUE"""),"2007")</f>
        <v>2007</v>
      </c>
      <c r="O1036" s="14">
        <f>IFERROR(__xludf.DUMMYFUNCTION("""COMPUTED_VALUE"""),3.31E8)</f>
        <v>331000000</v>
      </c>
      <c r="P1036" s="15">
        <f>IFERROR(__xludf.DUMMYFUNCTION("ARRAYFORMULA(VLOOKUP(A1036,IMPORTRANGE(""https://docs.google.com/spreadsheets/d/1BuTWp7qHGjWhqrnf-OmePP568O4A5Am9ttzvVdP67zw/edit#gid=771602874"" ,""HUMAN RESOURCES!$A$2:$M$2692""), {2,3,4,5,6,7,8,9,10,11,12,13},0))"),0.028)</f>
        <v>0.028</v>
      </c>
      <c r="Q1036" s="14">
        <f>IFERROR(__xludf.DUMMYFUNCTION("""COMPUTED_VALUE"""),0.063)</f>
        <v>0.063</v>
      </c>
      <c r="R1036" s="14">
        <f>IFERROR(__xludf.DUMMYFUNCTION("""COMPUTED_VALUE"""),62.0)</f>
        <v>62</v>
      </c>
      <c r="S1036" s="14">
        <f>IFERROR(__xludf.DUMMYFUNCTION("""COMPUTED_VALUE"""),59.0)</f>
        <v>59</v>
      </c>
      <c r="T1036" s="14">
        <f>IFERROR(__xludf.DUMMYFUNCTION("""COMPUTED_VALUE"""),0.373)</f>
        <v>0.373</v>
      </c>
      <c r="U1036" s="14">
        <f>IFERROR(__xludf.DUMMYFUNCTION("""COMPUTED_VALUE"""),0.584)</f>
        <v>0.584</v>
      </c>
      <c r="V1036" s="14">
        <f>IFERROR(__xludf.DUMMYFUNCTION("""COMPUTED_VALUE"""),0.043)</f>
        <v>0.043</v>
      </c>
      <c r="W1036" s="14">
        <f>IFERROR(__xludf.DUMMYFUNCTION("""COMPUTED_VALUE"""),9513714.0)</f>
        <v>9513714</v>
      </c>
      <c r="X1036" s="14">
        <f>IFERROR(__xludf.DUMMYFUNCTION("""COMPUTED_VALUE"""),0.474)</f>
        <v>0.474</v>
      </c>
      <c r="Y1036" s="14" t="str">
        <f>IFERROR(__xludf.DUMMYFUNCTION("""COMPUTED_VALUE"""),"Haiti-The Americas")</f>
        <v>Haiti-The Americas</v>
      </c>
      <c r="Z1036" s="14" t="str">
        <f>IFERROR(__xludf.DUMMYFUNCTION("""COMPUTED_VALUE"""),"The Americas")</f>
        <v>The Americas</v>
      </c>
      <c r="AA1036" s="14" t="str">
        <f>IFERROR(__xludf.DUMMYFUNCTION("""COMPUTED_VALUE"""),"2007")</f>
        <v>2007</v>
      </c>
      <c r="AB1036" s="15" t="str">
        <f>IFERROR(__xludf.DUMMYFUNCTION("ARRAYFORMULA(VLOOKUP(A1036,IMPORTRANGE(""https://docs.google.com/spreadsheets/d/1BuTWp7qHGjWhqrnf-OmePP568O4A5Am9ttzvVdP67zw/edit#gid=1931367683"" ,""ENERGY!$A$2:$F$2692""), {2,3,4,5,6},0))"),"The Americas")</f>
        <v>The Americas</v>
      </c>
      <c r="AC1036" s="14" t="str">
        <f>IFERROR(__xludf.DUMMYFUNCTION("""COMPUTED_VALUE"""),"Haiti-The Americas")</f>
        <v>Haiti-The Americas</v>
      </c>
      <c r="AD1036" s="14" t="str">
        <f>IFERROR(__xludf.DUMMYFUNCTION("""COMPUTED_VALUE"""),"2008")</f>
        <v>2008</v>
      </c>
      <c r="AE1036" s="14">
        <f>IFERROR(__xludf.DUMMYFUNCTION("""COMPUTED_VALUE"""),2585.0)</f>
        <v>2585</v>
      </c>
      <c r="AF1036" s="14">
        <f>IFERROR(__xludf.DUMMYFUNCTION("""COMPUTED_VALUE"""),2076.0)</f>
        <v>2076</v>
      </c>
    </row>
    <row r="1037">
      <c r="A1037" s="12">
        <v>1036.0</v>
      </c>
      <c r="B1037" s="12" t="s">
        <v>158</v>
      </c>
      <c r="C1037" s="5" t="s">
        <v>84</v>
      </c>
      <c r="D1037" s="11">
        <v>0.404</v>
      </c>
      <c r="E1037" s="11">
        <v>195.0</v>
      </c>
      <c r="F1037" s="8"/>
      <c r="G1037" s="11">
        <v>184.0</v>
      </c>
      <c r="H1037" s="11">
        <v>0.076</v>
      </c>
      <c r="I1037" s="11">
        <v>0.332</v>
      </c>
      <c r="J1037" s="9" t="s">
        <v>69</v>
      </c>
      <c r="K1037" s="14" t="str">
        <f>IFERROR(__xludf.DUMMYFUNCTION("ARRAYFORMULA(VLOOKUP(A1037,IMPORTRANGE(""https://docs.google.com/spreadsheets/d/1BuTWp7qHGjWhqrnf-OmePP568O4A5Am9ttzvVdP67zw/edit#gid=1603210130"", ""TOURISM!$A$2:$F$2692""), {2,3,4,5,6},0))"),"The Americas")</f>
        <v>The Americas</v>
      </c>
      <c r="L1037" s="14">
        <f>IFERROR(__xludf.DUMMYFUNCTION("""COMPUTED_VALUE"""),2.76E8)</f>
        <v>276000000</v>
      </c>
      <c r="M1037" s="14" t="str">
        <f>IFERROR(__xludf.DUMMYFUNCTION("""COMPUTED_VALUE"""),"Haiti-The Americas")</f>
        <v>Haiti-The Americas</v>
      </c>
      <c r="N1037" s="14" t="str">
        <f>IFERROR(__xludf.DUMMYFUNCTION("""COMPUTED_VALUE"""),"2008")</f>
        <v>2008</v>
      </c>
      <c r="O1037" s="14">
        <f>IFERROR(__xludf.DUMMYFUNCTION("""COMPUTED_VALUE"""),3.83E8)</f>
        <v>383000000</v>
      </c>
      <c r="P1037" s="15">
        <f>IFERROR(__xludf.DUMMYFUNCTION("ARRAYFORMULA(VLOOKUP(A1037,IMPORTRANGE(""https://docs.google.com/spreadsheets/d/1BuTWp7qHGjWhqrnf-OmePP568O4A5Am9ttzvVdP67zw/edit#gid=771602874"" ,""HUMAN RESOURCES!$A$2:$M$2692""), {2,3,4,5,6,7,8,9,10,11,12,13},0))"),0.027)</f>
        <v>0.027</v>
      </c>
      <c r="Q1037" s="14">
        <f>IFERROR(__xludf.DUMMYFUNCTION("""COMPUTED_VALUE"""),0.061)</f>
        <v>0.061</v>
      </c>
      <c r="R1037" s="14">
        <f>IFERROR(__xludf.DUMMYFUNCTION("""COMPUTED_VALUE"""),63.0)</f>
        <v>63</v>
      </c>
      <c r="S1037" s="14">
        <f>IFERROR(__xludf.DUMMYFUNCTION("""COMPUTED_VALUE"""),59.0)</f>
        <v>59</v>
      </c>
      <c r="T1037" s="14">
        <f>IFERROR(__xludf.DUMMYFUNCTION("""COMPUTED_VALUE"""),0.369)</f>
        <v>0.369</v>
      </c>
      <c r="U1037" s="14">
        <f>IFERROR(__xludf.DUMMYFUNCTION("""COMPUTED_VALUE"""),0.587)</f>
        <v>0.587</v>
      </c>
      <c r="V1037" s="14">
        <f>IFERROR(__xludf.DUMMYFUNCTION("""COMPUTED_VALUE"""),0.044)</f>
        <v>0.044</v>
      </c>
      <c r="W1037" s="14">
        <f>IFERROR(__xludf.DUMMYFUNCTION("""COMPUTED_VALUE"""),9638255.0)</f>
        <v>9638255</v>
      </c>
      <c r="X1037" s="14">
        <f>IFERROR(__xludf.DUMMYFUNCTION("""COMPUTED_VALUE"""),0.49)</f>
        <v>0.49</v>
      </c>
      <c r="Y1037" s="14" t="str">
        <f>IFERROR(__xludf.DUMMYFUNCTION("""COMPUTED_VALUE"""),"Haiti-The Americas")</f>
        <v>Haiti-The Americas</v>
      </c>
      <c r="Z1037" s="14" t="str">
        <f>IFERROR(__xludf.DUMMYFUNCTION("""COMPUTED_VALUE"""),"The Americas")</f>
        <v>The Americas</v>
      </c>
      <c r="AA1037" s="14" t="str">
        <f>IFERROR(__xludf.DUMMYFUNCTION("""COMPUTED_VALUE"""),"2008")</f>
        <v>2008</v>
      </c>
      <c r="AB1037" s="15" t="str">
        <f>IFERROR(__xludf.DUMMYFUNCTION("ARRAYFORMULA(VLOOKUP(A1037,IMPORTRANGE(""https://docs.google.com/spreadsheets/d/1BuTWp7qHGjWhqrnf-OmePP568O4A5Am9ttzvVdP67zw/edit#gid=1931367683"" ,""ENERGY!$A$2:$F$2692""), {2,3,4,5,6},0))"),"The Americas")</f>
        <v>The Americas</v>
      </c>
      <c r="AC1037" s="14" t="str">
        <f>IFERROR(__xludf.DUMMYFUNCTION("""COMPUTED_VALUE"""),"Haiti-The Americas")</f>
        <v>Haiti-The Americas</v>
      </c>
      <c r="AD1037" s="14" t="str">
        <f>IFERROR(__xludf.DUMMYFUNCTION("""COMPUTED_VALUE"""),"2005")</f>
        <v>2005</v>
      </c>
      <c r="AE1037" s="14">
        <f>IFERROR(__xludf.DUMMYFUNCTION("""COMPUTED_VALUE"""),2288.0)</f>
        <v>2288</v>
      </c>
      <c r="AF1037" s="14">
        <f>IFERROR(__xludf.DUMMYFUNCTION("""COMPUTED_VALUE"""),1988.0)</f>
        <v>1988</v>
      </c>
    </row>
    <row r="1038">
      <c r="A1038" s="12">
        <v>1037.0</v>
      </c>
      <c r="B1038" s="12" t="s">
        <v>158</v>
      </c>
      <c r="C1038" s="5" t="s">
        <v>84</v>
      </c>
      <c r="D1038" s="11">
        <v>0.404</v>
      </c>
      <c r="E1038" s="11">
        <v>195.0</v>
      </c>
      <c r="F1038" s="8"/>
      <c r="G1038" s="11">
        <v>184.0</v>
      </c>
      <c r="H1038" s="11">
        <v>0.081</v>
      </c>
      <c r="I1038" s="11">
        <v>0.374</v>
      </c>
      <c r="J1038" s="9" t="s">
        <v>70</v>
      </c>
      <c r="K1038" s="14" t="str">
        <f>IFERROR(__xludf.DUMMYFUNCTION("ARRAYFORMULA(VLOOKUP(A1038,IMPORTRANGE(""https://docs.google.com/spreadsheets/d/1BuTWp7qHGjWhqrnf-OmePP568O4A5Am9ttzvVdP67zw/edit#gid=1603210130"", ""TOURISM!$A$2:$F$2692""), {2,3,4,5,6},0))"),"The Americas")</f>
        <v>The Americas</v>
      </c>
      <c r="L1038" s="14">
        <f>IFERROR(__xludf.DUMMYFUNCTION("""COMPUTED_VALUE"""),3.12E8)</f>
        <v>312000000</v>
      </c>
      <c r="M1038" s="14" t="str">
        <f>IFERROR(__xludf.DUMMYFUNCTION("""COMPUTED_VALUE"""),"Haiti-The Americas")</f>
        <v>Haiti-The Americas</v>
      </c>
      <c r="N1038" s="14" t="str">
        <f>IFERROR(__xludf.DUMMYFUNCTION("""COMPUTED_VALUE"""),"2009")</f>
        <v>2009</v>
      </c>
      <c r="O1038" s="14">
        <f>IFERROR(__xludf.DUMMYFUNCTION("""COMPUTED_VALUE"""),4.33E8)</f>
        <v>433000000</v>
      </c>
      <c r="P1038" s="15">
        <f>IFERROR(__xludf.DUMMYFUNCTION("ARRAYFORMULA(VLOOKUP(A1038,IMPORTRANGE(""https://docs.google.com/spreadsheets/d/1BuTWp7qHGjWhqrnf-OmePP568O4A5Am9ttzvVdP67zw/edit#gid=771602874"" ,""HUMAN RESOURCES!$A$2:$M$2692""), {2,3,4,5,6,7,8,9,10,11,12,13},0))"),0.027)</f>
        <v>0.027</v>
      </c>
      <c r="Q1038" s="14">
        <f>IFERROR(__xludf.DUMMYFUNCTION("""COMPUTED_VALUE"""),0.06)</f>
        <v>0.06</v>
      </c>
      <c r="R1038" s="14">
        <f>IFERROR(__xludf.DUMMYFUNCTION("""COMPUTED_VALUE"""),63.0)</f>
        <v>63</v>
      </c>
      <c r="S1038" s="14">
        <f>IFERROR(__xludf.DUMMYFUNCTION("""COMPUTED_VALUE"""),60.0)</f>
        <v>60</v>
      </c>
      <c r="T1038" s="14">
        <f>IFERROR(__xludf.DUMMYFUNCTION("""COMPUTED_VALUE"""),0.365)</f>
        <v>0.365</v>
      </c>
      <c r="U1038" s="14">
        <f>IFERROR(__xludf.DUMMYFUNCTION("""COMPUTED_VALUE"""),0.59)</f>
        <v>0.59</v>
      </c>
      <c r="V1038" s="14">
        <f>IFERROR(__xludf.DUMMYFUNCTION("""COMPUTED_VALUE"""),0.044)</f>
        <v>0.044</v>
      </c>
      <c r="W1038" s="14">
        <f>IFERROR(__xludf.DUMMYFUNCTION("""COMPUTED_VALUE"""),9765153.0)</f>
        <v>9765153</v>
      </c>
      <c r="X1038" s="14">
        <f>IFERROR(__xludf.DUMMYFUNCTION("""COMPUTED_VALUE"""),0.505)</f>
        <v>0.505</v>
      </c>
      <c r="Y1038" s="14" t="str">
        <f>IFERROR(__xludf.DUMMYFUNCTION("""COMPUTED_VALUE"""),"Haiti-The Americas")</f>
        <v>Haiti-The Americas</v>
      </c>
      <c r="Z1038" s="14" t="str">
        <f>IFERROR(__xludf.DUMMYFUNCTION("""COMPUTED_VALUE"""),"The Americas")</f>
        <v>The Americas</v>
      </c>
      <c r="AA1038" s="14" t="str">
        <f>IFERROR(__xludf.DUMMYFUNCTION("""COMPUTED_VALUE"""),"2009")</f>
        <v>2009</v>
      </c>
      <c r="AB1038" s="15" t="str">
        <f>IFERROR(__xludf.DUMMYFUNCTION("ARRAYFORMULA(VLOOKUP(A1038,IMPORTRANGE(""https://docs.google.com/spreadsheets/d/1BuTWp7qHGjWhqrnf-OmePP568O4A5Am9ttzvVdP67zw/edit#gid=1931367683"" ,""ENERGY!$A$2:$F$2692""), {2,3,4,5,6},0))"),"The Americas")</f>
        <v>The Americas</v>
      </c>
      <c r="AC1038" s="14" t="str">
        <f>IFERROR(__xludf.DUMMYFUNCTION("""COMPUTED_VALUE"""),"Haiti-The Americas")</f>
        <v>Haiti-The Americas</v>
      </c>
      <c r="AD1038" s="14" t="str">
        <f>IFERROR(__xludf.DUMMYFUNCTION("""COMPUTED_VALUE"""),"2010")</f>
        <v>2010</v>
      </c>
      <c r="AE1038" s="14">
        <f>IFERROR(__xludf.DUMMYFUNCTION("""COMPUTED_VALUE"""),2218.0)</f>
        <v>2218</v>
      </c>
      <c r="AF1038" s="14">
        <f>IFERROR(__xludf.DUMMYFUNCTION("""COMPUTED_VALUE"""),1734.0)</f>
        <v>1734</v>
      </c>
    </row>
    <row r="1039">
      <c r="A1039" s="12">
        <v>1038.0</v>
      </c>
      <c r="B1039" s="12" t="s">
        <v>158</v>
      </c>
      <c r="C1039" s="5" t="s">
        <v>84</v>
      </c>
      <c r="D1039" s="11">
        <v>0.404</v>
      </c>
      <c r="E1039" s="11">
        <v>105.0</v>
      </c>
      <c r="F1039" s="8"/>
      <c r="G1039" s="11">
        <v>184.0</v>
      </c>
      <c r="H1039" s="11">
        <v>0.084</v>
      </c>
      <c r="I1039" s="11">
        <v>0.404</v>
      </c>
      <c r="J1039" s="9" t="s">
        <v>71</v>
      </c>
      <c r="K1039" s="14" t="str">
        <f>IFERROR(__xludf.DUMMYFUNCTION("ARRAYFORMULA(VLOOKUP(A1039,IMPORTRANGE(""https://docs.google.com/spreadsheets/d/1BuTWp7qHGjWhqrnf-OmePP568O4A5Am9ttzvVdP67zw/edit#gid=1603210130"", ""TOURISM!$A$2:$F$2692""), {2,3,4,5,6},0))"),"The Americas")</f>
        <v>The Americas</v>
      </c>
      <c r="L1039" s="14">
        <f>IFERROR(__xludf.DUMMYFUNCTION("""COMPUTED_VALUE"""),1.69E8)</f>
        <v>169000000</v>
      </c>
      <c r="M1039" s="14" t="str">
        <f>IFERROR(__xludf.DUMMYFUNCTION("""COMPUTED_VALUE"""),"Haiti-The Americas")</f>
        <v>Haiti-The Americas</v>
      </c>
      <c r="N1039" s="14" t="str">
        <f>IFERROR(__xludf.DUMMYFUNCTION("""COMPUTED_VALUE"""),"2010")</f>
        <v>2010</v>
      </c>
      <c r="O1039" s="14">
        <f>IFERROR(__xludf.DUMMYFUNCTION("""COMPUTED_VALUE"""),4.31E8)</f>
        <v>431000000</v>
      </c>
      <c r="P1039" s="15">
        <f>IFERROR(__xludf.DUMMYFUNCTION("ARRAYFORMULA(VLOOKUP(A1039,IMPORTRANGE(""https://docs.google.com/spreadsheets/d/1BuTWp7qHGjWhqrnf-OmePP568O4A5Am9ttzvVdP67zw/edit#gid=771602874"" ,""HUMAN RESOURCES!$A$2:$M$2692""), {2,3,4,5,6,7,8,9,10,11,12,13},0))"),0.027)</f>
        <v>0.027</v>
      </c>
      <c r="Q1039" s="14">
        <f>IFERROR(__xludf.DUMMYFUNCTION("""COMPUTED_VALUE"""),0.073)</f>
        <v>0.073</v>
      </c>
      <c r="R1039" s="14">
        <f>IFERROR(__xludf.DUMMYFUNCTION("""COMPUTED_VALUE"""),64.0)</f>
        <v>64</v>
      </c>
      <c r="S1039" s="14">
        <f>IFERROR(__xludf.DUMMYFUNCTION("""COMPUTED_VALUE"""),60.0)</f>
        <v>60</v>
      </c>
      <c r="T1039" s="14">
        <f>IFERROR(__xludf.DUMMYFUNCTION("""COMPUTED_VALUE"""),0.362)</f>
        <v>0.362</v>
      </c>
      <c r="U1039" s="14">
        <f>IFERROR(__xludf.DUMMYFUNCTION("""COMPUTED_VALUE"""),0.594)</f>
        <v>0.594</v>
      </c>
      <c r="V1039" s="14">
        <f>IFERROR(__xludf.DUMMYFUNCTION("""COMPUTED_VALUE"""),0.045)</f>
        <v>0.045</v>
      </c>
      <c r="W1039" s="14">
        <f>IFERROR(__xludf.DUMMYFUNCTION("""COMPUTED_VALUE"""),9896400.0)</f>
        <v>9896400</v>
      </c>
      <c r="X1039" s="14">
        <f>IFERROR(__xludf.DUMMYFUNCTION("""COMPUTED_VALUE"""),0.52)</f>
        <v>0.52</v>
      </c>
      <c r="Y1039" s="14" t="str">
        <f>IFERROR(__xludf.DUMMYFUNCTION("""COMPUTED_VALUE"""),"Haiti-The Americas")</f>
        <v>Haiti-The Americas</v>
      </c>
      <c r="Z1039" s="14" t="str">
        <f>IFERROR(__xludf.DUMMYFUNCTION("""COMPUTED_VALUE"""),"The Americas")</f>
        <v>The Americas</v>
      </c>
      <c r="AA1039" s="14" t="str">
        <f>IFERROR(__xludf.DUMMYFUNCTION("""COMPUTED_VALUE"""),"2010")</f>
        <v>2010</v>
      </c>
      <c r="AB1039" s="15" t="str">
        <f>IFERROR(__xludf.DUMMYFUNCTION("ARRAYFORMULA(VLOOKUP(A1039,IMPORTRANGE(""https://docs.google.com/spreadsheets/d/1BuTWp7qHGjWhqrnf-OmePP568O4A5Am9ttzvVdP67zw/edit#gid=1931367683"" ,""ENERGY!$A$2:$F$2692""), {2,3,4,5,6},0))"),"The Americas")</f>
        <v>The Americas</v>
      </c>
      <c r="AC1039" s="14" t="str">
        <f>IFERROR(__xludf.DUMMYFUNCTION("""COMPUTED_VALUE"""),"Haiti-The Americas")</f>
        <v>Haiti-The Americas</v>
      </c>
      <c r="AD1039" s="14" t="str">
        <f>IFERROR(__xludf.DUMMYFUNCTION("""COMPUTED_VALUE"""),"2010")</f>
        <v>2010</v>
      </c>
      <c r="AE1039" s="14">
        <f>IFERROR(__xludf.DUMMYFUNCTION("""COMPUTED_VALUE"""),2309.0)</f>
        <v>2309</v>
      </c>
      <c r="AF1039" s="14">
        <f>IFERROR(__xludf.DUMMYFUNCTION("""COMPUTED_VALUE"""),1826.0)</f>
        <v>1826</v>
      </c>
    </row>
    <row r="1040">
      <c r="A1040" s="12">
        <v>1039.0</v>
      </c>
      <c r="B1040" s="12" t="s">
        <v>158</v>
      </c>
      <c r="C1040" s="5" t="s">
        <v>84</v>
      </c>
      <c r="D1040" s="11">
        <v>0.404</v>
      </c>
      <c r="E1040" s="11">
        <v>105.0</v>
      </c>
      <c r="F1040" s="8"/>
      <c r="G1040" s="11">
        <v>184.0</v>
      </c>
      <c r="H1040" s="11">
        <v>0.09</v>
      </c>
      <c r="I1040" s="11">
        <v>0.419</v>
      </c>
      <c r="J1040" s="9" t="s">
        <v>72</v>
      </c>
      <c r="K1040" s="14" t="str">
        <f>IFERROR(__xludf.DUMMYFUNCTION("ARRAYFORMULA(VLOOKUP(A1040,IMPORTRANGE(""https://docs.google.com/spreadsheets/d/1BuTWp7qHGjWhqrnf-OmePP568O4A5Am9ttzvVdP67zw/edit#gid=1603210130"", ""TOURISM!$A$2:$F$2692""), {2,3,4,5,6},0))"),"The Americas")</f>
        <v>The Americas</v>
      </c>
      <c r="L1040" s="14">
        <f>IFERROR(__xludf.DUMMYFUNCTION("""COMPUTED_VALUE"""),1.62E8)</f>
        <v>162000000</v>
      </c>
      <c r="M1040" s="14" t="str">
        <f>IFERROR(__xludf.DUMMYFUNCTION("""COMPUTED_VALUE"""),"Haiti-The Americas")</f>
        <v>Haiti-The Americas</v>
      </c>
      <c r="N1040" s="14" t="str">
        <f>IFERROR(__xludf.DUMMYFUNCTION("""COMPUTED_VALUE"""),"2011")</f>
        <v>2011</v>
      </c>
      <c r="O1040" s="14">
        <f>IFERROR(__xludf.DUMMYFUNCTION("""COMPUTED_VALUE"""),4.58E8)</f>
        <v>458000000</v>
      </c>
      <c r="P1040" s="15">
        <f>IFERROR(__xludf.DUMMYFUNCTION("ARRAYFORMULA(VLOOKUP(A1040,IMPORTRANGE(""https://docs.google.com/spreadsheets/d/1BuTWp7qHGjWhqrnf-OmePP568O4A5Am9ttzvVdP67zw/edit#gid=771602874"" ,""HUMAN RESOURCES!$A$2:$M$2692""), {2,3,4,5,6,7,8,9,10,11,12,13},0))"),0.026)</f>
        <v>0.026</v>
      </c>
      <c r="Q1040" s="14">
        <f>IFERROR(__xludf.DUMMYFUNCTION("""COMPUTED_VALUE"""),0.057)</f>
        <v>0.057</v>
      </c>
      <c r="R1040" s="14">
        <f>IFERROR(__xludf.DUMMYFUNCTION("""COMPUTED_VALUE"""),64.0)</f>
        <v>64</v>
      </c>
      <c r="S1040" s="14">
        <f>IFERROR(__xludf.DUMMYFUNCTION("""COMPUTED_VALUE"""),61.0)</f>
        <v>61</v>
      </c>
      <c r="T1040" s="14">
        <f>IFERROR(__xludf.DUMMYFUNCTION("""COMPUTED_VALUE"""),0.358)</f>
        <v>0.358</v>
      </c>
      <c r="U1040" s="14">
        <f>IFERROR(__xludf.DUMMYFUNCTION("""COMPUTED_VALUE"""),0.598)</f>
        <v>0.598</v>
      </c>
      <c r="V1040" s="14">
        <f>IFERROR(__xludf.DUMMYFUNCTION("""COMPUTED_VALUE"""),0.045)</f>
        <v>0.045</v>
      </c>
      <c r="W1040" s="14">
        <f>IFERROR(__xludf.DUMMYFUNCTION("""COMPUTED_VALUE"""),1.0032864E7)</f>
        <v>10032864</v>
      </c>
      <c r="X1040" s="14">
        <f>IFERROR(__xludf.DUMMYFUNCTION("""COMPUTED_VALUE"""),0.535)</f>
        <v>0.535</v>
      </c>
      <c r="Y1040" s="14" t="str">
        <f>IFERROR(__xludf.DUMMYFUNCTION("""COMPUTED_VALUE"""),"Haiti-The Americas")</f>
        <v>Haiti-The Americas</v>
      </c>
      <c r="Z1040" s="14" t="str">
        <f>IFERROR(__xludf.DUMMYFUNCTION("""COMPUTED_VALUE"""),"The Americas")</f>
        <v>The Americas</v>
      </c>
      <c r="AA1040" s="14" t="str">
        <f>IFERROR(__xludf.DUMMYFUNCTION("""COMPUTED_VALUE"""),"2011")</f>
        <v>2011</v>
      </c>
      <c r="AB1040" s="15" t="str">
        <f>IFERROR(__xludf.DUMMYFUNCTION("ARRAYFORMULA(VLOOKUP(A1040,IMPORTRANGE(""https://docs.google.com/spreadsheets/d/1BuTWp7qHGjWhqrnf-OmePP568O4A5Am9ttzvVdP67zw/edit#gid=1931367683"" ,""ENERGY!$A$2:$F$2692""), {2,3,4,5,6},0))"),"The Americas")</f>
        <v>The Americas</v>
      </c>
      <c r="AC1040" s="14" t="str">
        <f>IFERROR(__xludf.DUMMYFUNCTION("""COMPUTED_VALUE"""),"Haiti-The Americas")</f>
        <v>Haiti-The Americas</v>
      </c>
      <c r="AD1040" s="14" t="str">
        <f>IFERROR(__xludf.DUMMYFUNCTION("""COMPUTED_VALUE"""),"2005")</f>
        <v>2005</v>
      </c>
      <c r="AE1040" s="14">
        <f>IFERROR(__xludf.DUMMYFUNCTION("""COMPUTED_VALUE"""),2054.0)</f>
        <v>2054</v>
      </c>
      <c r="AF1040" s="14">
        <f>IFERROR(__xludf.DUMMYFUNCTION("""COMPUTED_VALUE"""),1569.0)</f>
        <v>1569</v>
      </c>
    </row>
    <row r="1041">
      <c r="A1041" s="12">
        <v>1040.0</v>
      </c>
      <c r="B1041" s="12" t="s">
        <v>158</v>
      </c>
      <c r="C1041" s="5" t="s">
        <v>84</v>
      </c>
      <c r="D1041" s="11">
        <v>0.404</v>
      </c>
      <c r="E1041" s="11">
        <v>105.0</v>
      </c>
      <c r="F1041" s="11">
        <v>177.0</v>
      </c>
      <c r="G1041" s="11">
        <v>184.0</v>
      </c>
      <c r="H1041" s="11">
        <v>0.098</v>
      </c>
      <c r="I1041" s="11">
        <v>0.599</v>
      </c>
      <c r="J1041" s="9" t="s">
        <v>73</v>
      </c>
      <c r="K1041" s="14" t="str">
        <f>IFERROR(__xludf.DUMMYFUNCTION("ARRAYFORMULA(VLOOKUP(A1041,IMPORTRANGE(""https://docs.google.com/spreadsheets/d/1BuTWp7qHGjWhqrnf-OmePP568O4A5Am9ttzvVdP67zw/edit#gid=1603210130"", ""TOURISM!$A$2:$F$2692""), {2,3,4,5,6},0))"),"The Americas")</f>
        <v>The Americas</v>
      </c>
      <c r="L1041" s="14">
        <f>IFERROR(__xludf.DUMMYFUNCTION("""COMPUTED_VALUE"""),1.7E8)</f>
        <v>170000000</v>
      </c>
      <c r="M1041" s="14" t="str">
        <f>IFERROR(__xludf.DUMMYFUNCTION("""COMPUTED_VALUE"""),"Haiti-The Americas")</f>
        <v>Haiti-The Americas</v>
      </c>
      <c r="N1041" s="14" t="str">
        <f>IFERROR(__xludf.DUMMYFUNCTION("""COMPUTED_VALUE"""),"2012")</f>
        <v>2012</v>
      </c>
      <c r="O1041" s="14">
        <f>IFERROR(__xludf.DUMMYFUNCTION("""COMPUTED_VALUE"""),4.74E8)</f>
        <v>474000000</v>
      </c>
      <c r="P1041" s="15">
        <f>IFERROR(__xludf.DUMMYFUNCTION("ARRAYFORMULA(VLOOKUP(A1041,IMPORTRANGE(""https://docs.google.com/spreadsheets/d/1BuTWp7qHGjWhqrnf-OmePP568O4A5Am9ttzvVdP67zw/edit#gid=771602874"" ,""HUMAN RESOURCES!$A$2:$M$2692""), {2,3,4,5,6,7,8,9,10,11,12,13},0))"),0.026)</f>
        <v>0.026</v>
      </c>
      <c r="Q1041" s="14">
        <f>IFERROR(__xludf.DUMMYFUNCTION("""COMPUTED_VALUE"""),0.056)</f>
        <v>0.056</v>
      </c>
      <c r="R1041" s="14">
        <f>IFERROR(__xludf.DUMMYFUNCTION("""COMPUTED_VALUE"""),65.0)</f>
        <v>65</v>
      </c>
      <c r="S1041" s="14">
        <f>IFERROR(__xludf.DUMMYFUNCTION("""COMPUTED_VALUE"""),61.0)</f>
        <v>61</v>
      </c>
      <c r="T1041" s="14">
        <f>IFERROR(__xludf.DUMMYFUNCTION("""COMPUTED_VALUE"""),0.354)</f>
        <v>0.354</v>
      </c>
      <c r="U1041" s="14">
        <f>IFERROR(__xludf.DUMMYFUNCTION("""COMPUTED_VALUE"""),0.601)</f>
        <v>0.601</v>
      </c>
      <c r="V1041" s="14">
        <f>IFERROR(__xludf.DUMMYFUNCTION("""COMPUTED_VALUE"""),0.045)</f>
        <v>0.045</v>
      </c>
      <c r="W1041" s="14">
        <f>IFERROR(__xludf.DUMMYFUNCTION("""COMPUTED_VALUE"""),1.0173775E7)</f>
        <v>10173775</v>
      </c>
      <c r="X1041" s="14">
        <f>IFERROR(__xludf.DUMMYFUNCTION("""COMPUTED_VALUE"""),0.548)</f>
        <v>0.548</v>
      </c>
      <c r="Y1041" s="14" t="str">
        <f>IFERROR(__xludf.DUMMYFUNCTION("""COMPUTED_VALUE"""),"Haiti-The Americas")</f>
        <v>Haiti-The Americas</v>
      </c>
      <c r="Z1041" s="14" t="str">
        <f>IFERROR(__xludf.DUMMYFUNCTION("""COMPUTED_VALUE"""),"The Americas")</f>
        <v>The Americas</v>
      </c>
      <c r="AA1041" s="14" t="str">
        <f>IFERROR(__xludf.DUMMYFUNCTION("""COMPUTED_VALUE"""),"2012")</f>
        <v>2012</v>
      </c>
      <c r="AB1041" s="15" t="str">
        <f>IFERROR(__xludf.DUMMYFUNCTION("ARRAYFORMULA(VLOOKUP(A1041,IMPORTRANGE(""https://docs.google.com/spreadsheets/d/1BuTWp7qHGjWhqrnf-OmePP568O4A5Am9ttzvVdP67zw/edit#gid=1931367683"" ,""ENERGY!$A$2:$F$2692""), {2,3,4,5,6},0))"),"The Americas")</f>
        <v>The Americas</v>
      </c>
      <c r="AC1041" s="14" t="str">
        <f>IFERROR(__xludf.DUMMYFUNCTION("""COMPUTED_VALUE"""),"Haiti-The Americas")</f>
        <v>Haiti-The Americas</v>
      </c>
      <c r="AD1041" s="14" t="str">
        <f>IFERROR(__xludf.DUMMYFUNCTION("""COMPUTED_VALUE"""),"2010")</f>
        <v>2010</v>
      </c>
      <c r="AE1041" s="14">
        <f>IFERROR(__xludf.DUMMYFUNCTION("""COMPUTED_VALUE"""),2010.0)</f>
        <v>2010</v>
      </c>
      <c r="AF1041" s="14">
        <f>IFERROR(__xludf.DUMMYFUNCTION("""COMPUTED_VALUE"""),1368.0)</f>
        <v>1368</v>
      </c>
    </row>
    <row r="1042">
      <c r="A1042" s="12">
        <v>1041.0</v>
      </c>
      <c r="B1042" s="12" t="s">
        <v>159</v>
      </c>
      <c r="C1042" s="5" t="s">
        <v>84</v>
      </c>
      <c r="D1042" s="8"/>
      <c r="E1042" s="8"/>
      <c r="F1042" s="8"/>
      <c r="G1042" s="8"/>
      <c r="H1042" s="11">
        <v>0.012</v>
      </c>
      <c r="I1042" s="11">
        <v>0.025</v>
      </c>
      <c r="J1042" s="9" t="s">
        <v>60</v>
      </c>
      <c r="K1042" s="14" t="str">
        <f>IFERROR(__xludf.DUMMYFUNCTION("ARRAYFORMULA(VLOOKUP(A1042,IMPORTRANGE(""https://docs.google.com/spreadsheets/d/1BuTWp7qHGjWhqrnf-OmePP568O4A5Am9ttzvVdP67zw/edit#gid=1603210130"", ""TOURISM!$A$2:$F$2692""), {2,3,4,5,6},0))"),"The Americas")</f>
        <v>The Americas</v>
      </c>
      <c r="L1042" s="14">
        <f>IFERROR(__xludf.DUMMYFUNCTION("""COMPUTED_VALUE"""),2.63E8)</f>
        <v>263000000</v>
      </c>
      <c r="M1042" s="14" t="str">
        <f>IFERROR(__xludf.DUMMYFUNCTION("""COMPUTED_VALUE"""),"Honduras-The Americas")</f>
        <v>Honduras-The Americas</v>
      </c>
      <c r="N1042" s="14" t="str">
        <f>IFERROR(__xludf.DUMMYFUNCTION("""COMPUTED_VALUE"""),"2000")</f>
        <v>2000</v>
      </c>
      <c r="O1042" s="14">
        <f>IFERROR(__xludf.DUMMYFUNCTION("""COMPUTED_VALUE"""),1.98E8)</f>
        <v>198000000</v>
      </c>
      <c r="P1042" s="15">
        <f>IFERROR(__xludf.DUMMYFUNCTION("ARRAYFORMULA(VLOOKUP(A1042,IMPORTRANGE(""https://docs.google.com/spreadsheets/d/1BuTWp7qHGjWhqrnf-OmePP568O4A5Am9ttzvVdP67zw/edit#gid=771602874"" ,""HUMAN RESOURCES!$A$2:$M$2692""), {2,3,4,5,6,7,8,9,10,11,12,13},0))"),0.032)</f>
        <v>0.032</v>
      </c>
      <c r="Q1042" s="14">
        <f>IFERROR(__xludf.DUMMYFUNCTION("""COMPUTED_VALUE"""),0.031)</f>
        <v>0.031</v>
      </c>
      <c r="R1042" s="14">
        <f>IFERROR(__xludf.DUMMYFUNCTION("""COMPUTED_VALUE"""),73.0)</f>
        <v>73</v>
      </c>
      <c r="S1042" s="14">
        <f>IFERROR(__xludf.DUMMYFUNCTION("""COMPUTED_VALUE"""),68.0)</f>
        <v>68</v>
      </c>
      <c r="T1042" s="14">
        <f>IFERROR(__xludf.DUMMYFUNCTION("""COMPUTED_VALUE"""),0.424)</f>
        <v>0.424</v>
      </c>
      <c r="U1042" s="14">
        <f>IFERROR(__xludf.DUMMYFUNCTION("""COMPUTED_VALUE"""),0.537)</f>
        <v>0.537</v>
      </c>
      <c r="V1042" s="14">
        <f>IFERROR(__xludf.DUMMYFUNCTION("""COMPUTED_VALUE"""),0.039)</f>
        <v>0.039</v>
      </c>
      <c r="W1042" s="14">
        <f>IFERROR(__xludf.DUMMYFUNCTION("""COMPUTED_VALUE"""),6235561.0)</f>
        <v>6235561</v>
      </c>
      <c r="X1042" s="14">
        <f>IFERROR(__xludf.DUMMYFUNCTION("""COMPUTED_VALUE"""),0.455)</f>
        <v>0.455</v>
      </c>
      <c r="Y1042" s="14" t="str">
        <f>IFERROR(__xludf.DUMMYFUNCTION("""COMPUTED_VALUE"""),"Honduras-The Americas")</f>
        <v>Honduras-The Americas</v>
      </c>
      <c r="Z1042" s="14" t="str">
        <f>IFERROR(__xludf.DUMMYFUNCTION("""COMPUTED_VALUE"""),"The Americas")</f>
        <v>The Americas</v>
      </c>
      <c r="AA1042" s="14" t="str">
        <f>IFERROR(__xludf.DUMMYFUNCTION("""COMPUTED_VALUE"""),"2000")</f>
        <v>2000</v>
      </c>
      <c r="AB1042" s="15" t="str">
        <f>IFERROR(__xludf.DUMMYFUNCTION("ARRAYFORMULA(VLOOKUP(A1042,IMPORTRANGE(""https://docs.google.com/spreadsheets/d/1BuTWp7qHGjWhqrnf-OmePP568O4A5Am9ttzvVdP67zw/edit#gid=1931367683"" ,""ENERGY!$A$2:$F$2692""), {2,3,4,5,6},0))"),"The Americas")</f>
        <v>The Americas</v>
      </c>
      <c r="AC1042" s="14" t="str">
        <f>IFERROR(__xludf.DUMMYFUNCTION("""COMPUTED_VALUE"""),"Honduras-The Americas")</f>
        <v>Honduras-The Americas</v>
      </c>
      <c r="AD1042" s="14" t="str">
        <f>IFERROR(__xludf.DUMMYFUNCTION("""COMPUTED_VALUE"""),"2000")</f>
        <v>2000</v>
      </c>
      <c r="AE1042" s="14"/>
      <c r="AF1042" s="14"/>
    </row>
    <row r="1043">
      <c r="A1043" s="12">
        <v>1042.0</v>
      </c>
      <c r="B1043" s="12" t="s">
        <v>159</v>
      </c>
      <c r="C1043" s="5" t="s">
        <v>84</v>
      </c>
      <c r="D1043" s="8"/>
      <c r="E1043" s="8"/>
      <c r="F1043" s="8"/>
      <c r="G1043" s="8"/>
      <c r="H1043" s="11">
        <v>0.014</v>
      </c>
      <c r="I1043" s="11">
        <v>0.037</v>
      </c>
      <c r="J1043" s="9" t="s">
        <v>62</v>
      </c>
      <c r="K1043" s="14" t="str">
        <f>IFERROR(__xludf.DUMMYFUNCTION("ARRAYFORMULA(VLOOKUP(A1043,IMPORTRANGE(""https://docs.google.com/spreadsheets/d/1BuTWp7qHGjWhqrnf-OmePP568O4A5Am9ttzvVdP67zw/edit#gid=1603210130"", ""TOURISM!$A$2:$F$2692""), {2,3,4,5,6},0))"),"The Americas")</f>
        <v>The Americas</v>
      </c>
      <c r="L1043" s="14">
        <f>IFERROR(__xludf.DUMMYFUNCTION("""COMPUTED_VALUE"""),2.6E8)</f>
        <v>260000000</v>
      </c>
      <c r="M1043" s="14" t="str">
        <f>IFERROR(__xludf.DUMMYFUNCTION("""COMPUTED_VALUE"""),"Honduras-The Americas")</f>
        <v>Honduras-The Americas</v>
      </c>
      <c r="N1043" s="14" t="str">
        <f>IFERROR(__xludf.DUMMYFUNCTION("""COMPUTED_VALUE"""),"2001")</f>
        <v>2001</v>
      </c>
      <c r="O1043" s="14">
        <f>IFERROR(__xludf.DUMMYFUNCTION("""COMPUTED_VALUE"""),2.05E8)</f>
        <v>205000000</v>
      </c>
      <c r="P1043" s="15">
        <f>IFERROR(__xludf.DUMMYFUNCTION("ARRAYFORMULA(VLOOKUP(A1043,IMPORTRANGE(""https://docs.google.com/spreadsheets/d/1BuTWp7qHGjWhqrnf-OmePP568O4A5Am9ttzvVdP67zw/edit#gid=771602874"" ,""HUMAN RESOURCES!$A$2:$M$2692""), {2,3,4,5,6,7,8,9,10,11,12,13},0))"),0.031)</f>
        <v>0.031</v>
      </c>
      <c r="Q1043" s="14">
        <f>IFERROR(__xludf.DUMMYFUNCTION("""COMPUTED_VALUE"""),0.03)</f>
        <v>0.03</v>
      </c>
      <c r="R1043" s="14">
        <f>IFERROR(__xludf.DUMMYFUNCTION("""COMPUTED_VALUE"""),73.0)</f>
        <v>73</v>
      </c>
      <c r="S1043" s="14">
        <f>IFERROR(__xludf.DUMMYFUNCTION("""COMPUTED_VALUE"""),68.0)</f>
        <v>68</v>
      </c>
      <c r="T1043" s="14">
        <f>IFERROR(__xludf.DUMMYFUNCTION("""COMPUTED_VALUE"""),0.419)</f>
        <v>0.419</v>
      </c>
      <c r="U1043" s="14">
        <f>IFERROR(__xludf.DUMMYFUNCTION("""COMPUTED_VALUE"""),0.541)</f>
        <v>0.541</v>
      </c>
      <c r="V1043" s="14">
        <f>IFERROR(__xludf.DUMMYFUNCTION("""COMPUTED_VALUE"""),0.04)</f>
        <v>0.04</v>
      </c>
      <c r="W1043" s="14">
        <f>IFERROR(__xludf.DUMMYFUNCTION("""COMPUTED_VALUE"""),6365040.0)</f>
        <v>6365040</v>
      </c>
      <c r="X1043" s="14">
        <f>IFERROR(__xludf.DUMMYFUNCTION("""COMPUTED_VALUE"""),0.46)</f>
        <v>0.46</v>
      </c>
      <c r="Y1043" s="14" t="str">
        <f>IFERROR(__xludf.DUMMYFUNCTION("""COMPUTED_VALUE"""),"Honduras-The Americas")</f>
        <v>Honduras-The Americas</v>
      </c>
      <c r="Z1043" s="14" t="str">
        <f>IFERROR(__xludf.DUMMYFUNCTION("""COMPUTED_VALUE"""),"The Americas")</f>
        <v>The Americas</v>
      </c>
      <c r="AA1043" s="14" t="str">
        <f>IFERROR(__xludf.DUMMYFUNCTION("""COMPUTED_VALUE"""),"2001")</f>
        <v>2001</v>
      </c>
      <c r="AB1043" s="15" t="str">
        <f>IFERROR(__xludf.DUMMYFUNCTION("ARRAYFORMULA(VLOOKUP(A1043,IMPORTRANGE(""https://docs.google.com/spreadsheets/d/1BuTWp7qHGjWhqrnf-OmePP568O4A5Am9ttzvVdP67zw/edit#gid=1931367683"" ,""ENERGY!$A$2:$F$2692""), {2,3,4,5,6},0))"),"The Americas")</f>
        <v>The Americas</v>
      </c>
      <c r="AC1043" s="14" t="str">
        <f>IFERROR(__xludf.DUMMYFUNCTION("""COMPUTED_VALUE"""),"Honduras-The Americas")</f>
        <v>Honduras-The Americas</v>
      </c>
      <c r="AD1043" s="14" t="str">
        <f>IFERROR(__xludf.DUMMYFUNCTION("""COMPUTED_VALUE"""),"2001")</f>
        <v>2001</v>
      </c>
      <c r="AE1043" s="14">
        <f>IFERROR(__xludf.DUMMYFUNCTION("""COMPUTED_VALUE"""),4740.0)</f>
        <v>4740</v>
      </c>
      <c r="AF1043" s="14"/>
    </row>
    <row r="1044">
      <c r="A1044" s="12">
        <v>1043.0</v>
      </c>
      <c r="B1044" s="12" t="s">
        <v>159</v>
      </c>
      <c r="C1044" s="5" t="s">
        <v>84</v>
      </c>
      <c r="D1044" s="8"/>
      <c r="E1044" s="8"/>
      <c r="F1044" s="8"/>
      <c r="G1044" s="8"/>
      <c r="H1044" s="11">
        <v>0.026</v>
      </c>
      <c r="I1044" s="11">
        <v>0.05</v>
      </c>
      <c r="J1044" s="9" t="s">
        <v>63</v>
      </c>
      <c r="K1044" s="14" t="str">
        <f>IFERROR(__xludf.DUMMYFUNCTION("ARRAYFORMULA(VLOOKUP(A1044,IMPORTRANGE(""https://docs.google.com/spreadsheets/d/1BuTWp7qHGjWhqrnf-OmePP568O4A5Am9ttzvVdP67zw/edit#gid=1603210130"", ""TOURISM!$A$2:$F$2692""), {2,3,4,5,6},0))"),"The Americas")</f>
        <v>The Americas</v>
      </c>
      <c r="L1044" s="14">
        <f>IFERROR(__xludf.DUMMYFUNCTION("""COMPUTED_VALUE"""),3.05E8)</f>
        <v>305000000</v>
      </c>
      <c r="M1044" s="14" t="str">
        <f>IFERROR(__xludf.DUMMYFUNCTION("""COMPUTED_VALUE"""),"Honduras-The Americas")</f>
        <v>Honduras-The Americas</v>
      </c>
      <c r="N1044" s="14" t="str">
        <f>IFERROR(__xludf.DUMMYFUNCTION("""COMPUTED_VALUE"""),"2002")</f>
        <v>2002</v>
      </c>
      <c r="O1044" s="14">
        <f>IFERROR(__xludf.DUMMYFUNCTION("""COMPUTED_VALUE"""),2.21E8)</f>
        <v>221000000</v>
      </c>
      <c r="P1044" s="15">
        <f>IFERROR(__xludf.DUMMYFUNCTION("ARRAYFORMULA(VLOOKUP(A1044,IMPORTRANGE(""https://docs.google.com/spreadsheets/d/1BuTWp7qHGjWhqrnf-OmePP568O4A5Am9ttzvVdP67zw/edit#gid=771602874"" ,""HUMAN RESOURCES!$A$2:$M$2692""), {2,3,4,5,6,7,8,9,10,11,12,13},0))"),0.03)</f>
        <v>0.03</v>
      </c>
      <c r="Q1044" s="14">
        <f>IFERROR(__xludf.DUMMYFUNCTION("""COMPUTED_VALUE"""),0.029)</f>
        <v>0.029</v>
      </c>
      <c r="R1044" s="14">
        <f>IFERROR(__xludf.DUMMYFUNCTION("""COMPUTED_VALUE"""),73.0)</f>
        <v>73</v>
      </c>
      <c r="S1044" s="14">
        <f>IFERROR(__xludf.DUMMYFUNCTION("""COMPUTED_VALUE"""),69.0)</f>
        <v>69</v>
      </c>
      <c r="T1044" s="14">
        <f>IFERROR(__xludf.DUMMYFUNCTION("""COMPUTED_VALUE"""),0.414)</f>
        <v>0.414</v>
      </c>
      <c r="U1044" s="14">
        <f>IFERROR(__xludf.DUMMYFUNCTION("""COMPUTED_VALUE"""),0.545)</f>
        <v>0.545</v>
      </c>
      <c r="V1044" s="14">
        <f>IFERROR(__xludf.DUMMYFUNCTION("""COMPUTED_VALUE"""),0.04)</f>
        <v>0.04</v>
      </c>
      <c r="W1044" s="14">
        <f>IFERROR(__xludf.DUMMYFUNCTION("""COMPUTED_VALUE"""),6495801.0)</f>
        <v>6495801</v>
      </c>
      <c r="X1044" s="14">
        <f>IFERROR(__xludf.DUMMYFUNCTION("""COMPUTED_VALUE"""),0.466)</f>
        <v>0.466</v>
      </c>
      <c r="Y1044" s="14" t="str">
        <f>IFERROR(__xludf.DUMMYFUNCTION("""COMPUTED_VALUE"""),"Honduras-The Americas")</f>
        <v>Honduras-The Americas</v>
      </c>
      <c r="Z1044" s="14" t="str">
        <f>IFERROR(__xludf.DUMMYFUNCTION("""COMPUTED_VALUE"""),"The Americas")</f>
        <v>The Americas</v>
      </c>
      <c r="AA1044" s="14" t="str">
        <f>IFERROR(__xludf.DUMMYFUNCTION("""COMPUTED_VALUE"""),"2002")</f>
        <v>2002</v>
      </c>
      <c r="AB1044" s="15" t="str">
        <f>IFERROR(__xludf.DUMMYFUNCTION("ARRAYFORMULA(VLOOKUP(A1044,IMPORTRANGE(""https://docs.google.com/spreadsheets/d/1BuTWp7qHGjWhqrnf-OmePP568O4A5Am9ttzvVdP67zw/edit#gid=1931367683"" ,""ENERGY!$A$2:$F$2692""), {2,3,4,5,6},0))"),"The Americas")</f>
        <v>The Americas</v>
      </c>
      <c r="AC1044" s="14" t="str">
        <f>IFERROR(__xludf.DUMMYFUNCTION("""COMPUTED_VALUE"""),"Honduras-The Americas")</f>
        <v>Honduras-The Americas</v>
      </c>
      <c r="AD1044" s="14" t="str">
        <f>IFERROR(__xludf.DUMMYFUNCTION("""COMPUTED_VALUE"""),"2002")</f>
        <v>2002</v>
      </c>
      <c r="AE1044" s="14">
        <f>IFERROR(__xludf.DUMMYFUNCTION("""COMPUTED_VALUE"""),4567.0)</f>
        <v>4567</v>
      </c>
      <c r="AF1044" s="14">
        <f>IFERROR(__xludf.DUMMYFUNCTION("""COMPUTED_VALUE"""),8108.0)</f>
        <v>8108</v>
      </c>
    </row>
    <row r="1045">
      <c r="A1045" s="12">
        <v>1044.0</v>
      </c>
      <c r="B1045" s="12" t="s">
        <v>159</v>
      </c>
      <c r="C1045" s="5" t="s">
        <v>84</v>
      </c>
      <c r="D1045" s="8"/>
      <c r="E1045" s="11">
        <v>62.0</v>
      </c>
      <c r="F1045" s="8"/>
      <c r="G1045" s="8"/>
      <c r="H1045" s="11">
        <v>0.048</v>
      </c>
      <c r="I1045" s="11">
        <v>0.057</v>
      </c>
      <c r="J1045" s="9" t="s">
        <v>64</v>
      </c>
      <c r="K1045" s="14" t="str">
        <f>IFERROR(__xludf.DUMMYFUNCTION("ARRAYFORMULA(VLOOKUP(A1045,IMPORTRANGE(""https://docs.google.com/spreadsheets/d/1BuTWp7qHGjWhqrnf-OmePP568O4A5Am9ttzvVdP67zw/edit#gid=1603210130"", ""TOURISM!$A$2:$F$2692""), {2,3,4,5,6},0))"),"The Americas")</f>
        <v>The Americas</v>
      </c>
      <c r="L1045" s="14">
        <f>IFERROR(__xludf.DUMMYFUNCTION("""COMPUTED_VALUE"""),3.72E8)</f>
        <v>372000000</v>
      </c>
      <c r="M1045" s="14" t="str">
        <f>IFERROR(__xludf.DUMMYFUNCTION("""COMPUTED_VALUE"""),"Honduras-The Americas")</f>
        <v>Honduras-The Americas</v>
      </c>
      <c r="N1045" s="14" t="str">
        <f>IFERROR(__xludf.DUMMYFUNCTION("""COMPUTED_VALUE"""),"2003")</f>
        <v>2003</v>
      </c>
      <c r="O1045" s="14">
        <f>IFERROR(__xludf.DUMMYFUNCTION("""COMPUTED_VALUE"""),2.74E8)</f>
        <v>274000000</v>
      </c>
      <c r="P1045" s="15">
        <f>IFERROR(__xludf.DUMMYFUNCTION("ARRAYFORMULA(VLOOKUP(A1045,IMPORTRANGE(""https://docs.google.com/spreadsheets/d/1BuTWp7qHGjWhqrnf-OmePP568O4A5Am9ttzvVdP67zw/edit#gid=771602874"" ,""HUMAN RESOURCES!$A$2:$M$2692""), {2,3,4,5,6,7,8,9,10,11,12,13},0))"),0.03)</f>
        <v>0.03</v>
      </c>
      <c r="Q1045" s="14">
        <f>IFERROR(__xludf.DUMMYFUNCTION("""COMPUTED_VALUE"""),0.028)</f>
        <v>0.028</v>
      </c>
      <c r="R1045" s="14">
        <f>IFERROR(__xludf.DUMMYFUNCTION("""COMPUTED_VALUE"""),74.0)</f>
        <v>74</v>
      </c>
      <c r="S1045" s="14">
        <f>IFERROR(__xludf.DUMMYFUNCTION("""COMPUTED_VALUE"""),69.0)</f>
        <v>69</v>
      </c>
      <c r="T1045" s="14">
        <f>IFERROR(__xludf.DUMMYFUNCTION("""COMPUTED_VALUE"""),0.409)</f>
        <v>0.409</v>
      </c>
      <c r="U1045" s="14">
        <f>IFERROR(__xludf.DUMMYFUNCTION("""COMPUTED_VALUE"""),0.55)</f>
        <v>0.55</v>
      </c>
      <c r="V1045" s="14">
        <f>IFERROR(__xludf.DUMMYFUNCTION("""COMPUTED_VALUE"""),0.041)</f>
        <v>0.041</v>
      </c>
      <c r="W1045" s="14">
        <f>IFERROR(__xludf.DUMMYFUNCTION("""COMPUTED_VALUE"""),6628171.0)</f>
        <v>6628171</v>
      </c>
      <c r="X1045" s="14">
        <f>IFERROR(__xludf.DUMMYFUNCTION("""COMPUTED_VALUE"""),0.472)</f>
        <v>0.472</v>
      </c>
      <c r="Y1045" s="14" t="str">
        <f>IFERROR(__xludf.DUMMYFUNCTION("""COMPUTED_VALUE"""),"Honduras-The Americas")</f>
        <v>Honduras-The Americas</v>
      </c>
      <c r="Z1045" s="14" t="str">
        <f>IFERROR(__xludf.DUMMYFUNCTION("""COMPUTED_VALUE"""),"The Americas")</f>
        <v>The Americas</v>
      </c>
      <c r="AA1045" s="14" t="str">
        <f>IFERROR(__xludf.DUMMYFUNCTION("""COMPUTED_VALUE"""),"2003")</f>
        <v>2003</v>
      </c>
      <c r="AB1045" s="15" t="str">
        <f>IFERROR(__xludf.DUMMYFUNCTION("ARRAYFORMULA(VLOOKUP(A1045,IMPORTRANGE(""https://docs.google.com/spreadsheets/d/1BuTWp7qHGjWhqrnf-OmePP568O4A5Am9ttzvVdP67zw/edit#gid=1931367683"" ,""ENERGY!$A$2:$F$2692""), {2,3,4,5,6},0))"),"The Americas")</f>
        <v>The Americas</v>
      </c>
      <c r="AC1045" s="14" t="str">
        <f>IFERROR(__xludf.DUMMYFUNCTION("""COMPUTED_VALUE"""),"Honduras-The Americas")</f>
        <v>Honduras-The Americas</v>
      </c>
      <c r="AD1045" s="14" t="str">
        <f>IFERROR(__xludf.DUMMYFUNCTION("""COMPUTED_VALUE"""),"2003")</f>
        <v>2003</v>
      </c>
      <c r="AE1045" s="14">
        <f>IFERROR(__xludf.DUMMYFUNCTION("""COMPUTED_VALUE"""),4453.0)</f>
        <v>4453</v>
      </c>
      <c r="AF1045" s="14">
        <f>IFERROR(__xludf.DUMMYFUNCTION("""COMPUTED_VALUE"""),7866.0)</f>
        <v>7866</v>
      </c>
    </row>
    <row r="1046">
      <c r="A1046" s="12">
        <v>1045.0</v>
      </c>
      <c r="B1046" s="12" t="s">
        <v>159</v>
      </c>
      <c r="C1046" s="5" t="s">
        <v>84</v>
      </c>
      <c r="D1046" s="8"/>
      <c r="E1046" s="11">
        <v>62.0</v>
      </c>
      <c r="F1046" s="8"/>
      <c r="G1046" s="8"/>
      <c r="H1046" s="11">
        <v>0.056</v>
      </c>
      <c r="I1046" s="11">
        <v>0.105</v>
      </c>
      <c r="J1046" s="9" t="s">
        <v>65</v>
      </c>
      <c r="K1046" s="14" t="str">
        <f>IFERROR(__xludf.DUMMYFUNCTION("ARRAYFORMULA(VLOOKUP(A1046,IMPORTRANGE(""https://docs.google.com/spreadsheets/d/1BuTWp7qHGjWhqrnf-OmePP568O4A5Am9ttzvVdP67zw/edit#gid=1603210130"", ""TOURISM!$A$2:$F$2692""), {2,3,4,5,6},0))"),"The Americas")</f>
        <v>The Americas</v>
      </c>
      <c r="L1046" s="14">
        <f>IFERROR(__xludf.DUMMYFUNCTION("""COMPUTED_VALUE"""),4.2E8)</f>
        <v>420000000</v>
      </c>
      <c r="M1046" s="14" t="str">
        <f>IFERROR(__xludf.DUMMYFUNCTION("""COMPUTED_VALUE"""),"Honduras-The Americas")</f>
        <v>Honduras-The Americas</v>
      </c>
      <c r="N1046" s="14" t="str">
        <f>IFERROR(__xludf.DUMMYFUNCTION("""COMPUTED_VALUE"""),"2004")</f>
        <v>2004</v>
      </c>
      <c r="O1046" s="14">
        <f>IFERROR(__xludf.DUMMYFUNCTION("""COMPUTED_VALUE"""),3.0E8)</f>
        <v>300000000</v>
      </c>
      <c r="P1046" s="15">
        <f>IFERROR(__xludf.DUMMYFUNCTION("ARRAYFORMULA(VLOOKUP(A1046,IMPORTRANGE(""https://docs.google.com/spreadsheets/d/1BuTWp7qHGjWhqrnf-OmePP568O4A5Am9ttzvVdP67zw/edit#gid=771602874"" ,""HUMAN RESOURCES!$A$2:$M$2692""), {2,3,4,5,6,7,8,9,10,11,12,13},0))"),0.029)</f>
        <v>0.029</v>
      </c>
      <c r="Q1046" s="14">
        <f>IFERROR(__xludf.DUMMYFUNCTION("""COMPUTED_VALUE"""),0.027)</f>
        <v>0.027</v>
      </c>
      <c r="R1046" s="14">
        <f>IFERROR(__xludf.DUMMYFUNCTION("""COMPUTED_VALUE"""),74.0)</f>
        <v>74</v>
      </c>
      <c r="S1046" s="14">
        <f>IFERROR(__xludf.DUMMYFUNCTION("""COMPUTED_VALUE"""),69.0)</f>
        <v>69</v>
      </c>
      <c r="T1046" s="14">
        <f>IFERROR(__xludf.DUMMYFUNCTION("""COMPUTED_VALUE"""),0.404)</f>
        <v>0.404</v>
      </c>
      <c r="U1046" s="14">
        <f>IFERROR(__xludf.DUMMYFUNCTION("""COMPUTED_VALUE"""),0.555)</f>
        <v>0.555</v>
      </c>
      <c r="V1046" s="14">
        <f>IFERROR(__xludf.DUMMYFUNCTION("""COMPUTED_VALUE"""),0.041)</f>
        <v>0.041</v>
      </c>
      <c r="W1046" s="14">
        <f>IFERROR(__xludf.DUMMYFUNCTION("""COMPUTED_VALUE"""),6762426.0)</f>
        <v>6762426</v>
      </c>
      <c r="X1046" s="14">
        <f>IFERROR(__xludf.DUMMYFUNCTION("""COMPUTED_VALUE"""),0.479)</f>
        <v>0.479</v>
      </c>
      <c r="Y1046" s="14" t="str">
        <f>IFERROR(__xludf.DUMMYFUNCTION("""COMPUTED_VALUE"""),"Honduras-The Americas")</f>
        <v>Honduras-The Americas</v>
      </c>
      <c r="Z1046" s="14" t="str">
        <f>IFERROR(__xludf.DUMMYFUNCTION("""COMPUTED_VALUE"""),"The Americas")</f>
        <v>The Americas</v>
      </c>
      <c r="AA1046" s="14" t="str">
        <f>IFERROR(__xludf.DUMMYFUNCTION("""COMPUTED_VALUE"""),"2004")</f>
        <v>2004</v>
      </c>
      <c r="AB1046" s="15" t="str">
        <f>IFERROR(__xludf.DUMMYFUNCTION("ARRAYFORMULA(VLOOKUP(A1046,IMPORTRANGE(""https://docs.google.com/spreadsheets/d/1BuTWp7qHGjWhqrnf-OmePP568O4A5Am9ttzvVdP67zw/edit#gid=1931367683"" ,""ENERGY!$A$2:$F$2692""), {2,3,4,5,6},0))"),"The Americas")</f>
        <v>The Americas</v>
      </c>
      <c r="AC1046" s="14" t="str">
        <f>IFERROR(__xludf.DUMMYFUNCTION("""COMPUTED_VALUE"""),"Honduras-The Americas")</f>
        <v>Honduras-The Americas</v>
      </c>
      <c r="AD1046" s="14" t="str">
        <f>IFERROR(__xludf.DUMMYFUNCTION("""COMPUTED_VALUE"""),"2004")</f>
        <v>2004</v>
      </c>
      <c r="AE1046" s="14">
        <f>IFERROR(__xludf.DUMMYFUNCTION("""COMPUTED_VALUE"""),4648.0)</f>
        <v>4648</v>
      </c>
      <c r="AF1046" s="14">
        <f>IFERROR(__xludf.DUMMYFUNCTION("""COMPUTED_VALUE"""),8672.0)</f>
        <v>8672</v>
      </c>
    </row>
    <row r="1047">
      <c r="A1047" s="12">
        <v>1046.0</v>
      </c>
      <c r="B1047" s="12" t="s">
        <v>159</v>
      </c>
      <c r="C1047" s="5" t="s">
        <v>84</v>
      </c>
      <c r="D1047" s="11">
        <v>0.44</v>
      </c>
      <c r="E1047" s="11">
        <v>62.0</v>
      </c>
      <c r="F1047" s="8"/>
      <c r="G1047" s="11">
        <v>424.0</v>
      </c>
      <c r="H1047" s="11">
        <v>0.065</v>
      </c>
      <c r="I1047" s="11">
        <v>0.186</v>
      </c>
      <c r="J1047" s="9" t="s">
        <v>66</v>
      </c>
      <c r="K1047" s="14" t="str">
        <f>IFERROR(__xludf.DUMMYFUNCTION("ARRAYFORMULA(VLOOKUP(A1047,IMPORTRANGE(""https://docs.google.com/spreadsheets/d/1BuTWp7qHGjWhqrnf-OmePP568O4A5Am9ttzvVdP67zw/edit#gid=1603210130"", ""TOURISM!$A$2:$F$2692""), {2,3,4,5,6},0))"),"The Americas")</f>
        <v>The Americas</v>
      </c>
      <c r="L1047" s="14">
        <f>IFERROR(__xludf.DUMMYFUNCTION("""COMPUTED_VALUE"""),4.65E8)</f>
        <v>465000000</v>
      </c>
      <c r="M1047" s="14" t="str">
        <f>IFERROR(__xludf.DUMMYFUNCTION("""COMPUTED_VALUE"""),"Honduras-The Americas")</f>
        <v>Honduras-The Americas</v>
      </c>
      <c r="N1047" s="14" t="str">
        <f>IFERROR(__xludf.DUMMYFUNCTION("""COMPUTED_VALUE"""),"2005")</f>
        <v>2005</v>
      </c>
      <c r="O1047" s="14">
        <f>IFERROR(__xludf.DUMMYFUNCTION("""COMPUTED_VALUE"""),3.21E8)</f>
        <v>321000000</v>
      </c>
      <c r="P1047" s="15">
        <f>IFERROR(__xludf.DUMMYFUNCTION("ARRAYFORMULA(VLOOKUP(A1047,IMPORTRANGE(""https://docs.google.com/spreadsheets/d/1BuTWp7qHGjWhqrnf-OmePP568O4A5Am9ttzvVdP67zw/edit#gid=771602874"" ,""HUMAN RESOURCES!$A$2:$M$2692""), {2,3,4,5,6,7,8,9,10,11,12,13},0))"),0.029)</f>
        <v>0.029</v>
      </c>
      <c r="Q1047" s="14">
        <f>IFERROR(__xludf.DUMMYFUNCTION("""COMPUTED_VALUE"""),0.026)</f>
        <v>0.026</v>
      </c>
      <c r="R1047" s="14">
        <f>IFERROR(__xludf.DUMMYFUNCTION("""COMPUTED_VALUE"""),74.0)</f>
        <v>74</v>
      </c>
      <c r="S1047" s="14">
        <f>IFERROR(__xludf.DUMMYFUNCTION("""COMPUTED_VALUE"""),69.0)</f>
        <v>69</v>
      </c>
      <c r="T1047" s="14">
        <f>IFERROR(__xludf.DUMMYFUNCTION("""COMPUTED_VALUE"""),0.398)</f>
        <v>0.398</v>
      </c>
      <c r="U1047" s="14">
        <f>IFERROR(__xludf.DUMMYFUNCTION("""COMPUTED_VALUE"""),0.56)</f>
        <v>0.56</v>
      </c>
      <c r="V1047" s="14">
        <f>IFERROR(__xludf.DUMMYFUNCTION("""COMPUTED_VALUE"""),0.041)</f>
        <v>0.041</v>
      </c>
      <c r="W1047" s="14">
        <f>IFERROR(__xludf.DUMMYFUNCTION("""COMPUTED_VALUE"""),6898825.0)</f>
        <v>6898825</v>
      </c>
      <c r="X1047" s="14">
        <f>IFERROR(__xludf.DUMMYFUNCTION("""COMPUTED_VALUE"""),0.485)</f>
        <v>0.485</v>
      </c>
      <c r="Y1047" s="14" t="str">
        <f>IFERROR(__xludf.DUMMYFUNCTION("""COMPUTED_VALUE"""),"Honduras-The Americas")</f>
        <v>Honduras-The Americas</v>
      </c>
      <c r="Z1047" s="14" t="str">
        <f>IFERROR(__xludf.DUMMYFUNCTION("""COMPUTED_VALUE"""),"The Americas")</f>
        <v>The Americas</v>
      </c>
      <c r="AA1047" s="14" t="str">
        <f>IFERROR(__xludf.DUMMYFUNCTION("""COMPUTED_VALUE"""),"2005")</f>
        <v>2005</v>
      </c>
      <c r="AB1047" s="15" t="str">
        <f>IFERROR(__xludf.DUMMYFUNCTION("ARRAYFORMULA(VLOOKUP(A1047,IMPORTRANGE(""https://docs.google.com/spreadsheets/d/1BuTWp7qHGjWhqrnf-OmePP568O4A5Am9ttzvVdP67zw/edit#gid=1931367683"" ,""ENERGY!$A$2:$F$2692""), {2,3,4,5,6},0))"),"The Americas")</f>
        <v>The Americas</v>
      </c>
      <c r="AC1047" s="14" t="str">
        <f>IFERROR(__xludf.DUMMYFUNCTION("""COMPUTED_VALUE"""),"Honduras-The Americas")</f>
        <v>Honduras-The Americas</v>
      </c>
      <c r="AD1047" s="14" t="str">
        <f>IFERROR(__xludf.DUMMYFUNCTION("""COMPUTED_VALUE"""),"2007")</f>
        <v>2007</v>
      </c>
      <c r="AE1047" s="14">
        <f>IFERROR(__xludf.DUMMYFUNCTION("""COMPUTED_VALUE"""),4692.0)</f>
        <v>4692</v>
      </c>
      <c r="AF1047" s="14">
        <f>IFERROR(__xludf.DUMMYFUNCTION("""COMPUTED_VALUE"""),8779.0)</f>
        <v>8779</v>
      </c>
    </row>
    <row r="1048">
      <c r="A1048" s="12">
        <v>1047.0</v>
      </c>
      <c r="B1048" s="12" t="s">
        <v>159</v>
      </c>
      <c r="C1048" s="5" t="s">
        <v>84</v>
      </c>
      <c r="D1048" s="11">
        <v>0.44</v>
      </c>
      <c r="E1048" s="11">
        <v>44.0</v>
      </c>
      <c r="F1048" s="8"/>
      <c r="G1048" s="11">
        <v>424.0</v>
      </c>
      <c r="H1048" s="11">
        <v>0.078</v>
      </c>
      <c r="I1048" s="11">
        <v>0.318</v>
      </c>
      <c r="J1048" s="9" t="s">
        <v>67</v>
      </c>
      <c r="K1048" s="14" t="str">
        <f>IFERROR(__xludf.DUMMYFUNCTION("ARRAYFORMULA(VLOOKUP(A1048,IMPORTRANGE(""https://docs.google.com/spreadsheets/d/1BuTWp7qHGjWhqrnf-OmePP568O4A5Am9ttzvVdP67zw/edit#gid=1603210130"", ""TOURISM!$A$2:$F$2692""), {2,3,4,5,6},0))"),"The Americas")</f>
        <v>The Americas</v>
      </c>
      <c r="L1048" s="14">
        <f>IFERROR(__xludf.DUMMYFUNCTION("""COMPUTED_VALUE"""),5.16E8)</f>
        <v>516000000</v>
      </c>
      <c r="M1048" s="14" t="str">
        <f>IFERROR(__xludf.DUMMYFUNCTION("""COMPUTED_VALUE"""),"Honduras-The Americas")</f>
        <v>Honduras-The Americas</v>
      </c>
      <c r="N1048" s="14" t="str">
        <f>IFERROR(__xludf.DUMMYFUNCTION("""COMPUTED_VALUE"""),"2006")</f>
        <v>2006</v>
      </c>
      <c r="O1048" s="14">
        <f>IFERROR(__xludf.DUMMYFUNCTION("""COMPUTED_VALUE"""),4.25E8)</f>
        <v>425000000</v>
      </c>
      <c r="P1048" s="15">
        <f>IFERROR(__xludf.DUMMYFUNCTION("ARRAYFORMULA(VLOOKUP(A1048,IMPORTRANGE(""https://docs.google.com/spreadsheets/d/1BuTWp7qHGjWhqrnf-OmePP568O4A5Am9ttzvVdP67zw/edit#gid=771602874"" ,""HUMAN RESOURCES!$A$2:$M$2692""), {2,3,4,5,6,7,8,9,10,11,12,13},0))"),0.028)</f>
        <v>0.028</v>
      </c>
      <c r="Q1048" s="14">
        <f>IFERROR(__xludf.DUMMYFUNCTION("""COMPUTED_VALUE"""),0.025)</f>
        <v>0.025</v>
      </c>
      <c r="R1048" s="14">
        <f>IFERROR(__xludf.DUMMYFUNCTION("""COMPUTED_VALUE"""),74.0)</f>
        <v>74</v>
      </c>
      <c r="S1048" s="14">
        <f>IFERROR(__xludf.DUMMYFUNCTION("""COMPUTED_VALUE"""),69.0)</f>
        <v>69</v>
      </c>
      <c r="T1048" s="14">
        <f>IFERROR(__xludf.DUMMYFUNCTION("""COMPUTED_VALUE"""),0.392)</f>
        <v>0.392</v>
      </c>
      <c r="U1048" s="14">
        <f>IFERROR(__xludf.DUMMYFUNCTION("""COMPUTED_VALUE"""),0.566)</f>
        <v>0.566</v>
      </c>
      <c r="V1048" s="14">
        <f>IFERROR(__xludf.DUMMYFUNCTION("""COMPUTED_VALUE"""),0.042)</f>
        <v>0.042</v>
      </c>
      <c r="W1048" s="14">
        <f>IFERROR(__xludf.DUMMYFUNCTION("""COMPUTED_VALUE"""),7037428.0)</f>
        <v>7037428</v>
      </c>
      <c r="X1048" s="14">
        <f>IFERROR(__xludf.DUMMYFUNCTION("""COMPUTED_VALUE"""),0.492)</f>
        <v>0.492</v>
      </c>
      <c r="Y1048" s="14" t="str">
        <f>IFERROR(__xludf.DUMMYFUNCTION("""COMPUTED_VALUE"""),"Honduras-The Americas")</f>
        <v>Honduras-The Americas</v>
      </c>
      <c r="Z1048" s="14" t="str">
        <f>IFERROR(__xludf.DUMMYFUNCTION("""COMPUTED_VALUE"""),"The Americas")</f>
        <v>The Americas</v>
      </c>
      <c r="AA1048" s="14" t="str">
        <f>IFERROR(__xludf.DUMMYFUNCTION("""COMPUTED_VALUE"""),"2006")</f>
        <v>2006</v>
      </c>
      <c r="AB1048" s="15" t="str">
        <f>IFERROR(__xludf.DUMMYFUNCTION("ARRAYFORMULA(VLOOKUP(A1048,IMPORTRANGE(""https://docs.google.com/spreadsheets/d/1BuTWp7qHGjWhqrnf-OmePP568O4A5Am9ttzvVdP67zw/edit#gid=1931367683"" ,""ENERGY!$A$2:$F$2692""), {2,3,4,5,6},0))"),"The Americas")</f>
        <v>The Americas</v>
      </c>
      <c r="AC1048" s="14" t="str">
        <f>IFERROR(__xludf.DUMMYFUNCTION("""COMPUTED_VALUE"""),"Honduras-The Americas")</f>
        <v>Honduras-The Americas</v>
      </c>
      <c r="AD1048" s="14" t="str">
        <f>IFERROR(__xludf.DUMMYFUNCTION("""COMPUTED_VALUE"""),"2011")</f>
        <v>2011</v>
      </c>
      <c r="AE1048" s="14">
        <f>IFERROR(__xludf.DUMMYFUNCTION("""COMPUTED_VALUE"""),3993.0)</f>
        <v>3993</v>
      </c>
      <c r="AF1048" s="14">
        <f>IFERROR(__xludf.DUMMYFUNCTION("""COMPUTED_VALUE"""),7008.0)</f>
        <v>7008</v>
      </c>
    </row>
    <row r="1049">
      <c r="A1049" s="12">
        <v>1048.0</v>
      </c>
      <c r="B1049" s="12" t="s">
        <v>159</v>
      </c>
      <c r="C1049" s="5" t="s">
        <v>84</v>
      </c>
      <c r="D1049" s="11">
        <v>0.44</v>
      </c>
      <c r="E1049" s="11">
        <v>21.0</v>
      </c>
      <c r="F1049" s="8"/>
      <c r="G1049" s="11">
        <v>424.0</v>
      </c>
      <c r="H1049" s="11">
        <v>0.094</v>
      </c>
      <c r="I1049" s="11">
        <v>0.583</v>
      </c>
      <c r="J1049" s="9" t="s">
        <v>68</v>
      </c>
      <c r="K1049" s="14" t="str">
        <f>IFERROR(__xludf.DUMMYFUNCTION("ARRAYFORMULA(VLOOKUP(A1049,IMPORTRANGE(""https://docs.google.com/spreadsheets/d/1BuTWp7qHGjWhqrnf-OmePP568O4A5Am9ttzvVdP67zw/edit#gid=1603210130"", ""TOURISM!$A$2:$F$2692""), {2,3,4,5,6},0))"),"The Americas")</f>
        <v>The Americas</v>
      </c>
      <c r="L1049" s="14">
        <f>IFERROR(__xludf.DUMMYFUNCTION("""COMPUTED_VALUE"""),5.47E8)</f>
        <v>547000000</v>
      </c>
      <c r="M1049" s="14" t="str">
        <f>IFERROR(__xludf.DUMMYFUNCTION("""COMPUTED_VALUE"""),"Honduras-The Americas")</f>
        <v>Honduras-The Americas</v>
      </c>
      <c r="N1049" s="14" t="str">
        <f>IFERROR(__xludf.DUMMYFUNCTION("""COMPUTED_VALUE"""),"2007")</f>
        <v>2007</v>
      </c>
      <c r="O1049" s="14">
        <f>IFERROR(__xludf.DUMMYFUNCTION("""COMPUTED_VALUE"""),3.09E8)</f>
        <v>309000000</v>
      </c>
      <c r="P1049" s="15">
        <f>IFERROR(__xludf.DUMMYFUNCTION("ARRAYFORMULA(VLOOKUP(A1049,IMPORTRANGE(""https://docs.google.com/spreadsheets/d/1BuTWp7qHGjWhqrnf-OmePP568O4A5Am9ttzvVdP67zw/edit#gid=771602874"" ,""HUMAN RESOURCES!$A$2:$M$2692""), {2,3,4,5,6,7,8,9,10,11,12,13},0))"),0.028)</f>
        <v>0.028</v>
      </c>
      <c r="Q1049" s="14">
        <f>IFERROR(__xludf.DUMMYFUNCTION("""COMPUTED_VALUE"""),0.024)</f>
        <v>0.024</v>
      </c>
      <c r="R1049" s="14">
        <f>IFERROR(__xludf.DUMMYFUNCTION("""COMPUTED_VALUE"""),74.0)</f>
        <v>74</v>
      </c>
      <c r="S1049" s="14">
        <f>IFERROR(__xludf.DUMMYFUNCTION("""COMPUTED_VALUE"""),70.0)</f>
        <v>70</v>
      </c>
      <c r="T1049" s="14">
        <f>IFERROR(__xludf.DUMMYFUNCTION("""COMPUTED_VALUE"""),0.386)</f>
        <v>0.386</v>
      </c>
      <c r="U1049" s="14">
        <f>IFERROR(__xludf.DUMMYFUNCTION("""COMPUTED_VALUE"""),0.572)</f>
        <v>0.572</v>
      </c>
      <c r="V1049" s="14">
        <f>IFERROR(__xludf.DUMMYFUNCTION("""COMPUTED_VALUE"""),0.042)</f>
        <v>0.042</v>
      </c>
      <c r="W1049" s="14">
        <f>IFERROR(__xludf.DUMMYFUNCTION("""COMPUTED_VALUE"""),7178436.0)</f>
        <v>7178436</v>
      </c>
      <c r="X1049" s="14">
        <f>IFERROR(__xludf.DUMMYFUNCTION("""COMPUTED_VALUE"""),0.498)</f>
        <v>0.498</v>
      </c>
      <c r="Y1049" s="14" t="str">
        <f>IFERROR(__xludf.DUMMYFUNCTION("""COMPUTED_VALUE"""),"Honduras-The Americas")</f>
        <v>Honduras-The Americas</v>
      </c>
      <c r="Z1049" s="14" t="str">
        <f>IFERROR(__xludf.DUMMYFUNCTION("""COMPUTED_VALUE"""),"The Americas")</f>
        <v>The Americas</v>
      </c>
      <c r="AA1049" s="14" t="str">
        <f>IFERROR(__xludf.DUMMYFUNCTION("""COMPUTED_VALUE"""),"2007")</f>
        <v>2007</v>
      </c>
      <c r="AB1049" s="15" t="str">
        <f>IFERROR(__xludf.DUMMYFUNCTION("ARRAYFORMULA(VLOOKUP(A1049,IMPORTRANGE(""https://docs.google.com/spreadsheets/d/1BuTWp7qHGjWhqrnf-OmePP568O4A5Am9ttzvVdP67zw/edit#gid=1931367683"" ,""ENERGY!$A$2:$F$2692""), {2,3,4,5,6},0))"),"The Americas")</f>
        <v>The Americas</v>
      </c>
      <c r="AC1049" s="14" t="str">
        <f>IFERROR(__xludf.DUMMYFUNCTION("""COMPUTED_VALUE"""),"Honduras-The Americas")</f>
        <v>Honduras-The Americas</v>
      </c>
      <c r="AD1049" s="14" t="str">
        <f>IFERROR(__xludf.DUMMYFUNCTION("""COMPUTED_VALUE"""),"2008")</f>
        <v>2008</v>
      </c>
      <c r="AE1049" s="14">
        <f>IFERROR(__xludf.DUMMYFUNCTION("""COMPUTED_VALUE"""),3997.0)</f>
        <v>3997</v>
      </c>
      <c r="AF1049" s="14">
        <f>IFERROR(__xludf.DUMMYFUNCTION("""COMPUTED_VALUE"""),7554.0)</f>
        <v>7554</v>
      </c>
    </row>
    <row r="1050">
      <c r="A1050" s="12">
        <v>1049.0</v>
      </c>
      <c r="B1050" s="12" t="s">
        <v>159</v>
      </c>
      <c r="C1050" s="5" t="s">
        <v>84</v>
      </c>
      <c r="D1050" s="11">
        <v>0.441</v>
      </c>
      <c r="E1050" s="11">
        <v>20.0</v>
      </c>
      <c r="F1050" s="8"/>
      <c r="G1050" s="11">
        <v>224.0</v>
      </c>
      <c r="H1050" s="11">
        <v>0.096</v>
      </c>
      <c r="I1050" s="11">
        <v>0.848</v>
      </c>
      <c r="J1050" s="9" t="s">
        <v>69</v>
      </c>
      <c r="K1050" s="14" t="str">
        <f>IFERROR(__xludf.DUMMYFUNCTION("ARRAYFORMULA(VLOOKUP(A1050,IMPORTRANGE(""https://docs.google.com/spreadsheets/d/1BuTWp7qHGjWhqrnf-OmePP568O4A5Am9ttzvVdP67zw/edit#gid=1603210130"", ""TOURISM!$A$2:$F$2692""), {2,3,4,5,6},0))"),"The Americas")</f>
        <v>The Americas</v>
      </c>
      <c r="L1050" s="14">
        <f>IFERROR(__xludf.DUMMYFUNCTION("""COMPUTED_VALUE"""),6.2E8)</f>
        <v>620000000</v>
      </c>
      <c r="M1050" s="14" t="str">
        <f>IFERROR(__xludf.DUMMYFUNCTION("""COMPUTED_VALUE"""),"Honduras-The Americas")</f>
        <v>Honduras-The Americas</v>
      </c>
      <c r="N1050" s="14" t="str">
        <f>IFERROR(__xludf.DUMMYFUNCTION("""COMPUTED_VALUE"""),"2008")</f>
        <v>2008</v>
      </c>
      <c r="O1050" s="14">
        <f>IFERROR(__xludf.DUMMYFUNCTION("""COMPUTED_VALUE"""),3.85E8)</f>
        <v>385000000</v>
      </c>
      <c r="P1050" s="15">
        <f>IFERROR(__xludf.DUMMYFUNCTION("ARRAYFORMULA(VLOOKUP(A1050,IMPORTRANGE(""https://docs.google.com/spreadsheets/d/1BuTWp7qHGjWhqrnf-OmePP568O4A5Am9ttzvVdP67zw/edit#gid=771602874"" ,""HUMAN RESOURCES!$A$2:$M$2692""), {2,3,4,5,6,7,8,9,10,11,12,13},0))"),0.028)</f>
        <v>0.028</v>
      </c>
      <c r="Q1050" s="14">
        <f>IFERROR(__xludf.DUMMYFUNCTION("""COMPUTED_VALUE"""),0.023)</f>
        <v>0.023</v>
      </c>
      <c r="R1050" s="14">
        <f>IFERROR(__xludf.DUMMYFUNCTION("""COMPUTED_VALUE"""),75.0)</f>
        <v>75</v>
      </c>
      <c r="S1050" s="14">
        <f>IFERROR(__xludf.DUMMYFUNCTION("""COMPUTED_VALUE"""),70.0)</f>
        <v>70</v>
      </c>
      <c r="T1050" s="14">
        <f>IFERROR(__xludf.DUMMYFUNCTION("""COMPUTED_VALUE"""),0.38)</f>
        <v>0.38</v>
      </c>
      <c r="U1050" s="14">
        <f>IFERROR(__xludf.DUMMYFUNCTION("""COMPUTED_VALUE"""),0.578)</f>
        <v>0.578</v>
      </c>
      <c r="V1050" s="14">
        <f>IFERROR(__xludf.DUMMYFUNCTION("""COMPUTED_VALUE"""),0.042)</f>
        <v>0.042</v>
      </c>
      <c r="W1050" s="14">
        <f>IFERROR(__xludf.DUMMYFUNCTION("""COMPUTED_VALUE"""),7322368.0)</f>
        <v>7322368</v>
      </c>
      <c r="X1050" s="14">
        <f>IFERROR(__xludf.DUMMYFUNCTION("""COMPUTED_VALUE"""),0.504)</f>
        <v>0.504</v>
      </c>
      <c r="Y1050" s="14" t="str">
        <f>IFERROR(__xludf.DUMMYFUNCTION("""COMPUTED_VALUE"""),"Honduras-The Americas")</f>
        <v>Honduras-The Americas</v>
      </c>
      <c r="Z1050" s="14" t="str">
        <f>IFERROR(__xludf.DUMMYFUNCTION("""COMPUTED_VALUE"""),"The Americas")</f>
        <v>The Americas</v>
      </c>
      <c r="AA1050" s="14" t="str">
        <f>IFERROR(__xludf.DUMMYFUNCTION("""COMPUTED_VALUE"""),"2008")</f>
        <v>2008</v>
      </c>
      <c r="AB1050" s="15" t="str">
        <f>IFERROR(__xludf.DUMMYFUNCTION("ARRAYFORMULA(VLOOKUP(A1050,IMPORTRANGE(""https://docs.google.com/spreadsheets/d/1BuTWp7qHGjWhqrnf-OmePP568O4A5Am9ttzvVdP67zw/edit#gid=1931367683"" ,""ENERGY!$A$2:$F$2692""), {2,3,4,5,6},0))"),"The Americas")</f>
        <v>The Americas</v>
      </c>
      <c r="AC1050" s="14" t="str">
        <f>IFERROR(__xludf.DUMMYFUNCTION("""COMPUTED_VALUE"""),"Honduras-The Americas")</f>
        <v>Honduras-The Americas</v>
      </c>
      <c r="AD1050" s="14" t="str">
        <f>IFERROR(__xludf.DUMMYFUNCTION("""COMPUTED_VALUE"""),"2005")</f>
        <v>2005</v>
      </c>
      <c r="AE1050" s="14">
        <f>IFERROR(__xludf.DUMMYFUNCTION("""COMPUTED_VALUE"""),3853.0)</f>
        <v>3853</v>
      </c>
      <c r="AF1050" s="14">
        <f>IFERROR(__xludf.DUMMYFUNCTION("""COMPUTED_VALUE"""),7367.0)</f>
        <v>7367</v>
      </c>
    </row>
    <row r="1051">
      <c r="A1051" s="12">
        <v>1050.0</v>
      </c>
      <c r="B1051" s="12" t="s">
        <v>159</v>
      </c>
      <c r="C1051" s="5" t="s">
        <v>84</v>
      </c>
      <c r="D1051" s="11">
        <v>0.441</v>
      </c>
      <c r="E1051" s="11">
        <v>14.0</v>
      </c>
      <c r="F1051" s="8"/>
      <c r="G1051" s="11">
        <v>224.0</v>
      </c>
      <c r="H1051" s="11">
        <v>0.098</v>
      </c>
      <c r="I1051" s="11">
        <v>1.123</v>
      </c>
      <c r="J1051" s="9" t="s">
        <v>70</v>
      </c>
      <c r="K1051" s="14" t="str">
        <f>IFERROR(__xludf.DUMMYFUNCTION("ARRAYFORMULA(VLOOKUP(A1051,IMPORTRANGE(""https://docs.google.com/spreadsheets/d/1BuTWp7qHGjWhqrnf-OmePP568O4A5Am9ttzvVdP67zw/edit#gid=1603210130"", ""TOURISM!$A$2:$F$2692""), {2,3,4,5,6},0))"),"The Americas")</f>
        <v>The Americas</v>
      </c>
      <c r="L1051" s="14">
        <f>IFERROR(__xludf.DUMMYFUNCTION("""COMPUTED_VALUE"""),6.16E8)</f>
        <v>616000000</v>
      </c>
      <c r="M1051" s="14" t="str">
        <f>IFERROR(__xludf.DUMMYFUNCTION("""COMPUTED_VALUE"""),"Honduras-The Americas")</f>
        <v>Honduras-The Americas</v>
      </c>
      <c r="N1051" s="14" t="str">
        <f>IFERROR(__xludf.DUMMYFUNCTION("""COMPUTED_VALUE"""),"2009")</f>
        <v>2009</v>
      </c>
      <c r="O1051" s="14">
        <f>IFERROR(__xludf.DUMMYFUNCTION("""COMPUTED_VALUE"""),3.61E8)</f>
        <v>361000000</v>
      </c>
      <c r="P1051" s="15">
        <f>IFERROR(__xludf.DUMMYFUNCTION("ARRAYFORMULA(VLOOKUP(A1051,IMPORTRANGE(""https://docs.google.com/spreadsheets/d/1BuTWp7qHGjWhqrnf-OmePP568O4A5Am9ttzvVdP67zw/edit#gid=771602874"" ,""HUMAN RESOURCES!$A$2:$M$2692""), {2,3,4,5,6,7,8,9,10,11,12,13},0))"),0.027)</f>
        <v>0.027</v>
      </c>
      <c r="Q1051" s="14">
        <f>IFERROR(__xludf.DUMMYFUNCTION("""COMPUTED_VALUE"""),0.022)</f>
        <v>0.022</v>
      </c>
      <c r="R1051" s="14">
        <f>IFERROR(__xludf.DUMMYFUNCTION("""COMPUTED_VALUE"""),75.0)</f>
        <v>75</v>
      </c>
      <c r="S1051" s="14">
        <f>IFERROR(__xludf.DUMMYFUNCTION("""COMPUTED_VALUE"""),70.0)</f>
        <v>70</v>
      </c>
      <c r="T1051" s="14">
        <f>IFERROR(__xludf.DUMMYFUNCTION("""COMPUTED_VALUE"""),0.374)</f>
        <v>0.374</v>
      </c>
      <c r="U1051" s="14">
        <f>IFERROR(__xludf.DUMMYFUNCTION("""COMPUTED_VALUE"""),0.584)</f>
        <v>0.584</v>
      </c>
      <c r="V1051" s="14">
        <f>IFERROR(__xludf.DUMMYFUNCTION("""COMPUTED_VALUE"""),0.043)</f>
        <v>0.043</v>
      </c>
      <c r="W1051" s="14">
        <f>IFERROR(__xludf.DUMMYFUNCTION("""COMPUTED_VALUE"""),7469844.0)</f>
        <v>7469844</v>
      </c>
      <c r="X1051" s="14">
        <f>IFERROR(__xludf.DUMMYFUNCTION("""COMPUTED_VALUE"""),0.511)</f>
        <v>0.511</v>
      </c>
      <c r="Y1051" s="14" t="str">
        <f>IFERROR(__xludf.DUMMYFUNCTION("""COMPUTED_VALUE"""),"Honduras-The Americas")</f>
        <v>Honduras-The Americas</v>
      </c>
      <c r="Z1051" s="14" t="str">
        <f>IFERROR(__xludf.DUMMYFUNCTION("""COMPUTED_VALUE"""),"The Americas")</f>
        <v>The Americas</v>
      </c>
      <c r="AA1051" s="14" t="str">
        <f>IFERROR(__xludf.DUMMYFUNCTION("""COMPUTED_VALUE"""),"2009")</f>
        <v>2009</v>
      </c>
      <c r="AB1051" s="15" t="str">
        <f>IFERROR(__xludf.DUMMYFUNCTION("ARRAYFORMULA(VLOOKUP(A1051,IMPORTRANGE(""https://docs.google.com/spreadsheets/d/1BuTWp7qHGjWhqrnf-OmePP568O4A5Am9ttzvVdP67zw/edit#gid=1931367683"" ,""ENERGY!$A$2:$F$2692""), {2,3,4,5,6},0))"),"The Americas")</f>
        <v>The Americas</v>
      </c>
      <c r="AC1051" s="14" t="str">
        <f>IFERROR(__xludf.DUMMYFUNCTION("""COMPUTED_VALUE"""),"Honduras-The Americas")</f>
        <v>Honduras-The Americas</v>
      </c>
      <c r="AD1051" s="14" t="str">
        <f>IFERROR(__xludf.DUMMYFUNCTION("""COMPUTED_VALUE"""),"2010")</f>
        <v>2010</v>
      </c>
      <c r="AE1051" s="14">
        <f>IFERROR(__xludf.DUMMYFUNCTION("""COMPUTED_VALUE"""),3647.0)</f>
        <v>3647</v>
      </c>
      <c r="AF1051" s="14">
        <f>IFERROR(__xludf.DUMMYFUNCTION("""COMPUTED_VALUE"""),6769.0)</f>
        <v>6769</v>
      </c>
    </row>
    <row r="1052">
      <c r="A1052" s="12">
        <v>1051.0</v>
      </c>
      <c r="B1052" s="12" t="s">
        <v>159</v>
      </c>
      <c r="C1052" s="5" t="s">
        <v>84</v>
      </c>
      <c r="D1052" s="11">
        <v>0.441</v>
      </c>
      <c r="E1052" s="11">
        <v>14.0</v>
      </c>
      <c r="F1052" s="8"/>
      <c r="G1052" s="11">
        <v>224.0</v>
      </c>
      <c r="H1052" s="11">
        <v>0.111</v>
      </c>
      <c r="I1052" s="11">
        <v>1.247</v>
      </c>
      <c r="J1052" s="9" t="s">
        <v>71</v>
      </c>
      <c r="K1052" s="14" t="str">
        <f>IFERROR(__xludf.DUMMYFUNCTION("ARRAYFORMULA(VLOOKUP(A1052,IMPORTRANGE(""https://docs.google.com/spreadsheets/d/1BuTWp7qHGjWhqrnf-OmePP568O4A5Am9ttzvVdP67zw/edit#gid=1603210130"", ""TOURISM!$A$2:$F$2692""), {2,3,4,5,6},0))"),"The Americas")</f>
        <v>The Americas</v>
      </c>
      <c r="L1052" s="14">
        <f>IFERROR(__xludf.DUMMYFUNCTION("""COMPUTED_VALUE"""),6.27E8)</f>
        <v>627000000</v>
      </c>
      <c r="M1052" s="14" t="str">
        <f>IFERROR(__xludf.DUMMYFUNCTION("""COMPUTED_VALUE"""),"Honduras-The Americas")</f>
        <v>Honduras-The Americas</v>
      </c>
      <c r="N1052" s="14" t="str">
        <f>IFERROR(__xludf.DUMMYFUNCTION("""COMPUTED_VALUE"""),"2010")</f>
        <v>2010</v>
      </c>
      <c r="O1052" s="14">
        <f>IFERROR(__xludf.DUMMYFUNCTION("""COMPUTED_VALUE"""),4.06E8)</f>
        <v>406000000</v>
      </c>
      <c r="P1052" s="15">
        <f>IFERROR(__xludf.DUMMYFUNCTION("ARRAYFORMULA(VLOOKUP(A1052,IMPORTRANGE(""https://docs.google.com/spreadsheets/d/1BuTWp7qHGjWhqrnf-OmePP568O4A5Am9ttzvVdP67zw/edit#gid=771602874"" ,""HUMAN RESOURCES!$A$2:$M$2692""), {2,3,4,5,6,7,8,9,10,11,12,13},0))"),0.027)</f>
        <v>0.027</v>
      </c>
      <c r="Q1052" s="14">
        <f>IFERROR(__xludf.DUMMYFUNCTION("""COMPUTED_VALUE"""),0.021)</f>
        <v>0.021</v>
      </c>
      <c r="R1052" s="14">
        <f>IFERROR(__xludf.DUMMYFUNCTION("""COMPUTED_VALUE"""),75.0)</f>
        <v>75</v>
      </c>
      <c r="S1052" s="14">
        <f>IFERROR(__xludf.DUMMYFUNCTION("""COMPUTED_VALUE"""),70.0)</f>
        <v>70</v>
      </c>
      <c r="T1052" s="14">
        <f>IFERROR(__xludf.DUMMYFUNCTION("""COMPUTED_VALUE"""),0.368)</f>
        <v>0.368</v>
      </c>
      <c r="U1052" s="14">
        <f>IFERROR(__xludf.DUMMYFUNCTION("""COMPUTED_VALUE"""),0.589)</f>
        <v>0.589</v>
      </c>
      <c r="V1052" s="14">
        <f>IFERROR(__xludf.DUMMYFUNCTION("""COMPUTED_VALUE"""),0.043)</f>
        <v>0.043</v>
      </c>
      <c r="W1052" s="14">
        <f>IFERROR(__xludf.DUMMYFUNCTION("""COMPUTED_VALUE"""),7621204.0)</f>
        <v>7621204</v>
      </c>
      <c r="X1052" s="14">
        <f>IFERROR(__xludf.DUMMYFUNCTION("""COMPUTED_VALUE"""),0.517)</f>
        <v>0.517</v>
      </c>
      <c r="Y1052" s="14" t="str">
        <f>IFERROR(__xludf.DUMMYFUNCTION("""COMPUTED_VALUE"""),"Honduras-The Americas")</f>
        <v>Honduras-The Americas</v>
      </c>
      <c r="Z1052" s="14" t="str">
        <f>IFERROR(__xludf.DUMMYFUNCTION("""COMPUTED_VALUE"""),"The Americas")</f>
        <v>The Americas</v>
      </c>
      <c r="AA1052" s="14" t="str">
        <f>IFERROR(__xludf.DUMMYFUNCTION("""COMPUTED_VALUE"""),"2010")</f>
        <v>2010</v>
      </c>
      <c r="AB1052" s="15" t="str">
        <f>IFERROR(__xludf.DUMMYFUNCTION("ARRAYFORMULA(VLOOKUP(A1052,IMPORTRANGE(""https://docs.google.com/spreadsheets/d/1BuTWp7qHGjWhqrnf-OmePP568O4A5Am9ttzvVdP67zw/edit#gid=1931367683"" ,""ENERGY!$A$2:$F$2692""), {2,3,4,5,6},0))"),"The Americas")</f>
        <v>The Americas</v>
      </c>
      <c r="AC1052" s="14" t="str">
        <f>IFERROR(__xludf.DUMMYFUNCTION("""COMPUTED_VALUE"""),"Honduras-The Americas")</f>
        <v>Honduras-The Americas</v>
      </c>
      <c r="AD1052" s="14" t="str">
        <f>IFERROR(__xludf.DUMMYFUNCTION("""COMPUTED_VALUE"""),"2010")</f>
        <v>2010</v>
      </c>
      <c r="AE1052" s="14">
        <f>IFERROR(__xludf.DUMMYFUNCTION("""COMPUTED_VALUE"""),3380.0)</f>
        <v>3380</v>
      </c>
      <c r="AF1052" s="14">
        <f>IFERROR(__xludf.DUMMYFUNCTION("""COMPUTED_VALUE"""),6091.0)</f>
        <v>6091</v>
      </c>
    </row>
    <row r="1053">
      <c r="A1053" s="12">
        <v>1052.0</v>
      </c>
      <c r="B1053" s="12" t="s">
        <v>159</v>
      </c>
      <c r="C1053" s="5" t="s">
        <v>84</v>
      </c>
      <c r="D1053" s="11">
        <v>0.436</v>
      </c>
      <c r="E1053" s="11">
        <v>14.0</v>
      </c>
      <c r="F1053" s="8"/>
      <c r="G1053" s="11">
        <v>224.0</v>
      </c>
      <c r="H1053" s="11">
        <v>0.159</v>
      </c>
      <c r="I1053" s="11">
        <v>1.037</v>
      </c>
      <c r="J1053" s="9" t="s">
        <v>72</v>
      </c>
      <c r="K1053" s="14" t="str">
        <f>IFERROR(__xludf.DUMMYFUNCTION("ARRAYFORMULA(VLOOKUP(A1053,IMPORTRANGE(""https://docs.google.com/spreadsheets/d/1BuTWp7qHGjWhqrnf-OmePP568O4A5Am9ttzvVdP67zw/edit#gid=1603210130"", ""TOURISM!$A$2:$F$2692""), {2,3,4,5,6},0))"),"The Americas")</f>
        <v>The Americas</v>
      </c>
      <c r="L1053" s="14">
        <f>IFERROR(__xludf.DUMMYFUNCTION("""COMPUTED_VALUE"""),6.42E8)</f>
        <v>642000000</v>
      </c>
      <c r="M1053" s="14" t="str">
        <f>IFERROR(__xludf.DUMMYFUNCTION("""COMPUTED_VALUE"""),"Honduras-The Americas")</f>
        <v>Honduras-The Americas</v>
      </c>
      <c r="N1053" s="14" t="str">
        <f>IFERROR(__xludf.DUMMYFUNCTION("""COMPUTED_VALUE"""),"2011")</f>
        <v>2011</v>
      </c>
      <c r="O1053" s="14">
        <f>IFERROR(__xludf.DUMMYFUNCTION("""COMPUTED_VALUE"""),4.46E8)</f>
        <v>446000000</v>
      </c>
      <c r="P1053" s="15">
        <f>IFERROR(__xludf.DUMMYFUNCTION("ARRAYFORMULA(VLOOKUP(A1053,IMPORTRANGE(""https://docs.google.com/spreadsheets/d/1BuTWp7qHGjWhqrnf-OmePP568O4A5Am9ttzvVdP67zw/edit#gid=771602874"" ,""HUMAN RESOURCES!$A$2:$M$2692""), {2,3,4,5,6,7,8,9,10,11,12,13},0))"),0.026)</f>
        <v>0.026</v>
      </c>
      <c r="Q1053" s="14">
        <f>IFERROR(__xludf.DUMMYFUNCTION("""COMPUTED_VALUE"""),0.02)</f>
        <v>0.02</v>
      </c>
      <c r="R1053" s="14">
        <f>IFERROR(__xludf.DUMMYFUNCTION("""COMPUTED_VALUE"""),76.0)</f>
        <v>76</v>
      </c>
      <c r="S1053" s="14">
        <f>IFERROR(__xludf.DUMMYFUNCTION("""COMPUTED_VALUE"""),71.0)</f>
        <v>71</v>
      </c>
      <c r="T1053" s="14">
        <f>IFERROR(__xludf.DUMMYFUNCTION("""COMPUTED_VALUE"""),0.362)</f>
        <v>0.362</v>
      </c>
      <c r="U1053" s="14">
        <f>IFERROR(__xludf.DUMMYFUNCTION("""COMPUTED_VALUE"""),0.594)</f>
        <v>0.594</v>
      </c>
      <c r="V1053" s="14">
        <f>IFERROR(__xludf.DUMMYFUNCTION("""COMPUTED_VALUE"""),0.043)</f>
        <v>0.043</v>
      </c>
      <c r="W1053" s="14">
        <f>IFERROR(__xludf.DUMMYFUNCTION("""COMPUTED_VALUE"""),7776669.0)</f>
        <v>7776669</v>
      </c>
      <c r="X1053" s="14">
        <f>IFERROR(__xludf.DUMMYFUNCTION("""COMPUTED_VALUE"""),0.523)</f>
        <v>0.523</v>
      </c>
      <c r="Y1053" s="14" t="str">
        <f>IFERROR(__xludf.DUMMYFUNCTION("""COMPUTED_VALUE"""),"Honduras-The Americas")</f>
        <v>Honduras-The Americas</v>
      </c>
      <c r="Z1053" s="14" t="str">
        <f>IFERROR(__xludf.DUMMYFUNCTION("""COMPUTED_VALUE"""),"The Americas")</f>
        <v>The Americas</v>
      </c>
      <c r="AA1053" s="14" t="str">
        <f>IFERROR(__xludf.DUMMYFUNCTION("""COMPUTED_VALUE"""),"2011")</f>
        <v>2011</v>
      </c>
      <c r="AB1053" s="15" t="str">
        <f>IFERROR(__xludf.DUMMYFUNCTION("ARRAYFORMULA(VLOOKUP(A1053,IMPORTRANGE(""https://docs.google.com/spreadsheets/d/1BuTWp7qHGjWhqrnf-OmePP568O4A5Am9ttzvVdP67zw/edit#gid=1931367683"" ,""ENERGY!$A$2:$F$2692""), {2,3,4,5,6},0))"),"The Americas")</f>
        <v>The Americas</v>
      </c>
      <c r="AC1053" s="14" t="str">
        <f>IFERROR(__xludf.DUMMYFUNCTION("""COMPUTED_VALUE"""),"Honduras-The Americas")</f>
        <v>Honduras-The Americas</v>
      </c>
      <c r="AD1053" s="14" t="str">
        <f>IFERROR(__xludf.DUMMYFUNCTION("""COMPUTED_VALUE"""),"2005")</f>
        <v>2005</v>
      </c>
      <c r="AE1053" s="14">
        <f>IFERROR(__xludf.DUMMYFUNCTION("""COMPUTED_VALUE"""),3224.0)</f>
        <v>3224</v>
      </c>
      <c r="AF1053" s="14">
        <f>IFERROR(__xludf.DUMMYFUNCTION("""COMPUTED_VALUE"""),5713.0)</f>
        <v>5713</v>
      </c>
    </row>
    <row r="1054">
      <c r="A1054" s="12">
        <v>1053.0</v>
      </c>
      <c r="B1054" s="12" t="s">
        <v>159</v>
      </c>
      <c r="C1054" s="5" t="s">
        <v>84</v>
      </c>
      <c r="D1054" s="11">
        <v>0.4</v>
      </c>
      <c r="E1054" s="11">
        <v>14.0</v>
      </c>
      <c r="F1054" s="11">
        <v>125.0</v>
      </c>
      <c r="G1054" s="11">
        <v>224.0</v>
      </c>
      <c r="H1054" s="11">
        <v>0.181</v>
      </c>
      <c r="I1054" s="11">
        <v>0.929</v>
      </c>
      <c r="J1054" s="9" t="s">
        <v>73</v>
      </c>
      <c r="K1054" s="14" t="str">
        <f>IFERROR(__xludf.DUMMYFUNCTION("ARRAYFORMULA(VLOOKUP(A1054,IMPORTRANGE(""https://docs.google.com/spreadsheets/d/1BuTWp7qHGjWhqrnf-OmePP568O4A5Am9ttzvVdP67zw/edit#gid=1603210130"", ""TOURISM!$A$2:$F$2692""), {2,3,4,5,6},0))"),"The Americas")</f>
        <v>The Americas</v>
      </c>
      <c r="L1054" s="14">
        <f>IFERROR(__xludf.DUMMYFUNCTION("""COMPUTED_VALUE"""),6.66E8)</f>
        <v>666000000</v>
      </c>
      <c r="M1054" s="14" t="str">
        <f>IFERROR(__xludf.DUMMYFUNCTION("""COMPUTED_VALUE"""),"Honduras-The Americas")</f>
        <v>Honduras-The Americas</v>
      </c>
      <c r="N1054" s="14" t="str">
        <f>IFERROR(__xludf.DUMMYFUNCTION("""COMPUTED_VALUE"""),"2012")</f>
        <v>2012</v>
      </c>
      <c r="O1054" s="14">
        <f>IFERROR(__xludf.DUMMYFUNCTION("""COMPUTED_VALUE"""),4.64E8)</f>
        <v>464000000</v>
      </c>
      <c r="P1054" s="15">
        <f>IFERROR(__xludf.DUMMYFUNCTION("ARRAYFORMULA(VLOOKUP(A1054,IMPORTRANGE(""https://docs.google.com/spreadsheets/d/1BuTWp7qHGjWhqrnf-OmePP568O4A5Am9ttzvVdP67zw/edit#gid=771602874"" ,""HUMAN RESOURCES!$A$2:$M$2692""), {2,3,4,5,6,7,8,9,10,11,12,13},0))"),0.026)</f>
        <v>0.026</v>
      </c>
      <c r="Q1054" s="14">
        <f>IFERROR(__xludf.DUMMYFUNCTION("""COMPUTED_VALUE"""),0.02)</f>
        <v>0.02</v>
      </c>
      <c r="R1054" s="14">
        <f>IFERROR(__xludf.DUMMYFUNCTION("""COMPUTED_VALUE"""),76.0)</f>
        <v>76</v>
      </c>
      <c r="S1054" s="14">
        <f>IFERROR(__xludf.DUMMYFUNCTION("""COMPUTED_VALUE"""),71.0)</f>
        <v>71</v>
      </c>
      <c r="T1054" s="14">
        <f>IFERROR(__xludf.DUMMYFUNCTION("""COMPUTED_VALUE"""),0.357)</f>
        <v>0.357</v>
      </c>
      <c r="U1054" s="14">
        <f>IFERROR(__xludf.DUMMYFUNCTION("""COMPUTED_VALUE"""),0.599)</f>
        <v>0.599</v>
      </c>
      <c r="V1054" s="14">
        <f>IFERROR(__xludf.DUMMYFUNCTION("""COMPUTED_VALUE"""),0.044)</f>
        <v>0.044</v>
      </c>
      <c r="W1054" s="14">
        <f>IFERROR(__xludf.DUMMYFUNCTION("""COMPUTED_VALUE"""),7935846.0)</f>
        <v>7935846</v>
      </c>
      <c r="X1054" s="14">
        <f>IFERROR(__xludf.DUMMYFUNCTION("""COMPUTED_VALUE"""),0.529)</f>
        <v>0.529</v>
      </c>
      <c r="Y1054" s="14" t="str">
        <f>IFERROR(__xludf.DUMMYFUNCTION("""COMPUTED_VALUE"""),"Honduras-The Americas")</f>
        <v>Honduras-The Americas</v>
      </c>
      <c r="Z1054" s="14" t="str">
        <f>IFERROR(__xludf.DUMMYFUNCTION("""COMPUTED_VALUE"""),"The Americas")</f>
        <v>The Americas</v>
      </c>
      <c r="AA1054" s="14" t="str">
        <f>IFERROR(__xludf.DUMMYFUNCTION("""COMPUTED_VALUE"""),"2012")</f>
        <v>2012</v>
      </c>
      <c r="AB1054" s="15" t="str">
        <f>IFERROR(__xludf.DUMMYFUNCTION("ARRAYFORMULA(VLOOKUP(A1054,IMPORTRANGE(""https://docs.google.com/spreadsheets/d/1BuTWp7qHGjWhqrnf-OmePP568O4A5Am9ttzvVdP67zw/edit#gid=1931367683"" ,""ENERGY!$A$2:$F$2692""), {2,3,4,5,6},0))"),"The Americas")</f>
        <v>The Americas</v>
      </c>
      <c r="AC1054" s="14" t="str">
        <f>IFERROR(__xludf.DUMMYFUNCTION("""COMPUTED_VALUE"""),"Honduras-The Americas")</f>
        <v>Honduras-The Americas</v>
      </c>
      <c r="AD1054" s="14" t="str">
        <f>IFERROR(__xludf.DUMMYFUNCTION("""COMPUTED_VALUE"""),"2010")</f>
        <v>2010</v>
      </c>
      <c r="AE1054" s="14">
        <f>IFERROR(__xludf.DUMMYFUNCTION("""COMPUTED_VALUE"""),2990.0)</f>
        <v>2990</v>
      </c>
      <c r="AF1054" s="14">
        <f>IFERROR(__xludf.DUMMYFUNCTION("""COMPUTED_VALUE"""),5031.0)</f>
        <v>5031</v>
      </c>
    </row>
    <row r="1055">
      <c r="A1055" s="12">
        <v>1054.0</v>
      </c>
      <c r="B1055" s="12" t="s">
        <v>160</v>
      </c>
      <c r="C1055" s="5" t="s">
        <v>61</v>
      </c>
      <c r="D1055" s="8"/>
      <c r="E1055" s="8"/>
      <c r="F1055" s="8"/>
      <c r="G1055" s="8"/>
      <c r="H1055" s="11">
        <v>0.278</v>
      </c>
      <c r="I1055" s="11">
        <v>0.797</v>
      </c>
      <c r="J1055" s="9" t="s">
        <v>60</v>
      </c>
      <c r="K1055" s="14" t="str">
        <f>IFERROR(__xludf.DUMMYFUNCTION("ARRAYFORMULA(VLOOKUP(A1055,IMPORTRANGE(""https://docs.google.com/spreadsheets/d/1BuTWp7qHGjWhqrnf-OmePP568O4A5Am9ttzvVdP67zw/edit#gid=1603210130"", ""TOURISM!$A$2:$F$2692""), {2,3,4,5,6},0))"),"Asia")</f>
        <v>Asia</v>
      </c>
      <c r="L1055" s="14">
        <f>IFERROR(__xludf.DUMMYFUNCTION("""COMPUTED_VALUE"""),8.198E9)</f>
        <v>8198000000</v>
      </c>
      <c r="M1055" s="14" t="str">
        <f>IFERROR(__xludf.DUMMYFUNCTION("""COMPUTED_VALUE"""),"Hong Kong SAR-Asia")</f>
        <v>Hong Kong SAR-Asia</v>
      </c>
      <c r="N1055" s="14" t="str">
        <f>IFERROR(__xludf.DUMMYFUNCTION("""COMPUTED_VALUE"""),"2000")</f>
        <v>2000</v>
      </c>
      <c r="O1055" s="14">
        <f>IFERROR(__xludf.DUMMYFUNCTION("""COMPUTED_VALUE"""),1.2502E10)</f>
        <v>12502000000</v>
      </c>
      <c r="P1055" s="15">
        <f>IFERROR(__xludf.DUMMYFUNCTION("ARRAYFORMULA(VLOOKUP(A1055,IMPORTRANGE(""https://docs.google.com/spreadsheets/d/1BuTWp7qHGjWhqrnf-OmePP568O4A5Am9ttzvVdP67zw/edit#gid=771602874"" ,""HUMAN RESOURCES!$A$2:$M$2692""), {2,3,4,5,6,7,8,9,10,11,12,13},0))"),0.008)</f>
        <v>0.008</v>
      </c>
      <c r="Q1055" s="14"/>
      <c r="R1055" s="14">
        <f>IFERROR(__xludf.DUMMYFUNCTION("""COMPUTED_VALUE"""),84.0)</f>
        <v>84</v>
      </c>
      <c r="S1055" s="14">
        <f>IFERROR(__xludf.DUMMYFUNCTION("""COMPUTED_VALUE"""),78.0)</f>
        <v>78</v>
      </c>
      <c r="T1055" s="14">
        <f>IFERROR(__xludf.DUMMYFUNCTION("""COMPUTED_VALUE"""),0.173)</f>
        <v>0.173</v>
      </c>
      <c r="U1055" s="14">
        <f>IFERROR(__xludf.DUMMYFUNCTION("""COMPUTED_VALUE"""),0.717)</f>
        <v>0.717</v>
      </c>
      <c r="V1055" s="14">
        <f>IFERROR(__xludf.DUMMYFUNCTION("""COMPUTED_VALUE"""),0.11)</f>
        <v>0.11</v>
      </c>
      <c r="W1055" s="14">
        <f>IFERROR(__xludf.DUMMYFUNCTION("""COMPUTED_VALUE"""),6665000.0)</f>
        <v>6665000</v>
      </c>
      <c r="X1055" s="14">
        <f>IFERROR(__xludf.DUMMYFUNCTION("""COMPUTED_VALUE"""),1.0)</f>
        <v>1</v>
      </c>
      <c r="Y1055" s="14" t="str">
        <f>IFERROR(__xludf.DUMMYFUNCTION("""COMPUTED_VALUE"""),"Hong Kong SAR-Asia")</f>
        <v>Hong Kong SAR-Asia</v>
      </c>
      <c r="Z1055" s="14" t="str">
        <f>IFERROR(__xludf.DUMMYFUNCTION("""COMPUTED_VALUE"""),"Asia")</f>
        <v>Asia</v>
      </c>
      <c r="AA1055" s="14" t="str">
        <f>IFERROR(__xludf.DUMMYFUNCTION("""COMPUTED_VALUE"""),"2000")</f>
        <v>2000</v>
      </c>
      <c r="AB1055" s="15" t="str">
        <f>IFERROR(__xludf.DUMMYFUNCTION("ARRAYFORMULA(VLOOKUP(A1055,IMPORTRANGE(""https://docs.google.com/spreadsheets/d/1BuTWp7qHGjWhqrnf-OmePP568O4A5Am9ttzvVdP67zw/edit#gid=1931367683"" ,""ENERGY!$A$2:$F$2692""), {2,3,4,5,6},0))"),"Asia")</f>
        <v>Asia</v>
      </c>
      <c r="AC1055" s="14" t="str">
        <f>IFERROR(__xludf.DUMMYFUNCTION("""COMPUTED_VALUE"""),"Hong Kong SAR-Asia")</f>
        <v>Hong Kong SAR-Asia</v>
      </c>
      <c r="AD1055" s="14" t="str">
        <f>IFERROR(__xludf.DUMMYFUNCTION("""COMPUTED_VALUE"""),"2000")</f>
        <v>2000</v>
      </c>
      <c r="AE1055" s="14"/>
      <c r="AF1055" s="14"/>
    </row>
    <row r="1056">
      <c r="A1056" s="12">
        <v>1055.0</v>
      </c>
      <c r="B1056" s="12" t="s">
        <v>160</v>
      </c>
      <c r="C1056" s="5" t="s">
        <v>61</v>
      </c>
      <c r="D1056" s="8"/>
      <c r="E1056" s="8"/>
      <c r="F1056" s="8"/>
      <c r="G1056" s="8"/>
      <c r="H1056" s="11">
        <v>0.387</v>
      </c>
      <c r="I1056" s="11">
        <v>0.838</v>
      </c>
      <c r="J1056" s="9" t="s">
        <v>62</v>
      </c>
      <c r="K1056" s="14" t="str">
        <f>IFERROR(__xludf.DUMMYFUNCTION("ARRAYFORMULA(VLOOKUP(A1056,IMPORTRANGE(""https://docs.google.com/spreadsheets/d/1BuTWp7qHGjWhqrnf-OmePP568O4A5Am9ttzvVdP67zw/edit#gid=1603210130"", ""TOURISM!$A$2:$F$2692""), {2,3,4,5,6},0))"),"Asia")</f>
        <v>Asia</v>
      </c>
      <c r="L1056" s="14">
        <f>IFERROR(__xludf.DUMMYFUNCTION("""COMPUTED_VALUE"""),7.923E9)</f>
        <v>7923000000</v>
      </c>
      <c r="M1056" s="14" t="str">
        <f>IFERROR(__xludf.DUMMYFUNCTION("""COMPUTED_VALUE"""),"Hong Kong SAR-Asia")</f>
        <v>Hong Kong SAR-Asia</v>
      </c>
      <c r="N1056" s="14" t="str">
        <f>IFERROR(__xludf.DUMMYFUNCTION("""COMPUTED_VALUE"""),"2001")</f>
        <v>2001</v>
      </c>
      <c r="O1056" s="14">
        <f>IFERROR(__xludf.DUMMYFUNCTION("""COMPUTED_VALUE"""),1.2317E10)</f>
        <v>12317000000</v>
      </c>
      <c r="P1056" s="15">
        <f>IFERROR(__xludf.DUMMYFUNCTION("ARRAYFORMULA(VLOOKUP(A1056,IMPORTRANGE(""https://docs.google.com/spreadsheets/d/1BuTWp7qHGjWhqrnf-OmePP568O4A5Am9ttzvVdP67zw/edit#gid=771602874"" ,""HUMAN RESOURCES!$A$2:$M$2692""), {2,3,4,5,6,7,8,9,10,11,12,13},0))"),0.007)</f>
        <v>0.007</v>
      </c>
      <c r="Q1056" s="14"/>
      <c r="R1056" s="14">
        <f>IFERROR(__xludf.DUMMYFUNCTION("""COMPUTED_VALUE"""),85.0)</f>
        <v>85</v>
      </c>
      <c r="S1056" s="14">
        <f>IFERROR(__xludf.DUMMYFUNCTION("""COMPUTED_VALUE"""),78.0)</f>
        <v>78</v>
      </c>
      <c r="T1056" s="14">
        <f>IFERROR(__xludf.DUMMYFUNCTION("""COMPUTED_VALUE"""),0.167)</f>
        <v>0.167</v>
      </c>
      <c r="U1056" s="14">
        <f>IFERROR(__xludf.DUMMYFUNCTION("""COMPUTED_VALUE"""),0.72)</f>
        <v>0.72</v>
      </c>
      <c r="V1056" s="14">
        <f>IFERROR(__xludf.DUMMYFUNCTION("""COMPUTED_VALUE"""),0.112)</f>
        <v>0.112</v>
      </c>
      <c r="W1056" s="14">
        <f>IFERROR(__xludf.DUMMYFUNCTION("""COMPUTED_VALUE"""),6714300.0)</f>
        <v>6714300</v>
      </c>
      <c r="X1056" s="14">
        <f>IFERROR(__xludf.DUMMYFUNCTION("""COMPUTED_VALUE"""),1.0)</f>
        <v>1</v>
      </c>
      <c r="Y1056" s="14" t="str">
        <f>IFERROR(__xludf.DUMMYFUNCTION("""COMPUTED_VALUE"""),"Hong Kong SAR-Asia")</f>
        <v>Hong Kong SAR-Asia</v>
      </c>
      <c r="Z1056" s="14" t="str">
        <f>IFERROR(__xludf.DUMMYFUNCTION("""COMPUTED_VALUE"""),"Asia")</f>
        <v>Asia</v>
      </c>
      <c r="AA1056" s="14" t="str">
        <f>IFERROR(__xludf.DUMMYFUNCTION("""COMPUTED_VALUE"""),"2001")</f>
        <v>2001</v>
      </c>
      <c r="AB1056" s="15" t="str">
        <f>IFERROR(__xludf.DUMMYFUNCTION("ARRAYFORMULA(VLOOKUP(A1056,IMPORTRANGE(""https://docs.google.com/spreadsheets/d/1BuTWp7qHGjWhqrnf-OmePP568O4A5Am9ttzvVdP67zw/edit#gid=1931367683"" ,""ENERGY!$A$2:$F$2692""), {2,3,4,5,6},0))"),"Asia")</f>
        <v>Asia</v>
      </c>
      <c r="AC1056" s="14" t="str">
        <f>IFERROR(__xludf.DUMMYFUNCTION("""COMPUTED_VALUE"""),"Hong Kong SAR-Asia")</f>
        <v>Hong Kong SAR-Asia</v>
      </c>
      <c r="AD1056" s="14" t="str">
        <f>IFERROR(__xludf.DUMMYFUNCTION("""COMPUTED_VALUE"""),"2001")</f>
        <v>2001</v>
      </c>
      <c r="AE1056" s="14">
        <f>IFERROR(__xludf.DUMMYFUNCTION("""COMPUTED_VALUE"""),14894.0)</f>
        <v>14894</v>
      </c>
      <c r="AF1056" s="14"/>
    </row>
    <row r="1057">
      <c r="A1057" s="12">
        <v>1056.0</v>
      </c>
      <c r="B1057" s="12" t="s">
        <v>160</v>
      </c>
      <c r="C1057" s="5" t="s">
        <v>61</v>
      </c>
      <c r="D1057" s="8"/>
      <c r="E1057" s="8"/>
      <c r="F1057" s="8"/>
      <c r="G1057" s="8"/>
      <c r="H1057" s="11">
        <v>0.431</v>
      </c>
      <c r="I1057" s="11">
        <v>0.925</v>
      </c>
      <c r="J1057" s="9" t="s">
        <v>63</v>
      </c>
      <c r="K1057" s="14" t="str">
        <f>IFERROR(__xludf.DUMMYFUNCTION("ARRAYFORMULA(VLOOKUP(A1057,IMPORTRANGE(""https://docs.google.com/spreadsheets/d/1BuTWp7qHGjWhqrnf-OmePP568O4A5Am9ttzvVdP67zw/edit#gid=1603210130"", ""TOURISM!$A$2:$F$2692""), {2,3,4,5,6},0))"),"Asia")</f>
        <v>Asia</v>
      </c>
      <c r="L1057" s="14">
        <f>IFERROR(__xludf.DUMMYFUNCTION("""COMPUTED_VALUE"""),9.849E9)</f>
        <v>9849000000</v>
      </c>
      <c r="M1057" s="14" t="str">
        <f>IFERROR(__xludf.DUMMYFUNCTION("""COMPUTED_VALUE"""),"Hong Kong SAR-Asia")</f>
        <v>Hong Kong SAR-Asia</v>
      </c>
      <c r="N1057" s="14" t="str">
        <f>IFERROR(__xludf.DUMMYFUNCTION("""COMPUTED_VALUE"""),"2002")</f>
        <v>2002</v>
      </c>
      <c r="O1057" s="14">
        <f>IFERROR(__xludf.DUMMYFUNCTION("""COMPUTED_VALUE"""),1.2418E10)</f>
        <v>12418000000</v>
      </c>
      <c r="P1057" s="15">
        <f>IFERROR(__xludf.DUMMYFUNCTION("ARRAYFORMULA(VLOOKUP(A1057,IMPORTRANGE(""https://docs.google.com/spreadsheets/d/1BuTWp7qHGjWhqrnf-OmePP568O4A5Am9ttzvVdP67zw/edit#gid=771602874"" ,""HUMAN RESOURCES!$A$2:$M$2692""), {2,3,4,5,6,7,8,9,10,11,12,13},0))"),0.007)</f>
        <v>0.007</v>
      </c>
      <c r="Q1057" s="14"/>
      <c r="R1057" s="14">
        <f>IFERROR(__xludf.DUMMYFUNCTION("""COMPUTED_VALUE"""),85.0)</f>
        <v>85</v>
      </c>
      <c r="S1057" s="14">
        <f>IFERROR(__xludf.DUMMYFUNCTION("""COMPUTED_VALUE"""),79.0)</f>
        <v>79</v>
      </c>
      <c r="T1057" s="14">
        <f>IFERROR(__xludf.DUMMYFUNCTION("""COMPUTED_VALUE"""),0.161)</f>
        <v>0.161</v>
      </c>
      <c r="U1057" s="14">
        <f>IFERROR(__xludf.DUMMYFUNCTION("""COMPUTED_VALUE"""),0.724)</f>
        <v>0.724</v>
      </c>
      <c r="V1057" s="14">
        <f>IFERROR(__xludf.DUMMYFUNCTION("""COMPUTED_VALUE"""),0.115)</f>
        <v>0.115</v>
      </c>
      <c r="W1057" s="14">
        <f>IFERROR(__xludf.DUMMYFUNCTION("""COMPUTED_VALUE"""),6744100.0)</f>
        <v>6744100</v>
      </c>
      <c r="X1057" s="14">
        <f>IFERROR(__xludf.DUMMYFUNCTION("""COMPUTED_VALUE"""),1.0)</f>
        <v>1</v>
      </c>
      <c r="Y1057" s="14" t="str">
        <f>IFERROR(__xludf.DUMMYFUNCTION("""COMPUTED_VALUE"""),"Hong Kong SAR-Asia")</f>
        <v>Hong Kong SAR-Asia</v>
      </c>
      <c r="Z1057" s="14" t="str">
        <f>IFERROR(__xludf.DUMMYFUNCTION("""COMPUTED_VALUE"""),"Asia")</f>
        <v>Asia</v>
      </c>
      <c r="AA1057" s="14" t="str">
        <f>IFERROR(__xludf.DUMMYFUNCTION("""COMPUTED_VALUE"""),"2002")</f>
        <v>2002</v>
      </c>
      <c r="AB1057" s="15" t="str">
        <f>IFERROR(__xludf.DUMMYFUNCTION("ARRAYFORMULA(VLOOKUP(A1057,IMPORTRANGE(""https://docs.google.com/spreadsheets/d/1BuTWp7qHGjWhqrnf-OmePP568O4A5Am9ttzvVdP67zw/edit#gid=1931367683"" ,""ENERGY!$A$2:$F$2692""), {2,3,4,5,6},0))"),"Asia")</f>
        <v>Asia</v>
      </c>
      <c r="AC1057" s="14" t="str">
        <f>IFERROR(__xludf.DUMMYFUNCTION("""COMPUTED_VALUE"""),"Hong Kong SAR-Asia")</f>
        <v>Hong Kong SAR-Asia</v>
      </c>
      <c r="AD1057" s="14" t="str">
        <f>IFERROR(__xludf.DUMMYFUNCTION("""COMPUTED_VALUE"""),"2002")</f>
        <v>2002</v>
      </c>
      <c r="AE1057" s="14">
        <f>IFERROR(__xludf.DUMMYFUNCTION("""COMPUTED_VALUE"""),13838.0)</f>
        <v>13838</v>
      </c>
      <c r="AF1057" s="14">
        <f>IFERROR(__xludf.DUMMYFUNCTION("""COMPUTED_VALUE"""),36289.0)</f>
        <v>36289</v>
      </c>
    </row>
    <row r="1058">
      <c r="A1058" s="12">
        <v>1057.0</v>
      </c>
      <c r="B1058" s="12" t="s">
        <v>160</v>
      </c>
      <c r="C1058" s="5" t="s">
        <v>61</v>
      </c>
      <c r="D1058" s="8"/>
      <c r="E1058" s="11">
        <v>11.0</v>
      </c>
      <c r="F1058" s="8"/>
      <c r="G1058" s="8"/>
      <c r="H1058" s="11">
        <v>0.522</v>
      </c>
      <c r="I1058" s="11">
        <v>1.064</v>
      </c>
      <c r="J1058" s="9" t="s">
        <v>64</v>
      </c>
      <c r="K1058" s="14" t="str">
        <f>IFERROR(__xludf.DUMMYFUNCTION("ARRAYFORMULA(VLOOKUP(A1058,IMPORTRANGE(""https://docs.google.com/spreadsheets/d/1BuTWp7qHGjWhqrnf-OmePP568O4A5Am9ttzvVdP67zw/edit#gid=1603210130"", ""TOURISM!$A$2:$F$2692""), {2,3,4,5,6},0))"),"Asia")</f>
        <v>Asia</v>
      </c>
      <c r="L1058" s="14">
        <f>IFERROR(__xludf.DUMMYFUNCTION("""COMPUTED_VALUE"""),9.004E9)</f>
        <v>9004000000</v>
      </c>
      <c r="M1058" s="14" t="str">
        <f>IFERROR(__xludf.DUMMYFUNCTION("""COMPUTED_VALUE"""),"Hong Kong SAR-Asia")</f>
        <v>Hong Kong SAR-Asia</v>
      </c>
      <c r="N1058" s="14" t="str">
        <f>IFERROR(__xludf.DUMMYFUNCTION("""COMPUTED_VALUE"""),"2003")</f>
        <v>2003</v>
      </c>
      <c r="O1058" s="14">
        <f>IFERROR(__xludf.DUMMYFUNCTION("""COMPUTED_VALUE"""),1.1447E10)</f>
        <v>11447000000</v>
      </c>
      <c r="P1058" s="15">
        <f>IFERROR(__xludf.DUMMYFUNCTION("ARRAYFORMULA(VLOOKUP(A1058,IMPORTRANGE(""https://docs.google.com/spreadsheets/d/1BuTWp7qHGjWhqrnf-OmePP568O4A5Am9ttzvVdP67zw/edit#gid=771602874"" ,""HUMAN RESOURCES!$A$2:$M$2692""), {2,3,4,5,6,7,8,9,10,11,12,13},0))"),0.007)</f>
        <v>0.007</v>
      </c>
      <c r="Q1058" s="14"/>
      <c r="R1058" s="14">
        <f>IFERROR(__xludf.DUMMYFUNCTION("""COMPUTED_VALUE"""),84.0)</f>
        <v>84</v>
      </c>
      <c r="S1058" s="14">
        <f>IFERROR(__xludf.DUMMYFUNCTION("""COMPUTED_VALUE"""),79.0)</f>
        <v>79</v>
      </c>
      <c r="T1058" s="14">
        <f>IFERROR(__xludf.DUMMYFUNCTION("""COMPUTED_VALUE"""),0.155)</f>
        <v>0.155</v>
      </c>
      <c r="U1058" s="14">
        <f>IFERROR(__xludf.DUMMYFUNCTION("""COMPUTED_VALUE"""),0.728)</f>
        <v>0.728</v>
      </c>
      <c r="V1058" s="14">
        <f>IFERROR(__xludf.DUMMYFUNCTION("""COMPUTED_VALUE"""),0.117)</f>
        <v>0.117</v>
      </c>
      <c r="W1058" s="14">
        <f>IFERROR(__xludf.DUMMYFUNCTION("""COMPUTED_VALUE"""),6730800.0)</f>
        <v>6730800</v>
      </c>
      <c r="X1058" s="14">
        <f>IFERROR(__xludf.DUMMYFUNCTION("""COMPUTED_VALUE"""),1.0)</f>
        <v>1</v>
      </c>
      <c r="Y1058" s="14" t="str">
        <f>IFERROR(__xludf.DUMMYFUNCTION("""COMPUTED_VALUE"""),"Hong Kong SAR-Asia")</f>
        <v>Hong Kong SAR-Asia</v>
      </c>
      <c r="Z1058" s="14" t="str">
        <f>IFERROR(__xludf.DUMMYFUNCTION("""COMPUTED_VALUE"""),"Asia")</f>
        <v>Asia</v>
      </c>
      <c r="AA1058" s="14" t="str">
        <f>IFERROR(__xludf.DUMMYFUNCTION("""COMPUTED_VALUE"""),"2003")</f>
        <v>2003</v>
      </c>
      <c r="AB1058" s="15" t="str">
        <f>IFERROR(__xludf.DUMMYFUNCTION("ARRAYFORMULA(VLOOKUP(A1058,IMPORTRANGE(""https://docs.google.com/spreadsheets/d/1BuTWp7qHGjWhqrnf-OmePP568O4A5Am9ttzvVdP67zw/edit#gid=1931367683"" ,""ENERGY!$A$2:$F$2692""), {2,3,4,5,6},0))"),"Asia")</f>
        <v>Asia</v>
      </c>
      <c r="AC1058" s="14" t="str">
        <f>IFERROR(__xludf.DUMMYFUNCTION("""COMPUTED_VALUE"""),"Hong Kong SAR-Asia")</f>
        <v>Hong Kong SAR-Asia</v>
      </c>
      <c r="AD1058" s="14" t="str">
        <f>IFERROR(__xludf.DUMMYFUNCTION("""COMPUTED_VALUE"""),"2003")</f>
        <v>2003</v>
      </c>
      <c r="AE1058" s="14">
        <f>IFERROR(__xludf.DUMMYFUNCTION("""COMPUTED_VALUE"""),14933.0)</f>
        <v>14933</v>
      </c>
      <c r="AF1058" s="14">
        <f>IFERROR(__xludf.DUMMYFUNCTION("""COMPUTED_VALUE"""),36996.0)</f>
        <v>36996</v>
      </c>
    </row>
    <row r="1059">
      <c r="A1059" s="12">
        <v>1058.0</v>
      </c>
      <c r="B1059" s="12" t="s">
        <v>160</v>
      </c>
      <c r="C1059" s="5" t="s">
        <v>61</v>
      </c>
      <c r="D1059" s="8"/>
      <c r="E1059" s="11">
        <v>11.0</v>
      </c>
      <c r="F1059" s="8"/>
      <c r="G1059" s="8"/>
      <c r="H1059" s="11">
        <v>0.564</v>
      </c>
      <c r="I1059" s="11">
        <v>1.191</v>
      </c>
      <c r="J1059" s="9" t="s">
        <v>65</v>
      </c>
      <c r="K1059" s="14" t="str">
        <f>IFERROR(__xludf.DUMMYFUNCTION("ARRAYFORMULA(VLOOKUP(A1059,IMPORTRANGE(""https://docs.google.com/spreadsheets/d/1BuTWp7qHGjWhqrnf-OmePP568O4A5Am9ttzvVdP67zw/edit#gid=1603210130"", ""TOURISM!$A$2:$F$2692""), {2,3,4,5,6},0))"),"Asia")</f>
        <v>Asia</v>
      </c>
      <c r="L1059" s="14">
        <f>IFERROR(__xludf.DUMMYFUNCTION("""COMPUTED_VALUE"""),1.1874E10)</f>
        <v>11874000000</v>
      </c>
      <c r="M1059" s="14" t="str">
        <f>IFERROR(__xludf.DUMMYFUNCTION("""COMPUTED_VALUE"""),"Hong Kong SAR-Asia")</f>
        <v>Hong Kong SAR-Asia</v>
      </c>
      <c r="N1059" s="14" t="str">
        <f>IFERROR(__xludf.DUMMYFUNCTION("""COMPUTED_VALUE"""),"2004")</f>
        <v>2004</v>
      </c>
      <c r="O1059" s="14">
        <f>IFERROR(__xludf.DUMMYFUNCTION("""COMPUTED_VALUE"""),1.327E10)</f>
        <v>13270000000</v>
      </c>
      <c r="P1059" s="15">
        <f>IFERROR(__xludf.DUMMYFUNCTION("ARRAYFORMULA(VLOOKUP(A1059,IMPORTRANGE(""https://docs.google.com/spreadsheets/d/1BuTWp7qHGjWhqrnf-OmePP568O4A5Am9ttzvVdP67zw/edit#gid=771602874"" ,""HUMAN RESOURCES!$A$2:$M$2692""), {2,3,4,5,6,7,8,9,10,11,12,13},0))"),0.007)</f>
        <v>0.007</v>
      </c>
      <c r="Q1059" s="14"/>
      <c r="R1059" s="14">
        <f>IFERROR(__xludf.DUMMYFUNCTION("""COMPUTED_VALUE"""),85.0)</f>
        <v>85</v>
      </c>
      <c r="S1059" s="14">
        <f>IFERROR(__xludf.DUMMYFUNCTION("""COMPUTED_VALUE"""),79.0)</f>
        <v>79</v>
      </c>
      <c r="T1059" s="14">
        <f>IFERROR(__xludf.DUMMYFUNCTION("""COMPUTED_VALUE"""),0.148)</f>
        <v>0.148</v>
      </c>
      <c r="U1059" s="14">
        <f>IFERROR(__xludf.DUMMYFUNCTION("""COMPUTED_VALUE"""),0.732)</f>
        <v>0.732</v>
      </c>
      <c r="V1059" s="14">
        <f>IFERROR(__xludf.DUMMYFUNCTION("""COMPUTED_VALUE"""),0.119)</f>
        <v>0.119</v>
      </c>
      <c r="W1059" s="14">
        <f>IFERROR(__xludf.DUMMYFUNCTION("""COMPUTED_VALUE"""),6783500.0)</f>
        <v>6783500</v>
      </c>
      <c r="X1059" s="14">
        <f>IFERROR(__xludf.DUMMYFUNCTION("""COMPUTED_VALUE"""),1.0)</f>
        <v>1</v>
      </c>
      <c r="Y1059" s="14" t="str">
        <f>IFERROR(__xludf.DUMMYFUNCTION("""COMPUTED_VALUE"""),"Hong Kong SAR-Asia")</f>
        <v>Hong Kong SAR-Asia</v>
      </c>
      <c r="Z1059" s="14" t="str">
        <f>IFERROR(__xludf.DUMMYFUNCTION("""COMPUTED_VALUE"""),"Asia")</f>
        <v>Asia</v>
      </c>
      <c r="AA1059" s="14" t="str">
        <f>IFERROR(__xludf.DUMMYFUNCTION("""COMPUTED_VALUE"""),"2004")</f>
        <v>2004</v>
      </c>
      <c r="AB1059" s="15" t="str">
        <f>IFERROR(__xludf.DUMMYFUNCTION("ARRAYFORMULA(VLOOKUP(A1059,IMPORTRANGE(""https://docs.google.com/spreadsheets/d/1BuTWp7qHGjWhqrnf-OmePP568O4A5Am9ttzvVdP67zw/edit#gid=1931367683"" ,""ENERGY!$A$2:$F$2692""), {2,3,4,5,6},0))"),"Asia")</f>
        <v>Asia</v>
      </c>
      <c r="AC1059" s="14" t="str">
        <f>IFERROR(__xludf.DUMMYFUNCTION("""COMPUTED_VALUE"""),"Hong Kong SAR-Asia")</f>
        <v>Hong Kong SAR-Asia</v>
      </c>
      <c r="AD1059" s="14" t="str">
        <f>IFERROR(__xludf.DUMMYFUNCTION("""COMPUTED_VALUE"""),"2004")</f>
        <v>2004</v>
      </c>
      <c r="AE1059" s="14">
        <f>IFERROR(__xludf.DUMMYFUNCTION("""COMPUTED_VALUE"""),14139.0)</f>
        <v>14139</v>
      </c>
      <c r="AF1059" s="14">
        <f>IFERROR(__xludf.DUMMYFUNCTION("""COMPUTED_VALUE"""),38573.0)</f>
        <v>38573</v>
      </c>
    </row>
    <row r="1060">
      <c r="A1060" s="12">
        <v>1059.0</v>
      </c>
      <c r="B1060" s="12" t="s">
        <v>160</v>
      </c>
      <c r="C1060" s="5" t="s">
        <v>61</v>
      </c>
      <c r="D1060" s="11">
        <v>0.241</v>
      </c>
      <c r="E1060" s="11">
        <v>11.0</v>
      </c>
      <c r="F1060" s="8"/>
      <c r="G1060" s="11">
        <v>80.0</v>
      </c>
      <c r="H1060" s="11">
        <v>0.569</v>
      </c>
      <c r="I1060" s="11">
        <v>1.239</v>
      </c>
      <c r="J1060" s="9" t="s">
        <v>66</v>
      </c>
      <c r="K1060" s="14" t="str">
        <f>IFERROR(__xludf.DUMMYFUNCTION("ARRAYFORMULA(VLOOKUP(A1060,IMPORTRANGE(""https://docs.google.com/spreadsheets/d/1BuTWp7qHGjWhqrnf-OmePP568O4A5Am9ttzvVdP67zw/edit#gid=1603210130"", ""TOURISM!$A$2:$F$2692""), {2,3,4,5,6},0))"),"Asia")</f>
        <v>Asia</v>
      </c>
      <c r="L1060" s="14">
        <f>IFERROR(__xludf.DUMMYFUNCTION("""COMPUTED_VALUE"""),1.3588E10)</f>
        <v>13588000000</v>
      </c>
      <c r="M1060" s="14" t="str">
        <f>IFERROR(__xludf.DUMMYFUNCTION("""COMPUTED_VALUE"""),"Hong Kong SAR-Asia")</f>
        <v>Hong Kong SAR-Asia</v>
      </c>
      <c r="N1060" s="14" t="str">
        <f>IFERROR(__xludf.DUMMYFUNCTION("""COMPUTED_VALUE"""),"2005")</f>
        <v>2005</v>
      </c>
      <c r="O1060" s="14">
        <f>IFERROR(__xludf.DUMMYFUNCTION("""COMPUTED_VALUE"""),1.3305E10)</f>
        <v>13305000000</v>
      </c>
      <c r="P1060" s="15">
        <f>IFERROR(__xludf.DUMMYFUNCTION("ARRAYFORMULA(VLOOKUP(A1060,IMPORTRANGE(""https://docs.google.com/spreadsheets/d/1BuTWp7qHGjWhqrnf-OmePP568O4A5Am9ttzvVdP67zw/edit#gid=771602874"" ,""HUMAN RESOURCES!$A$2:$M$2692""), {2,3,4,5,6,7,8,9,10,11,12,13},0))"),0.008)</f>
        <v>0.008</v>
      </c>
      <c r="Q1060" s="14"/>
      <c r="R1060" s="14">
        <f>IFERROR(__xludf.DUMMYFUNCTION("""COMPUTED_VALUE"""),85.0)</f>
        <v>85</v>
      </c>
      <c r="S1060" s="14">
        <f>IFERROR(__xludf.DUMMYFUNCTION("""COMPUTED_VALUE"""),79.0)</f>
        <v>79</v>
      </c>
      <c r="T1060" s="14">
        <f>IFERROR(__xludf.DUMMYFUNCTION("""COMPUTED_VALUE"""),0.142)</f>
        <v>0.142</v>
      </c>
      <c r="U1060" s="14">
        <f>IFERROR(__xludf.DUMMYFUNCTION("""COMPUTED_VALUE"""),0.736)</f>
        <v>0.736</v>
      </c>
      <c r="V1060" s="14">
        <f>IFERROR(__xludf.DUMMYFUNCTION("""COMPUTED_VALUE"""),0.121)</f>
        <v>0.121</v>
      </c>
      <c r="W1060" s="14">
        <f>IFERROR(__xludf.DUMMYFUNCTION("""COMPUTED_VALUE"""),6813200.0)</f>
        <v>6813200</v>
      </c>
      <c r="X1060" s="14">
        <f>IFERROR(__xludf.DUMMYFUNCTION("""COMPUTED_VALUE"""),1.0)</f>
        <v>1</v>
      </c>
      <c r="Y1060" s="14" t="str">
        <f>IFERROR(__xludf.DUMMYFUNCTION("""COMPUTED_VALUE"""),"Hong Kong SAR-Asia")</f>
        <v>Hong Kong SAR-Asia</v>
      </c>
      <c r="Z1060" s="14" t="str">
        <f>IFERROR(__xludf.DUMMYFUNCTION("""COMPUTED_VALUE"""),"Asia")</f>
        <v>Asia</v>
      </c>
      <c r="AA1060" s="14" t="str">
        <f>IFERROR(__xludf.DUMMYFUNCTION("""COMPUTED_VALUE"""),"2005")</f>
        <v>2005</v>
      </c>
      <c r="AB1060" s="15" t="str">
        <f>IFERROR(__xludf.DUMMYFUNCTION("ARRAYFORMULA(VLOOKUP(A1060,IMPORTRANGE(""https://docs.google.com/spreadsheets/d/1BuTWp7qHGjWhqrnf-OmePP568O4A5Am9ttzvVdP67zw/edit#gid=1931367683"" ,""ENERGY!$A$2:$F$2692""), {2,3,4,5,6},0))"),"Asia")</f>
        <v>Asia</v>
      </c>
      <c r="AC1060" s="14" t="str">
        <f>IFERROR(__xludf.DUMMYFUNCTION("""COMPUTED_VALUE"""),"Hong Kong SAR-Asia")</f>
        <v>Hong Kong SAR-Asia</v>
      </c>
      <c r="AD1060" s="14" t="str">
        <f>IFERROR(__xludf.DUMMYFUNCTION("""COMPUTED_VALUE"""),"2007")</f>
        <v>2007</v>
      </c>
      <c r="AE1060" s="14">
        <f>IFERROR(__xludf.DUMMYFUNCTION("""COMPUTED_VALUE"""),14338.0)</f>
        <v>14338</v>
      </c>
      <c r="AF1060" s="14">
        <f>IFERROR(__xludf.DUMMYFUNCTION("""COMPUTED_VALUE"""),39963.0)</f>
        <v>39963</v>
      </c>
    </row>
    <row r="1061">
      <c r="A1061" s="12">
        <v>1060.0</v>
      </c>
      <c r="B1061" s="12" t="s">
        <v>160</v>
      </c>
      <c r="C1061" s="5" t="s">
        <v>61</v>
      </c>
      <c r="D1061" s="11">
        <v>0.241</v>
      </c>
      <c r="E1061" s="11">
        <v>11.0</v>
      </c>
      <c r="F1061" s="8"/>
      <c r="G1061" s="11">
        <v>80.0</v>
      </c>
      <c r="H1061" s="11">
        <v>0.608</v>
      </c>
      <c r="I1061" s="11">
        <v>1.367</v>
      </c>
      <c r="J1061" s="9" t="s">
        <v>67</v>
      </c>
      <c r="K1061" s="14" t="str">
        <f>IFERROR(__xludf.DUMMYFUNCTION("ARRAYFORMULA(VLOOKUP(A1061,IMPORTRANGE(""https://docs.google.com/spreadsheets/d/1BuTWp7qHGjWhqrnf-OmePP568O4A5Am9ttzvVdP67zw/edit#gid=1603210130"", ""TOURISM!$A$2:$F$2692""), {2,3,4,5,6},0))"),"Asia")</f>
        <v>Asia</v>
      </c>
      <c r="L1061" s="14">
        <f>IFERROR(__xludf.DUMMYFUNCTION("""COMPUTED_VALUE"""),1.5541E10)</f>
        <v>15541000000</v>
      </c>
      <c r="M1061" s="14" t="str">
        <f>IFERROR(__xludf.DUMMYFUNCTION("""COMPUTED_VALUE"""),"Hong Kong SAR-Asia")</f>
        <v>Hong Kong SAR-Asia</v>
      </c>
      <c r="N1061" s="14" t="str">
        <f>IFERROR(__xludf.DUMMYFUNCTION("""COMPUTED_VALUE"""),"2006")</f>
        <v>2006</v>
      </c>
      <c r="O1061" s="14">
        <f>IFERROR(__xludf.DUMMYFUNCTION("""COMPUTED_VALUE"""),1.4044E10)</f>
        <v>14044000000</v>
      </c>
      <c r="P1061" s="15">
        <f>IFERROR(__xludf.DUMMYFUNCTION("ARRAYFORMULA(VLOOKUP(A1061,IMPORTRANGE(""https://docs.google.com/spreadsheets/d/1BuTWp7qHGjWhqrnf-OmePP568O4A5Am9ttzvVdP67zw/edit#gid=771602874"" ,""HUMAN RESOURCES!$A$2:$M$2692""), {2,3,4,5,6,7,8,9,10,11,12,13},0))"),0.01)</f>
        <v>0.01</v>
      </c>
      <c r="Q1061" s="14"/>
      <c r="R1061" s="14">
        <f>IFERROR(__xludf.DUMMYFUNCTION("""COMPUTED_VALUE"""),86.0)</f>
        <v>86</v>
      </c>
      <c r="S1061" s="14">
        <f>IFERROR(__xludf.DUMMYFUNCTION("""COMPUTED_VALUE"""),79.0)</f>
        <v>79</v>
      </c>
      <c r="T1061" s="14">
        <f>IFERROR(__xludf.DUMMYFUNCTION("""COMPUTED_VALUE"""),0.137)</f>
        <v>0.137</v>
      </c>
      <c r="U1061" s="14">
        <f>IFERROR(__xludf.DUMMYFUNCTION("""COMPUTED_VALUE"""),0.74)</f>
        <v>0.74</v>
      </c>
      <c r="V1061" s="14">
        <f>IFERROR(__xludf.DUMMYFUNCTION("""COMPUTED_VALUE"""),0.123)</f>
        <v>0.123</v>
      </c>
      <c r="W1061" s="14">
        <f>IFERROR(__xludf.DUMMYFUNCTION("""COMPUTED_VALUE"""),6857100.0)</f>
        <v>6857100</v>
      </c>
      <c r="X1061" s="14">
        <f>IFERROR(__xludf.DUMMYFUNCTION("""COMPUTED_VALUE"""),1.0)</f>
        <v>1</v>
      </c>
      <c r="Y1061" s="14" t="str">
        <f>IFERROR(__xludf.DUMMYFUNCTION("""COMPUTED_VALUE"""),"Hong Kong SAR-Asia")</f>
        <v>Hong Kong SAR-Asia</v>
      </c>
      <c r="Z1061" s="14" t="str">
        <f>IFERROR(__xludf.DUMMYFUNCTION("""COMPUTED_VALUE"""),"Asia")</f>
        <v>Asia</v>
      </c>
      <c r="AA1061" s="14" t="str">
        <f>IFERROR(__xludf.DUMMYFUNCTION("""COMPUTED_VALUE"""),"2006")</f>
        <v>2006</v>
      </c>
      <c r="AB1061" s="15" t="str">
        <f>IFERROR(__xludf.DUMMYFUNCTION("ARRAYFORMULA(VLOOKUP(A1061,IMPORTRANGE(""https://docs.google.com/spreadsheets/d/1BuTWp7qHGjWhqrnf-OmePP568O4A5Am9ttzvVdP67zw/edit#gid=1931367683"" ,""ENERGY!$A$2:$F$2692""), {2,3,4,5,6},0))"),"Asia")</f>
        <v>Asia</v>
      </c>
      <c r="AC1061" s="14" t="str">
        <f>IFERROR(__xludf.DUMMYFUNCTION("""COMPUTED_VALUE"""),"Hong Kong SAR-Asia")</f>
        <v>Hong Kong SAR-Asia</v>
      </c>
      <c r="AD1061" s="14" t="str">
        <f>IFERROR(__xludf.DUMMYFUNCTION("""COMPUTED_VALUE"""),"2011")</f>
        <v>2011</v>
      </c>
      <c r="AE1061" s="14">
        <f>IFERROR(__xludf.DUMMYFUNCTION("""COMPUTED_VALUE"""),13330.0)</f>
        <v>13330</v>
      </c>
      <c r="AF1061" s="14">
        <f>IFERROR(__xludf.DUMMYFUNCTION("""COMPUTED_VALUE"""),38555.0)</f>
        <v>38555</v>
      </c>
    </row>
    <row r="1062">
      <c r="A1062" s="12">
        <v>1061.0</v>
      </c>
      <c r="B1062" s="12" t="s">
        <v>160</v>
      </c>
      <c r="C1062" s="5" t="s">
        <v>61</v>
      </c>
      <c r="D1062" s="11">
        <v>0.241</v>
      </c>
      <c r="E1062" s="11">
        <v>11.0</v>
      </c>
      <c r="F1062" s="8"/>
      <c r="G1062" s="11">
        <v>80.0</v>
      </c>
      <c r="H1062" s="11">
        <v>0.648</v>
      </c>
      <c r="I1062" s="11">
        <v>1.55</v>
      </c>
      <c r="J1062" s="9" t="s">
        <v>68</v>
      </c>
      <c r="K1062" s="14" t="str">
        <f>IFERROR(__xludf.DUMMYFUNCTION("ARRAYFORMULA(VLOOKUP(A1062,IMPORTRANGE(""https://docs.google.com/spreadsheets/d/1BuTWp7qHGjWhqrnf-OmePP568O4A5Am9ttzvVdP67zw/edit#gid=1603210130"", ""TOURISM!$A$2:$F$2692""), {2,3,4,5,6},0))"),"Asia")</f>
        <v>Asia</v>
      </c>
      <c r="L1062" s="14">
        <f>IFERROR(__xludf.DUMMYFUNCTION("""COMPUTED_VALUE"""),1.8237E10)</f>
        <v>18237000000</v>
      </c>
      <c r="M1062" s="14" t="str">
        <f>IFERROR(__xludf.DUMMYFUNCTION("""COMPUTED_VALUE"""),"Hong Kong SAR-Asia")</f>
        <v>Hong Kong SAR-Asia</v>
      </c>
      <c r="N1062" s="14" t="str">
        <f>IFERROR(__xludf.DUMMYFUNCTION("""COMPUTED_VALUE"""),"2007")</f>
        <v>2007</v>
      </c>
      <c r="O1062" s="14">
        <f>IFERROR(__xludf.DUMMYFUNCTION("""COMPUTED_VALUE"""),1.5042E10)</f>
        <v>15042000000</v>
      </c>
      <c r="P1062" s="15">
        <f>IFERROR(__xludf.DUMMYFUNCTION("ARRAYFORMULA(VLOOKUP(A1062,IMPORTRANGE(""https://docs.google.com/spreadsheets/d/1BuTWp7qHGjWhqrnf-OmePP568O4A5Am9ttzvVdP67zw/edit#gid=771602874"" ,""HUMAN RESOURCES!$A$2:$M$2692""), {2,3,4,5,6,7,8,9,10,11,12,13},0))"),0.01)</f>
        <v>0.01</v>
      </c>
      <c r="Q1062" s="14"/>
      <c r="R1062" s="14">
        <f>IFERROR(__xludf.DUMMYFUNCTION("""COMPUTED_VALUE"""),85.0)</f>
        <v>85</v>
      </c>
      <c r="S1062" s="14">
        <f>IFERROR(__xludf.DUMMYFUNCTION("""COMPUTED_VALUE"""),79.0)</f>
        <v>79</v>
      </c>
      <c r="T1062" s="14">
        <f>IFERROR(__xludf.DUMMYFUNCTION("""COMPUTED_VALUE"""),0.132)</f>
        <v>0.132</v>
      </c>
      <c r="U1062" s="14">
        <f>IFERROR(__xludf.DUMMYFUNCTION("""COMPUTED_VALUE"""),0.744)</f>
        <v>0.744</v>
      </c>
      <c r="V1062" s="14">
        <f>IFERROR(__xludf.DUMMYFUNCTION("""COMPUTED_VALUE"""),0.124)</f>
        <v>0.124</v>
      </c>
      <c r="W1062" s="14">
        <f>IFERROR(__xludf.DUMMYFUNCTION("""COMPUTED_VALUE"""),6916300.0)</f>
        <v>6916300</v>
      </c>
      <c r="X1062" s="14">
        <f>IFERROR(__xludf.DUMMYFUNCTION("""COMPUTED_VALUE"""),1.0)</f>
        <v>1</v>
      </c>
      <c r="Y1062" s="14" t="str">
        <f>IFERROR(__xludf.DUMMYFUNCTION("""COMPUTED_VALUE"""),"Hong Kong SAR-Asia")</f>
        <v>Hong Kong SAR-Asia</v>
      </c>
      <c r="Z1062" s="14" t="str">
        <f>IFERROR(__xludf.DUMMYFUNCTION("""COMPUTED_VALUE"""),"Asia")</f>
        <v>Asia</v>
      </c>
      <c r="AA1062" s="14" t="str">
        <f>IFERROR(__xludf.DUMMYFUNCTION("""COMPUTED_VALUE"""),"2007")</f>
        <v>2007</v>
      </c>
      <c r="AB1062" s="15" t="str">
        <f>IFERROR(__xludf.DUMMYFUNCTION("ARRAYFORMULA(VLOOKUP(A1062,IMPORTRANGE(""https://docs.google.com/spreadsheets/d/1BuTWp7qHGjWhqrnf-OmePP568O4A5Am9ttzvVdP67zw/edit#gid=1931367683"" ,""ENERGY!$A$2:$F$2692""), {2,3,4,5,6},0))"),"Asia")</f>
        <v>Asia</v>
      </c>
      <c r="AC1062" s="14" t="str">
        <f>IFERROR(__xludf.DUMMYFUNCTION("""COMPUTED_VALUE"""),"Hong Kong SAR-Asia")</f>
        <v>Hong Kong SAR-Asia</v>
      </c>
      <c r="AD1062" s="14" t="str">
        <f>IFERROR(__xludf.DUMMYFUNCTION("""COMPUTED_VALUE"""),"2008")</f>
        <v>2008</v>
      </c>
      <c r="AE1062" s="14">
        <f>IFERROR(__xludf.DUMMYFUNCTION("""COMPUTED_VALUE"""),12664.0)</f>
        <v>12664</v>
      </c>
      <c r="AF1062" s="14">
        <f>IFERROR(__xludf.DUMMYFUNCTION("""COMPUTED_VALUE"""),40546.0)</f>
        <v>40546</v>
      </c>
    </row>
    <row r="1063">
      <c r="A1063" s="12">
        <v>1062.0</v>
      </c>
      <c r="B1063" s="12" t="s">
        <v>160</v>
      </c>
      <c r="C1063" s="5" t="s">
        <v>61</v>
      </c>
      <c r="D1063" s="11">
        <v>0.241</v>
      </c>
      <c r="E1063" s="11">
        <v>11.0</v>
      </c>
      <c r="F1063" s="8"/>
      <c r="G1063" s="11">
        <v>80.0</v>
      </c>
      <c r="H1063" s="11">
        <v>0.667</v>
      </c>
      <c r="I1063" s="11">
        <v>1.662</v>
      </c>
      <c r="J1063" s="9" t="s">
        <v>69</v>
      </c>
      <c r="K1063" s="14" t="str">
        <f>IFERROR(__xludf.DUMMYFUNCTION("ARRAYFORMULA(VLOOKUP(A1063,IMPORTRANGE(""https://docs.google.com/spreadsheets/d/1BuTWp7qHGjWhqrnf-OmePP568O4A5Am9ttzvVdP67zw/edit#gid=1603210130"", ""TOURISM!$A$2:$F$2692""), {2,3,4,5,6},0))"),"Asia")</f>
        <v>Asia</v>
      </c>
      <c r="L1063" s="14">
        <f>IFERROR(__xludf.DUMMYFUNCTION("""COMPUTED_VALUE"""),2.0236E10)</f>
        <v>20236000000</v>
      </c>
      <c r="M1063" s="14" t="str">
        <f>IFERROR(__xludf.DUMMYFUNCTION("""COMPUTED_VALUE"""),"Hong Kong SAR-Asia")</f>
        <v>Hong Kong SAR-Asia</v>
      </c>
      <c r="N1063" s="14" t="str">
        <f>IFERROR(__xludf.DUMMYFUNCTION("""COMPUTED_VALUE"""),"2008")</f>
        <v>2008</v>
      </c>
      <c r="O1063" s="14">
        <f>IFERROR(__xludf.DUMMYFUNCTION("""COMPUTED_VALUE"""),1.6095E10)</f>
        <v>16095000000</v>
      </c>
      <c r="P1063" s="15">
        <f>IFERROR(__xludf.DUMMYFUNCTION("ARRAYFORMULA(VLOOKUP(A1063,IMPORTRANGE(""https://docs.google.com/spreadsheets/d/1BuTWp7qHGjWhqrnf-OmePP568O4A5Am9ttzvVdP67zw/edit#gid=771602874"" ,""HUMAN RESOURCES!$A$2:$M$2692""), {2,3,4,5,6,7,8,9,10,11,12,13},0))"),0.011)</f>
        <v>0.011</v>
      </c>
      <c r="Q1063" s="14"/>
      <c r="R1063" s="14">
        <f>IFERROR(__xludf.DUMMYFUNCTION("""COMPUTED_VALUE"""),86.0)</f>
        <v>86</v>
      </c>
      <c r="S1063" s="14">
        <f>IFERROR(__xludf.DUMMYFUNCTION("""COMPUTED_VALUE"""),79.0)</f>
        <v>79</v>
      </c>
      <c r="T1063" s="14">
        <f>IFERROR(__xludf.DUMMYFUNCTION("""COMPUTED_VALUE"""),0.128)</f>
        <v>0.128</v>
      </c>
      <c r="U1063" s="14">
        <f>IFERROR(__xludf.DUMMYFUNCTION("""COMPUTED_VALUE"""),0.747)</f>
        <v>0.747</v>
      </c>
      <c r="V1063" s="14">
        <f>IFERROR(__xludf.DUMMYFUNCTION("""COMPUTED_VALUE"""),0.125)</f>
        <v>0.125</v>
      </c>
      <c r="W1063" s="14">
        <f>IFERROR(__xludf.DUMMYFUNCTION("""COMPUTED_VALUE"""),6957800.0)</f>
        <v>6957800</v>
      </c>
      <c r="X1063" s="14">
        <f>IFERROR(__xludf.DUMMYFUNCTION("""COMPUTED_VALUE"""),1.0)</f>
        <v>1</v>
      </c>
      <c r="Y1063" s="14" t="str">
        <f>IFERROR(__xludf.DUMMYFUNCTION("""COMPUTED_VALUE"""),"Hong Kong SAR-Asia")</f>
        <v>Hong Kong SAR-Asia</v>
      </c>
      <c r="Z1063" s="14" t="str">
        <f>IFERROR(__xludf.DUMMYFUNCTION("""COMPUTED_VALUE"""),"Asia")</f>
        <v>Asia</v>
      </c>
      <c r="AA1063" s="14" t="str">
        <f>IFERROR(__xludf.DUMMYFUNCTION("""COMPUTED_VALUE"""),"2008")</f>
        <v>2008</v>
      </c>
      <c r="AB1063" s="15" t="str">
        <f>IFERROR(__xludf.DUMMYFUNCTION("ARRAYFORMULA(VLOOKUP(A1063,IMPORTRANGE(""https://docs.google.com/spreadsheets/d/1BuTWp7qHGjWhqrnf-OmePP568O4A5Am9ttzvVdP67zw/edit#gid=1931367683"" ,""ENERGY!$A$2:$F$2692""), {2,3,4,5,6},0))"),"Asia")</f>
        <v>Asia</v>
      </c>
      <c r="AC1063" s="14" t="str">
        <f>IFERROR(__xludf.DUMMYFUNCTION("""COMPUTED_VALUE"""),"Hong Kong SAR-Asia")</f>
        <v>Hong Kong SAR-Asia</v>
      </c>
      <c r="AD1063" s="14" t="str">
        <f>IFERROR(__xludf.DUMMYFUNCTION("""COMPUTED_VALUE"""),"2005")</f>
        <v>2005</v>
      </c>
      <c r="AE1063" s="14">
        <f>IFERROR(__xludf.DUMMYFUNCTION("""COMPUTED_VALUE"""),12808.0)</f>
        <v>12808</v>
      </c>
      <c r="AF1063" s="14">
        <f>IFERROR(__xludf.DUMMYFUNCTION("""COMPUTED_VALUE"""),38415.0)</f>
        <v>38415</v>
      </c>
    </row>
    <row r="1064">
      <c r="A1064" s="12">
        <v>1063.0</v>
      </c>
      <c r="B1064" s="12" t="s">
        <v>160</v>
      </c>
      <c r="C1064" s="5" t="s">
        <v>61</v>
      </c>
      <c r="D1064" s="11">
        <v>0.23</v>
      </c>
      <c r="E1064" s="11">
        <v>6.0</v>
      </c>
      <c r="F1064" s="8"/>
      <c r="G1064" s="11">
        <v>80.0</v>
      </c>
      <c r="H1064" s="11">
        <v>0.694</v>
      </c>
      <c r="I1064" s="11">
        <v>1.798</v>
      </c>
      <c r="J1064" s="9" t="s">
        <v>70</v>
      </c>
      <c r="K1064" s="14" t="str">
        <f>IFERROR(__xludf.DUMMYFUNCTION("ARRAYFORMULA(VLOOKUP(A1064,IMPORTRANGE(""https://docs.google.com/spreadsheets/d/1BuTWp7qHGjWhqrnf-OmePP568O4A5Am9ttzvVdP67zw/edit#gid=1603210130"", ""TOURISM!$A$2:$F$2692""), {2,3,4,5,6},0))"),"Asia")</f>
        <v>Asia</v>
      </c>
      <c r="L1064" s="14">
        <f>IFERROR(__xludf.DUMMYFUNCTION("""COMPUTED_VALUE"""),2.0291E10)</f>
        <v>20291000000</v>
      </c>
      <c r="M1064" s="14" t="str">
        <f>IFERROR(__xludf.DUMMYFUNCTION("""COMPUTED_VALUE"""),"Hong Kong SAR-Asia")</f>
        <v>Hong Kong SAR-Asia</v>
      </c>
      <c r="N1064" s="14" t="str">
        <f>IFERROR(__xludf.DUMMYFUNCTION("""COMPUTED_VALUE"""),"2009")</f>
        <v>2009</v>
      </c>
      <c r="O1064" s="14">
        <f>IFERROR(__xludf.DUMMYFUNCTION("""COMPUTED_VALUE"""),1.5669E10)</f>
        <v>15669000000</v>
      </c>
      <c r="P1064" s="15">
        <f>IFERROR(__xludf.DUMMYFUNCTION("ARRAYFORMULA(VLOOKUP(A1064,IMPORTRANGE(""https://docs.google.com/spreadsheets/d/1BuTWp7qHGjWhqrnf-OmePP568O4A5Am9ttzvVdP67zw/edit#gid=771602874"" ,""HUMAN RESOURCES!$A$2:$M$2692""), {2,3,4,5,6,7,8,9,10,11,12,13},0))"),0.012)</f>
        <v>0.012</v>
      </c>
      <c r="Q1064" s="14"/>
      <c r="R1064" s="14">
        <f>IFERROR(__xludf.DUMMYFUNCTION("""COMPUTED_VALUE"""),86.0)</f>
        <v>86</v>
      </c>
      <c r="S1064" s="14">
        <f>IFERROR(__xludf.DUMMYFUNCTION("""COMPUTED_VALUE"""),80.0)</f>
        <v>80</v>
      </c>
      <c r="T1064" s="14">
        <f>IFERROR(__xludf.DUMMYFUNCTION("""COMPUTED_VALUE"""),0.124)</f>
        <v>0.124</v>
      </c>
      <c r="U1064" s="14">
        <f>IFERROR(__xludf.DUMMYFUNCTION("""COMPUTED_VALUE"""),0.749)</f>
        <v>0.749</v>
      </c>
      <c r="V1064" s="14">
        <f>IFERROR(__xludf.DUMMYFUNCTION("""COMPUTED_VALUE"""),0.127)</f>
        <v>0.127</v>
      </c>
      <c r="W1064" s="14">
        <f>IFERROR(__xludf.DUMMYFUNCTION("""COMPUTED_VALUE"""),6972800.0)</f>
        <v>6972800</v>
      </c>
      <c r="X1064" s="14">
        <f>IFERROR(__xludf.DUMMYFUNCTION("""COMPUTED_VALUE"""),1.0)</f>
        <v>1</v>
      </c>
      <c r="Y1064" s="14" t="str">
        <f>IFERROR(__xludf.DUMMYFUNCTION("""COMPUTED_VALUE"""),"Hong Kong SAR-Asia")</f>
        <v>Hong Kong SAR-Asia</v>
      </c>
      <c r="Z1064" s="14" t="str">
        <f>IFERROR(__xludf.DUMMYFUNCTION("""COMPUTED_VALUE"""),"Asia")</f>
        <v>Asia</v>
      </c>
      <c r="AA1064" s="14" t="str">
        <f>IFERROR(__xludf.DUMMYFUNCTION("""COMPUTED_VALUE"""),"2009")</f>
        <v>2009</v>
      </c>
      <c r="AB1064" s="15" t="str">
        <f>IFERROR(__xludf.DUMMYFUNCTION("ARRAYFORMULA(VLOOKUP(A1064,IMPORTRANGE(""https://docs.google.com/spreadsheets/d/1BuTWp7qHGjWhqrnf-OmePP568O4A5Am9ttzvVdP67zw/edit#gid=1931367683"" ,""ENERGY!$A$2:$F$2692""), {2,3,4,5,6},0))"),"Asia")</f>
        <v>Asia</v>
      </c>
      <c r="AC1064" s="14" t="str">
        <f>IFERROR(__xludf.DUMMYFUNCTION("""COMPUTED_VALUE"""),"Hong Kong SAR-Asia")</f>
        <v>Hong Kong SAR-Asia</v>
      </c>
      <c r="AD1064" s="14" t="str">
        <f>IFERROR(__xludf.DUMMYFUNCTION("""COMPUTED_VALUE"""),"2010")</f>
        <v>2010</v>
      </c>
      <c r="AE1064" s="14">
        <f>IFERROR(__xludf.DUMMYFUNCTION("""COMPUTED_VALUE"""),13608.0)</f>
        <v>13608</v>
      </c>
      <c r="AF1064" s="14">
        <f>IFERROR(__xludf.DUMMYFUNCTION("""COMPUTED_VALUE"""),40066.0)</f>
        <v>40066</v>
      </c>
    </row>
    <row r="1065">
      <c r="A1065" s="12">
        <v>1064.0</v>
      </c>
      <c r="B1065" s="12" t="s">
        <v>160</v>
      </c>
      <c r="C1065" s="5" t="s">
        <v>61</v>
      </c>
      <c r="D1065" s="11">
        <v>0.23</v>
      </c>
      <c r="E1065" s="11">
        <v>6.0</v>
      </c>
      <c r="F1065" s="8"/>
      <c r="G1065" s="11">
        <v>80.0</v>
      </c>
      <c r="H1065" s="11">
        <v>0.72</v>
      </c>
      <c r="I1065" s="11">
        <v>1.957</v>
      </c>
      <c r="J1065" s="9" t="s">
        <v>71</v>
      </c>
      <c r="K1065" s="14" t="str">
        <f>IFERROR(__xludf.DUMMYFUNCTION("ARRAYFORMULA(VLOOKUP(A1065,IMPORTRANGE(""https://docs.google.com/spreadsheets/d/1BuTWp7qHGjWhqrnf-OmePP568O4A5Am9ttzvVdP67zw/edit#gid=1603210130"", ""TOURISM!$A$2:$F$2692""), {2,3,4,5,6},0))"),"Asia")</f>
        <v>Asia</v>
      </c>
      <c r="L1065" s="14">
        <f>IFERROR(__xludf.DUMMYFUNCTION("""COMPUTED_VALUE"""),2.7208E10)</f>
        <v>27208000000</v>
      </c>
      <c r="M1065" s="14" t="str">
        <f>IFERROR(__xludf.DUMMYFUNCTION("""COMPUTED_VALUE"""),"Hong Kong SAR-Asia")</f>
        <v>Hong Kong SAR-Asia</v>
      </c>
      <c r="N1065" s="14" t="str">
        <f>IFERROR(__xludf.DUMMYFUNCTION("""COMPUTED_VALUE"""),"2010")</f>
        <v>2010</v>
      </c>
      <c r="O1065" s="14">
        <f>IFERROR(__xludf.DUMMYFUNCTION("""COMPUTED_VALUE"""),1.7503E10)</f>
        <v>17503000000</v>
      </c>
      <c r="P1065" s="15">
        <f>IFERROR(__xludf.DUMMYFUNCTION("ARRAYFORMULA(VLOOKUP(A1065,IMPORTRANGE(""https://docs.google.com/spreadsheets/d/1BuTWp7qHGjWhqrnf-OmePP568O4A5Am9ttzvVdP67zw/edit#gid=771602874"" ,""HUMAN RESOURCES!$A$2:$M$2692""), {2,3,4,5,6,7,8,9,10,11,12,13},0))"),0.013)</f>
        <v>0.013</v>
      </c>
      <c r="Q1065" s="14"/>
      <c r="R1065" s="14">
        <f>IFERROR(__xludf.DUMMYFUNCTION("""COMPUTED_VALUE"""),86.0)</f>
        <v>86</v>
      </c>
      <c r="S1065" s="14">
        <f>IFERROR(__xludf.DUMMYFUNCTION("""COMPUTED_VALUE"""),80.0)</f>
        <v>80</v>
      </c>
      <c r="T1065" s="14">
        <f>IFERROR(__xludf.DUMMYFUNCTION("""COMPUTED_VALUE"""),0.121)</f>
        <v>0.121</v>
      </c>
      <c r="U1065" s="14">
        <f>IFERROR(__xludf.DUMMYFUNCTION("""COMPUTED_VALUE"""),0.75)</f>
        <v>0.75</v>
      </c>
      <c r="V1065" s="14">
        <f>IFERROR(__xludf.DUMMYFUNCTION("""COMPUTED_VALUE"""),0.129)</f>
        <v>0.129</v>
      </c>
      <c r="W1065" s="14">
        <f>IFERROR(__xludf.DUMMYFUNCTION("""COMPUTED_VALUE"""),7024200.0)</f>
        <v>7024200</v>
      </c>
      <c r="X1065" s="14">
        <f>IFERROR(__xludf.DUMMYFUNCTION("""COMPUTED_VALUE"""),1.0)</f>
        <v>1</v>
      </c>
      <c r="Y1065" s="14" t="str">
        <f>IFERROR(__xludf.DUMMYFUNCTION("""COMPUTED_VALUE"""),"Hong Kong SAR-Asia")</f>
        <v>Hong Kong SAR-Asia</v>
      </c>
      <c r="Z1065" s="14" t="str">
        <f>IFERROR(__xludf.DUMMYFUNCTION("""COMPUTED_VALUE"""),"Asia")</f>
        <v>Asia</v>
      </c>
      <c r="AA1065" s="14" t="str">
        <f>IFERROR(__xludf.DUMMYFUNCTION("""COMPUTED_VALUE"""),"2010")</f>
        <v>2010</v>
      </c>
      <c r="AB1065" s="15" t="str">
        <f>IFERROR(__xludf.DUMMYFUNCTION("ARRAYFORMULA(VLOOKUP(A1065,IMPORTRANGE(""https://docs.google.com/spreadsheets/d/1BuTWp7qHGjWhqrnf-OmePP568O4A5Am9ttzvVdP67zw/edit#gid=1931367683"" ,""ENERGY!$A$2:$F$2692""), {2,3,4,5,6},0))"),"Asia")</f>
        <v>Asia</v>
      </c>
      <c r="AC1065" s="14" t="str">
        <f>IFERROR(__xludf.DUMMYFUNCTION("""COMPUTED_VALUE"""),"Hong Kong SAR-Asia")</f>
        <v>Hong Kong SAR-Asia</v>
      </c>
      <c r="AD1065" s="14" t="str">
        <f>IFERROR(__xludf.DUMMYFUNCTION("""COMPUTED_VALUE"""),"2010")</f>
        <v>2010</v>
      </c>
      <c r="AE1065" s="14">
        <f>IFERROR(__xludf.DUMMYFUNCTION("""COMPUTED_VALUE"""),13195.0)</f>
        <v>13195</v>
      </c>
      <c r="AF1065" s="14">
        <f>IFERROR(__xludf.DUMMYFUNCTION("""COMPUTED_VALUE"""),36952.0)</f>
        <v>36952</v>
      </c>
    </row>
    <row r="1066">
      <c r="A1066" s="12">
        <v>1065.0</v>
      </c>
      <c r="B1066" s="12" t="s">
        <v>160</v>
      </c>
      <c r="C1066" s="5" t="s">
        <v>61</v>
      </c>
      <c r="D1066" s="11">
        <v>0.23</v>
      </c>
      <c r="E1066" s="11">
        <v>3.0</v>
      </c>
      <c r="F1066" s="8"/>
      <c r="G1066" s="11">
        <v>80.0</v>
      </c>
      <c r="H1066" s="11">
        <v>0.722</v>
      </c>
      <c r="I1066" s="11">
        <v>2.155</v>
      </c>
      <c r="J1066" s="9" t="s">
        <v>72</v>
      </c>
      <c r="K1066" s="14" t="str">
        <f>IFERROR(__xludf.DUMMYFUNCTION("ARRAYFORMULA(VLOOKUP(A1066,IMPORTRANGE(""https://docs.google.com/spreadsheets/d/1BuTWp7qHGjWhqrnf-OmePP568O4A5Am9ttzvVdP67zw/edit#gid=1603210130"", ""TOURISM!$A$2:$F$2692""), {2,3,4,5,6},0))"),"Asia")</f>
        <v>Asia</v>
      </c>
      <c r="L1066" s="14">
        <f>IFERROR(__xludf.DUMMYFUNCTION("""COMPUTED_VALUE"""),3.3169E10)</f>
        <v>33169000000</v>
      </c>
      <c r="M1066" s="14" t="str">
        <f>IFERROR(__xludf.DUMMYFUNCTION("""COMPUTED_VALUE"""),"Hong Kong SAR-Asia")</f>
        <v>Hong Kong SAR-Asia</v>
      </c>
      <c r="N1066" s="14" t="str">
        <f>IFERROR(__xludf.DUMMYFUNCTION("""COMPUTED_VALUE"""),"2011")</f>
        <v>2011</v>
      </c>
      <c r="O1066" s="14">
        <f>IFERROR(__xludf.DUMMYFUNCTION("""COMPUTED_VALUE"""),1.9172E10)</f>
        <v>19172000000</v>
      </c>
      <c r="P1066" s="15">
        <f>IFERROR(__xludf.DUMMYFUNCTION("ARRAYFORMULA(VLOOKUP(A1066,IMPORTRANGE(""https://docs.google.com/spreadsheets/d/1BuTWp7qHGjWhqrnf-OmePP568O4A5Am9ttzvVdP67zw/edit#gid=771602874"" ,""HUMAN RESOURCES!$A$2:$M$2692""), {2,3,4,5,6,7,8,9,10,11,12,13},0))"),0.014)</f>
        <v>0.014</v>
      </c>
      <c r="Q1066" s="14"/>
      <c r="R1066" s="14">
        <f>IFERROR(__xludf.DUMMYFUNCTION("""COMPUTED_VALUE"""),87.0)</f>
        <v>87</v>
      </c>
      <c r="S1066" s="14">
        <f>IFERROR(__xludf.DUMMYFUNCTION("""COMPUTED_VALUE"""),80.0)</f>
        <v>80</v>
      </c>
      <c r="T1066" s="14">
        <f>IFERROR(__xludf.DUMMYFUNCTION("""COMPUTED_VALUE"""),0.119)</f>
        <v>0.119</v>
      </c>
      <c r="U1066" s="14">
        <f>IFERROR(__xludf.DUMMYFUNCTION("""COMPUTED_VALUE"""),0.749)</f>
        <v>0.749</v>
      </c>
      <c r="V1066" s="14">
        <f>IFERROR(__xludf.DUMMYFUNCTION("""COMPUTED_VALUE"""),0.132)</f>
        <v>0.132</v>
      </c>
      <c r="W1066" s="14">
        <f>IFERROR(__xludf.DUMMYFUNCTION("""COMPUTED_VALUE"""),7071600.0)</f>
        <v>7071600</v>
      </c>
      <c r="X1066" s="14">
        <f>IFERROR(__xludf.DUMMYFUNCTION("""COMPUTED_VALUE"""),1.0)</f>
        <v>1</v>
      </c>
      <c r="Y1066" s="14" t="str">
        <f>IFERROR(__xludf.DUMMYFUNCTION("""COMPUTED_VALUE"""),"Hong Kong SAR-Asia")</f>
        <v>Hong Kong SAR-Asia</v>
      </c>
      <c r="Z1066" s="14" t="str">
        <f>IFERROR(__xludf.DUMMYFUNCTION("""COMPUTED_VALUE"""),"Asia")</f>
        <v>Asia</v>
      </c>
      <c r="AA1066" s="14" t="str">
        <f>IFERROR(__xludf.DUMMYFUNCTION("""COMPUTED_VALUE"""),"2011")</f>
        <v>2011</v>
      </c>
      <c r="AB1066" s="15" t="str">
        <f>IFERROR(__xludf.DUMMYFUNCTION("ARRAYFORMULA(VLOOKUP(A1066,IMPORTRANGE(""https://docs.google.com/spreadsheets/d/1BuTWp7qHGjWhqrnf-OmePP568O4A5Am9ttzvVdP67zw/edit#gid=1931367683"" ,""ENERGY!$A$2:$F$2692""), {2,3,4,5,6},0))"),"Asia")</f>
        <v>Asia</v>
      </c>
      <c r="AC1066" s="14" t="str">
        <f>IFERROR(__xludf.DUMMYFUNCTION("""COMPUTED_VALUE"""),"Hong Kong SAR-Asia")</f>
        <v>Hong Kong SAR-Asia</v>
      </c>
      <c r="AD1066" s="14" t="str">
        <f>IFERROR(__xludf.DUMMYFUNCTION("""COMPUTED_VALUE"""),"2005")</f>
        <v>2005</v>
      </c>
      <c r="AE1066" s="14">
        <f>IFERROR(__xludf.DUMMYFUNCTION("""COMPUTED_VALUE"""),14145.0)</f>
        <v>14145</v>
      </c>
      <c r="AF1066" s="14">
        <f>IFERROR(__xludf.DUMMYFUNCTION("""COMPUTED_VALUE"""),37972.0)</f>
        <v>37972</v>
      </c>
    </row>
    <row r="1067">
      <c r="A1067" s="12">
        <v>1066.0</v>
      </c>
      <c r="B1067" s="12" t="s">
        <v>160</v>
      </c>
      <c r="C1067" s="5" t="s">
        <v>61</v>
      </c>
      <c r="D1067" s="11">
        <v>0.23</v>
      </c>
      <c r="E1067" s="11">
        <v>3.0</v>
      </c>
      <c r="F1067" s="11">
        <v>2.0</v>
      </c>
      <c r="G1067" s="11">
        <v>78.0</v>
      </c>
      <c r="H1067" s="11">
        <v>0.729</v>
      </c>
      <c r="I1067" s="11">
        <v>2.292</v>
      </c>
      <c r="J1067" s="9" t="s">
        <v>73</v>
      </c>
      <c r="K1067" s="14" t="str">
        <f>IFERROR(__xludf.DUMMYFUNCTION("ARRAYFORMULA(VLOOKUP(A1067,IMPORTRANGE(""https://docs.google.com/spreadsheets/d/1BuTWp7qHGjWhqrnf-OmePP568O4A5Am9ttzvVdP67zw/edit#gid=1603210130"", ""TOURISM!$A$2:$F$2692""), {2,3,4,5,6},0))"),"Asia")</f>
        <v>Asia</v>
      </c>
      <c r="L1067" s="14">
        <f>IFERROR(__xludf.DUMMYFUNCTION("""COMPUTED_VALUE"""),3.8021E10)</f>
        <v>38021000000</v>
      </c>
      <c r="M1067" s="14" t="str">
        <f>IFERROR(__xludf.DUMMYFUNCTION("""COMPUTED_VALUE"""),"Hong Kong SAR-Asia")</f>
        <v>Hong Kong SAR-Asia</v>
      </c>
      <c r="N1067" s="14" t="str">
        <f>IFERROR(__xludf.DUMMYFUNCTION("""COMPUTED_VALUE"""),"2012")</f>
        <v>2012</v>
      </c>
      <c r="O1067" s="14">
        <f>IFERROR(__xludf.DUMMYFUNCTION("""COMPUTED_VALUE"""),2.0246E10)</f>
        <v>20246000000</v>
      </c>
      <c r="P1067" s="15">
        <f>IFERROR(__xludf.DUMMYFUNCTION("ARRAYFORMULA(VLOOKUP(A1067,IMPORTRANGE(""https://docs.google.com/spreadsheets/d/1BuTWp7qHGjWhqrnf-OmePP568O4A5Am9ttzvVdP67zw/edit#gid=771602874"" ,""HUMAN RESOURCES!$A$2:$M$2692""), {2,3,4,5,6,7,8,9,10,11,12,13},0))"),0.013)</f>
        <v>0.013</v>
      </c>
      <c r="Q1067" s="14"/>
      <c r="R1067" s="14">
        <f>IFERROR(__xludf.DUMMYFUNCTION("""COMPUTED_VALUE"""),86.0)</f>
        <v>86</v>
      </c>
      <c r="S1067" s="14">
        <f>IFERROR(__xludf.DUMMYFUNCTION("""COMPUTED_VALUE"""),81.0)</f>
        <v>81</v>
      </c>
      <c r="T1067" s="14">
        <f>IFERROR(__xludf.DUMMYFUNCTION("""COMPUTED_VALUE"""),0.118)</f>
        <v>0.118</v>
      </c>
      <c r="U1067" s="14">
        <f>IFERROR(__xludf.DUMMYFUNCTION("""COMPUTED_VALUE"""),0.747)</f>
        <v>0.747</v>
      </c>
      <c r="V1067" s="14">
        <f>IFERROR(__xludf.DUMMYFUNCTION("""COMPUTED_VALUE"""),0.136)</f>
        <v>0.136</v>
      </c>
      <c r="W1067" s="14">
        <f>IFERROR(__xludf.DUMMYFUNCTION("""COMPUTED_VALUE"""),7154600.0)</f>
        <v>7154600</v>
      </c>
      <c r="X1067" s="14">
        <f>IFERROR(__xludf.DUMMYFUNCTION("""COMPUTED_VALUE"""),1.0)</f>
        <v>1</v>
      </c>
      <c r="Y1067" s="14" t="str">
        <f>IFERROR(__xludf.DUMMYFUNCTION("""COMPUTED_VALUE"""),"Hong Kong SAR-Asia")</f>
        <v>Hong Kong SAR-Asia</v>
      </c>
      <c r="Z1067" s="14" t="str">
        <f>IFERROR(__xludf.DUMMYFUNCTION("""COMPUTED_VALUE"""),"Asia")</f>
        <v>Asia</v>
      </c>
      <c r="AA1067" s="14" t="str">
        <f>IFERROR(__xludf.DUMMYFUNCTION("""COMPUTED_VALUE"""),"2012")</f>
        <v>2012</v>
      </c>
      <c r="AB1067" s="15" t="str">
        <f>IFERROR(__xludf.DUMMYFUNCTION("ARRAYFORMULA(VLOOKUP(A1067,IMPORTRANGE(""https://docs.google.com/spreadsheets/d/1BuTWp7qHGjWhqrnf-OmePP568O4A5Am9ttzvVdP67zw/edit#gid=1931367683"" ,""ENERGY!$A$2:$F$2692""), {2,3,4,5,6},0))"),"Asia")</f>
        <v>Asia</v>
      </c>
      <c r="AC1067" s="14" t="str">
        <f>IFERROR(__xludf.DUMMYFUNCTION("""COMPUTED_VALUE"""),"Hong Kong SAR-Asia")</f>
        <v>Hong Kong SAR-Asia</v>
      </c>
      <c r="AD1067" s="14" t="str">
        <f>IFERROR(__xludf.DUMMYFUNCTION("""COMPUTED_VALUE"""),"2010")</f>
        <v>2010</v>
      </c>
      <c r="AE1067" s="14">
        <f>IFERROR(__xludf.DUMMYFUNCTION("""COMPUTED_VALUE"""),13392.0)</f>
        <v>13392</v>
      </c>
      <c r="AF1067" s="14">
        <f>IFERROR(__xludf.DUMMYFUNCTION("""COMPUTED_VALUE"""),40465.0)</f>
        <v>40465</v>
      </c>
    </row>
    <row r="1068">
      <c r="A1068" s="12">
        <v>1067.0</v>
      </c>
      <c r="B1068" s="12" t="s">
        <v>161</v>
      </c>
      <c r="C1068" s="5" t="s">
        <v>75</v>
      </c>
      <c r="D1068" s="8"/>
      <c r="E1068" s="8"/>
      <c r="F1068" s="8"/>
      <c r="G1068" s="8"/>
      <c r="H1068" s="11">
        <v>0.07</v>
      </c>
      <c r="I1068" s="11">
        <v>0.301</v>
      </c>
      <c r="J1068" s="9" t="s">
        <v>60</v>
      </c>
      <c r="K1068" s="14" t="str">
        <f>IFERROR(__xludf.DUMMYFUNCTION("ARRAYFORMULA(VLOOKUP(A1068,IMPORTRANGE(""https://docs.google.com/spreadsheets/d/1BuTWp7qHGjWhqrnf-OmePP568O4A5Am9ttzvVdP67zw/edit#gid=1603210130"", ""TOURISM!$A$2:$F$2692""), {2,3,4,5,6},0))"),"Europe")</f>
        <v>Europe</v>
      </c>
      <c r="L1068" s="14">
        <f>IFERROR(__xludf.DUMMYFUNCTION("""COMPUTED_VALUE"""),3.809E9)</f>
        <v>3809000000</v>
      </c>
      <c r="M1068" s="14" t="str">
        <f>IFERROR(__xludf.DUMMYFUNCTION("""COMPUTED_VALUE"""),"Hungary-Europe")</f>
        <v>Hungary-Europe</v>
      </c>
      <c r="N1068" s="14" t="str">
        <f>IFERROR(__xludf.DUMMYFUNCTION("""COMPUTED_VALUE"""),"2000")</f>
        <v>2000</v>
      </c>
      <c r="O1068" s="14">
        <f>IFERROR(__xludf.DUMMYFUNCTION("""COMPUTED_VALUE"""),1.722E9)</f>
        <v>1722000000</v>
      </c>
      <c r="P1068" s="15">
        <f>IFERROR(__xludf.DUMMYFUNCTION("ARRAYFORMULA(VLOOKUP(A1068,IMPORTRANGE(""https://docs.google.com/spreadsheets/d/1BuTWp7qHGjWhqrnf-OmePP568O4A5Am9ttzvVdP67zw/edit#gid=771602874"" ,""HUMAN RESOURCES!$A$2:$M$2692""), {2,3,4,5,6,7,8,9,10,11,12,13},0))"),0.01)</f>
        <v>0.01</v>
      </c>
      <c r="Q1068" s="14">
        <f>IFERROR(__xludf.DUMMYFUNCTION("""COMPUTED_VALUE"""),0.01)</f>
        <v>0.01</v>
      </c>
      <c r="R1068" s="14">
        <f>IFERROR(__xludf.DUMMYFUNCTION("""COMPUTED_VALUE"""),76.0)</f>
        <v>76</v>
      </c>
      <c r="S1068" s="14">
        <f>IFERROR(__xludf.DUMMYFUNCTION("""COMPUTED_VALUE"""),67.0)</f>
        <v>67</v>
      </c>
      <c r="T1068" s="14">
        <f>IFERROR(__xludf.DUMMYFUNCTION("""COMPUTED_VALUE"""),0.168)</f>
        <v>0.168</v>
      </c>
      <c r="U1068" s="14">
        <f>IFERROR(__xludf.DUMMYFUNCTION("""COMPUTED_VALUE"""),0.68)</f>
        <v>0.68</v>
      </c>
      <c r="V1068" s="14">
        <f>IFERROR(__xludf.DUMMYFUNCTION("""COMPUTED_VALUE"""),0.151)</f>
        <v>0.151</v>
      </c>
      <c r="W1068" s="14">
        <f>IFERROR(__xludf.DUMMYFUNCTION("""COMPUTED_VALUE"""),1.0210971E7)</f>
        <v>10210971</v>
      </c>
      <c r="X1068" s="14">
        <f>IFERROR(__xludf.DUMMYFUNCTION("""COMPUTED_VALUE"""),0.646)</f>
        <v>0.646</v>
      </c>
      <c r="Y1068" s="14" t="str">
        <f>IFERROR(__xludf.DUMMYFUNCTION("""COMPUTED_VALUE"""),"Hungary-Europe")</f>
        <v>Hungary-Europe</v>
      </c>
      <c r="Z1068" s="14" t="str">
        <f>IFERROR(__xludf.DUMMYFUNCTION("""COMPUTED_VALUE"""),"Europe")</f>
        <v>Europe</v>
      </c>
      <c r="AA1068" s="14" t="str">
        <f>IFERROR(__xludf.DUMMYFUNCTION("""COMPUTED_VALUE"""),"2000")</f>
        <v>2000</v>
      </c>
      <c r="AB1068" s="15" t="str">
        <f>IFERROR(__xludf.DUMMYFUNCTION("ARRAYFORMULA(VLOOKUP(A1068,IMPORTRANGE(""https://docs.google.com/spreadsheets/d/1BuTWp7qHGjWhqrnf-OmePP568O4A5Am9ttzvVdP67zw/edit#gid=1931367683"" ,""ENERGY!$A$2:$F$2692""), {2,3,4,5,6},0))"),"Europe")</f>
        <v>Europe</v>
      </c>
      <c r="AC1068" s="14" t="str">
        <f>IFERROR(__xludf.DUMMYFUNCTION("""COMPUTED_VALUE"""),"Hungary-Europe")</f>
        <v>Hungary-Europe</v>
      </c>
      <c r="AD1068" s="14" t="str">
        <f>IFERROR(__xludf.DUMMYFUNCTION("""COMPUTED_VALUE"""),"2000")</f>
        <v>2000</v>
      </c>
      <c r="AE1068" s="14">
        <f>IFERROR(__xludf.DUMMYFUNCTION("""COMPUTED_VALUE"""),23499.0)</f>
        <v>23499</v>
      </c>
      <c r="AF1068" s="14"/>
    </row>
    <row r="1069">
      <c r="A1069" s="12">
        <v>1068.0</v>
      </c>
      <c r="B1069" s="12" t="s">
        <v>161</v>
      </c>
      <c r="C1069" s="5" t="s">
        <v>75</v>
      </c>
      <c r="D1069" s="8"/>
      <c r="E1069" s="8"/>
      <c r="F1069" s="8"/>
      <c r="G1069" s="8"/>
      <c r="H1069" s="11">
        <v>0.145</v>
      </c>
      <c r="I1069" s="11">
        <v>0.487</v>
      </c>
      <c r="J1069" s="9" t="s">
        <v>62</v>
      </c>
      <c r="K1069" s="14" t="str">
        <f>IFERROR(__xludf.DUMMYFUNCTION("ARRAYFORMULA(VLOOKUP(A1069,IMPORTRANGE(""https://docs.google.com/spreadsheets/d/1BuTWp7qHGjWhqrnf-OmePP568O4A5Am9ttzvVdP67zw/edit#gid=1603210130"", ""TOURISM!$A$2:$F$2692""), {2,3,4,5,6},0))"),"Europe")</f>
        <v>Europe</v>
      </c>
      <c r="L1069" s="14">
        <f>IFERROR(__xludf.DUMMYFUNCTION("""COMPUTED_VALUE"""),4.191E9)</f>
        <v>4191000000</v>
      </c>
      <c r="M1069" s="14" t="str">
        <f>IFERROR(__xludf.DUMMYFUNCTION("""COMPUTED_VALUE"""),"Hungary-Europe")</f>
        <v>Hungary-Europe</v>
      </c>
      <c r="N1069" s="14" t="str">
        <f>IFERROR(__xludf.DUMMYFUNCTION("""COMPUTED_VALUE"""),"2001")</f>
        <v>2001</v>
      </c>
      <c r="O1069" s="14">
        <f>IFERROR(__xludf.DUMMYFUNCTION("""COMPUTED_VALUE"""),1.887E9)</f>
        <v>1887000000</v>
      </c>
      <c r="P1069" s="15">
        <f>IFERROR(__xludf.DUMMYFUNCTION("ARRAYFORMULA(VLOOKUP(A1069,IMPORTRANGE(""https://docs.google.com/spreadsheets/d/1BuTWp7qHGjWhqrnf-OmePP568O4A5Am9ttzvVdP67zw/edit#gid=771602874"" ,""HUMAN RESOURCES!$A$2:$M$2692""), {2,3,4,5,6,7,8,9,10,11,12,13},0))"),0.01)</f>
        <v>0.01</v>
      </c>
      <c r="Q1069" s="14">
        <f>IFERROR(__xludf.DUMMYFUNCTION("""COMPUTED_VALUE"""),0.009)</f>
        <v>0.009</v>
      </c>
      <c r="R1069" s="14">
        <f>IFERROR(__xludf.DUMMYFUNCTION("""COMPUTED_VALUE"""),77.0)</f>
        <v>77</v>
      </c>
      <c r="S1069" s="14">
        <f>IFERROR(__xludf.DUMMYFUNCTION("""COMPUTED_VALUE"""),68.0)</f>
        <v>68</v>
      </c>
      <c r="T1069" s="14">
        <f>IFERROR(__xludf.DUMMYFUNCTION("""COMPUTED_VALUE"""),0.166)</f>
        <v>0.166</v>
      </c>
      <c r="U1069" s="14">
        <f>IFERROR(__xludf.DUMMYFUNCTION("""COMPUTED_VALUE"""),0.682)</f>
        <v>0.682</v>
      </c>
      <c r="V1069" s="14">
        <f>IFERROR(__xludf.DUMMYFUNCTION("""COMPUTED_VALUE"""),0.153)</f>
        <v>0.153</v>
      </c>
      <c r="W1069" s="14">
        <f>IFERROR(__xludf.DUMMYFUNCTION("""COMPUTED_VALUE"""),1.0187576E7)</f>
        <v>10187576</v>
      </c>
      <c r="X1069" s="14">
        <f>IFERROR(__xludf.DUMMYFUNCTION("""COMPUTED_VALUE"""),0.647)</f>
        <v>0.647</v>
      </c>
      <c r="Y1069" s="14" t="str">
        <f>IFERROR(__xludf.DUMMYFUNCTION("""COMPUTED_VALUE"""),"Hungary-Europe")</f>
        <v>Hungary-Europe</v>
      </c>
      <c r="Z1069" s="14" t="str">
        <f>IFERROR(__xludf.DUMMYFUNCTION("""COMPUTED_VALUE"""),"Europe")</f>
        <v>Europe</v>
      </c>
      <c r="AA1069" s="14" t="str">
        <f>IFERROR(__xludf.DUMMYFUNCTION("""COMPUTED_VALUE"""),"2001")</f>
        <v>2001</v>
      </c>
      <c r="AB1069" s="15" t="str">
        <f>IFERROR(__xludf.DUMMYFUNCTION("ARRAYFORMULA(VLOOKUP(A1069,IMPORTRANGE(""https://docs.google.com/spreadsheets/d/1BuTWp7qHGjWhqrnf-OmePP568O4A5Am9ttzvVdP67zw/edit#gid=1931367683"" ,""ENERGY!$A$2:$F$2692""), {2,3,4,5,6},0))"),"Europe")</f>
        <v>Europe</v>
      </c>
      <c r="AC1069" s="14" t="str">
        <f>IFERROR(__xludf.DUMMYFUNCTION("""COMPUTED_VALUE"""),"Hungary-Europe")</f>
        <v>Hungary-Europe</v>
      </c>
      <c r="AD1069" s="14" t="str">
        <f>IFERROR(__xludf.DUMMYFUNCTION("""COMPUTED_VALUE"""),"2001")</f>
        <v>2001</v>
      </c>
      <c r="AE1069" s="14">
        <f>IFERROR(__xludf.DUMMYFUNCTION("""COMPUTED_VALUE"""),24964.0)</f>
        <v>24964</v>
      </c>
      <c r="AF1069" s="14"/>
    </row>
    <row r="1070">
      <c r="A1070" s="12">
        <v>1069.0</v>
      </c>
      <c r="B1070" s="12" t="s">
        <v>161</v>
      </c>
      <c r="C1070" s="5" t="s">
        <v>75</v>
      </c>
      <c r="D1070" s="8"/>
      <c r="E1070" s="8"/>
      <c r="F1070" s="8"/>
      <c r="G1070" s="8"/>
      <c r="H1070" s="11">
        <v>0.167</v>
      </c>
      <c r="I1070" s="11">
        <v>0.677</v>
      </c>
      <c r="J1070" s="9" t="s">
        <v>63</v>
      </c>
      <c r="K1070" s="14" t="str">
        <f>IFERROR(__xludf.DUMMYFUNCTION("ARRAYFORMULA(VLOOKUP(A1070,IMPORTRANGE(""https://docs.google.com/spreadsheets/d/1BuTWp7qHGjWhqrnf-OmePP568O4A5Am9ttzvVdP67zw/edit#gid=1603210130"", ""TOURISM!$A$2:$F$2692""), {2,3,4,5,6},0))"),"Europe")</f>
        <v>Europe</v>
      </c>
      <c r="L1070" s="14">
        <f>IFERROR(__xludf.DUMMYFUNCTION("""COMPUTED_VALUE"""),3.774E9)</f>
        <v>3774000000</v>
      </c>
      <c r="M1070" s="14" t="str">
        <f>IFERROR(__xludf.DUMMYFUNCTION("""COMPUTED_VALUE"""),"Hungary-Europe")</f>
        <v>Hungary-Europe</v>
      </c>
      <c r="N1070" s="14" t="str">
        <f>IFERROR(__xludf.DUMMYFUNCTION("""COMPUTED_VALUE"""),"2002")</f>
        <v>2002</v>
      </c>
      <c r="O1070" s="14">
        <f>IFERROR(__xludf.DUMMYFUNCTION("""COMPUTED_VALUE"""),2.211E9)</f>
        <v>2211000000</v>
      </c>
      <c r="P1070" s="15">
        <f>IFERROR(__xludf.DUMMYFUNCTION("ARRAYFORMULA(VLOOKUP(A1070,IMPORTRANGE(""https://docs.google.com/spreadsheets/d/1BuTWp7qHGjWhqrnf-OmePP568O4A5Am9ttzvVdP67zw/edit#gid=771602874"" ,""HUMAN RESOURCES!$A$2:$M$2692""), {2,3,4,5,6,7,8,9,10,11,12,13},0))"),0.01)</f>
        <v>0.01</v>
      </c>
      <c r="Q1070" s="14">
        <f>IFERROR(__xludf.DUMMYFUNCTION("""COMPUTED_VALUE"""),0.009)</f>
        <v>0.009</v>
      </c>
      <c r="R1070" s="14">
        <f>IFERROR(__xludf.DUMMYFUNCTION("""COMPUTED_VALUE"""),77.0)</f>
        <v>77</v>
      </c>
      <c r="S1070" s="14">
        <f>IFERROR(__xludf.DUMMYFUNCTION("""COMPUTED_VALUE"""),68.0)</f>
        <v>68</v>
      </c>
      <c r="T1070" s="14">
        <f>IFERROR(__xludf.DUMMYFUNCTION("""COMPUTED_VALUE"""),0.163)</f>
        <v>0.163</v>
      </c>
      <c r="U1070" s="14">
        <f>IFERROR(__xludf.DUMMYFUNCTION("""COMPUTED_VALUE"""),0.683)</f>
        <v>0.683</v>
      </c>
      <c r="V1070" s="14">
        <f>IFERROR(__xludf.DUMMYFUNCTION("""COMPUTED_VALUE"""),0.154)</f>
        <v>0.154</v>
      </c>
      <c r="W1070" s="14">
        <f>IFERROR(__xludf.DUMMYFUNCTION("""COMPUTED_VALUE"""),1.0158608E7)</f>
        <v>10158608</v>
      </c>
      <c r="X1070" s="14">
        <f>IFERROR(__xludf.DUMMYFUNCTION("""COMPUTED_VALUE"""),0.651)</f>
        <v>0.651</v>
      </c>
      <c r="Y1070" s="14" t="str">
        <f>IFERROR(__xludf.DUMMYFUNCTION("""COMPUTED_VALUE"""),"Hungary-Europe")</f>
        <v>Hungary-Europe</v>
      </c>
      <c r="Z1070" s="14" t="str">
        <f>IFERROR(__xludf.DUMMYFUNCTION("""COMPUTED_VALUE"""),"Europe")</f>
        <v>Europe</v>
      </c>
      <c r="AA1070" s="14" t="str">
        <f>IFERROR(__xludf.DUMMYFUNCTION("""COMPUTED_VALUE"""),"2002")</f>
        <v>2002</v>
      </c>
      <c r="AB1070" s="15" t="str">
        <f>IFERROR(__xludf.DUMMYFUNCTION("ARRAYFORMULA(VLOOKUP(A1070,IMPORTRANGE(""https://docs.google.com/spreadsheets/d/1BuTWp7qHGjWhqrnf-OmePP568O4A5Am9ttzvVdP67zw/edit#gid=1931367683"" ,""ENERGY!$A$2:$F$2692""), {2,3,4,5,6},0))"),"Europe")</f>
        <v>Europe</v>
      </c>
      <c r="AC1070" s="14" t="str">
        <f>IFERROR(__xludf.DUMMYFUNCTION("""COMPUTED_VALUE"""),"Hungary-Europe")</f>
        <v>Hungary-Europe</v>
      </c>
      <c r="AD1070" s="14" t="str">
        <f>IFERROR(__xludf.DUMMYFUNCTION("""COMPUTED_VALUE"""),"2002")</f>
        <v>2002</v>
      </c>
      <c r="AE1070" s="14">
        <f>IFERROR(__xludf.DUMMYFUNCTION("""COMPUTED_VALUE"""),25667.0)</f>
        <v>25667</v>
      </c>
      <c r="AF1070" s="14">
        <f>IFERROR(__xludf.DUMMYFUNCTION("""COMPUTED_VALUE"""),50583.0)</f>
        <v>50583</v>
      </c>
    </row>
    <row r="1071">
      <c r="A1071" s="12">
        <v>1070.0</v>
      </c>
      <c r="B1071" s="12" t="s">
        <v>161</v>
      </c>
      <c r="C1071" s="5" t="s">
        <v>75</v>
      </c>
      <c r="D1071" s="8"/>
      <c r="E1071" s="11">
        <v>52.0</v>
      </c>
      <c r="F1071" s="8"/>
      <c r="G1071" s="8"/>
      <c r="H1071" s="11">
        <v>0.216</v>
      </c>
      <c r="I1071" s="11">
        <v>0.783</v>
      </c>
      <c r="J1071" s="9" t="s">
        <v>64</v>
      </c>
      <c r="K1071" s="14" t="str">
        <f>IFERROR(__xludf.DUMMYFUNCTION("ARRAYFORMULA(VLOOKUP(A1071,IMPORTRANGE(""https://docs.google.com/spreadsheets/d/1BuTWp7qHGjWhqrnf-OmePP568O4A5Am9ttzvVdP67zw/edit#gid=1603210130"", ""TOURISM!$A$2:$F$2692""), {2,3,4,5,6},0))"),"Europe")</f>
        <v>Europe</v>
      </c>
      <c r="L1071" s="14">
        <f>IFERROR(__xludf.DUMMYFUNCTION("""COMPUTED_VALUE"""),4.119E9)</f>
        <v>4119000000</v>
      </c>
      <c r="M1071" s="14" t="str">
        <f>IFERROR(__xludf.DUMMYFUNCTION("""COMPUTED_VALUE"""),"Hungary-Europe")</f>
        <v>Hungary-Europe</v>
      </c>
      <c r="N1071" s="14" t="str">
        <f>IFERROR(__xludf.DUMMYFUNCTION("""COMPUTED_VALUE"""),"2003")</f>
        <v>2003</v>
      </c>
      <c r="O1071" s="14">
        <f>IFERROR(__xludf.DUMMYFUNCTION("""COMPUTED_VALUE"""),2.7E9)</f>
        <v>2700000000</v>
      </c>
      <c r="P1071" s="15">
        <f>IFERROR(__xludf.DUMMYFUNCTION("ARRAYFORMULA(VLOOKUP(A1071,IMPORTRANGE(""https://docs.google.com/spreadsheets/d/1BuTWp7qHGjWhqrnf-OmePP568O4A5Am9ttzvVdP67zw/edit#gid=771602874"" ,""HUMAN RESOURCES!$A$2:$M$2692""), {2,3,4,5,6,7,8,9,10,11,12,13},0))"),0.009)</f>
        <v>0.009</v>
      </c>
      <c r="Q1071" s="14">
        <f>IFERROR(__xludf.DUMMYFUNCTION("""COMPUTED_VALUE"""),0.008)</f>
        <v>0.008</v>
      </c>
      <c r="R1071" s="14">
        <f>IFERROR(__xludf.DUMMYFUNCTION("""COMPUTED_VALUE"""),77.0)</f>
        <v>77</v>
      </c>
      <c r="S1071" s="14">
        <f>IFERROR(__xludf.DUMMYFUNCTION("""COMPUTED_VALUE"""),68.0)</f>
        <v>68</v>
      </c>
      <c r="T1071" s="14">
        <f>IFERROR(__xludf.DUMMYFUNCTION("""COMPUTED_VALUE"""),0.16)</f>
        <v>0.16</v>
      </c>
      <c r="U1071" s="14">
        <f>IFERROR(__xludf.DUMMYFUNCTION("""COMPUTED_VALUE"""),0.685)</f>
        <v>0.685</v>
      </c>
      <c r="V1071" s="14">
        <f>IFERROR(__xludf.DUMMYFUNCTION("""COMPUTED_VALUE"""),0.155)</f>
        <v>0.155</v>
      </c>
      <c r="W1071" s="14">
        <f>IFERROR(__xludf.DUMMYFUNCTION("""COMPUTED_VALUE"""),1.0129552E7)</f>
        <v>10129552</v>
      </c>
      <c r="X1071" s="14">
        <f>IFERROR(__xludf.DUMMYFUNCTION("""COMPUTED_VALUE"""),0.655)</f>
        <v>0.655</v>
      </c>
      <c r="Y1071" s="14" t="str">
        <f>IFERROR(__xludf.DUMMYFUNCTION("""COMPUTED_VALUE"""),"Hungary-Europe")</f>
        <v>Hungary-Europe</v>
      </c>
      <c r="Z1071" s="14" t="str">
        <f>IFERROR(__xludf.DUMMYFUNCTION("""COMPUTED_VALUE"""),"Europe")</f>
        <v>Europe</v>
      </c>
      <c r="AA1071" s="14" t="str">
        <f>IFERROR(__xludf.DUMMYFUNCTION("""COMPUTED_VALUE"""),"2003")</f>
        <v>2003</v>
      </c>
      <c r="AB1071" s="15" t="str">
        <f>IFERROR(__xludf.DUMMYFUNCTION("ARRAYFORMULA(VLOOKUP(A1071,IMPORTRANGE(""https://docs.google.com/spreadsheets/d/1BuTWp7qHGjWhqrnf-OmePP568O4A5Am9ttzvVdP67zw/edit#gid=1931367683"" ,""ENERGY!$A$2:$F$2692""), {2,3,4,5,6},0))"),"Europe")</f>
        <v>Europe</v>
      </c>
      <c r="AC1071" s="14" t="str">
        <f>IFERROR(__xludf.DUMMYFUNCTION("""COMPUTED_VALUE"""),"Hungary-Europe")</f>
        <v>Hungary-Europe</v>
      </c>
      <c r="AD1071" s="14" t="str">
        <f>IFERROR(__xludf.DUMMYFUNCTION("""COMPUTED_VALUE"""),"2003")</f>
        <v>2003</v>
      </c>
      <c r="AE1071" s="14">
        <f>IFERROR(__xludf.DUMMYFUNCTION("""COMPUTED_VALUE"""),24859.0)</f>
        <v>24859</v>
      </c>
      <c r="AF1071" s="14">
        <f>IFERROR(__xludf.DUMMYFUNCTION("""COMPUTED_VALUE"""),48676.0)</f>
        <v>48676</v>
      </c>
    </row>
    <row r="1072">
      <c r="A1072" s="12">
        <v>1071.0</v>
      </c>
      <c r="B1072" s="12" t="s">
        <v>161</v>
      </c>
      <c r="C1072" s="5" t="s">
        <v>75</v>
      </c>
      <c r="D1072" s="8"/>
      <c r="E1072" s="11">
        <v>52.0</v>
      </c>
      <c r="F1072" s="8"/>
      <c r="G1072" s="8"/>
      <c r="H1072" s="11">
        <v>0.277</v>
      </c>
      <c r="I1072" s="11">
        <v>0.863</v>
      </c>
      <c r="J1072" s="9" t="s">
        <v>65</v>
      </c>
      <c r="K1072" s="14" t="str">
        <f>IFERROR(__xludf.DUMMYFUNCTION("ARRAYFORMULA(VLOOKUP(A1072,IMPORTRANGE(""https://docs.google.com/spreadsheets/d/1BuTWp7qHGjWhqrnf-OmePP568O4A5Am9ttzvVdP67zw/edit#gid=1603210130"", ""TOURISM!$A$2:$F$2692""), {2,3,4,5,6},0))"),"Europe")</f>
        <v>Europe</v>
      </c>
      <c r="L1072" s="14">
        <f>IFERROR(__xludf.DUMMYFUNCTION("""COMPUTED_VALUE"""),4.009E9)</f>
        <v>4009000000</v>
      </c>
      <c r="M1072" s="14" t="str">
        <f>IFERROR(__xludf.DUMMYFUNCTION("""COMPUTED_VALUE"""),"Hungary-Europe")</f>
        <v>Hungary-Europe</v>
      </c>
      <c r="N1072" s="14" t="str">
        <f>IFERROR(__xludf.DUMMYFUNCTION("""COMPUTED_VALUE"""),"2004")</f>
        <v>2004</v>
      </c>
      <c r="O1072" s="14">
        <f>IFERROR(__xludf.DUMMYFUNCTION("""COMPUTED_VALUE"""),2.482E9)</f>
        <v>2482000000</v>
      </c>
      <c r="P1072" s="15">
        <f>IFERROR(__xludf.DUMMYFUNCTION("ARRAYFORMULA(VLOOKUP(A1072,IMPORTRANGE(""https://docs.google.com/spreadsheets/d/1BuTWp7qHGjWhqrnf-OmePP568O4A5Am9ttzvVdP67zw/edit#gid=771602874"" ,""HUMAN RESOURCES!$A$2:$M$2692""), {2,3,4,5,6,7,8,9,10,11,12,13},0))"),0.009)</f>
        <v>0.009</v>
      </c>
      <c r="Q1072" s="14">
        <f>IFERROR(__xludf.DUMMYFUNCTION("""COMPUTED_VALUE"""),0.008)</f>
        <v>0.008</v>
      </c>
      <c r="R1072" s="14">
        <f>IFERROR(__xludf.DUMMYFUNCTION("""COMPUTED_VALUE"""),77.0)</f>
        <v>77</v>
      </c>
      <c r="S1072" s="14">
        <f>IFERROR(__xludf.DUMMYFUNCTION("""COMPUTED_VALUE"""),69.0)</f>
        <v>69</v>
      </c>
      <c r="T1072" s="14">
        <f>IFERROR(__xludf.DUMMYFUNCTION("""COMPUTED_VALUE"""),0.158)</f>
        <v>0.158</v>
      </c>
      <c r="U1072" s="14">
        <f>IFERROR(__xludf.DUMMYFUNCTION("""COMPUTED_VALUE"""),0.687)</f>
        <v>0.687</v>
      </c>
      <c r="V1072" s="14">
        <f>IFERROR(__xludf.DUMMYFUNCTION("""COMPUTED_VALUE"""),0.156)</f>
        <v>0.156</v>
      </c>
      <c r="W1072" s="14">
        <f>IFERROR(__xludf.DUMMYFUNCTION("""COMPUTED_VALUE"""),1.0107146E7)</f>
        <v>10107146</v>
      </c>
      <c r="X1072" s="14">
        <f>IFERROR(__xludf.DUMMYFUNCTION("""COMPUTED_VALUE"""),0.659)</f>
        <v>0.659</v>
      </c>
      <c r="Y1072" s="14" t="str">
        <f>IFERROR(__xludf.DUMMYFUNCTION("""COMPUTED_VALUE"""),"Hungary-Europe")</f>
        <v>Hungary-Europe</v>
      </c>
      <c r="Z1072" s="14" t="str">
        <f>IFERROR(__xludf.DUMMYFUNCTION("""COMPUTED_VALUE"""),"Europe")</f>
        <v>Europe</v>
      </c>
      <c r="AA1072" s="14" t="str">
        <f>IFERROR(__xludf.DUMMYFUNCTION("""COMPUTED_VALUE"""),"2004")</f>
        <v>2004</v>
      </c>
      <c r="AB1072" s="15" t="str">
        <f>IFERROR(__xludf.DUMMYFUNCTION("ARRAYFORMULA(VLOOKUP(A1072,IMPORTRANGE(""https://docs.google.com/spreadsheets/d/1BuTWp7qHGjWhqrnf-OmePP568O4A5Am9ttzvVdP67zw/edit#gid=1931367683"" ,""ENERGY!$A$2:$F$2692""), {2,3,4,5,6},0))"),"Europe")</f>
        <v>Europe</v>
      </c>
      <c r="AC1072" s="14" t="str">
        <f>IFERROR(__xludf.DUMMYFUNCTION("""COMPUTED_VALUE"""),"Hungary-Europe")</f>
        <v>Hungary-Europe</v>
      </c>
      <c r="AD1072" s="14" t="str">
        <f>IFERROR(__xludf.DUMMYFUNCTION("""COMPUTED_VALUE"""),"2004")</f>
        <v>2004</v>
      </c>
      <c r="AE1072" s="14">
        <f>IFERROR(__xludf.DUMMYFUNCTION("""COMPUTED_VALUE"""),26458.0)</f>
        <v>26458</v>
      </c>
      <c r="AF1072" s="14">
        <f>IFERROR(__xludf.DUMMYFUNCTION("""COMPUTED_VALUE"""),54657.0)</f>
        <v>54657</v>
      </c>
    </row>
    <row r="1073">
      <c r="A1073" s="12">
        <v>1072.0</v>
      </c>
      <c r="B1073" s="12" t="s">
        <v>161</v>
      </c>
      <c r="C1073" s="5" t="s">
        <v>75</v>
      </c>
      <c r="D1073" s="11">
        <v>0.566</v>
      </c>
      <c r="E1073" s="11">
        <v>38.0</v>
      </c>
      <c r="F1073" s="8"/>
      <c r="G1073" s="11">
        <v>340.0</v>
      </c>
      <c r="H1073" s="11">
        <v>0.39</v>
      </c>
      <c r="I1073" s="11">
        <v>0.923</v>
      </c>
      <c r="J1073" s="9" t="s">
        <v>66</v>
      </c>
      <c r="K1073" s="14" t="str">
        <f>IFERROR(__xludf.DUMMYFUNCTION("ARRAYFORMULA(VLOOKUP(A1073,IMPORTRANGE(""https://docs.google.com/spreadsheets/d/1BuTWp7qHGjWhqrnf-OmePP568O4A5Am9ttzvVdP67zw/edit#gid=1603210130"", ""TOURISM!$A$2:$F$2692""), {2,3,4,5,6},0))"),"Europe")</f>
        <v>Europe</v>
      </c>
      <c r="L1073" s="14">
        <f>IFERROR(__xludf.DUMMYFUNCTION("""COMPUTED_VALUE"""),4.761E9)</f>
        <v>4761000000</v>
      </c>
      <c r="M1073" s="14" t="str">
        <f>IFERROR(__xludf.DUMMYFUNCTION("""COMPUTED_VALUE"""),"Hungary-Europe")</f>
        <v>Hungary-Europe</v>
      </c>
      <c r="N1073" s="14" t="str">
        <f>IFERROR(__xludf.DUMMYFUNCTION("""COMPUTED_VALUE"""),"2005")</f>
        <v>2005</v>
      </c>
      <c r="O1073" s="14">
        <f>IFERROR(__xludf.DUMMYFUNCTION("""COMPUTED_VALUE"""),2.721E9)</f>
        <v>2721000000</v>
      </c>
      <c r="P1073" s="15">
        <f>IFERROR(__xludf.DUMMYFUNCTION("ARRAYFORMULA(VLOOKUP(A1073,IMPORTRANGE(""https://docs.google.com/spreadsheets/d/1BuTWp7qHGjWhqrnf-OmePP568O4A5Am9ttzvVdP67zw/edit#gid=771602874"" ,""HUMAN RESOURCES!$A$2:$M$2692""), {2,3,4,5,6,7,8,9,10,11,12,13},0))"),0.01)</f>
        <v>0.01</v>
      </c>
      <c r="Q1073" s="14">
        <f>IFERROR(__xludf.DUMMYFUNCTION("""COMPUTED_VALUE"""),0.007)</f>
        <v>0.007</v>
      </c>
      <c r="R1073" s="14">
        <f>IFERROR(__xludf.DUMMYFUNCTION("""COMPUTED_VALUE"""),77.0)</f>
        <v>77</v>
      </c>
      <c r="S1073" s="14">
        <f>IFERROR(__xludf.DUMMYFUNCTION("""COMPUTED_VALUE"""),69.0)</f>
        <v>69</v>
      </c>
      <c r="T1073" s="14">
        <f>IFERROR(__xludf.DUMMYFUNCTION("""COMPUTED_VALUE"""),0.155)</f>
        <v>0.155</v>
      </c>
      <c r="U1073" s="14">
        <f>IFERROR(__xludf.DUMMYFUNCTION("""COMPUTED_VALUE"""),0.688)</f>
        <v>0.688</v>
      </c>
      <c r="V1073" s="14">
        <f>IFERROR(__xludf.DUMMYFUNCTION("""COMPUTED_VALUE"""),0.157)</f>
        <v>0.157</v>
      </c>
      <c r="W1073" s="14">
        <f>IFERROR(__xludf.DUMMYFUNCTION("""COMPUTED_VALUE"""),1.0087065E7)</f>
        <v>10087065</v>
      </c>
      <c r="X1073" s="14">
        <f>IFERROR(__xludf.DUMMYFUNCTION("""COMPUTED_VALUE"""),0.664)</f>
        <v>0.664</v>
      </c>
      <c r="Y1073" s="14" t="str">
        <f>IFERROR(__xludf.DUMMYFUNCTION("""COMPUTED_VALUE"""),"Hungary-Europe")</f>
        <v>Hungary-Europe</v>
      </c>
      <c r="Z1073" s="14" t="str">
        <f>IFERROR(__xludf.DUMMYFUNCTION("""COMPUTED_VALUE"""),"Europe")</f>
        <v>Europe</v>
      </c>
      <c r="AA1073" s="14" t="str">
        <f>IFERROR(__xludf.DUMMYFUNCTION("""COMPUTED_VALUE"""),"2005")</f>
        <v>2005</v>
      </c>
      <c r="AB1073" s="15" t="str">
        <f>IFERROR(__xludf.DUMMYFUNCTION("ARRAYFORMULA(VLOOKUP(A1073,IMPORTRANGE(""https://docs.google.com/spreadsheets/d/1BuTWp7qHGjWhqrnf-OmePP568O4A5Am9ttzvVdP67zw/edit#gid=1931367683"" ,""ENERGY!$A$2:$F$2692""), {2,3,4,5,6},0))"),"Europe")</f>
        <v>Europe</v>
      </c>
      <c r="AC1073" s="14" t="str">
        <f>IFERROR(__xludf.DUMMYFUNCTION("""COMPUTED_VALUE"""),"Hungary-Europe")</f>
        <v>Hungary-Europe</v>
      </c>
      <c r="AD1073" s="14" t="str">
        <f>IFERROR(__xludf.DUMMYFUNCTION("""COMPUTED_VALUE"""),"2007")</f>
        <v>2007</v>
      </c>
      <c r="AE1073" s="14">
        <f>IFERROR(__xludf.DUMMYFUNCTION("""COMPUTED_VALUE"""),26729.0)</f>
        <v>26729</v>
      </c>
      <c r="AF1073" s="14">
        <f>IFERROR(__xludf.DUMMYFUNCTION("""COMPUTED_VALUE"""),55859.0)</f>
        <v>55859</v>
      </c>
    </row>
    <row r="1074">
      <c r="A1074" s="12">
        <v>1073.0</v>
      </c>
      <c r="B1074" s="12" t="s">
        <v>161</v>
      </c>
      <c r="C1074" s="5" t="s">
        <v>75</v>
      </c>
      <c r="D1074" s="11">
        <v>0.557</v>
      </c>
      <c r="E1074" s="11">
        <v>38.0</v>
      </c>
      <c r="F1074" s="8"/>
      <c r="G1074" s="11">
        <v>340.0</v>
      </c>
      <c r="H1074" s="11">
        <v>0.471</v>
      </c>
      <c r="I1074" s="11">
        <v>0.989</v>
      </c>
      <c r="J1074" s="9" t="s">
        <v>67</v>
      </c>
      <c r="K1074" s="14" t="str">
        <f>IFERROR(__xludf.DUMMYFUNCTION("ARRAYFORMULA(VLOOKUP(A1074,IMPORTRANGE(""https://docs.google.com/spreadsheets/d/1BuTWp7qHGjWhqrnf-OmePP568O4A5Am9ttzvVdP67zw/edit#gid=1603210130"", ""TOURISM!$A$2:$F$2692""), {2,3,4,5,6},0))"),"Europe")</f>
        <v>Europe</v>
      </c>
      <c r="L1074" s="14">
        <f>IFERROR(__xludf.DUMMYFUNCTION("""COMPUTED_VALUE"""),4.998E9)</f>
        <v>4998000000</v>
      </c>
      <c r="M1074" s="14" t="str">
        <f>IFERROR(__xludf.DUMMYFUNCTION("""COMPUTED_VALUE"""),"Hungary-Europe")</f>
        <v>Hungary-Europe</v>
      </c>
      <c r="N1074" s="14" t="str">
        <f>IFERROR(__xludf.DUMMYFUNCTION("""COMPUTED_VALUE"""),"2006")</f>
        <v>2006</v>
      </c>
      <c r="O1074" s="14">
        <f>IFERROR(__xludf.DUMMYFUNCTION("""COMPUTED_VALUE"""),2.319E9)</f>
        <v>2319000000</v>
      </c>
      <c r="P1074" s="15">
        <f>IFERROR(__xludf.DUMMYFUNCTION("ARRAYFORMULA(VLOOKUP(A1074,IMPORTRANGE(""https://docs.google.com/spreadsheets/d/1BuTWp7qHGjWhqrnf-OmePP568O4A5Am9ttzvVdP67zw/edit#gid=771602874"" ,""HUMAN RESOURCES!$A$2:$M$2692""), {2,3,4,5,6,7,8,9,10,11,12,13},0))"),0.01)</f>
        <v>0.01</v>
      </c>
      <c r="Q1074" s="14">
        <f>IFERROR(__xludf.DUMMYFUNCTION("""COMPUTED_VALUE"""),0.007)</f>
        <v>0.007</v>
      </c>
      <c r="R1074" s="14">
        <f>IFERROR(__xludf.DUMMYFUNCTION("""COMPUTED_VALUE"""),77.0)</f>
        <v>77</v>
      </c>
      <c r="S1074" s="14">
        <f>IFERROR(__xludf.DUMMYFUNCTION("""COMPUTED_VALUE"""),69.0)</f>
        <v>69</v>
      </c>
      <c r="T1074" s="14">
        <f>IFERROR(__xludf.DUMMYFUNCTION("""COMPUTED_VALUE"""),0.153)</f>
        <v>0.153</v>
      </c>
      <c r="U1074" s="14">
        <f>IFERROR(__xludf.DUMMYFUNCTION("""COMPUTED_VALUE"""),0.688)</f>
        <v>0.688</v>
      </c>
      <c r="V1074" s="14">
        <f>IFERROR(__xludf.DUMMYFUNCTION("""COMPUTED_VALUE"""),0.159)</f>
        <v>0.159</v>
      </c>
      <c r="W1074" s="14">
        <f>IFERROR(__xludf.DUMMYFUNCTION("""COMPUTED_VALUE"""),1.007137E7)</f>
        <v>10071370</v>
      </c>
      <c r="X1074" s="14">
        <f>IFERROR(__xludf.DUMMYFUNCTION("""COMPUTED_VALUE"""),0.669)</f>
        <v>0.669</v>
      </c>
      <c r="Y1074" s="14" t="str">
        <f>IFERROR(__xludf.DUMMYFUNCTION("""COMPUTED_VALUE"""),"Hungary-Europe")</f>
        <v>Hungary-Europe</v>
      </c>
      <c r="Z1074" s="14" t="str">
        <f>IFERROR(__xludf.DUMMYFUNCTION("""COMPUTED_VALUE"""),"Europe")</f>
        <v>Europe</v>
      </c>
      <c r="AA1074" s="14" t="str">
        <f>IFERROR(__xludf.DUMMYFUNCTION("""COMPUTED_VALUE"""),"2006")</f>
        <v>2006</v>
      </c>
      <c r="AB1074" s="15" t="str">
        <f>IFERROR(__xludf.DUMMYFUNCTION("ARRAYFORMULA(VLOOKUP(A1074,IMPORTRANGE(""https://docs.google.com/spreadsheets/d/1BuTWp7qHGjWhqrnf-OmePP568O4A5Am9ttzvVdP67zw/edit#gid=1931367683"" ,""ENERGY!$A$2:$F$2692""), {2,3,4,5,6},0))"),"Europe")</f>
        <v>Europe</v>
      </c>
      <c r="AC1074" s="14" t="str">
        <f>IFERROR(__xludf.DUMMYFUNCTION("""COMPUTED_VALUE"""),"Hungary-Europe")</f>
        <v>Hungary-Europe</v>
      </c>
      <c r="AD1074" s="14" t="str">
        <f>IFERROR(__xludf.DUMMYFUNCTION("""COMPUTED_VALUE"""),"2011")</f>
        <v>2011</v>
      </c>
      <c r="AE1074" s="14">
        <f>IFERROR(__xludf.DUMMYFUNCTION("""COMPUTED_VALUE"""),27330.0)</f>
        <v>27330</v>
      </c>
      <c r="AF1074" s="14">
        <f>IFERROR(__xludf.DUMMYFUNCTION("""COMPUTED_VALUE"""),57235.0)</f>
        <v>57235</v>
      </c>
    </row>
    <row r="1075">
      <c r="A1075" s="12">
        <v>1074.0</v>
      </c>
      <c r="B1075" s="12" t="s">
        <v>161</v>
      </c>
      <c r="C1075" s="5" t="s">
        <v>75</v>
      </c>
      <c r="D1075" s="11">
        <v>0.553</v>
      </c>
      <c r="E1075" s="11">
        <v>16.0</v>
      </c>
      <c r="F1075" s="8"/>
      <c r="G1075" s="11">
        <v>340.0</v>
      </c>
      <c r="H1075" s="11">
        <v>0.533</v>
      </c>
      <c r="I1075" s="11">
        <v>1.096</v>
      </c>
      <c r="J1075" s="9" t="s">
        <v>68</v>
      </c>
      <c r="K1075" s="14" t="str">
        <f>IFERROR(__xludf.DUMMYFUNCTION("ARRAYFORMULA(VLOOKUP(A1075,IMPORTRANGE(""https://docs.google.com/spreadsheets/d/1BuTWp7qHGjWhqrnf-OmePP568O4A5Am9ttzvVdP67zw/edit#gid=1603210130"", ""TOURISM!$A$2:$F$2692""), {2,3,4,5,6},0))"),"Europe")</f>
        <v>Europe</v>
      </c>
      <c r="L1075" s="14">
        <f>IFERROR(__xludf.DUMMYFUNCTION("""COMPUTED_VALUE"""),5.628E9)</f>
        <v>5628000000</v>
      </c>
      <c r="M1075" s="14" t="str">
        <f>IFERROR(__xludf.DUMMYFUNCTION("""COMPUTED_VALUE"""),"Hungary-Europe")</f>
        <v>Hungary-Europe</v>
      </c>
      <c r="N1075" s="14" t="str">
        <f>IFERROR(__xludf.DUMMYFUNCTION("""COMPUTED_VALUE"""),"2007")</f>
        <v>2007</v>
      </c>
      <c r="O1075" s="14">
        <f>IFERROR(__xludf.DUMMYFUNCTION("""COMPUTED_VALUE"""),3.088E9)</f>
        <v>3088000000</v>
      </c>
      <c r="P1075" s="15">
        <f>IFERROR(__xludf.DUMMYFUNCTION("ARRAYFORMULA(VLOOKUP(A1075,IMPORTRANGE(""https://docs.google.com/spreadsheets/d/1BuTWp7qHGjWhqrnf-OmePP568O4A5Am9ttzvVdP67zw/edit#gid=771602874"" ,""HUMAN RESOURCES!$A$2:$M$2692""), {2,3,4,5,6,7,8,9,10,11,12,13},0))"),0.01)</f>
        <v>0.01</v>
      </c>
      <c r="Q1075" s="14">
        <f>IFERROR(__xludf.DUMMYFUNCTION("""COMPUTED_VALUE"""),0.007)</f>
        <v>0.007</v>
      </c>
      <c r="R1075" s="14">
        <f>IFERROR(__xludf.DUMMYFUNCTION("""COMPUTED_VALUE"""),77.0)</f>
        <v>77</v>
      </c>
      <c r="S1075" s="14">
        <f>IFERROR(__xludf.DUMMYFUNCTION("""COMPUTED_VALUE"""),69.0)</f>
        <v>69</v>
      </c>
      <c r="T1075" s="14">
        <f>IFERROR(__xludf.DUMMYFUNCTION("""COMPUTED_VALUE"""),0.151)</f>
        <v>0.151</v>
      </c>
      <c r="U1075" s="14">
        <f>IFERROR(__xludf.DUMMYFUNCTION("""COMPUTED_VALUE"""),0.689)</f>
        <v>0.689</v>
      </c>
      <c r="V1075" s="14">
        <f>IFERROR(__xludf.DUMMYFUNCTION("""COMPUTED_VALUE"""),0.161)</f>
        <v>0.161</v>
      </c>
      <c r="W1075" s="14">
        <f>IFERROR(__xludf.DUMMYFUNCTION("""COMPUTED_VALUE"""),1.005578E7)</f>
        <v>10055780</v>
      </c>
      <c r="X1075" s="14">
        <f>IFERROR(__xludf.DUMMYFUNCTION("""COMPUTED_VALUE"""),0.674)</f>
        <v>0.674</v>
      </c>
      <c r="Y1075" s="14" t="str">
        <f>IFERROR(__xludf.DUMMYFUNCTION("""COMPUTED_VALUE"""),"Hungary-Europe")</f>
        <v>Hungary-Europe</v>
      </c>
      <c r="Z1075" s="14" t="str">
        <f>IFERROR(__xludf.DUMMYFUNCTION("""COMPUTED_VALUE"""),"Europe")</f>
        <v>Europe</v>
      </c>
      <c r="AA1075" s="14" t="str">
        <f>IFERROR(__xludf.DUMMYFUNCTION("""COMPUTED_VALUE"""),"2007")</f>
        <v>2007</v>
      </c>
      <c r="AB1075" s="15" t="str">
        <f>IFERROR(__xludf.DUMMYFUNCTION("ARRAYFORMULA(VLOOKUP(A1075,IMPORTRANGE(""https://docs.google.com/spreadsheets/d/1BuTWp7qHGjWhqrnf-OmePP568O4A5Am9ttzvVdP67zw/edit#gid=1931367683"" ,""ENERGY!$A$2:$F$2692""), {2,3,4,5,6},0))"),"Europe")</f>
        <v>Europe</v>
      </c>
      <c r="AC1075" s="14" t="str">
        <f>IFERROR(__xludf.DUMMYFUNCTION("""COMPUTED_VALUE"""),"Hungary-Europe")</f>
        <v>Hungary-Europe</v>
      </c>
      <c r="AD1075" s="14" t="str">
        <f>IFERROR(__xludf.DUMMYFUNCTION("""COMPUTED_VALUE"""),"2008")</f>
        <v>2008</v>
      </c>
      <c r="AE1075" s="14">
        <f>IFERROR(__xludf.DUMMYFUNCTION("""COMPUTED_VALUE"""),27583.0)</f>
        <v>27583</v>
      </c>
      <c r="AF1075" s="14">
        <f>IFERROR(__xludf.DUMMYFUNCTION("""COMPUTED_VALUE"""),57917.0)</f>
        <v>57917</v>
      </c>
    </row>
    <row r="1076">
      <c r="A1076" s="12">
        <v>1075.0</v>
      </c>
      <c r="B1076" s="12" t="s">
        <v>161</v>
      </c>
      <c r="C1076" s="5" t="s">
        <v>75</v>
      </c>
      <c r="D1076" s="11">
        <v>0.566</v>
      </c>
      <c r="E1076" s="11">
        <v>5.0</v>
      </c>
      <c r="F1076" s="8"/>
      <c r="G1076" s="11">
        <v>330.0</v>
      </c>
      <c r="H1076" s="11">
        <v>0.61</v>
      </c>
      <c r="I1076" s="11">
        <v>1.217</v>
      </c>
      <c r="J1076" s="9" t="s">
        <v>69</v>
      </c>
      <c r="K1076" s="14" t="str">
        <f>IFERROR(__xludf.DUMMYFUNCTION("ARRAYFORMULA(VLOOKUP(A1076,IMPORTRANGE(""https://docs.google.com/spreadsheets/d/1BuTWp7qHGjWhqrnf-OmePP568O4A5Am9ttzvVdP67zw/edit#gid=1603210130"", ""TOURISM!$A$2:$F$2692""), {2,3,4,5,6},0))"),"Europe")</f>
        <v>Europe</v>
      </c>
      <c r="L1076" s="14">
        <f>IFERROR(__xludf.DUMMYFUNCTION("""COMPUTED_VALUE"""),7.113E9)</f>
        <v>7113000000</v>
      </c>
      <c r="M1076" s="14" t="str">
        <f>IFERROR(__xludf.DUMMYFUNCTION("""COMPUTED_VALUE"""),"Hungary-Europe")</f>
        <v>Hungary-Europe</v>
      </c>
      <c r="N1076" s="14" t="str">
        <f>IFERROR(__xludf.DUMMYFUNCTION("""COMPUTED_VALUE"""),"2008")</f>
        <v>2008</v>
      </c>
      <c r="O1076" s="14">
        <f>IFERROR(__xludf.DUMMYFUNCTION("""COMPUTED_VALUE"""),3.833E9)</f>
        <v>3833000000</v>
      </c>
      <c r="P1076" s="15">
        <f>IFERROR(__xludf.DUMMYFUNCTION("ARRAYFORMULA(VLOOKUP(A1076,IMPORTRANGE(""https://docs.google.com/spreadsheets/d/1BuTWp7qHGjWhqrnf-OmePP568O4A5Am9ttzvVdP67zw/edit#gid=771602874"" ,""HUMAN RESOURCES!$A$2:$M$2692""), {2,3,4,5,6,7,8,9,10,11,12,13},0))"),0.01)</f>
        <v>0.01</v>
      </c>
      <c r="Q1076" s="14">
        <f>IFERROR(__xludf.DUMMYFUNCTION("""COMPUTED_VALUE"""),0.006)</f>
        <v>0.006</v>
      </c>
      <c r="R1076" s="14">
        <f>IFERROR(__xludf.DUMMYFUNCTION("""COMPUTED_VALUE"""),78.0)</f>
        <v>78</v>
      </c>
      <c r="S1076" s="14">
        <f>IFERROR(__xludf.DUMMYFUNCTION("""COMPUTED_VALUE"""),70.0)</f>
        <v>70</v>
      </c>
      <c r="T1076" s="14">
        <f>IFERROR(__xludf.DUMMYFUNCTION("""COMPUTED_VALUE"""),0.149)</f>
        <v>0.149</v>
      </c>
      <c r="U1076" s="14">
        <f>IFERROR(__xludf.DUMMYFUNCTION("""COMPUTED_VALUE"""),0.688)</f>
        <v>0.688</v>
      </c>
      <c r="V1076" s="14">
        <f>IFERROR(__xludf.DUMMYFUNCTION("""COMPUTED_VALUE"""),0.163)</f>
        <v>0.163</v>
      </c>
      <c r="W1076" s="14">
        <f>IFERROR(__xludf.DUMMYFUNCTION("""COMPUTED_VALUE"""),1.0038188E7)</f>
        <v>10038188</v>
      </c>
      <c r="X1076" s="14">
        <f>IFERROR(__xludf.DUMMYFUNCTION("""COMPUTED_VALUE"""),0.679)</f>
        <v>0.679</v>
      </c>
      <c r="Y1076" s="14" t="str">
        <f>IFERROR(__xludf.DUMMYFUNCTION("""COMPUTED_VALUE"""),"Hungary-Europe")</f>
        <v>Hungary-Europe</v>
      </c>
      <c r="Z1076" s="14" t="str">
        <f>IFERROR(__xludf.DUMMYFUNCTION("""COMPUTED_VALUE"""),"Europe")</f>
        <v>Europe</v>
      </c>
      <c r="AA1076" s="14" t="str">
        <f>IFERROR(__xludf.DUMMYFUNCTION("""COMPUTED_VALUE"""),"2008")</f>
        <v>2008</v>
      </c>
      <c r="AB1076" s="15" t="str">
        <f>IFERROR(__xludf.DUMMYFUNCTION("ARRAYFORMULA(VLOOKUP(A1076,IMPORTRANGE(""https://docs.google.com/spreadsheets/d/1BuTWp7qHGjWhqrnf-OmePP568O4A5Am9ttzvVdP67zw/edit#gid=1931367683"" ,""ENERGY!$A$2:$F$2692""), {2,3,4,5,6},0))"),"Europe")</f>
        <v>Europe</v>
      </c>
      <c r="AC1076" s="14" t="str">
        <f>IFERROR(__xludf.DUMMYFUNCTION("""COMPUTED_VALUE"""),"Hungary-Europe")</f>
        <v>Hungary-Europe</v>
      </c>
      <c r="AD1076" s="14" t="str">
        <f>IFERROR(__xludf.DUMMYFUNCTION("""COMPUTED_VALUE"""),"2005")</f>
        <v>2005</v>
      </c>
      <c r="AE1076" s="14">
        <f>IFERROR(__xludf.DUMMYFUNCTION("""COMPUTED_VALUE"""),26157.0)</f>
        <v>26157</v>
      </c>
      <c r="AF1076" s="14">
        <f>IFERROR(__xludf.DUMMYFUNCTION("""COMPUTED_VALUE"""),57352.0)</f>
        <v>57352</v>
      </c>
    </row>
    <row r="1077">
      <c r="A1077" s="12">
        <v>1076.0</v>
      </c>
      <c r="B1077" s="12" t="s">
        <v>161</v>
      </c>
      <c r="C1077" s="5" t="s">
        <v>75</v>
      </c>
      <c r="D1077" s="11">
        <v>0.566</v>
      </c>
      <c r="E1077" s="11">
        <v>4.0</v>
      </c>
      <c r="F1077" s="8"/>
      <c r="G1077" s="11">
        <v>330.0</v>
      </c>
      <c r="H1077" s="11">
        <v>0.62</v>
      </c>
      <c r="I1077" s="11">
        <v>1.176</v>
      </c>
      <c r="J1077" s="9" t="s">
        <v>70</v>
      </c>
      <c r="K1077" s="14" t="str">
        <f>IFERROR(__xludf.DUMMYFUNCTION("ARRAYFORMULA(VLOOKUP(A1077,IMPORTRANGE(""https://docs.google.com/spreadsheets/d/1BuTWp7qHGjWhqrnf-OmePP568O4A5Am9ttzvVdP67zw/edit#gid=1603210130"", ""TOURISM!$A$2:$F$2692""), {2,3,4,5,6},0))"),"Europe")</f>
        <v>Europe</v>
      </c>
      <c r="L1077" s="14">
        <f>IFERROR(__xludf.DUMMYFUNCTION("""COMPUTED_VALUE"""),6.74E9)</f>
        <v>6740000000</v>
      </c>
      <c r="M1077" s="14" t="str">
        <f>IFERROR(__xludf.DUMMYFUNCTION("""COMPUTED_VALUE"""),"Hungary-Europe")</f>
        <v>Hungary-Europe</v>
      </c>
      <c r="N1077" s="14" t="str">
        <f>IFERROR(__xludf.DUMMYFUNCTION("""COMPUTED_VALUE"""),"2009")</f>
        <v>2009</v>
      </c>
      <c r="O1077" s="14">
        <f>IFERROR(__xludf.DUMMYFUNCTION("""COMPUTED_VALUE"""),3.233E9)</f>
        <v>3233000000</v>
      </c>
      <c r="P1077" s="15">
        <f>IFERROR(__xludf.DUMMYFUNCTION("ARRAYFORMULA(VLOOKUP(A1077,IMPORTRANGE(""https://docs.google.com/spreadsheets/d/1BuTWp7qHGjWhqrnf-OmePP568O4A5Am9ttzvVdP67zw/edit#gid=771602874"" ,""HUMAN RESOURCES!$A$2:$M$2692""), {2,3,4,5,6,7,8,9,10,11,12,13},0))"),0.01)</f>
        <v>0.01</v>
      </c>
      <c r="Q1077" s="14">
        <f>IFERROR(__xludf.DUMMYFUNCTION("""COMPUTED_VALUE"""),0.006)</f>
        <v>0.006</v>
      </c>
      <c r="R1077" s="14">
        <f>IFERROR(__xludf.DUMMYFUNCTION("""COMPUTED_VALUE"""),78.0)</f>
        <v>78</v>
      </c>
      <c r="S1077" s="14">
        <f>IFERROR(__xludf.DUMMYFUNCTION("""COMPUTED_VALUE"""),70.0)</f>
        <v>70</v>
      </c>
      <c r="T1077" s="14">
        <f>IFERROR(__xludf.DUMMYFUNCTION("""COMPUTED_VALUE"""),0.147)</f>
        <v>0.147</v>
      </c>
      <c r="U1077" s="14">
        <f>IFERROR(__xludf.DUMMYFUNCTION("""COMPUTED_VALUE"""),0.687)</f>
        <v>0.687</v>
      </c>
      <c r="V1077" s="14">
        <f>IFERROR(__xludf.DUMMYFUNCTION("""COMPUTED_VALUE"""),0.165)</f>
        <v>0.165</v>
      </c>
      <c r="W1077" s="14">
        <f>IFERROR(__xludf.DUMMYFUNCTION("""COMPUTED_VALUE"""),1.002265E7)</f>
        <v>10022650</v>
      </c>
      <c r="X1077" s="14">
        <f>IFERROR(__xludf.DUMMYFUNCTION("""COMPUTED_VALUE"""),0.684)</f>
        <v>0.684</v>
      </c>
      <c r="Y1077" s="14" t="str">
        <f>IFERROR(__xludf.DUMMYFUNCTION("""COMPUTED_VALUE"""),"Hungary-Europe")</f>
        <v>Hungary-Europe</v>
      </c>
      <c r="Z1077" s="14" t="str">
        <f>IFERROR(__xludf.DUMMYFUNCTION("""COMPUTED_VALUE"""),"Europe")</f>
        <v>Europe</v>
      </c>
      <c r="AA1077" s="14" t="str">
        <f>IFERROR(__xludf.DUMMYFUNCTION("""COMPUTED_VALUE"""),"2009")</f>
        <v>2009</v>
      </c>
      <c r="AB1077" s="15" t="str">
        <f>IFERROR(__xludf.DUMMYFUNCTION("ARRAYFORMULA(VLOOKUP(A1077,IMPORTRANGE(""https://docs.google.com/spreadsheets/d/1BuTWp7qHGjWhqrnf-OmePP568O4A5Am9ttzvVdP67zw/edit#gid=1931367683"" ,""ENERGY!$A$2:$F$2692""), {2,3,4,5,6},0))"),"Europe")</f>
        <v>Europe</v>
      </c>
      <c r="AC1077" s="14" t="str">
        <f>IFERROR(__xludf.DUMMYFUNCTION("""COMPUTED_VALUE"""),"Hungary-Europe")</f>
        <v>Hungary-Europe</v>
      </c>
      <c r="AD1077" s="14" t="str">
        <f>IFERROR(__xludf.DUMMYFUNCTION("""COMPUTED_VALUE"""),"2010")</f>
        <v>2010</v>
      </c>
      <c r="AE1077" s="14">
        <f>IFERROR(__xludf.DUMMYFUNCTION("""COMPUTED_VALUE"""),26136.0)</f>
        <v>26136</v>
      </c>
      <c r="AF1077" s="14">
        <f>IFERROR(__xludf.DUMMYFUNCTION("""COMPUTED_VALUE"""),59072.0)</f>
        <v>59072</v>
      </c>
    </row>
    <row r="1078">
      <c r="A1078" s="12">
        <v>1077.0</v>
      </c>
      <c r="B1078" s="12" t="s">
        <v>161</v>
      </c>
      <c r="C1078" s="5" t="s">
        <v>75</v>
      </c>
      <c r="D1078" s="11">
        <v>0.546</v>
      </c>
      <c r="E1078" s="11">
        <v>4.0</v>
      </c>
      <c r="F1078" s="8"/>
      <c r="G1078" s="11">
        <v>277.0</v>
      </c>
      <c r="H1078" s="11">
        <v>0.65</v>
      </c>
      <c r="I1078" s="11">
        <v>1.199</v>
      </c>
      <c r="J1078" s="9" t="s">
        <v>71</v>
      </c>
      <c r="K1078" s="14" t="str">
        <f>IFERROR(__xludf.DUMMYFUNCTION("ARRAYFORMULA(VLOOKUP(A1078,IMPORTRANGE(""https://docs.google.com/spreadsheets/d/1BuTWp7qHGjWhqrnf-OmePP568O4A5Am9ttzvVdP67zw/edit#gid=1603210130"", ""TOURISM!$A$2:$F$2692""), {2,3,4,5,6},0))"),"Europe")</f>
        <v>Europe</v>
      </c>
      <c r="L1078" s="14">
        <f>IFERROR(__xludf.DUMMYFUNCTION("""COMPUTED_VALUE"""),6.338E9)</f>
        <v>6338000000</v>
      </c>
      <c r="M1078" s="14" t="str">
        <f>IFERROR(__xludf.DUMMYFUNCTION("""COMPUTED_VALUE"""),"Hungary-Europe")</f>
        <v>Hungary-Europe</v>
      </c>
      <c r="N1078" s="14" t="str">
        <f>IFERROR(__xludf.DUMMYFUNCTION("""COMPUTED_VALUE"""),"2010")</f>
        <v>2010</v>
      </c>
      <c r="O1078" s="14">
        <f>IFERROR(__xludf.DUMMYFUNCTION("""COMPUTED_VALUE"""),2.879E9)</f>
        <v>2879000000</v>
      </c>
      <c r="P1078" s="15">
        <f>IFERROR(__xludf.DUMMYFUNCTION("ARRAYFORMULA(VLOOKUP(A1078,IMPORTRANGE(""https://docs.google.com/spreadsheets/d/1BuTWp7qHGjWhqrnf-OmePP568O4A5Am9ttzvVdP67zw/edit#gid=771602874"" ,""HUMAN RESOURCES!$A$2:$M$2692""), {2,3,4,5,6,7,8,9,10,11,12,13},0))"),0.009)</f>
        <v>0.009</v>
      </c>
      <c r="Q1078" s="14">
        <f>IFERROR(__xludf.DUMMYFUNCTION("""COMPUTED_VALUE"""),0.006)</f>
        <v>0.006</v>
      </c>
      <c r="R1078" s="14">
        <f>IFERROR(__xludf.DUMMYFUNCTION("""COMPUTED_VALUE"""),78.0)</f>
        <v>78</v>
      </c>
      <c r="S1078" s="14">
        <f>IFERROR(__xludf.DUMMYFUNCTION("""COMPUTED_VALUE"""),71.0)</f>
        <v>71</v>
      </c>
      <c r="T1078" s="14">
        <f>IFERROR(__xludf.DUMMYFUNCTION("""COMPUTED_VALUE"""),0.146)</f>
        <v>0.146</v>
      </c>
      <c r="U1078" s="14">
        <f>IFERROR(__xludf.DUMMYFUNCTION("""COMPUTED_VALUE"""),0.686)</f>
        <v>0.686</v>
      </c>
      <c r="V1078" s="14">
        <f>IFERROR(__xludf.DUMMYFUNCTION("""COMPUTED_VALUE"""),0.167)</f>
        <v>0.167</v>
      </c>
      <c r="W1078" s="14">
        <f>IFERROR(__xludf.DUMMYFUNCTION("""COMPUTED_VALUE"""),1.0000023E7)</f>
        <v>10000023</v>
      </c>
      <c r="X1078" s="14">
        <f>IFERROR(__xludf.DUMMYFUNCTION("""COMPUTED_VALUE"""),0.689)</f>
        <v>0.689</v>
      </c>
      <c r="Y1078" s="14" t="str">
        <f>IFERROR(__xludf.DUMMYFUNCTION("""COMPUTED_VALUE"""),"Hungary-Europe")</f>
        <v>Hungary-Europe</v>
      </c>
      <c r="Z1078" s="14" t="str">
        <f>IFERROR(__xludf.DUMMYFUNCTION("""COMPUTED_VALUE"""),"Europe")</f>
        <v>Europe</v>
      </c>
      <c r="AA1078" s="14" t="str">
        <f>IFERROR(__xludf.DUMMYFUNCTION("""COMPUTED_VALUE"""),"2010")</f>
        <v>2010</v>
      </c>
      <c r="AB1078" s="15" t="str">
        <f>IFERROR(__xludf.DUMMYFUNCTION("ARRAYFORMULA(VLOOKUP(A1078,IMPORTRANGE(""https://docs.google.com/spreadsheets/d/1BuTWp7qHGjWhqrnf-OmePP568O4A5Am9ttzvVdP67zw/edit#gid=1931367683"" ,""ENERGY!$A$2:$F$2692""), {2,3,4,5,6},0))"),"Europe")</f>
        <v>Europe</v>
      </c>
      <c r="AC1078" s="14" t="str">
        <f>IFERROR(__xludf.DUMMYFUNCTION("""COMPUTED_VALUE"""),"Hungary-Europe")</f>
        <v>Hungary-Europe</v>
      </c>
      <c r="AD1078" s="14" t="str">
        <f>IFERROR(__xludf.DUMMYFUNCTION("""COMPUTED_VALUE"""),"2010")</f>
        <v>2010</v>
      </c>
      <c r="AE1078" s="14">
        <f>IFERROR(__xludf.DUMMYFUNCTION("""COMPUTED_VALUE"""),25601.0)</f>
        <v>25601</v>
      </c>
      <c r="AF1078" s="14">
        <f>IFERROR(__xludf.DUMMYFUNCTION("""COMPUTED_VALUE"""),56094.0)</f>
        <v>56094</v>
      </c>
    </row>
    <row r="1079">
      <c r="A1079" s="12">
        <v>1078.0</v>
      </c>
      <c r="B1079" s="12" t="s">
        <v>161</v>
      </c>
      <c r="C1079" s="5" t="s">
        <v>75</v>
      </c>
      <c r="D1079" s="11">
        <v>0.52</v>
      </c>
      <c r="E1079" s="11">
        <v>4.0</v>
      </c>
      <c r="F1079" s="8"/>
      <c r="G1079" s="11">
        <v>277.0</v>
      </c>
      <c r="H1079" s="11">
        <v>0.68</v>
      </c>
      <c r="I1079" s="11">
        <v>1.169</v>
      </c>
      <c r="J1079" s="9" t="s">
        <v>72</v>
      </c>
      <c r="K1079" s="14" t="str">
        <f>IFERROR(__xludf.DUMMYFUNCTION("ARRAYFORMULA(VLOOKUP(A1079,IMPORTRANGE(""https://docs.google.com/spreadsheets/d/1BuTWp7qHGjWhqrnf-OmePP568O4A5Am9ttzvVdP67zw/edit#gid=1603210130"", ""TOURISM!$A$2:$F$2692""), {2,3,4,5,6},0))"),"Europe")</f>
        <v>Europe</v>
      </c>
      <c r="L1079" s="14">
        <f>IFERROR(__xludf.DUMMYFUNCTION("""COMPUTED_VALUE"""),6.929E9)</f>
        <v>6929000000</v>
      </c>
      <c r="M1079" s="14" t="str">
        <f>IFERROR(__xludf.DUMMYFUNCTION("""COMPUTED_VALUE"""),"Hungary-Europe")</f>
        <v>Hungary-Europe</v>
      </c>
      <c r="N1079" s="14" t="str">
        <f>IFERROR(__xludf.DUMMYFUNCTION("""COMPUTED_VALUE"""),"2011")</f>
        <v>2011</v>
      </c>
      <c r="O1079" s="14">
        <f>IFERROR(__xludf.DUMMYFUNCTION("""COMPUTED_VALUE"""),3.028E9)</f>
        <v>3028000000</v>
      </c>
      <c r="P1079" s="15">
        <f>IFERROR(__xludf.DUMMYFUNCTION("ARRAYFORMULA(VLOOKUP(A1079,IMPORTRANGE(""https://docs.google.com/spreadsheets/d/1BuTWp7qHGjWhqrnf-OmePP568O4A5Am9ttzvVdP67zw/edit#gid=771602874"" ,""HUMAN RESOURCES!$A$2:$M$2692""), {2,3,4,5,6,7,8,9,10,11,12,13},0))"),0.009)</f>
        <v>0.009</v>
      </c>
      <c r="Q1079" s="14">
        <f>IFERROR(__xludf.DUMMYFUNCTION("""COMPUTED_VALUE"""),0.006)</f>
        <v>0.006</v>
      </c>
      <c r="R1079" s="14">
        <f>IFERROR(__xludf.DUMMYFUNCTION("""COMPUTED_VALUE"""),79.0)</f>
        <v>79</v>
      </c>
      <c r="S1079" s="14">
        <f>IFERROR(__xludf.DUMMYFUNCTION("""COMPUTED_VALUE"""),71.0)</f>
        <v>71</v>
      </c>
      <c r="T1079" s="14">
        <f>IFERROR(__xludf.DUMMYFUNCTION("""COMPUTED_VALUE"""),0.146)</f>
        <v>0.146</v>
      </c>
      <c r="U1079" s="14">
        <f>IFERROR(__xludf.DUMMYFUNCTION("""COMPUTED_VALUE"""),0.685)</f>
        <v>0.685</v>
      </c>
      <c r="V1079" s="14">
        <f>IFERROR(__xludf.DUMMYFUNCTION("""COMPUTED_VALUE"""),0.169)</f>
        <v>0.169</v>
      </c>
      <c r="W1079" s="14">
        <f>IFERROR(__xludf.DUMMYFUNCTION("""COMPUTED_VALUE"""),9971727.0)</f>
        <v>9971727</v>
      </c>
      <c r="X1079" s="14">
        <f>IFERROR(__xludf.DUMMYFUNCTION("""COMPUTED_VALUE"""),0.693)</f>
        <v>0.693</v>
      </c>
      <c r="Y1079" s="14" t="str">
        <f>IFERROR(__xludf.DUMMYFUNCTION("""COMPUTED_VALUE"""),"Hungary-Europe")</f>
        <v>Hungary-Europe</v>
      </c>
      <c r="Z1079" s="14" t="str">
        <f>IFERROR(__xludf.DUMMYFUNCTION("""COMPUTED_VALUE"""),"Europe")</f>
        <v>Europe</v>
      </c>
      <c r="AA1079" s="14" t="str">
        <f>IFERROR(__xludf.DUMMYFUNCTION("""COMPUTED_VALUE"""),"2011")</f>
        <v>2011</v>
      </c>
      <c r="AB1079" s="15" t="str">
        <f>IFERROR(__xludf.DUMMYFUNCTION("ARRAYFORMULA(VLOOKUP(A1079,IMPORTRANGE(""https://docs.google.com/spreadsheets/d/1BuTWp7qHGjWhqrnf-OmePP568O4A5Am9ttzvVdP67zw/edit#gid=1931367683"" ,""ENERGY!$A$2:$F$2692""), {2,3,4,5,6},0))"),"Europe")</f>
        <v>Europe</v>
      </c>
      <c r="AC1079" s="14" t="str">
        <f>IFERROR(__xludf.DUMMYFUNCTION("""COMPUTED_VALUE"""),"Hungary-Europe")</f>
        <v>Hungary-Europe</v>
      </c>
      <c r="AD1079" s="14" t="str">
        <f>IFERROR(__xludf.DUMMYFUNCTION("""COMPUTED_VALUE"""),"2005")</f>
        <v>2005</v>
      </c>
      <c r="AE1079" s="14">
        <f>IFERROR(__xludf.DUMMYFUNCTION("""COMPUTED_VALUE"""),25591.0)</f>
        <v>25591</v>
      </c>
      <c r="AF1079" s="14">
        <f>IFERROR(__xludf.DUMMYFUNCTION("""COMPUTED_VALUE"""),57022.0)</f>
        <v>57022</v>
      </c>
    </row>
    <row r="1080">
      <c r="A1080" s="12">
        <v>1079.0</v>
      </c>
      <c r="B1080" s="12" t="s">
        <v>161</v>
      </c>
      <c r="C1080" s="5" t="s">
        <v>75</v>
      </c>
      <c r="D1080" s="11">
        <v>0.495</v>
      </c>
      <c r="E1080" s="11">
        <v>5.0</v>
      </c>
      <c r="F1080" s="11">
        <v>52.0</v>
      </c>
      <c r="G1080" s="11">
        <v>277.0</v>
      </c>
      <c r="H1080" s="11">
        <v>0.706</v>
      </c>
      <c r="I1080" s="11">
        <v>1.161</v>
      </c>
      <c r="J1080" s="9" t="s">
        <v>73</v>
      </c>
      <c r="K1080" s="14" t="str">
        <f>IFERROR(__xludf.DUMMYFUNCTION("ARRAYFORMULA(VLOOKUP(A1080,IMPORTRANGE(""https://docs.google.com/spreadsheets/d/1BuTWp7qHGjWhqrnf-OmePP568O4A5Am9ttzvVdP67zw/edit#gid=1603210130"", ""TOURISM!$A$2:$F$2692""), {2,3,4,5,6},0))"),"Europe")</f>
        <v>Europe</v>
      </c>
      <c r="L1080" s="14">
        <f>IFERROR(__xludf.DUMMYFUNCTION("""COMPUTED_VALUE"""),5.923E9)</f>
        <v>5923000000</v>
      </c>
      <c r="M1080" s="14" t="str">
        <f>IFERROR(__xludf.DUMMYFUNCTION("""COMPUTED_VALUE"""),"Hungary-Europe")</f>
        <v>Hungary-Europe</v>
      </c>
      <c r="N1080" s="14" t="str">
        <f>IFERROR(__xludf.DUMMYFUNCTION("""COMPUTED_VALUE"""),"2012")</f>
        <v>2012</v>
      </c>
      <c r="O1080" s="14">
        <f>IFERROR(__xludf.DUMMYFUNCTION("""COMPUTED_VALUE"""),2.514E9)</f>
        <v>2514000000</v>
      </c>
      <c r="P1080" s="15">
        <f>IFERROR(__xludf.DUMMYFUNCTION("ARRAYFORMULA(VLOOKUP(A1080,IMPORTRANGE(""https://docs.google.com/spreadsheets/d/1BuTWp7qHGjWhqrnf-OmePP568O4A5Am9ttzvVdP67zw/edit#gid=771602874"" ,""HUMAN RESOURCES!$A$2:$M$2692""), {2,3,4,5,6,7,8,9,10,11,12,13},0))"),0.009)</f>
        <v>0.009</v>
      </c>
      <c r="Q1080" s="14">
        <f>IFERROR(__xludf.DUMMYFUNCTION("""COMPUTED_VALUE"""),0.005)</f>
        <v>0.005</v>
      </c>
      <c r="R1080" s="14">
        <f>IFERROR(__xludf.DUMMYFUNCTION("""COMPUTED_VALUE"""),79.0)</f>
        <v>79</v>
      </c>
      <c r="S1080" s="14">
        <f>IFERROR(__xludf.DUMMYFUNCTION("""COMPUTED_VALUE"""),72.0)</f>
        <v>72</v>
      </c>
      <c r="T1080" s="14">
        <f>IFERROR(__xludf.DUMMYFUNCTION("""COMPUTED_VALUE"""),0.146)</f>
        <v>0.146</v>
      </c>
      <c r="U1080" s="14">
        <f>IFERROR(__xludf.DUMMYFUNCTION("""COMPUTED_VALUE"""),0.683)</f>
        <v>0.683</v>
      </c>
      <c r="V1080" s="14">
        <f>IFERROR(__xludf.DUMMYFUNCTION("""COMPUTED_VALUE"""),0.17)</f>
        <v>0.17</v>
      </c>
      <c r="W1080" s="14">
        <f>IFERROR(__xludf.DUMMYFUNCTION("""COMPUTED_VALUE"""),9920362.0)</f>
        <v>9920362</v>
      </c>
      <c r="X1080" s="14">
        <f>IFERROR(__xludf.DUMMYFUNCTION("""COMPUTED_VALUE"""),0.698)</f>
        <v>0.698</v>
      </c>
      <c r="Y1080" s="14" t="str">
        <f>IFERROR(__xludf.DUMMYFUNCTION("""COMPUTED_VALUE"""),"Hungary-Europe")</f>
        <v>Hungary-Europe</v>
      </c>
      <c r="Z1080" s="14" t="str">
        <f>IFERROR(__xludf.DUMMYFUNCTION("""COMPUTED_VALUE"""),"Europe")</f>
        <v>Europe</v>
      </c>
      <c r="AA1080" s="14" t="str">
        <f>IFERROR(__xludf.DUMMYFUNCTION("""COMPUTED_VALUE"""),"2012")</f>
        <v>2012</v>
      </c>
      <c r="AB1080" s="15" t="str">
        <f>IFERROR(__xludf.DUMMYFUNCTION("ARRAYFORMULA(VLOOKUP(A1080,IMPORTRANGE(""https://docs.google.com/spreadsheets/d/1BuTWp7qHGjWhqrnf-OmePP568O4A5Am9ttzvVdP67zw/edit#gid=1931367683"" ,""ENERGY!$A$2:$F$2692""), {2,3,4,5,6},0))"),"Europe")</f>
        <v>Europe</v>
      </c>
      <c r="AC1080" s="14" t="str">
        <f>IFERROR(__xludf.DUMMYFUNCTION("""COMPUTED_VALUE"""),"Hungary-Europe")</f>
        <v>Hungary-Europe</v>
      </c>
      <c r="AD1080" s="14" t="str">
        <f>IFERROR(__xludf.DUMMYFUNCTION("""COMPUTED_VALUE"""),"2010")</f>
        <v>2010</v>
      </c>
      <c r="AE1080" s="14">
        <f>IFERROR(__xludf.DUMMYFUNCTION("""COMPUTED_VALUE"""),24999.0)</f>
        <v>24999</v>
      </c>
      <c r="AF1080" s="14">
        <f>IFERROR(__xludf.DUMMYFUNCTION("""COMPUTED_VALUE"""),57238.0)</f>
        <v>57238</v>
      </c>
    </row>
    <row r="1081">
      <c r="A1081" s="12">
        <v>1080.0</v>
      </c>
      <c r="B1081" s="12" t="s">
        <v>162</v>
      </c>
      <c r="C1081" s="5" t="s">
        <v>75</v>
      </c>
      <c r="D1081" s="8"/>
      <c r="E1081" s="8"/>
      <c r="F1081" s="8"/>
      <c r="G1081" s="8"/>
      <c r="H1081" s="11">
        <v>0.445</v>
      </c>
      <c r="I1081" s="11">
        <v>0.764</v>
      </c>
      <c r="J1081" s="9" t="s">
        <v>60</v>
      </c>
      <c r="K1081" s="14" t="str">
        <f>IFERROR(__xludf.DUMMYFUNCTION("ARRAYFORMULA(VLOOKUP(A1081,IMPORTRANGE(""https://docs.google.com/spreadsheets/d/1BuTWp7qHGjWhqrnf-OmePP568O4A5Am9ttzvVdP67zw/edit#gid=1603210130"", ""TOURISM!$A$2:$F$2692""), {2,3,4,5,6},0))"),"Europe")</f>
        <v>Europe</v>
      </c>
      <c r="L1081" s="14">
        <f>IFERROR(__xludf.DUMMYFUNCTION("""COMPUTED_VALUE"""),3.86E8)</f>
        <v>386000000</v>
      </c>
      <c r="M1081" s="14" t="str">
        <f>IFERROR(__xludf.DUMMYFUNCTION("""COMPUTED_VALUE"""),"Iceland-Europe")</f>
        <v>Iceland-Europe</v>
      </c>
      <c r="N1081" s="14" t="str">
        <f>IFERROR(__xludf.DUMMYFUNCTION("""COMPUTED_VALUE"""),"2000")</f>
        <v>2000</v>
      </c>
      <c r="O1081" s="14">
        <f>IFERROR(__xludf.DUMMYFUNCTION("""COMPUTED_VALUE"""),4.71E8)</f>
        <v>471000000</v>
      </c>
      <c r="P1081" s="15">
        <f>IFERROR(__xludf.DUMMYFUNCTION("ARRAYFORMULA(VLOOKUP(A1081,IMPORTRANGE(""https://docs.google.com/spreadsheets/d/1BuTWp7qHGjWhqrnf-OmePP568O4A5Am9ttzvVdP67zw/edit#gid=771602874"" ,""HUMAN RESOURCES!$A$2:$M$2692""), {2,3,4,5,6,7,8,9,10,11,12,13},0))"),0.014)</f>
        <v>0.014</v>
      </c>
      <c r="Q1081" s="14">
        <f>IFERROR(__xludf.DUMMYFUNCTION("""COMPUTED_VALUE"""),0.003)</f>
        <v>0.003</v>
      </c>
      <c r="R1081" s="14">
        <f>IFERROR(__xludf.DUMMYFUNCTION("""COMPUTED_VALUE"""),82.0)</f>
        <v>82</v>
      </c>
      <c r="S1081" s="14">
        <f>IFERROR(__xludf.DUMMYFUNCTION("""COMPUTED_VALUE"""),78.0)</f>
        <v>78</v>
      </c>
      <c r="T1081" s="14">
        <f>IFERROR(__xludf.DUMMYFUNCTION("""COMPUTED_VALUE"""),0.233)</f>
        <v>0.233</v>
      </c>
      <c r="U1081" s="14">
        <f>IFERROR(__xludf.DUMMYFUNCTION("""COMPUTED_VALUE"""),0.651)</f>
        <v>0.651</v>
      </c>
      <c r="V1081" s="14">
        <f>IFERROR(__xludf.DUMMYFUNCTION("""COMPUTED_VALUE"""),0.116)</f>
        <v>0.116</v>
      </c>
      <c r="W1081" s="14">
        <f>IFERROR(__xludf.DUMMYFUNCTION("""COMPUTED_VALUE"""),281205.0)</f>
        <v>281205</v>
      </c>
      <c r="X1081" s="14">
        <f>IFERROR(__xludf.DUMMYFUNCTION("""COMPUTED_VALUE"""),0.924)</f>
        <v>0.924</v>
      </c>
      <c r="Y1081" s="14" t="str">
        <f>IFERROR(__xludf.DUMMYFUNCTION("""COMPUTED_VALUE"""),"Iceland-Europe")</f>
        <v>Iceland-Europe</v>
      </c>
      <c r="Z1081" s="14" t="str">
        <f>IFERROR(__xludf.DUMMYFUNCTION("""COMPUTED_VALUE"""),"Europe")</f>
        <v>Europe</v>
      </c>
      <c r="AA1081" s="14" t="str">
        <f>IFERROR(__xludf.DUMMYFUNCTION("""COMPUTED_VALUE"""),"2000")</f>
        <v>2000</v>
      </c>
      <c r="AB1081" s="15" t="str">
        <f>IFERROR(__xludf.DUMMYFUNCTION("ARRAYFORMULA(VLOOKUP(A1081,IMPORTRANGE(""https://docs.google.com/spreadsheets/d/1BuTWp7qHGjWhqrnf-OmePP568O4A5Am9ttzvVdP67zw/edit#gid=1931367683"" ,""ENERGY!$A$2:$F$2692""), {2,3,4,5,6},0))"),"Europe")</f>
        <v>Europe</v>
      </c>
      <c r="AC1081" s="14" t="str">
        <f>IFERROR(__xludf.DUMMYFUNCTION("""COMPUTED_VALUE"""),"Iceland-Europe")</f>
        <v>Iceland-Europe</v>
      </c>
      <c r="AD1081" s="14" t="str">
        <f>IFERROR(__xludf.DUMMYFUNCTION("""COMPUTED_VALUE"""),"2000")</f>
        <v>2000</v>
      </c>
      <c r="AE1081" s="14">
        <f>IFERROR(__xludf.DUMMYFUNCTION("""COMPUTED_VALUE"""),6021.0)</f>
        <v>6021</v>
      </c>
      <c r="AF1081" s="14"/>
    </row>
    <row r="1082">
      <c r="A1082" s="12">
        <v>1081.0</v>
      </c>
      <c r="B1082" s="12" t="s">
        <v>162</v>
      </c>
      <c r="C1082" s="5" t="s">
        <v>75</v>
      </c>
      <c r="D1082" s="8"/>
      <c r="E1082" s="8"/>
      <c r="F1082" s="8"/>
      <c r="G1082" s="8"/>
      <c r="H1082" s="11">
        <v>0.494</v>
      </c>
      <c r="I1082" s="11">
        <v>0.874</v>
      </c>
      <c r="J1082" s="9" t="s">
        <v>62</v>
      </c>
      <c r="K1082" s="14" t="str">
        <f>IFERROR(__xludf.DUMMYFUNCTION("ARRAYFORMULA(VLOOKUP(A1082,IMPORTRANGE(""https://docs.google.com/spreadsheets/d/1BuTWp7qHGjWhqrnf-OmePP568O4A5Am9ttzvVdP67zw/edit#gid=1603210130"", ""TOURISM!$A$2:$F$2692""), {2,3,4,5,6},0))"),"Europe")</f>
        <v>Europe</v>
      </c>
      <c r="L1082" s="14">
        <f>IFERROR(__xludf.DUMMYFUNCTION("""COMPUTED_VALUE"""),3.83E8)</f>
        <v>383000000</v>
      </c>
      <c r="M1082" s="14" t="str">
        <f>IFERROR(__xludf.DUMMYFUNCTION("""COMPUTED_VALUE"""),"Iceland-Europe")</f>
        <v>Iceland-Europe</v>
      </c>
      <c r="N1082" s="14" t="str">
        <f>IFERROR(__xludf.DUMMYFUNCTION("""COMPUTED_VALUE"""),"2001")</f>
        <v>2001</v>
      </c>
      <c r="O1082" s="14">
        <f>IFERROR(__xludf.DUMMYFUNCTION("""COMPUTED_VALUE"""),3.72E8)</f>
        <v>372000000</v>
      </c>
      <c r="P1082" s="15">
        <f>IFERROR(__xludf.DUMMYFUNCTION("ARRAYFORMULA(VLOOKUP(A1082,IMPORTRANGE(""https://docs.google.com/spreadsheets/d/1BuTWp7qHGjWhqrnf-OmePP568O4A5Am9ttzvVdP67zw/edit#gid=771602874"" ,""HUMAN RESOURCES!$A$2:$M$2692""), {2,3,4,5,6,7,8,9,10,11,12,13},0))"),0.014)</f>
        <v>0.014</v>
      </c>
      <c r="Q1082" s="14">
        <f>IFERROR(__xludf.DUMMYFUNCTION("""COMPUTED_VALUE"""),0.003)</f>
        <v>0.003</v>
      </c>
      <c r="R1082" s="14">
        <f>IFERROR(__xludf.DUMMYFUNCTION("""COMPUTED_VALUE"""),83.0)</f>
        <v>83</v>
      </c>
      <c r="S1082" s="14">
        <f>IFERROR(__xludf.DUMMYFUNCTION("""COMPUTED_VALUE"""),78.0)</f>
        <v>78</v>
      </c>
      <c r="T1082" s="14">
        <f>IFERROR(__xludf.DUMMYFUNCTION("""COMPUTED_VALUE"""),0.23)</f>
        <v>0.23</v>
      </c>
      <c r="U1082" s="14">
        <f>IFERROR(__xludf.DUMMYFUNCTION("""COMPUTED_VALUE"""),0.653)</f>
        <v>0.653</v>
      </c>
      <c r="V1082" s="14">
        <f>IFERROR(__xludf.DUMMYFUNCTION("""COMPUTED_VALUE"""),0.116)</f>
        <v>0.116</v>
      </c>
      <c r="W1082" s="14">
        <f>IFERROR(__xludf.DUMMYFUNCTION("""COMPUTED_VALUE"""),284968.0)</f>
        <v>284968</v>
      </c>
      <c r="X1082" s="14">
        <f>IFERROR(__xludf.DUMMYFUNCTION("""COMPUTED_VALUE"""),0.925)</f>
        <v>0.925</v>
      </c>
      <c r="Y1082" s="14" t="str">
        <f>IFERROR(__xludf.DUMMYFUNCTION("""COMPUTED_VALUE"""),"Iceland-Europe")</f>
        <v>Iceland-Europe</v>
      </c>
      <c r="Z1082" s="14" t="str">
        <f>IFERROR(__xludf.DUMMYFUNCTION("""COMPUTED_VALUE"""),"Europe")</f>
        <v>Europe</v>
      </c>
      <c r="AA1082" s="14" t="str">
        <f>IFERROR(__xludf.DUMMYFUNCTION("""COMPUTED_VALUE"""),"2001")</f>
        <v>2001</v>
      </c>
      <c r="AB1082" s="15" t="str">
        <f>IFERROR(__xludf.DUMMYFUNCTION("ARRAYFORMULA(VLOOKUP(A1082,IMPORTRANGE(""https://docs.google.com/spreadsheets/d/1BuTWp7qHGjWhqrnf-OmePP568O4A5Am9ttzvVdP67zw/edit#gid=1931367683"" ,""ENERGY!$A$2:$F$2692""), {2,3,4,5,6},0))"),"Europe")</f>
        <v>Europe</v>
      </c>
      <c r="AC1082" s="14" t="str">
        <f>IFERROR(__xludf.DUMMYFUNCTION("""COMPUTED_VALUE"""),"Iceland-Europe")</f>
        <v>Iceland-Europe</v>
      </c>
      <c r="AD1082" s="14" t="str">
        <f>IFERROR(__xludf.DUMMYFUNCTION("""COMPUTED_VALUE"""),"2001")</f>
        <v>2001</v>
      </c>
      <c r="AE1082" s="14">
        <f>IFERROR(__xludf.DUMMYFUNCTION("""COMPUTED_VALUE"""),5731.0)</f>
        <v>5731</v>
      </c>
      <c r="AF1082" s="14"/>
    </row>
    <row r="1083">
      <c r="A1083" s="12">
        <v>1082.0</v>
      </c>
      <c r="B1083" s="12" t="s">
        <v>162</v>
      </c>
      <c r="C1083" s="5" t="s">
        <v>75</v>
      </c>
      <c r="D1083" s="8"/>
      <c r="E1083" s="8"/>
      <c r="F1083" s="8"/>
      <c r="G1083" s="8"/>
      <c r="H1083" s="11">
        <v>0.791</v>
      </c>
      <c r="I1083" s="11">
        <v>0.908</v>
      </c>
      <c r="J1083" s="9" t="s">
        <v>63</v>
      </c>
      <c r="K1083" s="14" t="str">
        <f>IFERROR(__xludf.DUMMYFUNCTION("ARRAYFORMULA(VLOOKUP(A1083,IMPORTRANGE(""https://docs.google.com/spreadsheets/d/1BuTWp7qHGjWhqrnf-OmePP568O4A5Am9ttzvVdP67zw/edit#gid=1603210130"", ""TOURISM!$A$2:$F$2692""), {2,3,4,5,6},0))"),"Europe")</f>
        <v>Europe</v>
      </c>
      <c r="L1083" s="14">
        <f>IFERROR(__xludf.DUMMYFUNCTION("""COMPUTED_VALUE"""),4.15E8)</f>
        <v>415000000</v>
      </c>
      <c r="M1083" s="14" t="str">
        <f>IFERROR(__xludf.DUMMYFUNCTION("""COMPUTED_VALUE"""),"Iceland-Europe")</f>
        <v>Iceland-Europe</v>
      </c>
      <c r="N1083" s="14" t="str">
        <f>IFERROR(__xludf.DUMMYFUNCTION("""COMPUTED_VALUE"""),"2002")</f>
        <v>2002</v>
      </c>
      <c r="O1083" s="14">
        <f>IFERROR(__xludf.DUMMYFUNCTION("""COMPUTED_VALUE"""),3.73E8)</f>
        <v>373000000</v>
      </c>
      <c r="P1083" s="15">
        <f>IFERROR(__xludf.DUMMYFUNCTION("ARRAYFORMULA(VLOOKUP(A1083,IMPORTRANGE(""https://docs.google.com/spreadsheets/d/1BuTWp7qHGjWhqrnf-OmePP568O4A5Am9ttzvVdP67zw/edit#gid=771602874"" ,""HUMAN RESOURCES!$A$2:$M$2692""), {2,3,4,5,6,7,8,9,10,11,12,13},0))"),0.014)</f>
        <v>0.014</v>
      </c>
      <c r="Q1083" s="14">
        <f>IFERROR(__xludf.DUMMYFUNCTION("""COMPUTED_VALUE"""),0.003)</f>
        <v>0.003</v>
      </c>
      <c r="R1083" s="14">
        <f>IFERROR(__xludf.DUMMYFUNCTION("""COMPUTED_VALUE"""),83.0)</f>
        <v>83</v>
      </c>
      <c r="S1083" s="14">
        <f>IFERROR(__xludf.DUMMYFUNCTION("""COMPUTED_VALUE"""),79.0)</f>
        <v>79</v>
      </c>
      <c r="T1083" s="14">
        <f>IFERROR(__xludf.DUMMYFUNCTION("""COMPUTED_VALUE"""),0.228)</f>
        <v>0.228</v>
      </c>
      <c r="U1083" s="14">
        <f>IFERROR(__xludf.DUMMYFUNCTION("""COMPUTED_VALUE"""),0.656)</f>
        <v>0.656</v>
      </c>
      <c r="V1083" s="14">
        <f>IFERROR(__xludf.DUMMYFUNCTION("""COMPUTED_VALUE"""),0.117)</f>
        <v>0.117</v>
      </c>
      <c r="W1083" s="14">
        <f>IFERROR(__xludf.DUMMYFUNCTION("""COMPUTED_VALUE"""),287523.0)</f>
        <v>287523</v>
      </c>
      <c r="X1083" s="14">
        <f>IFERROR(__xludf.DUMMYFUNCTION("""COMPUTED_VALUE"""),0.927)</f>
        <v>0.927</v>
      </c>
      <c r="Y1083" s="14" t="str">
        <f>IFERROR(__xludf.DUMMYFUNCTION("""COMPUTED_VALUE"""),"Iceland-Europe")</f>
        <v>Iceland-Europe</v>
      </c>
      <c r="Z1083" s="14" t="str">
        <f>IFERROR(__xludf.DUMMYFUNCTION("""COMPUTED_VALUE"""),"Europe")</f>
        <v>Europe</v>
      </c>
      <c r="AA1083" s="14" t="str">
        <f>IFERROR(__xludf.DUMMYFUNCTION("""COMPUTED_VALUE"""),"2002")</f>
        <v>2002</v>
      </c>
      <c r="AB1083" s="15" t="str">
        <f>IFERROR(__xludf.DUMMYFUNCTION("ARRAYFORMULA(VLOOKUP(A1083,IMPORTRANGE(""https://docs.google.com/spreadsheets/d/1BuTWp7qHGjWhqrnf-OmePP568O4A5Am9ttzvVdP67zw/edit#gid=1931367683"" ,""ENERGY!$A$2:$F$2692""), {2,3,4,5,6},0))"),"Europe")</f>
        <v>Europe</v>
      </c>
      <c r="AC1083" s="14" t="str">
        <f>IFERROR(__xludf.DUMMYFUNCTION("""COMPUTED_VALUE"""),"Iceland-Europe")</f>
        <v>Iceland-Europe</v>
      </c>
      <c r="AD1083" s="14" t="str">
        <f>IFERROR(__xludf.DUMMYFUNCTION("""COMPUTED_VALUE"""),"2002")</f>
        <v>2002</v>
      </c>
      <c r="AE1083" s="14">
        <f>IFERROR(__xludf.DUMMYFUNCTION("""COMPUTED_VALUE"""),5369.0)</f>
        <v>5369</v>
      </c>
      <c r="AF1083" s="14">
        <f>IFERROR(__xludf.DUMMYFUNCTION("""COMPUTED_VALUE"""),1962.0)</f>
        <v>1962</v>
      </c>
    </row>
    <row r="1084">
      <c r="A1084" s="12">
        <v>1083.0</v>
      </c>
      <c r="B1084" s="12" t="s">
        <v>162</v>
      </c>
      <c r="C1084" s="5" t="s">
        <v>75</v>
      </c>
      <c r="D1084" s="8"/>
      <c r="E1084" s="8"/>
      <c r="F1084" s="8"/>
      <c r="G1084" s="8"/>
      <c r="H1084" s="11">
        <v>0.831</v>
      </c>
      <c r="I1084" s="11">
        <v>0.965</v>
      </c>
      <c r="J1084" s="9" t="s">
        <v>64</v>
      </c>
      <c r="K1084" s="14" t="str">
        <f>IFERROR(__xludf.DUMMYFUNCTION("ARRAYFORMULA(VLOOKUP(A1084,IMPORTRANGE(""https://docs.google.com/spreadsheets/d/1BuTWp7qHGjWhqrnf-OmePP568O4A5Am9ttzvVdP67zw/edit#gid=1603210130"", ""TOURISM!$A$2:$F$2692""), {2,3,4,5,6},0))"),"Europe")</f>
        <v>Europe</v>
      </c>
      <c r="L1084" s="14">
        <f>IFERROR(__xludf.DUMMYFUNCTION("""COMPUTED_VALUE"""),4.86E8)</f>
        <v>486000000</v>
      </c>
      <c r="M1084" s="14" t="str">
        <f>IFERROR(__xludf.DUMMYFUNCTION("""COMPUTED_VALUE"""),"Iceland-Europe")</f>
        <v>Iceland-Europe</v>
      </c>
      <c r="N1084" s="14" t="str">
        <f>IFERROR(__xludf.DUMMYFUNCTION("""COMPUTED_VALUE"""),"2003")</f>
        <v>2003</v>
      </c>
      <c r="O1084" s="14">
        <f>IFERROR(__xludf.DUMMYFUNCTION("""COMPUTED_VALUE"""),5.24E8)</f>
        <v>524000000</v>
      </c>
      <c r="P1084" s="15">
        <f>IFERROR(__xludf.DUMMYFUNCTION("ARRAYFORMULA(VLOOKUP(A1084,IMPORTRANGE(""https://docs.google.com/spreadsheets/d/1BuTWp7qHGjWhqrnf-OmePP568O4A5Am9ttzvVdP67zw/edit#gid=771602874"" ,""HUMAN RESOURCES!$A$2:$M$2692""), {2,3,4,5,6,7,8,9,10,11,12,13},0))"),0.014)</f>
        <v>0.014</v>
      </c>
      <c r="Q1084" s="14">
        <f>IFERROR(__xludf.DUMMYFUNCTION("""COMPUTED_VALUE"""),0.003)</f>
        <v>0.003</v>
      </c>
      <c r="R1084" s="14">
        <f>IFERROR(__xludf.DUMMYFUNCTION("""COMPUTED_VALUE"""),83.0)</f>
        <v>83</v>
      </c>
      <c r="S1084" s="14">
        <f>IFERROR(__xludf.DUMMYFUNCTION("""COMPUTED_VALUE"""),80.0)</f>
        <v>80</v>
      </c>
      <c r="T1084" s="14">
        <f>IFERROR(__xludf.DUMMYFUNCTION("""COMPUTED_VALUE"""),0.225)</f>
        <v>0.225</v>
      </c>
      <c r="U1084" s="14">
        <f>IFERROR(__xludf.DUMMYFUNCTION("""COMPUTED_VALUE"""),0.658)</f>
        <v>0.658</v>
      </c>
      <c r="V1084" s="14">
        <f>IFERROR(__xludf.DUMMYFUNCTION("""COMPUTED_VALUE"""),0.117)</f>
        <v>0.117</v>
      </c>
      <c r="W1084" s="14">
        <f>IFERROR(__xludf.DUMMYFUNCTION("""COMPUTED_VALUE"""),289521.0)</f>
        <v>289521</v>
      </c>
      <c r="X1084" s="14">
        <f>IFERROR(__xludf.DUMMYFUNCTION("""COMPUTED_VALUE"""),0.928)</f>
        <v>0.928</v>
      </c>
      <c r="Y1084" s="14" t="str">
        <f>IFERROR(__xludf.DUMMYFUNCTION("""COMPUTED_VALUE"""),"Iceland-Europe")</f>
        <v>Iceland-Europe</v>
      </c>
      <c r="Z1084" s="14" t="str">
        <f>IFERROR(__xludf.DUMMYFUNCTION("""COMPUTED_VALUE"""),"Europe")</f>
        <v>Europe</v>
      </c>
      <c r="AA1084" s="14" t="str">
        <f>IFERROR(__xludf.DUMMYFUNCTION("""COMPUTED_VALUE"""),"2003")</f>
        <v>2003</v>
      </c>
      <c r="AB1084" s="15" t="str">
        <f>IFERROR(__xludf.DUMMYFUNCTION("ARRAYFORMULA(VLOOKUP(A1084,IMPORTRANGE(""https://docs.google.com/spreadsheets/d/1BuTWp7qHGjWhqrnf-OmePP568O4A5Am9ttzvVdP67zw/edit#gid=1931367683"" ,""ENERGY!$A$2:$F$2692""), {2,3,4,5,6},0))"),"Europe")</f>
        <v>Europe</v>
      </c>
      <c r="AC1084" s="14" t="str">
        <f>IFERROR(__xludf.DUMMYFUNCTION("""COMPUTED_VALUE"""),"Iceland-Europe")</f>
        <v>Iceland-Europe</v>
      </c>
      <c r="AD1084" s="14" t="str">
        <f>IFERROR(__xludf.DUMMYFUNCTION("""COMPUTED_VALUE"""),"2003")</f>
        <v>2003</v>
      </c>
      <c r="AE1084" s="14">
        <f>IFERROR(__xludf.DUMMYFUNCTION("""COMPUTED_VALUE"""),5384.0)</f>
        <v>5384</v>
      </c>
      <c r="AF1084" s="14">
        <f>IFERROR(__xludf.DUMMYFUNCTION("""COMPUTED_VALUE"""),2054.0)</f>
        <v>2054</v>
      </c>
    </row>
    <row r="1085">
      <c r="A1085" s="12">
        <v>1084.0</v>
      </c>
      <c r="B1085" s="12" t="s">
        <v>162</v>
      </c>
      <c r="C1085" s="5" t="s">
        <v>75</v>
      </c>
      <c r="D1085" s="8"/>
      <c r="E1085" s="11">
        <v>5.0</v>
      </c>
      <c r="F1085" s="8"/>
      <c r="G1085" s="8"/>
      <c r="H1085" s="11">
        <v>0.839</v>
      </c>
      <c r="I1085" s="11">
        <v>0.989</v>
      </c>
      <c r="J1085" s="9" t="s">
        <v>65</v>
      </c>
      <c r="K1085" s="14" t="str">
        <f>IFERROR(__xludf.DUMMYFUNCTION("ARRAYFORMULA(VLOOKUP(A1085,IMPORTRANGE(""https://docs.google.com/spreadsheets/d/1BuTWp7qHGjWhqrnf-OmePP568O4A5Am9ttzvVdP67zw/edit#gid=1603210130"", ""TOURISM!$A$2:$F$2692""), {2,3,4,5,6},0))"),"Europe")</f>
        <v>Europe</v>
      </c>
      <c r="L1085" s="14">
        <f>IFERROR(__xludf.DUMMYFUNCTION("""COMPUTED_VALUE"""),5.58E8)</f>
        <v>558000000</v>
      </c>
      <c r="M1085" s="14" t="str">
        <f>IFERROR(__xludf.DUMMYFUNCTION("""COMPUTED_VALUE"""),"Iceland-Europe")</f>
        <v>Iceland-Europe</v>
      </c>
      <c r="N1085" s="14" t="str">
        <f>IFERROR(__xludf.DUMMYFUNCTION("""COMPUTED_VALUE"""),"2004")</f>
        <v>2004</v>
      </c>
      <c r="O1085" s="14">
        <f>IFERROR(__xludf.DUMMYFUNCTION("""COMPUTED_VALUE"""),6.99E8)</f>
        <v>699000000</v>
      </c>
      <c r="P1085" s="15">
        <f>IFERROR(__xludf.DUMMYFUNCTION("ARRAYFORMULA(VLOOKUP(A1085,IMPORTRANGE(""https://docs.google.com/spreadsheets/d/1BuTWp7qHGjWhqrnf-OmePP568O4A5Am9ttzvVdP67zw/edit#gid=771602874"" ,""HUMAN RESOURCES!$A$2:$M$2692""), {2,3,4,5,6,7,8,9,10,11,12,13},0))"),0.015)</f>
        <v>0.015</v>
      </c>
      <c r="Q1085" s="14">
        <f>IFERROR(__xludf.DUMMYFUNCTION("""COMPUTED_VALUE"""),0.003)</f>
        <v>0.003</v>
      </c>
      <c r="R1085" s="14">
        <f>IFERROR(__xludf.DUMMYFUNCTION("""COMPUTED_VALUE"""),83.0)</f>
        <v>83</v>
      </c>
      <c r="S1085" s="14">
        <f>IFERROR(__xludf.DUMMYFUNCTION("""COMPUTED_VALUE"""),79.0)</f>
        <v>79</v>
      </c>
      <c r="T1085" s="14">
        <f>IFERROR(__xludf.DUMMYFUNCTION("""COMPUTED_VALUE"""),0.223)</f>
        <v>0.223</v>
      </c>
      <c r="U1085" s="14">
        <f>IFERROR(__xludf.DUMMYFUNCTION("""COMPUTED_VALUE"""),0.66)</f>
        <v>0.66</v>
      </c>
      <c r="V1085" s="14">
        <f>IFERROR(__xludf.DUMMYFUNCTION("""COMPUTED_VALUE"""),0.117)</f>
        <v>0.117</v>
      </c>
      <c r="W1085" s="14">
        <f>IFERROR(__xludf.DUMMYFUNCTION("""COMPUTED_VALUE"""),292074.0)</f>
        <v>292074</v>
      </c>
      <c r="X1085" s="14">
        <f>IFERROR(__xludf.DUMMYFUNCTION("""COMPUTED_VALUE"""),0.929)</f>
        <v>0.929</v>
      </c>
      <c r="Y1085" s="14" t="str">
        <f>IFERROR(__xludf.DUMMYFUNCTION("""COMPUTED_VALUE"""),"Iceland-Europe")</f>
        <v>Iceland-Europe</v>
      </c>
      <c r="Z1085" s="14" t="str">
        <f>IFERROR(__xludf.DUMMYFUNCTION("""COMPUTED_VALUE"""),"Europe")</f>
        <v>Europe</v>
      </c>
      <c r="AA1085" s="14" t="str">
        <f>IFERROR(__xludf.DUMMYFUNCTION("""COMPUTED_VALUE"""),"2004")</f>
        <v>2004</v>
      </c>
      <c r="AB1085" s="15" t="str">
        <f>IFERROR(__xludf.DUMMYFUNCTION("ARRAYFORMULA(VLOOKUP(A1085,IMPORTRANGE(""https://docs.google.com/spreadsheets/d/1BuTWp7qHGjWhqrnf-OmePP568O4A5Am9ttzvVdP67zw/edit#gid=1931367683"" ,""ENERGY!$A$2:$F$2692""), {2,3,4,5,6},0))"),"Europe")</f>
        <v>Europe</v>
      </c>
      <c r="AC1085" s="14" t="str">
        <f>IFERROR(__xludf.DUMMYFUNCTION("""COMPUTED_VALUE"""),"Iceland-Europe")</f>
        <v>Iceland-Europe</v>
      </c>
      <c r="AD1085" s="14" t="str">
        <f>IFERROR(__xludf.DUMMYFUNCTION("""COMPUTED_VALUE"""),"2004")</f>
        <v>2004</v>
      </c>
      <c r="AE1085" s="14">
        <f>IFERROR(__xludf.DUMMYFUNCTION("""COMPUTED_VALUE"""),5354.0)</f>
        <v>5354</v>
      </c>
      <c r="AF1085" s="14">
        <f>IFERROR(__xludf.DUMMYFUNCTION("""COMPUTED_VALUE"""),2120.0)</f>
        <v>2120</v>
      </c>
    </row>
    <row r="1086">
      <c r="A1086" s="12">
        <v>1085.0</v>
      </c>
      <c r="B1086" s="12" t="s">
        <v>162</v>
      </c>
      <c r="C1086" s="5" t="s">
        <v>75</v>
      </c>
      <c r="D1086" s="11">
        <v>0.264</v>
      </c>
      <c r="E1086" s="11">
        <v>5.0</v>
      </c>
      <c r="F1086" s="8"/>
      <c r="G1086" s="11">
        <v>140.0</v>
      </c>
      <c r="H1086" s="11">
        <v>0.87</v>
      </c>
      <c r="I1086" s="11">
        <v>0.954</v>
      </c>
      <c r="J1086" s="9" t="s">
        <v>66</v>
      </c>
      <c r="K1086" s="14" t="str">
        <f>IFERROR(__xludf.DUMMYFUNCTION("ARRAYFORMULA(VLOOKUP(A1086,IMPORTRANGE(""https://docs.google.com/spreadsheets/d/1BuTWp7qHGjWhqrnf-OmePP568O4A5Am9ttzvVdP67zw/edit#gid=1603210130"", ""TOURISM!$A$2:$F$2692""), {2,3,4,5,6},0))"),"Europe")</f>
        <v>Europe</v>
      </c>
      <c r="L1086" s="14">
        <f>IFERROR(__xludf.DUMMYFUNCTION("""COMPUTED_VALUE"""),6.35E8)</f>
        <v>635000000</v>
      </c>
      <c r="M1086" s="14" t="str">
        <f>IFERROR(__xludf.DUMMYFUNCTION("""COMPUTED_VALUE"""),"Iceland-Europe")</f>
        <v>Iceland-Europe</v>
      </c>
      <c r="N1086" s="14" t="str">
        <f>IFERROR(__xludf.DUMMYFUNCTION("""COMPUTED_VALUE"""),"2005")</f>
        <v>2005</v>
      </c>
      <c r="O1086" s="14">
        <f>IFERROR(__xludf.DUMMYFUNCTION("""COMPUTED_VALUE"""),9.91E8)</f>
        <v>991000000</v>
      </c>
      <c r="P1086" s="15">
        <f>IFERROR(__xludf.DUMMYFUNCTION("ARRAYFORMULA(VLOOKUP(A1086,IMPORTRANGE(""https://docs.google.com/spreadsheets/d/1BuTWp7qHGjWhqrnf-OmePP568O4A5Am9ttzvVdP67zw/edit#gid=771602874"" ,""HUMAN RESOURCES!$A$2:$M$2692""), {2,3,4,5,6,7,8,9,10,11,12,13},0))"),0.014)</f>
        <v>0.014</v>
      </c>
      <c r="Q1086" s="14">
        <f>IFERROR(__xludf.DUMMYFUNCTION("""COMPUTED_VALUE"""),0.002)</f>
        <v>0.002</v>
      </c>
      <c r="R1086" s="14">
        <f>IFERROR(__xludf.DUMMYFUNCTION("""COMPUTED_VALUE"""),84.0)</f>
        <v>84</v>
      </c>
      <c r="S1086" s="14">
        <f>IFERROR(__xludf.DUMMYFUNCTION("""COMPUTED_VALUE"""),80.0)</f>
        <v>80</v>
      </c>
      <c r="T1086" s="14">
        <f>IFERROR(__xludf.DUMMYFUNCTION("""COMPUTED_VALUE"""),0.221)</f>
        <v>0.221</v>
      </c>
      <c r="U1086" s="14">
        <f>IFERROR(__xludf.DUMMYFUNCTION("""COMPUTED_VALUE"""),0.662)</f>
        <v>0.662</v>
      </c>
      <c r="V1086" s="14">
        <f>IFERROR(__xludf.DUMMYFUNCTION("""COMPUTED_VALUE"""),0.117)</f>
        <v>0.117</v>
      </c>
      <c r="W1086" s="14">
        <f>IFERROR(__xludf.DUMMYFUNCTION("""COMPUTED_VALUE"""),296734.0)</f>
        <v>296734</v>
      </c>
      <c r="X1086" s="14">
        <f>IFERROR(__xludf.DUMMYFUNCTION("""COMPUTED_VALUE"""),0.93)</f>
        <v>0.93</v>
      </c>
      <c r="Y1086" s="14" t="str">
        <f>IFERROR(__xludf.DUMMYFUNCTION("""COMPUTED_VALUE"""),"Iceland-Europe")</f>
        <v>Iceland-Europe</v>
      </c>
      <c r="Z1086" s="14" t="str">
        <f>IFERROR(__xludf.DUMMYFUNCTION("""COMPUTED_VALUE"""),"Europe")</f>
        <v>Europe</v>
      </c>
      <c r="AA1086" s="14" t="str">
        <f>IFERROR(__xludf.DUMMYFUNCTION("""COMPUTED_VALUE"""),"2005")</f>
        <v>2005</v>
      </c>
      <c r="AB1086" s="15" t="str">
        <f>IFERROR(__xludf.DUMMYFUNCTION("ARRAYFORMULA(VLOOKUP(A1086,IMPORTRANGE(""https://docs.google.com/spreadsheets/d/1BuTWp7qHGjWhqrnf-OmePP568O4A5Am9ttzvVdP67zw/edit#gid=1931367683"" ,""ENERGY!$A$2:$F$2692""), {2,3,4,5,6},0))"),"Europe")</f>
        <v>Europe</v>
      </c>
      <c r="AC1086" s="14" t="str">
        <f>IFERROR(__xludf.DUMMYFUNCTION("""COMPUTED_VALUE"""),"Iceland-Europe")</f>
        <v>Iceland-Europe</v>
      </c>
      <c r="AD1086" s="14" t="str">
        <f>IFERROR(__xludf.DUMMYFUNCTION("""COMPUTED_VALUE"""),"2007")</f>
        <v>2007</v>
      </c>
      <c r="AE1086" s="14">
        <f>IFERROR(__xludf.DUMMYFUNCTION("""COMPUTED_VALUE"""),4836.0)</f>
        <v>4836</v>
      </c>
      <c r="AF1086" s="14">
        <f>IFERROR(__xludf.DUMMYFUNCTION("""COMPUTED_VALUE"""),2310.0)</f>
        <v>2310</v>
      </c>
    </row>
    <row r="1087">
      <c r="A1087" s="12">
        <v>1086.0</v>
      </c>
      <c r="B1087" s="12" t="s">
        <v>162</v>
      </c>
      <c r="C1087" s="5" t="s">
        <v>75</v>
      </c>
      <c r="D1087" s="11">
        <v>0.265</v>
      </c>
      <c r="E1087" s="11">
        <v>5.0</v>
      </c>
      <c r="F1087" s="8"/>
      <c r="G1087" s="11">
        <v>140.0</v>
      </c>
      <c r="H1087" s="11">
        <v>0.895</v>
      </c>
      <c r="I1087" s="11">
        <v>1.004</v>
      </c>
      <c r="J1087" s="9" t="s">
        <v>67</v>
      </c>
      <c r="K1087" s="14" t="str">
        <f>IFERROR(__xludf.DUMMYFUNCTION("ARRAYFORMULA(VLOOKUP(A1087,IMPORTRANGE(""https://docs.google.com/spreadsheets/d/1BuTWp7qHGjWhqrnf-OmePP568O4A5Am9ttzvVdP67zw/edit#gid=1603210130"", ""TOURISM!$A$2:$F$2692""), {2,3,4,5,6},0))"),"Europe")</f>
        <v>Europe</v>
      </c>
      <c r="L1087" s="14">
        <f>IFERROR(__xludf.DUMMYFUNCTION("""COMPUTED_VALUE"""),7.02E8)</f>
        <v>702000000</v>
      </c>
      <c r="M1087" s="14" t="str">
        <f>IFERROR(__xludf.DUMMYFUNCTION("""COMPUTED_VALUE"""),"Iceland-Europe")</f>
        <v>Iceland-Europe</v>
      </c>
      <c r="N1087" s="14" t="str">
        <f>IFERROR(__xludf.DUMMYFUNCTION("""COMPUTED_VALUE"""),"2006")</f>
        <v>2006</v>
      </c>
      <c r="O1087" s="14">
        <f>IFERROR(__xludf.DUMMYFUNCTION("""COMPUTED_VALUE"""),1.084E9)</f>
        <v>1084000000</v>
      </c>
      <c r="P1087" s="15">
        <f>IFERROR(__xludf.DUMMYFUNCTION("ARRAYFORMULA(VLOOKUP(A1087,IMPORTRANGE(""https://docs.google.com/spreadsheets/d/1BuTWp7qHGjWhqrnf-OmePP568O4A5Am9ttzvVdP67zw/edit#gid=771602874"" ,""HUMAN RESOURCES!$A$2:$M$2692""), {2,3,4,5,6,7,8,9,10,11,12,13},0))"),0.015)</f>
        <v>0.015</v>
      </c>
      <c r="Q1087" s="14">
        <f>IFERROR(__xludf.DUMMYFUNCTION("""COMPUTED_VALUE"""),0.002)</f>
        <v>0.002</v>
      </c>
      <c r="R1087" s="14">
        <f>IFERROR(__xludf.DUMMYFUNCTION("""COMPUTED_VALUE"""),83.0)</f>
        <v>83</v>
      </c>
      <c r="S1087" s="14">
        <f>IFERROR(__xludf.DUMMYFUNCTION("""COMPUTED_VALUE"""),80.0)</f>
        <v>80</v>
      </c>
      <c r="T1087" s="14">
        <f>IFERROR(__xludf.DUMMYFUNCTION("""COMPUTED_VALUE"""),0.218)</f>
        <v>0.218</v>
      </c>
      <c r="U1087" s="14">
        <f>IFERROR(__xludf.DUMMYFUNCTION("""COMPUTED_VALUE"""),0.664)</f>
        <v>0.664</v>
      </c>
      <c r="V1087" s="14">
        <f>IFERROR(__xludf.DUMMYFUNCTION("""COMPUTED_VALUE"""),0.118)</f>
        <v>0.118</v>
      </c>
      <c r="W1087" s="14">
        <f>IFERROR(__xludf.DUMMYFUNCTION("""COMPUTED_VALUE"""),303782.0)</f>
        <v>303782</v>
      </c>
      <c r="X1087" s="14">
        <f>IFERROR(__xludf.DUMMYFUNCTION("""COMPUTED_VALUE"""),0.932)</f>
        <v>0.932</v>
      </c>
      <c r="Y1087" s="14" t="str">
        <f>IFERROR(__xludf.DUMMYFUNCTION("""COMPUTED_VALUE"""),"Iceland-Europe")</f>
        <v>Iceland-Europe</v>
      </c>
      <c r="Z1087" s="14" t="str">
        <f>IFERROR(__xludf.DUMMYFUNCTION("""COMPUTED_VALUE"""),"Europe")</f>
        <v>Europe</v>
      </c>
      <c r="AA1087" s="14" t="str">
        <f>IFERROR(__xludf.DUMMYFUNCTION("""COMPUTED_VALUE"""),"2006")</f>
        <v>2006</v>
      </c>
      <c r="AB1087" s="15" t="str">
        <f>IFERROR(__xludf.DUMMYFUNCTION("ARRAYFORMULA(VLOOKUP(A1087,IMPORTRANGE(""https://docs.google.com/spreadsheets/d/1BuTWp7qHGjWhqrnf-OmePP568O4A5Am9ttzvVdP67zw/edit#gid=1931367683"" ,""ENERGY!$A$2:$F$2692""), {2,3,4,5,6},0))"),"Europe")</f>
        <v>Europe</v>
      </c>
      <c r="AC1087" s="14" t="str">
        <f>IFERROR(__xludf.DUMMYFUNCTION("""COMPUTED_VALUE"""),"Iceland-Europe")</f>
        <v>Iceland-Europe</v>
      </c>
      <c r="AD1087" s="14" t="str">
        <f>IFERROR(__xludf.DUMMYFUNCTION("""COMPUTED_VALUE"""),"2011")</f>
        <v>2011</v>
      </c>
      <c r="AE1087" s="14">
        <f>IFERROR(__xludf.DUMMYFUNCTION("""COMPUTED_VALUE"""),4159.0)</f>
        <v>4159</v>
      </c>
      <c r="AF1087" s="14">
        <f>IFERROR(__xludf.DUMMYFUNCTION("""COMPUTED_VALUE"""),2277.0)</f>
        <v>2277</v>
      </c>
    </row>
    <row r="1088">
      <c r="A1088" s="12">
        <v>1087.0</v>
      </c>
      <c r="B1088" s="12" t="s">
        <v>162</v>
      </c>
      <c r="C1088" s="5" t="s">
        <v>75</v>
      </c>
      <c r="D1088" s="11">
        <v>0.262</v>
      </c>
      <c r="E1088" s="11">
        <v>5.0</v>
      </c>
      <c r="F1088" s="8"/>
      <c r="G1088" s="11">
        <v>140.0</v>
      </c>
      <c r="H1088" s="11">
        <v>0.906</v>
      </c>
      <c r="I1088" s="11">
        <v>1.069</v>
      </c>
      <c r="J1088" s="9" t="s">
        <v>68</v>
      </c>
      <c r="K1088" s="14" t="str">
        <f>IFERROR(__xludf.DUMMYFUNCTION("ARRAYFORMULA(VLOOKUP(A1088,IMPORTRANGE(""https://docs.google.com/spreadsheets/d/1BuTWp7qHGjWhqrnf-OmePP568O4A5Am9ttzvVdP67zw/edit#gid=1603210130"", ""TOURISM!$A$2:$F$2692""), {2,3,4,5,6},0))"),"Europe")</f>
        <v>Europe</v>
      </c>
      <c r="L1088" s="14">
        <f>IFERROR(__xludf.DUMMYFUNCTION("""COMPUTED_VALUE"""),8.48E8)</f>
        <v>848000000</v>
      </c>
      <c r="M1088" s="14" t="str">
        <f>IFERROR(__xludf.DUMMYFUNCTION("""COMPUTED_VALUE"""),"Iceland-Europe")</f>
        <v>Iceland-Europe</v>
      </c>
      <c r="N1088" s="14" t="str">
        <f>IFERROR(__xludf.DUMMYFUNCTION("""COMPUTED_VALUE"""),"2007")</f>
        <v>2007</v>
      </c>
      <c r="O1088" s="14">
        <f>IFERROR(__xludf.DUMMYFUNCTION("""COMPUTED_VALUE"""),1.336E9)</f>
        <v>1336000000</v>
      </c>
      <c r="P1088" s="15">
        <f>IFERROR(__xludf.DUMMYFUNCTION("ARRAYFORMULA(VLOOKUP(A1088,IMPORTRANGE(""https://docs.google.com/spreadsheets/d/1BuTWp7qHGjWhqrnf-OmePP568O4A5Am9ttzvVdP67zw/edit#gid=771602874"" ,""HUMAN RESOURCES!$A$2:$M$2692""), {2,3,4,5,6,7,8,9,10,11,12,13},0))"),0.015)</f>
        <v>0.015</v>
      </c>
      <c r="Q1088" s="14">
        <f>IFERROR(__xludf.DUMMYFUNCTION("""COMPUTED_VALUE"""),0.002)</f>
        <v>0.002</v>
      </c>
      <c r="R1088" s="14">
        <f>IFERROR(__xludf.DUMMYFUNCTION("""COMPUTED_VALUE"""),83.0)</f>
        <v>83</v>
      </c>
      <c r="S1088" s="14">
        <f>IFERROR(__xludf.DUMMYFUNCTION("""COMPUTED_VALUE"""),80.0)</f>
        <v>80</v>
      </c>
      <c r="T1088" s="14">
        <f>IFERROR(__xludf.DUMMYFUNCTION("""COMPUTED_VALUE"""),0.215)</f>
        <v>0.215</v>
      </c>
      <c r="U1088" s="14">
        <f>IFERROR(__xludf.DUMMYFUNCTION("""COMPUTED_VALUE"""),0.666)</f>
        <v>0.666</v>
      </c>
      <c r="V1088" s="14">
        <f>IFERROR(__xludf.DUMMYFUNCTION("""COMPUTED_VALUE"""),0.118)</f>
        <v>0.118</v>
      </c>
      <c r="W1088" s="14">
        <f>IFERROR(__xludf.DUMMYFUNCTION("""COMPUTED_VALUE"""),311566.0)</f>
        <v>311566</v>
      </c>
      <c r="X1088" s="14">
        <f>IFERROR(__xludf.DUMMYFUNCTION("""COMPUTED_VALUE"""),0.933)</f>
        <v>0.933</v>
      </c>
      <c r="Y1088" s="14" t="str">
        <f>IFERROR(__xludf.DUMMYFUNCTION("""COMPUTED_VALUE"""),"Iceland-Europe")</f>
        <v>Iceland-Europe</v>
      </c>
      <c r="Z1088" s="14" t="str">
        <f>IFERROR(__xludf.DUMMYFUNCTION("""COMPUTED_VALUE"""),"Europe")</f>
        <v>Europe</v>
      </c>
      <c r="AA1088" s="14" t="str">
        <f>IFERROR(__xludf.DUMMYFUNCTION("""COMPUTED_VALUE"""),"2007")</f>
        <v>2007</v>
      </c>
      <c r="AB1088" s="15" t="str">
        <f>IFERROR(__xludf.DUMMYFUNCTION("ARRAYFORMULA(VLOOKUP(A1088,IMPORTRANGE(""https://docs.google.com/spreadsheets/d/1BuTWp7qHGjWhqrnf-OmePP568O4A5Am9ttzvVdP67zw/edit#gid=1931367683"" ,""ENERGY!$A$2:$F$2692""), {2,3,4,5,6},0))"),"Europe")</f>
        <v>Europe</v>
      </c>
      <c r="AC1088" s="14" t="str">
        <f>IFERROR(__xludf.DUMMYFUNCTION("""COMPUTED_VALUE"""),"Iceland-Europe")</f>
        <v>Iceland-Europe</v>
      </c>
      <c r="AD1088" s="14" t="str">
        <f>IFERROR(__xludf.DUMMYFUNCTION("""COMPUTED_VALUE"""),"2008")</f>
        <v>2008</v>
      </c>
      <c r="AE1088" s="14">
        <f>IFERROR(__xludf.DUMMYFUNCTION("""COMPUTED_VALUE"""),3480.0)</f>
        <v>3480</v>
      </c>
      <c r="AF1088" s="14">
        <f>IFERROR(__xludf.DUMMYFUNCTION("""COMPUTED_VALUE"""),2204.0)</f>
        <v>2204</v>
      </c>
    </row>
    <row r="1089">
      <c r="A1089" s="12">
        <v>1088.0</v>
      </c>
      <c r="B1089" s="12" t="s">
        <v>162</v>
      </c>
      <c r="C1089" s="5" t="s">
        <v>75</v>
      </c>
      <c r="D1089" s="11">
        <v>0.258</v>
      </c>
      <c r="E1089" s="11">
        <v>5.0</v>
      </c>
      <c r="F1089" s="8"/>
      <c r="G1089" s="11">
        <v>140.0</v>
      </c>
      <c r="H1089" s="11">
        <v>0.91</v>
      </c>
      <c r="I1089" s="11">
        <v>1.089</v>
      </c>
      <c r="J1089" s="9" t="s">
        <v>69</v>
      </c>
      <c r="K1089" s="14" t="str">
        <f>IFERROR(__xludf.DUMMYFUNCTION("ARRAYFORMULA(VLOOKUP(A1089,IMPORTRANGE(""https://docs.google.com/spreadsheets/d/1BuTWp7qHGjWhqrnf-OmePP568O4A5Am9ttzvVdP67zw/edit#gid=1603210130"", ""TOURISM!$A$2:$F$2692""), {2,3,4,5,6},0))"),"Europe")</f>
        <v>Europe</v>
      </c>
      <c r="L1089" s="14">
        <f>IFERROR(__xludf.DUMMYFUNCTION("""COMPUTED_VALUE"""),8.81E8)</f>
        <v>881000000</v>
      </c>
      <c r="M1089" s="14" t="str">
        <f>IFERROR(__xludf.DUMMYFUNCTION("""COMPUTED_VALUE"""),"Iceland-Europe")</f>
        <v>Iceland-Europe</v>
      </c>
      <c r="N1089" s="14" t="str">
        <f>IFERROR(__xludf.DUMMYFUNCTION("""COMPUTED_VALUE"""),"2008")</f>
        <v>2008</v>
      </c>
      <c r="O1089" s="14">
        <f>IFERROR(__xludf.DUMMYFUNCTION("""COMPUTED_VALUE"""),1.103E9)</f>
        <v>1103000000</v>
      </c>
      <c r="P1089" s="15">
        <f>IFERROR(__xludf.DUMMYFUNCTION("ARRAYFORMULA(VLOOKUP(A1089,IMPORTRANGE(""https://docs.google.com/spreadsheets/d/1BuTWp7qHGjWhqrnf-OmePP568O4A5Am9ttzvVdP67zw/edit#gid=771602874"" ,""HUMAN RESOURCES!$A$2:$M$2692""), {2,3,4,5,6,7,8,9,10,11,12,13},0))"),0.015)</f>
        <v>0.015</v>
      </c>
      <c r="Q1089" s="14">
        <f>IFERROR(__xludf.DUMMYFUNCTION("""COMPUTED_VALUE"""),0.002)</f>
        <v>0.002</v>
      </c>
      <c r="R1089" s="14">
        <f>IFERROR(__xludf.DUMMYFUNCTION("""COMPUTED_VALUE"""),83.0)</f>
        <v>83</v>
      </c>
      <c r="S1089" s="14">
        <f>IFERROR(__xludf.DUMMYFUNCTION("""COMPUTED_VALUE"""),80.0)</f>
        <v>80</v>
      </c>
      <c r="T1089" s="14">
        <f>IFERROR(__xludf.DUMMYFUNCTION("""COMPUTED_VALUE"""),0.213)</f>
        <v>0.213</v>
      </c>
      <c r="U1089" s="14">
        <f>IFERROR(__xludf.DUMMYFUNCTION("""COMPUTED_VALUE"""),0.668)</f>
        <v>0.668</v>
      </c>
      <c r="V1089" s="14">
        <f>IFERROR(__xludf.DUMMYFUNCTION("""COMPUTED_VALUE"""),0.119)</f>
        <v>0.119</v>
      </c>
      <c r="W1089" s="14">
        <f>IFERROR(__xludf.DUMMYFUNCTION("""COMPUTED_VALUE"""),317414.0)</f>
        <v>317414</v>
      </c>
      <c r="X1089" s="14">
        <f>IFERROR(__xludf.DUMMYFUNCTION("""COMPUTED_VALUE"""),0.934)</f>
        <v>0.934</v>
      </c>
      <c r="Y1089" s="14" t="str">
        <f>IFERROR(__xludf.DUMMYFUNCTION("""COMPUTED_VALUE"""),"Iceland-Europe")</f>
        <v>Iceland-Europe</v>
      </c>
      <c r="Z1089" s="14" t="str">
        <f>IFERROR(__xludf.DUMMYFUNCTION("""COMPUTED_VALUE"""),"Europe")</f>
        <v>Europe</v>
      </c>
      <c r="AA1089" s="14" t="str">
        <f>IFERROR(__xludf.DUMMYFUNCTION("""COMPUTED_VALUE"""),"2008")</f>
        <v>2008</v>
      </c>
      <c r="AB1089" s="15" t="str">
        <f>IFERROR(__xludf.DUMMYFUNCTION("ARRAYFORMULA(VLOOKUP(A1089,IMPORTRANGE(""https://docs.google.com/spreadsheets/d/1BuTWp7qHGjWhqrnf-OmePP568O4A5Am9ttzvVdP67zw/edit#gid=1931367683"" ,""ENERGY!$A$2:$F$2692""), {2,3,4,5,6},0))"),"Europe")</f>
        <v>Europe</v>
      </c>
      <c r="AC1089" s="14" t="str">
        <f>IFERROR(__xludf.DUMMYFUNCTION("""COMPUTED_VALUE"""),"Iceland-Europe")</f>
        <v>Iceland-Europe</v>
      </c>
      <c r="AD1089" s="14" t="str">
        <f>IFERROR(__xludf.DUMMYFUNCTION("""COMPUTED_VALUE"""),"2005")</f>
        <v>2005</v>
      </c>
      <c r="AE1089" s="14">
        <f>IFERROR(__xludf.DUMMYFUNCTION("""COMPUTED_VALUE"""),3368.0)</f>
        <v>3368</v>
      </c>
      <c r="AF1089" s="14">
        <f>IFERROR(__xludf.DUMMYFUNCTION("""COMPUTED_VALUE"""),2233.0)</f>
        <v>2233</v>
      </c>
    </row>
    <row r="1090">
      <c r="A1090" s="12">
        <v>1089.0</v>
      </c>
      <c r="B1090" s="12" t="s">
        <v>162</v>
      </c>
      <c r="C1090" s="5" t="s">
        <v>75</v>
      </c>
      <c r="D1090" s="11">
        <v>0.243</v>
      </c>
      <c r="E1090" s="11">
        <v>5.0</v>
      </c>
      <c r="F1090" s="8"/>
      <c r="G1090" s="11">
        <v>140.0</v>
      </c>
      <c r="H1090" s="11">
        <v>0.93</v>
      </c>
      <c r="I1090" s="11">
        <v>1.083</v>
      </c>
      <c r="J1090" s="9" t="s">
        <v>70</v>
      </c>
      <c r="K1090" s="14" t="str">
        <f>IFERROR(__xludf.DUMMYFUNCTION("ARRAYFORMULA(VLOOKUP(A1090,IMPORTRANGE(""https://docs.google.com/spreadsheets/d/1BuTWp7qHGjWhqrnf-OmePP568O4A5Am9ttzvVdP67zw/edit#gid=1603210130"", ""TOURISM!$A$2:$F$2692""), {2,3,4,5,6},0))"),"Europe")</f>
        <v>Europe</v>
      </c>
      <c r="L1090" s="14">
        <f>IFERROR(__xludf.DUMMYFUNCTION("""COMPUTED_VALUE"""),5.5E8)</f>
        <v>550000000</v>
      </c>
      <c r="M1090" s="14" t="str">
        <f>IFERROR(__xludf.DUMMYFUNCTION("""COMPUTED_VALUE"""),"Iceland-Europe")</f>
        <v>Iceland-Europe</v>
      </c>
      <c r="N1090" s="14" t="str">
        <f>IFERROR(__xludf.DUMMYFUNCTION("""COMPUTED_VALUE"""),"2009")</f>
        <v>2009</v>
      </c>
      <c r="O1090" s="14">
        <f>IFERROR(__xludf.DUMMYFUNCTION("""COMPUTED_VALUE"""),5.34E8)</f>
        <v>534000000</v>
      </c>
      <c r="P1090" s="15">
        <f>IFERROR(__xludf.DUMMYFUNCTION("ARRAYFORMULA(VLOOKUP(A1090,IMPORTRANGE(""https://docs.google.com/spreadsheets/d/1BuTWp7qHGjWhqrnf-OmePP568O4A5Am9ttzvVdP67zw/edit#gid=771602874"" ,""HUMAN RESOURCES!$A$2:$M$2692""), {2,3,4,5,6,7,8,9,10,11,12,13},0))"),0.016)</f>
        <v>0.016</v>
      </c>
      <c r="Q1090" s="14">
        <f>IFERROR(__xludf.DUMMYFUNCTION("""COMPUTED_VALUE"""),0.002)</f>
        <v>0.002</v>
      </c>
      <c r="R1090" s="14">
        <f>IFERROR(__xludf.DUMMYFUNCTION("""COMPUTED_VALUE"""),84.0)</f>
        <v>84</v>
      </c>
      <c r="S1090" s="14">
        <f>IFERROR(__xludf.DUMMYFUNCTION("""COMPUTED_VALUE"""),80.0)</f>
        <v>80</v>
      </c>
      <c r="T1090" s="14">
        <f>IFERROR(__xludf.DUMMYFUNCTION("""COMPUTED_VALUE"""),0.211)</f>
        <v>0.211</v>
      </c>
      <c r="U1090" s="14">
        <f>IFERROR(__xludf.DUMMYFUNCTION("""COMPUTED_VALUE"""),0.669)</f>
        <v>0.669</v>
      </c>
      <c r="V1090" s="14">
        <f>IFERROR(__xludf.DUMMYFUNCTION("""COMPUTED_VALUE"""),0.12)</f>
        <v>0.12</v>
      </c>
      <c r="W1090" s="14">
        <f>IFERROR(__xludf.DUMMYFUNCTION("""COMPUTED_VALUE"""),318499.0)</f>
        <v>318499</v>
      </c>
      <c r="X1090" s="14">
        <f>IFERROR(__xludf.DUMMYFUNCTION("""COMPUTED_VALUE"""),0.935)</f>
        <v>0.935</v>
      </c>
      <c r="Y1090" s="14" t="str">
        <f>IFERROR(__xludf.DUMMYFUNCTION("""COMPUTED_VALUE"""),"Iceland-Europe")</f>
        <v>Iceland-Europe</v>
      </c>
      <c r="Z1090" s="14" t="str">
        <f>IFERROR(__xludf.DUMMYFUNCTION("""COMPUTED_VALUE"""),"Europe")</f>
        <v>Europe</v>
      </c>
      <c r="AA1090" s="14" t="str">
        <f>IFERROR(__xludf.DUMMYFUNCTION("""COMPUTED_VALUE"""),"2009")</f>
        <v>2009</v>
      </c>
      <c r="AB1090" s="15" t="str">
        <f>IFERROR(__xludf.DUMMYFUNCTION("ARRAYFORMULA(VLOOKUP(A1090,IMPORTRANGE(""https://docs.google.com/spreadsheets/d/1BuTWp7qHGjWhqrnf-OmePP568O4A5Am9ttzvVdP67zw/edit#gid=1931367683"" ,""ENERGY!$A$2:$F$2692""), {2,3,4,5,6},0))"),"Europe")</f>
        <v>Europe</v>
      </c>
      <c r="AC1090" s="14" t="str">
        <f>IFERROR(__xludf.DUMMYFUNCTION("""COMPUTED_VALUE"""),"Iceland-Europe")</f>
        <v>Iceland-Europe</v>
      </c>
      <c r="AD1090" s="14" t="str">
        <f>IFERROR(__xludf.DUMMYFUNCTION("""COMPUTED_VALUE"""),"2010")</f>
        <v>2010</v>
      </c>
      <c r="AE1090" s="14">
        <f>IFERROR(__xludf.DUMMYFUNCTION("""COMPUTED_VALUE"""),3273.0)</f>
        <v>3273</v>
      </c>
      <c r="AF1090" s="14">
        <f>IFERROR(__xludf.DUMMYFUNCTION("""COMPUTED_VALUE"""),2167.0)</f>
        <v>2167</v>
      </c>
    </row>
    <row r="1091">
      <c r="A1091" s="12">
        <v>1090.0</v>
      </c>
      <c r="B1091" s="12" t="s">
        <v>162</v>
      </c>
      <c r="C1091" s="5" t="s">
        <v>75</v>
      </c>
      <c r="D1091" s="11">
        <v>0.261</v>
      </c>
      <c r="E1091" s="11">
        <v>5.0</v>
      </c>
      <c r="F1091" s="8"/>
      <c r="G1091" s="11">
        <v>140.0</v>
      </c>
      <c r="H1091" s="11">
        <v>0.934</v>
      </c>
      <c r="I1091" s="11">
        <v>1.072</v>
      </c>
      <c r="J1091" s="9" t="s">
        <v>71</v>
      </c>
      <c r="K1091" s="14" t="str">
        <f>IFERROR(__xludf.DUMMYFUNCTION("ARRAYFORMULA(VLOOKUP(A1091,IMPORTRANGE(""https://docs.google.com/spreadsheets/d/1BuTWp7qHGjWhqrnf-OmePP568O4A5Am9ttzvVdP67zw/edit#gid=1603210130"", ""TOURISM!$A$2:$F$2692""), {2,3,4,5,6},0))"),"Europe")</f>
        <v>Europe</v>
      </c>
      <c r="L1091" s="14">
        <f>IFERROR(__xludf.DUMMYFUNCTION("""COMPUTED_VALUE"""),5.62E8)</f>
        <v>562000000</v>
      </c>
      <c r="M1091" s="14" t="str">
        <f>IFERROR(__xludf.DUMMYFUNCTION("""COMPUTED_VALUE"""),"Iceland-Europe")</f>
        <v>Iceland-Europe</v>
      </c>
      <c r="N1091" s="14" t="str">
        <f>IFERROR(__xludf.DUMMYFUNCTION("""COMPUTED_VALUE"""),"2010")</f>
        <v>2010</v>
      </c>
      <c r="O1091" s="14">
        <f>IFERROR(__xludf.DUMMYFUNCTION("""COMPUTED_VALUE"""),5.99E8)</f>
        <v>599000000</v>
      </c>
      <c r="P1091" s="15">
        <f>IFERROR(__xludf.DUMMYFUNCTION("ARRAYFORMULA(VLOOKUP(A1091,IMPORTRANGE(""https://docs.google.com/spreadsheets/d/1BuTWp7qHGjWhqrnf-OmePP568O4A5Am9ttzvVdP67zw/edit#gid=771602874"" ,""HUMAN RESOURCES!$A$2:$M$2692""), {2,3,4,5,6,7,8,9,10,11,12,13},0))"),0.015)</f>
        <v>0.015</v>
      </c>
      <c r="Q1091" s="14">
        <f>IFERROR(__xludf.DUMMYFUNCTION("""COMPUTED_VALUE"""),0.002)</f>
        <v>0.002</v>
      </c>
      <c r="R1091" s="14">
        <f>IFERROR(__xludf.DUMMYFUNCTION("""COMPUTED_VALUE"""),84.0)</f>
        <v>84</v>
      </c>
      <c r="S1091" s="14">
        <f>IFERROR(__xludf.DUMMYFUNCTION("""COMPUTED_VALUE"""),80.0)</f>
        <v>80</v>
      </c>
      <c r="T1091" s="14">
        <f>IFERROR(__xludf.DUMMYFUNCTION("""COMPUTED_VALUE"""),0.209)</f>
        <v>0.209</v>
      </c>
      <c r="U1091" s="14">
        <f>IFERROR(__xludf.DUMMYFUNCTION("""COMPUTED_VALUE"""),0.669)</f>
        <v>0.669</v>
      </c>
      <c r="V1091" s="14">
        <f>IFERROR(__xludf.DUMMYFUNCTION("""COMPUTED_VALUE"""),0.121)</f>
        <v>0.121</v>
      </c>
      <c r="W1091" s="14">
        <f>IFERROR(__xludf.DUMMYFUNCTION("""COMPUTED_VALUE"""),318041.0)</f>
        <v>318041</v>
      </c>
      <c r="X1091" s="14">
        <f>IFERROR(__xludf.DUMMYFUNCTION("""COMPUTED_VALUE"""),0.936)</f>
        <v>0.936</v>
      </c>
      <c r="Y1091" s="14" t="str">
        <f>IFERROR(__xludf.DUMMYFUNCTION("""COMPUTED_VALUE"""),"Iceland-Europe")</f>
        <v>Iceland-Europe</v>
      </c>
      <c r="Z1091" s="14" t="str">
        <f>IFERROR(__xludf.DUMMYFUNCTION("""COMPUTED_VALUE"""),"Europe")</f>
        <v>Europe</v>
      </c>
      <c r="AA1091" s="14" t="str">
        <f>IFERROR(__xludf.DUMMYFUNCTION("""COMPUTED_VALUE"""),"2010")</f>
        <v>2010</v>
      </c>
      <c r="AB1091" s="15" t="str">
        <f>IFERROR(__xludf.DUMMYFUNCTION("ARRAYFORMULA(VLOOKUP(A1091,IMPORTRANGE(""https://docs.google.com/spreadsheets/d/1BuTWp7qHGjWhqrnf-OmePP568O4A5Am9ttzvVdP67zw/edit#gid=1931367683"" ,""ENERGY!$A$2:$F$2692""), {2,3,4,5,6},0))"),"Europe")</f>
        <v>Europe</v>
      </c>
      <c r="AC1091" s="14" t="str">
        <f>IFERROR(__xludf.DUMMYFUNCTION("""COMPUTED_VALUE"""),"Iceland-Europe")</f>
        <v>Iceland-Europe</v>
      </c>
      <c r="AD1091" s="14" t="str">
        <f>IFERROR(__xludf.DUMMYFUNCTION("""COMPUTED_VALUE"""),"2010")</f>
        <v>2010</v>
      </c>
      <c r="AE1091" s="14">
        <f>IFERROR(__xludf.DUMMYFUNCTION("""COMPUTED_VALUE"""),3285.0)</f>
        <v>3285</v>
      </c>
      <c r="AF1091" s="14">
        <f>IFERROR(__xludf.DUMMYFUNCTION("""COMPUTED_VALUE"""),2171.0)</f>
        <v>2171</v>
      </c>
    </row>
    <row r="1092">
      <c r="A1092" s="12">
        <v>1091.0</v>
      </c>
      <c r="B1092" s="12" t="s">
        <v>162</v>
      </c>
      <c r="C1092" s="5" t="s">
        <v>75</v>
      </c>
      <c r="D1092" s="11">
        <v>0.296</v>
      </c>
      <c r="E1092" s="11">
        <v>5.0</v>
      </c>
      <c r="F1092" s="8"/>
      <c r="G1092" s="11">
        <v>140.0</v>
      </c>
      <c r="H1092" s="11">
        <v>0.948</v>
      </c>
      <c r="I1092" s="11">
        <v>1.068</v>
      </c>
      <c r="J1092" s="9" t="s">
        <v>72</v>
      </c>
      <c r="K1092" s="14" t="str">
        <f>IFERROR(__xludf.DUMMYFUNCTION("ARRAYFORMULA(VLOOKUP(A1092,IMPORTRANGE(""https://docs.google.com/spreadsheets/d/1BuTWp7qHGjWhqrnf-OmePP568O4A5Am9ttzvVdP67zw/edit#gid=1603210130"", ""TOURISM!$A$2:$F$2692""), {2,3,4,5,6},0))"),"Europe")</f>
        <v>Europe</v>
      </c>
      <c r="L1092" s="14">
        <f>IFERROR(__xludf.DUMMYFUNCTION("""COMPUTED_VALUE"""),7.51E8)</f>
        <v>751000000</v>
      </c>
      <c r="M1092" s="14" t="str">
        <f>IFERROR(__xludf.DUMMYFUNCTION("""COMPUTED_VALUE"""),"Iceland-Europe")</f>
        <v>Iceland-Europe</v>
      </c>
      <c r="N1092" s="14" t="str">
        <f>IFERROR(__xludf.DUMMYFUNCTION("""COMPUTED_VALUE"""),"2011")</f>
        <v>2011</v>
      </c>
      <c r="O1092" s="14">
        <f>IFERROR(__xludf.DUMMYFUNCTION("""COMPUTED_VALUE"""),7.4E8)</f>
        <v>740000000</v>
      </c>
      <c r="P1092" s="15">
        <f>IFERROR(__xludf.DUMMYFUNCTION("ARRAYFORMULA(VLOOKUP(A1092,IMPORTRANGE(""https://docs.google.com/spreadsheets/d/1BuTWp7qHGjWhqrnf-OmePP568O4A5Am9ttzvVdP67zw/edit#gid=771602874"" ,""HUMAN RESOURCES!$A$2:$M$2692""), {2,3,4,5,6,7,8,9,10,11,12,13},0))"),0.014)</f>
        <v>0.014</v>
      </c>
      <c r="Q1092" s="14">
        <f>IFERROR(__xludf.DUMMYFUNCTION("""COMPUTED_VALUE"""),0.002)</f>
        <v>0.002</v>
      </c>
      <c r="R1092" s="14">
        <f>IFERROR(__xludf.DUMMYFUNCTION("""COMPUTED_VALUE"""),84.0)</f>
        <v>84</v>
      </c>
      <c r="S1092" s="14">
        <f>IFERROR(__xludf.DUMMYFUNCTION("""COMPUTED_VALUE"""),81.0)</f>
        <v>81</v>
      </c>
      <c r="T1092" s="14">
        <f>IFERROR(__xludf.DUMMYFUNCTION("""COMPUTED_VALUE"""),0.208)</f>
        <v>0.208</v>
      </c>
      <c r="U1092" s="14">
        <f>IFERROR(__xludf.DUMMYFUNCTION("""COMPUTED_VALUE"""),0.669)</f>
        <v>0.669</v>
      </c>
      <c r="V1092" s="14">
        <f>IFERROR(__xludf.DUMMYFUNCTION("""COMPUTED_VALUE"""),0.123)</f>
        <v>0.123</v>
      </c>
      <c r="W1092" s="14">
        <f>IFERROR(__xludf.DUMMYFUNCTION("""COMPUTED_VALUE"""),319014.0)</f>
        <v>319014</v>
      </c>
      <c r="X1092" s="14">
        <f>IFERROR(__xludf.DUMMYFUNCTION("""COMPUTED_VALUE"""),0.937)</f>
        <v>0.937</v>
      </c>
      <c r="Y1092" s="14" t="str">
        <f>IFERROR(__xludf.DUMMYFUNCTION("""COMPUTED_VALUE"""),"Iceland-Europe")</f>
        <v>Iceland-Europe</v>
      </c>
      <c r="Z1092" s="14" t="str">
        <f>IFERROR(__xludf.DUMMYFUNCTION("""COMPUTED_VALUE"""),"Europe")</f>
        <v>Europe</v>
      </c>
      <c r="AA1092" s="14" t="str">
        <f>IFERROR(__xludf.DUMMYFUNCTION("""COMPUTED_VALUE"""),"2011")</f>
        <v>2011</v>
      </c>
      <c r="AB1092" s="15" t="str">
        <f>IFERROR(__xludf.DUMMYFUNCTION("ARRAYFORMULA(VLOOKUP(A1092,IMPORTRANGE(""https://docs.google.com/spreadsheets/d/1BuTWp7qHGjWhqrnf-OmePP568O4A5Am9ttzvVdP67zw/edit#gid=1931367683"" ,""ENERGY!$A$2:$F$2692""), {2,3,4,5,6},0))"),"Europe")</f>
        <v>Europe</v>
      </c>
      <c r="AC1092" s="14" t="str">
        <f>IFERROR(__xludf.DUMMYFUNCTION("""COMPUTED_VALUE"""),"Iceland-Europe")</f>
        <v>Iceland-Europe</v>
      </c>
      <c r="AD1092" s="14" t="str">
        <f>IFERROR(__xludf.DUMMYFUNCTION("""COMPUTED_VALUE"""),"2005")</f>
        <v>2005</v>
      </c>
      <c r="AE1092" s="14">
        <f>IFERROR(__xludf.DUMMYFUNCTION("""COMPUTED_VALUE"""),3238.0)</f>
        <v>3238</v>
      </c>
      <c r="AF1092" s="14">
        <f>IFERROR(__xludf.DUMMYFUNCTION("""COMPUTED_VALUE"""),2101.0)</f>
        <v>2101</v>
      </c>
    </row>
    <row r="1093">
      <c r="A1093" s="12">
        <v>1092.0</v>
      </c>
      <c r="B1093" s="12" t="s">
        <v>162</v>
      </c>
      <c r="C1093" s="5" t="s">
        <v>75</v>
      </c>
      <c r="D1093" s="11">
        <v>0.306</v>
      </c>
      <c r="E1093" s="11">
        <v>5.0</v>
      </c>
      <c r="F1093" s="11">
        <v>13.0</v>
      </c>
      <c r="G1093" s="11">
        <v>140.0</v>
      </c>
      <c r="H1093" s="11">
        <v>0.962</v>
      </c>
      <c r="I1093" s="11">
        <v>1.081</v>
      </c>
      <c r="J1093" s="9" t="s">
        <v>73</v>
      </c>
      <c r="K1093" s="14" t="str">
        <f>IFERROR(__xludf.DUMMYFUNCTION("ARRAYFORMULA(VLOOKUP(A1093,IMPORTRANGE(""https://docs.google.com/spreadsheets/d/1BuTWp7qHGjWhqrnf-OmePP568O4A5Am9ttzvVdP67zw/edit#gid=1603210130"", ""TOURISM!$A$2:$F$2692""), {2,3,4,5,6},0))"),"Europe")</f>
        <v>Europe</v>
      </c>
      <c r="L1093" s="14">
        <f>IFERROR(__xludf.DUMMYFUNCTION("""COMPUTED_VALUE"""),8.65E8)</f>
        <v>865000000</v>
      </c>
      <c r="M1093" s="14" t="str">
        <f>IFERROR(__xludf.DUMMYFUNCTION("""COMPUTED_VALUE"""),"Iceland-Europe")</f>
        <v>Iceland-Europe</v>
      </c>
      <c r="N1093" s="14" t="str">
        <f>IFERROR(__xludf.DUMMYFUNCTION("""COMPUTED_VALUE"""),"2012")</f>
        <v>2012</v>
      </c>
      <c r="O1093" s="14">
        <f>IFERROR(__xludf.DUMMYFUNCTION("""COMPUTED_VALUE"""),7.8E8)</f>
        <v>780000000</v>
      </c>
      <c r="P1093" s="15">
        <f>IFERROR(__xludf.DUMMYFUNCTION("ARRAYFORMULA(VLOOKUP(A1093,IMPORTRANGE(""https://docs.google.com/spreadsheets/d/1BuTWp7qHGjWhqrnf-OmePP568O4A5Am9ttzvVdP67zw/edit#gid=771602874"" ,""HUMAN RESOURCES!$A$2:$M$2692""), {2,3,4,5,6,7,8,9,10,11,12,13},0))"),0.014)</f>
        <v>0.014</v>
      </c>
      <c r="Q1093" s="14">
        <f>IFERROR(__xludf.DUMMYFUNCTION("""COMPUTED_VALUE"""),0.002)</f>
        <v>0.002</v>
      </c>
      <c r="R1093" s="14">
        <f>IFERROR(__xludf.DUMMYFUNCTION("""COMPUTED_VALUE"""),84.0)</f>
        <v>84</v>
      </c>
      <c r="S1093" s="14">
        <f>IFERROR(__xludf.DUMMYFUNCTION("""COMPUTED_VALUE"""),82.0)</f>
        <v>82</v>
      </c>
      <c r="T1093" s="14">
        <f>IFERROR(__xludf.DUMMYFUNCTION("""COMPUTED_VALUE"""),0.207)</f>
        <v>0.207</v>
      </c>
      <c r="U1093" s="14">
        <f>IFERROR(__xludf.DUMMYFUNCTION("""COMPUTED_VALUE"""),0.667)</f>
        <v>0.667</v>
      </c>
      <c r="V1093" s="14">
        <f>IFERROR(__xludf.DUMMYFUNCTION("""COMPUTED_VALUE"""),0.126)</f>
        <v>0.126</v>
      </c>
      <c r="W1093" s="14">
        <f>IFERROR(__xludf.DUMMYFUNCTION("""COMPUTED_VALUE"""),320716.0)</f>
        <v>320716</v>
      </c>
      <c r="X1093" s="14">
        <f>IFERROR(__xludf.DUMMYFUNCTION("""COMPUTED_VALUE"""),0.938)</f>
        <v>0.938</v>
      </c>
      <c r="Y1093" s="14" t="str">
        <f>IFERROR(__xludf.DUMMYFUNCTION("""COMPUTED_VALUE"""),"Iceland-Europe")</f>
        <v>Iceland-Europe</v>
      </c>
      <c r="Z1093" s="14" t="str">
        <f>IFERROR(__xludf.DUMMYFUNCTION("""COMPUTED_VALUE"""),"Europe")</f>
        <v>Europe</v>
      </c>
      <c r="AA1093" s="14" t="str">
        <f>IFERROR(__xludf.DUMMYFUNCTION("""COMPUTED_VALUE"""),"2012")</f>
        <v>2012</v>
      </c>
      <c r="AB1093" s="15" t="str">
        <f>IFERROR(__xludf.DUMMYFUNCTION("ARRAYFORMULA(VLOOKUP(A1093,IMPORTRANGE(""https://docs.google.com/spreadsheets/d/1BuTWp7qHGjWhqrnf-OmePP568O4A5Am9ttzvVdP67zw/edit#gid=1931367683"" ,""ENERGY!$A$2:$F$2692""), {2,3,4,5,6},0))"),"Europe")</f>
        <v>Europe</v>
      </c>
      <c r="AC1093" s="14" t="str">
        <f>IFERROR(__xludf.DUMMYFUNCTION("""COMPUTED_VALUE"""),"Iceland-Europe")</f>
        <v>Iceland-Europe</v>
      </c>
      <c r="AD1093" s="14" t="str">
        <f>IFERROR(__xludf.DUMMYFUNCTION("""COMPUTED_VALUE"""),"2010")</f>
        <v>2010</v>
      </c>
      <c r="AE1093" s="14">
        <f>IFERROR(__xludf.DUMMYFUNCTION("""COMPUTED_VALUE"""),3100.0)</f>
        <v>3100</v>
      </c>
      <c r="AF1093" s="14">
        <f>IFERROR(__xludf.DUMMYFUNCTION("""COMPUTED_VALUE"""),2164.0)</f>
        <v>2164</v>
      </c>
    </row>
    <row r="1094">
      <c r="A1094" s="12">
        <v>1093.0</v>
      </c>
      <c r="B1094" s="12" t="s">
        <v>163</v>
      </c>
      <c r="C1094" s="5" t="s">
        <v>61</v>
      </c>
      <c r="D1094" s="8"/>
      <c r="E1094" s="8"/>
      <c r="F1094" s="8"/>
      <c r="G1094" s="8"/>
      <c r="H1094" s="11">
        <v>0.005</v>
      </c>
      <c r="I1094" s="11">
        <v>0.003</v>
      </c>
      <c r="J1094" s="9" t="s">
        <v>60</v>
      </c>
      <c r="K1094" s="14" t="str">
        <f>IFERROR(__xludf.DUMMYFUNCTION("ARRAYFORMULA(VLOOKUP(A1094,IMPORTRANGE(""https://docs.google.com/spreadsheets/d/1BuTWp7qHGjWhqrnf-OmePP568O4A5Am9ttzvVdP67zw/edit#gid=1603210130"", ""TOURISM!$A$2:$F$2692""), {2,3,4,5,6},0))"),"Asia")</f>
        <v>Asia</v>
      </c>
      <c r="L1094" s="14">
        <f>IFERROR(__xludf.DUMMYFUNCTION("""COMPUTED_VALUE"""),3.598E9)</f>
        <v>3598000000</v>
      </c>
      <c r="M1094" s="14" t="str">
        <f>IFERROR(__xludf.DUMMYFUNCTION("""COMPUTED_VALUE"""),"India-Asia")</f>
        <v>India-Asia</v>
      </c>
      <c r="N1094" s="14" t="str">
        <f>IFERROR(__xludf.DUMMYFUNCTION("""COMPUTED_VALUE"""),"2000")</f>
        <v>2000</v>
      </c>
      <c r="O1094" s="14">
        <f>IFERROR(__xludf.DUMMYFUNCTION("""COMPUTED_VALUE"""),3.686E9)</f>
        <v>3686000000</v>
      </c>
      <c r="P1094" s="15">
        <f>IFERROR(__xludf.DUMMYFUNCTION("ARRAYFORMULA(VLOOKUP(A1094,IMPORTRANGE(""https://docs.google.com/spreadsheets/d/1BuTWp7qHGjWhqrnf-OmePP568O4A5Am9ttzvVdP67zw/edit#gid=771602874"" ,""HUMAN RESOURCES!$A$2:$M$2692""), {2,3,4,5,6,7,8,9,10,11,12,13},0))"),0.026)</f>
        <v>0.026</v>
      </c>
      <c r="Q1094" s="14">
        <f>IFERROR(__xludf.DUMMYFUNCTION("""COMPUTED_VALUE"""),0.067)</f>
        <v>0.067</v>
      </c>
      <c r="R1094" s="14">
        <f>IFERROR(__xludf.DUMMYFUNCTION("""COMPUTED_VALUE"""),63.0)</f>
        <v>63</v>
      </c>
      <c r="S1094" s="14">
        <f>IFERROR(__xludf.DUMMYFUNCTION("""COMPUTED_VALUE"""),61.0)</f>
        <v>61</v>
      </c>
      <c r="T1094" s="14">
        <f>IFERROR(__xludf.DUMMYFUNCTION("""COMPUTED_VALUE"""),0.342)</f>
        <v>0.342</v>
      </c>
      <c r="U1094" s="14">
        <f>IFERROR(__xludf.DUMMYFUNCTION("""COMPUTED_VALUE"""),0.614)</f>
        <v>0.614</v>
      </c>
      <c r="V1094" s="14">
        <f>IFERROR(__xludf.DUMMYFUNCTION("""COMPUTED_VALUE"""),0.044)</f>
        <v>0.044</v>
      </c>
      <c r="W1094" s="14">
        <f>IFERROR(__xludf.DUMMYFUNCTION("""COMPUTED_VALUE"""),1.042261758E9)</f>
        <v>1042261758</v>
      </c>
      <c r="X1094" s="14">
        <f>IFERROR(__xludf.DUMMYFUNCTION("""COMPUTED_VALUE"""),0.277)</f>
        <v>0.277</v>
      </c>
      <c r="Y1094" s="14" t="str">
        <f>IFERROR(__xludf.DUMMYFUNCTION("""COMPUTED_VALUE"""),"India-Asia")</f>
        <v>India-Asia</v>
      </c>
      <c r="Z1094" s="14" t="str">
        <f>IFERROR(__xludf.DUMMYFUNCTION("""COMPUTED_VALUE"""),"Asia")</f>
        <v>Asia</v>
      </c>
      <c r="AA1094" s="14" t="str">
        <f>IFERROR(__xludf.DUMMYFUNCTION("""COMPUTED_VALUE"""),"2000")</f>
        <v>2000</v>
      </c>
      <c r="AB1094" s="15" t="str">
        <f>IFERROR(__xludf.DUMMYFUNCTION("ARRAYFORMULA(VLOOKUP(A1094,IMPORTRANGE(""https://docs.google.com/spreadsheets/d/1BuTWp7qHGjWhqrnf-OmePP568O4A5Am9ttzvVdP67zw/edit#gid=1931367683"" ,""ENERGY!$A$2:$F$2692""), {2,3,4,5,6},0))"),"Asia")</f>
        <v>Asia</v>
      </c>
      <c r="AC1094" s="14" t="str">
        <f>IFERROR(__xludf.DUMMYFUNCTION("""COMPUTED_VALUE"""),"India-Asia")</f>
        <v>India-Asia</v>
      </c>
      <c r="AD1094" s="14" t="str">
        <f>IFERROR(__xludf.DUMMYFUNCTION("""COMPUTED_VALUE"""),"2000")</f>
        <v>2000</v>
      </c>
      <c r="AE1094" s="14"/>
      <c r="AF1094" s="14"/>
    </row>
    <row r="1095">
      <c r="A1095" s="12">
        <v>1094.0</v>
      </c>
      <c r="B1095" s="12" t="s">
        <v>163</v>
      </c>
      <c r="C1095" s="5" t="s">
        <v>61</v>
      </c>
      <c r="D1095" s="8"/>
      <c r="E1095" s="8"/>
      <c r="F1095" s="8"/>
      <c r="G1095" s="8"/>
      <c r="H1095" s="11">
        <v>0.007</v>
      </c>
      <c r="I1095" s="11">
        <v>0.006</v>
      </c>
      <c r="J1095" s="9" t="s">
        <v>62</v>
      </c>
      <c r="K1095" s="14" t="str">
        <f>IFERROR(__xludf.DUMMYFUNCTION("ARRAYFORMULA(VLOOKUP(A1095,IMPORTRANGE(""https://docs.google.com/spreadsheets/d/1BuTWp7qHGjWhqrnf-OmePP568O4A5Am9ttzvVdP67zw/edit#gid=1603210130"", ""TOURISM!$A$2:$F$2692""), {2,3,4,5,6},0))"),"Asia")</f>
        <v>Asia</v>
      </c>
      <c r="L1095" s="14">
        <f>IFERROR(__xludf.DUMMYFUNCTION("""COMPUTED_VALUE"""),3.342E9)</f>
        <v>3342000000</v>
      </c>
      <c r="M1095" s="14" t="str">
        <f>IFERROR(__xludf.DUMMYFUNCTION("""COMPUTED_VALUE"""),"India-Asia")</f>
        <v>India-Asia</v>
      </c>
      <c r="N1095" s="14" t="str">
        <f>IFERROR(__xludf.DUMMYFUNCTION("""COMPUTED_VALUE"""),"2001")</f>
        <v>2001</v>
      </c>
      <c r="O1095" s="14">
        <f>IFERROR(__xludf.DUMMYFUNCTION("""COMPUTED_VALUE"""),4.367E9)</f>
        <v>4367000000</v>
      </c>
      <c r="P1095" s="15">
        <f>IFERROR(__xludf.DUMMYFUNCTION("ARRAYFORMULA(VLOOKUP(A1095,IMPORTRANGE(""https://docs.google.com/spreadsheets/d/1BuTWp7qHGjWhqrnf-OmePP568O4A5Am9ttzvVdP67zw/edit#gid=771602874"" ,""HUMAN RESOURCES!$A$2:$M$2692""), {2,3,4,5,6,7,8,9,10,11,12,13},0))"),0.025)</f>
        <v>0.025</v>
      </c>
      <c r="Q1095" s="14">
        <f>IFERROR(__xludf.DUMMYFUNCTION("""COMPUTED_VALUE"""),0.064)</f>
        <v>0.064</v>
      </c>
      <c r="R1095" s="14">
        <f>IFERROR(__xludf.DUMMYFUNCTION("""COMPUTED_VALUE"""),64.0)</f>
        <v>64</v>
      </c>
      <c r="S1095" s="14">
        <f>IFERROR(__xludf.DUMMYFUNCTION("""COMPUTED_VALUE"""),61.0)</f>
        <v>61</v>
      </c>
      <c r="T1095" s="14">
        <f>IFERROR(__xludf.DUMMYFUNCTION("""COMPUTED_VALUE"""),0.338)</f>
        <v>0.338</v>
      </c>
      <c r="U1095" s="14">
        <f>IFERROR(__xludf.DUMMYFUNCTION("""COMPUTED_VALUE"""),0.617)</f>
        <v>0.617</v>
      </c>
      <c r="V1095" s="14">
        <f>IFERROR(__xludf.DUMMYFUNCTION("""COMPUTED_VALUE"""),0.044)</f>
        <v>0.044</v>
      </c>
      <c r="W1095" s="14">
        <f>IFERROR(__xludf.DUMMYFUNCTION("""COMPUTED_VALUE"""),1.059500888E9)</f>
        <v>1059500888</v>
      </c>
      <c r="X1095" s="14">
        <f>IFERROR(__xludf.DUMMYFUNCTION("""COMPUTED_VALUE"""),0.279)</f>
        <v>0.279</v>
      </c>
      <c r="Y1095" s="14" t="str">
        <f>IFERROR(__xludf.DUMMYFUNCTION("""COMPUTED_VALUE"""),"India-Asia")</f>
        <v>India-Asia</v>
      </c>
      <c r="Z1095" s="14" t="str">
        <f>IFERROR(__xludf.DUMMYFUNCTION("""COMPUTED_VALUE"""),"Asia")</f>
        <v>Asia</v>
      </c>
      <c r="AA1095" s="14" t="str">
        <f>IFERROR(__xludf.DUMMYFUNCTION("""COMPUTED_VALUE"""),"2001")</f>
        <v>2001</v>
      </c>
      <c r="AB1095" s="15" t="str">
        <f>IFERROR(__xludf.DUMMYFUNCTION("ARRAYFORMULA(VLOOKUP(A1095,IMPORTRANGE(""https://docs.google.com/spreadsheets/d/1BuTWp7qHGjWhqrnf-OmePP568O4A5Am9ttzvVdP67zw/edit#gid=1931367683"" ,""ENERGY!$A$2:$F$2692""), {2,3,4,5,6},0))"),"Asia")</f>
        <v>Asia</v>
      </c>
      <c r="AC1095" s="14" t="str">
        <f>IFERROR(__xludf.DUMMYFUNCTION("""COMPUTED_VALUE"""),"India-Asia")</f>
        <v>India-Asia</v>
      </c>
      <c r="AD1095" s="14" t="str">
        <f>IFERROR(__xludf.DUMMYFUNCTION("""COMPUTED_VALUE"""),"2001")</f>
        <v>2001</v>
      </c>
      <c r="AE1095" s="14">
        <f>IFERROR(__xludf.DUMMYFUNCTION("""COMPUTED_VALUE"""),749447.0)</f>
        <v>749447</v>
      </c>
      <c r="AF1095" s="14"/>
    </row>
    <row r="1096">
      <c r="A1096" s="12">
        <v>1095.0</v>
      </c>
      <c r="B1096" s="12" t="s">
        <v>163</v>
      </c>
      <c r="C1096" s="5" t="s">
        <v>61</v>
      </c>
      <c r="D1096" s="8"/>
      <c r="E1096" s="8"/>
      <c r="F1096" s="8"/>
      <c r="G1096" s="8"/>
      <c r="H1096" s="11">
        <v>0.015</v>
      </c>
      <c r="I1096" s="11">
        <v>0.012</v>
      </c>
      <c r="J1096" s="9" t="s">
        <v>63</v>
      </c>
      <c r="K1096" s="14" t="str">
        <f>IFERROR(__xludf.DUMMYFUNCTION("ARRAYFORMULA(VLOOKUP(A1096,IMPORTRANGE(""https://docs.google.com/spreadsheets/d/1BuTWp7qHGjWhqrnf-OmePP568O4A5Am9ttzvVdP67zw/edit#gid=1603210130"", ""TOURISM!$A$2:$F$2692""), {2,3,4,5,6},0))"),"Asia")</f>
        <v>Asia</v>
      </c>
      <c r="L1096" s="14">
        <f>IFERROR(__xludf.DUMMYFUNCTION("""COMPUTED_VALUE"""),3.3E9)</f>
        <v>3300000000</v>
      </c>
      <c r="M1096" s="14" t="str">
        <f>IFERROR(__xludf.DUMMYFUNCTION("""COMPUTED_VALUE"""),"India-Asia")</f>
        <v>India-Asia</v>
      </c>
      <c r="N1096" s="14" t="str">
        <f>IFERROR(__xludf.DUMMYFUNCTION("""COMPUTED_VALUE"""),"2002")</f>
        <v>2002</v>
      </c>
      <c r="O1096" s="14">
        <f>IFERROR(__xludf.DUMMYFUNCTION("""COMPUTED_VALUE"""),4.35E9)</f>
        <v>4350000000</v>
      </c>
      <c r="P1096" s="15">
        <f>IFERROR(__xludf.DUMMYFUNCTION("ARRAYFORMULA(VLOOKUP(A1096,IMPORTRANGE(""https://docs.google.com/spreadsheets/d/1BuTWp7qHGjWhqrnf-OmePP568O4A5Am9ttzvVdP67zw/edit#gid=771602874"" ,""HUMAN RESOURCES!$A$2:$M$2692""), {2,3,4,5,6,7,8,9,10,11,12,13},0))"),0.025)</f>
        <v>0.025</v>
      </c>
      <c r="Q1096" s="14">
        <f>IFERROR(__xludf.DUMMYFUNCTION("""COMPUTED_VALUE"""),0.062)</f>
        <v>0.062</v>
      </c>
      <c r="R1096" s="14">
        <f>IFERROR(__xludf.DUMMYFUNCTION("""COMPUTED_VALUE"""),64.0)</f>
        <v>64</v>
      </c>
      <c r="S1096" s="14">
        <f>IFERROR(__xludf.DUMMYFUNCTION("""COMPUTED_VALUE"""),62.0)</f>
        <v>62</v>
      </c>
      <c r="T1096" s="14">
        <f>IFERROR(__xludf.DUMMYFUNCTION("""COMPUTED_VALUE"""),0.334)</f>
        <v>0.334</v>
      </c>
      <c r="U1096" s="14">
        <f>IFERROR(__xludf.DUMMYFUNCTION("""COMPUTED_VALUE"""),0.621)</f>
        <v>0.621</v>
      </c>
      <c r="V1096" s="14">
        <f>IFERROR(__xludf.DUMMYFUNCTION("""COMPUTED_VALUE"""),0.045)</f>
        <v>0.045</v>
      </c>
      <c r="W1096" s="14">
        <f>IFERROR(__xludf.DUMMYFUNCTION("""COMPUTED_VALUE"""),1.076705723E9)</f>
        <v>1076705723</v>
      </c>
      <c r="X1096" s="14">
        <f>IFERROR(__xludf.DUMMYFUNCTION("""COMPUTED_VALUE"""),0.282)</f>
        <v>0.282</v>
      </c>
      <c r="Y1096" s="14" t="str">
        <f>IFERROR(__xludf.DUMMYFUNCTION("""COMPUTED_VALUE"""),"India-Asia")</f>
        <v>India-Asia</v>
      </c>
      <c r="Z1096" s="14" t="str">
        <f>IFERROR(__xludf.DUMMYFUNCTION("""COMPUTED_VALUE"""),"Asia")</f>
        <v>Asia</v>
      </c>
      <c r="AA1096" s="14" t="str">
        <f>IFERROR(__xludf.DUMMYFUNCTION("""COMPUTED_VALUE"""),"2002")</f>
        <v>2002</v>
      </c>
      <c r="AB1096" s="15" t="str">
        <f>IFERROR(__xludf.DUMMYFUNCTION("ARRAYFORMULA(VLOOKUP(A1096,IMPORTRANGE(""https://docs.google.com/spreadsheets/d/1BuTWp7qHGjWhqrnf-OmePP568O4A5Am9ttzvVdP67zw/edit#gid=1931367683"" ,""ENERGY!$A$2:$F$2692""), {2,3,4,5,6},0))"),"Asia")</f>
        <v>Asia</v>
      </c>
      <c r="AC1096" s="14" t="str">
        <f>IFERROR(__xludf.DUMMYFUNCTION("""COMPUTED_VALUE"""),"India-Asia")</f>
        <v>India-Asia</v>
      </c>
      <c r="AD1096" s="14" t="str">
        <f>IFERROR(__xludf.DUMMYFUNCTION("""COMPUTED_VALUE"""),"2002")</f>
        <v>2002</v>
      </c>
      <c r="AE1096" s="14">
        <f>IFERROR(__xludf.DUMMYFUNCTION("""COMPUTED_VALUE"""),723743.0)</f>
        <v>723743</v>
      </c>
      <c r="AF1096" s="14">
        <f>IFERROR(__xludf.DUMMYFUNCTION("""COMPUTED_VALUE"""),2008823.0)</f>
        <v>2008823</v>
      </c>
    </row>
    <row r="1097">
      <c r="A1097" s="12">
        <v>1096.0</v>
      </c>
      <c r="B1097" s="12" t="s">
        <v>163</v>
      </c>
      <c r="C1097" s="5" t="s">
        <v>61</v>
      </c>
      <c r="D1097" s="8"/>
      <c r="E1097" s="11">
        <v>89.0</v>
      </c>
      <c r="F1097" s="8"/>
      <c r="G1097" s="8"/>
      <c r="H1097" s="11">
        <v>0.017</v>
      </c>
      <c r="I1097" s="11">
        <v>0.031</v>
      </c>
      <c r="J1097" s="9" t="s">
        <v>64</v>
      </c>
      <c r="K1097" s="14" t="str">
        <f>IFERROR(__xludf.DUMMYFUNCTION("ARRAYFORMULA(VLOOKUP(A1097,IMPORTRANGE(""https://docs.google.com/spreadsheets/d/1BuTWp7qHGjWhqrnf-OmePP568O4A5Am9ttzvVdP67zw/edit#gid=1603210130"", ""TOURISM!$A$2:$F$2692""), {2,3,4,5,6},0))"),"Asia")</f>
        <v>Asia</v>
      </c>
      <c r="L1097" s="14">
        <f>IFERROR(__xludf.DUMMYFUNCTION("""COMPUTED_VALUE"""),4.56E9)</f>
        <v>4560000000</v>
      </c>
      <c r="M1097" s="14" t="str">
        <f>IFERROR(__xludf.DUMMYFUNCTION("""COMPUTED_VALUE"""),"India-Asia")</f>
        <v>India-Asia</v>
      </c>
      <c r="N1097" s="14" t="str">
        <f>IFERROR(__xludf.DUMMYFUNCTION("""COMPUTED_VALUE"""),"2003")</f>
        <v>2003</v>
      </c>
      <c r="O1097" s="14">
        <f>IFERROR(__xludf.DUMMYFUNCTION("""COMPUTED_VALUE"""),4.385E9)</f>
        <v>4385000000</v>
      </c>
      <c r="P1097" s="15">
        <f>IFERROR(__xludf.DUMMYFUNCTION("ARRAYFORMULA(VLOOKUP(A1097,IMPORTRANGE(""https://docs.google.com/spreadsheets/d/1BuTWp7qHGjWhqrnf-OmePP568O4A5Am9ttzvVdP67zw/edit#gid=771602874"" ,""HUMAN RESOURCES!$A$2:$M$2692""), {2,3,4,5,6,7,8,9,10,11,12,13},0))"),0.024)</f>
        <v>0.024</v>
      </c>
      <c r="Q1097" s="14">
        <f>IFERROR(__xludf.DUMMYFUNCTION("""COMPUTED_VALUE"""),0.06)</f>
        <v>0.06</v>
      </c>
      <c r="R1097" s="14">
        <f>IFERROR(__xludf.DUMMYFUNCTION("""COMPUTED_VALUE"""),65.0)</f>
        <v>65</v>
      </c>
      <c r="S1097" s="14">
        <f>IFERROR(__xludf.DUMMYFUNCTION("""COMPUTED_VALUE"""),62.0)</f>
        <v>62</v>
      </c>
      <c r="T1097" s="14">
        <f>IFERROR(__xludf.DUMMYFUNCTION("""COMPUTED_VALUE"""),0.33)</f>
        <v>0.33</v>
      </c>
      <c r="U1097" s="14">
        <f>IFERROR(__xludf.DUMMYFUNCTION("""COMPUTED_VALUE"""),0.624)</f>
        <v>0.624</v>
      </c>
      <c r="V1097" s="14">
        <f>IFERROR(__xludf.DUMMYFUNCTION("""COMPUTED_VALUE"""),0.046)</f>
        <v>0.046</v>
      </c>
      <c r="W1097" s="14">
        <f>IFERROR(__xludf.DUMMYFUNCTION("""COMPUTED_VALUE"""),1.093786762E9)</f>
        <v>1093786762</v>
      </c>
      <c r="X1097" s="14">
        <f>IFERROR(__xludf.DUMMYFUNCTION("""COMPUTED_VALUE"""),0.286)</f>
        <v>0.286</v>
      </c>
      <c r="Y1097" s="14" t="str">
        <f>IFERROR(__xludf.DUMMYFUNCTION("""COMPUTED_VALUE"""),"India-Asia")</f>
        <v>India-Asia</v>
      </c>
      <c r="Z1097" s="14" t="str">
        <f>IFERROR(__xludf.DUMMYFUNCTION("""COMPUTED_VALUE"""),"Asia")</f>
        <v>Asia</v>
      </c>
      <c r="AA1097" s="14" t="str">
        <f>IFERROR(__xludf.DUMMYFUNCTION("""COMPUTED_VALUE"""),"2003")</f>
        <v>2003</v>
      </c>
      <c r="AB1097" s="15" t="str">
        <f>IFERROR(__xludf.DUMMYFUNCTION("ARRAYFORMULA(VLOOKUP(A1097,IMPORTRANGE(""https://docs.google.com/spreadsheets/d/1BuTWp7qHGjWhqrnf-OmePP568O4A5Am9ttzvVdP67zw/edit#gid=1931367683"" ,""ENERGY!$A$2:$F$2692""), {2,3,4,5,6},0))"),"Asia")</f>
        <v>Asia</v>
      </c>
      <c r="AC1097" s="14" t="str">
        <f>IFERROR(__xludf.DUMMYFUNCTION("""COMPUTED_VALUE"""),"India-Asia")</f>
        <v>India-Asia</v>
      </c>
      <c r="AD1097" s="14" t="str">
        <f>IFERROR(__xludf.DUMMYFUNCTION("""COMPUTED_VALUE"""),"2003")</f>
        <v>2003</v>
      </c>
      <c r="AE1097" s="14">
        <f>IFERROR(__xludf.DUMMYFUNCTION("""COMPUTED_VALUE"""),698360.0)</f>
        <v>698360</v>
      </c>
      <c r="AF1097" s="14">
        <f>IFERROR(__xludf.DUMMYFUNCTION("""COMPUTED_VALUE"""),1982263.0)</f>
        <v>1982263</v>
      </c>
    </row>
    <row r="1098">
      <c r="A1098" s="12">
        <v>1097.0</v>
      </c>
      <c r="B1098" s="12" t="s">
        <v>163</v>
      </c>
      <c r="C1098" s="5" t="s">
        <v>61</v>
      </c>
      <c r="D1098" s="8"/>
      <c r="E1098" s="11">
        <v>89.0</v>
      </c>
      <c r="F1098" s="8"/>
      <c r="G1098" s="8"/>
      <c r="H1098" s="11">
        <v>0.02</v>
      </c>
      <c r="I1098" s="11">
        <v>0.047</v>
      </c>
      <c r="J1098" s="9" t="s">
        <v>65</v>
      </c>
      <c r="K1098" s="14" t="str">
        <f>IFERROR(__xludf.DUMMYFUNCTION("ARRAYFORMULA(VLOOKUP(A1098,IMPORTRANGE(""https://docs.google.com/spreadsheets/d/1BuTWp7qHGjWhqrnf-OmePP568O4A5Am9ttzvVdP67zw/edit#gid=1603210130"", ""TOURISM!$A$2:$F$2692""), {2,3,4,5,6},0))"),"Asia")</f>
        <v>Asia</v>
      </c>
      <c r="L1098" s="14">
        <f>IFERROR(__xludf.DUMMYFUNCTION("""COMPUTED_VALUE"""),6.307E9)</f>
        <v>6307000000</v>
      </c>
      <c r="M1098" s="14" t="str">
        <f>IFERROR(__xludf.DUMMYFUNCTION("""COMPUTED_VALUE"""),"India-Asia")</f>
        <v>India-Asia</v>
      </c>
      <c r="N1098" s="14" t="str">
        <f>IFERROR(__xludf.DUMMYFUNCTION("""COMPUTED_VALUE"""),"2004")</f>
        <v>2004</v>
      </c>
      <c r="O1098" s="14">
        <f>IFERROR(__xludf.DUMMYFUNCTION("""COMPUTED_VALUE"""),5.783E9)</f>
        <v>5783000000</v>
      </c>
      <c r="P1098" s="15">
        <f>IFERROR(__xludf.DUMMYFUNCTION("ARRAYFORMULA(VLOOKUP(A1098,IMPORTRANGE(""https://docs.google.com/spreadsheets/d/1BuTWp7qHGjWhqrnf-OmePP568O4A5Am9ttzvVdP67zw/edit#gid=771602874"" ,""HUMAN RESOURCES!$A$2:$M$2692""), {2,3,4,5,6,7,8,9,10,11,12,13},0))"),0.024)</f>
        <v>0.024</v>
      </c>
      <c r="Q1098" s="14">
        <f>IFERROR(__xludf.DUMMYFUNCTION("""COMPUTED_VALUE"""),0.058)</f>
        <v>0.058</v>
      </c>
      <c r="R1098" s="14">
        <f>IFERROR(__xludf.DUMMYFUNCTION("""COMPUTED_VALUE"""),65.0)</f>
        <v>65</v>
      </c>
      <c r="S1098" s="14">
        <f>IFERROR(__xludf.DUMMYFUNCTION("""COMPUTED_VALUE"""),62.0)</f>
        <v>62</v>
      </c>
      <c r="T1098" s="14">
        <f>IFERROR(__xludf.DUMMYFUNCTION("""COMPUTED_VALUE"""),0.326)</f>
        <v>0.326</v>
      </c>
      <c r="U1098" s="14">
        <f>IFERROR(__xludf.DUMMYFUNCTION("""COMPUTED_VALUE"""),0.627)</f>
        <v>0.627</v>
      </c>
      <c r="V1098" s="14">
        <f>IFERROR(__xludf.DUMMYFUNCTION("""COMPUTED_VALUE"""),0.046)</f>
        <v>0.046</v>
      </c>
      <c r="W1098" s="14">
        <f>IFERROR(__xludf.DUMMYFUNCTION("""COMPUTED_VALUE"""),1.110626108E9)</f>
        <v>1110626108</v>
      </c>
      <c r="X1098" s="14">
        <f>IFERROR(__xludf.DUMMYFUNCTION("""COMPUTED_VALUE"""),0.289)</f>
        <v>0.289</v>
      </c>
      <c r="Y1098" s="14" t="str">
        <f>IFERROR(__xludf.DUMMYFUNCTION("""COMPUTED_VALUE"""),"India-Asia")</f>
        <v>India-Asia</v>
      </c>
      <c r="Z1098" s="14" t="str">
        <f>IFERROR(__xludf.DUMMYFUNCTION("""COMPUTED_VALUE"""),"Asia")</f>
        <v>Asia</v>
      </c>
      <c r="AA1098" s="14" t="str">
        <f>IFERROR(__xludf.DUMMYFUNCTION("""COMPUTED_VALUE"""),"2004")</f>
        <v>2004</v>
      </c>
      <c r="AB1098" s="15" t="str">
        <f>IFERROR(__xludf.DUMMYFUNCTION("ARRAYFORMULA(VLOOKUP(A1098,IMPORTRANGE(""https://docs.google.com/spreadsheets/d/1BuTWp7qHGjWhqrnf-OmePP568O4A5Am9ttzvVdP67zw/edit#gid=1931367683"" ,""ENERGY!$A$2:$F$2692""), {2,3,4,5,6},0))"),"Asia")</f>
        <v>Asia</v>
      </c>
      <c r="AC1098" s="14" t="str">
        <f>IFERROR(__xludf.DUMMYFUNCTION("""COMPUTED_VALUE"""),"India-Asia")</f>
        <v>India-Asia</v>
      </c>
      <c r="AD1098" s="14" t="str">
        <f>IFERROR(__xludf.DUMMYFUNCTION("""COMPUTED_VALUE"""),"2004")</f>
        <v>2004</v>
      </c>
      <c r="AE1098" s="14">
        <f>IFERROR(__xludf.DUMMYFUNCTION("""COMPUTED_VALUE"""),632956.0)</f>
        <v>632956</v>
      </c>
      <c r="AF1098" s="14">
        <f>IFERROR(__xludf.DUMMYFUNCTION("""COMPUTED_VALUE"""),1811289.0)</f>
        <v>1811289</v>
      </c>
    </row>
    <row r="1099">
      <c r="A1099" s="12">
        <v>1098.0</v>
      </c>
      <c r="B1099" s="12" t="s">
        <v>163</v>
      </c>
      <c r="C1099" s="5" t="s">
        <v>61</v>
      </c>
      <c r="D1099" s="11">
        <v>0.666</v>
      </c>
      <c r="E1099" s="11">
        <v>71.0</v>
      </c>
      <c r="F1099" s="8"/>
      <c r="G1099" s="11">
        <v>264.0</v>
      </c>
      <c r="H1099" s="11">
        <v>0.024</v>
      </c>
      <c r="I1099" s="11">
        <v>0.08</v>
      </c>
      <c r="J1099" s="9" t="s">
        <v>66</v>
      </c>
      <c r="K1099" s="14" t="str">
        <f>IFERROR(__xludf.DUMMYFUNCTION("ARRAYFORMULA(VLOOKUP(A1099,IMPORTRANGE(""https://docs.google.com/spreadsheets/d/1BuTWp7qHGjWhqrnf-OmePP568O4A5Am9ttzvVdP67zw/edit#gid=1603210130"", ""TOURISM!$A$2:$F$2692""), {2,3,4,5,6},0))"),"Asia")</f>
        <v>Asia</v>
      </c>
      <c r="L1099" s="14">
        <f>IFERROR(__xludf.DUMMYFUNCTION("""COMPUTED_VALUE"""),7.659E9)</f>
        <v>7659000000</v>
      </c>
      <c r="M1099" s="14" t="str">
        <f>IFERROR(__xludf.DUMMYFUNCTION("""COMPUTED_VALUE"""),"India-Asia")</f>
        <v>India-Asia</v>
      </c>
      <c r="N1099" s="14" t="str">
        <f>IFERROR(__xludf.DUMMYFUNCTION("""COMPUTED_VALUE"""),"2005")</f>
        <v>2005</v>
      </c>
      <c r="O1099" s="14">
        <f>IFERROR(__xludf.DUMMYFUNCTION("""COMPUTED_VALUE"""),8.277E9)</f>
        <v>8277000000</v>
      </c>
      <c r="P1099" s="15">
        <f>IFERROR(__xludf.DUMMYFUNCTION("ARRAYFORMULA(VLOOKUP(A1099,IMPORTRANGE(""https://docs.google.com/spreadsheets/d/1BuTWp7qHGjWhqrnf-OmePP568O4A5Am9ttzvVdP67zw/edit#gid=771602874"" ,""HUMAN RESOURCES!$A$2:$M$2692""), {2,3,4,5,6,7,8,9,10,11,12,13},0))"),0.023)</f>
        <v>0.023</v>
      </c>
      <c r="Q1099" s="14">
        <f>IFERROR(__xludf.DUMMYFUNCTION("""COMPUTED_VALUE"""),0.056)</f>
        <v>0.056</v>
      </c>
      <c r="R1099" s="14">
        <f>IFERROR(__xludf.DUMMYFUNCTION("""COMPUTED_VALUE"""),66.0)</f>
        <v>66</v>
      </c>
      <c r="S1099" s="14">
        <f>IFERROR(__xludf.DUMMYFUNCTION("""COMPUTED_VALUE"""),63.0)</f>
        <v>63</v>
      </c>
      <c r="T1099" s="14">
        <f>IFERROR(__xludf.DUMMYFUNCTION("""COMPUTED_VALUE"""),0.322)</f>
        <v>0.322</v>
      </c>
      <c r="U1099" s="14">
        <f>IFERROR(__xludf.DUMMYFUNCTION("""COMPUTED_VALUE"""),0.631)</f>
        <v>0.631</v>
      </c>
      <c r="V1099" s="14">
        <f>IFERROR(__xludf.DUMMYFUNCTION("""COMPUTED_VALUE"""),0.047)</f>
        <v>0.047</v>
      </c>
      <c r="W1099" s="14">
        <f>IFERROR(__xludf.DUMMYFUNCTION("""COMPUTED_VALUE"""),1.127143548E9)</f>
        <v>1127143548</v>
      </c>
      <c r="X1099" s="14">
        <f>IFERROR(__xludf.DUMMYFUNCTION("""COMPUTED_VALUE"""),0.292)</f>
        <v>0.292</v>
      </c>
      <c r="Y1099" s="14" t="str">
        <f>IFERROR(__xludf.DUMMYFUNCTION("""COMPUTED_VALUE"""),"India-Asia")</f>
        <v>India-Asia</v>
      </c>
      <c r="Z1099" s="14" t="str">
        <f>IFERROR(__xludf.DUMMYFUNCTION("""COMPUTED_VALUE"""),"Asia")</f>
        <v>Asia</v>
      </c>
      <c r="AA1099" s="14" t="str">
        <f>IFERROR(__xludf.DUMMYFUNCTION("""COMPUTED_VALUE"""),"2005")</f>
        <v>2005</v>
      </c>
      <c r="AB1099" s="15" t="str">
        <f>IFERROR(__xludf.DUMMYFUNCTION("ARRAYFORMULA(VLOOKUP(A1099,IMPORTRANGE(""https://docs.google.com/spreadsheets/d/1BuTWp7qHGjWhqrnf-OmePP568O4A5Am9ttzvVdP67zw/edit#gid=1931367683"" ,""ENERGY!$A$2:$F$2692""), {2,3,4,5,6},0))"),"Asia")</f>
        <v>Asia</v>
      </c>
      <c r="AC1099" s="14" t="str">
        <f>IFERROR(__xludf.DUMMYFUNCTION("""COMPUTED_VALUE"""),"India-Asia")</f>
        <v>India-Asia</v>
      </c>
      <c r="AD1099" s="14" t="str">
        <f>IFERROR(__xludf.DUMMYFUNCTION("""COMPUTED_VALUE"""),"2007")</f>
        <v>2007</v>
      </c>
      <c r="AE1099" s="14">
        <f>IFERROR(__xludf.DUMMYFUNCTION("""COMPUTED_VALUE"""),604659.0)</f>
        <v>604659</v>
      </c>
      <c r="AF1099" s="14">
        <f>IFERROR(__xludf.DUMMYFUNCTION("""COMPUTED_VALUE"""),1611404.0)</f>
        <v>1611404</v>
      </c>
    </row>
    <row r="1100">
      <c r="A1100" s="12">
        <v>1099.0</v>
      </c>
      <c r="B1100" s="12" t="s">
        <v>163</v>
      </c>
      <c r="C1100" s="5" t="s">
        <v>61</v>
      </c>
      <c r="D1100" s="11">
        <v>0.74</v>
      </c>
      <c r="E1100" s="11">
        <v>35.0</v>
      </c>
      <c r="F1100" s="8"/>
      <c r="G1100" s="11">
        <v>264.0</v>
      </c>
      <c r="H1100" s="11">
        <v>0.028</v>
      </c>
      <c r="I1100" s="11">
        <v>0.145</v>
      </c>
      <c r="J1100" s="9" t="s">
        <v>67</v>
      </c>
      <c r="K1100" s="14" t="str">
        <f>IFERROR(__xludf.DUMMYFUNCTION("ARRAYFORMULA(VLOOKUP(A1100,IMPORTRANGE(""https://docs.google.com/spreadsheets/d/1BuTWp7qHGjWhqrnf-OmePP568O4A5Am9ttzvVdP67zw/edit#gid=1603210130"", ""TOURISM!$A$2:$F$2692""), {2,3,4,5,6},0))"),"Asia")</f>
        <v>Asia</v>
      </c>
      <c r="L1100" s="14">
        <f>IFERROR(__xludf.DUMMYFUNCTION("""COMPUTED_VALUE"""),8.915E9)</f>
        <v>8915000000</v>
      </c>
      <c r="M1100" s="14" t="str">
        <f>IFERROR(__xludf.DUMMYFUNCTION("""COMPUTED_VALUE"""),"India-Asia")</f>
        <v>India-Asia</v>
      </c>
      <c r="N1100" s="14" t="str">
        <f>IFERROR(__xludf.DUMMYFUNCTION("""COMPUTED_VALUE"""),"2006")</f>
        <v>2006</v>
      </c>
      <c r="O1100" s="14">
        <f>IFERROR(__xludf.DUMMYFUNCTION("""COMPUTED_VALUE"""),8.738E9)</f>
        <v>8738000000</v>
      </c>
      <c r="P1100" s="15">
        <f>IFERROR(__xludf.DUMMYFUNCTION("ARRAYFORMULA(VLOOKUP(A1100,IMPORTRANGE(""https://docs.google.com/spreadsheets/d/1BuTWp7qHGjWhqrnf-OmePP568O4A5Am9ttzvVdP67zw/edit#gid=771602874"" ,""HUMAN RESOURCES!$A$2:$M$2692""), {2,3,4,5,6,7,8,9,10,11,12,13},0))"),0.023)</f>
        <v>0.023</v>
      </c>
      <c r="Q1100" s="14">
        <f>IFERROR(__xludf.DUMMYFUNCTION("""COMPUTED_VALUE"""),0.054)</f>
        <v>0.054</v>
      </c>
      <c r="R1100" s="14">
        <f>IFERROR(__xludf.DUMMYFUNCTION("""COMPUTED_VALUE"""),66.0)</f>
        <v>66</v>
      </c>
      <c r="S1100" s="14">
        <f>IFERROR(__xludf.DUMMYFUNCTION("""COMPUTED_VALUE"""),63.0)</f>
        <v>63</v>
      </c>
      <c r="T1100" s="14">
        <f>IFERROR(__xludf.DUMMYFUNCTION("""COMPUTED_VALUE"""),0.318)</f>
        <v>0.318</v>
      </c>
      <c r="U1100" s="14">
        <f>IFERROR(__xludf.DUMMYFUNCTION("""COMPUTED_VALUE"""),0.634)</f>
        <v>0.634</v>
      </c>
      <c r="V1100" s="14">
        <f>IFERROR(__xludf.DUMMYFUNCTION("""COMPUTED_VALUE"""),0.048)</f>
        <v>0.048</v>
      </c>
      <c r="W1100" s="14">
        <f>IFERROR(__xludf.DUMMYFUNCTION("""COMPUTED_VALUE"""),1.14328935E9)</f>
        <v>1143289350</v>
      </c>
      <c r="X1100" s="14">
        <f>IFERROR(__xludf.DUMMYFUNCTION("""COMPUTED_VALUE"""),0.296)</f>
        <v>0.296</v>
      </c>
      <c r="Y1100" s="14" t="str">
        <f>IFERROR(__xludf.DUMMYFUNCTION("""COMPUTED_VALUE"""),"India-Asia")</f>
        <v>India-Asia</v>
      </c>
      <c r="Z1100" s="14" t="str">
        <f>IFERROR(__xludf.DUMMYFUNCTION("""COMPUTED_VALUE"""),"Asia")</f>
        <v>Asia</v>
      </c>
      <c r="AA1100" s="14" t="str">
        <f>IFERROR(__xludf.DUMMYFUNCTION("""COMPUTED_VALUE"""),"2006")</f>
        <v>2006</v>
      </c>
      <c r="AB1100" s="15" t="str">
        <f>IFERROR(__xludf.DUMMYFUNCTION("ARRAYFORMULA(VLOOKUP(A1100,IMPORTRANGE(""https://docs.google.com/spreadsheets/d/1BuTWp7qHGjWhqrnf-OmePP568O4A5Am9ttzvVdP67zw/edit#gid=1931367683"" ,""ENERGY!$A$2:$F$2692""), {2,3,4,5,6},0))"),"Asia")</f>
        <v>Asia</v>
      </c>
      <c r="AC1100" s="14" t="str">
        <f>IFERROR(__xludf.DUMMYFUNCTION("""COMPUTED_VALUE"""),"India-Asia")</f>
        <v>India-Asia</v>
      </c>
      <c r="AD1100" s="14" t="str">
        <f>IFERROR(__xludf.DUMMYFUNCTION("""COMPUTED_VALUE"""),"2011")</f>
        <v>2011</v>
      </c>
      <c r="AE1100" s="14">
        <f>IFERROR(__xludf.DUMMYFUNCTION("""COMPUTED_VALUE"""),567182.0)</f>
        <v>567182</v>
      </c>
      <c r="AF1100" s="14">
        <f>IFERROR(__xludf.DUMMYFUNCTION("""COMPUTED_VALUE"""),1504365.0)</f>
        <v>1504365</v>
      </c>
    </row>
    <row r="1101">
      <c r="A1101" s="12">
        <v>1100.0</v>
      </c>
      <c r="B1101" s="12" t="s">
        <v>163</v>
      </c>
      <c r="C1101" s="5" t="s">
        <v>61</v>
      </c>
      <c r="D1101" s="11">
        <v>0.727</v>
      </c>
      <c r="E1101" s="11">
        <v>33.0</v>
      </c>
      <c r="F1101" s="8"/>
      <c r="G1101" s="11">
        <v>271.0</v>
      </c>
      <c r="H1101" s="11">
        <v>0.04</v>
      </c>
      <c r="I1101" s="11">
        <v>0.202</v>
      </c>
      <c r="J1101" s="9" t="s">
        <v>68</v>
      </c>
      <c r="K1101" s="14" t="str">
        <f>IFERROR(__xludf.DUMMYFUNCTION("ARRAYFORMULA(VLOOKUP(A1101,IMPORTRANGE(""https://docs.google.com/spreadsheets/d/1BuTWp7qHGjWhqrnf-OmePP568O4A5Am9ttzvVdP67zw/edit#gid=1603210130"", ""TOURISM!$A$2:$F$2692""), {2,3,4,5,6},0))"),"Asia")</f>
        <v>Asia</v>
      </c>
      <c r="L1101" s="14">
        <f>IFERROR(__xludf.DUMMYFUNCTION("""COMPUTED_VALUE"""),1.1234E10)</f>
        <v>11234000000</v>
      </c>
      <c r="M1101" s="14" t="str">
        <f>IFERROR(__xludf.DUMMYFUNCTION("""COMPUTED_VALUE"""),"India-Asia")</f>
        <v>India-Asia</v>
      </c>
      <c r="N1101" s="14" t="str">
        <f>IFERROR(__xludf.DUMMYFUNCTION("""COMPUTED_VALUE"""),"2007")</f>
        <v>2007</v>
      </c>
      <c r="O1101" s="14">
        <f>IFERROR(__xludf.DUMMYFUNCTION("""COMPUTED_VALUE"""),1.069E10)</f>
        <v>10690000000</v>
      </c>
      <c r="P1101" s="15">
        <f>IFERROR(__xludf.DUMMYFUNCTION("ARRAYFORMULA(VLOOKUP(A1101,IMPORTRANGE(""https://docs.google.com/spreadsheets/d/1BuTWp7qHGjWhqrnf-OmePP568O4A5Am9ttzvVdP67zw/edit#gid=771602874"" ,""HUMAN RESOURCES!$A$2:$M$2692""), {2,3,4,5,6,7,8,9,10,11,12,13},0))"),0.022)</f>
        <v>0.022</v>
      </c>
      <c r="Q1101" s="14">
        <f>IFERROR(__xludf.DUMMYFUNCTION("""COMPUTED_VALUE"""),0.052)</f>
        <v>0.052</v>
      </c>
      <c r="R1101" s="14">
        <f>IFERROR(__xludf.DUMMYFUNCTION("""COMPUTED_VALUE"""),66.0)</f>
        <v>66</v>
      </c>
      <c r="S1101" s="14">
        <f>IFERROR(__xludf.DUMMYFUNCTION("""COMPUTED_VALUE"""),63.0)</f>
        <v>63</v>
      </c>
      <c r="T1101" s="14">
        <f>IFERROR(__xludf.DUMMYFUNCTION("""COMPUTED_VALUE"""),0.314)</f>
        <v>0.314</v>
      </c>
      <c r="U1101" s="14">
        <f>IFERROR(__xludf.DUMMYFUNCTION("""COMPUTED_VALUE"""),0.638)</f>
        <v>0.638</v>
      </c>
      <c r="V1101" s="14">
        <f>IFERROR(__xludf.DUMMYFUNCTION("""COMPUTED_VALUE"""),0.049)</f>
        <v>0.049</v>
      </c>
      <c r="W1101" s="14">
        <f>IFERROR(__xludf.DUMMYFUNCTION("""COMPUTED_VALUE"""),1.15909525E9)</f>
        <v>1159095250</v>
      </c>
      <c r="X1101" s="14">
        <f>IFERROR(__xludf.DUMMYFUNCTION("""COMPUTED_VALUE"""),0.299)</f>
        <v>0.299</v>
      </c>
      <c r="Y1101" s="14" t="str">
        <f>IFERROR(__xludf.DUMMYFUNCTION("""COMPUTED_VALUE"""),"India-Asia")</f>
        <v>India-Asia</v>
      </c>
      <c r="Z1101" s="14" t="str">
        <f>IFERROR(__xludf.DUMMYFUNCTION("""COMPUTED_VALUE"""),"Asia")</f>
        <v>Asia</v>
      </c>
      <c r="AA1101" s="14" t="str">
        <f>IFERROR(__xludf.DUMMYFUNCTION("""COMPUTED_VALUE"""),"2007")</f>
        <v>2007</v>
      </c>
      <c r="AB1101" s="15" t="str">
        <f>IFERROR(__xludf.DUMMYFUNCTION("ARRAYFORMULA(VLOOKUP(A1101,IMPORTRANGE(""https://docs.google.com/spreadsheets/d/1BuTWp7qHGjWhqrnf-OmePP568O4A5Am9ttzvVdP67zw/edit#gid=1931367683"" ,""ENERGY!$A$2:$F$2692""), {2,3,4,5,6},0))"),"Asia")</f>
        <v>Asia</v>
      </c>
      <c r="AC1101" s="14" t="str">
        <f>IFERROR(__xludf.DUMMYFUNCTION("""COMPUTED_VALUE"""),"India-Asia")</f>
        <v>India-Asia</v>
      </c>
      <c r="AD1101" s="14" t="str">
        <f>IFERROR(__xludf.DUMMYFUNCTION("""COMPUTED_VALUE"""),"2008")</f>
        <v>2008</v>
      </c>
      <c r="AE1101" s="14">
        <f>IFERROR(__xludf.DUMMYFUNCTION("""COMPUTED_VALUE"""),539388.0)</f>
        <v>539388</v>
      </c>
      <c r="AF1101" s="14">
        <f>IFERROR(__xludf.DUMMYFUNCTION("""COMPUTED_VALUE"""),1411128.0)</f>
        <v>1411128</v>
      </c>
    </row>
    <row r="1102">
      <c r="A1102" s="12">
        <v>1101.0</v>
      </c>
      <c r="B1102" s="12" t="s">
        <v>163</v>
      </c>
      <c r="C1102" s="5" t="s">
        <v>61</v>
      </c>
      <c r="D1102" s="11">
        <v>0.703</v>
      </c>
      <c r="E1102" s="11">
        <v>30.0</v>
      </c>
      <c r="F1102" s="8"/>
      <c r="G1102" s="11">
        <v>271.0</v>
      </c>
      <c r="H1102" s="11">
        <v>0.044</v>
      </c>
      <c r="I1102" s="11">
        <v>0.295</v>
      </c>
      <c r="J1102" s="9" t="s">
        <v>69</v>
      </c>
      <c r="K1102" s="14" t="str">
        <f>IFERROR(__xludf.DUMMYFUNCTION("ARRAYFORMULA(VLOOKUP(A1102,IMPORTRANGE(""https://docs.google.com/spreadsheets/d/1BuTWp7qHGjWhqrnf-OmePP568O4A5Am9ttzvVdP67zw/edit#gid=1603210130"", ""TOURISM!$A$2:$F$2692""), {2,3,4,5,6},0))"),"Asia")</f>
        <v>Asia</v>
      </c>
      <c r="L1102" s="14">
        <f>IFERROR(__xludf.DUMMYFUNCTION("""COMPUTED_VALUE"""),1.2462E10)</f>
        <v>12462000000</v>
      </c>
      <c r="M1102" s="14" t="str">
        <f>IFERROR(__xludf.DUMMYFUNCTION("""COMPUTED_VALUE"""),"India-Asia")</f>
        <v>India-Asia</v>
      </c>
      <c r="N1102" s="14" t="str">
        <f>IFERROR(__xludf.DUMMYFUNCTION("""COMPUTED_VALUE"""),"2008")</f>
        <v>2008</v>
      </c>
      <c r="O1102" s="14">
        <f>IFERROR(__xludf.DUMMYFUNCTION("""COMPUTED_VALUE"""),1.2083E10)</f>
        <v>12083000000</v>
      </c>
      <c r="P1102" s="15">
        <f>IFERROR(__xludf.DUMMYFUNCTION("ARRAYFORMULA(VLOOKUP(A1102,IMPORTRANGE(""https://docs.google.com/spreadsheets/d/1BuTWp7qHGjWhqrnf-OmePP568O4A5Am9ttzvVdP67zw/edit#gid=771602874"" ,""HUMAN RESOURCES!$A$2:$M$2692""), {2,3,4,5,6,7,8,9,10,11,12,13},0))"),0.022)</f>
        <v>0.022</v>
      </c>
      <c r="Q1102" s="14">
        <f>IFERROR(__xludf.DUMMYFUNCTION("""COMPUTED_VALUE"""),0.05)</f>
        <v>0.05</v>
      </c>
      <c r="R1102" s="14">
        <f>IFERROR(__xludf.DUMMYFUNCTION("""COMPUTED_VALUE"""),67.0)</f>
        <v>67</v>
      </c>
      <c r="S1102" s="14">
        <f>IFERROR(__xludf.DUMMYFUNCTION("""COMPUTED_VALUE"""),63.0)</f>
        <v>63</v>
      </c>
      <c r="T1102" s="14">
        <f>IFERROR(__xludf.DUMMYFUNCTION("""COMPUTED_VALUE"""),0.31)</f>
        <v>0.31</v>
      </c>
      <c r="U1102" s="14">
        <f>IFERROR(__xludf.DUMMYFUNCTION("""COMPUTED_VALUE"""),0.641)</f>
        <v>0.641</v>
      </c>
      <c r="V1102" s="14">
        <f>IFERROR(__xludf.DUMMYFUNCTION("""COMPUTED_VALUE"""),0.049)</f>
        <v>0.049</v>
      </c>
      <c r="W1102" s="14">
        <f>IFERROR(__xludf.DUMMYFUNCTION("""COMPUTED_VALUE"""),1.174662334E9)</f>
        <v>1174662334</v>
      </c>
      <c r="X1102" s="14">
        <f>IFERROR(__xludf.DUMMYFUNCTION("""COMPUTED_VALUE"""),0.302)</f>
        <v>0.302</v>
      </c>
      <c r="Y1102" s="14" t="str">
        <f>IFERROR(__xludf.DUMMYFUNCTION("""COMPUTED_VALUE"""),"India-Asia")</f>
        <v>India-Asia</v>
      </c>
      <c r="Z1102" s="14" t="str">
        <f>IFERROR(__xludf.DUMMYFUNCTION("""COMPUTED_VALUE"""),"Asia")</f>
        <v>Asia</v>
      </c>
      <c r="AA1102" s="14" t="str">
        <f>IFERROR(__xludf.DUMMYFUNCTION("""COMPUTED_VALUE"""),"2008")</f>
        <v>2008</v>
      </c>
      <c r="AB1102" s="15" t="str">
        <f>IFERROR(__xludf.DUMMYFUNCTION("ARRAYFORMULA(VLOOKUP(A1102,IMPORTRANGE(""https://docs.google.com/spreadsheets/d/1BuTWp7qHGjWhqrnf-OmePP568O4A5Am9ttzvVdP67zw/edit#gid=1931367683"" ,""ENERGY!$A$2:$F$2692""), {2,3,4,5,6},0))"),"Asia")</f>
        <v>Asia</v>
      </c>
      <c r="AC1102" s="14" t="str">
        <f>IFERROR(__xludf.DUMMYFUNCTION("""COMPUTED_VALUE"""),"India-Asia")</f>
        <v>India-Asia</v>
      </c>
      <c r="AD1102" s="14" t="str">
        <f>IFERROR(__xludf.DUMMYFUNCTION("""COMPUTED_VALUE"""),"2005")</f>
        <v>2005</v>
      </c>
      <c r="AE1102" s="14">
        <f>IFERROR(__xludf.DUMMYFUNCTION("""COMPUTED_VALUE"""),519165.0)</f>
        <v>519165</v>
      </c>
      <c r="AF1102" s="14">
        <f>IFERROR(__xludf.DUMMYFUNCTION("""COMPUTED_VALUE"""),1348525.0)</f>
        <v>1348525</v>
      </c>
    </row>
    <row r="1103">
      <c r="A1103" s="12">
        <v>1102.0</v>
      </c>
      <c r="B1103" s="12" t="s">
        <v>163</v>
      </c>
      <c r="C1103" s="5" t="s">
        <v>61</v>
      </c>
      <c r="D1103" s="11">
        <v>0.66</v>
      </c>
      <c r="E1103" s="11">
        <v>30.0</v>
      </c>
      <c r="F1103" s="8"/>
      <c r="G1103" s="11">
        <v>271.0</v>
      </c>
      <c r="H1103" s="11">
        <v>0.051</v>
      </c>
      <c r="I1103" s="11">
        <v>0.441</v>
      </c>
      <c r="J1103" s="9" t="s">
        <v>70</v>
      </c>
      <c r="K1103" s="14" t="str">
        <f>IFERROR(__xludf.DUMMYFUNCTION("ARRAYFORMULA(VLOOKUP(A1103,IMPORTRANGE(""https://docs.google.com/spreadsheets/d/1BuTWp7qHGjWhqrnf-OmePP568O4A5Am9ttzvVdP67zw/edit#gid=1603210130"", ""TOURISM!$A$2:$F$2692""), {2,3,4,5,6},0))"),"Asia")</f>
        <v>Asia</v>
      </c>
      <c r="L1103" s="14">
        <f>IFERROR(__xludf.DUMMYFUNCTION("""COMPUTED_VALUE"""),1.1136E10)</f>
        <v>11136000000</v>
      </c>
      <c r="M1103" s="14" t="str">
        <f>IFERROR(__xludf.DUMMYFUNCTION("""COMPUTED_VALUE"""),"India-Asia")</f>
        <v>India-Asia</v>
      </c>
      <c r="N1103" s="14" t="str">
        <f>IFERROR(__xludf.DUMMYFUNCTION("""COMPUTED_VALUE"""),"2009")</f>
        <v>2009</v>
      </c>
      <c r="O1103" s="14">
        <f>IFERROR(__xludf.DUMMYFUNCTION("""COMPUTED_VALUE"""),9.31E9)</f>
        <v>9310000000</v>
      </c>
      <c r="P1103" s="15">
        <f>IFERROR(__xludf.DUMMYFUNCTION("ARRAYFORMULA(VLOOKUP(A1103,IMPORTRANGE(""https://docs.google.com/spreadsheets/d/1BuTWp7qHGjWhqrnf-OmePP568O4A5Am9ttzvVdP67zw/edit#gid=771602874"" ,""HUMAN RESOURCES!$A$2:$M$2692""), {2,3,4,5,6,7,8,9,10,11,12,13},0))"),0.022)</f>
        <v>0.022</v>
      </c>
      <c r="Q1103" s="14">
        <f>IFERROR(__xludf.DUMMYFUNCTION("""COMPUTED_VALUE"""),0.048)</f>
        <v>0.048</v>
      </c>
      <c r="R1103" s="14">
        <f>IFERROR(__xludf.DUMMYFUNCTION("""COMPUTED_VALUE"""),67.0)</f>
        <v>67</v>
      </c>
      <c r="S1103" s="14">
        <f>IFERROR(__xludf.DUMMYFUNCTION("""COMPUTED_VALUE"""),64.0)</f>
        <v>64</v>
      </c>
      <c r="T1103" s="14">
        <f>IFERROR(__xludf.DUMMYFUNCTION("""COMPUTED_VALUE"""),0.306)</f>
        <v>0.306</v>
      </c>
      <c r="U1103" s="14">
        <f>IFERROR(__xludf.DUMMYFUNCTION("""COMPUTED_VALUE"""),0.644)</f>
        <v>0.644</v>
      </c>
      <c r="V1103" s="14">
        <f>IFERROR(__xludf.DUMMYFUNCTION("""COMPUTED_VALUE"""),0.05)</f>
        <v>0.05</v>
      </c>
      <c r="W1103" s="14">
        <f>IFERROR(__xludf.DUMMYFUNCTION("""COMPUTED_VALUE"""),1.190138069E9)</f>
        <v>1190138069</v>
      </c>
      <c r="X1103" s="14">
        <f>IFERROR(__xludf.DUMMYFUNCTION("""COMPUTED_VALUE"""),0.306)</f>
        <v>0.306</v>
      </c>
      <c r="Y1103" s="14" t="str">
        <f>IFERROR(__xludf.DUMMYFUNCTION("""COMPUTED_VALUE"""),"India-Asia")</f>
        <v>India-Asia</v>
      </c>
      <c r="Z1103" s="14" t="str">
        <f>IFERROR(__xludf.DUMMYFUNCTION("""COMPUTED_VALUE"""),"Asia")</f>
        <v>Asia</v>
      </c>
      <c r="AA1103" s="14" t="str">
        <f>IFERROR(__xludf.DUMMYFUNCTION("""COMPUTED_VALUE"""),"2009")</f>
        <v>2009</v>
      </c>
      <c r="AB1103" s="15" t="str">
        <f>IFERROR(__xludf.DUMMYFUNCTION("ARRAYFORMULA(VLOOKUP(A1103,IMPORTRANGE(""https://docs.google.com/spreadsheets/d/1BuTWp7qHGjWhqrnf-OmePP568O4A5Am9ttzvVdP67zw/edit#gid=1931367683"" ,""ENERGY!$A$2:$F$2692""), {2,3,4,5,6},0))"),"Asia")</f>
        <v>Asia</v>
      </c>
      <c r="AC1103" s="14" t="str">
        <f>IFERROR(__xludf.DUMMYFUNCTION("""COMPUTED_VALUE"""),"India-Asia")</f>
        <v>India-Asia</v>
      </c>
      <c r="AD1103" s="14" t="str">
        <f>IFERROR(__xludf.DUMMYFUNCTION("""COMPUTED_VALUE"""),"2010")</f>
        <v>2010</v>
      </c>
      <c r="AE1103" s="14">
        <f>IFERROR(__xludf.DUMMYFUNCTION("""COMPUTED_VALUE"""),489507.0)</f>
        <v>489507</v>
      </c>
      <c r="AF1103" s="14">
        <f>IFERROR(__xludf.DUMMYFUNCTION("""COMPUTED_VALUE"""),1281914.0)</f>
        <v>1281914</v>
      </c>
    </row>
    <row r="1104">
      <c r="A1104" s="12">
        <v>1103.0</v>
      </c>
      <c r="B1104" s="12" t="s">
        <v>163</v>
      </c>
      <c r="C1104" s="5" t="s">
        <v>61</v>
      </c>
      <c r="D1104" s="11">
        <v>0.649</v>
      </c>
      <c r="E1104" s="11">
        <v>29.0</v>
      </c>
      <c r="F1104" s="8"/>
      <c r="G1104" s="11">
        <v>258.0</v>
      </c>
      <c r="H1104" s="11">
        <v>0.075</v>
      </c>
      <c r="I1104" s="11">
        <v>0.624</v>
      </c>
      <c r="J1104" s="9" t="s">
        <v>71</v>
      </c>
      <c r="K1104" s="14" t="str">
        <f>IFERROR(__xludf.DUMMYFUNCTION("ARRAYFORMULA(VLOOKUP(A1104,IMPORTRANGE(""https://docs.google.com/spreadsheets/d/1BuTWp7qHGjWhqrnf-OmePP568O4A5Am9ttzvVdP67zw/edit#gid=1603210130"", ""TOURISM!$A$2:$F$2692""), {2,3,4,5,6},0))"),"Asia")</f>
        <v>Asia</v>
      </c>
      <c r="L1104" s="14">
        <f>IFERROR(__xludf.DUMMYFUNCTION("""COMPUTED_VALUE"""),1.449E10)</f>
        <v>14490000000</v>
      </c>
      <c r="M1104" s="14" t="str">
        <f>IFERROR(__xludf.DUMMYFUNCTION("""COMPUTED_VALUE"""),"India-Asia")</f>
        <v>India-Asia</v>
      </c>
      <c r="N1104" s="14" t="str">
        <f>IFERROR(__xludf.DUMMYFUNCTION("""COMPUTED_VALUE"""),"2010")</f>
        <v>2010</v>
      </c>
      <c r="O1104" s="14">
        <f>IFERROR(__xludf.DUMMYFUNCTION("""COMPUTED_VALUE"""),1.049E10)</f>
        <v>10490000000</v>
      </c>
      <c r="P1104" s="15">
        <f>IFERROR(__xludf.DUMMYFUNCTION("ARRAYFORMULA(VLOOKUP(A1104,IMPORTRANGE(""https://docs.google.com/spreadsheets/d/1BuTWp7qHGjWhqrnf-OmePP568O4A5Am9ttzvVdP67zw/edit#gid=771602874"" ,""HUMAN RESOURCES!$A$2:$M$2692""), {2,3,4,5,6,7,8,9,10,11,12,13},0))"),0.021)</f>
        <v>0.021</v>
      </c>
      <c r="Q1104" s="14">
        <f>IFERROR(__xludf.DUMMYFUNCTION("""COMPUTED_VALUE"""),0.046)</f>
        <v>0.046</v>
      </c>
      <c r="R1104" s="14">
        <f>IFERROR(__xludf.DUMMYFUNCTION("""COMPUTED_VALUE"""),67.0)</f>
        <v>67</v>
      </c>
      <c r="S1104" s="14">
        <f>IFERROR(__xludf.DUMMYFUNCTION("""COMPUTED_VALUE"""),64.0)</f>
        <v>64</v>
      </c>
      <c r="T1104" s="14">
        <f>IFERROR(__xludf.DUMMYFUNCTION("""COMPUTED_VALUE"""),0.302)</f>
        <v>0.302</v>
      </c>
      <c r="U1104" s="14">
        <f>IFERROR(__xludf.DUMMYFUNCTION("""COMPUTED_VALUE"""),0.648)</f>
        <v>0.648</v>
      </c>
      <c r="V1104" s="14">
        <f>IFERROR(__xludf.DUMMYFUNCTION("""COMPUTED_VALUE"""),0.051)</f>
        <v>0.051</v>
      </c>
      <c r="W1104" s="14">
        <f>IFERROR(__xludf.DUMMYFUNCTION("""COMPUTED_VALUE"""),1.205624648E9)</f>
        <v>1205624648</v>
      </c>
      <c r="X1104" s="14">
        <f>IFERROR(__xludf.DUMMYFUNCTION("""COMPUTED_VALUE"""),0.309)</f>
        <v>0.309</v>
      </c>
      <c r="Y1104" s="14" t="str">
        <f>IFERROR(__xludf.DUMMYFUNCTION("""COMPUTED_VALUE"""),"India-Asia")</f>
        <v>India-Asia</v>
      </c>
      <c r="Z1104" s="14" t="str">
        <f>IFERROR(__xludf.DUMMYFUNCTION("""COMPUTED_VALUE"""),"Asia")</f>
        <v>Asia</v>
      </c>
      <c r="AA1104" s="14" t="str">
        <f>IFERROR(__xludf.DUMMYFUNCTION("""COMPUTED_VALUE"""),"2010")</f>
        <v>2010</v>
      </c>
      <c r="AB1104" s="15" t="str">
        <f>IFERROR(__xludf.DUMMYFUNCTION("ARRAYFORMULA(VLOOKUP(A1104,IMPORTRANGE(""https://docs.google.com/spreadsheets/d/1BuTWp7qHGjWhqrnf-OmePP568O4A5Am9ttzvVdP67zw/edit#gid=1931367683"" ,""ENERGY!$A$2:$F$2692""), {2,3,4,5,6},0))"),"Asia")</f>
        <v>Asia</v>
      </c>
      <c r="AC1104" s="14" t="str">
        <f>IFERROR(__xludf.DUMMYFUNCTION("""COMPUTED_VALUE"""),"India-Asia")</f>
        <v>India-Asia</v>
      </c>
      <c r="AD1104" s="14" t="str">
        <f>IFERROR(__xludf.DUMMYFUNCTION("""COMPUTED_VALUE"""),"2010")</f>
        <v>2010</v>
      </c>
      <c r="AE1104" s="14">
        <f>IFERROR(__xludf.DUMMYFUNCTION("""COMPUTED_VALUE"""),477540.0)</f>
        <v>477540</v>
      </c>
      <c r="AF1104" s="14">
        <f>IFERROR(__xludf.DUMMYFUNCTION("""COMPUTED_VALUE"""),1226791.0)</f>
        <v>1226791</v>
      </c>
    </row>
    <row r="1105">
      <c r="A1105" s="12">
        <v>1104.0</v>
      </c>
      <c r="B1105" s="12" t="s">
        <v>163</v>
      </c>
      <c r="C1105" s="5" t="s">
        <v>61</v>
      </c>
      <c r="D1105" s="11">
        <v>0.629</v>
      </c>
      <c r="E1105" s="11">
        <v>29.0</v>
      </c>
      <c r="F1105" s="8"/>
      <c r="G1105" s="11">
        <v>254.0</v>
      </c>
      <c r="H1105" s="11">
        <v>0.101</v>
      </c>
      <c r="I1105" s="11">
        <v>0.732</v>
      </c>
      <c r="J1105" s="9" t="s">
        <v>72</v>
      </c>
      <c r="K1105" s="14" t="str">
        <f>IFERROR(__xludf.DUMMYFUNCTION("ARRAYFORMULA(VLOOKUP(A1105,IMPORTRANGE(""https://docs.google.com/spreadsheets/d/1BuTWp7qHGjWhqrnf-OmePP568O4A5Am9ttzvVdP67zw/edit#gid=1603210130"", ""TOURISM!$A$2:$F$2692""), {2,3,4,5,6},0))"),"Asia")</f>
        <v>Asia</v>
      </c>
      <c r="L1105" s="14">
        <f>IFERROR(__xludf.DUMMYFUNCTION("""COMPUTED_VALUE"""),1.7708E10)</f>
        <v>17708000000</v>
      </c>
      <c r="M1105" s="14" t="str">
        <f>IFERROR(__xludf.DUMMYFUNCTION("""COMPUTED_VALUE"""),"India-Asia")</f>
        <v>India-Asia</v>
      </c>
      <c r="N1105" s="14" t="str">
        <f>IFERROR(__xludf.DUMMYFUNCTION("""COMPUTED_VALUE"""),"2011")</f>
        <v>2011</v>
      </c>
      <c r="O1105" s="14">
        <f>IFERROR(__xludf.DUMMYFUNCTION("""COMPUTED_VALUE"""),1.3699E10)</f>
        <v>13699000000</v>
      </c>
      <c r="P1105" s="15">
        <f>IFERROR(__xludf.DUMMYFUNCTION("ARRAYFORMULA(VLOOKUP(A1105,IMPORTRANGE(""https://docs.google.com/spreadsheets/d/1BuTWp7qHGjWhqrnf-OmePP568O4A5Am9ttzvVdP67zw/edit#gid=771602874"" ,""HUMAN RESOURCES!$A$2:$M$2692""), {2,3,4,5,6,7,8,9,10,11,12,13},0))"),0.021)</f>
        <v>0.021</v>
      </c>
      <c r="Q1105" s="14">
        <f>IFERROR(__xludf.DUMMYFUNCTION("""COMPUTED_VALUE"""),0.045)</f>
        <v>0.045</v>
      </c>
      <c r="R1105" s="14">
        <f>IFERROR(__xludf.DUMMYFUNCTION("""COMPUTED_VALUE"""),68.0)</f>
        <v>68</v>
      </c>
      <c r="S1105" s="14">
        <f>IFERROR(__xludf.DUMMYFUNCTION("""COMPUTED_VALUE"""),64.0)</f>
        <v>64</v>
      </c>
      <c r="T1105" s="14">
        <f>IFERROR(__xludf.DUMMYFUNCTION("""COMPUTED_VALUE"""),0.298)</f>
        <v>0.298</v>
      </c>
      <c r="U1105" s="14">
        <f>IFERROR(__xludf.DUMMYFUNCTION("""COMPUTED_VALUE"""),0.651)</f>
        <v>0.651</v>
      </c>
      <c r="V1105" s="14">
        <f>IFERROR(__xludf.DUMMYFUNCTION("""COMPUTED_VALUE"""),0.051)</f>
        <v>0.051</v>
      </c>
      <c r="W1105" s="14">
        <f>IFERROR(__xludf.DUMMYFUNCTION("""COMPUTED_VALUE"""),1.221156319E9)</f>
        <v>1221156319</v>
      </c>
      <c r="X1105" s="14">
        <f>IFERROR(__xludf.DUMMYFUNCTION("""COMPUTED_VALUE"""),0.313)</f>
        <v>0.313</v>
      </c>
      <c r="Y1105" s="14" t="str">
        <f>IFERROR(__xludf.DUMMYFUNCTION("""COMPUTED_VALUE"""),"India-Asia")</f>
        <v>India-Asia</v>
      </c>
      <c r="Z1105" s="14" t="str">
        <f>IFERROR(__xludf.DUMMYFUNCTION("""COMPUTED_VALUE"""),"Asia")</f>
        <v>Asia</v>
      </c>
      <c r="AA1105" s="14" t="str">
        <f>IFERROR(__xludf.DUMMYFUNCTION("""COMPUTED_VALUE"""),"2011")</f>
        <v>2011</v>
      </c>
      <c r="AB1105" s="15" t="str">
        <f>IFERROR(__xludf.DUMMYFUNCTION("ARRAYFORMULA(VLOOKUP(A1105,IMPORTRANGE(""https://docs.google.com/spreadsheets/d/1BuTWp7qHGjWhqrnf-OmePP568O4A5Am9ttzvVdP67zw/edit#gid=1931367683"" ,""ENERGY!$A$2:$F$2692""), {2,3,4,5,6},0))"),"Asia")</f>
        <v>Asia</v>
      </c>
      <c r="AC1105" s="14" t="str">
        <f>IFERROR(__xludf.DUMMYFUNCTION("""COMPUTED_VALUE"""),"India-Asia")</f>
        <v>India-Asia</v>
      </c>
      <c r="AD1105" s="14" t="str">
        <f>IFERROR(__xludf.DUMMYFUNCTION("""COMPUTED_VALUE"""),"2005")</f>
        <v>2005</v>
      </c>
      <c r="AE1105" s="14">
        <f>IFERROR(__xludf.DUMMYFUNCTION("""COMPUTED_VALUE"""),464501.0)</f>
        <v>464501</v>
      </c>
      <c r="AF1105" s="14">
        <f>IFERROR(__xludf.DUMMYFUNCTION("""COMPUTED_VALUE"""),1203843.0)</f>
        <v>1203843</v>
      </c>
    </row>
    <row r="1106">
      <c r="A1106" s="12">
        <v>1105.0</v>
      </c>
      <c r="B1106" s="12" t="s">
        <v>163</v>
      </c>
      <c r="C1106" s="5" t="s">
        <v>61</v>
      </c>
      <c r="D1106" s="11">
        <v>0.628</v>
      </c>
      <c r="E1106" s="11">
        <v>27.0</v>
      </c>
      <c r="F1106" s="11">
        <v>131.0</v>
      </c>
      <c r="G1106" s="11">
        <v>243.0</v>
      </c>
      <c r="H1106" s="11">
        <v>0.126</v>
      </c>
      <c r="I1106" s="11">
        <v>0.699</v>
      </c>
      <c r="J1106" s="9" t="s">
        <v>73</v>
      </c>
      <c r="K1106" s="14" t="str">
        <f>IFERROR(__xludf.DUMMYFUNCTION("ARRAYFORMULA(VLOOKUP(A1106,IMPORTRANGE(""https://docs.google.com/spreadsheets/d/1BuTWp7qHGjWhqrnf-OmePP568O4A5Am9ttzvVdP67zw/edit#gid=1603210130"", ""TOURISM!$A$2:$F$2692""), {2,3,4,5,6},0))"),"Asia")</f>
        <v>Asia</v>
      </c>
      <c r="L1106" s="14">
        <f>IFERROR(__xludf.DUMMYFUNCTION("""COMPUTED_VALUE"""),1.834E10)</f>
        <v>18340000000</v>
      </c>
      <c r="M1106" s="14" t="str">
        <f>IFERROR(__xludf.DUMMYFUNCTION("""COMPUTED_VALUE"""),"India-Asia")</f>
        <v>India-Asia</v>
      </c>
      <c r="N1106" s="14" t="str">
        <f>IFERROR(__xludf.DUMMYFUNCTION("""COMPUTED_VALUE"""),"2012")</f>
        <v>2012</v>
      </c>
      <c r="O1106" s="14">
        <f>IFERROR(__xludf.DUMMYFUNCTION("""COMPUTED_VALUE"""),1.4107E10)</f>
        <v>14107000000</v>
      </c>
      <c r="P1106" s="15">
        <f>IFERROR(__xludf.DUMMYFUNCTION("ARRAYFORMULA(VLOOKUP(A1106,IMPORTRANGE(""https://docs.google.com/spreadsheets/d/1BuTWp7qHGjWhqrnf-OmePP568O4A5Am9ttzvVdP67zw/edit#gid=771602874"" ,""HUMAN RESOURCES!$A$2:$M$2692""), {2,3,4,5,6,7,8,9,10,11,12,13},0))"),0.021)</f>
        <v>0.021</v>
      </c>
      <c r="Q1106" s="14">
        <f>IFERROR(__xludf.DUMMYFUNCTION("""COMPUTED_VALUE"""),0.043)</f>
        <v>0.043</v>
      </c>
      <c r="R1106" s="14">
        <f>IFERROR(__xludf.DUMMYFUNCTION("""COMPUTED_VALUE"""),68.0)</f>
        <v>68</v>
      </c>
      <c r="S1106" s="14">
        <f>IFERROR(__xludf.DUMMYFUNCTION("""COMPUTED_VALUE"""),65.0)</f>
        <v>65</v>
      </c>
      <c r="T1106" s="14">
        <f>IFERROR(__xludf.DUMMYFUNCTION("""COMPUTED_VALUE"""),0.294)</f>
        <v>0.294</v>
      </c>
      <c r="U1106" s="14">
        <f>IFERROR(__xludf.DUMMYFUNCTION("""COMPUTED_VALUE"""),0.654)</f>
        <v>0.654</v>
      </c>
      <c r="V1106" s="14">
        <f>IFERROR(__xludf.DUMMYFUNCTION("""COMPUTED_VALUE"""),0.052)</f>
        <v>0.052</v>
      </c>
      <c r="W1106" s="14">
        <f>IFERROR(__xludf.DUMMYFUNCTION("""COMPUTED_VALUE"""),1.236686732E9)</f>
        <v>1236686732</v>
      </c>
      <c r="X1106" s="14">
        <f>IFERROR(__xludf.DUMMYFUNCTION("""COMPUTED_VALUE"""),0.316)</f>
        <v>0.316</v>
      </c>
      <c r="Y1106" s="14" t="str">
        <f>IFERROR(__xludf.DUMMYFUNCTION("""COMPUTED_VALUE"""),"India-Asia")</f>
        <v>India-Asia</v>
      </c>
      <c r="Z1106" s="14" t="str">
        <f>IFERROR(__xludf.DUMMYFUNCTION("""COMPUTED_VALUE"""),"Asia")</f>
        <v>Asia</v>
      </c>
      <c r="AA1106" s="14" t="str">
        <f>IFERROR(__xludf.DUMMYFUNCTION("""COMPUTED_VALUE"""),"2012")</f>
        <v>2012</v>
      </c>
      <c r="AB1106" s="15" t="str">
        <f>IFERROR(__xludf.DUMMYFUNCTION("ARRAYFORMULA(VLOOKUP(A1106,IMPORTRANGE(""https://docs.google.com/spreadsheets/d/1BuTWp7qHGjWhqrnf-OmePP568O4A5Am9ttzvVdP67zw/edit#gid=1931367683"" ,""ENERGY!$A$2:$F$2692""), {2,3,4,5,6},0))"),"Asia")</f>
        <v>Asia</v>
      </c>
      <c r="AC1106" s="14" t="str">
        <f>IFERROR(__xludf.DUMMYFUNCTION("""COMPUTED_VALUE"""),"India-Asia")</f>
        <v>India-Asia</v>
      </c>
      <c r="AD1106" s="14" t="str">
        <f>IFERROR(__xludf.DUMMYFUNCTION("""COMPUTED_VALUE"""),"2010")</f>
        <v>2010</v>
      </c>
      <c r="AE1106" s="14">
        <f>IFERROR(__xludf.DUMMYFUNCTION("""COMPUTED_VALUE"""),457198.0)</f>
        <v>457198</v>
      </c>
      <c r="AF1106" s="14">
        <f>IFERROR(__xludf.DUMMYFUNCTION("""COMPUTED_VALUE"""),1186663.0)</f>
        <v>1186663</v>
      </c>
    </row>
    <row r="1107">
      <c r="A1107" s="12">
        <v>1106.0</v>
      </c>
      <c r="B1107" s="12" t="s">
        <v>164</v>
      </c>
      <c r="C1107" s="5" t="s">
        <v>61</v>
      </c>
      <c r="D1107" s="8"/>
      <c r="E1107" s="8"/>
      <c r="F1107" s="8"/>
      <c r="G1107" s="8"/>
      <c r="H1107" s="11">
        <v>0.009</v>
      </c>
      <c r="I1107" s="11">
        <v>0.018</v>
      </c>
      <c r="J1107" s="9" t="s">
        <v>60</v>
      </c>
      <c r="K1107" s="14" t="str">
        <f>IFERROR(__xludf.DUMMYFUNCTION("ARRAYFORMULA(VLOOKUP(A1107,IMPORTRANGE(""https://docs.google.com/spreadsheets/d/1BuTWp7qHGjWhqrnf-OmePP568O4A5Am9ttzvVdP67zw/edit#gid=1603210130"", ""TOURISM!$A$2:$F$2692""), {2,3,4,5,6},0))"),"Asia")</f>
        <v>Asia</v>
      </c>
      <c r="L1107" s="14">
        <f>IFERROR(__xludf.DUMMYFUNCTION("""COMPUTED_VALUE"""),4.975E9)</f>
        <v>4975000000</v>
      </c>
      <c r="M1107" s="14" t="str">
        <f>IFERROR(__xludf.DUMMYFUNCTION("""COMPUTED_VALUE"""),"Indonesia-Asia")</f>
        <v>Indonesia-Asia</v>
      </c>
      <c r="N1107" s="14" t="str">
        <f>IFERROR(__xludf.DUMMYFUNCTION("""COMPUTED_VALUE"""),"2000")</f>
        <v>2000</v>
      </c>
      <c r="O1107" s="14">
        <f>IFERROR(__xludf.DUMMYFUNCTION("""COMPUTED_VALUE"""),3.197E9)</f>
        <v>3197000000</v>
      </c>
      <c r="P1107" s="15">
        <f>IFERROR(__xludf.DUMMYFUNCTION("ARRAYFORMULA(VLOOKUP(A1107,IMPORTRANGE(""https://docs.google.com/spreadsheets/d/1BuTWp7qHGjWhqrnf-OmePP568O4A5Am9ttzvVdP67zw/edit#gid=771602874"" ,""HUMAN RESOURCES!$A$2:$M$2692""), {2,3,4,5,6,7,8,9,10,11,12,13},0))"),0.022)</f>
        <v>0.022</v>
      </c>
      <c r="Q1107" s="14">
        <f>IFERROR(__xludf.DUMMYFUNCTION("""COMPUTED_VALUE"""),0.041)</f>
        <v>0.041</v>
      </c>
      <c r="R1107" s="14">
        <f>IFERROR(__xludf.DUMMYFUNCTION("""COMPUTED_VALUE"""),69.0)</f>
        <v>69</v>
      </c>
      <c r="S1107" s="14">
        <f>IFERROR(__xludf.DUMMYFUNCTION("""COMPUTED_VALUE"""),65.0)</f>
        <v>65</v>
      </c>
      <c r="T1107" s="14">
        <f>IFERROR(__xludf.DUMMYFUNCTION("""COMPUTED_VALUE"""),0.307)</f>
        <v>0.307</v>
      </c>
      <c r="U1107" s="14">
        <f>IFERROR(__xludf.DUMMYFUNCTION("""COMPUTED_VALUE"""),0.647)</f>
        <v>0.647</v>
      </c>
      <c r="V1107" s="14">
        <f>IFERROR(__xludf.DUMMYFUNCTION("""COMPUTED_VALUE"""),0.047)</f>
        <v>0.047</v>
      </c>
      <c r="W1107" s="14">
        <f>IFERROR(__xludf.DUMMYFUNCTION("""COMPUTED_VALUE"""),2.08938698E8)</f>
        <v>208938698</v>
      </c>
      <c r="X1107" s="14">
        <f>IFERROR(__xludf.DUMMYFUNCTION("""COMPUTED_VALUE"""),0.42)</f>
        <v>0.42</v>
      </c>
      <c r="Y1107" s="14" t="str">
        <f>IFERROR(__xludf.DUMMYFUNCTION("""COMPUTED_VALUE"""),"Indonesia-Asia")</f>
        <v>Indonesia-Asia</v>
      </c>
      <c r="Z1107" s="14" t="str">
        <f>IFERROR(__xludf.DUMMYFUNCTION("""COMPUTED_VALUE"""),"Asia")</f>
        <v>Asia</v>
      </c>
      <c r="AA1107" s="14" t="str">
        <f>IFERROR(__xludf.DUMMYFUNCTION("""COMPUTED_VALUE"""),"2000")</f>
        <v>2000</v>
      </c>
      <c r="AB1107" s="15" t="str">
        <f>IFERROR(__xludf.DUMMYFUNCTION("ARRAYFORMULA(VLOOKUP(A1107,IMPORTRANGE(""https://docs.google.com/spreadsheets/d/1BuTWp7qHGjWhqrnf-OmePP568O4A5Am9ttzvVdP67zw/edit#gid=1931367683"" ,""ENERGY!$A$2:$F$2692""), {2,3,4,5,6},0))"),"Asia")</f>
        <v>Asia</v>
      </c>
      <c r="AC1107" s="14" t="str">
        <f>IFERROR(__xludf.DUMMYFUNCTION("""COMPUTED_VALUE"""),"Indonesia-Asia")</f>
        <v>Indonesia-Asia</v>
      </c>
      <c r="AD1107" s="14" t="str">
        <f>IFERROR(__xludf.DUMMYFUNCTION("""COMPUTED_VALUE"""),"2000")</f>
        <v>2000</v>
      </c>
      <c r="AE1107" s="14"/>
      <c r="AF1107" s="14"/>
    </row>
    <row r="1108">
      <c r="A1108" s="12">
        <v>1107.0</v>
      </c>
      <c r="B1108" s="12" t="s">
        <v>164</v>
      </c>
      <c r="C1108" s="5" t="s">
        <v>61</v>
      </c>
      <c r="D1108" s="8"/>
      <c r="E1108" s="8"/>
      <c r="F1108" s="8"/>
      <c r="G1108" s="8"/>
      <c r="H1108" s="11">
        <v>0.02</v>
      </c>
      <c r="I1108" s="11">
        <v>0.031</v>
      </c>
      <c r="J1108" s="9" t="s">
        <v>62</v>
      </c>
      <c r="K1108" s="14" t="str">
        <f>IFERROR(__xludf.DUMMYFUNCTION("ARRAYFORMULA(VLOOKUP(A1108,IMPORTRANGE(""https://docs.google.com/spreadsheets/d/1BuTWp7qHGjWhqrnf-OmePP568O4A5Am9ttzvVdP67zw/edit#gid=1603210130"", ""TOURISM!$A$2:$F$2692""), {2,3,4,5,6},0))"),"Asia")</f>
        <v>Asia</v>
      </c>
      <c r="L1108" s="14">
        <f>IFERROR(__xludf.DUMMYFUNCTION("""COMPUTED_VALUE"""),5.277E9)</f>
        <v>5277000000</v>
      </c>
      <c r="M1108" s="14" t="str">
        <f>IFERROR(__xludf.DUMMYFUNCTION("""COMPUTED_VALUE"""),"Indonesia-Asia")</f>
        <v>Indonesia-Asia</v>
      </c>
      <c r="N1108" s="14" t="str">
        <f>IFERROR(__xludf.DUMMYFUNCTION("""COMPUTED_VALUE"""),"2001")</f>
        <v>2001</v>
      </c>
      <c r="O1108" s="14">
        <f>IFERROR(__xludf.DUMMYFUNCTION("""COMPUTED_VALUE"""),3.406E9)</f>
        <v>3406000000</v>
      </c>
      <c r="P1108" s="15">
        <f>IFERROR(__xludf.DUMMYFUNCTION("ARRAYFORMULA(VLOOKUP(A1108,IMPORTRANGE(""https://docs.google.com/spreadsheets/d/1BuTWp7qHGjWhqrnf-OmePP568O4A5Am9ttzvVdP67zw/edit#gid=771602874"" ,""HUMAN RESOURCES!$A$2:$M$2692""), {2,3,4,5,6,7,8,9,10,11,12,13},0))"),0.021)</f>
        <v>0.021</v>
      </c>
      <c r="Q1108" s="14">
        <f>IFERROR(__xludf.DUMMYFUNCTION("""COMPUTED_VALUE"""),0.039)</f>
        <v>0.039</v>
      </c>
      <c r="R1108" s="14">
        <f>IFERROR(__xludf.DUMMYFUNCTION("""COMPUTED_VALUE"""),70.0)</f>
        <v>70</v>
      </c>
      <c r="S1108" s="14">
        <f>IFERROR(__xludf.DUMMYFUNCTION("""COMPUTED_VALUE"""),66.0)</f>
        <v>66</v>
      </c>
      <c r="T1108" s="14">
        <f>IFERROR(__xludf.DUMMYFUNCTION("""COMPUTED_VALUE"""),0.304)</f>
        <v>0.304</v>
      </c>
      <c r="U1108" s="14">
        <f>IFERROR(__xludf.DUMMYFUNCTION("""COMPUTED_VALUE"""),0.649)</f>
        <v>0.649</v>
      </c>
      <c r="V1108" s="14">
        <f>IFERROR(__xludf.DUMMYFUNCTION("""COMPUTED_VALUE"""),0.047)</f>
        <v>0.047</v>
      </c>
      <c r="W1108" s="14">
        <f>IFERROR(__xludf.DUMMYFUNCTION("""COMPUTED_VALUE"""),2.11970371E8)</f>
        <v>211970371</v>
      </c>
      <c r="X1108" s="14">
        <f>IFERROR(__xludf.DUMMYFUNCTION("""COMPUTED_VALUE"""),0.428)</f>
        <v>0.428</v>
      </c>
      <c r="Y1108" s="14" t="str">
        <f>IFERROR(__xludf.DUMMYFUNCTION("""COMPUTED_VALUE"""),"Indonesia-Asia")</f>
        <v>Indonesia-Asia</v>
      </c>
      <c r="Z1108" s="14" t="str">
        <f>IFERROR(__xludf.DUMMYFUNCTION("""COMPUTED_VALUE"""),"Asia")</f>
        <v>Asia</v>
      </c>
      <c r="AA1108" s="14" t="str">
        <f>IFERROR(__xludf.DUMMYFUNCTION("""COMPUTED_VALUE"""),"2001")</f>
        <v>2001</v>
      </c>
      <c r="AB1108" s="15" t="str">
        <f>IFERROR(__xludf.DUMMYFUNCTION("ARRAYFORMULA(VLOOKUP(A1108,IMPORTRANGE(""https://docs.google.com/spreadsheets/d/1BuTWp7qHGjWhqrnf-OmePP568O4A5Am9ttzvVdP67zw/edit#gid=1931367683"" ,""ENERGY!$A$2:$F$2692""), {2,3,4,5,6},0))"),"Asia")</f>
        <v>Asia</v>
      </c>
      <c r="AC1108" s="14" t="str">
        <f>IFERROR(__xludf.DUMMYFUNCTION("""COMPUTED_VALUE"""),"Indonesia-Asia")</f>
        <v>Indonesia-Asia</v>
      </c>
      <c r="AD1108" s="14" t="str">
        <f>IFERROR(__xludf.DUMMYFUNCTION("""COMPUTED_VALUE"""),"2001")</f>
        <v>2001</v>
      </c>
      <c r="AE1108" s="14">
        <f>IFERROR(__xludf.DUMMYFUNCTION("""COMPUTED_VALUE"""),209009.0)</f>
        <v>209009</v>
      </c>
      <c r="AF1108" s="14"/>
    </row>
    <row r="1109">
      <c r="A1109" s="12">
        <v>1108.0</v>
      </c>
      <c r="B1109" s="12" t="s">
        <v>164</v>
      </c>
      <c r="C1109" s="5" t="s">
        <v>61</v>
      </c>
      <c r="D1109" s="8"/>
      <c r="E1109" s="8"/>
      <c r="F1109" s="8"/>
      <c r="G1109" s="8"/>
      <c r="H1109" s="11">
        <v>0.021</v>
      </c>
      <c r="I1109" s="11">
        <v>0.054</v>
      </c>
      <c r="J1109" s="9" t="s">
        <v>63</v>
      </c>
      <c r="K1109" s="14" t="str">
        <f>IFERROR(__xludf.DUMMYFUNCTION("ARRAYFORMULA(VLOOKUP(A1109,IMPORTRANGE(""https://docs.google.com/spreadsheets/d/1BuTWp7qHGjWhqrnf-OmePP568O4A5Am9ttzvVdP67zw/edit#gid=1603210130"", ""TOURISM!$A$2:$F$2692""), {2,3,4,5,6},0))"),"Asia")</f>
        <v>Asia</v>
      </c>
      <c r="L1109" s="14">
        <f>IFERROR(__xludf.DUMMYFUNCTION("""COMPUTED_VALUE"""),5.797E9)</f>
        <v>5797000000</v>
      </c>
      <c r="M1109" s="14" t="str">
        <f>IFERROR(__xludf.DUMMYFUNCTION("""COMPUTED_VALUE"""),"Indonesia-Asia")</f>
        <v>Indonesia-Asia</v>
      </c>
      <c r="N1109" s="14" t="str">
        <f>IFERROR(__xludf.DUMMYFUNCTION("""COMPUTED_VALUE"""),"2002")</f>
        <v>2002</v>
      </c>
      <c r="O1109" s="14">
        <f>IFERROR(__xludf.DUMMYFUNCTION("""COMPUTED_VALUE"""),5.042E9)</f>
        <v>5042000000</v>
      </c>
      <c r="P1109" s="15">
        <f>IFERROR(__xludf.DUMMYFUNCTION("ARRAYFORMULA(VLOOKUP(A1109,IMPORTRANGE(""https://docs.google.com/spreadsheets/d/1BuTWp7qHGjWhqrnf-OmePP568O4A5Am9ttzvVdP67zw/edit#gid=771602874"" ,""HUMAN RESOURCES!$A$2:$M$2692""), {2,3,4,5,6,7,8,9,10,11,12,13},0))"),0.021)</f>
        <v>0.021</v>
      </c>
      <c r="Q1109" s="14">
        <f>IFERROR(__xludf.DUMMYFUNCTION("""COMPUTED_VALUE"""),0.038)</f>
        <v>0.038</v>
      </c>
      <c r="R1109" s="14">
        <f>IFERROR(__xludf.DUMMYFUNCTION("""COMPUTED_VALUE"""),70.0)</f>
        <v>70</v>
      </c>
      <c r="S1109" s="14">
        <f>IFERROR(__xludf.DUMMYFUNCTION("""COMPUTED_VALUE"""),66.0)</f>
        <v>66</v>
      </c>
      <c r="T1109" s="14">
        <f>IFERROR(__xludf.DUMMYFUNCTION("""COMPUTED_VALUE"""),0.302)</f>
        <v>0.302</v>
      </c>
      <c r="U1109" s="14">
        <f>IFERROR(__xludf.DUMMYFUNCTION("""COMPUTED_VALUE"""),0.651)</f>
        <v>0.651</v>
      </c>
      <c r="V1109" s="14">
        <f>IFERROR(__xludf.DUMMYFUNCTION("""COMPUTED_VALUE"""),0.048)</f>
        <v>0.048</v>
      </c>
      <c r="W1109" s="14">
        <f>IFERROR(__xludf.DUMMYFUNCTION("""COMPUTED_VALUE"""),2.15038285E8)</f>
        <v>215038285</v>
      </c>
      <c r="X1109" s="14">
        <f>IFERROR(__xludf.DUMMYFUNCTION("""COMPUTED_VALUE"""),0.436)</f>
        <v>0.436</v>
      </c>
      <c r="Y1109" s="14" t="str">
        <f>IFERROR(__xludf.DUMMYFUNCTION("""COMPUTED_VALUE"""),"Indonesia-Asia")</f>
        <v>Indonesia-Asia</v>
      </c>
      <c r="Z1109" s="14" t="str">
        <f>IFERROR(__xludf.DUMMYFUNCTION("""COMPUTED_VALUE"""),"Asia")</f>
        <v>Asia</v>
      </c>
      <c r="AA1109" s="14" t="str">
        <f>IFERROR(__xludf.DUMMYFUNCTION("""COMPUTED_VALUE"""),"2002")</f>
        <v>2002</v>
      </c>
      <c r="AB1109" s="15" t="str">
        <f>IFERROR(__xludf.DUMMYFUNCTION("ARRAYFORMULA(VLOOKUP(A1109,IMPORTRANGE(""https://docs.google.com/spreadsheets/d/1BuTWp7qHGjWhqrnf-OmePP568O4A5Am9ttzvVdP67zw/edit#gid=1931367683"" ,""ENERGY!$A$2:$F$2692""), {2,3,4,5,6},0))"),"Asia")</f>
        <v>Asia</v>
      </c>
      <c r="AC1109" s="14" t="str">
        <f>IFERROR(__xludf.DUMMYFUNCTION("""COMPUTED_VALUE"""),"Indonesia-Asia")</f>
        <v>Indonesia-Asia</v>
      </c>
      <c r="AD1109" s="14" t="str">
        <f>IFERROR(__xludf.DUMMYFUNCTION("""COMPUTED_VALUE"""),"2002")</f>
        <v>2002</v>
      </c>
      <c r="AE1109" s="14">
        <f>IFERROR(__xludf.DUMMYFUNCTION("""COMPUTED_VALUE"""),211296.0)</f>
        <v>211296</v>
      </c>
      <c r="AF1109" s="14">
        <f>IFERROR(__xludf.DUMMYFUNCTION("""COMPUTED_VALUE"""),433989.0)</f>
        <v>433989</v>
      </c>
    </row>
    <row r="1110">
      <c r="A1110" s="12">
        <v>1109.0</v>
      </c>
      <c r="B1110" s="12" t="s">
        <v>164</v>
      </c>
      <c r="C1110" s="5" t="s">
        <v>61</v>
      </c>
      <c r="D1110" s="8"/>
      <c r="E1110" s="11">
        <v>168.0</v>
      </c>
      <c r="F1110" s="8"/>
      <c r="G1110" s="8"/>
      <c r="H1110" s="11">
        <v>0.024</v>
      </c>
      <c r="I1110" s="11">
        <v>0.085</v>
      </c>
      <c r="J1110" s="9" t="s">
        <v>64</v>
      </c>
      <c r="K1110" s="14" t="str">
        <f>IFERROR(__xludf.DUMMYFUNCTION("ARRAYFORMULA(VLOOKUP(A1110,IMPORTRANGE(""https://docs.google.com/spreadsheets/d/1BuTWp7qHGjWhqrnf-OmePP568O4A5Am9ttzvVdP67zw/edit#gid=1603210130"", ""TOURISM!$A$2:$F$2692""), {2,3,4,5,6},0))"),"Asia")</f>
        <v>Asia</v>
      </c>
      <c r="L1110" s="14">
        <f>IFERROR(__xludf.DUMMYFUNCTION("""COMPUTED_VALUE"""),4.461E9)</f>
        <v>4461000000</v>
      </c>
      <c r="M1110" s="14" t="str">
        <f>IFERROR(__xludf.DUMMYFUNCTION("""COMPUTED_VALUE"""),"Indonesia-Asia")</f>
        <v>Indonesia-Asia</v>
      </c>
      <c r="N1110" s="14" t="str">
        <f>IFERROR(__xludf.DUMMYFUNCTION("""COMPUTED_VALUE"""),"2003")</f>
        <v>2003</v>
      </c>
      <c r="O1110" s="14">
        <f>IFERROR(__xludf.DUMMYFUNCTION("""COMPUTED_VALUE"""),4.427E9)</f>
        <v>4427000000</v>
      </c>
      <c r="P1110" s="15">
        <f>IFERROR(__xludf.DUMMYFUNCTION("ARRAYFORMULA(VLOOKUP(A1110,IMPORTRANGE(""https://docs.google.com/spreadsheets/d/1BuTWp7qHGjWhqrnf-OmePP568O4A5Am9ttzvVdP67zw/edit#gid=771602874"" ,""HUMAN RESOURCES!$A$2:$M$2692""), {2,3,4,5,6,7,8,9,10,11,12,13},0))"),0.021)</f>
        <v>0.021</v>
      </c>
      <c r="Q1110" s="14">
        <f>IFERROR(__xludf.DUMMYFUNCTION("""COMPUTED_VALUE"""),0.036)</f>
        <v>0.036</v>
      </c>
      <c r="R1110" s="14">
        <f>IFERROR(__xludf.DUMMYFUNCTION("""COMPUTED_VALUE"""),70.0)</f>
        <v>70</v>
      </c>
      <c r="S1110" s="14">
        <f>IFERROR(__xludf.DUMMYFUNCTION("""COMPUTED_VALUE"""),66.0)</f>
        <v>66</v>
      </c>
      <c r="T1110" s="14">
        <f>IFERROR(__xludf.DUMMYFUNCTION("""COMPUTED_VALUE"""),0.301)</f>
        <v>0.301</v>
      </c>
      <c r="U1110" s="14">
        <f>IFERROR(__xludf.DUMMYFUNCTION("""COMPUTED_VALUE"""),0.651)</f>
        <v>0.651</v>
      </c>
      <c r="V1110" s="14">
        <f>IFERROR(__xludf.DUMMYFUNCTION("""COMPUTED_VALUE"""),0.048)</f>
        <v>0.048</v>
      </c>
      <c r="W1110" s="14">
        <f>IFERROR(__xludf.DUMMYFUNCTION("""COMPUTED_VALUE"""),2.18145617E8)</f>
        <v>218145617</v>
      </c>
      <c r="X1110" s="14">
        <f>IFERROR(__xludf.DUMMYFUNCTION("""COMPUTED_VALUE"""),0.444)</f>
        <v>0.444</v>
      </c>
      <c r="Y1110" s="14" t="str">
        <f>IFERROR(__xludf.DUMMYFUNCTION("""COMPUTED_VALUE"""),"Indonesia-Asia")</f>
        <v>Indonesia-Asia</v>
      </c>
      <c r="Z1110" s="14" t="str">
        <f>IFERROR(__xludf.DUMMYFUNCTION("""COMPUTED_VALUE"""),"Asia")</f>
        <v>Asia</v>
      </c>
      <c r="AA1110" s="14" t="str">
        <f>IFERROR(__xludf.DUMMYFUNCTION("""COMPUTED_VALUE"""),"2003")</f>
        <v>2003</v>
      </c>
      <c r="AB1110" s="15" t="str">
        <f>IFERROR(__xludf.DUMMYFUNCTION("ARRAYFORMULA(VLOOKUP(A1110,IMPORTRANGE(""https://docs.google.com/spreadsheets/d/1BuTWp7qHGjWhqrnf-OmePP568O4A5Am9ttzvVdP67zw/edit#gid=1931367683"" ,""ENERGY!$A$2:$F$2692""), {2,3,4,5,6},0))"),"Asia")</f>
        <v>Asia</v>
      </c>
      <c r="AC1110" s="14" t="str">
        <f>IFERROR(__xludf.DUMMYFUNCTION("""COMPUTED_VALUE"""),"Indonesia-Asia")</f>
        <v>Indonesia-Asia</v>
      </c>
      <c r="AD1110" s="14" t="str">
        <f>IFERROR(__xludf.DUMMYFUNCTION("""COMPUTED_VALUE"""),"2003")</f>
        <v>2003</v>
      </c>
      <c r="AE1110" s="14">
        <f>IFERROR(__xludf.DUMMYFUNCTION("""COMPUTED_VALUE"""),199782.0)</f>
        <v>199782</v>
      </c>
      <c r="AF1110" s="14">
        <f>IFERROR(__xludf.DUMMYFUNCTION("""COMPUTED_VALUE"""),453106.0)</f>
        <v>453106</v>
      </c>
    </row>
    <row r="1111">
      <c r="A1111" s="12">
        <v>1110.0</v>
      </c>
      <c r="B1111" s="12" t="s">
        <v>164</v>
      </c>
      <c r="C1111" s="5" t="s">
        <v>61</v>
      </c>
      <c r="D1111" s="8"/>
      <c r="E1111" s="11">
        <v>151.0</v>
      </c>
      <c r="F1111" s="8"/>
      <c r="G1111" s="8"/>
      <c r="H1111" s="11">
        <v>0.026</v>
      </c>
      <c r="I1111" s="11">
        <v>0.137</v>
      </c>
      <c r="J1111" s="9" t="s">
        <v>65</v>
      </c>
      <c r="K1111" s="14" t="str">
        <f>IFERROR(__xludf.DUMMYFUNCTION("ARRAYFORMULA(VLOOKUP(A1111,IMPORTRANGE(""https://docs.google.com/spreadsheets/d/1BuTWp7qHGjWhqrnf-OmePP568O4A5Am9ttzvVdP67zw/edit#gid=1603210130"", ""TOURISM!$A$2:$F$2692""), {2,3,4,5,6},0))"),"Asia")</f>
        <v>Asia</v>
      </c>
      <c r="L1111" s="14">
        <f>IFERROR(__xludf.DUMMYFUNCTION("""COMPUTED_VALUE"""),5.226E9)</f>
        <v>5226000000</v>
      </c>
      <c r="M1111" s="14" t="str">
        <f>IFERROR(__xludf.DUMMYFUNCTION("""COMPUTED_VALUE"""),"Indonesia-Asia")</f>
        <v>Indonesia-Asia</v>
      </c>
      <c r="N1111" s="14" t="str">
        <f>IFERROR(__xludf.DUMMYFUNCTION("""COMPUTED_VALUE"""),"2004")</f>
        <v>2004</v>
      </c>
      <c r="O1111" s="14">
        <f>IFERROR(__xludf.DUMMYFUNCTION("""COMPUTED_VALUE"""),4.569E9)</f>
        <v>4569000000</v>
      </c>
      <c r="P1111" s="15">
        <f>IFERROR(__xludf.DUMMYFUNCTION("ARRAYFORMULA(VLOOKUP(A1111,IMPORTRANGE(""https://docs.google.com/spreadsheets/d/1BuTWp7qHGjWhqrnf-OmePP568O4A5Am9ttzvVdP67zw/edit#gid=771602874"" ,""HUMAN RESOURCES!$A$2:$M$2692""), {2,3,4,5,6,7,8,9,10,11,12,13},0))"),0.021)</f>
        <v>0.021</v>
      </c>
      <c r="Q1111" s="14">
        <f>IFERROR(__xludf.DUMMYFUNCTION("""COMPUTED_VALUE"""),0.035)</f>
        <v>0.035</v>
      </c>
      <c r="R1111" s="14">
        <f>IFERROR(__xludf.DUMMYFUNCTION("""COMPUTED_VALUE"""),71.0)</f>
        <v>71</v>
      </c>
      <c r="S1111" s="14">
        <f>IFERROR(__xludf.DUMMYFUNCTION("""COMPUTED_VALUE"""),67.0)</f>
        <v>67</v>
      </c>
      <c r="T1111" s="14">
        <f>IFERROR(__xludf.DUMMYFUNCTION("""COMPUTED_VALUE"""),0.3)</f>
        <v>0.3</v>
      </c>
      <c r="U1111" s="14">
        <f>IFERROR(__xludf.DUMMYFUNCTION("""COMPUTED_VALUE"""),0.651)</f>
        <v>0.651</v>
      </c>
      <c r="V1111" s="14">
        <f>IFERROR(__xludf.DUMMYFUNCTION("""COMPUTED_VALUE"""),0.048)</f>
        <v>0.048</v>
      </c>
      <c r="W1111" s="14">
        <f>IFERROR(__xludf.DUMMYFUNCTION("""COMPUTED_VALUE"""),2.21293797E8)</f>
        <v>221293797</v>
      </c>
      <c r="X1111" s="14">
        <f>IFERROR(__xludf.DUMMYFUNCTION("""COMPUTED_VALUE"""),0.451)</f>
        <v>0.451</v>
      </c>
      <c r="Y1111" s="14" t="str">
        <f>IFERROR(__xludf.DUMMYFUNCTION("""COMPUTED_VALUE"""),"Indonesia-Asia")</f>
        <v>Indonesia-Asia</v>
      </c>
      <c r="Z1111" s="14" t="str">
        <f>IFERROR(__xludf.DUMMYFUNCTION("""COMPUTED_VALUE"""),"Asia")</f>
        <v>Asia</v>
      </c>
      <c r="AA1111" s="14" t="str">
        <f>IFERROR(__xludf.DUMMYFUNCTION("""COMPUTED_VALUE"""),"2004")</f>
        <v>2004</v>
      </c>
      <c r="AB1111" s="15" t="str">
        <f>IFERROR(__xludf.DUMMYFUNCTION("ARRAYFORMULA(VLOOKUP(A1111,IMPORTRANGE(""https://docs.google.com/spreadsheets/d/1BuTWp7qHGjWhqrnf-OmePP568O4A5Am9ttzvVdP67zw/edit#gid=1931367683"" ,""ENERGY!$A$2:$F$2692""), {2,3,4,5,6},0))"),"Asia")</f>
        <v>Asia</v>
      </c>
      <c r="AC1111" s="14" t="str">
        <f>IFERROR(__xludf.DUMMYFUNCTION("""COMPUTED_VALUE"""),"Indonesia-Asia")</f>
        <v>Indonesia-Asia</v>
      </c>
      <c r="AD1111" s="14" t="str">
        <f>IFERROR(__xludf.DUMMYFUNCTION("""COMPUTED_VALUE"""),"2004")</f>
        <v>2004</v>
      </c>
      <c r="AE1111" s="14">
        <f>IFERROR(__xludf.DUMMYFUNCTION("""COMPUTED_VALUE"""),186605.0)</f>
        <v>186605</v>
      </c>
      <c r="AF1111" s="14">
        <f>IFERROR(__xludf.DUMMYFUNCTION("""COMPUTED_VALUE"""),412387.0)</f>
        <v>412387</v>
      </c>
    </row>
    <row r="1112">
      <c r="A1112" s="12">
        <v>1111.0</v>
      </c>
      <c r="B1112" s="12" t="s">
        <v>164</v>
      </c>
      <c r="C1112" s="5" t="s">
        <v>61</v>
      </c>
      <c r="D1112" s="11">
        <v>0.375</v>
      </c>
      <c r="E1112" s="11">
        <v>151.0</v>
      </c>
      <c r="F1112" s="8"/>
      <c r="G1112" s="11">
        <v>560.0</v>
      </c>
      <c r="H1112" s="11">
        <v>0.036</v>
      </c>
      <c r="I1112" s="11">
        <v>0.209</v>
      </c>
      <c r="J1112" s="9" t="s">
        <v>66</v>
      </c>
      <c r="K1112" s="14" t="str">
        <f>IFERROR(__xludf.DUMMYFUNCTION("ARRAYFORMULA(VLOOKUP(A1112,IMPORTRANGE(""https://docs.google.com/spreadsheets/d/1BuTWp7qHGjWhqrnf-OmePP568O4A5Am9ttzvVdP67zw/edit#gid=1603210130"", ""TOURISM!$A$2:$F$2692""), {2,3,4,5,6},0))"),"Asia")</f>
        <v>Asia</v>
      </c>
      <c r="L1112" s="14">
        <f>IFERROR(__xludf.DUMMYFUNCTION("""COMPUTED_VALUE"""),5.094E9)</f>
        <v>5094000000</v>
      </c>
      <c r="M1112" s="14" t="str">
        <f>IFERROR(__xludf.DUMMYFUNCTION("""COMPUTED_VALUE"""),"Indonesia-Asia")</f>
        <v>Indonesia-Asia</v>
      </c>
      <c r="N1112" s="14" t="str">
        <f>IFERROR(__xludf.DUMMYFUNCTION("""COMPUTED_VALUE"""),"2005")</f>
        <v>2005</v>
      </c>
      <c r="O1112" s="14">
        <f>IFERROR(__xludf.DUMMYFUNCTION("""COMPUTED_VALUE"""),4.74E9)</f>
        <v>4740000000</v>
      </c>
      <c r="P1112" s="15">
        <f>IFERROR(__xludf.DUMMYFUNCTION("ARRAYFORMULA(VLOOKUP(A1112,IMPORTRANGE(""https://docs.google.com/spreadsheets/d/1BuTWp7qHGjWhqrnf-OmePP568O4A5Am9ttzvVdP67zw/edit#gid=771602874"" ,""HUMAN RESOURCES!$A$2:$M$2692""), {2,3,4,5,6,7,8,9,10,11,12,13},0))"),0.021)</f>
        <v>0.021</v>
      </c>
      <c r="Q1112" s="14">
        <f>IFERROR(__xludf.DUMMYFUNCTION("""COMPUTED_VALUE"""),0.033)</f>
        <v>0.033</v>
      </c>
      <c r="R1112" s="14">
        <f>IFERROR(__xludf.DUMMYFUNCTION("""COMPUTED_VALUE"""),71.0)</f>
        <v>71</v>
      </c>
      <c r="S1112" s="14">
        <f>IFERROR(__xludf.DUMMYFUNCTION("""COMPUTED_VALUE"""),67.0)</f>
        <v>67</v>
      </c>
      <c r="T1112" s="14">
        <f>IFERROR(__xludf.DUMMYFUNCTION("""COMPUTED_VALUE"""),0.3)</f>
        <v>0.3</v>
      </c>
      <c r="U1112" s="14">
        <f>IFERROR(__xludf.DUMMYFUNCTION("""COMPUTED_VALUE"""),0.651)</f>
        <v>0.651</v>
      </c>
      <c r="V1112" s="14">
        <f>IFERROR(__xludf.DUMMYFUNCTION("""COMPUTED_VALUE"""),0.049)</f>
        <v>0.049</v>
      </c>
      <c r="W1112" s="14">
        <f>IFERROR(__xludf.DUMMYFUNCTION("""COMPUTED_VALUE"""),2.24480901E8)</f>
        <v>224480901</v>
      </c>
      <c r="X1112" s="14">
        <f>IFERROR(__xludf.DUMMYFUNCTION("""COMPUTED_VALUE"""),0.459)</f>
        <v>0.459</v>
      </c>
      <c r="Y1112" s="14" t="str">
        <f>IFERROR(__xludf.DUMMYFUNCTION("""COMPUTED_VALUE"""),"Indonesia-Asia")</f>
        <v>Indonesia-Asia</v>
      </c>
      <c r="Z1112" s="14" t="str">
        <f>IFERROR(__xludf.DUMMYFUNCTION("""COMPUTED_VALUE"""),"Asia")</f>
        <v>Asia</v>
      </c>
      <c r="AA1112" s="14" t="str">
        <f>IFERROR(__xludf.DUMMYFUNCTION("""COMPUTED_VALUE"""),"2005")</f>
        <v>2005</v>
      </c>
      <c r="AB1112" s="15" t="str">
        <f>IFERROR(__xludf.DUMMYFUNCTION("ARRAYFORMULA(VLOOKUP(A1112,IMPORTRANGE(""https://docs.google.com/spreadsheets/d/1BuTWp7qHGjWhqrnf-OmePP568O4A5Am9ttzvVdP67zw/edit#gid=1931367683"" ,""ENERGY!$A$2:$F$2692""), {2,3,4,5,6},0))"),"Asia")</f>
        <v>Asia</v>
      </c>
      <c r="AC1112" s="14" t="str">
        <f>IFERROR(__xludf.DUMMYFUNCTION("""COMPUTED_VALUE"""),"Indonesia-Asia")</f>
        <v>Indonesia-Asia</v>
      </c>
      <c r="AD1112" s="14" t="str">
        <f>IFERROR(__xludf.DUMMYFUNCTION("""COMPUTED_VALUE"""),"2007")</f>
        <v>2007</v>
      </c>
      <c r="AE1112" s="14">
        <f>IFERROR(__xludf.DUMMYFUNCTION("""COMPUTED_VALUE"""),182885.0)</f>
        <v>182885</v>
      </c>
      <c r="AF1112" s="14">
        <f>IFERROR(__xludf.DUMMYFUNCTION("""COMPUTED_VALUE"""),375545.0)</f>
        <v>375545</v>
      </c>
    </row>
    <row r="1113">
      <c r="A1113" s="12">
        <v>1112.0</v>
      </c>
      <c r="B1113" s="12" t="s">
        <v>164</v>
      </c>
      <c r="C1113" s="5" t="s">
        <v>61</v>
      </c>
      <c r="D1113" s="11">
        <v>0.375</v>
      </c>
      <c r="E1113" s="11">
        <v>97.0</v>
      </c>
      <c r="F1113" s="8"/>
      <c r="G1113" s="11">
        <v>576.0</v>
      </c>
      <c r="H1113" s="11">
        <v>0.048</v>
      </c>
      <c r="I1113" s="11">
        <v>0.28</v>
      </c>
      <c r="J1113" s="9" t="s">
        <v>67</v>
      </c>
      <c r="K1113" s="14" t="str">
        <f>IFERROR(__xludf.DUMMYFUNCTION("ARRAYFORMULA(VLOOKUP(A1113,IMPORTRANGE(""https://docs.google.com/spreadsheets/d/1BuTWp7qHGjWhqrnf-OmePP568O4A5Am9ttzvVdP67zw/edit#gid=1603210130"", ""TOURISM!$A$2:$F$2692""), {2,3,4,5,6},0))"),"Asia")</f>
        <v>Asia</v>
      </c>
      <c r="L1113" s="14">
        <f>IFERROR(__xludf.DUMMYFUNCTION("""COMPUTED_VALUE"""),4.89E9)</f>
        <v>4890000000</v>
      </c>
      <c r="M1113" s="14" t="str">
        <f>IFERROR(__xludf.DUMMYFUNCTION("""COMPUTED_VALUE"""),"Indonesia-Asia")</f>
        <v>Indonesia-Asia</v>
      </c>
      <c r="N1113" s="14" t="str">
        <f>IFERROR(__xludf.DUMMYFUNCTION("""COMPUTED_VALUE"""),"2006")</f>
        <v>2006</v>
      </c>
      <c r="O1113" s="14">
        <f>IFERROR(__xludf.DUMMYFUNCTION("""COMPUTED_VALUE"""),5.458E9)</f>
        <v>5458000000</v>
      </c>
      <c r="P1113" s="15">
        <f>IFERROR(__xludf.DUMMYFUNCTION("ARRAYFORMULA(VLOOKUP(A1113,IMPORTRANGE(""https://docs.google.com/spreadsheets/d/1BuTWp7qHGjWhqrnf-OmePP568O4A5Am9ttzvVdP67zw/edit#gid=771602874"" ,""HUMAN RESOURCES!$A$2:$M$2692""), {2,3,4,5,6,7,8,9,10,11,12,13},0))"),0.021)</f>
        <v>0.021</v>
      </c>
      <c r="Q1113" s="14">
        <f>IFERROR(__xludf.DUMMYFUNCTION("""COMPUTED_VALUE"""),0.032)</f>
        <v>0.032</v>
      </c>
      <c r="R1113" s="14">
        <f>IFERROR(__xludf.DUMMYFUNCTION("""COMPUTED_VALUE"""),71.0)</f>
        <v>71</v>
      </c>
      <c r="S1113" s="14">
        <f>IFERROR(__xludf.DUMMYFUNCTION("""COMPUTED_VALUE"""),67.0)</f>
        <v>67</v>
      </c>
      <c r="T1113" s="14">
        <f>IFERROR(__xludf.DUMMYFUNCTION("""COMPUTED_VALUE"""),0.3)</f>
        <v>0.3</v>
      </c>
      <c r="U1113" s="14">
        <f>IFERROR(__xludf.DUMMYFUNCTION("""COMPUTED_VALUE"""),0.651)</f>
        <v>0.651</v>
      </c>
      <c r="V1113" s="14">
        <f>IFERROR(__xludf.DUMMYFUNCTION("""COMPUTED_VALUE"""),0.049)</f>
        <v>0.049</v>
      </c>
      <c r="W1113" s="14">
        <f>IFERROR(__xludf.DUMMYFUNCTION("""COMPUTED_VALUE"""),2.27709821E8)</f>
        <v>227709821</v>
      </c>
      <c r="X1113" s="14">
        <f>IFERROR(__xludf.DUMMYFUNCTION("""COMPUTED_VALUE"""),0.467)</f>
        <v>0.467</v>
      </c>
      <c r="Y1113" s="14" t="str">
        <f>IFERROR(__xludf.DUMMYFUNCTION("""COMPUTED_VALUE"""),"Indonesia-Asia")</f>
        <v>Indonesia-Asia</v>
      </c>
      <c r="Z1113" s="14" t="str">
        <f>IFERROR(__xludf.DUMMYFUNCTION("""COMPUTED_VALUE"""),"Asia")</f>
        <v>Asia</v>
      </c>
      <c r="AA1113" s="14" t="str">
        <f>IFERROR(__xludf.DUMMYFUNCTION("""COMPUTED_VALUE"""),"2006")</f>
        <v>2006</v>
      </c>
      <c r="AB1113" s="15" t="str">
        <f>IFERROR(__xludf.DUMMYFUNCTION("ARRAYFORMULA(VLOOKUP(A1113,IMPORTRANGE(""https://docs.google.com/spreadsheets/d/1BuTWp7qHGjWhqrnf-OmePP568O4A5Am9ttzvVdP67zw/edit#gid=1931367683"" ,""ENERGY!$A$2:$F$2692""), {2,3,4,5,6},0))"),"Asia")</f>
        <v>Asia</v>
      </c>
      <c r="AC1113" s="14" t="str">
        <f>IFERROR(__xludf.DUMMYFUNCTION("""COMPUTED_VALUE"""),"Indonesia-Asia")</f>
        <v>Indonesia-Asia</v>
      </c>
      <c r="AD1113" s="14" t="str">
        <f>IFERROR(__xludf.DUMMYFUNCTION("""COMPUTED_VALUE"""),"2011")</f>
        <v>2011</v>
      </c>
      <c r="AE1113" s="14">
        <f>IFERROR(__xludf.DUMMYFUNCTION("""COMPUTED_VALUE"""),183726.0)</f>
        <v>183726</v>
      </c>
      <c r="AF1113" s="14">
        <f>IFERROR(__xludf.DUMMYFUNCTION("""COMPUTED_VALUE"""),345120.0)</f>
        <v>345120</v>
      </c>
    </row>
    <row r="1114">
      <c r="A1114" s="12">
        <v>1113.0</v>
      </c>
      <c r="B1114" s="12" t="s">
        <v>164</v>
      </c>
      <c r="C1114" s="5" t="s">
        <v>61</v>
      </c>
      <c r="D1114" s="11">
        <v>0.375</v>
      </c>
      <c r="E1114" s="11">
        <v>105.0</v>
      </c>
      <c r="F1114" s="8"/>
      <c r="G1114" s="11">
        <v>266.0</v>
      </c>
      <c r="H1114" s="11">
        <v>0.058</v>
      </c>
      <c r="I1114" s="11">
        <v>0.404</v>
      </c>
      <c r="J1114" s="9" t="s">
        <v>68</v>
      </c>
      <c r="K1114" s="14" t="str">
        <f>IFERROR(__xludf.DUMMYFUNCTION("ARRAYFORMULA(VLOOKUP(A1114,IMPORTRANGE(""https://docs.google.com/spreadsheets/d/1BuTWp7qHGjWhqrnf-OmePP568O4A5Am9ttzvVdP67zw/edit#gid=1603210130"", ""TOURISM!$A$2:$F$2692""), {2,3,4,5,6},0))"),"Asia")</f>
        <v>Asia</v>
      </c>
      <c r="L1114" s="14">
        <f>IFERROR(__xludf.DUMMYFUNCTION("""COMPUTED_VALUE"""),5.831E9)</f>
        <v>5831000000</v>
      </c>
      <c r="M1114" s="14" t="str">
        <f>IFERROR(__xludf.DUMMYFUNCTION("""COMPUTED_VALUE"""),"Indonesia-Asia")</f>
        <v>Indonesia-Asia</v>
      </c>
      <c r="N1114" s="14" t="str">
        <f>IFERROR(__xludf.DUMMYFUNCTION("""COMPUTED_VALUE"""),"2007")</f>
        <v>2007</v>
      </c>
      <c r="O1114" s="14">
        <f>IFERROR(__xludf.DUMMYFUNCTION("""COMPUTED_VALUE"""),6.578E9)</f>
        <v>6578000000</v>
      </c>
      <c r="P1114" s="15">
        <f>IFERROR(__xludf.DUMMYFUNCTION("ARRAYFORMULA(VLOOKUP(A1114,IMPORTRANGE(""https://docs.google.com/spreadsheets/d/1BuTWp7qHGjWhqrnf-OmePP568O4A5Am9ttzvVdP67zw/edit#gid=771602874"" ,""HUMAN RESOURCES!$A$2:$M$2692""), {2,3,4,5,6,7,8,9,10,11,12,13},0))"),0.021)</f>
        <v>0.021</v>
      </c>
      <c r="Q1114" s="14">
        <f>IFERROR(__xludf.DUMMYFUNCTION("""COMPUTED_VALUE"""),0.031)</f>
        <v>0.031</v>
      </c>
      <c r="R1114" s="14">
        <f>IFERROR(__xludf.DUMMYFUNCTION("""COMPUTED_VALUE"""),71.0)</f>
        <v>71</v>
      </c>
      <c r="S1114" s="14">
        <f>IFERROR(__xludf.DUMMYFUNCTION("""COMPUTED_VALUE"""),67.0)</f>
        <v>67</v>
      </c>
      <c r="T1114" s="14">
        <f>IFERROR(__xludf.DUMMYFUNCTION("""COMPUTED_VALUE"""),0.3)</f>
        <v>0.3</v>
      </c>
      <c r="U1114" s="14">
        <f>IFERROR(__xludf.DUMMYFUNCTION("""COMPUTED_VALUE"""),0.651)</f>
        <v>0.651</v>
      </c>
      <c r="V1114" s="14">
        <f>IFERROR(__xludf.DUMMYFUNCTION("""COMPUTED_VALUE"""),0.049)</f>
        <v>0.049</v>
      </c>
      <c r="W1114" s="14">
        <f>IFERROR(__xludf.DUMMYFUNCTION("""COMPUTED_VALUE"""),2.30972808E8)</f>
        <v>230972808</v>
      </c>
      <c r="X1114" s="14">
        <f>IFERROR(__xludf.DUMMYFUNCTION("""COMPUTED_VALUE"""),0.475)</f>
        <v>0.475</v>
      </c>
      <c r="Y1114" s="14" t="str">
        <f>IFERROR(__xludf.DUMMYFUNCTION("""COMPUTED_VALUE"""),"Indonesia-Asia")</f>
        <v>Indonesia-Asia</v>
      </c>
      <c r="Z1114" s="14" t="str">
        <f>IFERROR(__xludf.DUMMYFUNCTION("""COMPUTED_VALUE"""),"Asia")</f>
        <v>Asia</v>
      </c>
      <c r="AA1114" s="14" t="str">
        <f>IFERROR(__xludf.DUMMYFUNCTION("""COMPUTED_VALUE"""),"2007")</f>
        <v>2007</v>
      </c>
      <c r="AB1114" s="15" t="str">
        <f>IFERROR(__xludf.DUMMYFUNCTION("ARRAYFORMULA(VLOOKUP(A1114,IMPORTRANGE(""https://docs.google.com/spreadsheets/d/1BuTWp7qHGjWhqrnf-OmePP568O4A5Am9ttzvVdP67zw/edit#gid=1931367683"" ,""ENERGY!$A$2:$F$2692""), {2,3,4,5,6},0))"),"Asia")</f>
        <v>Asia</v>
      </c>
      <c r="AC1114" s="14" t="str">
        <f>IFERROR(__xludf.DUMMYFUNCTION("""COMPUTED_VALUE"""),"Indonesia-Asia")</f>
        <v>Indonesia-Asia</v>
      </c>
      <c r="AD1114" s="14" t="str">
        <f>IFERROR(__xludf.DUMMYFUNCTION("""COMPUTED_VALUE"""),"2008")</f>
        <v>2008</v>
      </c>
      <c r="AE1114" s="14">
        <f>IFERROR(__xludf.DUMMYFUNCTION("""COMPUTED_VALUE"""),179461.0)</f>
        <v>179461</v>
      </c>
      <c r="AF1114" s="14">
        <f>IFERROR(__xludf.DUMMYFUNCTION("""COMPUTED_VALUE"""),341992.0)</f>
        <v>341992</v>
      </c>
    </row>
    <row r="1115">
      <c r="A1115" s="12">
        <v>1114.0</v>
      </c>
      <c r="B1115" s="12" t="s">
        <v>164</v>
      </c>
      <c r="C1115" s="5" t="s">
        <v>61</v>
      </c>
      <c r="D1115" s="11">
        <v>0.375</v>
      </c>
      <c r="E1115" s="11">
        <v>77.0</v>
      </c>
      <c r="F1115" s="8"/>
      <c r="G1115" s="11">
        <v>266.0</v>
      </c>
      <c r="H1115" s="11">
        <v>0.079</v>
      </c>
      <c r="I1115" s="11">
        <v>0.6</v>
      </c>
      <c r="J1115" s="9" t="s">
        <v>69</v>
      </c>
      <c r="K1115" s="14" t="str">
        <f>IFERROR(__xludf.DUMMYFUNCTION("ARRAYFORMULA(VLOOKUP(A1115,IMPORTRANGE(""https://docs.google.com/spreadsheets/d/1BuTWp7qHGjWhqrnf-OmePP568O4A5Am9ttzvVdP67zw/edit#gid=1603210130"", ""TOURISM!$A$2:$F$2692""), {2,3,4,5,6},0))"),"Asia")</f>
        <v>Asia</v>
      </c>
      <c r="L1115" s="14">
        <f>IFERROR(__xludf.DUMMYFUNCTION("""COMPUTED_VALUE"""),8.15E9)</f>
        <v>8150000000</v>
      </c>
      <c r="M1115" s="14" t="str">
        <f>IFERROR(__xludf.DUMMYFUNCTION("""COMPUTED_VALUE"""),"Indonesia-Asia")</f>
        <v>Indonesia-Asia</v>
      </c>
      <c r="N1115" s="14" t="str">
        <f>IFERROR(__xludf.DUMMYFUNCTION("""COMPUTED_VALUE"""),"2008")</f>
        <v>2008</v>
      </c>
      <c r="O1115" s="14">
        <f>IFERROR(__xludf.DUMMYFUNCTION("""COMPUTED_VALUE"""),8.801E9)</f>
        <v>8801000000</v>
      </c>
      <c r="P1115" s="15">
        <f>IFERROR(__xludf.DUMMYFUNCTION("ARRAYFORMULA(VLOOKUP(A1115,IMPORTRANGE(""https://docs.google.com/spreadsheets/d/1BuTWp7qHGjWhqrnf-OmePP568O4A5Am9ttzvVdP67zw/edit#gid=771602874"" ,""HUMAN RESOURCES!$A$2:$M$2692""), {2,3,4,5,6,7,8,9,10,11,12,13},0))"),0.021)</f>
        <v>0.021</v>
      </c>
      <c r="Q1115" s="14">
        <f>IFERROR(__xludf.DUMMYFUNCTION("""COMPUTED_VALUE"""),0.03)</f>
        <v>0.03</v>
      </c>
      <c r="R1115" s="14">
        <f>IFERROR(__xludf.DUMMYFUNCTION("""COMPUTED_VALUE"""),72.0)</f>
        <v>72</v>
      </c>
      <c r="S1115" s="14">
        <f>IFERROR(__xludf.DUMMYFUNCTION("""COMPUTED_VALUE"""),68.0)</f>
        <v>68</v>
      </c>
      <c r="T1115" s="14">
        <f>IFERROR(__xludf.DUMMYFUNCTION("""COMPUTED_VALUE"""),0.3)</f>
        <v>0.3</v>
      </c>
      <c r="U1115" s="14">
        <f>IFERROR(__xludf.DUMMYFUNCTION("""COMPUTED_VALUE"""),0.65)</f>
        <v>0.65</v>
      </c>
      <c r="V1115" s="14">
        <f>IFERROR(__xludf.DUMMYFUNCTION("""COMPUTED_VALUE"""),0.049)</f>
        <v>0.049</v>
      </c>
      <c r="W1115" s="14">
        <f>IFERROR(__xludf.DUMMYFUNCTION("""COMPUTED_VALUE"""),2.34243489E8)</f>
        <v>234243489</v>
      </c>
      <c r="X1115" s="14">
        <f>IFERROR(__xludf.DUMMYFUNCTION("""COMPUTED_VALUE"""),0.483)</f>
        <v>0.483</v>
      </c>
      <c r="Y1115" s="14" t="str">
        <f>IFERROR(__xludf.DUMMYFUNCTION("""COMPUTED_VALUE"""),"Indonesia-Asia")</f>
        <v>Indonesia-Asia</v>
      </c>
      <c r="Z1115" s="14" t="str">
        <f>IFERROR(__xludf.DUMMYFUNCTION("""COMPUTED_VALUE"""),"Asia")</f>
        <v>Asia</v>
      </c>
      <c r="AA1115" s="14" t="str">
        <f>IFERROR(__xludf.DUMMYFUNCTION("""COMPUTED_VALUE"""),"2008")</f>
        <v>2008</v>
      </c>
      <c r="AB1115" s="15" t="str">
        <f>IFERROR(__xludf.DUMMYFUNCTION("ARRAYFORMULA(VLOOKUP(A1115,IMPORTRANGE(""https://docs.google.com/spreadsheets/d/1BuTWp7qHGjWhqrnf-OmePP568O4A5Am9ttzvVdP67zw/edit#gid=1931367683"" ,""ENERGY!$A$2:$F$2692""), {2,3,4,5,6},0))"),"Asia")</f>
        <v>Asia</v>
      </c>
      <c r="AC1115" s="14" t="str">
        <f>IFERROR(__xludf.DUMMYFUNCTION("""COMPUTED_VALUE"""),"Indonesia-Asia")</f>
        <v>Indonesia-Asia</v>
      </c>
      <c r="AD1115" s="14" t="str">
        <f>IFERROR(__xludf.DUMMYFUNCTION("""COMPUTED_VALUE"""),"2005")</f>
        <v>2005</v>
      </c>
      <c r="AE1115" s="14">
        <f>IFERROR(__xludf.DUMMYFUNCTION("""COMPUTED_VALUE"""),176238.0)</f>
        <v>176238</v>
      </c>
      <c r="AF1115" s="14">
        <f>IFERROR(__xludf.DUMMYFUNCTION("""COMPUTED_VALUE"""),337635.0)</f>
        <v>337635</v>
      </c>
    </row>
    <row r="1116">
      <c r="A1116" s="12">
        <v>1115.0</v>
      </c>
      <c r="B1116" s="12" t="s">
        <v>164</v>
      </c>
      <c r="C1116" s="5" t="s">
        <v>61</v>
      </c>
      <c r="D1116" s="11">
        <v>0.378</v>
      </c>
      <c r="E1116" s="11">
        <v>63.0</v>
      </c>
      <c r="F1116" s="8"/>
      <c r="G1116" s="11">
        <v>266.0</v>
      </c>
      <c r="H1116" s="11">
        <v>0.069</v>
      </c>
      <c r="I1116" s="11">
        <v>0.689</v>
      </c>
      <c r="J1116" s="9" t="s">
        <v>70</v>
      </c>
      <c r="K1116" s="14" t="str">
        <f>IFERROR(__xludf.DUMMYFUNCTION("ARRAYFORMULA(VLOOKUP(A1116,IMPORTRANGE(""https://docs.google.com/spreadsheets/d/1BuTWp7qHGjWhqrnf-OmePP568O4A5Am9ttzvVdP67zw/edit#gid=1603210130"", ""TOURISM!$A$2:$F$2692""), {2,3,4,5,6},0))"),"Asia")</f>
        <v>Asia</v>
      </c>
      <c r="L1116" s="14">
        <f>IFERROR(__xludf.DUMMYFUNCTION("""COMPUTED_VALUE"""),6.053E9)</f>
        <v>6053000000</v>
      </c>
      <c r="M1116" s="14" t="str">
        <f>IFERROR(__xludf.DUMMYFUNCTION("""COMPUTED_VALUE"""),"Indonesia-Asia")</f>
        <v>Indonesia-Asia</v>
      </c>
      <c r="N1116" s="14" t="str">
        <f>IFERROR(__xludf.DUMMYFUNCTION("""COMPUTED_VALUE"""),"2009")</f>
        <v>2009</v>
      </c>
      <c r="O1116" s="14">
        <f>IFERROR(__xludf.DUMMYFUNCTION("""COMPUTED_VALUE"""),6.908E9)</f>
        <v>6908000000</v>
      </c>
      <c r="P1116" s="15">
        <f>IFERROR(__xludf.DUMMYFUNCTION("ARRAYFORMULA(VLOOKUP(A1116,IMPORTRANGE(""https://docs.google.com/spreadsheets/d/1BuTWp7qHGjWhqrnf-OmePP568O4A5Am9ttzvVdP67zw/edit#gid=771602874"" ,""HUMAN RESOURCES!$A$2:$M$2692""), {2,3,4,5,6,7,8,9,10,11,12,13},0))"),0.02)</f>
        <v>0.02</v>
      </c>
      <c r="Q1116" s="14">
        <f>IFERROR(__xludf.DUMMYFUNCTION("""COMPUTED_VALUE"""),0.029)</f>
        <v>0.029</v>
      </c>
      <c r="R1116" s="14">
        <f>IFERROR(__xludf.DUMMYFUNCTION("""COMPUTED_VALUE"""),72.0)</f>
        <v>72</v>
      </c>
      <c r="S1116" s="14">
        <f>IFERROR(__xludf.DUMMYFUNCTION("""COMPUTED_VALUE"""),68.0)</f>
        <v>68</v>
      </c>
      <c r="T1116" s="14">
        <f>IFERROR(__xludf.DUMMYFUNCTION("""COMPUTED_VALUE"""),0.3)</f>
        <v>0.3</v>
      </c>
      <c r="U1116" s="14">
        <f>IFERROR(__xludf.DUMMYFUNCTION("""COMPUTED_VALUE"""),0.651)</f>
        <v>0.651</v>
      </c>
      <c r="V1116" s="14">
        <f>IFERROR(__xludf.DUMMYFUNCTION("""COMPUTED_VALUE"""),0.05)</f>
        <v>0.05</v>
      </c>
      <c r="W1116" s="14">
        <f>IFERROR(__xludf.DUMMYFUNCTION("""COMPUTED_VALUE"""),2.37486894E8)</f>
        <v>237486894</v>
      </c>
      <c r="X1116" s="14">
        <f>IFERROR(__xludf.DUMMYFUNCTION("""COMPUTED_VALUE"""),0.491)</f>
        <v>0.491</v>
      </c>
      <c r="Y1116" s="14" t="str">
        <f>IFERROR(__xludf.DUMMYFUNCTION("""COMPUTED_VALUE"""),"Indonesia-Asia")</f>
        <v>Indonesia-Asia</v>
      </c>
      <c r="Z1116" s="14" t="str">
        <f>IFERROR(__xludf.DUMMYFUNCTION("""COMPUTED_VALUE"""),"Asia")</f>
        <v>Asia</v>
      </c>
      <c r="AA1116" s="14" t="str">
        <f>IFERROR(__xludf.DUMMYFUNCTION("""COMPUTED_VALUE"""),"2009")</f>
        <v>2009</v>
      </c>
      <c r="AB1116" s="15" t="str">
        <f>IFERROR(__xludf.DUMMYFUNCTION("ARRAYFORMULA(VLOOKUP(A1116,IMPORTRANGE(""https://docs.google.com/spreadsheets/d/1BuTWp7qHGjWhqrnf-OmePP568O4A5Am9ttzvVdP67zw/edit#gid=1931367683"" ,""ENERGY!$A$2:$F$2692""), {2,3,4,5,6},0))"),"Asia")</f>
        <v>Asia</v>
      </c>
      <c r="AC1116" s="14" t="str">
        <f>IFERROR(__xludf.DUMMYFUNCTION("""COMPUTED_VALUE"""),"Indonesia-Asia")</f>
        <v>Indonesia-Asia</v>
      </c>
      <c r="AD1116" s="14" t="str">
        <f>IFERROR(__xludf.DUMMYFUNCTION("""COMPUTED_VALUE"""),"2010")</f>
        <v>2010</v>
      </c>
      <c r="AE1116" s="14">
        <f>IFERROR(__xludf.DUMMYFUNCTION("""COMPUTED_VALUE"""),165366.0)</f>
        <v>165366</v>
      </c>
      <c r="AF1116" s="14">
        <f>IFERROR(__xludf.DUMMYFUNCTION("""COMPUTED_VALUE"""),316792.0)</f>
        <v>316792</v>
      </c>
    </row>
    <row r="1117">
      <c r="A1117" s="12">
        <v>1116.0</v>
      </c>
      <c r="B1117" s="12" t="s">
        <v>164</v>
      </c>
      <c r="C1117" s="5" t="s">
        <v>61</v>
      </c>
      <c r="D1117" s="11">
        <v>0.322</v>
      </c>
      <c r="E1117" s="11">
        <v>50.0</v>
      </c>
      <c r="F1117" s="8"/>
      <c r="G1117" s="11">
        <v>266.0</v>
      </c>
      <c r="H1117" s="11">
        <v>0.109</v>
      </c>
      <c r="I1117" s="11">
        <v>0.878</v>
      </c>
      <c r="J1117" s="9" t="s">
        <v>71</v>
      </c>
      <c r="K1117" s="14" t="str">
        <f>IFERROR(__xludf.DUMMYFUNCTION("ARRAYFORMULA(VLOOKUP(A1117,IMPORTRANGE(""https://docs.google.com/spreadsheets/d/1BuTWp7qHGjWhqrnf-OmePP568O4A5Am9ttzvVdP67zw/edit#gid=1603210130"", ""TOURISM!$A$2:$F$2692""), {2,3,4,5,6},0))"),"Asia")</f>
        <v>Asia</v>
      </c>
      <c r="L1117" s="14">
        <f>IFERROR(__xludf.DUMMYFUNCTION("""COMPUTED_VALUE"""),7.618E9)</f>
        <v>7618000000</v>
      </c>
      <c r="M1117" s="14" t="str">
        <f>IFERROR(__xludf.DUMMYFUNCTION("""COMPUTED_VALUE"""),"Indonesia-Asia")</f>
        <v>Indonesia-Asia</v>
      </c>
      <c r="N1117" s="14" t="str">
        <f>IFERROR(__xludf.DUMMYFUNCTION("""COMPUTED_VALUE"""),"2010")</f>
        <v>2010</v>
      </c>
      <c r="O1117" s="14">
        <f>IFERROR(__xludf.DUMMYFUNCTION("""COMPUTED_VALUE"""),8.432E9)</f>
        <v>8432000000</v>
      </c>
      <c r="P1117" s="15">
        <f>IFERROR(__xludf.DUMMYFUNCTION("ARRAYFORMULA(VLOOKUP(A1117,IMPORTRANGE(""https://docs.google.com/spreadsheets/d/1BuTWp7qHGjWhqrnf-OmePP568O4A5Am9ttzvVdP67zw/edit#gid=771602874"" ,""HUMAN RESOURCES!$A$2:$M$2692""), {2,3,4,5,6,7,8,9,10,11,12,13},0))"),0.02)</f>
        <v>0.02</v>
      </c>
      <c r="Q1117" s="14">
        <f>IFERROR(__xludf.DUMMYFUNCTION("""COMPUTED_VALUE"""),0.027)</f>
        <v>0.027</v>
      </c>
      <c r="R1117" s="14">
        <f>IFERROR(__xludf.DUMMYFUNCTION("""COMPUTED_VALUE"""),72.0)</f>
        <v>72</v>
      </c>
      <c r="S1117" s="14">
        <f>IFERROR(__xludf.DUMMYFUNCTION("""COMPUTED_VALUE"""),68.0)</f>
        <v>68</v>
      </c>
      <c r="T1117" s="14">
        <f>IFERROR(__xludf.DUMMYFUNCTION("""COMPUTED_VALUE"""),0.298)</f>
        <v>0.298</v>
      </c>
      <c r="U1117" s="14">
        <f>IFERROR(__xludf.DUMMYFUNCTION("""COMPUTED_VALUE"""),0.652)</f>
        <v>0.652</v>
      </c>
      <c r="V1117" s="14">
        <f>IFERROR(__xludf.DUMMYFUNCTION("""COMPUTED_VALUE"""),0.05)</f>
        <v>0.05</v>
      </c>
      <c r="W1117" s="14">
        <f>IFERROR(__xludf.DUMMYFUNCTION("""COMPUTED_VALUE"""),2.40676485E8)</f>
        <v>240676485</v>
      </c>
      <c r="X1117" s="14">
        <f>IFERROR(__xludf.DUMMYFUNCTION("""COMPUTED_VALUE"""),0.499)</f>
        <v>0.499</v>
      </c>
      <c r="Y1117" s="14" t="str">
        <f>IFERROR(__xludf.DUMMYFUNCTION("""COMPUTED_VALUE"""),"Indonesia-Asia")</f>
        <v>Indonesia-Asia</v>
      </c>
      <c r="Z1117" s="14" t="str">
        <f>IFERROR(__xludf.DUMMYFUNCTION("""COMPUTED_VALUE"""),"Asia")</f>
        <v>Asia</v>
      </c>
      <c r="AA1117" s="14" t="str">
        <f>IFERROR(__xludf.DUMMYFUNCTION("""COMPUTED_VALUE"""),"2010")</f>
        <v>2010</v>
      </c>
      <c r="AB1117" s="15" t="str">
        <f>IFERROR(__xludf.DUMMYFUNCTION("ARRAYFORMULA(VLOOKUP(A1117,IMPORTRANGE(""https://docs.google.com/spreadsheets/d/1BuTWp7qHGjWhqrnf-OmePP568O4A5Am9ttzvVdP67zw/edit#gid=1931367683"" ,""ENERGY!$A$2:$F$2692""), {2,3,4,5,6},0))"),"Asia")</f>
        <v>Asia</v>
      </c>
      <c r="AC1117" s="14" t="str">
        <f>IFERROR(__xludf.DUMMYFUNCTION("""COMPUTED_VALUE"""),"Indonesia-Asia")</f>
        <v>Indonesia-Asia</v>
      </c>
      <c r="AD1117" s="14" t="str">
        <f>IFERROR(__xludf.DUMMYFUNCTION("""COMPUTED_VALUE"""),"2010")</f>
        <v>2010</v>
      </c>
      <c r="AE1117" s="14">
        <f>IFERROR(__xludf.DUMMYFUNCTION("""COMPUTED_VALUE"""),164879.0)</f>
        <v>164879</v>
      </c>
      <c r="AF1117" s="14">
        <f>IFERROR(__xludf.DUMMYFUNCTION("""COMPUTED_VALUE"""),306737.0)</f>
        <v>306737</v>
      </c>
    </row>
    <row r="1118">
      <c r="A1118" s="12">
        <v>1117.0</v>
      </c>
      <c r="B1118" s="12" t="s">
        <v>164</v>
      </c>
      <c r="C1118" s="5" t="s">
        <v>61</v>
      </c>
      <c r="D1118" s="11">
        <v>0.322</v>
      </c>
      <c r="E1118" s="11">
        <v>48.0</v>
      </c>
      <c r="F1118" s="8"/>
      <c r="G1118" s="11">
        <v>266.0</v>
      </c>
      <c r="H1118" s="11">
        <v>0.111</v>
      </c>
      <c r="I1118" s="11">
        <v>1.025</v>
      </c>
      <c r="J1118" s="9" t="s">
        <v>72</v>
      </c>
      <c r="K1118" s="14" t="str">
        <f>IFERROR(__xludf.DUMMYFUNCTION("ARRAYFORMULA(VLOOKUP(A1118,IMPORTRANGE(""https://docs.google.com/spreadsheets/d/1BuTWp7qHGjWhqrnf-OmePP568O4A5Am9ttzvVdP67zw/edit#gid=1603210130"", ""TOURISM!$A$2:$F$2692""), {2,3,4,5,6},0))"),"Asia")</f>
        <v>Asia</v>
      </c>
      <c r="L1118" s="14">
        <f>IFERROR(__xludf.DUMMYFUNCTION("""COMPUTED_VALUE"""),9.038E9)</f>
        <v>9038000000</v>
      </c>
      <c r="M1118" s="14" t="str">
        <f>IFERROR(__xludf.DUMMYFUNCTION("""COMPUTED_VALUE"""),"Indonesia-Asia")</f>
        <v>Indonesia-Asia</v>
      </c>
      <c r="N1118" s="14" t="str">
        <f>IFERROR(__xludf.DUMMYFUNCTION("""COMPUTED_VALUE"""),"2011")</f>
        <v>2011</v>
      </c>
      <c r="O1118" s="14">
        <f>IFERROR(__xludf.DUMMYFUNCTION("""COMPUTED_VALUE"""),8.653E9)</f>
        <v>8653000000</v>
      </c>
      <c r="P1118" s="15">
        <f>IFERROR(__xludf.DUMMYFUNCTION("ARRAYFORMULA(VLOOKUP(A1118,IMPORTRANGE(""https://docs.google.com/spreadsheets/d/1BuTWp7qHGjWhqrnf-OmePP568O4A5Am9ttzvVdP67zw/edit#gid=771602874"" ,""HUMAN RESOURCES!$A$2:$M$2692""), {2,3,4,5,6,7,8,9,10,11,12,13},0))"),0.02)</f>
        <v>0.02</v>
      </c>
      <c r="Q1118" s="14">
        <f>IFERROR(__xludf.DUMMYFUNCTION("""COMPUTED_VALUE"""),0.026)</f>
        <v>0.026</v>
      </c>
      <c r="R1118" s="14">
        <f>IFERROR(__xludf.DUMMYFUNCTION("""COMPUTED_VALUE"""),72.0)</f>
        <v>72</v>
      </c>
      <c r="S1118" s="14">
        <f>IFERROR(__xludf.DUMMYFUNCTION("""COMPUTED_VALUE"""),68.0)</f>
        <v>68</v>
      </c>
      <c r="T1118" s="14">
        <f>IFERROR(__xludf.DUMMYFUNCTION("""COMPUTED_VALUE"""),0.296)</f>
        <v>0.296</v>
      </c>
      <c r="U1118" s="14">
        <f>IFERROR(__xludf.DUMMYFUNCTION("""COMPUTED_VALUE"""),0.653)</f>
        <v>0.653</v>
      </c>
      <c r="V1118" s="14">
        <f>IFERROR(__xludf.DUMMYFUNCTION("""COMPUTED_VALUE"""),0.051)</f>
        <v>0.051</v>
      </c>
      <c r="W1118" s="14">
        <f>IFERROR(__xludf.DUMMYFUNCTION("""COMPUTED_VALUE"""),2.43801639E8)</f>
        <v>243801639</v>
      </c>
      <c r="X1118" s="14">
        <f>IFERROR(__xludf.DUMMYFUNCTION("""COMPUTED_VALUE"""),0.507)</f>
        <v>0.507</v>
      </c>
      <c r="Y1118" s="14" t="str">
        <f>IFERROR(__xludf.DUMMYFUNCTION("""COMPUTED_VALUE"""),"Indonesia-Asia")</f>
        <v>Indonesia-Asia</v>
      </c>
      <c r="Z1118" s="14" t="str">
        <f>IFERROR(__xludf.DUMMYFUNCTION("""COMPUTED_VALUE"""),"Asia")</f>
        <v>Asia</v>
      </c>
      <c r="AA1118" s="14" t="str">
        <f>IFERROR(__xludf.DUMMYFUNCTION("""COMPUTED_VALUE"""),"2011")</f>
        <v>2011</v>
      </c>
      <c r="AB1118" s="15" t="str">
        <f>IFERROR(__xludf.DUMMYFUNCTION("ARRAYFORMULA(VLOOKUP(A1118,IMPORTRANGE(""https://docs.google.com/spreadsheets/d/1BuTWp7qHGjWhqrnf-OmePP568O4A5Am9ttzvVdP67zw/edit#gid=1931367683"" ,""ENERGY!$A$2:$F$2692""), {2,3,4,5,6},0))"),"Asia")</f>
        <v>Asia</v>
      </c>
      <c r="AC1118" s="14" t="str">
        <f>IFERROR(__xludf.DUMMYFUNCTION("""COMPUTED_VALUE"""),"Indonesia-Asia")</f>
        <v>Indonesia-Asia</v>
      </c>
      <c r="AD1118" s="14" t="str">
        <f>IFERROR(__xludf.DUMMYFUNCTION("""COMPUTED_VALUE"""),"2005")</f>
        <v>2005</v>
      </c>
      <c r="AE1118" s="14">
        <f>IFERROR(__xludf.DUMMYFUNCTION("""COMPUTED_VALUE"""),158963.0)</f>
        <v>158963</v>
      </c>
      <c r="AF1118" s="14">
        <f>IFERROR(__xludf.DUMMYFUNCTION("""COMPUTED_VALUE"""),294907.0)</f>
        <v>294907</v>
      </c>
    </row>
    <row r="1119">
      <c r="A1119" s="12">
        <v>1118.0</v>
      </c>
      <c r="B1119" s="12" t="s">
        <v>164</v>
      </c>
      <c r="C1119" s="5" t="s">
        <v>61</v>
      </c>
      <c r="D1119" s="11">
        <v>0.322</v>
      </c>
      <c r="E1119" s="11">
        <v>48.0</v>
      </c>
      <c r="F1119" s="11">
        <v>116.0</v>
      </c>
      <c r="G1119" s="11">
        <v>259.0</v>
      </c>
      <c r="H1119" s="11">
        <v>0.147</v>
      </c>
      <c r="I1119" s="11">
        <v>1.142</v>
      </c>
      <c r="J1119" s="9" t="s">
        <v>73</v>
      </c>
      <c r="K1119" s="14" t="str">
        <f>IFERROR(__xludf.DUMMYFUNCTION("ARRAYFORMULA(VLOOKUP(A1119,IMPORTRANGE(""https://docs.google.com/spreadsheets/d/1BuTWp7qHGjWhqrnf-OmePP568O4A5Am9ttzvVdP67zw/edit#gid=1603210130"", ""TOURISM!$A$2:$F$2692""), {2,3,4,5,6},0))"),"Asia")</f>
        <v>Asia</v>
      </c>
      <c r="L1119" s="14">
        <f>IFERROR(__xludf.DUMMYFUNCTION("""COMPUTED_VALUE"""),9.463E9)</f>
        <v>9463000000</v>
      </c>
      <c r="M1119" s="14" t="str">
        <f>IFERROR(__xludf.DUMMYFUNCTION("""COMPUTED_VALUE"""),"Indonesia-Asia")</f>
        <v>Indonesia-Asia</v>
      </c>
      <c r="N1119" s="14" t="str">
        <f>IFERROR(__xludf.DUMMYFUNCTION("""COMPUTED_VALUE"""),"2012")</f>
        <v>2012</v>
      </c>
      <c r="O1119" s="14">
        <f>IFERROR(__xludf.DUMMYFUNCTION("""COMPUTED_VALUE"""),9.498E9)</f>
        <v>9498000000</v>
      </c>
      <c r="P1119" s="15">
        <f>IFERROR(__xludf.DUMMYFUNCTION("ARRAYFORMULA(VLOOKUP(A1119,IMPORTRANGE(""https://docs.google.com/spreadsheets/d/1BuTWp7qHGjWhqrnf-OmePP568O4A5Am9ttzvVdP67zw/edit#gid=771602874"" ,""HUMAN RESOURCES!$A$2:$M$2692""), {2,3,4,5,6,7,8,9,10,11,12,13},0))"),0.019)</f>
        <v>0.019</v>
      </c>
      <c r="Q1119" s="14">
        <f>IFERROR(__xludf.DUMMYFUNCTION("""COMPUTED_VALUE"""),0.025)</f>
        <v>0.025</v>
      </c>
      <c r="R1119" s="14">
        <f>IFERROR(__xludf.DUMMYFUNCTION("""COMPUTED_VALUE"""),73.0)</f>
        <v>73</v>
      </c>
      <c r="S1119" s="14">
        <f>IFERROR(__xludf.DUMMYFUNCTION("""COMPUTED_VALUE"""),69.0)</f>
        <v>69</v>
      </c>
      <c r="T1119" s="14">
        <f>IFERROR(__xludf.DUMMYFUNCTION("""COMPUTED_VALUE"""),0.293)</f>
        <v>0.293</v>
      </c>
      <c r="U1119" s="14">
        <f>IFERROR(__xludf.DUMMYFUNCTION("""COMPUTED_VALUE"""),0.656)</f>
        <v>0.656</v>
      </c>
      <c r="V1119" s="14">
        <f>IFERROR(__xludf.DUMMYFUNCTION("""COMPUTED_VALUE"""),0.051)</f>
        <v>0.051</v>
      </c>
      <c r="W1119" s="14">
        <f>IFERROR(__xludf.DUMMYFUNCTION("""COMPUTED_VALUE"""),2.46864191E8)</f>
        <v>246864191</v>
      </c>
      <c r="X1119" s="14">
        <f>IFERROR(__xludf.DUMMYFUNCTION("""COMPUTED_VALUE"""),0.515)</f>
        <v>0.515</v>
      </c>
      <c r="Y1119" s="14" t="str">
        <f>IFERROR(__xludf.DUMMYFUNCTION("""COMPUTED_VALUE"""),"Indonesia-Asia")</f>
        <v>Indonesia-Asia</v>
      </c>
      <c r="Z1119" s="14" t="str">
        <f>IFERROR(__xludf.DUMMYFUNCTION("""COMPUTED_VALUE"""),"Asia")</f>
        <v>Asia</v>
      </c>
      <c r="AA1119" s="14" t="str">
        <f>IFERROR(__xludf.DUMMYFUNCTION("""COMPUTED_VALUE"""),"2012")</f>
        <v>2012</v>
      </c>
      <c r="AB1119" s="15" t="str">
        <f>IFERROR(__xludf.DUMMYFUNCTION("ARRAYFORMULA(VLOOKUP(A1119,IMPORTRANGE(""https://docs.google.com/spreadsheets/d/1BuTWp7qHGjWhqrnf-OmePP568O4A5Am9ttzvVdP67zw/edit#gid=1931367683"" ,""ENERGY!$A$2:$F$2692""), {2,3,4,5,6},0))"),"Asia")</f>
        <v>Asia</v>
      </c>
      <c r="AC1119" s="14" t="str">
        <f>IFERROR(__xludf.DUMMYFUNCTION("""COMPUTED_VALUE"""),"Indonesia-Asia")</f>
        <v>Indonesia-Asia</v>
      </c>
      <c r="AD1119" s="14" t="str">
        <f>IFERROR(__xludf.DUMMYFUNCTION("""COMPUTED_VALUE"""),"2010")</f>
        <v>2010</v>
      </c>
      <c r="AE1119" s="14">
        <f>IFERROR(__xludf.DUMMYFUNCTION("""COMPUTED_VALUE"""),154768.0)</f>
        <v>154768</v>
      </c>
      <c r="AF1119" s="14">
        <f>IFERROR(__xludf.DUMMYFUNCTION("""COMPUTED_VALUE"""),263419.0)</f>
        <v>263419</v>
      </c>
    </row>
    <row r="1120">
      <c r="A1120" s="12">
        <v>1119.0</v>
      </c>
      <c r="B1120" s="12" t="s">
        <v>165</v>
      </c>
      <c r="C1120" s="5" t="s">
        <v>93</v>
      </c>
      <c r="D1120" s="8"/>
      <c r="E1120" s="8"/>
      <c r="F1120" s="8"/>
      <c r="G1120" s="8"/>
      <c r="H1120" s="11">
        <v>0.009</v>
      </c>
      <c r="I1120" s="11">
        <v>0.015</v>
      </c>
      <c r="J1120" s="9" t="s">
        <v>60</v>
      </c>
      <c r="K1120" s="14" t="str">
        <f>IFERROR(__xludf.DUMMYFUNCTION("ARRAYFORMULA(VLOOKUP(A1120,IMPORTRANGE(""https://docs.google.com/spreadsheets/d/1BuTWp7qHGjWhqrnf-OmePP568O4A5Am9ttzvVdP67zw/edit#gid=1603210130"", ""TOURISM!$A$2:$F$2692""), {2,3,4,5,6},0))"),"Middle East")</f>
        <v>Middle East</v>
      </c>
      <c r="L1120" s="14">
        <f>IFERROR(__xludf.DUMMYFUNCTION("""COMPUTED_VALUE"""),6.77E8)</f>
        <v>677000000</v>
      </c>
      <c r="M1120" s="14" t="str">
        <f>IFERROR(__xludf.DUMMYFUNCTION("""COMPUTED_VALUE"""),"Iran-Middle East")</f>
        <v>Iran-Middle East</v>
      </c>
      <c r="N1120" s="14" t="str">
        <f>IFERROR(__xludf.DUMMYFUNCTION("""COMPUTED_VALUE"""),"2000")</f>
        <v>2000</v>
      </c>
      <c r="O1120" s="14">
        <f>IFERROR(__xludf.DUMMYFUNCTION("""COMPUTED_VALUE"""),6.71E8)</f>
        <v>671000000</v>
      </c>
      <c r="P1120" s="15">
        <f>IFERROR(__xludf.DUMMYFUNCTION("ARRAYFORMULA(VLOOKUP(A1120,IMPORTRANGE(""https://docs.google.com/spreadsheets/d/1BuTWp7qHGjWhqrnf-OmePP568O4A5Am9ttzvVdP67zw/edit#gid=771602874"" ,""HUMAN RESOURCES!$A$2:$M$2692""), {2,3,4,5,6,7,8,9,10,11,12,13},0))"),0.019)</f>
        <v>0.019</v>
      </c>
      <c r="Q1120" s="14">
        <f>IFERROR(__xludf.DUMMYFUNCTION("""COMPUTED_VALUE"""),0.029)</f>
        <v>0.029</v>
      </c>
      <c r="R1120" s="14">
        <f>IFERROR(__xludf.DUMMYFUNCTION("""COMPUTED_VALUE"""),71.0)</f>
        <v>71</v>
      </c>
      <c r="S1120" s="14">
        <f>IFERROR(__xludf.DUMMYFUNCTION("""COMPUTED_VALUE"""),69.0)</f>
        <v>69</v>
      </c>
      <c r="T1120" s="14">
        <f>IFERROR(__xludf.DUMMYFUNCTION("""COMPUTED_VALUE"""),0.347)</f>
        <v>0.347</v>
      </c>
      <c r="U1120" s="14">
        <f>IFERROR(__xludf.DUMMYFUNCTION("""COMPUTED_VALUE"""),0.611)</f>
        <v>0.611</v>
      </c>
      <c r="V1120" s="14">
        <f>IFERROR(__xludf.DUMMYFUNCTION("""COMPUTED_VALUE"""),0.042)</f>
        <v>0.042</v>
      </c>
      <c r="W1120" s="14">
        <f>IFERROR(__xludf.DUMMYFUNCTION("""COMPUTED_VALUE"""),6.5911052E7)</f>
        <v>65911052</v>
      </c>
      <c r="X1120" s="14">
        <f>IFERROR(__xludf.DUMMYFUNCTION("""COMPUTED_VALUE"""),0.64)</f>
        <v>0.64</v>
      </c>
      <c r="Y1120" s="14" t="str">
        <f>IFERROR(__xludf.DUMMYFUNCTION("""COMPUTED_VALUE"""),"Iran-Middle East")</f>
        <v>Iran-Middle East</v>
      </c>
      <c r="Z1120" s="14" t="str">
        <f>IFERROR(__xludf.DUMMYFUNCTION("""COMPUTED_VALUE"""),"Middle East")</f>
        <v>Middle East</v>
      </c>
      <c r="AA1120" s="14" t="str">
        <f>IFERROR(__xludf.DUMMYFUNCTION("""COMPUTED_VALUE"""),"2000")</f>
        <v>2000</v>
      </c>
      <c r="AB1120" s="15" t="str">
        <f>IFERROR(__xludf.DUMMYFUNCTION("ARRAYFORMULA(VLOOKUP(A1120,IMPORTRANGE(""https://docs.google.com/spreadsheets/d/1BuTWp7qHGjWhqrnf-OmePP568O4A5Am9ttzvVdP67zw/edit#gid=1931367683"" ,""ENERGY!$A$2:$F$2692""), {2,3,4,5,6},0))"),"Middle East")</f>
        <v>Middle East</v>
      </c>
      <c r="AC1120" s="14" t="str">
        <f>IFERROR(__xludf.DUMMYFUNCTION("""COMPUTED_VALUE"""),"Iran-Middle East")</f>
        <v>Iran-Middle East</v>
      </c>
      <c r="AD1120" s="14" t="str">
        <f>IFERROR(__xludf.DUMMYFUNCTION("""COMPUTED_VALUE"""),"2000")</f>
        <v>2000</v>
      </c>
      <c r="AE1120" s="14"/>
      <c r="AF1120" s="14"/>
    </row>
    <row r="1121">
      <c r="A1121" s="12">
        <v>1120.0</v>
      </c>
      <c r="B1121" s="12" t="s">
        <v>165</v>
      </c>
      <c r="C1121" s="5" t="s">
        <v>93</v>
      </c>
      <c r="D1121" s="8"/>
      <c r="E1121" s="8"/>
      <c r="F1121" s="8"/>
      <c r="G1121" s="8"/>
      <c r="H1121" s="11">
        <v>0.015</v>
      </c>
      <c r="I1121" s="11">
        <v>0.031</v>
      </c>
      <c r="J1121" s="9" t="s">
        <v>62</v>
      </c>
      <c r="K1121" s="14" t="str">
        <f>IFERROR(__xludf.DUMMYFUNCTION("ARRAYFORMULA(VLOOKUP(A1121,IMPORTRANGE(""https://docs.google.com/spreadsheets/d/1BuTWp7qHGjWhqrnf-OmePP568O4A5Am9ttzvVdP67zw/edit#gid=1603210130"", ""TOURISM!$A$2:$F$2692""), {2,3,4,5,6},0))"),"Middle East")</f>
        <v>Middle East</v>
      </c>
      <c r="L1121" s="14">
        <f>IFERROR(__xludf.DUMMYFUNCTION("""COMPUTED_VALUE"""),1.122E9)</f>
        <v>1122000000</v>
      </c>
      <c r="M1121" s="14" t="str">
        <f>IFERROR(__xludf.DUMMYFUNCTION("""COMPUTED_VALUE"""),"Iran-Middle East")</f>
        <v>Iran-Middle East</v>
      </c>
      <c r="N1121" s="14" t="str">
        <f>IFERROR(__xludf.DUMMYFUNCTION("""COMPUTED_VALUE"""),"2001")</f>
        <v>2001</v>
      </c>
      <c r="O1121" s="14">
        <f>IFERROR(__xludf.DUMMYFUNCTION("""COMPUTED_VALUE"""),7.14E8)</f>
        <v>714000000</v>
      </c>
      <c r="P1121" s="15">
        <f>IFERROR(__xludf.DUMMYFUNCTION("ARRAYFORMULA(VLOOKUP(A1121,IMPORTRANGE(""https://docs.google.com/spreadsheets/d/1BuTWp7qHGjWhqrnf-OmePP568O4A5Am9ttzvVdP67zw/edit#gid=771602874"" ,""HUMAN RESOURCES!$A$2:$M$2692""), {2,3,4,5,6,7,8,9,10,11,12,13},0))"),0.018)</f>
        <v>0.018</v>
      </c>
      <c r="Q1121" s="14">
        <f>IFERROR(__xludf.DUMMYFUNCTION("""COMPUTED_VALUE"""),0.027)</f>
        <v>0.027</v>
      </c>
      <c r="R1121" s="14">
        <f>IFERROR(__xludf.DUMMYFUNCTION("""COMPUTED_VALUE"""),71.0)</f>
        <v>71</v>
      </c>
      <c r="S1121" s="14">
        <f>IFERROR(__xludf.DUMMYFUNCTION("""COMPUTED_VALUE"""),69.0)</f>
        <v>69</v>
      </c>
      <c r="T1121" s="14">
        <f>IFERROR(__xludf.DUMMYFUNCTION("""COMPUTED_VALUE"""),0.328)</f>
        <v>0.328</v>
      </c>
      <c r="U1121" s="14">
        <f>IFERROR(__xludf.DUMMYFUNCTION("""COMPUTED_VALUE"""),0.629)</f>
        <v>0.629</v>
      </c>
      <c r="V1121" s="14">
        <f>IFERROR(__xludf.DUMMYFUNCTION("""COMPUTED_VALUE"""),0.043)</f>
        <v>0.043</v>
      </c>
      <c r="W1121" s="14">
        <f>IFERROR(__xludf.DUMMYFUNCTION("""COMPUTED_VALUE"""),6.6857624E7)</f>
        <v>66857624</v>
      </c>
      <c r="X1121" s="14">
        <f>IFERROR(__xludf.DUMMYFUNCTION("""COMPUTED_VALUE"""),0.648)</f>
        <v>0.648</v>
      </c>
      <c r="Y1121" s="14" t="str">
        <f>IFERROR(__xludf.DUMMYFUNCTION("""COMPUTED_VALUE"""),"Iran-Middle East")</f>
        <v>Iran-Middle East</v>
      </c>
      <c r="Z1121" s="14" t="str">
        <f>IFERROR(__xludf.DUMMYFUNCTION("""COMPUTED_VALUE"""),"Middle East")</f>
        <v>Middle East</v>
      </c>
      <c r="AA1121" s="14" t="str">
        <f>IFERROR(__xludf.DUMMYFUNCTION("""COMPUTED_VALUE"""),"2001")</f>
        <v>2001</v>
      </c>
      <c r="AB1121" s="15" t="str">
        <f>IFERROR(__xludf.DUMMYFUNCTION("ARRAYFORMULA(VLOOKUP(A1121,IMPORTRANGE(""https://docs.google.com/spreadsheets/d/1BuTWp7qHGjWhqrnf-OmePP568O4A5Am9ttzvVdP67zw/edit#gid=1931367683"" ,""ENERGY!$A$2:$F$2692""), {2,3,4,5,6},0))"),"Middle East")</f>
        <v>Middle East</v>
      </c>
      <c r="AC1121" s="14" t="str">
        <f>IFERROR(__xludf.DUMMYFUNCTION("""COMPUTED_VALUE"""),"Iran-Middle East")</f>
        <v>Iran-Middle East</v>
      </c>
      <c r="AD1121" s="14" t="str">
        <f>IFERROR(__xludf.DUMMYFUNCTION("""COMPUTED_VALUE"""),"2001")</f>
        <v>2001</v>
      </c>
      <c r="AE1121" s="14">
        <f>IFERROR(__xludf.DUMMYFUNCTION("""COMPUTED_VALUE"""),212145.0)</f>
        <v>212145</v>
      </c>
      <c r="AF1121" s="14"/>
    </row>
    <row r="1122">
      <c r="A1122" s="12">
        <v>1121.0</v>
      </c>
      <c r="B1122" s="12" t="s">
        <v>165</v>
      </c>
      <c r="C1122" s="5" t="s">
        <v>93</v>
      </c>
      <c r="D1122" s="8"/>
      <c r="E1122" s="8"/>
      <c r="F1122" s="8"/>
      <c r="G1122" s="8"/>
      <c r="H1122" s="11">
        <v>0.046</v>
      </c>
      <c r="I1122" s="11">
        <v>0.034</v>
      </c>
      <c r="J1122" s="9" t="s">
        <v>63</v>
      </c>
      <c r="K1122" s="14" t="str">
        <f>IFERROR(__xludf.DUMMYFUNCTION("ARRAYFORMULA(VLOOKUP(A1122,IMPORTRANGE(""https://docs.google.com/spreadsheets/d/1BuTWp7qHGjWhqrnf-OmePP568O4A5Am9ttzvVdP67zw/edit#gid=1603210130"", ""TOURISM!$A$2:$F$2692""), {2,3,4,5,6},0))"),"Middle East")</f>
        <v>Middle East</v>
      </c>
      <c r="L1122" s="14">
        <f>IFERROR(__xludf.DUMMYFUNCTION("""COMPUTED_VALUE"""),1.607E9)</f>
        <v>1607000000</v>
      </c>
      <c r="M1122" s="14" t="str">
        <f>IFERROR(__xludf.DUMMYFUNCTION("""COMPUTED_VALUE"""),"Iran-Middle East")</f>
        <v>Iran-Middle East</v>
      </c>
      <c r="N1122" s="14" t="str">
        <f>IFERROR(__xludf.DUMMYFUNCTION("""COMPUTED_VALUE"""),"2002")</f>
        <v>2002</v>
      </c>
      <c r="O1122" s="14">
        <f>IFERROR(__xludf.DUMMYFUNCTION("""COMPUTED_VALUE"""),3.99E9)</f>
        <v>3990000000</v>
      </c>
      <c r="P1122" s="15">
        <f>IFERROR(__xludf.DUMMYFUNCTION("ARRAYFORMULA(VLOOKUP(A1122,IMPORTRANGE(""https://docs.google.com/spreadsheets/d/1BuTWp7qHGjWhqrnf-OmePP568O4A5Am9ttzvVdP67zw/edit#gid=771602874"" ,""HUMAN RESOURCES!$A$2:$M$2692""), {2,3,4,5,6,7,8,9,10,11,12,13},0))"),0.018)</f>
        <v>0.018</v>
      </c>
      <c r="Q1122" s="14">
        <f>IFERROR(__xludf.DUMMYFUNCTION("""COMPUTED_VALUE"""),0.026)</f>
        <v>0.026</v>
      </c>
      <c r="R1122" s="14">
        <f>IFERROR(__xludf.DUMMYFUNCTION("""COMPUTED_VALUE"""),72.0)</f>
        <v>72</v>
      </c>
      <c r="S1122" s="14">
        <f>IFERROR(__xludf.DUMMYFUNCTION("""COMPUTED_VALUE"""),69.0)</f>
        <v>69</v>
      </c>
      <c r="T1122" s="14">
        <f>IFERROR(__xludf.DUMMYFUNCTION("""COMPUTED_VALUE"""),0.308)</f>
        <v>0.308</v>
      </c>
      <c r="U1122" s="14">
        <f>IFERROR(__xludf.DUMMYFUNCTION("""COMPUTED_VALUE"""),0.647)</f>
        <v>0.647</v>
      </c>
      <c r="V1122" s="14">
        <f>IFERROR(__xludf.DUMMYFUNCTION("""COMPUTED_VALUE"""),0.045)</f>
        <v>0.045</v>
      </c>
      <c r="W1122" s="14">
        <f>IFERROR(__xludf.DUMMYFUNCTION("""COMPUTED_VALUE"""),6.7727274E7)</f>
        <v>67727274</v>
      </c>
      <c r="X1122" s="14">
        <f>IFERROR(__xludf.DUMMYFUNCTION("""COMPUTED_VALUE"""),0.655)</f>
        <v>0.655</v>
      </c>
      <c r="Y1122" s="14" t="str">
        <f>IFERROR(__xludf.DUMMYFUNCTION("""COMPUTED_VALUE"""),"Iran-Middle East")</f>
        <v>Iran-Middle East</v>
      </c>
      <c r="Z1122" s="14" t="str">
        <f>IFERROR(__xludf.DUMMYFUNCTION("""COMPUTED_VALUE"""),"Middle East")</f>
        <v>Middle East</v>
      </c>
      <c r="AA1122" s="14" t="str">
        <f>IFERROR(__xludf.DUMMYFUNCTION("""COMPUTED_VALUE"""),"2002")</f>
        <v>2002</v>
      </c>
      <c r="AB1122" s="15" t="str">
        <f>IFERROR(__xludf.DUMMYFUNCTION("ARRAYFORMULA(VLOOKUP(A1122,IMPORTRANGE(""https://docs.google.com/spreadsheets/d/1BuTWp7qHGjWhqrnf-OmePP568O4A5Am9ttzvVdP67zw/edit#gid=1931367683"" ,""ENERGY!$A$2:$F$2692""), {2,3,4,5,6},0))"),"Middle East")</f>
        <v>Middle East</v>
      </c>
      <c r="AC1122" s="14" t="str">
        <f>IFERROR(__xludf.DUMMYFUNCTION("""COMPUTED_VALUE"""),"Iran-Middle East")</f>
        <v>Iran-Middle East</v>
      </c>
      <c r="AD1122" s="14" t="str">
        <f>IFERROR(__xludf.DUMMYFUNCTION("""COMPUTED_VALUE"""),"2002")</f>
        <v>2002</v>
      </c>
      <c r="AE1122" s="14">
        <f>IFERROR(__xludf.DUMMYFUNCTION("""COMPUTED_VALUE"""),210678.0)</f>
        <v>210678</v>
      </c>
      <c r="AF1122" s="14">
        <f>IFERROR(__xludf.DUMMYFUNCTION("""COMPUTED_VALUE"""),571612.0)</f>
        <v>571612</v>
      </c>
    </row>
    <row r="1123">
      <c r="A1123" s="12">
        <v>1122.0</v>
      </c>
      <c r="B1123" s="12" t="s">
        <v>165</v>
      </c>
      <c r="C1123" s="5" t="s">
        <v>93</v>
      </c>
      <c r="D1123" s="8"/>
      <c r="E1123" s="11">
        <v>29.0</v>
      </c>
      <c r="F1123" s="8"/>
      <c r="G1123" s="8"/>
      <c r="H1123" s="11">
        <v>0.069</v>
      </c>
      <c r="I1123" s="11">
        <v>0.05</v>
      </c>
      <c r="J1123" s="9" t="s">
        <v>64</v>
      </c>
      <c r="K1123" s="14" t="str">
        <f>IFERROR(__xludf.DUMMYFUNCTION("ARRAYFORMULA(VLOOKUP(A1123,IMPORTRANGE(""https://docs.google.com/spreadsheets/d/1BuTWp7qHGjWhqrnf-OmePP568O4A5Am9ttzvVdP67zw/edit#gid=1603210130"", ""TOURISM!$A$2:$F$2692""), {2,3,4,5,6},0))"),"Middle East")</f>
        <v>Middle East</v>
      </c>
      <c r="L1123" s="14">
        <f>IFERROR(__xludf.DUMMYFUNCTION("""COMPUTED_VALUE"""),1.266E9)</f>
        <v>1266000000</v>
      </c>
      <c r="M1123" s="14" t="str">
        <f>IFERROR(__xludf.DUMMYFUNCTION("""COMPUTED_VALUE"""),"Iran-Middle East")</f>
        <v>Iran-Middle East</v>
      </c>
      <c r="N1123" s="14" t="str">
        <f>IFERROR(__xludf.DUMMYFUNCTION("""COMPUTED_VALUE"""),"2003")</f>
        <v>2003</v>
      </c>
      <c r="O1123" s="14">
        <f>IFERROR(__xludf.DUMMYFUNCTION("""COMPUTED_VALUE"""),4.12E9)</f>
        <v>4120000000</v>
      </c>
      <c r="P1123" s="15">
        <f>IFERROR(__xludf.DUMMYFUNCTION("ARRAYFORMULA(VLOOKUP(A1123,IMPORTRANGE(""https://docs.google.com/spreadsheets/d/1BuTWp7qHGjWhqrnf-OmePP568O4A5Am9ttzvVdP67zw/edit#gid=771602874"" ,""HUMAN RESOURCES!$A$2:$M$2692""), {2,3,4,5,6,7,8,9,10,11,12,13},0))"),0.018)</f>
        <v>0.018</v>
      </c>
      <c r="Q1123" s="14">
        <f>IFERROR(__xludf.DUMMYFUNCTION("""COMPUTED_VALUE"""),0.024)</f>
        <v>0.024</v>
      </c>
      <c r="R1123" s="14">
        <f>IFERROR(__xludf.DUMMYFUNCTION("""COMPUTED_VALUE"""),72.0)</f>
        <v>72</v>
      </c>
      <c r="S1123" s="14">
        <f>IFERROR(__xludf.DUMMYFUNCTION("""COMPUTED_VALUE"""),70.0)</f>
        <v>70</v>
      </c>
      <c r="T1123" s="14">
        <f>IFERROR(__xludf.DUMMYFUNCTION("""COMPUTED_VALUE"""),0.289)</f>
        <v>0.289</v>
      </c>
      <c r="U1123" s="14">
        <f>IFERROR(__xludf.DUMMYFUNCTION("""COMPUTED_VALUE"""),0.664)</f>
        <v>0.664</v>
      </c>
      <c r="V1123" s="14">
        <f>IFERROR(__xludf.DUMMYFUNCTION("""COMPUTED_VALUE"""),0.047)</f>
        <v>0.047</v>
      </c>
      <c r="W1123" s="14">
        <f>IFERROR(__xludf.DUMMYFUNCTION("""COMPUTED_VALUE"""),6.8543171E7)</f>
        <v>68543171</v>
      </c>
      <c r="X1123" s="14">
        <f>IFERROR(__xludf.DUMMYFUNCTION("""COMPUTED_VALUE"""),0.662)</f>
        <v>0.662</v>
      </c>
      <c r="Y1123" s="14" t="str">
        <f>IFERROR(__xludf.DUMMYFUNCTION("""COMPUTED_VALUE"""),"Iran-Middle East")</f>
        <v>Iran-Middle East</v>
      </c>
      <c r="Z1123" s="14" t="str">
        <f>IFERROR(__xludf.DUMMYFUNCTION("""COMPUTED_VALUE"""),"Middle East")</f>
        <v>Middle East</v>
      </c>
      <c r="AA1123" s="14" t="str">
        <f>IFERROR(__xludf.DUMMYFUNCTION("""COMPUTED_VALUE"""),"2003")</f>
        <v>2003</v>
      </c>
      <c r="AB1123" s="15" t="str">
        <f>IFERROR(__xludf.DUMMYFUNCTION("ARRAYFORMULA(VLOOKUP(A1123,IMPORTRANGE(""https://docs.google.com/spreadsheets/d/1BuTWp7qHGjWhqrnf-OmePP568O4A5Am9ttzvVdP67zw/edit#gid=1931367683"" ,""ENERGY!$A$2:$F$2692""), {2,3,4,5,6},0))"),"Middle East")</f>
        <v>Middle East</v>
      </c>
      <c r="AC1123" s="14" t="str">
        <f>IFERROR(__xludf.DUMMYFUNCTION("""COMPUTED_VALUE"""),"Iran-Middle East")</f>
        <v>Iran-Middle East</v>
      </c>
      <c r="AD1123" s="14" t="str">
        <f>IFERROR(__xludf.DUMMYFUNCTION("""COMPUTED_VALUE"""),"2003")</f>
        <v>2003</v>
      </c>
      <c r="AE1123" s="14">
        <f>IFERROR(__xludf.DUMMYFUNCTION("""COMPUTED_VALUE"""),213423.0)</f>
        <v>213423</v>
      </c>
      <c r="AF1123" s="14">
        <f>IFERROR(__xludf.DUMMYFUNCTION("""COMPUTED_VALUE"""),577483.0)</f>
        <v>577483</v>
      </c>
    </row>
    <row r="1124">
      <c r="A1124" s="12">
        <v>1123.0</v>
      </c>
      <c r="B1124" s="12" t="s">
        <v>165</v>
      </c>
      <c r="C1124" s="5" t="s">
        <v>93</v>
      </c>
      <c r="D1124" s="8"/>
      <c r="E1124" s="11">
        <v>29.0</v>
      </c>
      <c r="F1124" s="8"/>
      <c r="G1124" s="8"/>
      <c r="H1124" s="11">
        <v>0.075</v>
      </c>
      <c r="I1124" s="11">
        <v>0.073</v>
      </c>
      <c r="J1124" s="9" t="s">
        <v>65</v>
      </c>
      <c r="K1124" s="14" t="str">
        <f>IFERROR(__xludf.DUMMYFUNCTION("ARRAYFORMULA(VLOOKUP(A1124,IMPORTRANGE(""https://docs.google.com/spreadsheets/d/1BuTWp7qHGjWhqrnf-OmePP568O4A5Am9ttzvVdP67zw/edit#gid=1603210130"", ""TOURISM!$A$2:$F$2692""), {2,3,4,5,6},0))"),"Middle East")</f>
        <v>Middle East</v>
      </c>
      <c r="L1124" s="14">
        <f>IFERROR(__xludf.DUMMYFUNCTION("""COMPUTED_VALUE"""),1.305E9)</f>
        <v>1305000000</v>
      </c>
      <c r="M1124" s="14" t="str">
        <f>IFERROR(__xludf.DUMMYFUNCTION("""COMPUTED_VALUE"""),"Iran-Middle East")</f>
        <v>Iran-Middle East</v>
      </c>
      <c r="N1124" s="14" t="str">
        <f>IFERROR(__xludf.DUMMYFUNCTION("""COMPUTED_VALUE"""),"2004")</f>
        <v>2004</v>
      </c>
      <c r="O1124" s="14">
        <f>IFERROR(__xludf.DUMMYFUNCTION("""COMPUTED_VALUE"""),4.402E9)</f>
        <v>4402000000</v>
      </c>
      <c r="P1124" s="15">
        <f>IFERROR(__xludf.DUMMYFUNCTION("ARRAYFORMULA(VLOOKUP(A1124,IMPORTRANGE(""https://docs.google.com/spreadsheets/d/1BuTWp7qHGjWhqrnf-OmePP568O4A5Am9ttzvVdP67zw/edit#gid=771602874"" ,""HUMAN RESOURCES!$A$2:$M$2692""), {2,3,4,5,6,7,8,9,10,11,12,13},0))"),0.018)</f>
        <v>0.018</v>
      </c>
      <c r="Q1124" s="14">
        <f>IFERROR(__xludf.DUMMYFUNCTION("""COMPUTED_VALUE"""),0.023)</f>
        <v>0.023</v>
      </c>
      <c r="R1124" s="14">
        <f>IFERROR(__xludf.DUMMYFUNCTION("""COMPUTED_VALUE"""),73.0)</f>
        <v>73</v>
      </c>
      <c r="S1124" s="14">
        <f>IFERROR(__xludf.DUMMYFUNCTION("""COMPUTED_VALUE"""),70.0)</f>
        <v>70</v>
      </c>
      <c r="T1124" s="14">
        <f>IFERROR(__xludf.DUMMYFUNCTION("""COMPUTED_VALUE"""),0.272)</f>
        <v>0.272</v>
      </c>
      <c r="U1124" s="14">
        <f>IFERROR(__xludf.DUMMYFUNCTION("""COMPUTED_VALUE"""),0.68)</f>
        <v>0.68</v>
      </c>
      <c r="V1124" s="14">
        <f>IFERROR(__xludf.DUMMYFUNCTION("""COMPUTED_VALUE"""),0.048)</f>
        <v>0.048</v>
      </c>
      <c r="W1124" s="14">
        <f>IFERROR(__xludf.DUMMYFUNCTION("""COMPUTED_VALUE"""),6.9342126E7)</f>
        <v>69342126</v>
      </c>
      <c r="X1124" s="14">
        <f>IFERROR(__xludf.DUMMYFUNCTION("""COMPUTED_VALUE"""),0.669)</f>
        <v>0.669</v>
      </c>
      <c r="Y1124" s="14" t="str">
        <f>IFERROR(__xludf.DUMMYFUNCTION("""COMPUTED_VALUE"""),"Iran-Middle East")</f>
        <v>Iran-Middle East</v>
      </c>
      <c r="Z1124" s="14" t="str">
        <f>IFERROR(__xludf.DUMMYFUNCTION("""COMPUTED_VALUE"""),"Middle East")</f>
        <v>Middle East</v>
      </c>
      <c r="AA1124" s="14" t="str">
        <f>IFERROR(__xludf.DUMMYFUNCTION("""COMPUTED_VALUE"""),"2004")</f>
        <v>2004</v>
      </c>
      <c r="AB1124" s="15" t="str">
        <f>IFERROR(__xludf.DUMMYFUNCTION("ARRAYFORMULA(VLOOKUP(A1124,IMPORTRANGE(""https://docs.google.com/spreadsheets/d/1BuTWp7qHGjWhqrnf-OmePP568O4A5Am9ttzvVdP67zw/edit#gid=1931367683"" ,""ENERGY!$A$2:$F$2692""), {2,3,4,5,6},0))"),"Middle East")</f>
        <v>Middle East</v>
      </c>
      <c r="AC1124" s="14" t="str">
        <f>IFERROR(__xludf.DUMMYFUNCTION("""COMPUTED_VALUE"""),"Iran-Middle East")</f>
        <v>Iran-Middle East</v>
      </c>
      <c r="AD1124" s="14" t="str">
        <f>IFERROR(__xludf.DUMMYFUNCTION("""COMPUTED_VALUE"""),"2004")</f>
        <v>2004</v>
      </c>
      <c r="AE1124" s="14">
        <f>IFERROR(__xludf.DUMMYFUNCTION("""COMPUTED_VALUE"""),204312.0)</f>
        <v>204312</v>
      </c>
      <c r="AF1124" s="14">
        <f>IFERROR(__xludf.DUMMYFUNCTION("""COMPUTED_VALUE"""),570574.0)</f>
        <v>570574</v>
      </c>
    </row>
    <row r="1125">
      <c r="A1125" s="12">
        <v>1124.0</v>
      </c>
      <c r="B1125" s="12" t="s">
        <v>165</v>
      </c>
      <c r="C1125" s="5" t="s">
        <v>93</v>
      </c>
      <c r="D1125" s="11">
        <v>0.442</v>
      </c>
      <c r="E1125" s="11">
        <v>28.0</v>
      </c>
      <c r="F1125" s="8"/>
      <c r="G1125" s="11">
        <v>344.0</v>
      </c>
      <c r="H1125" s="11">
        <v>0.081</v>
      </c>
      <c r="I1125" s="11">
        <v>0.121</v>
      </c>
      <c r="J1125" s="9" t="s">
        <v>66</v>
      </c>
      <c r="K1125" s="14" t="str">
        <f>IFERROR(__xludf.DUMMYFUNCTION("ARRAYFORMULA(VLOOKUP(A1125,IMPORTRANGE(""https://docs.google.com/spreadsheets/d/1BuTWp7qHGjWhqrnf-OmePP568O4A5Am9ttzvVdP67zw/edit#gid=1603210130"", ""TOURISM!$A$2:$F$2692""), {2,3,4,5,6},0))"),"Middle East")</f>
        <v>Middle East</v>
      </c>
      <c r="L1125" s="14">
        <f>IFERROR(__xludf.DUMMYFUNCTION("""COMPUTED_VALUE"""),1.025E9)</f>
        <v>1025000000</v>
      </c>
      <c r="M1125" s="14" t="str">
        <f>IFERROR(__xludf.DUMMYFUNCTION("""COMPUTED_VALUE"""),"Iran-Middle East")</f>
        <v>Iran-Middle East</v>
      </c>
      <c r="N1125" s="14" t="str">
        <f>IFERROR(__xludf.DUMMYFUNCTION("""COMPUTED_VALUE"""),"2005")</f>
        <v>2005</v>
      </c>
      <c r="O1125" s="14">
        <f>IFERROR(__xludf.DUMMYFUNCTION("""COMPUTED_VALUE"""),4.112E9)</f>
        <v>4112000000</v>
      </c>
      <c r="P1125" s="15">
        <f>IFERROR(__xludf.DUMMYFUNCTION("ARRAYFORMULA(VLOOKUP(A1125,IMPORTRANGE(""https://docs.google.com/spreadsheets/d/1BuTWp7qHGjWhqrnf-OmePP568O4A5Am9ttzvVdP67zw/edit#gid=771602874"" ,""HUMAN RESOURCES!$A$2:$M$2692""), {2,3,4,5,6,7,8,9,10,11,12,13},0))"),0.018)</f>
        <v>0.018</v>
      </c>
      <c r="Q1125" s="14">
        <f>IFERROR(__xludf.DUMMYFUNCTION("""COMPUTED_VALUE"""),0.022)</f>
        <v>0.022</v>
      </c>
      <c r="R1125" s="14">
        <f>IFERROR(__xludf.DUMMYFUNCTION("""COMPUTED_VALUE"""),73.0)</f>
        <v>73</v>
      </c>
      <c r="S1125" s="14">
        <f>IFERROR(__xludf.DUMMYFUNCTION("""COMPUTED_VALUE"""),70.0)</f>
        <v>70</v>
      </c>
      <c r="T1125" s="14">
        <f>IFERROR(__xludf.DUMMYFUNCTION("""COMPUTED_VALUE"""),0.258)</f>
        <v>0.258</v>
      </c>
      <c r="U1125" s="14">
        <f>IFERROR(__xludf.DUMMYFUNCTION("""COMPUTED_VALUE"""),0.693)</f>
        <v>0.693</v>
      </c>
      <c r="V1125" s="14">
        <f>IFERROR(__xludf.DUMMYFUNCTION("""COMPUTED_VALUE"""),0.049)</f>
        <v>0.049</v>
      </c>
      <c r="W1125" s="14">
        <f>IFERROR(__xludf.DUMMYFUNCTION("""COMPUTED_VALUE"""),7.0152384E7)</f>
        <v>70152384</v>
      </c>
      <c r="X1125" s="14">
        <f>IFERROR(__xludf.DUMMYFUNCTION("""COMPUTED_VALUE"""),0.676)</f>
        <v>0.676</v>
      </c>
      <c r="Y1125" s="14" t="str">
        <f>IFERROR(__xludf.DUMMYFUNCTION("""COMPUTED_VALUE"""),"Iran-Middle East")</f>
        <v>Iran-Middle East</v>
      </c>
      <c r="Z1125" s="14" t="str">
        <f>IFERROR(__xludf.DUMMYFUNCTION("""COMPUTED_VALUE"""),"Middle East")</f>
        <v>Middle East</v>
      </c>
      <c r="AA1125" s="14" t="str">
        <f>IFERROR(__xludf.DUMMYFUNCTION("""COMPUTED_VALUE"""),"2005")</f>
        <v>2005</v>
      </c>
      <c r="AB1125" s="15" t="str">
        <f>IFERROR(__xludf.DUMMYFUNCTION("ARRAYFORMULA(VLOOKUP(A1125,IMPORTRANGE(""https://docs.google.com/spreadsheets/d/1BuTWp7qHGjWhqrnf-OmePP568O4A5Am9ttzvVdP67zw/edit#gid=1931367683"" ,""ENERGY!$A$2:$F$2692""), {2,3,4,5,6},0))"),"Middle East")</f>
        <v>Middle East</v>
      </c>
      <c r="AC1125" s="14" t="str">
        <f>IFERROR(__xludf.DUMMYFUNCTION("""COMPUTED_VALUE"""),"Iran-Middle East")</f>
        <v>Iran-Middle East</v>
      </c>
      <c r="AD1125" s="14" t="str">
        <f>IFERROR(__xludf.DUMMYFUNCTION("""COMPUTED_VALUE"""),"2007")</f>
        <v>2007</v>
      </c>
      <c r="AE1125" s="14">
        <f>IFERROR(__xludf.DUMMYFUNCTION("""COMPUTED_VALUE"""),190620.0)</f>
        <v>190620</v>
      </c>
      <c r="AF1125" s="14">
        <f>IFERROR(__xludf.DUMMYFUNCTION("""COMPUTED_VALUE"""),539790.0)</f>
        <v>539790</v>
      </c>
    </row>
    <row r="1126">
      <c r="A1126" s="12">
        <v>1125.0</v>
      </c>
      <c r="B1126" s="12" t="s">
        <v>165</v>
      </c>
      <c r="C1126" s="5" t="s">
        <v>93</v>
      </c>
      <c r="D1126" s="11">
        <v>0.442</v>
      </c>
      <c r="E1126" s="11">
        <v>28.0</v>
      </c>
      <c r="F1126" s="8"/>
      <c r="G1126" s="11">
        <v>344.0</v>
      </c>
      <c r="H1126" s="11">
        <v>0.088</v>
      </c>
      <c r="I1126" s="11">
        <v>0.217</v>
      </c>
      <c r="J1126" s="9" t="s">
        <v>67</v>
      </c>
      <c r="K1126" s="14" t="str">
        <f>IFERROR(__xludf.DUMMYFUNCTION("ARRAYFORMULA(VLOOKUP(A1126,IMPORTRANGE(""https://docs.google.com/spreadsheets/d/1BuTWp7qHGjWhqrnf-OmePP568O4A5Am9ttzvVdP67zw/edit#gid=1603210130"", ""TOURISM!$A$2:$F$2692""), {2,3,4,5,6},0))"),"Middle East")</f>
        <v>Middle East</v>
      </c>
      <c r="L1126" s="14">
        <f>IFERROR(__xludf.DUMMYFUNCTION("""COMPUTED_VALUE"""),1.464E9)</f>
        <v>1464000000</v>
      </c>
      <c r="M1126" s="14" t="str">
        <f>IFERROR(__xludf.DUMMYFUNCTION("""COMPUTED_VALUE"""),"Iran-Middle East")</f>
        <v>Iran-Middle East</v>
      </c>
      <c r="N1126" s="14" t="str">
        <f>IFERROR(__xludf.DUMMYFUNCTION("""COMPUTED_VALUE"""),"2006")</f>
        <v>2006</v>
      </c>
      <c r="O1126" s="14">
        <f>IFERROR(__xludf.DUMMYFUNCTION("""COMPUTED_VALUE"""),5.066E9)</f>
        <v>5066000000</v>
      </c>
      <c r="P1126" s="15">
        <f>IFERROR(__xludf.DUMMYFUNCTION("ARRAYFORMULA(VLOOKUP(A1126,IMPORTRANGE(""https://docs.google.com/spreadsheets/d/1BuTWp7qHGjWhqrnf-OmePP568O4A5Am9ttzvVdP67zw/edit#gid=771602874"" ,""HUMAN RESOURCES!$A$2:$M$2692""), {2,3,4,5,6,7,8,9,10,11,12,13},0))"),0.018)</f>
        <v>0.018</v>
      </c>
      <c r="Q1126" s="14">
        <f>IFERROR(__xludf.DUMMYFUNCTION("""COMPUTED_VALUE"""),0.021)</f>
        <v>0.021</v>
      </c>
      <c r="R1126" s="14">
        <f>IFERROR(__xludf.DUMMYFUNCTION("""COMPUTED_VALUE"""),74.0)</f>
        <v>74</v>
      </c>
      <c r="S1126" s="14">
        <f>IFERROR(__xludf.DUMMYFUNCTION("""COMPUTED_VALUE"""),70.0)</f>
        <v>70</v>
      </c>
      <c r="T1126" s="14">
        <f>IFERROR(__xludf.DUMMYFUNCTION("""COMPUTED_VALUE"""),0.249)</f>
        <v>0.249</v>
      </c>
      <c r="U1126" s="14">
        <f>IFERROR(__xludf.DUMMYFUNCTION("""COMPUTED_VALUE"""),0.701)</f>
        <v>0.701</v>
      </c>
      <c r="V1126" s="14">
        <f>IFERROR(__xludf.DUMMYFUNCTION("""COMPUTED_VALUE"""),0.05)</f>
        <v>0.05</v>
      </c>
      <c r="W1126" s="14">
        <f>IFERROR(__xludf.DUMMYFUNCTION("""COMPUTED_VALUE"""),7.0976584E7)</f>
        <v>70976584</v>
      </c>
      <c r="X1126" s="14">
        <f>IFERROR(__xludf.DUMMYFUNCTION("""COMPUTED_VALUE"""),0.682)</f>
        <v>0.682</v>
      </c>
      <c r="Y1126" s="14" t="str">
        <f>IFERROR(__xludf.DUMMYFUNCTION("""COMPUTED_VALUE"""),"Iran-Middle East")</f>
        <v>Iran-Middle East</v>
      </c>
      <c r="Z1126" s="14" t="str">
        <f>IFERROR(__xludf.DUMMYFUNCTION("""COMPUTED_VALUE"""),"Middle East")</f>
        <v>Middle East</v>
      </c>
      <c r="AA1126" s="14" t="str">
        <f>IFERROR(__xludf.DUMMYFUNCTION("""COMPUTED_VALUE"""),"2006")</f>
        <v>2006</v>
      </c>
      <c r="AB1126" s="15" t="str">
        <f>IFERROR(__xludf.DUMMYFUNCTION("ARRAYFORMULA(VLOOKUP(A1126,IMPORTRANGE(""https://docs.google.com/spreadsheets/d/1BuTWp7qHGjWhqrnf-OmePP568O4A5Am9ttzvVdP67zw/edit#gid=1931367683"" ,""ENERGY!$A$2:$F$2692""), {2,3,4,5,6},0))"),"Middle East")</f>
        <v>Middle East</v>
      </c>
      <c r="AC1126" s="14" t="str">
        <f>IFERROR(__xludf.DUMMYFUNCTION("""COMPUTED_VALUE"""),"Iran-Middle East")</f>
        <v>Iran-Middle East</v>
      </c>
      <c r="AD1126" s="14" t="str">
        <f>IFERROR(__xludf.DUMMYFUNCTION("""COMPUTED_VALUE"""),"2011")</f>
        <v>2011</v>
      </c>
      <c r="AE1126" s="14">
        <f>IFERROR(__xludf.DUMMYFUNCTION("""COMPUTED_VALUE"""),180242.0)</f>
        <v>180242</v>
      </c>
      <c r="AF1126" s="14">
        <f>IFERROR(__xludf.DUMMYFUNCTION("""COMPUTED_VALUE"""),509889.0)</f>
        <v>509889</v>
      </c>
    </row>
    <row r="1127">
      <c r="A1127" s="12">
        <v>1126.0</v>
      </c>
      <c r="B1127" s="12" t="s">
        <v>165</v>
      </c>
      <c r="C1127" s="5" t="s">
        <v>93</v>
      </c>
      <c r="D1127" s="11">
        <v>0.442</v>
      </c>
      <c r="E1127" s="11">
        <v>28.0</v>
      </c>
      <c r="F1127" s="8"/>
      <c r="G1127" s="11">
        <v>344.0</v>
      </c>
      <c r="H1127" s="11">
        <v>0.095</v>
      </c>
      <c r="I1127" s="11">
        <v>0.415</v>
      </c>
      <c r="J1127" s="9" t="s">
        <v>68</v>
      </c>
      <c r="K1127" s="14" t="str">
        <f>IFERROR(__xludf.DUMMYFUNCTION("ARRAYFORMULA(VLOOKUP(A1127,IMPORTRANGE(""https://docs.google.com/spreadsheets/d/1BuTWp7qHGjWhqrnf-OmePP568O4A5Am9ttzvVdP67zw/edit#gid=1603210130"", ""TOURISM!$A$2:$F$2692""), {2,3,4,5,6},0))"),"Middle East")</f>
        <v>Middle East</v>
      </c>
      <c r="L1127" s="14">
        <f>IFERROR(__xludf.DUMMYFUNCTION("""COMPUTED_VALUE"""),1.95E9)</f>
        <v>1950000000</v>
      </c>
      <c r="M1127" s="14" t="str">
        <f>IFERROR(__xludf.DUMMYFUNCTION("""COMPUTED_VALUE"""),"Iran-Middle East")</f>
        <v>Iran-Middle East</v>
      </c>
      <c r="N1127" s="14" t="str">
        <f>IFERROR(__xludf.DUMMYFUNCTION("""COMPUTED_VALUE"""),"2007")</f>
        <v>2007</v>
      </c>
      <c r="O1127" s="14">
        <f>IFERROR(__xludf.DUMMYFUNCTION("""COMPUTED_VALUE"""),7.335E9)</f>
        <v>7335000000</v>
      </c>
      <c r="P1127" s="15">
        <f>IFERROR(__xludf.DUMMYFUNCTION("ARRAYFORMULA(VLOOKUP(A1127,IMPORTRANGE(""https://docs.google.com/spreadsheets/d/1BuTWp7qHGjWhqrnf-OmePP568O4A5Am9ttzvVdP67zw/edit#gid=771602874"" ,""HUMAN RESOURCES!$A$2:$M$2692""), {2,3,4,5,6,7,8,9,10,11,12,13},0))"),0.019)</f>
        <v>0.019</v>
      </c>
      <c r="Q1127" s="14">
        <f>IFERROR(__xludf.DUMMYFUNCTION("""COMPUTED_VALUE"""),0.019)</f>
        <v>0.019</v>
      </c>
      <c r="R1127" s="14">
        <f>IFERROR(__xludf.DUMMYFUNCTION("""COMPUTED_VALUE"""),74.0)</f>
        <v>74</v>
      </c>
      <c r="S1127" s="14">
        <f>IFERROR(__xludf.DUMMYFUNCTION("""COMPUTED_VALUE"""),70.0)</f>
        <v>70</v>
      </c>
      <c r="T1127" s="14">
        <f>IFERROR(__xludf.DUMMYFUNCTION("""COMPUTED_VALUE"""),0.242)</f>
        <v>0.242</v>
      </c>
      <c r="U1127" s="14">
        <f>IFERROR(__xludf.DUMMYFUNCTION("""COMPUTED_VALUE"""),0.707)</f>
        <v>0.707</v>
      </c>
      <c r="V1127" s="14">
        <f>IFERROR(__xludf.DUMMYFUNCTION("""COMPUTED_VALUE"""),0.051)</f>
        <v>0.051</v>
      </c>
      <c r="W1127" s="14">
        <f>IFERROR(__xludf.DUMMYFUNCTION("""COMPUTED_VALUE"""),7.1809219E7)</f>
        <v>71809219</v>
      </c>
      <c r="X1127" s="14">
        <f>IFERROR(__xludf.DUMMYFUNCTION("""COMPUTED_VALUE"""),0.689)</f>
        <v>0.689</v>
      </c>
      <c r="Y1127" s="14" t="str">
        <f>IFERROR(__xludf.DUMMYFUNCTION("""COMPUTED_VALUE"""),"Iran-Middle East")</f>
        <v>Iran-Middle East</v>
      </c>
      <c r="Z1127" s="14" t="str">
        <f>IFERROR(__xludf.DUMMYFUNCTION("""COMPUTED_VALUE"""),"Middle East")</f>
        <v>Middle East</v>
      </c>
      <c r="AA1127" s="14" t="str">
        <f>IFERROR(__xludf.DUMMYFUNCTION("""COMPUTED_VALUE"""),"2007")</f>
        <v>2007</v>
      </c>
      <c r="AB1127" s="15" t="str">
        <f>IFERROR(__xludf.DUMMYFUNCTION("ARRAYFORMULA(VLOOKUP(A1127,IMPORTRANGE(""https://docs.google.com/spreadsheets/d/1BuTWp7qHGjWhqrnf-OmePP568O4A5Am9ttzvVdP67zw/edit#gid=1931367683"" ,""ENERGY!$A$2:$F$2692""), {2,3,4,5,6},0))"),"Middle East")</f>
        <v>Middle East</v>
      </c>
      <c r="AC1127" s="14" t="str">
        <f>IFERROR(__xludf.DUMMYFUNCTION("""COMPUTED_VALUE"""),"Iran-Middle East")</f>
        <v>Iran-Middle East</v>
      </c>
      <c r="AD1127" s="14" t="str">
        <f>IFERROR(__xludf.DUMMYFUNCTION("""COMPUTED_VALUE"""),"2008")</f>
        <v>2008</v>
      </c>
      <c r="AE1127" s="14">
        <f>IFERROR(__xludf.DUMMYFUNCTION("""COMPUTED_VALUE"""),172442.0)</f>
        <v>172442</v>
      </c>
      <c r="AF1127" s="14">
        <f>IFERROR(__xludf.DUMMYFUNCTION("""COMPUTED_VALUE"""),469328.0)</f>
        <v>469328</v>
      </c>
    </row>
    <row r="1128">
      <c r="A1128" s="12">
        <v>1127.0</v>
      </c>
      <c r="B1128" s="12" t="s">
        <v>165</v>
      </c>
      <c r="C1128" s="5" t="s">
        <v>93</v>
      </c>
      <c r="D1128" s="11">
        <v>0.442</v>
      </c>
      <c r="E1128" s="11">
        <v>28.0</v>
      </c>
      <c r="F1128" s="8"/>
      <c r="G1128" s="11">
        <v>344.0</v>
      </c>
      <c r="H1128" s="11">
        <v>0.102</v>
      </c>
      <c r="I1128" s="11">
        <v>0.592</v>
      </c>
      <c r="J1128" s="9" t="s">
        <v>69</v>
      </c>
      <c r="K1128" s="14" t="str">
        <f>IFERROR(__xludf.DUMMYFUNCTION("ARRAYFORMULA(VLOOKUP(A1128,IMPORTRANGE(""https://docs.google.com/spreadsheets/d/1BuTWp7qHGjWhqrnf-OmePP568O4A5Am9ttzvVdP67zw/edit#gid=1603210130"", ""TOURISM!$A$2:$F$2692""), {2,3,4,5,6},0))"),"Middle East")</f>
        <v>Middle East</v>
      </c>
      <c r="L1128" s="14">
        <f>IFERROR(__xludf.DUMMYFUNCTION("""COMPUTED_VALUE"""),1.978E9)</f>
        <v>1978000000</v>
      </c>
      <c r="M1128" s="14" t="str">
        <f>IFERROR(__xludf.DUMMYFUNCTION("""COMPUTED_VALUE"""),"Iran-Middle East")</f>
        <v>Iran-Middle East</v>
      </c>
      <c r="N1128" s="14" t="str">
        <f>IFERROR(__xludf.DUMMYFUNCTION("""COMPUTED_VALUE"""),"2008")</f>
        <v>2008</v>
      </c>
      <c r="O1128" s="14">
        <f>IFERROR(__xludf.DUMMYFUNCTION("""COMPUTED_VALUE"""),8.27E9)</f>
        <v>8270000000</v>
      </c>
      <c r="P1128" s="15">
        <f>IFERROR(__xludf.DUMMYFUNCTION("ARRAYFORMULA(VLOOKUP(A1128,IMPORTRANGE(""https://docs.google.com/spreadsheets/d/1BuTWp7qHGjWhqrnf-OmePP568O4A5Am9ttzvVdP67zw/edit#gid=771602874"" ,""HUMAN RESOURCES!$A$2:$M$2692""), {2,3,4,5,6,7,8,9,10,11,12,13},0))"),0.019)</f>
        <v>0.019</v>
      </c>
      <c r="Q1128" s="14">
        <f>IFERROR(__xludf.DUMMYFUNCTION("""COMPUTED_VALUE"""),0.018)</f>
        <v>0.018</v>
      </c>
      <c r="R1128" s="14">
        <f>IFERROR(__xludf.DUMMYFUNCTION("""COMPUTED_VALUE"""),74.0)</f>
        <v>74</v>
      </c>
      <c r="S1128" s="14">
        <f>IFERROR(__xludf.DUMMYFUNCTION("""COMPUTED_VALUE"""),71.0)</f>
        <v>71</v>
      </c>
      <c r="T1128" s="14">
        <f>IFERROR(__xludf.DUMMYFUNCTION("""COMPUTED_VALUE"""),0.239)</f>
        <v>0.239</v>
      </c>
      <c r="U1128" s="14">
        <f>IFERROR(__xludf.DUMMYFUNCTION("""COMPUTED_VALUE"""),0.71)</f>
        <v>0.71</v>
      </c>
      <c r="V1128" s="14">
        <f>IFERROR(__xludf.DUMMYFUNCTION("""COMPUTED_VALUE"""),0.051)</f>
        <v>0.051</v>
      </c>
      <c r="W1128" s="14">
        <f>IFERROR(__xludf.DUMMYFUNCTION("""COMPUTED_VALUE"""),7.2660887E7)</f>
        <v>72660887</v>
      </c>
      <c r="X1128" s="14">
        <f>IFERROR(__xludf.DUMMYFUNCTION("""COMPUTED_VALUE"""),0.695)</f>
        <v>0.695</v>
      </c>
      <c r="Y1128" s="14" t="str">
        <f>IFERROR(__xludf.DUMMYFUNCTION("""COMPUTED_VALUE"""),"Iran-Middle East")</f>
        <v>Iran-Middle East</v>
      </c>
      <c r="Z1128" s="14" t="str">
        <f>IFERROR(__xludf.DUMMYFUNCTION("""COMPUTED_VALUE"""),"Middle East")</f>
        <v>Middle East</v>
      </c>
      <c r="AA1128" s="14" t="str">
        <f>IFERROR(__xludf.DUMMYFUNCTION("""COMPUTED_VALUE"""),"2008")</f>
        <v>2008</v>
      </c>
      <c r="AB1128" s="15" t="str">
        <f>IFERROR(__xludf.DUMMYFUNCTION("ARRAYFORMULA(VLOOKUP(A1128,IMPORTRANGE(""https://docs.google.com/spreadsheets/d/1BuTWp7qHGjWhqrnf-OmePP568O4A5Am9ttzvVdP67zw/edit#gid=1931367683"" ,""ENERGY!$A$2:$F$2692""), {2,3,4,5,6},0))"),"Middle East")</f>
        <v>Middle East</v>
      </c>
      <c r="AC1128" s="14" t="str">
        <f>IFERROR(__xludf.DUMMYFUNCTION("""COMPUTED_VALUE"""),"Iran-Middle East")</f>
        <v>Iran-Middle East</v>
      </c>
      <c r="AD1128" s="14" t="str">
        <f>IFERROR(__xludf.DUMMYFUNCTION("""COMPUTED_VALUE"""),"2005")</f>
        <v>2005</v>
      </c>
      <c r="AE1128" s="14">
        <f>IFERROR(__xludf.DUMMYFUNCTION("""COMPUTED_VALUE"""),155548.0)</f>
        <v>155548</v>
      </c>
      <c r="AF1128" s="14">
        <f>IFERROR(__xludf.DUMMYFUNCTION("""COMPUTED_VALUE"""),447480.0)</f>
        <v>447480</v>
      </c>
    </row>
    <row r="1129">
      <c r="A1129" s="12">
        <v>1128.0</v>
      </c>
      <c r="B1129" s="12" t="s">
        <v>165</v>
      </c>
      <c r="C1129" s="5" t="s">
        <v>93</v>
      </c>
      <c r="D1129" s="11">
        <v>0.442</v>
      </c>
      <c r="E1129" s="11">
        <v>9.0</v>
      </c>
      <c r="F1129" s="8"/>
      <c r="G1129" s="11">
        <v>344.0</v>
      </c>
      <c r="H1129" s="11">
        <v>0.111</v>
      </c>
      <c r="I1129" s="11">
        <v>0.715</v>
      </c>
      <c r="J1129" s="9" t="s">
        <v>70</v>
      </c>
      <c r="K1129" s="14" t="str">
        <f>IFERROR(__xludf.DUMMYFUNCTION("ARRAYFORMULA(VLOOKUP(A1129,IMPORTRANGE(""https://docs.google.com/spreadsheets/d/1BuTWp7qHGjWhqrnf-OmePP568O4A5Am9ttzvVdP67zw/edit#gid=1603210130"", ""TOURISM!$A$2:$F$2692""), {2,3,4,5,6},0))"),"Middle East")</f>
        <v>Middle East</v>
      </c>
      <c r="L1129" s="14">
        <f>IFERROR(__xludf.DUMMYFUNCTION("""COMPUTED_VALUE"""),2.259E9)</f>
        <v>2259000000</v>
      </c>
      <c r="M1129" s="14" t="str">
        <f>IFERROR(__xludf.DUMMYFUNCTION("""COMPUTED_VALUE"""),"Iran-Middle East")</f>
        <v>Iran-Middle East</v>
      </c>
      <c r="N1129" s="14" t="str">
        <f>IFERROR(__xludf.DUMMYFUNCTION("""COMPUTED_VALUE"""),"2009")</f>
        <v>2009</v>
      </c>
      <c r="O1129" s="14">
        <f>IFERROR(__xludf.DUMMYFUNCTION("""COMPUTED_VALUE"""),8.503E9)</f>
        <v>8503000000</v>
      </c>
      <c r="P1129" s="15">
        <f>IFERROR(__xludf.DUMMYFUNCTION("ARRAYFORMULA(VLOOKUP(A1129,IMPORTRANGE(""https://docs.google.com/spreadsheets/d/1BuTWp7qHGjWhqrnf-OmePP568O4A5Am9ttzvVdP67zw/edit#gid=771602874"" ,""HUMAN RESOURCES!$A$2:$M$2692""), {2,3,4,5,6,7,8,9,10,11,12,13},0))"),0.019)</f>
        <v>0.019</v>
      </c>
      <c r="Q1129" s="14">
        <f>IFERROR(__xludf.DUMMYFUNCTION("""COMPUTED_VALUE"""),0.017)</f>
        <v>0.017</v>
      </c>
      <c r="R1129" s="14">
        <f>IFERROR(__xludf.DUMMYFUNCTION("""COMPUTED_VALUE"""),75.0)</f>
        <v>75</v>
      </c>
      <c r="S1129" s="14">
        <f>IFERROR(__xludf.DUMMYFUNCTION("""COMPUTED_VALUE"""),71.0)</f>
        <v>71</v>
      </c>
      <c r="T1129" s="14">
        <f>IFERROR(__xludf.DUMMYFUNCTION("""COMPUTED_VALUE"""),0.237)</f>
        <v>0.237</v>
      </c>
      <c r="U1129" s="14">
        <f>IFERROR(__xludf.DUMMYFUNCTION("""COMPUTED_VALUE"""),0.712)</f>
        <v>0.712</v>
      </c>
      <c r="V1129" s="14">
        <f>IFERROR(__xludf.DUMMYFUNCTION("""COMPUTED_VALUE"""),0.051)</f>
        <v>0.051</v>
      </c>
      <c r="W1129" s="14">
        <f>IFERROR(__xludf.DUMMYFUNCTION("""COMPUTED_VALUE"""),7.3542954E7)</f>
        <v>73542954</v>
      </c>
      <c r="X1129" s="14">
        <f>IFERROR(__xludf.DUMMYFUNCTION("""COMPUTED_VALUE"""),0.7)</f>
        <v>0.7</v>
      </c>
      <c r="Y1129" s="14" t="str">
        <f>IFERROR(__xludf.DUMMYFUNCTION("""COMPUTED_VALUE"""),"Iran-Middle East")</f>
        <v>Iran-Middle East</v>
      </c>
      <c r="Z1129" s="14" t="str">
        <f>IFERROR(__xludf.DUMMYFUNCTION("""COMPUTED_VALUE"""),"Middle East")</f>
        <v>Middle East</v>
      </c>
      <c r="AA1129" s="14" t="str">
        <f>IFERROR(__xludf.DUMMYFUNCTION("""COMPUTED_VALUE"""),"2009")</f>
        <v>2009</v>
      </c>
      <c r="AB1129" s="15" t="str">
        <f>IFERROR(__xludf.DUMMYFUNCTION("ARRAYFORMULA(VLOOKUP(A1129,IMPORTRANGE(""https://docs.google.com/spreadsheets/d/1BuTWp7qHGjWhqrnf-OmePP568O4A5Am9ttzvVdP67zw/edit#gid=1931367683"" ,""ENERGY!$A$2:$F$2692""), {2,3,4,5,6},0))"),"Middle East")</f>
        <v>Middle East</v>
      </c>
      <c r="AC1129" s="14" t="str">
        <f>IFERROR(__xludf.DUMMYFUNCTION("""COMPUTED_VALUE"""),"Iran-Middle East")</f>
        <v>Iran-Middle East</v>
      </c>
      <c r="AD1129" s="14" t="str">
        <f>IFERROR(__xludf.DUMMYFUNCTION("""COMPUTED_VALUE"""),"2010")</f>
        <v>2010</v>
      </c>
      <c r="AE1129" s="14">
        <f>IFERROR(__xludf.DUMMYFUNCTION("""COMPUTED_VALUE"""),142649.0)</f>
        <v>142649</v>
      </c>
      <c r="AF1129" s="14">
        <f>IFERROR(__xludf.DUMMYFUNCTION("""COMPUTED_VALUE"""),418859.0)</f>
        <v>418859</v>
      </c>
    </row>
    <row r="1130">
      <c r="A1130" s="12">
        <v>1129.0</v>
      </c>
      <c r="B1130" s="12" t="s">
        <v>165</v>
      </c>
      <c r="C1130" s="5" t="s">
        <v>93</v>
      </c>
      <c r="D1130" s="11">
        <v>0.441</v>
      </c>
      <c r="E1130" s="11">
        <v>11.0</v>
      </c>
      <c r="F1130" s="8"/>
      <c r="G1130" s="11">
        <v>344.0</v>
      </c>
      <c r="H1130" s="11">
        <v>0.147</v>
      </c>
      <c r="I1130" s="11">
        <v>0.726</v>
      </c>
      <c r="J1130" s="9" t="s">
        <v>71</v>
      </c>
      <c r="K1130" s="14" t="str">
        <f>IFERROR(__xludf.DUMMYFUNCTION("ARRAYFORMULA(VLOOKUP(A1130,IMPORTRANGE(""https://docs.google.com/spreadsheets/d/1BuTWp7qHGjWhqrnf-OmePP568O4A5Am9ttzvVdP67zw/edit#gid=1603210130"", ""TOURISM!$A$2:$F$2692""), {2,3,4,5,6},0))"),"Middle East")</f>
        <v>Middle East</v>
      </c>
      <c r="L1130" s="14">
        <f>IFERROR(__xludf.DUMMYFUNCTION("""COMPUTED_VALUE"""),2.631E9)</f>
        <v>2631000000</v>
      </c>
      <c r="M1130" s="14" t="str">
        <f>IFERROR(__xludf.DUMMYFUNCTION("""COMPUTED_VALUE"""),"Iran-Middle East")</f>
        <v>Iran-Middle East</v>
      </c>
      <c r="N1130" s="14" t="str">
        <f>IFERROR(__xludf.DUMMYFUNCTION("""COMPUTED_VALUE"""),"2010")</f>
        <v>2010</v>
      </c>
      <c r="O1130" s="14">
        <f>IFERROR(__xludf.DUMMYFUNCTION("""COMPUTED_VALUE"""),1.057E10)</f>
        <v>10570000000</v>
      </c>
      <c r="P1130" s="15">
        <f>IFERROR(__xludf.DUMMYFUNCTION("ARRAYFORMULA(VLOOKUP(A1130,IMPORTRANGE(""https://docs.google.com/spreadsheets/d/1BuTWp7qHGjWhqrnf-OmePP568O4A5Am9ttzvVdP67zw/edit#gid=771602874"" ,""HUMAN RESOURCES!$A$2:$M$2692""), {2,3,4,5,6,7,8,9,10,11,12,13},0))"),0.019)</f>
        <v>0.019</v>
      </c>
      <c r="Q1130" s="14">
        <f>IFERROR(__xludf.DUMMYFUNCTION("""COMPUTED_VALUE"""),0.016)</f>
        <v>0.016</v>
      </c>
      <c r="R1130" s="14">
        <f>IFERROR(__xludf.DUMMYFUNCTION("""COMPUTED_VALUE"""),75.0)</f>
        <v>75</v>
      </c>
      <c r="S1130" s="14">
        <f>IFERROR(__xludf.DUMMYFUNCTION("""COMPUTED_VALUE"""),71.0)</f>
        <v>71</v>
      </c>
      <c r="T1130" s="14">
        <f>IFERROR(__xludf.DUMMYFUNCTION("""COMPUTED_VALUE"""),0.236)</f>
        <v>0.236</v>
      </c>
      <c r="U1130" s="14">
        <f>IFERROR(__xludf.DUMMYFUNCTION("""COMPUTED_VALUE"""),0.712)</f>
        <v>0.712</v>
      </c>
      <c r="V1130" s="14">
        <f>IFERROR(__xludf.DUMMYFUNCTION("""COMPUTED_VALUE"""),0.052)</f>
        <v>0.052</v>
      </c>
      <c r="W1130" s="14">
        <f>IFERROR(__xludf.DUMMYFUNCTION("""COMPUTED_VALUE"""),7.4462314E7)</f>
        <v>74462314</v>
      </c>
      <c r="X1130" s="14">
        <f>IFERROR(__xludf.DUMMYFUNCTION("""COMPUTED_VALUE"""),0.706)</f>
        <v>0.706</v>
      </c>
      <c r="Y1130" s="14" t="str">
        <f>IFERROR(__xludf.DUMMYFUNCTION("""COMPUTED_VALUE"""),"Iran-Middle East")</f>
        <v>Iran-Middle East</v>
      </c>
      <c r="Z1130" s="14" t="str">
        <f>IFERROR(__xludf.DUMMYFUNCTION("""COMPUTED_VALUE"""),"Middle East")</f>
        <v>Middle East</v>
      </c>
      <c r="AA1130" s="14" t="str">
        <f>IFERROR(__xludf.DUMMYFUNCTION("""COMPUTED_VALUE"""),"2010")</f>
        <v>2010</v>
      </c>
      <c r="AB1130" s="15" t="str">
        <f>IFERROR(__xludf.DUMMYFUNCTION("ARRAYFORMULA(VLOOKUP(A1130,IMPORTRANGE(""https://docs.google.com/spreadsheets/d/1BuTWp7qHGjWhqrnf-OmePP568O4A5Am9ttzvVdP67zw/edit#gid=1931367683"" ,""ENERGY!$A$2:$F$2692""), {2,3,4,5,6},0))"),"Middle East")</f>
        <v>Middle East</v>
      </c>
      <c r="AC1130" s="14" t="str">
        <f>IFERROR(__xludf.DUMMYFUNCTION("""COMPUTED_VALUE"""),"Iran-Middle East")</f>
        <v>Iran-Middle East</v>
      </c>
      <c r="AD1130" s="14" t="str">
        <f>IFERROR(__xludf.DUMMYFUNCTION("""COMPUTED_VALUE"""),"2010")</f>
        <v>2010</v>
      </c>
      <c r="AE1130" s="14">
        <f>IFERROR(__xludf.DUMMYFUNCTION("""COMPUTED_VALUE"""),138011.0)</f>
        <v>138011</v>
      </c>
      <c r="AF1130" s="14">
        <f>IFERROR(__xludf.DUMMYFUNCTION("""COMPUTED_VALUE"""),402178.0)</f>
        <v>402178</v>
      </c>
    </row>
    <row r="1131">
      <c r="A1131" s="12">
        <v>1130.0</v>
      </c>
      <c r="B1131" s="12" t="s">
        <v>165</v>
      </c>
      <c r="C1131" s="5" t="s">
        <v>93</v>
      </c>
      <c r="D1131" s="11">
        <v>0.441</v>
      </c>
      <c r="E1131" s="11">
        <v>11.0</v>
      </c>
      <c r="F1131" s="8"/>
      <c r="G1131" s="11">
        <v>344.0</v>
      </c>
      <c r="H1131" s="11">
        <v>0.21</v>
      </c>
      <c r="I1131" s="11">
        <v>0.743</v>
      </c>
      <c r="J1131" s="9" t="s">
        <v>72</v>
      </c>
      <c r="K1131" s="14" t="str">
        <f>IFERROR(__xludf.DUMMYFUNCTION("ARRAYFORMULA(VLOOKUP(A1131,IMPORTRANGE(""https://docs.google.com/spreadsheets/d/1BuTWp7qHGjWhqrnf-OmePP568O4A5Am9ttzvVdP67zw/edit#gid=1603210130"", ""TOURISM!$A$2:$F$2692""), {2,3,4,5,6},0))"),"Middle East")</f>
        <v>Middle East</v>
      </c>
      <c r="L1131" s="14">
        <f>IFERROR(__xludf.DUMMYFUNCTION("""COMPUTED_VALUE"""),2.574E9)</f>
        <v>2574000000</v>
      </c>
      <c r="M1131" s="14" t="str">
        <f>IFERROR(__xludf.DUMMYFUNCTION("""COMPUTED_VALUE"""),"Iran-Middle East")</f>
        <v>Iran-Middle East</v>
      </c>
      <c r="N1131" s="14" t="str">
        <f>IFERROR(__xludf.DUMMYFUNCTION("""COMPUTED_VALUE"""),"2011")</f>
        <v>2011</v>
      </c>
      <c r="O1131" s="14">
        <f>IFERROR(__xludf.DUMMYFUNCTION("""COMPUTED_VALUE"""),1.0881E10)</f>
        <v>10881000000</v>
      </c>
      <c r="P1131" s="15">
        <f>IFERROR(__xludf.DUMMYFUNCTION("ARRAYFORMULA(VLOOKUP(A1131,IMPORTRANGE(""https://docs.google.com/spreadsheets/d/1BuTWp7qHGjWhqrnf-OmePP568O4A5Am9ttzvVdP67zw/edit#gid=771602874"" ,""HUMAN RESOURCES!$A$2:$M$2692""), {2,3,4,5,6,7,8,9,10,11,12,13},0))"),0.019)</f>
        <v>0.019</v>
      </c>
      <c r="Q1131" s="14">
        <f>IFERROR(__xludf.DUMMYFUNCTION("""COMPUTED_VALUE"""),0.016)</f>
        <v>0.016</v>
      </c>
      <c r="R1131" s="14">
        <f>IFERROR(__xludf.DUMMYFUNCTION("""COMPUTED_VALUE"""),75.0)</f>
        <v>75</v>
      </c>
      <c r="S1131" s="14">
        <f>IFERROR(__xludf.DUMMYFUNCTION("""COMPUTED_VALUE"""),72.0)</f>
        <v>72</v>
      </c>
      <c r="T1131" s="14">
        <f>IFERROR(__xludf.DUMMYFUNCTION("""COMPUTED_VALUE"""),0.236)</f>
        <v>0.236</v>
      </c>
      <c r="U1131" s="14">
        <f>IFERROR(__xludf.DUMMYFUNCTION("""COMPUTED_VALUE"""),0.712)</f>
        <v>0.712</v>
      </c>
      <c r="V1131" s="14">
        <f>IFERROR(__xludf.DUMMYFUNCTION("""COMPUTED_VALUE"""),0.052)</f>
        <v>0.052</v>
      </c>
      <c r="W1131" s="14">
        <f>IFERROR(__xludf.DUMMYFUNCTION("""COMPUTED_VALUE"""),7.5424285E7)</f>
        <v>75424285</v>
      </c>
      <c r="X1131" s="14">
        <f>IFERROR(__xludf.DUMMYFUNCTION("""COMPUTED_VALUE"""),0.712)</f>
        <v>0.712</v>
      </c>
      <c r="Y1131" s="14" t="str">
        <f>IFERROR(__xludf.DUMMYFUNCTION("""COMPUTED_VALUE"""),"Iran-Middle East")</f>
        <v>Iran-Middle East</v>
      </c>
      <c r="Z1131" s="14" t="str">
        <f>IFERROR(__xludf.DUMMYFUNCTION("""COMPUTED_VALUE"""),"Middle East")</f>
        <v>Middle East</v>
      </c>
      <c r="AA1131" s="14" t="str">
        <f>IFERROR(__xludf.DUMMYFUNCTION("""COMPUTED_VALUE"""),"2011")</f>
        <v>2011</v>
      </c>
      <c r="AB1131" s="15" t="str">
        <f>IFERROR(__xludf.DUMMYFUNCTION("ARRAYFORMULA(VLOOKUP(A1131,IMPORTRANGE(""https://docs.google.com/spreadsheets/d/1BuTWp7qHGjWhqrnf-OmePP568O4A5Am9ttzvVdP67zw/edit#gid=1931367683"" ,""ENERGY!$A$2:$F$2692""), {2,3,4,5,6},0))"),"Middle East")</f>
        <v>Middle East</v>
      </c>
      <c r="AC1131" s="14" t="str">
        <f>IFERROR(__xludf.DUMMYFUNCTION("""COMPUTED_VALUE"""),"Iran-Middle East")</f>
        <v>Iran-Middle East</v>
      </c>
      <c r="AD1131" s="14" t="str">
        <f>IFERROR(__xludf.DUMMYFUNCTION("""COMPUTED_VALUE"""),"2005")</f>
        <v>2005</v>
      </c>
      <c r="AE1131" s="14">
        <f>IFERROR(__xludf.DUMMYFUNCTION("""COMPUTED_VALUE"""),133435.0)</f>
        <v>133435</v>
      </c>
      <c r="AF1131" s="14">
        <f>IFERROR(__xludf.DUMMYFUNCTION("""COMPUTED_VALUE"""),398827.0)</f>
        <v>398827</v>
      </c>
    </row>
    <row r="1132">
      <c r="A1132" s="12">
        <v>1131.0</v>
      </c>
      <c r="B1132" s="12" t="s">
        <v>165</v>
      </c>
      <c r="C1132" s="5" t="s">
        <v>93</v>
      </c>
      <c r="D1132" s="11">
        <v>0.441</v>
      </c>
      <c r="E1132" s="11">
        <v>16.0</v>
      </c>
      <c r="F1132" s="11">
        <v>152.0</v>
      </c>
      <c r="G1132" s="11">
        <v>344.0</v>
      </c>
      <c r="H1132" s="11">
        <v>0.275</v>
      </c>
      <c r="I1132" s="11">
        <v>0.761</v>
      </c>
      <c r="J1132" s="9" t="s">
        <v>73</v>
      </c>
      <c r="K1132" s="14" t="str">
        <f>IFERROR(__xludf.DUMMYFUNCTION("ARRAYFORMULA(VLOOKUP(A1132,IMPORTRANGE(""https://docs.google.com/spreadsheets/d/1BuTWp7qHGjWhqrnf-OmePP568O4A5Am9ttzvVdP67zw/edit#gid=1603210130"", ""TOURISM!$A$2:$F$2692""), {2,3,4,5,6},0))"),"Middle East")</f>
        <v>Middle East</v>
      </c>
      <c r="L1132" s="14"/>
      <c r="M1132" s="14" t="str">
        <f>IFERROR(__xludf.DUMMYFUNCTION("""COMPUTED_VALUE"""),"Iran-Middle East")</f>
        <v>Iran-Middle East</v>
      </c>
      <c r="N1132" s="14" t="str">
        <f>IFERROR(__xludf.DUMMYFUNCTION("""COMPUTED_VALUE"""),"2012")</f>
        <v>2012</v>
      </c>
      <c r="O1132" s="14"/>
      <c r="P1132" s="15">
        <f>IFERROR(__xludf.DUMMYFUNCTION("ARRAYFORMULA(VLOOKUP(A1132,IMPORTRANGE(""https://docs.google.com/spreadsheets/d/1BuTWp7qHGjWhqrnf-OmePP568O4A5Am9ttzvVdP67zw/edit#gid=771602874"" ,""HUMAN RESOURCES!$A$2:$M$2692""), {2,3,4,5,6,7,8,9,10,11,12,13},0))"),0.019)</f>
        <v>0.019</v>
      </c>
      <c r="Q1132" s="14">
        <f>IFERROR(__xludf.DUMMYFUNCTION("""COMPUTED_VALUE"""),0.015)</f>
        <v>0.015</v>
      </c>
      <c r="R1132" s="14">
        <f>IFERROR(__xludf.DUMMYFUNCTION("""COMPUTED_VALUE"""),76.0)</f>
        <v>76</v>
      </c>
      <c r="S1132" s="14">
        <f>IFERROR(__xludf.DUMMYFUNCTION("""COMPUTED_VALUE"""),72.0)</f>
        <v>72</v>
      </c>
      <c r="T1132" s="14">
        <f>IFERROR(__xludf.DUMMYFUNCTION("""COMPUTED_VALUE"""),0.237)</f>
        <v>0.237</v>
      </c>
      <c r="U1132" s="14">
        <f>IFERROR(__xludf.DUMMYFUNCTION("""COMPUTED_VALUE"""),0.711)</f>
        <v>0.711</v>
      </c>
      <c r="V1132" s="14">
        <f>IFERROR(__xludf.DUMMYFUNCTION("""COMPUTED_VALUE"""),0.052)</f>
        <v>0.052</v>
      </c>
      <c r="W1132" s="14">
        <f>IFERROR(__xludf.DUMMYFUNCTION("""COMPUTED_VALUE"""),7.6424443E7)</f>
        <v>76424443</v>
      </c>
      <c r="X1132" s="14">
        <f>IFERROR(__xludf.DUMMYFUNCTION("""COMPUTED_VALUE"""),0.718)</f>
        <v>0.718</v>
      </c>
      <c r="Y1132" s="14" t="str">
        <f>IFERROR(__xludf.DUMMYFUNCTION("""COMPUTED_VALUE"""),"Iran-Middle East")</f>
        <v>Iran-Middle East</v>
      </c>
      <c r="Z1132" s="14" t="str">
        <f>IFERROR(__xludf.DUMMYFUNCTION("""COMPUTED_VALUE"""),"Middle East")</f>
        <v>Middle East</v>
      </c>
      <c r="AA1132" s="14" t="str">
        <f>IFERROR(__xludf.DUMMYFUNCTION("""COMPUTED_VALUE"""),"2012")</f>
        <v>2012</v>
      </c>
      <c r="AB1132" s="15" t="str">
        <f>IFERROR(__xludf.DUMMYFUNCTION("ARRAYFORMULA(VLOOKUP(A1132,IMPORTRANGE(""https://docs.google.com/spreadsheets/d/1BuTWp7qHGjWhqrnf-OmePP568O4A5Am9ttzvVdP67zw/edit#gid=1931367683"" ,""ENERGY!$A$2:$F$2692""), {2,3,4,5,6},0))"),"Middle East")</f>
        <v>Middle East</v>
      </c>
      <c r="AC1132" s="14" t="str">
        <f>IFERROR(__xludf.DUMMYFUNCTION("""COMPUTED_VALUE"""),"Iran-Middle East")</f>
        <v>Iran-Middle East</v>
      </c>
      <c r="AD1132" s="14" t="str">
        <f>IFERROR(__xludf.DUMMYFUNCTION("""COMPUTED_VALUE"""),"2010")</f>
        <v>2010</v>
      </c>
      <c r="AE1132" s="14">
        <f>IFERROR(__xludf.DUMMYFUNCTION("""COMPUTED_VALUE"""),122983.0)</f>
        <v>122983</v>
      </c>
      <c r="AF1132" s="14">
        <f>IFERROR(__xludf.DUMMYFUNCTION("""COMPUTED_VALUE"""),372703.0)</f>
        <v>372703</v>
      </c>
    </row>
    <row r="1133">
      <c r="A1133" s="12">
        <v>1132.0</v>
      </c>
      <c r="B1133" s="12" t="s">
        <v>166</v>
      </c>
      <c r="C1133" s="5" t="s">
        <v>93</v>
      </c>
      <c r="D1133" s="8"/>
      <c r="E1133" s="8"/>
      <c r="F1133" s="8"/>
      <c r="G1133" s="8"/>
      <c r="H1133" s="8"/>
      <c r="I1133" s="8"/>
      <c r="J1133" s="9" t="s">
        <v>60</v>
      </c>
      <c r="K1133" s="14" t="str">
        <f>IFERROR(__xludf.DUMMYFUNCTION("ARRAYFORMULA(VLOOKUP(A1133,IMPORTRANGE(""https://docs.google.com/spreadsheets/d/1BuTWp7qHGjWhqrnf-OmePP568O4A5Am9ttzvVdP67zw/edit#gid=1603210130"", ""TOURISM!$A$2:$F$2692""), {2,3,4,5,6},0))"),"Middle East")</f>
        <v>Middle East</v>
      </c>
      <c r="L1133" s="14">
        <f>IFERROR(__xludf.DUMMYFUNCTION("""COMPUTED_VALUE"""),2000000.0)</f>
        <v>2000000</v>
      </c>
      <c r="M1133" s="14" t="str">
        <f>IFERROR(__xludf.DUMMYFUNCTION("""COMPUTED_VALUE"""),"Iraq-Middle East")</f>
        <v>Iraq-Middle East</v>
      </c>
      <c r="N1133" s="14" t="str">
        <f>IFERROR(__xludf.DUMMYFUNCTION("""COMPUTED_VALUE"""),"2000")</f>
        <v>2000</v>
      </c>
      <c r="O1133" s="14">
        <f>IFERROR(__xludf.DUMMYFUNCTION("""COMPUTED_VALUE"""),9000000.0)</f>
        <v>9000000</v>
      </c>
      <c r="P1133" s="15">
        <f>IFERROR(__xludf.DUMMYFUNCTION("ARRAYFORMULA(VLOOKUP(A1133,IMPORTRANGE(""https://docs.google.com/spreadsheets/d/1BuTWp7qHGjWhqrnf-OmePP568O4A5Am9ttzvVdP67zw/edit#gid=771602874"" ,""HUMAN RESOURCES!$A$2:$M$2692""), {2,3,4,5,6,7,8,9,10,11,12,13},0))"),0.036)</f>
        <v>0.036</v>
      </c>
      <c r="Q1133" s="14">
        <f>IFERROR(__xludf.DUMMYFUNCTION("""COMPUTED_VALUE"""),0.036)</f>
        <v>0.036</v>
      </c>
      <c r="R1133" s="14">
        <f>IFERROR(__xludf.DUMMYFUNCTION("""COMPUTED_VALUE"""),73.0)</f>
        <v>73</v>
      </c>
      <c r="S1133" s="14">
        <f>IFERROR(__xludf.DUMMYFUNCTION("""COMPUTED_VALUE"""),69.0)</f>
        <v>69</v>
      </c>
      <c r="T1133" s="14">
        <f>IFERROR(__xludf.DUMMYFUNCTION("""COMPUTED_VALUE"""),0.428)</f>
        <v>0.428</v>
      </c>
      <c r="U1133" s="14">
        <f>IFERROR(__xludf.DUMMYFUNCTION("""COMPUTED_VALUE"""),0.537)</f>
        <v>0.537</v>
      </c>
      <c r="V1133" s="14">
        <f>IFERROR(__xludf.DUMMYFUNCTION("""COMPUTED_VALUE"""),0.035)</f>
        <v>0.035</v>
      </c>
      <c r="W1133" s="14">
        <f>IFERROR(__xludf.DUMMYFUNCTION("""COMPUTED_VALUE"""),2.3801156E7)</f>
        <v>23801156</v>
      </c>
      <c r="X1133" s="14">
        <f>IFERROR(__xludf.DUMMYFUNCTION("""COMPUTED_VALUE"""),0.685)</f>
        <v>0.685</v>
      </c>
      <c r="Y1133" s="14" t="str">
        <f>IFERROR(__xludf.DUMMYFUNCTION("""COMPUTED_VALUE"""),"Iraq-Middle East")</f>
        <v>Iraq-Middle East</v>
      </c>
      <c r="Z1133" s="14" t="str">
        <f>IFERROR(__xludf.DUMMYFUNCTION("""COMPUTED_VALUE"""),"Middle East")</f>
        <v>Middle East</v>
      </c>
      <c r="AA1133" s="14" t="str">
        <f>IFERROR(__xludf.DUMMYFUNCTION("""COMPUTED_VALUE"""),"2000")</f>
        <v>2000</v>
      </c>
      <c r="AB1133" s="15" t="str">
        <f>IFERROR(__xludf.DUMMYFUNCTION("ARRAYFORMULA(VLOOKUP(A1133,IMPORTRANGE(""https://docs.google.com/spreadsheets/d/1BuTWp7qHGjWhqrnf-OmePP568O4A5Am9ttzvVdP67zw/edit#gid=1931367683"" ,""ENERGY!$A$2:$F$2692""), {2,3,4,5,6},0))"),"Middle East")</f>
        <v>Middle East</v>
      </c>
      <c r="AC1133" s="14" t="str">
        <f>IFERROR(__xludf.DUMMYFUNCTION("""COMPUTED_VALUE"""),"Iraq-Middle East")</f>
        <v>Iraq-Middle East</v>
      </c>
      <c r="AD1133" s="14" t="str">
        <f>IFERROR(__xludf.DUMMYFUNCTION("""COMPUTED_VALUE"""),"2000")</f>
        <v>2000</v>
      </c>
      <c r="AE1133" s="14"/>
      <c r="AF1133" s="14"/>
    </row>
    <row r="1134">
      <c r="A1134" s="12">
        <v>1133.0</v>
      </c>
      <c r="B1134" s="12" t="s">
        <v>166</v>
      </c>
      <c r="C1134" s="5" t="s">
        <v>93</v>
      </c>
      <c r="D1134" s="8"/>
      <c r="E1134" s="8"/>
      <c r="F1134" s="8"/>
      <c r="G1134" s="8"/>
      <c r="H1134" s="11">
        <v>0.001</v>
      </c>
      <c r="I1134" s="8"/>
      <c r="J1134" s="9" t="s">
        <v>62</v>
      </c>
      <c r="K1134" s="14" t="str">
        <f>IFERROR(__xludf.DUMMYFUNCTION("ARRAYFORMULA(VLOOKUP(A1134,IMPORTRANGE(""https://docs.google.com/spreadsheets/d/1BuTWp7qHGjWhqrnf-OmePP568O4A5Am9ttzvVdP67zw/edit#gid=1603210130"", ""TOURISM!$A$2:$F$2692""), {2,3,4,5,6},0))"),"Middle East")</f>
        <v>Middle East</v>
      </c>
      <c r="L1134" s="14">
        <f>IFERROR(__xludf.DUMMYFUNCTION("""COMPUTED_VALUE"""),1.5E7)</f>
        <v>15000000</v>
      </c>
      <c r="M1134" s="14" t="str">
        <f>IFERROR(__xludf.DUMMYFUNCTION("""COMPUTED_VALUE"""),"Iraq-Middle East")</f>
        <v>Iraq-Middle East</v>
      </c>
      <c r="N1134" s="14" t="str">
        <f>IFERROR(__xludf.DUMMYFUNCTION("""COMPUTED_VALUE"""),"2001")</f>
        <v>2001</v>
      </c>
      <c r="O1134" s="14">
        <f>IFERROR(__xludf.DUMMYFUNCTION("""COMPUTED_VALUE"""),3.1E7)</f>
        <v>31000000</v>
      </c>
      <c r="P1134" s="15">
        <f>IFERROR(__xludf.DUMMYFUNCTION("ARRAYFORMULA(VLOOKUP(A1134,IMPORTRANGE(""https://docs.google.com/spreadsheets/d/1BuTWp7qHGjWhqrnf-OmePP568O4A5Am9ttzvVdP67zw/edit#gid=771602874"" ,""HUMAN RESOURCES!$A$2:$M$2692""), {2,3,4,5,6,7,8,9,10,11,12,13},0))"),0.036)</f>
        <v>0.036</v>
      </c>
      <c r="Q1134" s="14">
        <f>IFERROR(__xludf.DUMMYFUNCTION("""COMPUTED_VALUE"""),0.035)</f>
        <v>0.035</v>
      </c>
      <c r="R1134" s="14">
        <f>IFERROR(__xludf.DUMMYFUNCTION("""COMPUTED_VALUE"""),73.0)</f>
        <v>73</v>
      </c>
      <c r="S1134" s="14">
        <f>IFERROR(__xludf.DUMMYFUNCTION("""COMPUTED_VALUE"""),69.0)</f>
        <v>69</v>
      </c>
      <c r="T1134" s="14">
        <f>IFERROR(__xludf.DUMMYFUNCTION("""COMPUTED_VALUE"""),0.426)</f>
        <v>0.426</v>
      </c>
      <c r="U1134" s="14">
        <f>IFERROR(__xludf.DUMMYFUNCTION("""COMPUTED_VALUE"""),0.539)</f>
        <v>0.539</v>
      </c>
      <c r="V1134" s="14">
        <f>IFERROR(__xludf.DUMMYFUNCTION("""COMPUTED_VALUE"""),0.035)</f>
        <v>0.035</v>
      </c>
      <c r="W1134" s="14">
        <f>IFERROR(__xludf.DUMMYFUNCTION("""COMPUTED_VALUE"""),2.4516842E7)</f>
        <v>24516842</v>
      </c>
      <c r="X1134" s="14">
        <f>IFERROR(__xludf.DUMMYFUNCTION("""COMPUTED_VALUE"""),0.686)</f>
        <v>0.686</v>
      </c>
      <c r="Y1134" s="14" t="str">
        <f>IFERROR(__xludf.DUMMYFUNCTION("""COMPUTED_VALUE"""),"Iraq-Middle East")</f>
        <v>Iraq-Middle East</v>
      </c>
      <c r="Z1134" s="14" t="str">
        <f>IFERROR(__xludf.DUMMYFUNCTION("""COMPUTED_VALUE"""),"Middle East")</f>
        <v>Middle East</v>
      </c>
      <c r="AA1134" s="14" t="str">
        <f>IFERROR(__xludf.DUMMYFUNCTION("""COMPUTED_VALUE"""),"2001")</f>
        <v>2001</v>
      </c>
      <c r="AB1134" s="15" t="str">
        <f>IFERROR(__xludf.DUMMYFUNCTION("ARRAYFORMULA(VLOOKUP(A1134,IMPORTRANGE(""https://docs.google.com/spreadsheets/d/1BuTWp7qHGjWhqrnf-OmePP568O4A5Am9ttzvVdP67zw/edit#gid=1931367683"" ,""ENERGY!$A$2:$F$2692""), {2,3,4,5,6},0))"),"Middle East")</f>
        <v>Middle East</v>
      </c>
      <c r="AC1134" s="14" t="str">
        <f>IFERROR(__xludf.DUMMYFUNCTION("""COMPUTED_VALUE"""),"Iraq-Middle East")</f>
        <v>Iraq-Middle East</v>
      </c>
      <c r="AD1134" s="14" t="str">
        <f>IFERROR(__xludf.DUMMYFUNCTION("""COMPUTED_VALUE"""),"2001")</f>
        <v>2001</v>
      </c>
      <c r="AE1134" s="14">
        <f>IFERROR(__xludf.DUMMYFUNCTION("""COMPUTED_VALUE"""),40220.0)</f>
        <v>40220</v>
      </c>
      <c r="AF1134" s="14"/>
    </row>
    <row r="1135">
      <c r="A1135" s="12">
        <v>1134.0</v>
      </c>
      <c r="B1135" s="12" t="s">
        <v>166</v>
      </c>
      <c r="C1135" s="5" t="s">
        <v>93</v>
      </c>
      <c r="D1135" s="8"/>
      <c r="E1135" s="8"/>
      <c r="F1135" s="8"/>
      <c r="G1135" s="8"/>
      <c r="H1135" s="11">
        <v>0.005</v>
      </c>
      <c r="I1135" s="11">
        <v>0.001</v>
      </c>
      <c r="J1135" s="9" t="s">
        <v>63</v>
      </c>
      <c r="K1135" s="14" t="str">
        <f>IFERROR(__xludf.DUMMYFUNCTION("ARRAYFORMULA(VLOOKUP(A1135,IMPORTRANGE(""https://docs.google.com/spreadsheets/d/1BuTWp7qHGjWhqrnf-OmePP568O4A5Am9ttzvVdP67zw/edit#gid=1603210130"", ""TOURISM!$A$2:$F$2692""), {2,3,4,5,6},0))"),"Middle East")</f>
        <v>Middle East</v>
      </c>
      <c r="L1135" s="14">
        <f>IFERROR(__xludf.DUMMYFUNCTION("""COMPUTED_VALUE"""),4.5E7)</f>
        <v>45000000</v>
      </c>
      <c r="M1135" s="14" t="str">
        <f>IFERROR(__xludf.DUMMYFUNCTION("""COMPUTED_VALUE"""),"Iraq-Middle East")</f>
        <v>Iraq-Middle East</v>
      </c>
      <c r="N1135" s="14" t="str">
        <f>IFERROR(__xludf.DUMMYFUNCTION("""COMPUTED_VALUE"""),"2002")</f>
        <v>2002</v>
      </c>
      <c r="O1135" s="14">
        <f>IFERROR(__xludf.DUMMYFUNCTION("""COMPUTED_VALUE"""),2.6E7)</f>
        <v>26000000</v>
      </c>
      <c r="P1135" s="15">
        <f>IFERROR(__xludf.DUMMYFUNCTION("ARRAYFORMULA(VLOOKUP(A1135,IMPORTRANGE(""https://docs.google.com/spreadsheets/d/1BuTWp7qHGjWhqrnf-OmePP568O4A5Am9ttzvVdP67zw/edit#gid=771602874"" ,""HUMAN RESOURCES!$A$2:$M$2692""), {2,3,4,5,6,7,8,9,10,11,12,13},0))"),0.035)</f>
        <v>0.035</v>
      </c>
      <c r="Q1135" s="14">
        <f>IFERROR(__xludf.DUMMYFUNCTION("""COMPUTED_VALUE"""),0.035)</f>
        <v>0.035</v>
      </c>
      <c r="R1135" s="14">
        <f>IFERROR(__xludf.DUMMYFUNCTION("""COMPUTED_VALUE"""),73.0)</f>
        <v>73</v>
      </c>
      <c r="S1135" s="14">
        <f>IFERROR(__xludf.DUMMYFUNCTION("""COMPUTED_VALUE"""),68.0)</f>
        <v>68</v>
      </c>
      <c r="T1135" s="14">
        <f>IFERROR(__xludf.DUMMYFUNCTION("""COMPUTED_VALUE"""),0.424)</f>
        <v>0.424</v>
      </c>
      <c r="U1135" s="14">
        <f>IFERROR(__xludf.DUMMYFUNCTION("""COMPUTED_VALUE"""),0.541)</f>
        <v>0.541</v>
      </c>
      <c r="V1135" s="14">
        <f>IFERROR(__xludf.DUMMYFUNCTION("""COMPUTED_VALUE"""),0.035)</f>
        <v>0.035</v>
      </c>
      <c r="W1135" s="14">
        <f>IFERROR(__xludf.DUMMYFUNCTION("""COMPUTED_VALUE"""),2.5238267E7)</f>
        <v>25238267</v>
      </c>
      <c r="X1135" s="14">
        <f>IFERROR(__xludf.DUMMYFUNCTION("""COMPUTED_VALUE"""),0.686)</f>
        <v>0.686</v>
      </c>
      <c r="Y1135" s="14" t="str">
        <f>IFERROR(__xludf.DUMMYFUNCTION("""COMPUTED_VALUE"""),"Iraq-Middle East")</f>
        <v>Iraq-Middle East</v>
      </c>
      <c r="Z1135" s="14" t="str">
        <f>IFERROR(__xludf.DUMMYFUNCTION("""COMPUTED_VALUE"""),"Middle East")</f>
        <v>Middle East</v>
      </c>
      <c r="AA1135" s="14" t="str">
        <f>IFERROR(__xludf.DUMMYFUNCTION("""COMPUTED_VALUE"""),"2002")</f>
        <v>2002</v>
      </c>
      <c r="AB1135" s="15" t="str">
        <f>IFERROR(__xludf.DUMMYFUNCTION("ARRAYFORMULA(VLOOKUP(A1135,IMPORTRANGE(""https://docs.google.com/spreadsheets/d/1BuTWp7qHGjWhqrnf-OmePP568O4A5Am9ttzvVdP67zw/edit#gid=1931367683"" ,""ENERGY!$A$2:$F$2692""), {2,3,4,5,6},0))"),"Middle East")</f>
        <v>Middle East</v>
      </c>
      <c r="AC1135" s="14" t="str">
        <f>IFERROR(__xludf.DUMMYFUNCTION("""COMPUTED_VALUE"""),"Iraq-Middle East")</f>
        <v>Iraq-Middle East</v>
      </c>
      <c r="AD1135" s="14" t="str">
        <f>IFERROR(__xludf.DUMMYFUNCTION("""COMPUTED_VALUE"""),"2002")</f>
        <v>2002</v>
      </c>
      <c r="AE1135" s="14">
        <f>IFERROR(__xludf.DUMMYFUNCTION("""COMPUTED_VALUE"""),37845.0)</f>
        <v>37845</v>
      </c>
      <c r="AF1135" s="14">
        <f>IFERROR(__xludf.DUMMYFUNCTION("""COMPUTED_VALUE"""),114667.0)</f>
        <v>114667</v>
      </c>
    </row>
    <row r="1136">
      <c r="A1136" s="12">
        <v>1135.0</v>
      </c>
      <c r="B1136" s="12" t="s">
        <v>166</v>
      </c>
      <c r="C1136" s="5" t="s">
        <v>93</v>
      </c>
      <c r="D1136" s="8"/>
      <c r="E1136" s="8"/>
      <c r="F1136" s="8"/>
      <c r="G1136" s="8"/>
      <c r="H1136" s="11">
        <v>0.006</v>
      </c>
      <c r="I1136" s="11">
        <v>0.003</v>
      </c>
      <c r="J1136" s="9" t="s">
        <v>64</v>
      </c>
      <c r="K1136" s="14" t="str">
        <f>IFERROR(__xludf.DUMMYFUNCTION("ARRAYFORMULA(VLOOKUP(A1136,IMPORTRANGE(""https://docs.google.com/spreadsheets/d/1BuTWp7qHGjWhqrnf-OmePP568O4A5Am9ttzvVdP67zw/edit#gid=1603210130"", ""TOURISM!$A$2:$F$2692""), {2,3,4,5,6},0))"),"Middle East")</f>
        <v>Middle East</v>
      </c>
      <c r="L1136" s="14"/>
      <c r="M1136" s="14" t="str">
        <f>IFERROR(__xludf.DUMMYFUNCTION("""COMPUTED_VALUE"""),"Iraq-Middle East")</f>
        <v>Iraq-Middle East</v>
      </c>
      <c r="N1136" s="14" t="str">
        <f>IFERROR(__xludf.DUMMYFUNCTION("""COMPUTED_VALUE"""),"2003")</f>
        <v>2003</v>
      </c>
      <c r="O1136" s="14"/>
      <c r="P1136" s="15">
        <f>IFERROR(__xludf.DUMMYFUNCTION("ARRAYFORMULA(VLOOKUP(A1136,IMPORTRANGE(""https://docs.google.com/spreadsheets/d/1BuTWp7qHGjWhqrnf-OmePP568O4A5Am9ttzvVdP67zw/edit#gid=771602874"" ,""HUMAN RESOURCES!$A$2:$M$2692""), {2,3,4,5,6,7,8,9,10,11,12,13},0))"),0.035)</f>
        <v>0.035</v>
      </c>
      <c r="Q1136" s="14">
        <f>IFERROR(__xludf.DUMMYFUNCTION("""COMPUTED_VALUE"""),0.034)</f>
        <v>0.034</v>
      </c>
      <c r="R1136" s="14">
        <f>IFERROR(__xludf.DUMMYFUNCTION("""COMPUTED_VALUE"""),73.0)</f>
        <v>73</v>
      </c>
      <c r="S1136" s="14">
        <f>IFERROR(__xludf.DUMMYFUNCTION("""COMPUTED_VALUE"""),68.0)</f>
        <v>68</v>
      </c>
      <c r="T1136" s="14">
        <f>IFERROR(__xludf.DUMMYFUNCTION("""COMPUTED_VALUE"""),0.422)</f>
        <v>0.422</v>
      </c>
      <c r="U1136" s="14">
        <f>IFERROR(__xludf.DUMMYFUNCTION("""COMPUTED_VALUE"""),0.543)</f>
        <v>0.543</v>
      </c>
      <c r="V1136" s="14">
        <f>IFERROR(__xludf.DUMMYFUNCTION("""COMPUTED_VALUE"""),0.035)</f>
        <v>0.035</v>
      </c>
      <c r="W1136" s="14">
        <f>IFERROR(__xludf.DUMMYFUNCTION("""COMPUTED_VALUE"""),2.5959531E7)</f>
        <v>25959531</v>
      </c>
      <c r="X1136" s="14">
        <f>IFERROR(__xludf.DUMMYFUNCTION("""COMPUTED_VALUE"""),0.687)</f>
        <v>0.687</v>
      </c>
      <c r="Y1136" s="14" t="str">
        <f>IFERROR(__xludf.DUMMYFUNCTION("""COMPUTED_VALUE"""),"Iraq-Middle East")</f>
        <v>Iraq-Middle East</v>
      </c>
      <c r="Z1136" s="14" t="str">
        <f>IFERROR(__xludf.DUMMYFUNCTION("""COMPUTED_VALUE"""),"Middle East")</f>
        <v>Middle East</v>
      </c>
      <c r="AA1136" s="14" t="str">
        <f>IFERROR(__xludf.DUMMYFUNCTION("""COMPUTED_VALUE"""),"2003")</f>
        <v>2003</v>
      </c>
      <c r="AB1136" s="15" t="str">
        <f>IFERROR(__xludf.DUMMYFUNCTION("ARRAYFORMULA(VLOOKUP(A1136,IMPORTRANGE(""https://docs.google.com/spreadsheets/d/1BuTWp7qHGjWhqrnf-OmePP568O4A5Am9ttzvVdP67zw/edit#gid=1931367683"" ,""ENERGY!$A$2:$F$2692""), {2,3,4,5,6},0))"),"Middle East")</f>
        <v>Middle East</v>
      </c>
      <c r="AC1136" s="14" t="str">
        <f>IFERROR(__xludf.DUMMYFUNCTION("""COMPUTED_VALUE"""),"Iraq-Middle East")</f>
        <v>Iraq-Middle East</v>
      </c>
      <c r="AD1136" s="14" t="str">
        <f>IFERROR(__xludf.DUMMYFUNCTION("""COMPUTED_VALUE"""),"2003")</f>
        <v>2003</v>
      </c>
      <c r="AE1136" s="14">
        <f>IFERROR(__xludf.DUMMYFUNCTION("""COMPUTED_VALUE"""),32846.0)</f>
        <v>32846</v>
      </c>
      <c r="AF1136" s="14">
        <f>IFERROR(__xludf.DUMMYFUNCTION("""COMPUTED_VALUE"""),106651.0)</f>
        <v>106651</v>
      </c>
    </row>
    <row r="1137">
      <c r="A1137" s="12">
        <v>1136.0</v>
      </c>
      <c r="B1137" s="12" t="s">
        <v>166</v>
      </c>
      <c r="C1137" s="5" t="s">
        <v>93</v>
      </c>
      <c r="D1137" s="8"/>
      <c r="E1137" s="11">
        <v>77.0</v>
      </c>
      <c r="F1137" s="8"/>
      <c r="G1137" s="8"/>
      <c r="H1137" s="11">
        <v>0.009</v>
      </c>
      <c r="I1137" s="11">
        <v>0.022</v>
      </c>
      <c r="J1137" s="9" t="s">
        <v>65</v>
      </c>
      <c r="K1137" s="14" t="str">
        <f>IFERROR(__xludf.DUMMYFUNCTION("ARRAYFORMULA(VLOOKUP(A1137,IMPORTRANGE(""https://docs.google.com/spreadsheets/d/1BuTWp7qHGjWhqrnf-OmePP568O4A5Am9ttzvVdP67zw/edit#gid=1603210130"", ""TOURISM!$A$2:$F$2692""), {2,3,4,5,6},0))"),"Middle East")</f>
        <v>Middle East</v>
      </c>
      <c r="L1137" s="14"/>
      <c r="M1137" s="14" t="str">
        <f>IFERROR(__xludf.DUMMYFUNCTION("""COMPUTED_VALUE"""),"Iraq-Middle East")</f>
        <v>Iraq-Middle East</v>
      </c>
      <c r="N1137" s="14" t="str">
        <f>IFERROR(__xludf.DUMMYFUNCTION("""COMPUTED_VALUE"""),"2004")</f>
        <v>2004</v>
      </c>
      <c r="O1137" s="14"/>
      <c r="P1137" s="15">
        <f>IFERROR(__xludf.DUMMYFUNCTION("ARRAYFORMULA(VLOOKUP(A1137,IMPORTRANGE(""https://docs.google.com/spreadsheets/d/1BuTWp7qHGjWhqrnf-OmePP568O4A5Am9ttzvVdP67zw/edit#gid=771602874"" ,""HUMAN RESOURCES!$A$2:$M$2692""), {2,3,4,5,6,7,8,9,10,11,12,13},0))"),0.035)</f>
        <v>0.035</v>
      </c>
      <c r="Q1137" s="14">
        <f>IFERROR(__xludf.DUMMYFUNCTION("""COMPUTED_VALUE"""),0.034)</f>
        <v>0.034</v>
      </c>
      <c r="R1137" s="14">
        <f>IFERROR(__xludf.DUMMYFUNCTION("""COMPUTED_VALUE"""),72.0)</f>
        <v>72</v>
      </c>
      <c r="S1137" s="14">
        <f>IFERROR(__xludf.DUMMYFUNCTION("""COMPUTED_VALUE"""),67.0)</f>
        <v>67</v>
      </c>
      <c r="T1137" s="14">
        <f>IFERROR(__xludf.DUMMYFUNCTION("""COMPUTED_VALUE"""),0.421)</f>
        <v>0.421</v>
      </c>
      <c r="U1137" s="14">
        <f>IFERROR(__xludf.DUMMYFUNCTION("""COMPUTED_VALUE"""),0.545)</f>
        <v>0.545</v>
      </c>
      <c r="V1137" s="14">
        <f>IFERROR(__xludf.DUMMYFUNCTION("""COMPUTED_VALUE"""),0.035)</f>
        <v>0.035</v>
      </c>
      <c r="W1137" s="14">
        <f>IFERROR(__xludf.DUMMYFUNCTION("""COMPUTED_VALUE"""),2.6673536E7)</f>
        <v>26673536</v>
      </c>
      <c r="X1137" s="14">
        <f>IFERROR(__xludf.DUMMYFUNCTION("""COMPUTED_VALUE"""),0.687)</f>
        <v>0.687</v>
      </c>
      <c r="Y1137" s="14" t="str">
        <f>IFERROR(__xludf.DUMMYFUNCTION("""COMPUTED_VALUE"""),"Iraq-Middle East")</f>
        <v>Iraq-Middle East</v>
      </c>
      <c r="Z1137" s="14" t="str">
        <f>IFERROR(__xludf.DUMMYFUNCTION("""COMPUTED_VALUE"""),"Middle East")</f>
        <v>Middle East</v>
      </c>
      <c r="AA1137" s="14" t="str">
        <f>IFERROR(__xludf.DUMMYFUNCTION("""COMPUTED_VALUE"""),"2004")</f>
        <v>2004</v>
      </c>
      <c r="AB1137" s="15" t="str">
        <f>IFERROR(__xludf.DUMMYFUNCTION("ARRAYFORMULA(VLOOKUP(A1137,IMPORTRANGE(""https://docs.google.com/spreadsheets/d/1BuTWp7qHGjWhqrnf-OmePP568O4A5Am9ttzvVdP67zw/edit#gid=1931367683"" ,""ENERGY!$A$2:$F$2692""), {2,3,4,5,6},0))"),"Middle East")</f>
        <v>Middle East</v>
      </c>
      <c r="AC1137" s="14" t="str">
        <f>IFERROR(__xludf.DUMMYFUNCTION("""COMPUTED_VALUE"""),"Iraq-Middle East")</f>
        <v>Iraq-Middle East</v>
      </c>
      <c r="AD1137" s="14" t="str">
        <f>IFERROR(__xludf.DUMMYFUNCTION("""COMPUTED_VALUE"""),"2004")</f>
        <v>2004</v>
      </c>
      <c r="AE1137" s="14">
        <f>IFERROR(__xludf.DUMMYFUNCTION("""COMPUTED_VALUE"""),28806.0)</f>
        <v>28806</v>
      </c>
      <c r="AF1137" s="14">
        <f>IFERROR(__xludf.DUMMYFUNCTION("""COMPUTED_VALUE"""),94444.0)</f>
        <v>94444</v>
      </c>
    </row>
    <row r="1138">
      <c r="A1138" s="12">
        <v>1137.0</v>
      </c>
      <c r="B1138" s="12" t="s">
        <v>166</v>
      </c>
      <c r="C1138" s="5" t="s">
        <v>93</v>
      </c>
      <c r="D1138" s="11">
        <v>0.242</v>
      </c>
      <c r="E1138" s="11">
        <v>32.0</v>
      </c>
      <c r="F1138" s="8"/>
      <c r="G1138" s="11">
        <v>312.0</v>
      </c>
      <c r="H1138" s="11">
        <v>0.009</v>
      </c>
      <c r="I1138" s="11">
        <v>0.056</v>
      </c>
      <c r="J1138" s="9" t="s">
        <v>66</v>
      </c>
      <c r="K1138" s="14" t="str">
        <f>IFERROR(__xludf.DUMMYFUNCTION("ARRAYFORMULA(VLOOKUP(A1138,IMPORTRANGE(""https://docs.google.com/spreadsheets/d/1BuTWp7qHGjWhqrnf-OmePP568O4A5Am9ttzvVdP67zw/edit#gid=1603210130"", ""TOURISM!$A$2:$F$2692""), {2,3,4,5,6},0))"),"Middle East")</f>
        <v>Middle East</v>
      </c>
      <c r="L1138" s="14">
        <f>IFERROR(__xludf.DUMMYFUNCTION("""COMPUTED_VALUE"""),1.86E8)</f>
        <v>186000000</v>
      </c>
      <c r="M1138" s="14" t="str">
        <f>IFERROR(__xludf.DUMMYFUNCTION("""COMPUTED_VALUE"""),"Iraq-Middle East")</f>
        <v>Iraq-Middle East</v>
      </c>
      <c r="N1138" s="14" t="str">
        <f>IFERROR(__xludf.DUMMYFUNCTION("""COMPUTED_VALUE"""),"2005")</f>
        <v>2005</v>
      </c>
      <c r="O1138" s="14">
        <f>IFERROR(__xludf.DUMMYFUNCTION("""COMPUTED_VALUE"""),6.27E8)</f>
        <v>627000000</v>
      </c>
      <c r="P1138" s="15">
        <f>IFERROR(__xludf.DUMMYFUNCTION("ARRAYFORMULA(VLOOKUP(A1138,IMPORTRANGE(""https://docs.google.com/spreadsheets/d/1BuTWp7qHGjWhqrnf-OmePP568O4A5Am9ttzvVdP67zw/edit#gid=771602874"" ,""HUMAN RESOURCES!$A$2:$M$2692""), {2,3,4,5,6,7,8,9,10,11,12,13},0))"),0.034)</f>
        <v>0.034</v>
      </c>
      <c r="Q1138" s="14">
        <f>IFERROR(__xludf.DUMMYFUNCTION("""COMPUTED_VALUE"""),0.033)</f>
        <v>0.033</v>
      </c>
      <c r="R1138" s="14">
        <f>IFERROR(__xludf.DUMMYFUNCTION("""COMPUTED_VALUE"""),72.0)</f>
        <v>72</v>
      </c>
      <c r="S1138" s="14">
        <f>IFERROR(__xludf.DUMMYFUNCTION("""COMPUTED_VALUE"""),67.0)</f>
        <v>67</v>
      </c>
      <c r="T1138" s="14">
        <f>IFERROR(__xludf.DUMMYFUNCTION("""COMPUTED_VALUE"""),0.419)</f>
        <v>0.419</v>
      </c>
      <c r="U1138" s="14">
        <f>IFERROR(__xludf.DUMMYFUNCTION("""COMPUTED_VALUE"""),0.546)</f>
        <v>0.546</v>
      </c>
      <c r="V1138" s="14">
        <f>IFERROR(__xludf.DUMMYFUNCTION("""COMPUTED_VALUE"""),0.035)</f>
        <v>0.035</v>
      </c>
      <c r="W1138" s="14">
        <f>IFERROR(__xludf.DUMMYFUNCTION("""COMPUTED_VALUE"""),2.7377045E7)</f>
        <v>27377045</v>
      </c>
      <c r="X1138" s="14">
        <f>IFERROR(__xludf.DUMMYFUNCTION("""COMPUTED_VALUE"""),0.688)</f>
        <v>0.688</v>
      </c>
      <c r="Y1138" s="14" t="str">
        <f>IFERROR(__xludf.DUMMYFUNCTION("""COMPUTED_VALUE"""),"Iraq-Middle East")</f>
        <v>Iraq-Middle East</v>
      </c>
      <c r="Z1138" s="14" t="str">
        <f>IFERROR(__xludf.DUMMYFUNCTION("""COMPUTED_VALUE"""),"Middle East")</f>
        <v>Middle East</v>
      </c>
      <c r="AA1138" s="14" t="str">
        <f>IFERROR(__xludf.DUMMYFUNCTION("""COMPUTED_VALUE"""),"2005")</f>
        <v>2005</v>
      </c>
      <c r="AB1138" s="15" t="str">
        <f>IFERROR(__xludf.DUMMYFUNCTION("ARRAYFORMULA(VLOOKUP(A1138,IMPORTRANGE(""https://docs.google.com/spreadsheets/d/1BuTWp7qHGjWhqrnf-OmePP568O4A5Am9ttzvVdP67zw/edit#gid=1931367683"" ,""ENERGY!$A$2:$F$2692""), {2,3,4,5,6},0))"),"Middle East")</f>
        <v>Middle East</v>
      </c>
      <c r="AC1138" s="14" t="str">
        <f>IFERROR(__xludf.DUMMYFUNCTION("""COMPUTED_VALUE"""),"Iraq-Middle East")</f>
        <v>Iraq-Middle East</v>
      </c>
      <c r="AD1138" s="14" t="str">
        <f>IFERROR(__xludf.DUMMYFUNCTION("""COMPUTED_VALUE"""),"2007")</f>
        <v>2007</v>
      </c>
      <c r="AE1138" s="14">
        <f>IFERROR(__xludf.DUMMYFUNCTION("""COMPUTED_VALUE"""),23696.0)</f>
        <v>23696</v>
      </c>
      <c r="AF1138" s="14">
        <f>IFERROR(__xludf.DUMMYFUNCTION("""COMPUTED_VALUE"""),62834.0)</f>
        <v>62834</v>
      </c>
    </row>
    <row r="1139">
      <c r="A1139" s="12">
        <v>1138.0</v>
      </c>
      <c r="B1139" s="12" t="s">
        <v>166</v>
      </c>
      <c r="C1139" s="5" t="s">
        <v>93</v>
      </c>
      <c r="D1139" s="11">
        <v>0.278</v>
      </c>
      <c r="E1139" s="11">
        <v>32.0</v>
      </c>
      <c r="F1139" s="8"/>
      <c r="G1139" s="11">
        <v>312.0</v>
      </c>
      <c r="H1139" s="11">
        <v>0.01</v>
      </c>
      <c r="I1139" s="11">
        <v>0.333</v>
      </c>
      <c r="J1139" s="9" t="s">
        <v>67</v>
      </c>
      <c r="K1139" s="14" t="str">
        <f>IFERROR(__xludf.DUMMYFUNCTION("ARRAYFORMULA(VLOOKUP(A1139,IMPORTRANGE(""https://docs.google.com/spreadsheets/d/1BuTWp7qHGjWhqrnf-OmePP568O4A5Am9ttzvVdP67zw/edit#gid=1603210130"", ""TOURISM!$A$2:$F$2692""), {2,3,4,5,6},0))"),"Middle East")</f>
        <v>Middle East</v>
      </c>
      <c r="L1139" s="14">
        <f>IFERROR(__xludf.DUMMYFUNCTION("""COMPUTED_VALUE"""),1.7E8)</f>
        <v>170000000</v>
      </c>
      <c r="M1139" s="14" t="str">
        <f>IFERROR(__xludf.DUMMYFUNCTION("""COMPUTED_VALUE"""),"Iraq-Middle East")</f>
        <v>Iraq-Middle East</v>
      </c>
      <c r="N1139" s="14" t="str">
        <f>IFERROR(__xludf.DUMMYFUNCTION("""COMPUTED_VALUE"""),"2006")</f>
        <v>2006</v>
      </c>
      <c r="O1139" s="14">
        <f>IFERROR(__xludf.DUMMYFUNCTION("""COMPUTED_VALUE"""),5.26E8)</f>
        <v>526000000</v>
      </c>
      <c r="P1139" s="15">
        <f>IFERROR(__xludf.DUMMYFUNCTION("ARRAYFORMULA(VLOOKUP(A1139,IMPORTRANGE(""https://docs.google.com/spreadsheets/d/1BuTWp7qHGjWhqrnf-OmePP568O4A5Am9ttzvVdP67zw/edit#gid=771602874"" ,""HUMAN RESOURCES!$A$2:$M$2692""), {2,3,4,5,6,7,8,9,10,11,12,13},0))"),0.034)</f>
        <v>0.034</v>
      </c>
      <c r="Q1139" s="14">
        <f>IFERROR(__xludf.DUMMYFUNCTION("""COMPUTED_VALUE"""),0.033)</f>
        <v>0.033</v>
      </c>
      <c r="R1139" s="14">
        <f>IFERROR(__xludf.DUMMYFUNCTION("""COMPUTED_VALUE"""),72.0)</f>
        <v>72</v>
      </c>
      <c r="S1139" s="14">
        <f>IFERROR(__xludf.DUMMYFUNCTION("""COMPUTED_VALUE"""),66.0)</f>
        <v>66</v>
      </c>
      <c r="T1139" s="14">
        <f>IFERROR(__xludf.DUMMYFUNCTION("""COMPUTED_VALUE"""),0.418)</f>
        <v>0.418</v>
      </c>
      <c r="U1139" s="14">
        <f>IFERROR(__xludf.DUMMYFUNCTION("""COMPUTED_VALUE"""),0.547)</f>
        <v>0.547</v>
      </c>
      <c r="V1139" s="14">
        <f>IFERROR(__xludf.DUMMYFUNCTION("""COMPUTED_VALUE"""),0.034)</f>
        <v>0.034</v>
      </c>
      <c r="W1139" s="14">
        <f>IFERROR(__xludf.DUMMYFUNCTION("""COMPUTED_VALUE"""),2.8064095E7)</f>
        <v>28064095</v>
      </c>
      <c r="X1139" s="14">
        <f>IFERROR(__xludf.DUMMYFUNCTION("""COMPUTED_VALUE"""),0.688)</f>
        <v>0.688</v>
      </c>
      <c r="Y1139" s="14" t="str">
        <f>IFERROR(__xludf.DUMMYFUNCTION("""COMPUTED_VALUE"""),"Iraq-Middle East")</f>
        <v>Iraq-Middle East</v>
      </c>
      <c r="Z1139" s="14" t="str">
        <f>IFERROR(__xludf.DUMMYFUNCTION("""COMPUTED_VALUE"""),"Middle East")</f>
        <v>Middle East</v>
      </c>
      <c r="AA1139" s="14" t="str">
        <f>IFERROR(__xludf.DUMMYFUNCTION("""COMPUTED_VALUE"""),"2006")</f>
        <v>2006</v>
      </c>
      <c r="AB1139" s="15" t="str">
        <f>IFERROR(__xludf.DUMMYFUNCTION("ARRAYFORMULA(VLOOKUP(A1139,IMPORTRANGE(""https://docs.google.com/spreadsheets/d/1BuTWp7qHGjWhqrnf-OmePP568O4A5Am9ttzvVdP67zw/edit#gid=1931367683"" ,""ENERGY!$A$2:$F$2692""), {2,3,4,5,6},0))"),"Middle East")</f>
        <v>Middle East</v>
      </c>
      <c r="AC1139" s="14" t="str">
        <f>IFERROR(__xludf.DUMMYFUNCTION("""COMPUTED_VALUE"""),"Iraq-Middle East")</f>
        <v>Iraq-Middle East</v>
      </c>
      <c r="AD1139" s="14" t="str">
        <f>IFERROR(__xludf.DUMMYFUNCTION("""COMPUTED_VALUE"""),"2011")</f>
        <v>2011</v>
      </c>
      <c r="AE1139" s="14">
        <f>IFERROR(__xludf.DUMMYFUNCTION("""COMPUTED_VALUE"""),21503.0)</f>
        <v>21503</v>
      </c>
      <c r="AF1139" s="14">
        <f>IFERROR(__xludf.DUMMYFUNCTION("""COMPUTED_VALUE"""),99544.0)</f>
        <v>99544</v>
      </c>
    </row>
    <row r="1140">
      <c r="A1140" s="12">
        <v>1139.0</v>
      </c>
      <c r="B1140" s="12" t="s">
        <v>166</v>
      </c>
      <c r="C1140" s="5" t="s">
        <v>93</v>
      </c>
      <c r="D1140" s="11">
        <v>0.278</v>
      </c>
      <c r="E1140" s="11">
        <v>32.0</v>
      </c>
      <c r="F1140" s="8"/>
      <c r="G1140" s="11">
        <v>312.0</v>
      </c>
      <c r="H1140" s="11">
        <v>0.009</v>
      </c>
      <c r="I1140" s="11">
        <v>0.488</v>
      </c>
      <c r="J1140" s="9" t="s">
        <v>68</v>
      </c>
      <c r="K1140" s="14" t="str">
        <f>IFERROR(__xludf.DUMMYFUNCTION("ARRAYFORMULA(VLOOKUP(A1140,IMPORTRANGE(""https://docs.google.com/spreadsheets/d/1BuTWp7qHGjWhqrnf-OmePP568O4A5Am9ttzvVdP67zw/edit#gid=1603210130"", ""TOURISM!$A$2:$F$2692""), {2,3,4,5,6},0))"),"Middle East")</f>
        <v>Middle East</v>
      </c>
      <c r="L1140" s="14">
        <f>IFERROR(__xludf.DUMMYFUNCTION("""COMPUTED_VALUE"""),5.55E8)</f>
        <v>555000000</v>
      </c>
      <c r="M1140" s="14" t="str">
        <f>IFERROR(__xludf.DUMMYFUNCTION("""COMPUTED_VALUE"""),"Iraq-Middle East")</f>
        <v>Iraq-Middle East</v>
      </c>
      <c r="N1140" s="14" t="str">
        <f>IFERROR(__xludf.DUMMYFUNCTION("""COMPUTED_VALUE"""),"2007")</f>
        <v>2007</v>
      </c>
      <c r="O1140" s="14">
        <f>IFERROR(__xludf.DUMMYFUNCTION("""COMPUTED_VALUE"""),7.05E8)</f>
        <v>705000000</v>
      </c>
      <c r="P1140" s="15">
        <f>IFERROR(__xludf.DUMMYFUNCTION("ARRAYFORMULA(VLOOKUP(A1140,IMPORTRANGE(""https://docs.google.com/spreadsheets/d/1BuTWp7qHGjWhqrnf-OmePP568O4A5Am9ttzvVdP67zw/edit#gid=771602874"" ,""HUMAN RESOURCES!$A$2:$M$2692""), {2,3,4,5,6,7,8,9,10,11,12,13},0))"),0.034)</f>
        <v>0.034</v>
      </c>
      <c r="Q1140" s="14">
        <f>IFERROR(__xludf.DUMMYFUNCTION("""COMPUTED_VALUE"""),0.032)</f>
        <v>0.032</v>
      </c>
      <c r="R1140" s="14">
        <f>IFERROR(__xludf.DUMMYFUNCTION("""COMPUTED_VALUE"""),72.0)</f>
        <v>72</v>
      </c>
      <c r="S1140" s="14">
        <f>IFERROR(__xludf.DUMMYFUNCTION("""COMPUTED_VALUE"""),66.0)</f>
        <v>66</v>
      </c>
      <c r="T1140" s="14">
        <f>IFERROR(__xludf.DUMMYFUNCTION("""COMPUTED_VALUE"""),0.417)</f>
        <v>0.417</v>
      </c>
      <c r="U1140" s="14">
        <f>IFERROR(__xludf.DUMMYFUNCTION("""COMPUTED_VALUE"""),0.548)</f>
        <v>0.548</v>
      </c>
      <c r="V1140" s="14">
        <f>IFERROR(__xludf.DUMMYFUNCTION("""COMPUTED_VALUE"""),0.034)</f>
        <v>0.034</v>
      </c>
      <c r="W1140" s="14">
        <f>IFERROR(__xludf.DUMMYFUNCTION("""COMPUTED_VALUE"""),2.874063E7)</f>
        <v>28740630</v>
      </c>
      <c r="X1140" s="14">
        <f>IFERROR(__xludf.DUMMYFUNCTION("""COMPUTED_VALUE"""),0.689)</f>
        <v>0.689</v>
      </c>
      <c r="Y1140" s="14" t="str">
        <f>IFERROR(__xludf.DUMMYFUNCTION("""COMPUTED_VALUE"""),"Iraq-Middle East")</f>
        <v>Iraq-Middle East</v>
      </c>
      <c r="Z1140" s="14" t="str">
        <f>IFERROR(__xludf.DUMMYFUNCTION("""COMPUTED_VALUE"""),"Middle East")</f>
        <v>Middle East</v>
      </c>
      <c r="AA1140" s="14" t="str">
        <f>IFERROR(__xludf.DUMMYFUNCTION("""COMPUTED_VALUE"""),"2007")</f>
        <v>2007</v>
      </c>
      <c r="AB1140" s="15" t="str">
        <f>IFERROR(__xludf.DUMMYFUNCTION("ARRAYFORMULA(VLOOKUP(A1140,IMPORTRANGE(""https://docs.google.com/spreadsheets/d/1BuTWp7qHGjWhqrnf-OmePP568O4A5Am9ttzvVdP67zw/edit#gid=1931367683"" ,""ENERGY!$A$2:$F$2692""), {2,3,4,5,6},0))"),"Middle East")</f>
        <v>Middle East</v>
      </c>
      <c r="AC1140" s="14" t="str">
        <f>IFERROR(__xludf.DUMMYFUNCTION("""COMPUTED_VALUE"""),"Iraq-Middle East")</f>
        <v>Iraq-Middle East</v>
      </c>
      <c r="AD1140" s="14" t="str">
        <f>IFERROR(__xludf.DUMMYFUNCTION("""COMPUTED_VALUE"""),"2008")</f>
        <v>2008</v>
      </c>
      <c r="AE1140" s="14">
        <f>IFERROR(__xludf.DUMMYFUNCTION("""COMPUTED_VALUE"""),26866.0)</f>
        <v>26866</v>
      </c>
      <c r="AF1140" s="14">
        <f>IFERROR(__xludf.DUMMYFUNCTION("""COMPUTED_VALUE"""),114770.0)</f>
        <v>114770</v>
      </c>
    </row>
    <row r="1141">
      <c r="A1141" s="12">
        <v>1140.0</v>
      </c>
      <c r="B1141" s="12" t="s">
        <v>166</v>
      </c>
      <c r="C1141" s="5" t="s">
        <v>93</v>
      </c>
      <c r="D1141" s="11">
        <v>0.278</v>
      </c>
      <c r="E1141" s="11">
        <v>32.0</v>
      </c>
      <c r="F1141" s="8"/>
      <c r="G1141" s="11">
        <v>312.0</v>
      </c>
      <c r="H1141" s="11">
        <v>0.01</v>
      </c>
      <c r="I1141" s="11">
        <v>0.596</v>
      </c>
      <c r="J1141" s="9" t="s">
        <v>69</v>
      </c>
      <c r="K1141" s="14" t="str">
        <f>IFERROR(__xludf.DUMMYFUNCTION("ARRAYFORMULA(VLOOKUP(A1141,IMPORTRANGE(""https://docs.google.com/spreadsheets/d/1BuTWp7qHGjWhqrnf-OmePP568O4A5Am9ttzvVdP67zw/edit#gid=1603210130"", ""TOURISM!$A$2:$F$2692""), {2,3,4,5,6},0))"),"Middle East")</f>
        <v>Middle East</v>
      </c>
      <c r="L1141" s="14">
        <f>IFERROR(__xludf.DUMMYFUNCTION("""COMPUTED_VALUE"""),8.67E8)</f>
        <v>867000000</v>
      </c>
      <c r="M1141" s="14" t="str">
        <f>IFERROR(__xludf.DUMMYFUNCTION("""COMPUTED_VALUE"""),"Iraq-Middle East")</f>
        <v>Iraq-Middle East</v>
      </c>
      <c r="N1141" s="14" t="str">
        <f>IFERROR(__xludf.DUMMYFUNCTION("""COMPUTED_VALUE"""),"2008")</f>
        <v>2008</v>
      </c>
      <c r="O1141" s="14">
        <f>IFERROR(__xludf.DUMMYFUNCTION("""COMPUTED_VALUE"""),8.13E8)</f>
        <v>813000000</v>
      </c>
      <c r="P1141" s="15">
        <f>IFERROR(__xludf.DUMMYFUNCTION("ARRAYFORMULA(VLOOKUP(A1141,IMPORTRANGE(""https://docs.google.com/spreadsheets/d/1BuTWp7qHGjWhqrnf-OmePP568O4A5Am9ttzvVdP67zw/edit#gid=771602874"" ,""HUMAN RESOURCES!$A$2:$M$2692""), {2,3,4,5,6,7,8,9,10,11,12,13},0))"),0.033)</f>
        <v>0.033</v>
      </c>
      <c r="Q1141" s="14">
        <f>IFERROR(__xludf.DUMMYFUNCTION("""COMPUTED_VALUE"""),0.031)</f>
        <v>0.031</v>
      </c>
      <c r="R1141" s="14">
        <f>IFERROR(__xludf.DUMMYFUNCTION("""COMPUTED_VALUE"""),72.0)</f>
        <v>72</v>
      </c>
      <c r="S1141" s="14">
        <f>IFERROR(__xludf.DUMMYFUNCTION("""COMPUTED_VALUE"""),65.0)</f>
        <v>65</v>
      </c>
      <c r="T1141" s="14">
        <f>IFERROR(__xludf.DUMMYFUNCTION("""COMPUTED_VALUE"""),0.416)</f>
        <v>0.416</v>
      </c>
      <c r="U1141" s="14">
        <f>IFERROR(__xludf.DUMMYFUNCTION("""COMPUTED_VALUE"""),0.549)</f>
        <v>0.549</v>
      </c>
      <c r="V1141" s="14">
        <f>IFERROR(__xludf.DUMMYFUNCTION("""COMPUTED_VALUE"""),0.034)</f>
        <v>0.034</v>
      </c>
      <c r="W1141" s="14">
        <f>IFERROR(__xludf.DUMMYFUNCTION("""COMPUTED_VALUE"""),2.9429829E7)</f>
        <v>29429829</v>
      </c>
      <c r="X1141" s="14">
        <f>IFERROR(__xludf.DUMMYFUNCTION("""COMPUTED_VALUE"""),0.689)</f>
        <v>0.689</v>
      </c>
      <c r="Y1141" s="14" t="str">
        <f>IFERROR(__xludf.DUMMYFUNCTION("""COMPUTED_VALUE"""),"Iraq-Middle East")</f>
        <v>Iraq-Middle East</v>
      </c>
      <c r="Z1141" s="14" t="str">
        <f>IFERROR(__xludf.DUMMYFUNCTION("""COMPUTED_VALUE"""),"Middle East")</f>
        <v>Middle East</v>
      </c>
      <c r="AA1141" s="14" t="str">
        <f>IFERROR(__xludf.DUMMYFUNCTION("""COMPUTED_VALUE"""),"2008")</f>
        <v>2008</v>
      </c>
      <c r="AB1141" s="15" t="str">
        <f>IFERROR(__xludf.DUMMYFUNCTION("ARRAYFORMULA(VLOOKUP(A1141,IMPORTRANGE(""https://docs.google.com/spreadsheets/d/1BuTWp7qHGjWhqrnf-OmePP568O4A5Am9ttzvVdP67zw/edit#gid=1931367683"" ,""ENERGY!$A$2:$F$2692""), {2,3,4,5,6},0))"),"Middle East")</f>
        <v>Middle East</v>
      </c>
      <c r="AC1141" s="14" t="str">
        <f>IFERROR(__xludf.DUMMYFUNCTION("""COMPUTED_VALUE"""),"Iraq-Middle East")</f>
        <v>Iraq-Middle East</v>
      </c>
      <c r="AD1141" s="14" t="str">
        <f>IFERROR(__xludf.DUMMYFUNCTION("""COMPUTED_VALUE"""),"2005")</f>
        <v>2005</v>
      </c>
      <c r="AE1141" s="14">
        <f>IFERROR(__xludf.DUMMYFUNCTION("""COMPUTED_VALUE"""),26901.0)</f>
        <v>26901</v>
      </c>
      <c r="AF1141" s="14">
        <f>IFERROR(__xludf.DUMMYFUNCTION("""COMPUTED_VALUE"""),114084.0)</f>
        <v>114084</v>
      </c>
    </row>
    <row r="1142">
      <c r="A1142" s="12">
        <v>1141.0</v>
      </c>
      <c r="B1142" s="12" t="s">
        <v>166</v>
      </c>
      <c r="C1142" s="5" t="s">
        <v>93</v>
      </c>
      <c r="D1142" s="11">
        <v>0.278</v>
      </c>
      <c r="E1142" s="11">
        <v>32.0</v>
      </c>
      <c r="F1142" s="8"/>
      <c r="G1142" s="11">
        <v>312.0</v>
      </c>
      <c r="H1142" s="11">
        <v>0.011</v>
      </c>
      <c r="I1142" s="11">
        <v>0.667</v>
      </c>
      <c r="J1142" s="9" t="s">
        <v>70</v>
      </c>
      <c r="K1142" s="14" t="str">
        <f>IFERROR(__xludf.DUMMYFUNCTION("ARRAYFORMULA(VLOOKUP(A1142,IMPORTRANGE(""https://docs.google.com/spreadsheets/d/1BuTWp7qHGjWhqrnf-OmePP568O4A5Am9ttzvVdP67zw/edit#gid=1603210130"", ""TOURISM!$A$2:$F$2692""), {2,3,4,5,6},0))"),"Middle East")</f>
        <v>Middle East</v>
      </c>
      <c r="L1142" s="14">
        <f>IFERROR(__xludf.DUMMYFUNCTION("""COMPUTED_VALUE"""),1.432E9)</f>
        <v>1432000000</v>
      </c>
      <c r="M1142" s="14" t="str">
        <f>IFERROR(__xludf.DUMMYFUNCTION("""COMPUTED_VALUE"""),"Iraq-Middle East")</f>
        <v>Iraq-Middle East</v>
      </c>
      <c r="N1142" s="14" t="str">
        <f>IFERROR(__xludf.DUMMYFUNCTION("""COMPUTED_VALUE"""),"2009")</f>
        <v>2009</v>
      </c>
      <c r="O1142" s="14">
        <f>IFERROR(__xludf.DUMMYFUNCTION("""COMPUTED_VALUE"""),1.221E9)</f>
        <v>1221000000</v>
      </c>
      <c r="P1142" s="15">
        <f>IFERROR(__xludf.DUMMYFUNCTION("ARRAYFORMULA(VLOOKUP(A1142,IMPORTRANGE(""https://docs.google.com/spreadsheets/d/1BuTWp7qHGjWhqrnf-OmePP568O4A5Am9ttzvVdP67zw/edit#gid=771602874"" ,""HUMAN RESOURCES!$A$2:$M$2692""), {2,3,4,5,6,7,8,9,10,11,12,13},0))"),0.033)</f>
        <v>0.033</v>
      </c>
      <c r="Q1142" s="14">
        <f>IFERROR(__xludf.DUMMYFUNCTION("""COMPUTED_VALUE"""),0.031)</f>
        <v>0.031</v>
      </c>
      <c r="R1142" s="14">
        <f>IFERROR(__xludf.DUMMYFUNCTION("""COMPUTED_VALUE"""),72.0)</f>
        <v>72</v>
      </c>
      <c r="S1142" s="14">
        <f>IFERROR(__xludf.DUMMYFUNCTION("""COMPUTED_VALUE"""),65.0)</f>
        <v>65</v>
      </c>
      <c r="T1142" s="14">
        <f>IFERROR(__xludf.DUMMYFUNCTION("""COMPUTED_VALUE"""),0.415)</f>
        <v>0.415</v>
      </c>
      <c r="U1142" s="14">
        <f>IFERROR(__xludf.DUMMYFUNCTION("""COMPUTED_VALUE"""),0.551)</f>
        <v>0.551</v>
      </c>
      <c r="V1142" s="14">
        <f>IFERROR(__xludf.DUMMYFUNCTION("""COMPUTED_VALUE"""),0.034)</f>
        <v>0.034</v>
      </c>
      <c r="W1142" s="14">
        <f>IFERROR(__xludf.DUMMYFUNCTION("""COMPUTED_VALUE"""),3.0163199E7)</f>
        <v>30163199</v>
      </c>
      <c r="X1142" s="14">
        <f>IFERROR(__xludf.DUMMYFUNCTION("""COMPUTED_VALUE"""),0.69)</f>
        <v>0.69</v>
      </c>
      <c r="Y1142" s="14" t="str">
        <f>IFERROR(__xludf.DUMMYFUNCTION("""COMPUTED_VALUE"""),"Iraq-Middle East")</f>
        <v>Iraq-Middle East</v>
      </c>
      <c r="Z1142" s="14" t="str">
        <f>IFERROR(__xludf.DUMMYFUNCTION("""COMPUTED_VALUE"""),"Middle East")</f>
        <v>Middle East</v>
      </c>
      <c r="AA1142" s="14" t="str">
        <f>IFERROR(__xludf.DUMMYFUNCTION("""COMPUTED_VALUE"""),"2009")</f>
        <v>2009</v>
      </c>
      <c r="AB1142" s="15" t="str">
        <f>IFERROR(__xludf.DUMMYFUNCTION("ARRAYFORMULA(VLOOKUP(A1142,IMPORTRANGE(""https://docs.google.com/spreadsheets/d/1BuTWp7qHGjWhqrnf-OmePP568O4A5Am9ttzvVdP67zw/edit#gid=1931367683"" ,""ENERGY!$A$2:$F$2692""), {2,3,4,5,6},0))"),"Middle East")</f>
        <v>Middle East</v>
      </c>
      <c r="AC1142" s="14" t="str">
        <f>IFERROR(__xludf.DUMMYFUNCTION("""COMPUTED_VALUE"""),"Iraq-Middle East")</f>
        <v>Iraq-Middle East</v>
      </c>
      <c r="AD1142" s="14" t="str">
        <f>IFERROR(__xludf.DUMMYFUNCTION("""COMPUTED_VALUE"""),"2010")</f>
        <v>2010</v>
      </c>
      <c r="AE1142" s="14">
        <f>IFERROR(__xludf.DUMMYFUNCTION("""COMPUTED_VALUE"""),27086.0)</f>
        <v>27086</v>
      </c>
      <c r="AF1142" s="14">
        <f>IFERROR(__xludf.DUMMYFUNCTION("""COMPUTED_VALUE"""),91118.0)</f>
        <v>91118</v>
      </c>
    </row>
    <row r="1143">
      <c r="A1143" s="12">
        <v>1142.0</v>
      </c>
      <c r="B1143" s="12" t="s">
        <v>166</v>
      </c>
      <c r="C1143" s="5" t="s">
        <v>93</v>
      </c>
      <c r="D1143" s="11">
        <v>0.278</v>
      </c>
      <c r="E1143" s="11">
        <v>32.0</v>
      </c>
      <c r="F1143" s="8"/>
      <c r="G1143" s="11">
        <v>312.0</v>
      </c>
      <c r="H1143" s="11">
        <v>0.025</v>
      </c>
      <c r="I1143" s="11">
        <v>0.751</v>
      </c>
      <c r="J1143" s="9" t="s">
        <v>71</v>
      </c>
      <c r="K1143" s="14" t="str">
        <f>IFERROR(__xludf.DUMMYFUNCTION("ARRAYFORMULA(VLOOKUP(A1143,IMPORTRANGE(""https://docs.google.com/spreadsheets/d/1BuTWp7qHGjWhqrnf-OmePP568O4A5Am9ttzvVdP67zw/edit#gid=1603210130"", ""TOURISM!$A$2:$F$2692""), {2,3,4,5,6},0))"),"Middle East")</f>
        <v>Middle East</v>
      </c>
      <c r="L1143" s="14">
        <f>IFERROR(__xludf.DUMMYFUNCTION("""COMPUTED_VALUE"""),1.736E9)</f>
        <v>1736000000</v>
      </c>
      <c r="M1143" s="14" t="str">
        <f>IFERROR(__xludf.DUMMYFUNCTION("""COMPUTED_VALUE"""),"Iraq-Middle East")</f>
        <v>Iraq-Middle East</v>
      </c>
      <c r="N1143" s="14" t="str">
        <f>IFERROR(__xludf.DUMMYFUNCTION("""COMPUTED_VALUE"""),"2010")</f>
        <v>2010</v>
      </c>
      <c r="O1143" s="14">
        <f>IFERROR(__xludf.DUMMYFUNCTION("""COMPUTED_VALUE"""),1.675E9)</f>
        <v>1675000000</v>
      </c>
      <c r="P1143" s="15">
        <f>IFERROR(__xludf.DUMMYFUNCTION("ARRAYFORMULA(VLOOKUP(A1143,IMPORTRANGE(""https://docs.google.com/spreadsheets/d/1BuTWp7qHGjWhqrnf-OmePP568O4A5Am9ttzvVdP67zw/edit#gid=771602874"" ,""HUMAN RESOURCES!$A$2:$M$2692""), {2,3,4,5,6,7,8,9,10,11,12,13},0))"),0.032)</f>
        <v>0.032</v>
      </c>
      <c r="Q1143" s="14">
        <f>IFERROR(__xludf.DUMMYFUNCTION("""COMPUTED_VALUE"""),0.03)</f>
        <v>0.03</v>
      </c>
      <c r="R1143" s="14">
        <f>IFERROR(__xludf.DUMMYFUNCTION("""COMPUTED_VALUE"""),73.0)</f>
        <v>73</v>
      </c>
      <c r="S1143" s="14">
        <f>IFERROR(__xludf.DUMMYFUNCTION("""COMPUTED_VALUE"""),65.0)</f>
        <v>65</v>
      </c>
      <c r="T1143" s="14">
        <f>IFERROR(__xludf.DUMMYFUNCTION("""COMPUTED_VALUE"""),0.412)</f>
        <v>0.412</v>
      </c>
      <c r="U1143" s="14">
        <f>IFERROR(__xludf.DUMMYFUNCTION("""COMPUTED_VALUE"""),0.554)</f>
        <v>0.554</v>
      </c>
      <c r="V1143" s="14">
        <f>IFERROR(__xludf.DUMMYFUNCTION("""COMPUTED_VALUE"""),0.034)</f>
        <v>0.034</v>
      </c>
      <c r="W1143" s="14">
        <f>IFERROR(__xludf.DUMMYFUNCTION("""COMPUTED_VALUE"""),3.096238E7)</f>
        <v>30962380</v>
      </c>
      <c r="X1143" s="14">
        <f>IFERROR(__xludf.DUMMYFUNCTION("""COMPUTED_VALUE"""),0.69)</f>
        <v>0.69</v>
      </c>
      <c r="Y1143" s="14" t="str">
        <f>IFERROR(__xludf.DUMMYFUNCTION("""COMPUTED_VALUE"""),"Iraq-Middle East")</f>
        <v>Iraq-Middle East</v>
      </c>
      <c r="Z1143" s="14" t="str">
        <f>IFERROR(__xludf.DUMMYFUNCTION("""COMPUTED_VALUE"""),"Middle East")</f>
        <v>Middle East</v>
      </c>
      <c r="AA1143" s="14" t="str">
        <f>IFERROR(__xludf.DUMMYFUNCTION("""COMPUTED_VALUE"""),"2010")</f>
        <v>2010</v>
      </c>
      <c r="AB1143" s="15" t="str">
        <f>IFERROR(__xludf.DUMMYFUNCTION("ARRAYFORMULA(VLOOKUP(A1143,IMPORTRANGE(""https://docs.google.com/spreadsheets/d/1BuTWp7qHGjWhqrnf-OmePP568O4A5Am9ttzvVdP67zw/edit#gid=1931367683"" ,""ENERGY!$A$2:$F$2692""), {2,3,4,5,6},0))"),"Middle East")</f>
        <v>Middle East</v>
      </c>
      <c r="AC1143" s="14" t="str">
        <f>IFERROR(__xludf.DUMMYFUNCTION("""COMPUTED_VALUE"""),"Iraq-Middle East")</f>
        <v>Iraq-Middle East</v>
      </c>
      <c r="AD1143" s="14" t="str">
        <f>IFERROR(__xludf.DUMMYFUNCTION("""COMPUTED_VALUE"""),"2010")</f>
        <v>2010</v>
      </c>
      <c r="AE1143" s="14">
        <f>IFERROR(__xludf.DUMMYFUNCTION("""COMPUTED_VALUE"""),27981.0)</f>
        <v>27981</v>
      </c>
      <c r="AF1143" s="14">
        <f>IFERROR(__xludf.DUMMYFUNCTION("""COMPUTED_VALUE"""),87260.0)</f>
        <v>87260</v>
      </c>
    </row>
    <row r="1144">
      <c r="A1144" s="12">
        <v>1143.0</v>
      </c>
      <c r="B1144" s="12" t="s">
        <v>166</v>
      </c>
      <c r="C1144" s="5" t="s">
        <v>93</v>
      </c>
      <c r="D1144" s="11">
        <v>0.278</v>
      </c>
      <c r="E1144" s="11">
        <v>32.0</v>
      </c>
      <c r="F1144" s="8"/>
      <c r="G1144" s="11">
        <v>312.0</v>
      </c>
      <c r="H1144" s="11">
        <v>0.05</v>
      </c>
      <c r="I1144" s="11">
        <v>0.802</v>
      </c>
      <c r="J1144" s="9" t="s">
        <v>72</v>
      </c>
      <c r="K1144" s="14" t="str">
        <f>IFERROR(__xludf.DUMMYFUNCTION("ARRAYFORMULA(VLOOKUP(A1144,IMPORTRANGE(""https://docs.google.com/spreadsheets/d/1BuTWp7qHGjWhqrnf-OmePP568O4A5Am9ttzvVdP67zw/edit#gid=1603210130"", ""TOURISM!$A$2:$F$2692""), {2,3,4,5,6},0))"),"Middle East")</f>
        <v>Middle East</v>
      </c>
      <c r="L1144" s="14">
        <f>IFERROR(__xludf.DUMMYFUNCTION("""COMPUTED_VALUE"""),1.557E9)</f>
        <v>1557000000</v>
      </c>
      <c r="M1144" s="14" t="str">
        <f>IFERROR(__xludf.DUMMYFUNCTION("""COMPUTED_VALUE"""),"Iraq-Middle East")</f>
        <v>Iraq-Middle East</v>
      </c>
      <c r="N1144" s="14" t="str">
        <f>IFERROR(__xludf.DUMMYFUNCTION("""COMPUTED_VALUE"""),"2011")</f>
        <v>2011</v>
      </c>
      <c r="O1144" s="14">
        <f>IFERROR(__xludf.DUMMYFUNCTION("""COMPUTED_VALUE"""),1.879E9)</f>
        <v>1879000000</v>
      </c>
      <c r="P1144" s="15">
        <f>IFERROR(__xludf.DUMMYFUNCTION("ARRAYFORMULA(VLOOKUP(A1144,IMPORTRANGE(""https://docs.google.com/spreadsheets/d/1BuTWp7qHGjWhqrnf-OmePP568O4A5Am9ttzvVdP67zw/edit#gid=771602874"" ,""HUMAN RESOURCES!$A$2:$M$2692""), {2,3,4,5,6,7,8,9,10,11,12,13},0))"),0.032)</f>
        <v>0.032</v>
      </c>
      <c r="Q1144" s="14">
        <f>IFERROR(__xludf.DUMMYFUNCTION("""COMPUTED_VALUE"""),0.029)</f>
        <v>0.029</v>
      </c>
      <c r="R1144" s="14">
        <f>IFERROR(__xludf.DUMMYFUNCTION("""COMPUTED_VALUE"""),73.0)</f>
        <v>73</v>
      </c>
      <c r="S1144" s="14">
        <f>IFERROR(__xludf.DUMMYFUNCTION("""COMPUTED_VALUE"""),65.0)</f>
        <v>65</v>
      </c>
      <c r="T1144" s="14">
        <f>IFERROR(__xludf.DUMMYFUNCTION("""COMPUTED_VALUE"""),0.409)</f>
        <v>0.409</v>
      </c>
      <c r="U1144" s="14">
        <f>IFERROR(__xludf.DUMMYFUNCTION("""COMPUTED_VALUE"""),0.558)</f>
        <v>0.558</v>
      </c>
      <c r="V1144" s="14">
        <f>IFERROR(__xludf.DUMMYFUNCTION("""COMPUTED_VALUE"""),0.033)</f>
        <v>0.033</v>
      </c>
      <c r="W1144" s="14">
        <f>IFERROR(__xludf.DUMMYFUNCTION("""COMPUTED_VALUE"""),3.176002E7)</f>
        <v>31760020</v>
      </c>
      <c r="X1144" s="14">
        <f>IFERROR(__xludf.DUMMYFUNCTION("""COMPUTED_VALUE"""),0.691)</f>
        <v>0.691</v>
      </c>
      <c r="Y1144" s="14" t="str">
        <f>IFERROR(__xludf.DUMMYFUNCTION("""COMPUTED_VALUE"""),"Iraq-Middle East")</f>
        <v>Iraq-Middle East</v>
      </c>
      <c r="Z1144" s="14" t="str">
        <f>IFERROR(__xludf.DUMMYFUNCTION("""COMPUTED_VALUE"""),"Middle East")</f>
        <v>Middle East</v>
      </c>
      <c r="AA1144" s="14" t="str">
        <f>IFERROR(__xludf.DUMMYFUNCTION("""COMPUTED_VALUE"""),"2011")</f>
        <v>2011</v>
      </c>
      <c r="AB1144" s="15" t="str">
        <f>IFERROR(__xludf.DUMMYFUNCTION("ARRAYFORMULA(VLOOKUP(A1144,IMPORTRANGE(""https://docs.google.com/spreadsheets/d/1BuTWp7qHGjWhqrnf-OmePP568O4A5Am9ttzvVdP67zw/edit#gid=1931367683"" ,""ENERGY!$A$2:$F$2692""), {2,3,4,5,6},0))"),"Middle East")</f>
        <v>Middle East</v>
      </c>
      <c r="AC1144" s="14" t="str">
        <f>IFERROR(__xludf.DUMMYFUNCTION("""COMPUTED_VALUE"""),"Iraq-Middle East")</f>
        <v>Iraq-Middle East</v>
      </c>
      <c r="AD1144" s="14" t="str">
        <f>IFERROR(__xludf.DUMMYFUNCTION("""COMPUTED_VALUE"""),"2005")</f>
        <v>2005</v>
      </c>
      <c r="AE1144" s="14">
        <f>IFERROR(__xludf.DUMMYFUNCTION("""COMPUTED_VALUE"""),26935.0)</f>
        <v>26935</v>
      </c>
      <c r="AF1144" s="14">
        <f>IFERROR(__xludf.DUMMYFUNCTION("""COMPUTED_VALUE"""),85342.0)</f>
        <v>85342</v>
      </c>
    </row>
    <row r="1145">
      <c r="A1145" s="12">
        <v>1144.0</v>
      </c>
      <c r="B1145" s="12" t="s">
        <v>166</v>
      </c>
      <c r="C1145" s="5" t="s">
        <v>93</v>
      </c>
      <c r="D1145" s="11">
        <v>0.278</v>
      </c>
      <c r="E1145" s="11">
        <v>29.0</v>
      </c>
      <c r="F1145" s="11">
        <v>155.0</v>
      </c>
      <c r="G1145" s="11">
        <v>312.0</v>
      </c>
      <c r="H1145" s="11">
        <v>0.071</v>
      </c>
      <c r="I1145" s="11">
        <v>0.816</v>
      </c>
      <c r="J1145" s="9" t="s">
        <v>73</v>
      </c>
      <c r="K1145" s="14" t="str">
        <f>IFERROR(__xludf.DUMMYFUNCTION("ARRAYFORMULA(VLOOKUP(A1145,IMPORTRANGE(""https://docs.google.com/spreadsheets/d/1BuTWp7qHGjWhqrnf-OmePP568O4A5Am9ttzvVdP67zw/edit#gid=1603210130"", ""TOURISM!$A$2:$F$2692""), {2,3,4,5,6},0))"),"Middle East")</f>
        <v>Middle East</v>
      </c>
      <c r="L1145" s="14">
        <f>IFERROR(__xludf.DUMMYFUNCTION("""COMPUTED_VALUE"""),1.64E9)</f>
        <v>1640000000</v>
      </c>
      <c r="M1145" s="14" t="str">
        <f>IFERROR(__xludf.DUMMYFUNCTION("""COMPUTED_VALUE"""),"Iraq-Middle East")</f>
        <v>Iraq-Middle East</v>
      </c>
      <c r="N1145" s="14" t="str">
        <f>IFERROR(__xludf.DUMMYFUNCTION("""COMPUTED_VALUE"""),"2012")</f>
        <v>2012</v>
      </c>
      <c r="O1145" s="14">
        <f>IFERROR(__xludf.DUMMYFUNCTION("""COMPUTED_VALUE"""),2.363E9)</f>
        <v>2363000000</v>
      </c>
      <c r="P1145" s="15">
        <f>IFERROR(__xludf.DUMMYFUNCTION("ARRAYFORMULA(VLOOKUP(A1145,IMPORTRANGE(""https://docs.google.com/spreadsheets/d/1BuTWp7qHGjWhqrnf-OmePP568O4A5Am9ttzvVdP67zw/edit#gid=771602874"" ,""HUMAN RESOURCES!$A$2:$M$2692""), {2,3,4,5,6,7,8,9,10,11,12,13},0))"),0.031)</f>
        <v>0.031</v>
      </c>
      <c r="Q1145" s="14">
        <f>IFERROR(__xludf.DUMMYFUNCTION("""COMPUTED_VALUE"""),0.029)</f>
        <v>0.029</v>
      </c>
      <c r="R1145" s="14">
        <f>IFERROR(__xludf.DUMMYFUNCTION("""COMPUTED_VALUE"""),73.0)</f>
        <v>73</v>
      </c>
      <c r="S1145" s="14">
        <f>IFERROR(__xludf.DUMMYFUNCTION("""COMPUTED_VALUE"""),66.0)</f>
        <v>66</v>
      </c>
      <c r="T1145" s="14">
        <f>IFERROR(__xludf.DUMMYFUNCTION("""COMPUTED_VALUE"""),0.405)</f>
        <v>0.405</v>
      </c>
      <c r="U1145" s="14">
        <f>IFERROR(__xludf.DUMMYFUNCTION("""COMPUTED_VALUE"""),0.562)</f>
        <v>0.562</v>
      </c>
      <c r="V1145" s="14">
        <f>IFERROR(__xludf.DUMMYFUNCTION("""COMPUTED_VALUE"""),0.033)</f>
        <v>0.033</v>
      </c>
      <c r="W1145" s="14">
        <f>IFERROR(__xludf.DUMMYFUNCTION("""COMPUTED_VALUE"""),3.2578209E7)</f>
        <v>32578209</v>
      </c>
      <c r="X1145" s="14">
        <f>IFERROR(__xludf.DUMMYFUNCTION("""COMPUTED_VALUE"""),0.692)</f>
        <v>0.692</v>
      </c>
      <c r="Y1145" s="14" t="str">
        <f>IFERROR(__xludf.DUMMYFUNCTION("""COMPUTED_VALUE"""),"Iraq-Middle East")</f>
        <v>Iraq-Middle East</v>
      </c>
      <c r="Z1145" s="14" t="str">
        <f>IFERROR(__xludf.DUMMYFUNCTION("""COMPUTED_VALUE"""),"Middle East")</f>
        <v>Middle East</v>
      </c>
      <c r="AA1145" s="14" t="str">
        <f>IFERROR(__xludf.DUMMYFUNCTION("""COMPUTED_VALUE"""),"2012")</f>
        <v>2012</v>
      </c>
      <c r="AB1145" s="15" t="str">
        <f>IFERROR(__xludf.DUMMYFUNCTION("ARRAYFORMULA(VLOOKUP(A1145,IMPORTRANGE(""https://docs.google.com/spreadsheets/d/1BuTWp7qHGjWhqrnf-OmePP568O4A5Am9ttzvVdP67zw/edit#gid=1931367683"" ,""ENERGY!$A$2:$F$2692""), {2,3,4,5,6},0))"),"Middle East")</f>
        <v>Middle East</v>
      </c>
      <c r="AC1145" s="14" t="str">
        <f>IFERROR(__xludf.DUMMYFUNCTION("""COMPUTED_VALUE"""),"Iraq-Middle East")</f>
        <v>Iraq-Middle East</v>
      </c>
      <c r="AD1145" s="14" t="str">
        <f>IFERROR(__xludf.DUMMYFUNCTION("""COMPUTED_VALUE"""),"2010")</f>
        <v>2010</v>
      </c>
      <c r="AE1145" s="14">
        <f>IFERROR(__xludf.DUMMYFUNCTION("""COMPUTED_VALUE"""),25937.0)</f>
        <v>25937</v>
      </c>
      <c r="AF1145" s="14">
        <f>IFERROR(__xludf.DUMMYFUNCTION("""COMPUTED_VALUE"""),72445.0)</f>
        <v>72445</v>
      </c>
    </row>
    <row r="1146">
      <c r="A1146" s="12">
        <v>1145.0</v>
      </c>
      <c r="B1146" s="12" t="s">
        <v>167</v>
      </c>
      <c r="C1146" s="5" t="s">
        <v>75</v>
      </c>
      <c r="D1146" s="8"/>
      <c r="E1146" s="8"/>
      <c r="F1146" s="8"/>
      <c r="G1146" s="8"/>
      <c r="H1146" s="11">
        <v>0.179</v>
      </c>
      <c r="I1146" s="11">
        <v>0.647</v>
      </c>
      <c r="J1146" s="9" t="s">
        <v>60</v>
      </c>
      <c r="K1146" s="14" t="str">
        <f>IFERROR(__xludf.DUMMYFUNCTION("ARRAYFORMULA(VLOOKUP(A1146,IMPORTRANGE(""https://docs.google.com/spreadsheets/d/1BuTWp7qHGjWhqrnf-OmePP568O4A5Am9ttzvVdP67zw/edit#gid=1603210130"", ""TOURISM!$A$2:$F$2692""), {2,3,4,5,6},0))"),"Europe")</f>
        <v>Europe</v>
      </c>
      <c r="L1146" s="14">
        <f>IFERROR(__xludf.DUMMYFUNCTION("""COMPUTED_VALUE"""),3.517E9)</f>
        <v>3517000000</v>
      </c>
      <c r="M1146" s="14" t="str">
        <f>IFERROR(__xludf.DUMMYFUNCTION("""COMPUTED_VALUE"""),"Ireland-Europe")</f>
        <v>Ireland-Europe</v>
      </c>
      <c r="N1146" s="14" t="str">
        <f>IFERROR(__xludf.DUMMYFUNCTION("""COMPUTED_VALUE"""),"2000")</f>
        <v>2000</v>
      </c>
      <c r="O1146" s="14">
        <f>IFERROR(__xludf.DUMMYFUNCTION("""COMPUTED_VALUE"""),2.626E9)</f>
        <v>2626000000</v>
      </c>
      <c r="P1146" s="15">
        <f>IFERROR(__xludf.DUMMYFUNCTION("ARRAYFORMULA(VLOOKUP(A1146,IMPORTRANGE(""https://docs.google.com/spreadsheets/d/1BuTWp7qHGjWhqrnf-OmePP568O4A5Am9ttzvVdP67zw/edit#gid=771602874"" ,""HUMAN RESOURCES!$A$2:$M$2692""), {2,3,4,5,6,7,8,9,10,11,12,13},0))"),0.014)</f>
        <v>0.014</v>
      </c>
      <c r="Q1146" s="14">
        <f>IFERROR(__xludf.DUMMYFUNCTION("""COMPUTED_VALUE"""),0.006)</f>
        <v>0.006</v>
      </c>
      <c r="R1146" s="14">
        <f>IFERROR(__xludf.DUMMYFUNCTION("""COMPUTED_VALUE"""),79.0)</f>
        <v>79</v>
      </c>
      <c r="S1146" s="14">
        <f>IFERROR(__xludf.DUMMYFUNCTION("""COMPUTED_VALUE"""),74.0)</f>
        <v>74</v>
      </c>
      <c r="T1146" s="14">
        <f>IFERROR(__xludf.DUMMYFUNCTION("""COMPUTED_VALUE"""),0.218)</f>
        <v>0.218</v>
      </c>
      <c r="U1146" s="14">
        <f>IFERROR(__xludf.DUMMYFUNCTION("""COMPUTED_VALUE"""),0.67)</f>
        <v>0.67</v>
      </c>
      <c r="V1146" s="14">
        <f>IFERROR(__xludf.DUMMYFUNCTION("""COMPUTED_VALUE"""),0.112)</f>
        <v>0.112</v>
      </c>
      <c r="W1146" s="14">
        <f>IFERROR(__xludf.DUMMYFUNCTION("""COMPUTED_VALUE"""),3805174.0)</f>
        <v>3805174</v>
      </c>
      <c r="X1146" s="14">
        <f>IFERROR(__xludf.DUMMYFUNCTION("""COMPUTED_VALUE"""),0.591)</f>
        <v>0.591</v>
      </c>
      <c r="Y1146" s="14" t="str">
        <f>IFERROR(__xludf.DUMMYFUNCTION("""COMPUTED_VALUE"""),"Ireland-Europe")</f>
        <v>Ireland-Europe</v>
      </c>
      <c r="Z1146" s="14" t="str">
        <f>IFERROR(__xludf.DUMMYFUNCTION("""COMPUTED_VALUE"""),"Europe")</f>
        <v>Europe</v>
      </c>
      <c r="AA1146" s="14" t="str">
        <f>IFERROR(__xludf.DUMMYFUNCTION("""COMPUTED_VALUE"""),"2000")</f>
        <v>2000</v>
      </c>
      <c r="AB1146" s="15" t="str">
        <f>IFERROR(__xludf.DUMMYFUNCTION("ARRAYFORMULA(VLOOKUP(A1146,IMPORTRANGE(""https://docs.google.com/spreadsheets/d/1BuTWp7qHGjWhqrnf-OmePP568O4A5Am9ttzvVdP67zw/edit#gid=1931367683"" ,""ENERGY!$A$2:$F$2692""), {2,3,4,5,6},0))"),"Europe")</f>
        <v>Europe</v>
      </c>
      <c r="AC1146" s="14" t="str">
        <f>IFERROR(__xludf.DUMMYFUNCTION("""COMPUTED_VALUE"""),"Ireland-Europe")</f>
        <v>Ireland-Europe</v>
      </c>
      <c r="AD1146" s="14" t="str">
        <f>IFERROR(__xludf.DUMMYFUNCTION("""COMPUTED_VALUE"""),"2000")</f>
        <v>2000</v>
      </c>
      <c r="AE1146" s="14">
        <f>IFERROR(__xludf.DUMMYFUNCTION("""COMPUTED_VALUE"""),13350.0)</f>
        <v>13350</v>
      </c>
      <c r="AF1146" s="14"/>
    </row>
    <row r="1147">
      <c r="A1147" s="12">
        <v>1146.0</v>
      </c>
      <c r="B1147" s="12" t="s">
        <v>167</v>
      </c>
      <c r="C1147" s="5" t="s">
        <v>75</v>
      </c>
      <c r="D1147" s="8"/>
      <c r="E1147" s="8"/>
      <c r="F1147" s="8"/>
      <c r="G1147" s="8"/>
      <c r="H1147" s="11">
        <v>0.231</v>
      </c>
      <c r="I1147" s="11">
        <v>0.768</v>
      </c>
      <c r="J1147" s="9" t="s">
        <v>62</v>
      </c>
      <c r="K1147" s="14" t="str">
        <f>IFERROR(__xludf.DUMMYFUNCTION("ARRAYFORMULA(VLOOKUP(A1147,IMPORTRANGE(""https://docs.google.com/spreadsheets/d/1BuTWp7qHGjWhqrnf-OmePP568O4A5Am9ttzvVdP67zw/edit#gid=1603210130"", ""TOURISM!$A$2:$F$2692""), {2,3,4,5,6},0))"),"Europe")</f>
        <v>Europe</v>
      </c>
      <c r="L1147" s="14">
        <f>IFERROR(__xludf.DUMMYFUNCTION("""COMPUTED_VALUE"""),3.789E9)</f>
        <v>3789000000</v>
      </c>
      <c r="M1147" s="14" t="str">
        <f>IFERROR(__xludf.DUMMYFUNCTION("""COMPUTED_VALUE"""),"Ireland-Europe")</f>
        <v>Ireland-Europe</v>
      </c>
      <c r="N1147" s="14" t="str">
        <f>IFERROR(__xludf.DUMMYFUNCTION("""COMPUTED_VALUE"""),"2001")</f>
        <v>2001</v>
      </c>
      <c r="O1147" s="14">
        <f>IFERROR(__xludf.DUMMYFUNCTION("""COMPUTED_VALUE"""),2.956E9)</f>
        <v>2956000000</v>
      </c>
      <c r="P1147" s="15">
        <f>IFERROR(__xludf.DUMMYFUNCTION("ARRAYFORMULA(VLOOKUP(A1147,IMPORTRANGE(""https://docs.google.com/spreadsheets/d/1BuTWp7qHGjWhqrnf-OmePP568O4A5Am9ttzvVdP67zw/edit#gid=771602874"" ,""HUMAN RESOURCES!$A$2:$M$2692""), {2,3,4,5,6,7,8,9,10,11,12,13},0))"),0.015)</f>
        <v>0.015</v>
      </c>
      <c r="Q1147" s="14">
        <f>IFERROR(__xludf.DUMMYFUNCTION("""COMPUTED_VALUE"""),0.006)</f>
        <v>0.006</v>
      </c>
      <c r="R1147" s="14">
        <f>IFERROR(__xludf.DUMMYFUNCTION("""COMPUTED_VALUE"""),80.0)</f>
        <v>80</v>
      </c>
      <c r="S1147" s="14">
        <f>IFERROR(__xludf.DUMMYFUNCTION("""COMPUTED_VALUE"""),75.0)</f>
        <v>75</v>
      </c>
      <c r="T1147" s="14">
        <f>IFERROR(__xludf.DUMMYFUNCTION("""COMPUTED_VALUE"""),0.214)</f>
        <v>0.214</v>
      </c>
      <c r="U1147" s="14">
        <f>IFERROR(__xludf.DUMMYFUNCTION("""COMPUTED_VALUE"""),0.674)</f>
        <v>0.674</v>
      </c>
      <c r="V1147" s="14">
        <f>IFERROR(__xludf.DUMMYFUNCTION("""COMPUTED_VALUE"""),0.112)</f>
        <v>0.112</v>
      </c>
      <c r="W1147" s="14">
        <f>IFERROR(__xludf.DUMMYFUNCTION("""COMPUTED_VALUE"""),3866243.0)</f>
        <v>3866243</v>
      </c>
      <c r="X1147" s="14">
        <f>IFERROR(__xludf.DUMMYFUNCTION("""COMPUTED_VALUE"""),0.594)</f>
        <v>0.594</v>
      </c>
      <c r="Y1147" s="14" t="str">
        <f>IFERROR(__xludf.DUMMYFUNCTION("""COMPUTED_VALUE"""),"Ireland-Europe")</f>
        <v>Ireland-Europe</v>
      </c>
      <c r="Z1147" s="14" t="str">
        <f>IFERROR(__xludf.DUMMYFUNCTION("""COMPUTED_VALUE"""),"Europe")</f>
        <v>Europe</v>
      </c>
      <c r="AA1147" s="14" t="str">
        <f>IFERROR(__xludf.DUMMYFUNCTION("""COMPUTED_VALUE"""),"2001")</f>
        <v>2001</v>
      </c>
      <c r="AB1147" s="15" t="str">
        <f>IFERROR(__xludf.DUMMYFUNCTION("ARRAYFORMULA(VLOOKUP(A1147,IMPORTRANGE(""https://docs.google.com/spreadsheets/d/1BuTWp7qHGjWhqrnf-OmePP568O4A5Am9ttzvVdP67zw/edit#gid=1931367683"" ,""ENERGY!$A$2:$F$2692""), {2,3,4,5,6},0))"),"Europe")</f>
        <v>Europe</v>
      </c>
      <c r="AC1147" s="14" t="str">
        <f>IFERROR(__xludf.DUMMYFUNCTION("""COMPUTED_VALUE"""),"Ireland-Europe")</f>
        <v>Ireland-Europe</v>
      </c>
      <c r="AD1147" s="14" t="str">
        <f>IFERROR(__xludf.DUMMYFUNCTION("""COMPUTED_VALUE"""),"2001")</f>
        <v>2001</v>
      </c>
      <c r="AE1147" s="14">
        <f>IFERROR(__xludf.DUMMYFUNCTION("""COMPUTED_VALUE"""),13216.0)</f>
        <v>13216</v>
      </c>
      <c r="AF1147" s="14"/>
    </row>
    <row r="1148">
      <c r="A1148" s="12">
        <v>1147.0</v>
      </c>
      <c r="B1148" s="12" t="s">
        <v>167</v>
      </c>
      <c r="C1148" s="5" t="s">
        <v>75</v>
      </c>
      <c r="D1148" s="8"/>
      <c r="E1148" s="8"/>
      <c r="F1148" s="8"/>
      <c r="G1148" s="8"/>
      <c r="H1148" s="11">
        <v>0.259</v>
      </c>
      <c r="I1148" s="11">
        <v>0.762</v>
      </c>
      <c r="J1148" s="9" t="s">
        <v>63</v>
      </c>
      <c r="K1148" s="14" t="str">
        <f>IFERROR(__xludf.DUMMYFUNCTION("ARRAYFORMULA(VLOOKUP(A1148,IMPORTRANGE(""https://docs.google.com/spreadsheets/d/1BuTWp7qHGjWhqrnf-OmePP568O4A5Am9ttzvVdP67zw/edit#gid=1603210130"", ""TOURISM!$A$2:$F$2692""), {2,3,4,5,6},0))"),"Europe")</f>
        <v>Europe</v>
      </c>
      <c r="L1148" s="14">
        <f>IFERROR(__xludf.DUMMYFUNCTION("""COMPUTED_VALUE"""),4.228E9)</f>
        <v>4228000000</v>
      </c>
      <c r="M1148" s="14" t="str">
        <f>IFERROR(__xludf.DUMMYFUNCTION("""COMPUTED_VALUE"""),"Ireland-Europe")</f>
        <v>Ireland-Europe</v>
      </c>
      <c r="N1148" s="14" t="str">
        <f>IFERROR(__xludf.DUMMYFUNCTION("""COMPUTED_VALUE"""),"2002")</f>
        <v>2002</v>
      </c>
      <c r="O1148" s="14">
        <f>IFERROR(__xludf.DUMMYFUNCTION("""COMPUTED_VALUE"""),3.835E9)</f>
        <v>3835000000</v>
      </c>
      <c r="P1148" s="15">
        <f>IFERROR(__xludf.DUMMYFUNCTION("ARRAYFORMULA(VLOOKUP(A1148,IMPORTRANGE(""https://docs.google.com/spreadsheets/d/1BuTWp7qHGjWhqrnf-OmePP568O4A5Am9ttzvVdP67zw/edit#gid=771602874"" ,""HUMAN RESOURCES!$A$2:$M$2692""), {2,3,4,5,6,7,8,9,10,11,12,13},0))"),0.015)</f>
        <v>0.015</v>
      </c>
      <c r="Q1148" s="14">
        <f>IFERROR(__xludf.DUMMYFUNCTION("""COMPUTED_VALUE"""),0.005)</f>
        <v>0.005</v>
      </c>
      <c r="R1148" s="14">
        <f>IFERROR(__xludf.DUMMYFUNCTION("""COMPUTED_VALUE"""),80.0)</f>
        <v>80</v>
      </c>
      <c r="S1148" s="14">
        <f>IFERROR(__xludf.DUMMYFUNCTION("""COMPUTED_VALUE"""),75.0)</f>
        <v>75</v>
      </c>
      <c r="T1148" s="14">
        <f>IFERROR(__xludf.DUMMYFUNCTION("""COMPUTED_VALUE"""),0.211)</f>
        <v>0.211</v>
      </c>
      <c r="U1148" s="14">
        <f>IFERROR(__xludf.DUMMYFUNCTION("""COMPUTED_VALUE"""),0.678)</f>
        <v>0.678</v>
      </c>
      <c r="V1148" s="14">
        <f>IFERROR(__xludf.DUMMYFUNCTION("""COMPUTED_VALUE"""),0.111)</f>
        <v>0.111</v>
      </c>
      <c r="W1148" s="14">
        <f>IFERROR(__xludf.DUMMYFUNCTION("""COMPUTED_VALUE"""),3931947.0)</f>
        <v>3931947</v>
      </c>
      <c r="X1148" s="14">
        <f>IFERROR(__xludf.DUMMYFUNCTION("""COMPUTED_VALUE"""),0.596)</f>
        <v>0.596</v>
      </c>
      <c r="Y1148" s="14" t="str">
        <f>IFERROR(__xludf.DUMMYFUNCTION("""COMPUTED_VALUE"""),"Ireland-Europe")</f>
        <v>Ireland-Europe</v>
      </c>
      <c r="Z1148" s="14" t="str">
        <f>IFERROR(__xludf.DUMMYFUNCTION("""COMPUTED_VALUE"""),"Europe")</f>
        <v>Europe</v>
      </c>
      <c r="AA1148" s="14" t="str">
        <f>IFERROR(__xludf.DUMMYFUNCTION("""COMPUTED_VALUE"""),"2002")</f>
        <v>2002</v>
      </c>
      <c r="AB1148" s="15" t="str">
        <f>IFERROR(__xludf.DUMMYFUNCTION("ARRAYFORMULA(VLOOKUP(A1148,IMPORTRANGE(""https://docs.google.com/spreadsheets/d/1BuTWp7qHGjWhqrnf-OmePP568O4A5Am9ttzvVdP67zw/edit#gid=1931367683"" ,""ENERGY!$A$2:$F$2692""), {2,3,4,5,6},0))"),"Europe")</f>
        <v>Europe</v>
      </c>
      <c r="AC1148" s="14" t="str">
        <f>IFERROR(__xludf.DUMMYFUNCTION("""COMPUTED_VALUE"""),"Ireland-Europe")</f>
        <v>Ireland-Europe</v>
      </c>
      <c r="AD1148" s="14" t="str">
        <f>IFERROR(__xludf.DUMMYFUNCTION("""COMPUTED_VALUE"""),"2002")</f>
        <v>2002</v>
      </c>
      <c r="AE1148" s="14">
        <f>IFERROR(__xludf.DUMMYFUNCTION("""COMPUTED_VALUE"""),14219.0)</f>
        <v>14219</v>
      </c>
      <c r="AF1148" s="14">
        <f>IFERROR(__xludf.DUMMYFUNCTION("""COMPUTED_VALUE"""),40000.0)</f>
        <v>40000</v>
      </c>
    </row>
    <row r="1149">
      <c r="A1149" s="12">
        <v>1148.0</v>
      </c>
      <c r="B1149" s="12" t="s">
        <v>167</v>
      </c>
      <c r="C1149" s="5" t="s">
        <v>75</v>
      </c>
      <c r="D1149" s="8"/>
      <c r="E1149" s="11">
        <v>18.0</v>
      </c>
      <c r="F1149" s="8"/>
      <c r="G1149" s="8"/>
      <c r="H1149" s="11">
        <v>0.343</v>
      </c>
      <c r="I1149" s="11">
        <v>0.873</v>
      </c>
      <c r="J1149" s="9" t="s">
        <v>64</v>
      </c>
      <c r="K1149" s="14" t="str">
        <f>IFERROR(__xludf.DUMMYFUNCTION("ARRAYFORMULA(VLOOKUP(A1149,IMPORTRANGE(""https://docs.google.com/spreadsheets/d/1BuTWp7qHGjWhqrnf-OmePP568O4A5Am9ttzvVdP67zw/edit#gid=1603210130"", ""TOURISM!$A$2:$F$2692""), {2,3,4,5,6},0))"),"Europe")</f>
        <v>Europe</v>
      </c>
      <c r="L1149" s="14">
        <f>IFERROR(__xludf.DUMMYFUNCTION("""COMPUTED_VALUE"""),5.206E9)</f>
        <v>5206000000</v>
      </c>
      <c r="M1149" s="14" t="str">
        <f>IFERROR(__xludf.DUMMYFUNCTION("""COMPUTED_VALUE"""),"Ireland-Europe")</f>
        <v>Ireland-Europe</v>
      </c>
      <c r="N1149" s="14" t="str">
        <f>IFERROR(__xludf.DUMMYFUNCTION("""COMPUTED_VALUE"""),"2003")</f>
        <v>2003</v>
      </c>
      <c r="O1149" s="14">
        <f>IFERROR(__xludf.DUMMYFUNCTION("""COMPUTED_VALUE"""),4.832E9)</f>
        <v>4832000000</v>
      </c>
      <c r="P1149" s="15">
        <f>IFERROR(__xludf.DUMMYFUNCTION("ARRAYFORMULA(VLOOKUP(A1149,IMPORTRANGE(""https://docs.google.com/spreadsheets/d/1BuTWp7qHGjWhqrnf-OmePP568O4A5Am9ttzvVdP67zw/edit#gid=771602874"" ,""HUMAN RESOURCES!$A$2:$M$2692""), {2,3,4,5,6,7,8,9,10,11,12,13},0))"),0.015)</f>
        <v>0.015</v>
      </c>
      <c r="Q1149" s="14">
        <f>IFERROR(__xludf.DUMMYFUNCTION("""COMPUTED_VALUE"""),0.005)</f>
        <v>0.005</v>
      </c>
      <c r="R1149" s="14">
        <f>IFERROR(__xludf.DUMMYFUNCTION("""COMPUTED_VALUE"""),81.0)</f>
        <v>81</v>
      </c>
      <c r="S1149" s="14">
        <f>IFERROR(__xludf.DUMMYFUNCTION("""COMPUTED_VALUE"""),76.0)</f>
        <v>76</v>
      </c>
      <c r="T1149" s="14">
        <f>IFERROR(__xludf.DUMMYFUNCTION("""COMPUTED_VALUE"""),0.208)</f>
        <v>0.208</v>
      </c>
      <c r="U1149" s="14">
        <f>IFERROR(__xludf.DUMMYFUNCTION("""COMPUTED_VALUE"""),0.681)</f>
        <v>0.681</v>
      </c>
      <c r="V1149" s="14">
        <f>IFERROR(__xludf.DUMMYFUNCTION("""COMPUTED_VALUE"""),0.111)</f>
        <v>0.111</v>
      </c>
      <c r="W1149" s="14">
        <f>IFERROR(__xludf.DUMMYFUNCTION("""COMPUTED_VALUE"""),3996521.0)</f>
        <v>3996521</v>
      </c>
      <c r="X1149" s="14">
        <f>IFERROR(__xludf.DUMMYFUNCTION("""COMPUTED_VALUE"""),0.599)</f>
        <v>0.599</v>
      </c>
      <c r="Y1149" s="14" t="str">
        <f>IFERROR(__xludf.DUMMYFUNCTION("""COMPUTED_VALUE"""),"Ireland-Europe")</f>
        <v>Ireland-Europe</v>
      </c>
      <c r="Z1149" s="14" t="str">
        <f>IFERROR(__xludf.DUMMYFUNCTION("""COMPUTED_VALUE"""),"Europe")</f>
        <v>Europe</v>
      </c>
      <c r="AA1149" s="14" t="str">
        <f>IFERROR(__xludf.DUMMYFUNCTION("""COMPUTED_VALUE"""),"2003")</f>
        <v>2003</v>
      </c>
      <c r="AB1149" s="15" t="str">
        <f>IFERROR(__xludf.DUMMYFUNCTION("ARRAYFORMULA(VLOOKUP(A1149,IMPORTRANGE(""https://docs.google.com/spreadsheets/d/1BuTWp7qHGjWhqrnf-OmePP568O4A5Am9ttzvVdP67zw/edit#gid=1931367683"" ,""ENERGY!$A$2:$F$2692""), {2,3,4,5,6},0))"),"Europe")</f>
        <v>Europe</v>
      </c>
      <c r="AC1149" s="14" t="str">
        <f>IFERROR(__xludf.DUMMYFUNCTION("""COMPUTED_VALUE"""),"Ireland-Europe")</f>
        <v>Ireland-Europe</v>
      </c>
      <c r="AD1149" s="14" t="str">
        <f>IFERROR(__xludf.DUMMYFUNCTION("""COMPUTED_VALUE"""),"2003")</f>
        <v>2003</v>
      </c>
      <c r="AE1149" s="14">
        <f>IFERROR(__xludf.DUMMYFUNCTION("""COMPUTED_VALUE"""),14364.0)</f>
        <v>14364</v>
      </c>
      <c r="AF1149" s="14">
        <f>IFERROR(__xludf.DUMMYFUNCTION("""COMPUTED_VALUE"""),40623.0)</f>
        <v>40623</v>
      </c>
    </row>
    <row r="1150">
      <c r="A1150" s="12">
        <v>1149.0</v>
      </c>
      <c r="B1150" s="12" t="s">
        <v>167</v>
      </c>
      <c r="C1150" s="5" t="s">
        <v>75</v>
      </c>
      <c r="D1150" s="8"/>
      <c r="E1150" s="11">
        <v>18.0</v>
      </c>
      <c r="F1150" s="8"/>
      <c r="G1150" s="8"/>
      <c r="H1150" s="11">
        <v>0.37</v>
      </c>
      <c r="I1150" s="11">
        <v>0.945</v>
      </c>
      <c r="J1150" s="9" t="s">
        <v>65</v>
      </c>
      <c r="K1150" s="14" t="str">
        <f>IFERROR(__xludf.DUMMYFUNCTION("ARRAYFORMULA(VLOOKUP(A1150,IMPORTRANGE(""https://docs.google.com/spreadsheets/d/1BuTWp7qHGjWhqrnf-OmePP568O4A5Am9ttzvVdP67zw/edit#gid=1603210130"", ""TOURISM!$A$2:$F$2692""), {2,3,4,5,6},0))"),"Europe")</f>
        <v>Europe</v>
      </c>
      <c r="L1150" s="14">
        <f>IFERROR(__xludf.DUMMYFUNCTION("""COMPUTED_VALUE"""),6.075E9)</f>
        <v>6075000000</v>
      </c>
      <c r="M1150" s="14" t="str">
        <f>IFERROR(__xludf.DUMMYFUNCTION("""COMPUTED_VALUE"""),"Ireland-Europe")</f>
        <v>Ireland-Europe</v>
      </c>
      <c r="N1150" s="14" t="str">
        <f>IFERROR(__xludf.DUMMYFUNCTION("""COMPUTED_VALUE"""),"2004")</f>
        <v>2004</v>
      </c>
      <c r="O1150" s="14">
        <f>IFERROR(__xludf.DUMMYFUNCTION("""COMPUTED_VALUE"""),5.291E9)</f>
        <v>5291000000</v>
      </c>
      <c r="P1150" s="15">
        <f>IFERROR(__xludf.DUMMYFUNCTION("ARRAYFORMULA(VLOOKUP(A1150,IMPORTRANGE(""https://docs.google.com/spreadsheets/d/1BuTWp7qHGjWhqrnf-OmePP568O4A5Am9ttzvVdP67zw/edit#gid=771602874"" ,""HUMAN RESOURCES!$A$2:$M$2692""), {2,3,4,5,6,7,8,9,10,11,12,13},0))"),0.015)</f>
        <v>0.015</v>
      </c>
      <c r="Q1150" s="14">
        <f>IFERROR(__xludf.DUMMYFUNCTION("""COMPUTED_VALUE"""),0.005)</f>
        <v>0.005</v>
      </c>
      <c r="R1150" s="14">
        <f>IFERROR(__xludf.DUMMYFUNCTION("""COMPUTED_VALUE"""),81.0)</f>
        <v>81</v>
      </c>
      <c r="S1150" s="14">
        <f>IFERROR(__xludf.DUMMYFUNCTION("""COMPUTED_VALUE"""),76.0)</f>
        <v>76</v>
      </c>
      <c r="T1150" s="14">
        <f>IFERROR(__xludf.DUMMYFUNCTION("""COMPUTED_VALUE"""),0.206)</f>
        <v>0.206</v>
      </c>
      <c r="U1150" s="14">
        <f>IFERROR(__xludf.DUMMYFUNCTION("""COMPUTED_VALUE"""),0.683)</f>
        <v>0.683</v>
      </c>
      <c r="V1150" s="14">
        <f>IFERROR(__xludf.DUMMYFUNCTION("""COMPUTED_VALUE"""),0.111)</f>
        <v>0.111</v>
      </c>
      <c r="W1150" s="14">
        <f>IFERROR(__xludf.DUMMYFUNCTION("""COMPUTED_VALUE"""),4070262.0)</f>
        <v>4070262</v>
      </c>
      <c r="X1150" s="14">
        <f>IFERROR(__xludf.DUMMYFUNCTION("""COMPUTED_VALUE"""),0.602)</f>
        <v>0.602</v>
      </c>
      <c r="Y1150" s="14" t="str">
        <f>IFERROR(__xludf.DUMMYFUNCTION("""COMPUTED_VALUE"""),"Ireland-Europe")</f>
        <v>Ireland-Europe</v>
      </c>
      <c r="Z1150" s="14" t="str">
        <f>IFERROR(__xludf.DUMMYFUNCTION("""COMPUTED_VALUE"""),"Europe")</f>
        <v>Europe</v>
      </c>
      <c r="AA1150" s="14" t="str">
        <f>IFERROR(__xludf.DUMMYFUNCTION("""COMPUTED_VALUE"""),"2004")</f>
        <v>2004</v>
      </c>
      <c r="AB1150" s="15" t="str">
        <f>IFERROR(__xludf.DUMMYFUNCTION("ARRAYFORMULA(VLOOKUP(A1150,IMPORTRANGE(""https://docs.google.com/spreadsheets/d/1BuTWp7qHGjWhqrnf-OmePP568O4A5Am9ttzvVdP67zw/edit#gid=1931367683"" ,""ENERGY!$A$2:$F$2692""), {2,3,4,5,6},0))"),"Europe")</f>
        <v>Europe</v>
      </c>
      <c r="AC1150" s="14" t="str">
        <f>IFERROR(__xludf.DUMMYFUNCTION("""COMPUTED_VALUE"""),"Ireland-Europe")</f>
        <v>Ireland-Europe</v>
      </c>
      <c r="AD1150" s="14" t="str">
        <f>IFERROR(__xludf.DUMMYFUNCTION("""COMPUTED_VALUE"""),"2004")</f>
        <v>2004</v>
      </c>
      <c r="AE1150" s="14">
        <f>IFERROR(__xludf.DUMMYFUNCTION("""COMPUTED_VALUE"""),14903.0)</f>
        <v>14903</v>
      </c>
      <c r="AF1150" s="14">
        <f>IFERROR(__xludf.DUMMYFUNCTION("""COMPUTED_VALUE"""),43021.0)</f>
        <v>43021</v>
      </c>
    </row>
    <row r="1151">
      <c r="A1151" s="12">
        <v>1150.0</v>
      </c>
      <c r="B1151" s="12" t="s">
        <v>167</v>
      </c>
      <c r="C1151" s="5" t="s">
        <v>75</v>
      </c>
      <c r="D1151" s="11">
        <v>0.253</v>
      </c>
      <c r="E1151" s="11">
        <v>18.0</v>
      </c>
      <c r="F1151" s="8"/>
      <c r="G1151" s="11">
        <v>76.0</v>
      </c>
      <c r="H1151" s="11">
        <v>0.416</v>
      </c>
      <c r="I1151" s="11">
        <v>1.027</v>
      </c>
      <c r="J1151" s="9" t="s">
        <v>66</v>
      </c>
      <c r="K1151" s="14" t="str">
        <f>IFERROR(__xludf.DUMMYFUNCTION("ARRAYFORMULA(VLOOKUP(A1151,IMPORTRANGE(""https://docs.google.com/spreadsheets/d/1BuTWp7qHGjWhqrnf-OmePP568O4A5Am9ttzvVdP67zw/edit#gid=1603210130"", ""TOURISM!$A$2:$F$2692""), {2,3,4,5,6},0))"),"Europe")</f>
        <v>Europe</v>
      </c>
      <c r="L1151" s="14">
        <f>IFERROR(__xludf.DUMMYFUNCTION("""COMPUTED_VALUE"""),6.78E9)</f>
        <v>6780000000</v>
      </c>
      <c r="M1151" s="14" t="str">
        <f>IFERROR(__xludf.DUMMYFUNCTION("""COMPUTED_VALUE"""),"Ireland-Europe")</f>
        <v>Ireland-Europe</v>
      </c>
      <c r="N1151" s="14" t="str">
        <f>IFERROR(__xludf.DUMMYFUNCTION("""COMPUTED_VALUE"""),"2005")</f>
        <v>2005</v>
      </c>
      <c r="O1151" s="14">
        <f>IFERROR(__xludf.DUMMYFUNCTION("""COMPUTED_VALUE"""),6.186E9)</f>
        <v>6186000000</v>
      </c>
      <c r="P1151" s="15">
        <f>IFERROR(__xludf.DUMMYFUNCTION("ARRAYFORMULA(VLOOKUP(A1151,IMPORTRANGE(""https://docs.google.com/spreadsheets/d/1BuTWp7qHGjWhqrnf-OmePP568O4A5Am9ttzvVdP67zw/edit#gid=771602874"" ,""HUMAN RESOURCES!$A$2:$M$2692""), {2,3,4,5,6,7,8,9,10,11,12,13},0))"),0.015)</f>
        <v>0.015</v>
      </c>
      <c r="Q1151" s="14">
        <f>IFERROR(__xludf.DUMMYFUNCTION("""COMPUTED_VALUE"""),0.004)</f>
        <v>0.004</v>
      </c>
      <c r="R1151" s="14">
        <f>IFERROR(__xludf.DUMMYFUNCTION("""COMPUTED_VALUE"""),81.0)</f>
        <v>81</v>
      </c>
      <c r="S1151" s="14">
        <f>IFERROR(__xludf.DUMMYFUNCTION("""COMPUTED_VALUE"""),77.0)</f>
        <v>77</v>
      </c>
      <c r="T1151" s="14">
        <f>IFERROR(__xludf.DUMMYFUNCTION("""COMPUTED_VALUE"""),0.206)</f>
        <v>0.206</v>
      </c>
      <c r="U1151" s="14">
        <f>IFERROR(__xludf.DUMMYFUNCTION("""COMPUTED_VALUE"""),0.684)</f>
        <v>0.684</v>
      </c>
      <c r="V1151" s="14">
        <f>IFERROR(__xludf.DUMMYFUNCTION("""COMPUTED_VALUE"""),0.111)</f>
        <v>0.111</v>
      </c>
      <c r="W1151" s="14">
        <f>IFERROR(__xludf.DUMMYFUNCTION("""COMPUTED_VALUE"""),4159914.0)</f>
        <v>4159914</v>
      </c>
      <c r="X1151" s="14">
        <f>IFERROR(__xludf.DUMMYFUNCTION("""COMPUTED_VALUE"""),0.605)</f>
        <v>0.605</v>
      </c>
      <c r="Y1151" s="14" t="str">
        <f>IFERROR(__xludf.DUMMYFUNCTION("""COMPUTED_VALUE"""),"Ireland-Europe")</f>
        <v>Ireland-Europe</v>
      </c>
      <c r="Z1151" s="14" t="str">
        <f>IFERROR(__xludf.DUMMYFUNCTION("""COMPUTED_VALUE"""),"Europe")</f>
        <v>Europe</v>
      </c>
      <c r="AA1151" s="14" t="str">
        <f>IFERROR(__xludf.DUMMYFUNCTION("""COMPUTED_VALUE"""),"2005")</f>
        <v>2005</v>
      </c>
      <c r="AB1151" s="15" t="str">
        <f>IFERROR(__xludf.DUMMYFUNCTION("ARRAYFORMULA(VLOOKUP(A1151,IMPORTRANGE(""https://docs.google.com/spreadsheets/d/1BuTWp7qHGjWhqrnf-OmePP568O4A5Am9ttzvVdP67zw/edit#gid=1931367683"" ,""ENERGY!$A$2:$F$2692""), {2,3,4,5,6},0))"),"Europe")</f>
        <v>Europe</v>
      </c>
      <c r="AC1151" s="14" t="str">
        <f>IFERROR(__xludf.DUMMYFUNCTION("""COMPUTED_VALUE"""),"Ireland-Europe")</f>
        <v>Ireland-Europe</v>
      </c>
      <c r="AD1151" s="14" t="str">
        <f>IFERROR(__xludf.DUMMYFUNCTION("""COMPUTED_VALUE"""),"2007")</f>
        <v>2007</v>
      </c>
      <c r="AE1151" s="14">
        <f>IFERROR(__xludf.DUMMYFUNCTION("""COMPUTED_VALUE"""),15120.0)</f>
        <v>15120</v>
      </c>
      <c r="AF1151" s="14">
        <f>IFERROR(__xludf.DUMMYFUNCTION("""COMPUTED_VALUE"""),44583.0)</f>
        <v>44583</v>
      </c>
    </row>
    <row r="1152">
      <c r="A1152" s="12">
        <v>1151.0</v>
      </c>
      <c r="B1152" s="12" t="s">
        <v>167</v>
      </c>
      <c r="C1152" s="5" t="s">
        <v>75</v>
      </c>
      <c r="D1152" s="11">
        <v>0.253</v>
      </c>
      <c r="E1152" s="11">
        <v>13.0</v>
      </c>
      <c r="F1152" s="8"/>
      <c r="G1152" s="11">
        <v>76.0</v>
      </c>
      <c r="H1152" s="11">
        <v>0.548</v>
      </c>
      <c r="I1152" s="11">
        <v>1.11</v>
      </c>
      <c r="J1152" s="9" t="s">
        <v>67</v>
      </c>
      <c r="K1152" s="14" t="str">
        <f>IFERROR(__xludf.DUMMYFUNCTION("ARRAYFORMULA(VLOOKUP(A1152,IMPORTRANGE(""https://docs.google.com/spreadsheets/d/1BuTWp7qHGjWhqrnf-OmePP568O4A5Am9ttzvVdP67zw/edit#gid=1603210130"", ""TOURISM!$A$2:$F$2692""), {2,3,4,5,6},0))"),"Europe")</f>
        <v>Europe</v>
      </c>
      <c r="L1152" s="14">
        <f>IFERROR(__xludf.DUMMYFUNCTION("""COMPUTED_VALUE"""),7.664E9)</f>
        <v>7664000000</v>
      </c>
      <c r="M1152" s="14" t="str">
        <f>IFERROR(__xludf.DUMMYFUNCTION("""COMPUTED_VALUE"""),"Ireland-Europe")</f>
        <v>Ireland-Europe</v>
      </c>
      <c r="N1152" s="14" t="str">
        <f>IFERROR(__xludf.DUMMYFUNCTION("""COMPUTED_VALUE"""),"2006")</f>
        <v>2006</v>
      </c>
      <c r="O1152" s="14">
        <f>IFERROR(__xludf.DUMMYFUNCTION("""COMPUTED_VALUE"""),6.978E9)</f>
        <v>6978000000</v>
      </c>
      <c r="P1152" s="15">
        <f>IFERROR(__xludf.DUMMYFUNCTION("ARRAYFORMULA(VLOOKUP(A1152,IMPORTRANGE(""https://docs.google.com/spreadsheets/d/1BuTWp7qHGjWhqrnf-OmePP568O4A5Am9ttzvVdP67zw/edit#gid=771602874"" ,""HUMAN RESOURCES!$A$2:$M$2692""), {2,3,4,5,6,7,8,9,10,11,12,13},0))"),0.015)</f>
        <v>0.015</v>
      </c>
      <c r="Q1152" s="14">
        <f>IFERROR(__xludf.DUMMYFUNCTION("""COMPUTED_VALUE"""),0.004)</f>
        <v>0.004</v>
      </c>
      <c r="R1152" s="14">
        <f>IFERROR(__xludf.DUMMYFUNCTION("""COMPUTED_VALUE"""),82.0)</f>
        <v>82</v>
      </c>
      <c r="S1152" s="14">
        <f>IFERROR(__xludf.DUMMYFUNCTION("""COMPUTED_VALUE"""),77.0)</f>
        <v>77</v>
      </c>
      <c r="T1152" s="14">
        <f>IFERROR(__xludf.DUMMYFUNCTION("""COMPUTED_VALUE"""),0.206)</f>
        <v>0.206</v>
      </c>
      <c r="U1152" s="14">
        <f>IFERROR(__xludf.DUMMYFUNCTION("""COMPUTED_VALUE"""),0.683)</f>
        <v>0.683</v>
      </c>
      <c r="V1152" s="14">
        <f>IFERROR(__xludf.DUMMYFUNCTION("""COMPUTED_VALUE"""),0.111)</f>
        <v>0.111</v>
      </c>
      <c r="W1152" s="14">
        <f>IFERROR(__xludf.DUMMYFUNCTION("""COMPUTED_VALUE"""),4274137.0)</f>
        <v>4274137</v>
      </c>
      <c r="X1152" s="14">
        <f>IFERROR(__xludf.DUMMYFUNCTION("""COMPUTED_VALUE"""),0.608)</f>
        <v>0.608</v>
      </c>
      <c r="Y1152" s="14" t="str">
        <f>IFERROR(__xludf.DUMMYFUNCTION("""COMPUTED_VALUE"""),"Ireland-Europe")</f>
        <v>Ireland-Europe</v>
      </c>
      <c r="Z1152" s="14" t="str">
        <f>IFERROR(__xludf.DUMMYFUNCTION("""COMPUTED_VALUE"""),"Europe")</f>
        <v>Europe</v>
      </c>
      <c r="AA1152" s="14" t="str">
        <f>IFERROR(__xludf.DUMMYFUNCTION("""COMPUTED_VALUE"""),"2006")</f>
        <v>2006</v>
      </c>
      <c r="AB1152" s="15" t="str">
        <f>IFERROR(__xludf.DUMMYFUNCTION("ARRAYFORMULA(VLOOKUP(A1152,IMPORTRANGE(""https://docs.google.com/spreadsheets/d/1BuTWp7qHGjWhqrnf-OmePP568O4A5Am9ttzvVdP67zw/edit#gid=1931367683"" ,""ENERGY!$A$2:$F$2692""), {2,3,4,5,6},0))"),"Europe")</f>
        <v>Europe</v>
      </c>
      <c r="AC1152" s="14" t="str">
        <f>IFERROR(__xludf.DUMMYFUNCTION("""COMPUTED_VALUE"""),"Ireland-Europe")</f>
        <v>Ireland-Europe</v>
      </c>
      <c r="AD1152" s="14" t="str">
        <f>IFERROR(__xludf.DUMMYFUNCTION("""COMPUTED_VALUE"""),"2011")</f>
        <v>2011</v>
      </c>
      <c r="AE1152" s="14">
        <f>IFERROR(__xludf.DUMMYFUNCTION("""COMPUTED_VALUE"""),14607.0)</f>
        <v>14607</v>
      </c>
      <c r="AF1152" s="14">
        <f>IFERROR(__xludf.DUMMYFUNCTION("""COMPUTED_VALUE"""),43458.0)</f>
        <v>43458</v>
      </c>
    </row>
    <row r="1153">
      <c r="A1153" s="12">
        <v>1152.0</v>
      </c>
      <c r="B1153" s="12" t="s">
        <v>167</v>
      </c>
      <c r="C1153" s="5" t="s">
        <v>75</v>
      </c>
      <c r="D1153" s="11">
        <v>0.253</v>
      </c>
      <c r="E1153" s="11">
        <v>13.0</v>
      </c>
      <c r="F1153" s="8"/>
      <c r="G1153" s="11">
        <v>76.0</v>
      </c>
      <c r="H1153" s="11">
        <v>0.612</v>
      </c>
      <c r="I1153" s="11">
        <v>1.159</v>
      </c>
      <c r="J1153" s="9" t="s">
        <v>68</v>
      </c>
      <c r="K1153" s="14" t="str">
        <f>IFERROR(__xludf.DUMMYFUNCTION("ARRAYFORMULA(VLOOKUP(A1153,IMPORTRANGE(""https://docs.google.com/spreadsheets/d/1BuTWp7qHGjWhqrnf-OmePP568O4A5Am9ttzvVdP67zw/edit#gid=1603210130"", ""TOURISM!$A$2:$F$2692""), {2,3,4,5,6},0))"),"Europe")</f>
        <v>Europe</v>
      </c>
      <c r="L1153" s="14">
        <f>IFERROR(__xludf.DUMMYFUNCTION("""COMPUTED_VALUE"""),9.263E9)</f>
        <v>9263000000</v>
      </c>
      <c r="M1153" s="14" t="str">
        <f>IFERROR(__xludf.DUMMYFUNCTION("""COMPUTED_VALUE"""),"Ireland-Europe")</f>
        <v>Ireland-Europe</v>
      </c>
      <c r="N1153" s="14" t="str">
        <f>IFERROR(__xludf.DUMMYFUNCTION("""COMPUTED_VALUE"""),"2007")</f>
        <v>2007</v>
      </c>
      <c r="O1153" s="14">
        <f>IFERROR(__xludf.DUMMYFUNCTION("""COMPUTED_VALUE"""),8.785E9)</f>
        <v>8785000000</v>
      </c>
      <c r="P1153" s="15">
        <f>IFERROR(__xludf.DUMMYFUNCTION("ARRAYFORMULA(VLOOKUP(A1153,IMPORTRANGE(""https://docs.google.com/spreadsheets/d/1BuTWp7qHGjWhqrnf-OmePP568O4A5Am9ttzvVdP67zw/edit#gid=771602874"" ,""HUMAN RESOURCES!$A$2:$M$2692""), {2,3,4,5,6,7,8,9,10,11,12,13},0))"),0.016)</f>
        <v>0.016</v>
      </c>
      <c r="Q1153" s="14">
        <f>IFERROR(__xludf.DUMMYFUNCTION("""COMPUTED_VALUE"""),0.004)</f>
        <v>0.004</v>
      </c>
      <c r="R1153" s="14">
        <f>IFERROR(__xludf.DUMMYFUNCTION("""COMPUTED_VALUE"""),82.0)</f>
        <v>82</v>
      </c>
      <c r="S1153" s="14">
        <f>IFERROR(__xludf.DUMMYFUNCTION("""COMPUTED_VALUE"""),77.0)</f>
        <v>77</v>
      </c>
      <c r="T1153" s="14">
        <f>IFERROR(__xludf.DUMMYFUNCTION("""COMPUTED_VALUE"""),0.208)</f>
        <v>0.208</v>
      </c>
      <c r="U1153" s="14">
        <f>IFERROR(__xludf.DUMMYFUNCTION("""COMPUTED_VALUE"""),0.681)</f>
        <v>0.681</v>
      </c>
      <c r="V1153" s="14">
        <f>IFERROR(__xludf.DUMMYFUNCTION("""COMPUTED_VALUE"""),0.111)</f>
        <v>0.111</v>
      </c>
      <c r="W1153" s="14">
        <f>IFERROR(__xludf.DUMMYFUNCTION("""COMPUTED_VALUE"""),4398942.0)</f>
        <v>4398942</v>
      </c>
      <c r="X1153" s="14">
        <f>IFERROR(__xludf.DUMMYFUNCTION("""COMPUTED_VALUE"""),0.61)</f>
        <v>0.61</v>
      </c>
      <c r="Y1153" s="14" t="str">
        <f>IFERROR(__xludf.DUMMYFUNCTION("""COMPUTED_VALUE"""),"Ireland-Europe")</f>
        <v>Ireland-Europe</v>
      </c>
      <c r="Z1153" s="14" t="str">
        <f>IFERROR(__xludf.DUMMYFUNCTION("""COMPUTED_VALUE"""),"Europe")</f>
        <v>Europe</v>
      </c>
      <c r="AA1153" s="14" t="str">
        <f>IFERROR(__xludf.DUMMYFUNCTION("""COMPUTED_VALUE"""),"2007")</f>
        <v>2007</v>
      </c>
      <c r="AB1153" s="15" t="str">
        <f>IFERROR(__xludf.DUMMYFUNCTION("ARRAYFORMULA(VLOOKUP(A1153,IMPORTRANGE(""https://docs.google.com/spreadsheets/d/1BuTWp7qHGjWhqrnf-OmePP568O4A5Am9ttzvVdP67zw/edit#gid=1931367683"" ,""ENERGY!$A$2:$F$2692""), {2,3,4,5,6},0))"),"Europe")</f>
        <v>Europe</v>
      </c>
      <c r="AC1153" s="14" t="str">
        <f>IFERROR(__xludf.DUMMYFUNCTION("""COMPUTED_VALUE"""),"Ireland-Europe")</f>
        <v>Ireland-Europe</v>
      </c>
      <c r="AD1153" s="14" t="str">
        <f>IFERROR(__xludf.DUMMYFUNCTION("""COMPUTED_VALUE"""),"2008")</f>
        <v>2008</v>
      </c>
      <c r="AE1153" s="14">
        <f>IFERROR(__xludf.DUMMYFUNCTION("""COMPUTED_VALUE"""),14330.0)</f>
        <v>14330</v>
      </c>
      <c r="AF1153" s="14">
        <f>IFERROR(__xludf.DUMMYFUNCTION("""COMPUTED_VALUE"""),43535.0)</f>
        <v>43535</v>
      </c>
    </row>
    <row r="1154">
      <c r="A1154" s="12">
        <v>1153.0</v>
      </c>
      <c r="B1154" s="12" t="s">
        <v>167</v>
      </c>
      <c r="C1154" s="5" t="s">
        <v>75</v>
      </c>
      <c r="D1154" s="11">
        <v>0.254</v>
      </c>
      <c r="E1154" s="11">
        <v>13.0</v>
      </c>
      <c r="F1154" s="8"/>
      <c r="G1154" s="11">
        <v>76.0</v>
      </c>
      <c r="H1154" s="11">
        <v>0.653</v>
      </c>
      <c r="I1154" s="11">
        <v>1.16</v>
      </c>
      <c r="J1154" s="9" t="s">
        <v>69</v>
      </c>
      <c r="K1154" s="14" t="str">
        <f>IFERROR(__xludf.DUMMYFUNCTION("ARRAYFORMULA(VLOOKUP(A1154,IMPORTRANGE(""https://docs.google.com/spreadsheets/d/1BuTWp7qHGjWhqrnf-OmePP568O4A5Am9ttzvVdP67zw/edit#gid=1603210130"", ""TOURISM!$A$2:$F$2692""), {2,3,4,5,6},0))"),"Europe")</f>
        <v>Europe</v>
      </c>
      <c r="L1154" s="14">
        <f>IFERROR(__xludf.DUMMYFUNCTION("""COMPUTED_VALUE"""),9.967E9)</f>
        <v>9967000000</v>
      </c>
      <c r="M1154" s="14" t="str">
        <f>IFERROR(__xludf.DUMMYFUNCTION("""COMPUTED_VALUE"""),"Ireland-Europe")</f>
        <v>Ireland-Europe</v>
      </c>
      <c r="N1154" s="14" t="str">
        <f>IFERROR(__xludf.DUMMYFUNCTION("""COMPUTED_VALUE"""),"2008")</f>
        <v>2008</v>
      </c>
      <c r="O1154" s="14">
        <f>IFERROR(__xludf.DUMMYFUNCTION("""COMPUTED_VALUE"""),1.0539E10)</f>
        <v>10539000000</v>
      </c>
      <c r="P1154" s="15">
        <f>IFERROR(__xludf.DUMMYFUNCTION("ARRAYFORMULA(VLOOKUP(A1154,IMPORTRANGE(""https://docs.google.com/spreadsheets/d/1BuTWp7qHGjWhqrnf-OmePP568O4A5Am9ttzvVdP67zw/edit#gid=771602874"" ,""HUMAN RESOURCES!$A$2:$M$2692""), {2,3,4,5,6,7,8,9,10,11,12,13},0))"),0.017)</f>
        <v>0.017</v>
      </c>
      <c r="Q1154" s="14">
        <f>IFERROR(__xludf.DUMMYFUNCTION("""COMPUTED_VALUE"""),0.004)</f>
        <v>0.004</v>
      </c>
      <c r="R1154" s="14">
        <f>IFERROR(__xludf.DUMMYFUNCTION("""COMPUTED_VALUE"""),82.0)</f>
        <v>82</v>
      </c>
      <c r="S1154" s="14">
        <f>IFERROR(__xludf.DUMMYFUNCTION("""COMPUTED_VALUE"""),78.0)</f>
        <v>78</v>
      </c>
      <c r="T1154" s="14">
        <f>IFERROR(__xludf.DUMMYFUNCTION("""COMPUTED_VALUE"""),0.21)</f>
        <v>0.21</v>
      </c>
      <c r="U1154" s="14">
        <f>IFERROR(__xludf.DUMMYFUNCTION("""COMPUTED_VALUE"""),0.679)</f>
        <v>0.679</v>
      </c>
      <c r="V1154" s="14">
        <f>IFERROR(__xludf.DUMMYFUNCTION("""COMPUTED_VALUE"""),0.111)</f>
        <v>0.111</v>
      </c>
      <c r="W1154" s="14">
        <f>IFERROR(__xludf.DUMMYFUNCTION("""COMPUTED_VALUE"""),4489544.0)</f>
        <v>4489544</v>
      </c>
      <c r="X1154" s="14">
        <f>IFERROR(__xludf.DUMMYFUNCTION("""COMPUTED_VALUE"""),0.613)</f>
        <v>0.613</v>
      </c>
      <c r="Y1154" s="14" t="str">
        <f>IFERROR(__xludf.DUMMYFUNCTION("""COMPUTED_VALUE"""),"Ireland-Europe")</f>
        <v>Ireland-Europe</v>
      </c>
      <c r="Z1154" s="14" t="str">
        <f>IFERROR(__xludf.DUMMYFUNCTION("""COMPUTED_VALUE"""),"Europe")</f>
        <v>Europe</v>
      </c>
      <c r="AA1154" s="14" t="str">
        <f>IFERROR(__xludf.DUMMYFUNCTION("""COMPUTED_VALUE"""),"2008")</f>
        <v>2008</v>
      </c>
      <c r="AB1154" s="15" t="str">
        <f>IFERROR(__xludf.DUMMYFUNCTION("ARRAYFORMULA(VLOOKUP(A1154,IMPORTRANGE(""https://docs.google.com/spreadsheets/d/1BuTWp7qHGjWhqrnf-OmePP568O4A5Am9ttzvVdP67zw/edit#gid=1931367683"" ,""ENERGY!$A$2:$F$2692""), {2,3,4,5,6},0))"),"Europe")</f>
        <v>Europe</v>
      </c>
      <c r="AC1154" s="14" t="str">
        <f>IFERROR(__xludf.DUMMYFUNCTION("""COMPUTED_VALUE"""),"Ireland-Europe")</f>
        <v>Ireland-Europe</v>
      </c>
      <c r="AD1154" s="14" t="str">
        <f>IFERROR(__xludf.DUMMYFUNCTION("""COMPUTED_VALUE"""),"2006")</f>
        <v>2006</v>
      </c>
      <c r="AE1154" s="14">
        <f>IFERROR(__xludf.DUMMYFUNCTION("""COMPUTED_VALUE"""),14269.0)</f>
        <v>14269</v>
      </c>
      <c r="AF1154" s="14">
        <f>IFERROR(__xludf.DUMMYFUNCTION("""COMPUTED_VALUE"""),43956.0)</f>
        <v>43956</v>
      </c>
    </row>
    <row r="1155">
      <c r="A1155" s="12">
        <v>1154.0</v>
      </c>
      <c r="B1155" s="12" t="s">
        <v>167</v>
      </c>
      <c r="C1155" s="5" t="s">
        <v>75</v>
      </c>
      <c r="D1155" s="11">
        <v>0.255</v>
      </c>
      <c r="E1155" s="11">
        <v>13.0</v>
      </c>
      <c r="F1155" s="8"/>
      <c r="G1155" s="11">
        <v>76.0</v>
      </c>
      <c r="H1155" s="11">
        <v>0.674</v>
      </c>
      <c r="I1155" s="11">
        <v>1.067</v>
      </c>
      <c r="J1155" s="9" t="s">
        <v>70</v>
      </c>
      <c r="K1155" s="14" t="str">
        <f>IFERROR(__xludf.DUMMYFUNCTION("ARRAYFORMULA(VLOOKUP(A1155,IMPORTRANGE(""https://docs.google.com/spreadsheets/d/1BuTWp7qHGjWhqrnf-OmePP568O4A5Am9ttzvVdP67zw/edit#gid=1603210130"", ""TOURISM!$A$2:$F$2692""), {2,3,4,5,6},0))"),"Europe")</f>
        <v>Europe</v>
      </c>
      <c r="L1155" s="14">
        <f>IFERROR(__xludf.DUMMYFUNCTION("""COMPUTED_VALUE"""),8.458E9)</f>
        <v>8458000000</v>
      </c>
      <c r="M1155" s="14" t="str">
        <f>IFERROR(__xludf.DUMMYFUNCTION("""COMPUTED_VALUE"""),"Ireland-Europe")</f>
        <v>Ireland-Europe</v>
      </c>
      <c r="N1155" s="14" t="str">
        <f>IFERROR(__xludf.DUMMYFUNCTION("""COMPUTED_VALUE"""),"2009")</f>
        <v>2009</v>
      </c>
      <c r="O1155" s="14">
        <f>IFERROR(__xludf.DUMMYFUNCTION("""COMPUTED_VALUE"""),7.934E9)</f>
        <v>7934000000</v>
      </c>
      <c r="P1155" s="15">
        <f>IFERROR(__xludf.DUMMYFUNCTION("ARRAYFORMULA(VLOOKUP(A1155,IMPORTRANGE(""https://docs.google.com/spreadsheets/d/1BuTWp7qHGjWhqrnf-OmePP568O4A5Am9ttzvVdP67zw/edit#gid=771602874"" ,""HUMAN RESOURCES!$A$2:$M$2692""), {2,3,4,5,6,7,8,9,10,11,12,13},0))"),0.017)</f>
        <v>0.017</v>
      </c>
      <c r="Q1155" s="14">
        <f>IFERROR(__xludf.DUMMYFUNCTION("""COMPUTED_VALUE"""),0.004)</f>
        <v>0.004</v>
      </c>
      <c r="R1155" s="14">
        <f>IFERROR(__xludf.DUMMYFUNCTION("""COMPUTED_VALUE"""),83.0)</f>
        <v>83</v>
      </c>
      <c r="S1155" s="14">
        <f>IFERROR(__xludf.DUMMYFUNCTION("""COMPUTED_VALUE"""),78.0)</f>
        <v>78</v>
      </c>
      <c r="T1155" s="14">
        <f>IFERROR(__xludf.DUMMYFUNCTION("""COMPUTED_VALUE"""),0.212)</f>
        <v>0.212</v>
      </c>
      <c r="U1155" s="14">
        <f>IFERROR(__xludf.DUMMYFUNCTION("""COMPUTED_VALUE"""),0.676)</f>
        <v>0.676</v>
      </c>
      <c r="V1155" s="14">
        <f>IFERROR(__xludf.DUMMYFUNCTION("""COMPUTED_VALUE"""),0.112)</f>
        <v>0.112</v>
      </c>
      <c r="W1155" s="14">
        <f>IFERROR(__xludf.DUMMYFUNCTION("""COMPUTED_VALUE"""),4535375.0)</f>
        <v>4535375</v>
      </c>
      <c r="X1155" s="14">
        <f>IFERROR(__xludf.DUMMYFUNCTION("""COMPUTED_VALUE"""),0.616)</f>
        <v>0.616</v>
      </c>
      <c r="Y1155" s="14" t="str">
        <f>IFERROR(__xludf.DUMMYFUNCTION("""COMPUTED_VALUE"""),"Ireland-Europe")</f>
        <v>Ireland-Europe</v>
      </c>
      <c r="Z1155" s="14" t="str">
        <f>IFERROR(__xludf.DUMMYFUNCTION("""COMPUTED_VALUE"""),"Europe")</f>
        <v>Europe</v>
      </c>
      <c r="AA1155" s="14" t="str">
        <f>IFERROR(__xludf.DUMMYFUNCTION("""COMPUTED_VALUE"""),"2009")</f>
        <v>2009</v>
      </c>
      <c r="AB1155" s="15" t="str">
        <f>IFERROR(__xludf.DUMMYFUNCTION("ARRAYFORMULA(VLOOKUP(A1155,IMPORTRANGE(""https://docs.google.com/spreadsheets/d/1BuTWp7qHGjWhqrnf-OmePP568O4A5Am9ttzvVdP67zw/edit#gid=1931367683"" ,""ENERGY!$A$2:$F$2692""), {2,3,4,5,6},0))"),"Europe")</f>
        <v>Europe</v>
      </c>
      <c r="AC1155" s="14" t="str">
        <f>IFERROR(__xludf.DUMMYFUNCTION("""COMPUTED_VALUE"""),"Ireland-Europe")</f>
        <v>Ireland-Europe</v>
      </c>
      <c r="AD1155" s="14" t="str">
        <f>IFERROR(__xludf.DUMMYFUNCTION("""COMPUTED_VALUE"""),"2010")</f>
        <v>2010</v>
      </c>
      <c r="AE1155" s="14">
        <f>IFERROR(__xludf.DUMMYFUNCTION("""COMPUTED_VALUE"""),14061.0)</f>
        <v>14061</v>
      </c>
      <c r="AF1155" s="14">
        <f>IFERROR(__xludf.DUMMYFUNCTION("""COMPUTED_VALUE"""),43337.0)</f>
        <v>43337</v>
      </c>
    </row>
    <row r="1156">
      <c r="A1156" s="12">
        <v>1155.0</v>
      </c>
      <c r="B1156" s="12" t="s">
        <v>167</v>
      </c>
      <c r="C1156" s="5" t="s">
        <v>75</v>
      </c>
      <c r="D1156" s="11">
        <v>0.253</v>
      </c>
      <c r="E1156" s="11">
        <v>13.0</v>
      </c>
      <c r="F1156" s="8"/>
      <c r="G1156" s="11">
        <v>76.0</v>
      </c>
      <c r="H1156" s="11">
        <v>0.699</v>
      </c>
      <c r="I1156" s="11">
        <v>1.052</v>
      </c>
      <c r="J1156" s="9" t="s">
        <v>71</v>
      </c>
      <c r="K1156" s="14" t="str">
        <f>IFERROR(__xludf.DUMMYFUNCTION("ARRAYFORMULA(VLOOKUP(A1156,IMPORTRANGE(""https://docs.google.com/spreadsheets/d/1BuTWp7qHGjWhqrnf-OmePP568O4A5Am9ttzvVdP67zw/edit#gid=1603210130"", ""TOURISM!$A$2:$F$2692""), {2,3,4,5,6},0))"),"Europe")</f>
        <v>Europe</v>
      </c>
      <c r="L1156" s="14">
        <f>IFERROR(__xludf.DUMMYFUNCTION("""COMPUTED_VALUE"""),8.187E9)</f>
        <v>8187000000</v>
      </c>
      <c r="M1156" s="14" t="str">
        <f>IFERROR(__xludf.DUMMYFUNCTION("""COMPUTED_VALUE"""),"Ireland-Europe")</f>
        <v>Ireland-Europe</v>
      </c>
      <c r="N1156" s="14" t="str">
        <f>IFERROR(__xludf.DUMMYFUNCTION("""COMPUTED_VALUE"""),"2010")</f>
        <v>2010</v>
      </c>
      <c r="O1156" s="14">
        <f>IFERROR(__xludf.DUMMYFUNCTION("""COMPUTED_VALUE"""),7.178E9)</f>
        <v>7178000000</v>
      </c>
      <c r="P1156" s="15">
        <f>IFERROR(__xludf.DUMMYFUNCTION("ARRAYFORMULA(VLOOKUP(A1156,IMPORTRANGE(""https://docs.google.com/spreadsheets/d/1BuTWp7qHGjWhqrnf-OmePP568O4A5Am9ttzvVdP67zw/edit#gid=771602874"" ,""HUMAN RESOURCES!$A$2:$M$2692""), {2,3,4,5,6,7,8,9,10,11,12,13},0))"),0.017)</f>
        <v>0.017</v>
      </c>
      <c r="Q1156" s="14">
        <f>IFERROR(__xludf.DUMMYFUNCTION("""COMPUTED_VALUE"""),0.004)</f>
        <v>0.004</v>
      </c>
      <c r="R1156" s="14">
        <f>IFERROR(__xludf.DUMMYFUNCTION("""COMPUTED_VALUE"""),83.0)</f>
        <v>83</v>
      </c>
      <c r="S1156" s="14">
        <f>IFERROR(__xludf.DUMMYFUNCTION("""COMPUTED_VALUE"""),79.0)</f>
        <v>79</v>
      </c>
      <c r="T1156" s="14">
        <f>IFERROR(__xludf.DUMMYFUNCTION("""COMPUTED_VALUE"""),0.213)</f>
        <v>0.213</v>
      </c>
      <c r="U1156" s="14">
        <f>IFERROR(__xludf.DUMMYFUNCTION("""COMPUTED_VALUE"""),0.673)</f>
        <v>0.673</v>
      </c>
      <c r="V1156" s="14">
        <f>IFERROR(__xludf.DUMMYFUNCTION("""COMPUTED_VALUE"""),0.113)</f>
        <v>0.113</v>
      </c>
      <c r="W1156" s="14">
        <f>IFERROR(__xludf.DUMMYFUNCTION("""COMPUTED_VALUE"""),4560155.0)</f>
        <v>4560155</v>
      </c>
      <c r="X1156" s="14">
        <f>IFERROR(__xludf.DUMMYFUNCTION("""COMPUTED_VALUE"""),0.618)</f>
        <v>0.618</v>
      </c>
      <c r="Y1156" s="14" t="str">
        <f>IFERROR(__xludf.DUMMYFUNCTION("""COMPUTED_VALUE"""),"Ireland-Europe")</f>
        <v>Ireland-Europe</v>
      </c>
      <c r="Z1156" s="14" t="str">
        <f>IFERROR(__xludf.DUMMYFUNCTION("""COMPUTED_VALUE"""),"Europe")</f>
        <v>Europe</v>
      </c>
      <c r="AA1156" s="14" t="str">
        <f>IFERROR(__xludf.DUMMYFUNCTION("""COMPUTED_VALUE"""),"2010")</f>
        <v>2010</v>
      </c>
      <c r="AB1156" s="15" t="str">
        <f>IFERROR(__xludf.DUMMYFUNCTION("ARRAYFORMULA(VLOOKUP(A1156,IMPORTRANGE(""https://docs.google.com/spreadsheets/d/1BuTWp7qHGjWhqrnf-OmePP568O4A5Am9ttzvVdP67zw/edit#gid=1931367683"" ,""ENERGY!$A$2:$F$2692""), {2,3,4,5,6},0))"),"Europe")</f>
        <v>Europe</v>
      </c>
      <c r="AC1156" s="14" t="str">
        <f>IFERROR(__xludf.DUMMYFUNCTION("""COMPUTED_VALUE"""),"Ireland-Europe")</f>
        <v>Ireland-Europe</v>
      </c>
      <c r="AD1156" s="14" t="str">
        <f>IFERROR(__xludf.DUMMYFUNCTION("""COMPUTED_VALUE"""),"2011")</f>
        <v>2011</v>
      </c>
      <c r="AE1156" s="14">
        <f>IFERROR(__xludf.DUMMYFUNCTION("""COMPUTED_VALUE"""),14673.0)</f>
        <v>14673</v>
      </c>
      <c r="AF1156" s="14">
        <f>IFERROR(__xludf.DUMMYFUNCTION("""COMPUTED_VALUE"""),43762.0)</f>
        <v>43762</v>
      </c>
    </row>
    <row r="1157">
      <c r="A1157" s="12">
        <v>1156.0</v>
      </c>
      <c r="B1157" s="12" t="s">
        <v>167</v>
      </c>
      <c r="C1157" s="5" t="s">
        <v>75</v>
      </c>
      <c r="D1157" s="11">
        <v>0.254</v>
      </c>
      <c r="E1157" s="11">
        <v>13.0</v>
      </c>
      <c r="F1157" s="8"/>
      <c r="G1157" s="11">
        <v>76.0</v>
      </c>
      <c r="H1157" s="11">
        <v>0.749</v>
      </c>
      <c r="I1157" s="11">
        <v>1.085</v>
      </c>
      <c r="J1157" s="9" t="s">
        <v>72</v>
      </c>
      <c r="K1157" s="14" t="str">
        <f>IFERROR(__xludf.DUMMYFUNCTION("ARRAYFORMULA(VLOOKUP(A1157,IMPORTRANGE(""https://docs.google.com/spreadsheets/d/1BuTWp7qHGjWhqrnf-OmePP568O4A5Am9ttzvVdP67zw/edit#gid=1603210130"", ""TOURISM!$A$2:$F$2692""), {2,3,4,5,6},0))"),"Europe")</f>
        <v>Europe</v>
      </c>
      <c r="L1157" s="14">
        <f>IFERROR(__xludf.DUMMYFUNCTION("""COMPUTED_VALUE"""),9.526E9)</f>
        <v>9526000000</v>
      </c>
      <c r="M1157" s="14" t="str">
        <f>IFERROR(__xludf.DUMMYFUNCTION("""COMPUTED_VALUE"""),"Ireland-Europe")</f>
        <v>Ireland-Europe</v>
      </c>
      <c r="N1157" s="14" t="str">
        <f>IFERROR(__xludf.DUMMYFUNCTION("""COMPUTED_VALUE"""),"2011")</f>
        <v>2011</v>
      </c>
      <c r="O1157" s="14">
        <f>IFERROR(__xludf.DUMMYFUNCTION("""COMPUTED_VALUE"""),6.837E9)</f>
        <v>6837000000</v>
      </c>
      <c r="P1157" s="15">
        <f>IFERROR(__xludf.DUMMYFUNCTION("ARRAYFORMULA(VLOOKUP(A1157,IMPORTRANGE(""https://docs.google.com/spreadsheets/d/1BuTWp7qHGjWhqrnf-OmePP568O4A5Am9ttzvVdP67zw/edit#gid=771602874"" ,""HUMAN RESOURCES!$A$2:$M$2692""), {2,3,4,5,6,7,8,9,10,11,12,13},0))"),0.016)</f>
        <v>0.016</v>
      </c>
      <c r="Q1157" s="14">
        <f>IFERROR(__xludf.DUMMYFUNCTION("""COMPUTED_VALUE"""),0.003)</f>
        <v>0.003</v>
      </c>
      <c r="R1157" s="14">
        <f>IFERROR(__xludf.DUMMYFUNCTION("""COMPUTED_VALUE"""),83.0)</f>
        <v>83</v>
      </c>
      <c r="S1157" s="14">
        <f>IFERROR(__xludf.DUMMYFUNCTION("""COMPUTED_VALUE"""),79.0)</f>
        <v>79</v>
      </c>
      <c r="T1157" s="14">
        <f>IFERROR(__xludf.DUMMYFUNCTION("""COMPUTED_VALUE"""),0.215)</f>
        <v>0.215</v>
      </c>
      <c r="U1157" s="14">
        <f>IFERROR(__xludf.DUMMYFUNCTION("""COMPUTED_VALUE"""),0.67)</f>
        <v>0.67</v>
      </c>
      <c r="V1157" s="14">
        <f>IFERROR(__xludf.DUMMYFUNCTION("""COMPUTED_VALUE"""),0.115)</f>
        <v>0.115</v>
      </c>
      <c r="W1157" s="14">
        <f>IFERROR(__xludf.DUMMYFUNCTION("""COMPUTED_VALUE"""),4576794.0)</f>
        <v>4576794</v>
      </c>
      <c r="X1157" s="14">
        <f>IFERROR(__xludf.DUMMYFUNCTION("""COMPUTED_VALUE"""),0.621)</f>
        <v>0.621</v>
      </c>
      <c r="Y1157" s="14" t="str">
        <f>IFERROR(__xludf.DUMMYFUNCTION("""COMPUTED_VALUE"""),"Ireland-Europe")</f>
        <v>Ireland-Europe</v>
      </c>
      <c r="Z1157" s="14" t="str">
        <f>IFERROR(__xludf.DUMMYFUNCTION("""COMPUTED_VALUE"""),"Europe")</f>
        <v>Europe</v>
      </c>
      <c r="AA1157" s="14" t="str">
        <f>IFERROR(__xludf.DUMMYFUNCTION("""COMPUTED_VALUE"""),"2011")</f>
        <v>2011</v>
      </c>
      <c r="AB1157" s="15" t="str">
        <f>IFERROR(__xludf.DUMMYFUNCTION("ARRAYFORMULA(VLOOKUP(A1157,IMPORTRANGE(""https://docs.google.com/spreadsheets/d/1BuTWp7qHGjWhqrnf-OmePP568O4A5Am9ttzvVdP67zw/edit#gid=1931367683"" ,""ENERGY!$A$2:$F$2692""), {2,3,4,5,6},0))"),"Europe")</f>
        <v>Europe</v>
      </c>
      <c r="AC1157" s="14" t="str">
        <f>IFERROR(__xludf.DUMMYFUNCTION("""COMPUTED_VALUE"""),"Ireland-Europe")</f>
        <v>Ireland-Europe</v>
      </c>
      <c r="AD1157" s="14" t="str">
        <f>IFERROR(__xludf.DUMMYFUNCTION("""COMPUTED_VALUE"""),"2005")</f>
        <v>2005</v>
      </c>
      <c r="AE1157" s="14">
        <f>IFERROR(__xludf.DUMMYFUNCTION("""COMPUTED_VALUE"""),14432.0)</f>
        <v>14432</v>
      </c>
      <c r="AF1157" s="14">
        <f>IFERROR(__xludf.DUMMYFUNCTION("""COMPUTED_VALUE"""),44151.0)</f>
        <v>44151</v>
      </c>
    </row>
    <row r="1158">
      <c r="A1158" s="12">
        <v>1157.0</v>
      </c>
      <c r="B1158" s="12" t="s">
        <v>167</v>
      </c>
      <c r="C1158" s="5" t="s">
        <v>75</v>
      </c>
      <c r="D1158" s="11">
        <v>0.255</v>
      </c>
      <c r="E1158" s="11">
        <v>10.0</v>
      </c>
      <c r="F1158" s="11">
        <v>15.0</v>
      </c>
      <c r="G1158" s="11">
        <v>80.0</v>
      </c>
      <c r="H1158" s="11">
        <v>0.769</v>
      </c>
      <c r="I1158" s="11">
        <v>1.072</v>
      </c>
      <c r="J1158" s="9" t="s">
        <v>73</v>
      </c>
      <c r="K1158" s="14" t="str">
        <f>IFERROR(__xludf.DUMMYFUNCTION("ARRAYFORMULA(VLOOKUP(A1158,IMPORTRANGE(""https://docs.google.com/spreadsheets/d/1BuTWp7qHGjWhqrnf-OmePP568O4A5Am9ttzvVdP67zw/edit#gid=1603210130"", ""TOURISM!$A$2:$F$2692""), {2,3,4,5,6},0))"),"Europe")</f>
        <v>Europe</v>
      </c>
      <c r="L1158" s="14">
        <f>IFERROR(__xludf.DUMMYFUNCTION("""COMPUTED_VALUE"""),9.064E9)</f>
        <v>9064000000</v>
      </c>
      <c r="M1158" s="14" t="str">
        <f>IFERROR(__xludf.DUMMYFUNCTION("""COMPUTED_VALUE"""),"Ireland-Europe")</f>
        <v>Ireland-Europe</v>
      </c>
      <c r="N1158" s="14" t="str">
        <f>IFERROR(__xludf.DUMMYFUNCTION("""COMPUTED_VALUE"""),"2012")</f>
        <v>2012</v>
      </c>
      <c r="O1158" s="14">
        <f>IFERROR(__xludf.DUMMYFUNCTION("""COMPUTED_VALUE"""),6.001E9)</f>
        <v>6001000000</v>
      </c>
      <c r="P1158" s="15">
        <f>IFERROR(__xludf.DUMMYFUNCTION("ARRAYFORMULA(VLOOKUP(A1158,IMPORTRANGE(""https://docs.google.com/spreadsheets/d/1BuTWp7qHGjWhqrnf-OmePP568O4A5Am9ttzvVdP67zw/edit#gid=771602874"" ,""HUMAN RESOURCES!$A$2:$M$2692""), {2,3,4,5,6,7,8,9,10,11,12,13},0))"),0.016)</f>
        <v>0.016</v>
      </c>
      <c r="Q1158" s="14">
        <f>IFERROR(__xludf.DUMMYFUNCTION("""COMPUTED_VALUE"""),0.003)</f>
        <v>0.003</v>
      </c>
      <c r="R1158" s="14">
        <f>IFERROR(__xludf.DUMMYFUNCTION("""COMPUTED_VALUE"""),83.0)</f>
        <v>83</v>
      </c>
      <c r="S1158" s="14">
        <f>IFERROR(__xludf.DUMMYFUNCTION("""COMPUTED_VALUE"""),79.0)</f>
        <v>79</v>
      </c>
      <c r="T1158" s="14">
        <f>IFERROR(__xludf.DUMMYFUNCTION("""COMPUTED_VALUE"""),0.215)</f>
        <v>0.215</v>
      </c>
      <c r="U1158" s="14">
        <f>IFERROR(__xludf.DUMMYFUNCTION("""COMPUTED_VALUE"""),0.667)</f>
        <v>0.667</v>
      </c>
      <c r="V1158" s="14">
        <f>IFERROR(__xludf.DUMMYFUNCTION("""COMPUTED_VALUE"""),0.118)</f>
        <v>0.118</v>
      </c>
      <c r="W1158" s="14">
        <f>IFERROR(__xludf.DUMMYFUNCTION("""COMPUTED_VALUE"""),4586897.0)</f>
        <v>4586897</v>
      </c>
      <c r="X1158" s="14">
        <f>IFERROR(__xludf.DUMMYFUNCTION("""COMPUTED_VALUE"""),0.624)</f>
        <v>0.624</v>
      </c>
      <c r="Y1158" s="14" t="str">
        <f>IFERROR(__xludf.DUMMYFUNCTION("""COMPUTED_VALUE"""),"Ireland-Europe")</f>
        <v>Ireland-Europe</v>
      </c>
      <c r="Z1158" s="14" t="str">
        <f>IFERROR(__xludf.DUMMYFUNCTION("""COMPUTED_VALUE"""),"Europe")</f>
        <v>Europe</v>
      </c>
      <c r="AA1158" s="14" t="str">
        <f>IFERROR(__xludf.DUMMYFUNCTION("""COMPUTED_VALUE"""),"2012")</f>
        <v>2012</v>
      </c>
      <c r="AB1158" s="15" t="str">
        <f>IFERROR(__xludf.DUMMYFUNCTION("ARRAYFORMULA(VLOOKUP(A1158,IMPORTRANGE(""https://docs.google.com/spreadsheets/d/1BuTWp7qHGjWhqrnf-OmePP568O4A5Am9ttzvVdP67zw/edit#gid=1931367683"" ,""ENERGY!$A$2:$F$2692""), {2,3,4,5,6},0))"),"Europe")</f>
        <v>Europe</v>
      </c>
      <c r="AC1158" s="14" t="str">
        <f>IFERROR(__xludf.DUMMYFUNCTION("""COMPUTED_VALUE"""),"Ireland-Europe")</f>
        <v>Ireland-Europe</v>
      </c>
      <c r="AD1158" s="14" t="str">
        <f>IFERROR(__xludf.DUMMYFUNCTION("""COMPUTED_VALUE"""),"2010")</f>
        <v>2010</v>
      </c>
      <c r="AE1158" s="14">
        <f>IFERROR(__xludf.DUMMYFUNCTION("""COMPUTED_VALUE"""),13574.0)</f>
        <v>13574</v>
      </c>
      <c r="AF1158" s="14">
        <f>IFERROR(__xludf.DUMMYFUNCTION("""COMPUTED_VALUE"""),41345.0)</f>
        <v>41345</v>
      </c>
    </row>
    <row r="1159">
      <c r="A1159" s="12">
        <v>1158.0</v>
      </c>
      <c r="B1159" s="12" t="s">
        <v>168</v>
      </c>
      <c r="C1159" s="5" t="s">
        <v>75</v>
      </c>
      <c r="D1159" s="8"/>
      <c r="E1159" s="8"/>
      <c r="F1159" s="8"/>
      <c r="G1159" s="8"/>
      <c r="H1159" s="8"/>
      <c r="I1159" s="8"/>
      <c r="J1159" s="9" t="s">
        <v>60</v>
      </c>
      <c r="K1159" s="14" t="str">
        <f>IFERROR(__xludf.DUMMYFUNCTION("ARRAYFORMULA(VLOOKUP(A1159,IMPORTRANGE(""https://docs.google.com/spreadsheets/d/1BuTWp7qHGjWhqrnf-OmePP568O4A5Am9ttzvVdP67zw/edit#gid=1603210130"", ""TOURISM!$A$2:$F$2692""), {2,3,4,5,6},0))"),"Europe")</f>
        <v>Europe</v>
      </c>
      <c r="L1159" s="14"/>
      <c r="M1159" s="14" t="str">
        <f>IFERROR(__xludf.DUMMYFUNCTION("""COMPUTED_VALUE"""),"Isle of Man-Europe")</f>
        <v>Isle of Man-Europe</v>
      </c>
      <c r="N1159" s="14" t="str">
        <f>IFERROR(__xludf.DUMMYFUNCTION("""COMPUTED_VALUE"""),"2000")</f>
        <v>2000</v>
      </c>
      <c r="O1159" s="14"/>
      <c r="P1159" s="15" t="str">
        <f>IFERROR(__xludf.DUMMYFUNCTION("ARRAYFORMULA(VLOOKUP(A1159,IMPORTRANGE(""https://docs.google.com/spreadsheets/d/1BuTWp7qHGjWhqrnf-OmePP568O4A5Am9ttzvVdP67zw/edit#gid=771602874"" ,""HUMAN RESOURCES!$A$2:$M$2692""), {2,3,4,5,6,7,8,9,10,11,12,13},0))"),"")</f>
        <v/>
      </c>
      <c r="Q1159" s="14"/>
      <c r="R1159" s="14"/>
      <c r="S1159" s="14"/>
      <c r="T1159" s="14"/>
      <c r="U1159" s="14"/>
      <c r="V1159" s="14"/>
      <c r="W1159" s="14">
        <f>IFERROR(__xludf.DUMMYFUNCTION("""COMPUTED_VALUE"""),76806.0)</f>
        <v>76806</v>
      </c>
      <c r="X1159" s="14">
        <f>IFERROR(__xludf.DUMMYFUNCTION("""COMPUTED_VALUE"""),0.518)</f>
        <v>0.518</v>
      </c>
      <c r="Y1159" s="14" t="str">
        <f>IFERROR(__xludf.DUMMYFUNCTION("""COMPUTED_VALUE"""),"Isle of Man-Europe")</f>
        <v>Isle of Man-Europe</v>
      </c>
      <c r="Z1159" s="14" t="str">
        <f>IFERROR(__xludf.DUMMYFUNCTION("""COMPUTED_VALUE"""),"Europe")</f>
        <v>Europe</v>
      </c>
      <c r="AA1159" s="14" t="str">
        <f>IFERROR(__xludf.DUMMYFUNCTION("""COMPUTED_VALUE"""),"2000")</f>
        <v>2000</v>
      </c>
      <c r="AB1159" s="15" t="str">
        <f>IFERROR(__xludf.DUMMYFUNCTION("ARRAYFORMULA(VLOOKUP(A1159,IMPORTRANGE(""https://docs.google.com/spreadsheets/d/1BuTWp7qHGjWhqrnf-OmePP568O4A5Am9ttzvVdP67zw/edit#gid=1931367683"" ,""ENERGY!$A$2:$F$2692""), {2,3,4,5,6},0))"),"Europe")</f>
        <v>Europe</v>
      </c>
      <c r="AC1159" s="14" t="str">
        <f>IFERROR(__xludf.DUMMYFUNCTION("""COMPUTED_VALUE"""),"Isle of Man-Europe")</f>
        <v>Isle of Man-Europe</v>
      </c>
      <c r="AD1159" s="14" t="str">
        <f>IFERROR(__xludf.DUMMYFUNCTION("""COMPUTED_VALUE"""),"2000")</f>
        <v>2000</v>
      </c>
      <c r="AE1159" s="14"/>
      <c r="AF1159" s="14"/>
    </row>
    <row r="1160">
      <c r="A1160" s="12">
        <v>1159.0</v>
      </c>
      <c r="B1160" s="12" t="s">
        <v>168</v>
      </c>
      <c r="C1160" s="5" t="s">
        <v>75</v>
      </c>
      <c r="D1160" s="8"/>
      <c r="E1160" s="8"/>
      <c r="F1160" s="8"/>
      <c r="G1160" s="8"/>
      <c r="H1160" s="8"/>
      <c r="I1160" s="8"/>
      <c r="J1160" s="9" t="s">
        <v>62</v>
      </c>
      <c r="K1160" s="14" t="str">
        <f>IFERROR(__xludf.DUMMYFUNCTION("ARRAYFORMULA(VLOOKUP(A1160,IMPORTRANGE(""https://docs.google.com/spreadsheets/d/1BuTWp7qHGjWhqrnf-OmePP568O4A5Am9ttzvVdP67zw/edit#gid=1603210130"", ""TOURISM!$A$2:$F$2692""), {2,3,4,5,6},0))"),"Europe")</f>
        <v>Europe</v>
      </c>
      <c r="L1160" s="14"/>
      <c r="M1160" s="14" t="str">
        <f>IFERROR(__xludf.DUMMYFUNCTION("""COMPUTED_VALUE"""),"Isle of Man-Europe")</f>
        <v>Isle of Man-Europe</v>
      </c>
      <c r="N1160" s="14" t="str">
        <f>IFERROR(__xludf.DUMMYFUNCTION("""COMPUTED_VALUE"""),"2001")</f>
        <v>2001</v>
      </c>
      <c r="O1160" s="14"/>
      <c r="P1160" s="15" t="str">
        <f>IFERROR(__xludf.DUMMYFUNCTION("ARRAYFORMULA(VLOOKUP(A1160,IMPORTRANGE(""https://docs.google.com/spreadsheets/d/1BuTWp7qHGjWhqrnf-OmePP568O4A5Am9ttzvVdP67zw/edit#gid=771602874"" ,""HUMAN RESOURCES!$A$2:$M$2692""), {2,3,4,5,6,7,8,9,10,11,12,13},0))"),"")</f>
        <v/>
      </c>
      <c r="Q1160" s="14"/>
      <c r="R1160" s="14"/>
      <c r="S1160" s="14"/>
      <c r="T1160" s="14"/>
      <c r="U1160" s="14"/>
      <c r="V1160" s="14"/>
      <c r="W1160" s="14">
        <f>IFERROR(__xludf.DUMMYFUNCTION("""COMPUTED_VALUE"""),77616.0)</f>
        <v>77616</v>
      </c>
      <c r="X1160" s="14">
        <f>IFERROR(__xludf.DUMMYFUNCTION("""COMPUTED_VALUE"""),0.518)</f>
        <v>0.518</v>
      </c>
      <c r="Y1160" s="14" t="str">
        <f>IFERROR(__xludf.DUMMYFUNCTION("""COMPUTED_VALUE"""),"Isle of Man-Europe")</f>
        <v>Isle of Man-Europe</v>
      </c>
      <c r="Z1160" s="14" t="str">
        <f>IFERROR(__xludf.DUMMYFUNCTION("""COMPUTED_VALUE"""),"Europe")</f>
        <v>Europe</v>
      </c>
      <c r="AA1160" s="14" t="str">
        <f>IFERROR(__xludf.DUMMYFUNCTION("""COMPUTED_VALUE"""),"2001")</f>
        <v>2001</v>
      </c>
      <c r="AB1160" s="15" t="str">
        <f>IFERROR(__xludf.DUMMYFUNCTION("ARRAYFORMULA(VLOOKUP(A1160,IMPORTRANGE(""https://docs.google.com/spreadsheets/d/1BuTWp7qHGjWhqrnf-OmePP568O4A5Am9ttzvVdP67zw/edit#gid=1931367683"" ,""ENERGY!$A$2:$F$2692""), {2,3,4,5,6},0))"),"Europe")</f>
        <v>Europe</v>
      </c>
      <c r="AC1160" s="14" t="str">
        <f>IFERROR(__xludf.DUMMYFUNCTION("""COMPUTED_VALUE"""),"Isle of Man-Europe")</f>
        <v>Isle of Man-Europe</v>
      </c>
      <c r="AD1160" s="14" t="str">
        <f>IFERROR(__xludf.DUMMYFUNCTION("""COMPUTED_VALUE"""),"2001")</f>
        <v>2001</v>
      </c>
      <c r="AE1160" s="14"/>
      <c r="AF1160" s="14"/>
    </row>
    <row r="1161">
      <c r="A1161" s="12">
        <v>1160.0</v>
      </c>
      <c r="B1161" s="12" t="s">
        <v>168</v>
      </c>
      <c r="C1161" s="5" t="s">
        <v>75</v>
      </c>
      <c r="D1161" s="8"/>
      <c r="E1161" s="8"/>
      <c r="F1161" s="8"/>
      <c r="G1161" s="8"/>
      <c r="H1161" s="8"/>
      <c r="I1161" s="8"/>
      <c r="J1161" s="9" t="s">
        <v>63</v>
      </c>
      <c r="K1161" s="14" t="str">
        <f>IFERROR(__xludf.DUMMYFUNCTION("ARRAYFORMULA(VLOOKUP(A1161,IMPORTRANGE(""https://docs.google.com/spreadsheets/d/1BuTWp7qHGjWhqrnf-OmePP568O4A5Am9ttzvVdP67zw/edit#gid=1603210130"", ""TOURISM!$A$2:$F$2692""), {2,3,4,5,6},0))"),"Europe")</f>
        <v>Europe</v>
      </c>
      <c r="L1161" s="14"/>
      <c r="M1161" s="14" t="str">
        <f>IFERROR(__xludf.DUMMYFUNCTION("""COMPUTED_VALUE"""),"Isle of Man-Europe")</f>
        <v>Isle of Man-Europe</v>
      </c>
      <c r="N1161" s="14" t="str">
        <f>IFERROR(__xludf.DUMMYFUNCTION("""COMPUTED_VALUE"""),"2002")</f>
        <v>2002</v>
      </c>
      <c r="O1161" s="14"/>
      <c r="P1161" s="15">
        <f>IFERROR(__xludf.DUMMYFUNCTION("ARRAYFORMULA(VLOOKUP(A1161,IMPORTRANGE(""https://docs.google.com/spreadsheets/d/1BuTWp7qHGjWhqrnf-OmePP568O4A5Am9ttzvVdP67zw/edit#gid=771602874"" ,""HUMAN RESOURCES!$A$2:$M$2692""), {2,3,4,5,6,7,8,9,10,11,12,13},0))"),0.011)</f>
        <v>0.011</v>
      </c>
      <c r="Q1161" s="14"/>
      <c r="R1161" s="14">
        <f>IFERROR(__xludf.DUMMYFUNCTION("""COMPUTED_VALUE"""),82.0)</f>
        <v>82</v>
      </c>
      <c r="S1161" s="14">
        <f>IFERROR(__xludf.DUMMYFUNCTION("""COMPUTED_VALUE"""),75.0)</f>
        <v>75</v>
      </c>
      <c r="T1161" s="14"/>
      <c r="U1161" s="14"/>
      <c r="V1161" s="14"/>
      <c r="W1161" s="14">
        <f>IFERROR(__xludf.DUMMYFUNCTION("""COMPUTED_VALUE"""),78338.0)</f>
        <v>78338</v>
      </c>
      <c r="X1161" s="14">
        <f>IFERROR(__xludf.DUMMYFUNCTION("""COMPUTED_VALUE"""),0.519)</f>
        <v>0.519</v>
      </c>
      <c r="Y1161" s="14" t="str">
        <f>IFERROR(__xludf.DUMMYFUNCTION("""COMPUTED_VALUE"""),"Isle of Man-Europe")</f>
        <v>Isle of Man-Europe</v>
      </c>
      <c r="Z1161" s="14" t="str">
        <f>IFERROR(__xludf.DUMMYFUNCTION("""COMPUTED_VALUE"""),"Europe")</f>
        <v>Europe</v>
      </c>
      <c r="AA1161" s="14" t="str">
        <f>IFERROR(__xludf.DUMMYFUNCTION("""COMPUTED_VALUE"""),"2002")</f>
        <v>2002</v>
      </c>
      <c r="AB1161" s="15" t="str">
        <f>IFERROR(__xludf.DUMMYFUNCTION("ARRAYFORMULA(VLOOKUP(A1161,IMPORTRANGE(""https://docs.google.com/spreadsheets/d/1BuTWp7qHGjWhqrnf-OmePP568O4A5Am9ttzvVdP67zw/edit#gid=1931367683"" ,""ENERGY!$A$2:$F$2692""), {2,3,4,5,6},0))"),"Europe")</f>
        <v>Europe</v>
      </c>
      <c r="AC1161" s="14" t="str">
        <f>IFERROR(__xludf.DUMMYFUNCTION("""COMPUTED_VALUE"""),"Isle of Man-Europe")</f>
        <v>Isle of Man-Europe</v>
      </c>
      <c r="AD1161" s="14" t="str">
        <f>IFERROR(__xludf.DUMMYFUNCTION("""COMPUTED_VALUE"""),"2002")</f>
        <v>2002</v>
      </c>
      <c r="AE1161" s="14"/>
      <c r="AF1161" s="14"/>
    </row>
    <row r="1162">
      <c r="A1162" s="12">
        <v>1161.0</v>
      </c>
      <c r="B1162" s="12" t="s">
        <v>168</v>
      </c>
      <c r="C1162" s="5" t="s">
        <v>75</v>
      </c>
      <c r="D1162" s="8"/>
      <c r="E1162" s="8"/>
      <c r="F1162" s="8"/>
      <c r="G1162" s="8"/>
      <c r="H1162" s="8"/>
      <c r="I1162" s="8"/>
      <c r="J1162" s="9" t="s">
        <v>64</v>
      </c>
      <c r="K1162" s="14" t="str">
        <f>IFERROR(__xludf.DUMMYFUNCTION("ARRAYFORMULA(VLOOKUP(A1162,IMPORTRANGE(""https://docs.google.com/spreadsheets/d/1BuTWp7qHGjWhqrnf-OmePP568O4A5Am9ttzvVdP67zw/edit#gid=1603210130"", ""TOURISM!$A$2:$F$2692""), {2,3,4,5,6},0))"),"Europe")</f>
        <v>Europe</v>
      </c>
      <c r="L1162" s="14"/>
      <c r="M1162" s="14" t="str">
        <f>IFERROR(__xludf.DUMMYFUNCTION("""COMPUTED_VALUE"""),"Isle of Man-Europe")</f>
        <v>Isle of Man-Europe</v>
      </c>
      <c r="N1162" s="14" t="str">
        <f>IFERROR(__xludf.DUMMYFUNCTION("""COMPUTED_VALUE"""),"2003")</f>
        <v>2003</v>
      </c>
      <c r="O1162" s="14"/>
      <c r="P1162" s="15" t="str">
        <f>IFERROR(__xludf.DUMMYFUNCTION("ARRAYFORMULA(VLOOKUP(A1162,IMPORTRANGE(""https://docs.google.com/spreadsheets/d/1BuTWp7qHGjWhqrnf-OmePP568O4A5Am9ttzvVdP67zw/edit#gid=771602874"" ,""HUMAN RESOURCES!$A$2:$M$2692""), {2,3,4,5,6,7,8,9,10,11,12,13},0))"),"")</f>
        <v/>
      </c>
      <c r="Q1162" s="14"/>
      <c r="R1162" s="14"/>
      <c r="S1162" s="14"/>
      <c r="T1162" s="14"/>
      <c r="U1162" s="14"/>
      <c r="V1162" s="14"/>
      <c r="W1162" s="14">
        <f>IFERROR(__xludf.DUMMYFUNCTION("""COMPUTED_VALUE"""),79001.0)</f>
        <v>79001</v>
      </c>
      <c r="X1162" s="14">
        <f>IFERROR(__xludf.DUMMYFUNCTION("""COMPUTED_VALUE"""),0.519)</f>
        <v>0.519</v>
      </c>
      <c r="Y1162" s="14" t="str">
        <f>IFERROR(__xludf.DUMMYFUNCTION("""COMPUTED_VALUE"""),"Isle of Man-Europe")</f>
        <v>Isle of Man-Europe</v>
      </c>
      <c r="Z1162" s="14" t="str">
        <f>IFERROR(__xludf.DUMMYFUNCTION("""COMPUTED_VALUE"""),"Europe")</f>
        <v>Europe</v>
      </c>
      <c r="AA1162" s="14" t="str">
        <f>IFERROR(__xludf.DUMMYFUNCTION("""COMPUTED_VALUE"""),"2003")</f>
        <v>2003</v>
      </c>
      <c r="AB1162" s="15" t="str">
        <f>IFERROR(__xludf.DUMMYFUNCTION("ARRAYFORMULA(VLOOKUP(A1162,IMPORTRANGE(""https://docs.google.com/spreadsheets/d/1BuTWp7qHGjWhqrnf-OmePP568O4A5Am9ttzvVdP67zw/edit#gid=1931367683"" ,""ENERGY!$A$2:$F$2692""), {2,3,4,5,6},0))"),"Europe")</f>
        <v>Europe</v>
      </c>
      <c r="AC1162" s="14" t="str">
        <f>IFERROR(__xludf.DUMMYFUNCTION("""COMPUTED_VALUE"""),"Isle of Man-Europe")</f>
        <v>Isle of Man-Europe</v>
      </c>
      <c r="AD1162" s="14" t="str">
        <f>IFERROR(__xludf.DUMMYFUNCTION("""COMPUTED_VALUE"""),"2003")</f>
        <v>2003</v>
      </c>
      <c r="AE1162" s="14"/>
      <c r="AF1162" s="14"/>
    </row>
    <row r="1163">
      <c r="A1163" s="12">
        <v>1162.0</v>
      </c>
      <c r="B1163" s="12" t="s">
        <v>168</v>
      </c>
      <c r="C1163" s="5" t="s">
        <v>75</v>
      </c>
      <c r="D1163" s="8"/>
      <c r="E1163" s="8"/>
      <c r="F1163" s="8"/>
      <c r="G1163" s="8"/>
      <c r="H1163" s="8"/>
      <c r="I1163" s="8"/>
      <c r="J1163" s="9" t="s">
        <v>65</v>
      </c>
      <c r="K1163" s="14" t="str">
        <f>IFERROR(__xludf.DUMMYFUNCTION("ARRAYFORMULA(VLOOKUP(A1163,IMPORTRANGE(""https://docs.google.com/spreadsheets/d/1BuTWp7qHGjWhqrnf-OmePP568O4A5Am9ttzvVdP67zw/edit#gid=1603210130"", ""TOURISM!$A$2:$F$2692""), {2,3,4,5,6},0))"),"Europe")</f>
        <v>Europe</v>
      </c>
      <c r="L1163" s="14"/>
      <c r="M1163" s="14" t="str">
        <f>IFERROR(__xludf.DUMMYFUNCTION("""COMPUTED_VALUE"""),"Isle of Man-Europe")</f>
        <v>Isle of Man-Europe</v>
      </c>
      <c r="N1163" s="14" t="str">
        <f>IFERROR(__xludf.DUMMYFUNCTION("""COMPUTED_VALUE"""),"2004")</f>
        <v>2004</v>
      </c>
      <c r="O1163" s="14"/>
      <c r="P1163" s="15" t="str">
        <f>IFERROR(__xludf.DUMMYFUNCTION("ARRAYFORMULA(VLOOKUP(A1163,IMPORTRANGE(""https://docs.google.com/spreadsheets/d/1BuTWp7qHGjWhqrnf-OmePP568O4A5Am9ttzvVdP67zw/edit#gid=771602874"" ,""HUMAN RESOURCES!$A$2:$M$2692""), {2,3,4,5,6,7,8,9,10,11,12,13},0))"),"")</f>
        <v/>
      </c>
      <c r="Q1163" s="14"/>
      <c r="R1163" s="14"/>
      <c r="S1163" s="14"/>
      <c r="T1163" s="14"/>
      <c r="U1163" s="14"/>
      <c r="V1163" s="14"/>
      <c r="W1163" s="14">
        <f>IFERROR(__xludf.DUMMYFUNCTION("""COMPUTED_VALUE"""),79658.0)</f>
        <v>79658</v>
      </c>
      <c r="X1163" s="14">
        <f>IFERROR(__xludf.DUMMYFUNCTION("""COMPUTED_VALUE"""),0.519)</f>
        <v>0.519</v>
      </c>
      <c r="Y1163" s="14" t="str">
        <f>IFERROR(__xludf.DUMMYFUNCTION("""COMPUTED_VALUE"""),"Isle of Man-Europe")</f>
        <v>Isle of Man-Europe</v>
      </c>
      <c r="Z1163" s="14" t="str">
        <f>IFERROR(__xludf.DUMMYFUNCTION("""COMPUTED_VALUE"""),"Europe")</f>
        <v>Europe</v>
      </c>
      <c r="AA1163" s="14" t="str">
        <f>IFERROR(__xludf.DUMMYFUNCTION("""COMPUTED_VALUE"""),"2004")</f>
        <v>2004</v>
      </c>
      <c r="AB1163" s="15" t="str">
        <f>IFERROR(__xludf.DUMMYFUNCTION("ARRAYFORMULA(VLOOKUP(A1163,IMPORTRANGE(""https://docs.google.com/spreadsheets/d/1BuTWp7qHGjWhqrnf-OmePP568O4A5Am9ttzvVdP67zw/edit#gid=1931367683"" ,""ENERGY!$A$2:$F$2692""), {2,3,4,5,6},0))"),"Europe")</f>
        <v>Europe</v>
      </c>
      <c r="AC1163" s="14" t="str">
        <f>IFERROR(__xludf.DUMMYFUNCTION("""COMPUTED_VALUE"""),"Isle of Man-Europe")</f>
        <v>Isle of Man-Europe</v>
      </c>
      <c r="AD1163" s="14" t="str">
        <f>IFERROR(__xludf.DUMMYFUNCTION("""COMPUTED_VALUE"""),"2004")</f>
        <v>2004</v>
      </c>
      <c r="AE1163" s="14"/>
      <c r="AF1163" s="14"/>
    </row>
    <row r="1164">
      <c r="A1164" s="12">
        <v>1163.0</v>
      </c>
      <c r="B1164" s="12" t="s">
        <v>168</v>
      </c>
      <c r="C1164" s="5" t="s">
        <v>75</v>
      </c>
      <c r="D1164" s="8"/>
      <c r="E1164" s="8"/>
      <c r="F1164" s="8"/>
      <c r="G1164" s="8"/>
      <c r="H1164" s="8"/>
      <c r="I1164" s="8"/>
      <c r="J1164" s="9" t="s">
        <v>66</v>
      </c>
      <c r="K1164" s="14" t="str">
        <f>IFERROR(__xludf.DUMMYFUNCTION("ARRAYFORMULA(VLOOKUP(A1164,IMPORTRANGE(""https://docs.google.com/spreadsheets/d/1BuTWp7qHGjWhqrnf-OmePP568O4A5Am9ttzvVdP67zw/edit#gid=1603210130"", ""TOURISM!$A$2:$F$2692""), {2,3,4,5,6},0))"),"Europe")</f>
        <v>Europe</v>
      </c>
      <c r="L1164" s="14"/>
      <c r="M1164" s="14" t="str">
        <f>IFERROR(__xludf.DUMMYFUNCTION("""COMPUTED_VALUE"""),"Isle of Man-Europe")</f>
        <v>Isle of Man-Europe</v>
      </c>
      <c r="N1164" s="14" t="str">
        <f>IFERROR(__xludf.DUMMYFUNCTION("""COMPUTED_VALUE"""),"2005")</f>
        <v>2005</v>
      </c>
      <c r="O1164" s="14"/>
      <c r="P1164" s="15">
        <f>IFERROR(__xludf.DUMMYFUNCTION("ARRAYFORMULA(VLOOKUP(A1164,IMPORTRANGE(""https://docs.google.com/spreadsheets/d/1BuTWp7qHGjWhqrnf-OmePP568O4A5Am9ttzvVdP67zw/edit#gid=771602874"" ,""HUMAN RESOURCES!$A$2:$M$2692""), {2,3,4,5,6,7,8,9,10,11,12,13},0))"),0.011)</f>
        <v>0.011</v>
      </c>
      <c r="Q1164" s="14"/>
      <c r="R1164" s="14"/>
      <c r="S1164" s="14"/>
      <c r="T1164" s="14"/>
      <c r="U1164" s="14"/>
      <c r="V1164" s="14"/>
      <c r="W1164" s="14">
        <f>IFERROR(__xludf.DUMMYFUNCTION("""COMPUTED_VALUE"""),80345.0)</f>
        <v>80345</v>
      </c>
      <c r="X1164" s="14">
        <f>IFERROR(__xludf.DUMMYFUNCTION("""COMPUTED_VALUE"""),0.519)</f>
        <v>0.519</v>
      </c>
      <c r="Y1164" s="14" t="str">
        <f>IFERROR(__xludf.DUMMYFUNCTION("""COMPUTED_VALUE"""),"Isle of Man-Europe")</f>
        <v>Isle of Man-Europe</v>
      </c>
      <c r="Z1164" s="14" t="str">
        <f>IFERROR(__xludf.DUMMYFUNCTION("""COMPUTED_VALUE"""),"Europe")</f>
        <v>Europe</v>
      </c>
      <c r="AA1164" s="14" t="str">
        <f>IFERROR(__xludf.DUMMYFUNCTION("""COMPUTED_VALUE"""),"2005")</f>
        <v>2005</v>
      </c>
      <c r="AB1164" s="15" t="str">
        <f>IFERROR(__xludf.DUMMYFUNCTION("ARRAYFORMULA(VLOOKUP(A1164,IMPORTRANGE(""https://docs.google.com/spreadsheets/d/1BuTWp7qHGjWhqrnf-OmePP568O4A5Am9ttzvVdP67zw/edit#gid=1931367683"" ,""ENERGY!$A$2:$F$2692""), {2,3,4,5,6},0))"),"Europe")</f>
        <v>Europe</v>
      </c>
      <c r="AC1164" s="14" t="str">
        <f>IFERROR(__xludf.DUMMYFUNCTION("""COMPUTED_VALUE"""),"Isle of Man-Europe")</f>
        <v>Isle of Man-Europe</v>
      </c>
      <c r="AD1164" s="14" t="str">
        <f>IFERROR(__xludf.DUMMYFUNCTION("""COMPUTED_VALUE"""),"2007")</f>
        <v>2007</v>
      </c>
      <c r="AE1164" s="14"/>
      <c r="AF1164" s="14"/>
    </row>
    <row r="1165">
      <c r="A1165" s="12">
        <v>1164.0</v>
      </c>
      <c r="B1165" s="12" t="s">
        <v>168</v>
      </c>
      <c r="C1165" s="5" t="s">
        <v>75</v>
      </c>
      <c r="D1165" s="8"/>
      <c r="E1165" s="8"/>
      <c r="F1165" s="8"/>
      <c r="G1165" s="8"/>
      <c r="H1165" s="8"/>
      <c r="I1165" s="8"/>
      <c r="J1165" s="9" t="s">
        <v>67</v>
      </c>
      <c r="K1165" s="14" t="str">
        <f>IFERROR(__xludf.DUMMYFUNCTION("ARRAYFORMULA(VLOOKUP(A1165,IMPORTRANGE(""https://docs.google.com/spreadsheets/d/1BuTWp7qHGjWhqrnf-OmePP568O4A5Am9ttzvVdP67zw/edit#gid=1603210130"", ""TOURISM!$A$2:$F$2692""), {2,3,4,5,6},0))"),"Europe")</f>
        <v>Europe</v>
      </c>
      <c r="L1165" s="14"/>
      <c r="M1165" s="14" t="str">
        <f>IFERROR(__xludf.DUMMYFUNCTION("""COMPUTED_VALUE"""),"Isle of Man-Europe")</f>
        <v>Isle of Man-Europe</v>
      </c>
      <c r="N1165" s="14" t="str">
        <f>IFERROR(__xludf.DUMMYFUNCTION("""COMPUTED_VALUE"""),"2006")</f>
        <v>2006</v>
      </c>
      <c r="O1165" s="14"/>
      <c r="P1165" s="15" t="str">
        <f>IFERROR(__xludf.DUMMYFUNCTION("ARRAYFORMULA(VLOOKUP(A1165,IMPORTRANGE(""https://docs.google.com/spreadsheets/d/1BuTWp7qHGjWhqrnf-OmePP568O4A5Am9ttzvVdP67zw/edit#gid=771602874"" ,""HUMAN RESOURCES!$A$2:$M$2692""), {2,3,4,5,6,7,8,9,10,11,12,13},0))"),"")</f>
        <v/>
      </c>
      <c r="Q1165" s="14"/>
      <c r="R1165" s="14"/>
      <c r="S1165" s="14"/>
      <c r="T1165" s="14"/>
      <c r="U1165" s="14"/>
      <c r="V1165" s="14"/>
      <c r="W1165" s="14">
        <f>IFERROR(__xludf.DUMMYFUNCTION("""COMPUTED_VALUE"""),81068.0)</f>
        <v>81068</v>
      </c>
      <c r="X1165" s="14">
        <f>IFERROR(__xludf.DUMMYFUNCTION("""COMPUTED_VALUE"""),0.519)</f>
        <v>0.519</v>
      </c>
      <c r="Y1165" s="14" t="str">
        <f>IFERROR(__xludf.DUMMYFUNCTION("""COMPUTED_VALUE"""),"Isle of Man-Europe")</f>
        <v>Isle of Man-Europe</v>
      </c>
      <c r="Z1165" s="14" t="str">
        <f>IFERROR(__xludf.DUMMYFUNCTION("""COMPUTED_VALUE"""),"Europe")</f>
        <v>Europe</v>
      </c>
      <c r="AA1165" s="14" t="str">
        <f>IFERROR(__xludf.DUMMYFUNCTION("""COMPUTED_VALUE"""),"2006")</f>
        <v>2006</v>
      </c>
      <c r="AB1165" s="15" t="str">
        <f>IFERROR(__xludf.DUMMYFUNCTION("ARRAYFORMULA(VLOOKUP(A1165,IMPORTRANGE(""https://docs.google.com/spreadsheets/d/1BuTWp7qHGjWhqrnf-OmePP568O4A5Am9ttzvVdP67zw/edit#gid=1931367683"" ,""ENERGY!$A$2:$F$2692""), {2,3,4,5,6},0))"),"Europe")</f>
        <v>Europe</v>
      </c>
      <c r="AC1165" s="14" t="str">
        <f>IFERROR(__xludf.DUMMYFUNCTION("""COMPUTED_VALUE"""),"Isle of Man-Europe")</f>
        <v>Isle of Man-Europe</v>
      </c>
      <c r="AD1165" s="14" t="str">
        <f>IFERROR(__xludf.DUMMYFUNCTION("""COMPUTED_VALUE"""),"2011")</f>
        <v>2011</v>
      </c>
      <c r="AE1165" s="14"/>
      <c r="AF1165" s="14"/>
    </row>
    <row r="1166">
      <c r="A1166" s="12">
        <v>1165.0</v>
      </c>
      <c r="B1166" s="12" t="s">
        <v>168</v>
      </c>
      <c r="C1166" s="5" t="s">
        <v>75</v>
      </c>
      <c r="D1166" s="8"/>
      <c r="E1166" s="8"/>
      <c r="F1166" s="8"/>
      <c r="G1166" s="8"/>
      <c r="H1166" s="8"/>
      <c r="I1166" s="8"/>
      <c r="J1166" s="9" t="s">
        <v>68</v>
      </c>
      <c r="K1166" s="14" t="str">
        <f>IFERROR(__xludf.DUMMYFUNCTION("ARRAYFORMULA(VLOOKUP(A1166,IMPORTRANGE(""https://docs.google.com/spreadsheets/d/1BuTWp7qHGjWhqrnf-OmePP568O4A5Am9ttzvVdP67zw/edit#gid=1603210130"", ""TOURISM!$A$2:$F$2692""), {2,3,4,5,6},0))"),"Europe")</f>
        <v>Europe</v>
      </c>
      <c r="L1166" s="14"/>
      <c r="M1166" s="14" t="str">
        <f>IFERROR(__xludf.DUMMYFUNCTION("""COMPUTED_VALUE"""),"Isle of Man-Europe")</f>
        <v>Isle of Man-Europe</v>
      </c>
      <c r="N1166" s="14" t="str">
        <f>IFERROR(__xludf.DUMMYFUNCTION("""COMPUTED_VALUE"""),"2007")</f>
        <v>2007</v>
      </c>
      <c r="O1166" s="14"/>
      <c r="P1166" s="15">
        <f>IFERROR(__xludf.DUMMYFUNCTION("ARRAYFORMULA(VLOOKUP(A1166,IMPORTRANGE(""https://docs.google.com/spreadsheets/d/1BuTWp7qHGjWhqrnf-OmePP568O4A5Am9ttzvVdP67zw/edit#gid=771602874"" ,""HUMAN RESOURCES!$A$2:$M$2692""), {2,3,4,5,6,7,8,9,10,11,12,13},0))"),0.011)</f>
        <v>0.011</v>
      </c>
      <c r="Q1166" s="14"/>
      <c r="R1166" s="14"/>
      <c r="S1166" s="14"/>
      <c r="T1166" s="14"/>
      <c r="U1166" s="14"/>
      <c r="V1166" s="14"/>
      <c r="W1166" s="14">
        <f>IFERROR(__xludf.DUMMYFUNCTION("""COMPUTED_VALUE"""),81812.0)</f>
        <v>81812</v>
      </c>
      <c r="X1166" s="14">
        <f>IFERROR(__xludf.DUMMYFUNCTION("""COMPUTED_VALUE"""),0.519)</f>
        <v>0.519</v>
      </c>
      <c r="Y1166" s="14" t="str">
        <f>IFERROR(__xludf.DUMMYFUNCTION("""COMPUTED_VALUE"""),"Isle of Man-Europe")</f>
        <v>Isle of Man-Europe</v>
      </c>
      <c r="Z1166" s="14" t="str">
        <f>IFERROR(__xludf.DUMMYFUNCTION("""COMPUTED_VALUE"""),"Europe")</f>
        <v>Europe</v>
      </c>
      <c r="AA1166" s="14" t="str">
        <f>IFERROR(__xludf.DUMMYFUNCTION("""COMPUTED_VALUE"""),"2007")</f>
        <v>2007</v>
      </c>
      <c r="AB1166" s="15" t="str">
        <f>IFERROR(__xludf.DUMMYFUNCTION("ARRAYFORMULA(VLOOKUP(A1166,IMPORTRANGE(""https://docs.google.com/spreadsheets/d/1BuTWp7qHGjWhqrnf-OmePP568O4A5Am9ttzvVdP67zw/edit#gid=1931367683"" ,""ENERGY!$A$2:$F$2692""), {2,3,4,5,6},0))"),"Europe")</f>
        <v>Europe</v>
      </c>
      <c r="AC1166" s="14" t="str">
        <f>IFERROR(__xludf.DUMMYFUNCTION("""COMPUTED_VALUE"""),"Isle of Man-Europe")</f>
        <v>Isle of Man-Europe</v>
      </c>
      <c r="AD1166" s="14" t="str">
        <f>IFERROR(__xludf.DUMMYFUNCTION("""COMPUTED_VALUE"""),"2008")</f>
        <v>2008</v>
      </c>
      <c r="AE1166" s="14"/>
      <c r="AF1166" s="14"/>
    </row>
    <row r="1167">
      <c r="A1167" s="12">
        <v>1166.0</v>
      </c>
      <c r="B1167" s="12" t="s">
        <v>168</v>
      </c>
      <c r="C1167" s="5" t="s">
        <v>75</v>
      </c>
      <c r="D1167" s="8"/>
      <c r="E1167" s="8"/>
      <c r="F1167" s="8"/>
      <c r="G1167" s="8"/>
      <c r="H1167" s="8"/>
      <c r="I1167" s="8"/>
      <c r="J1167" s="9" t="s">
        <v>69</v>
      </c>
      <c r="K1167" s="14" t="str">
        <f>IFERROR(__xludf.DUMMYFUNCTION("ARRAYFORMULA(VLOOKUP(A1167,IMPORTRANGE(""https://docs.google.com/spreadsheets/d/1BuTWp7qHGjWhqrnf-OmePP568O4A5Am9ttzvVdP67zw/edit#gid=1603210130"", ""TOURISM!$A$2:$F$2692""), {2,3,4,5,6},0))"),"Europe")</f>
        <v>Europe</v>
      </c>
      <c r="L1167" s="14"/>
      <c r="M1167" s="14" t="str">
        <f>IFERROR(__xludf.DUMMYFUNCTION("""COMPUTED_VALUE"""),"Isle of Man-Europe")</f>
        <v>Isle of Man-Europe</v>
      </c>
      <c r="N1167" s="14" t="str">
        <f>IFERROR(__xludf.DUMMYFUNCTION("""COMPUTED_VALUE"""),"2008")</f>
        <v>2008</v>
      </c>
      <c r="O1167" s="14"/>
      <c r="P1167" s="15" t="str">
        <f>IFERROR(__xludf.DUMMYFUNCTION("ARRAYFORMULA(VLOOKUP(A1167,IMPORTRANGE(""https://docs.google.com/spreadsheets/d/1BuTWp7qHGjWhqrnf-OmePP568O4A5Am9ttzvVdP67zw/edit#gid=771602874"" ,""HUMAN RESOURCES!$A$2:$M$2692""), {2,3,4,5,6,7,8,9,10,11,12,13},0))"),"")</f>
        <v/>
      </c>
      <c r="Q1167" s="14"/>
      <c r="R1167" s="14"/>
      <c r="S1167" s="14"/>
      <c r="T1167" s="14"/>
      <c r="U1167" s="14"/>
      <c r="V1167" s="14"/>
      <c r="W1167" s="14">
        <f>IFERROR(__xludf.DUMMYFUNCTION("""COMPUTED_VALUE"""),82561.0)</f>
        <v>82561</v>
      </c>
      <c r="X1167" s="14">
        <f>IFERROR(__xludf.DUMMYFUNCTION("""COMPUTED_VALUE"""),0.52)</f>
        <v>0.52</v>
      </c>
      <c r="Y1167" s="14" t="str">
        <f>IFERROR(__xludf.DUMMYFUNCTION("""COMPUTED_VALUE"""),"Isle of Man-Europe")</f>
        <v>Isle of Man-Europe</v>
      </c>
      <c r="Z1167" s="14" t="str">
        <f>IFERROR(__xludf.DUMMYFUNCTION("""COMPUTED_VALUE"""),"Europe")</f>
        <v>Europe</v>
      </c>
      <c r="AA1167" s="14" t="str">
        <f>IFERROR(__xludf.DUMMYFUNCTION("""COMPUTED_VALUE"""),"2008")</f>
        <v>2008</v>
      </c>
      <c r="AB1167" s="15" t="str">
        <f>IFERROR(__xludf.DUMMYFUNCTION("ARRAYFORMULA(VLOOKUP(A1167,IMPORTRANGE(""https://docs.google.com/spreadsheets/d/1BuTWp7qHGjWhqrnf-OmePP568O4A5Am9ttzvVdP67zw/edit#gid=1931367683"" ,""ENERGY!$A$2:$F$2692""), {2,3,4,5,6},0))"),"Europe")</f>
        <v>Europe</v>
      </c>
      <c r="AC1167" s="14" t="str">
        <f>IFERROR(__xludf.DUMMYFUNCTION("""COMPUTED_VALUE"""),"Isle of Man-Europe")</f>
        <v>Isle of Man-Europe</v>
      </c>
      <c r="AD1167" s="14" t="str">
        <f>IFERROR(__xludf.DUMMYFUNCTION("""COMPUTED_VALUE"""),"2006")</f>
        <v>2006</v>
      </c>
      <c r="AE1167" s="14"/>
      <c r="AF1167" s="14"/>
    </row>
    <row r="1168">
      <c r="A1168" s="12">
        <v>1167.0</v>
      </c>
      <c r="B1168" s="12" t="s">
        <v>168</v>
      </c>
      <c r="C1168" s="5" t="s">
        <v>75</v>
      </c>
      <c r="D1168" s="8"/>
      <c r="E1168" s="8"/>
      <c r="F1168" s="8"/>
      <c r="G1168" s="8"/>
      <c r="H1168" s="8"/>
      <c r="I1168" s="8"/>
      <c r="J1168" s="9" t="s">
        <v>70</v>
      </c>
      <c r="K1168" s="14" t="str">
        <f>IFERROR(__xludf.DUMMYFUNCTION("ARRAYFORMULA(VLOOKUP(A1168,IMPORTRANGE(""https://docs.google.com/spreadsheets/d/1BuTWp7qHGjWhqrnf-OmePP568O4A5Am9ttzvVdP67zw/edit#gid=1603210130"", ""TOURISM!$A$2:$F$2692""), {2,3,4,5,6},0))"),"Europe")</f>
        <v>Europe</v>
      </c>
      <c r="L1168" s="14"/>
      <c r="M1168" s="14" t="str">
        <f>IFERROR(__xludf.DUMMYFUNCTION("""COMPUTED_VALUE"""),"Isle of Man-Europe")</f>
        <v>Isle of Man-Europe</v>
      </c>
      <c r="N1168" s="14" t="str">
        <f>IFERROR(__xludf.DUMMYFUNCTION("""COMPUTED_VALUE"""),"2009")</f>
        <v>2009</v>
      </c>
      <c r="O1168" s="14"/>
      <c r="P1168" s="15" t="str">
        <f>IFERROR(__xludf.DUMMYFUNCTION("ARRAYFORMULA(VLOOKUP(A1168,IMPORTRANGE(""https://docs.google.com/spreadsheets/d/1BuTWp7qHGjWhqrnf-OmePP568O4A5Am9ttzvVdP67zw/edit#gid=771602874"" ,""HUMAN RESOURCES!$A$2:$M$2692""), {2,3,4,5,6,7,8,9,10,11,12,13},0))"),"")</f>
        <v/>
      </c>
      <c r="Q1168" s="14"/>
      <c r="R1168" s="14"/>
      <c r="S1168" s="14"/>
      <c r="T1168" s="14"/>
      <c r="U1168" s="14"/>
      <c r="V1168" s="14"/>
      <c r="W1168" s="14">
        <f>IFERROR(__xludf.DUMMYFUNCTION("""COMPUTED_VALUE"""),83293.0)</f>
        <v>83293</v>
      </c>
      <c r="X1168" s="14">
        <f>IFERROR(__xludf.DUMMYFUNCTION("""COMPUTED_VALUE"""),0.52)</f>
        <v>0.52</v>
      </c>
      <c r="Y1168" s="14" t="str">
        <f>IFERROR(__xludf.DUMMYFUNCTION("""COMPUTED_VALUE"""),"Isle of Man-Europe")</f>
        <v>Isle of Man-Europe</v>
      </c>
      <c r="Z1168" s="14" t="str">
        <f>IFERROR(__xludf.DUMMYFUNCTION("""COMPUTED_VALUE"""),"Europe")</f>
        <v>Europe</v>
      </c>
      <c r="AA1168" s="14" t="str">
        <f>IFERROR(__xludf.DUMMYFUNCTION("""COMPUTED_VALUE"""),"2009")</f>
        <v>2009</v>
      </c>
      <c r="AB1168" s="15" t="str">
        <f>IFERROR(__xludf.DUMMYFUNCTION("ARRAYFORMULA(VLOOKUP(A1168,IMPORTRANGE(""https://docs.google.com/spreadsheets/d/1BuTWp7qHGjWhqrnf-OmePP568O4A5Am9ttzvVdP67zw/edit#gid=1931367683"" ,""ENERGY!$A$2:$F$2692""), {2,3,4,5,6},0))"),"Europe")</f>
        <v>Europe</v>
      </c>
      <c r="AC1168" s="14" t="str">
        <f>IFERROR(__xludf.DUMMYFUNCTION("""COMPUTED_VALUE"""),"Isle of Man-Europe")</f>
        <v>Isle of Man-Europe</v>
      </c>
      <c r="AD1168" s="14" t="str">
        <f>IFERROR(__xludf.DUMMYFUNCTION("""COMPUTED_VALUE"""),"2010")</f>
        <v>2010</v>
      </c>
      <c r="AE1168" s="14"/>
      <c r="AF1168" s="14"/>
    </row>
    <row r="1169">
      <c r="A1169" s="12">
        <v>1168.0</v>
      </c>
      <c r="B1169" s="12" t="s">
        <v>168</v>
      </c>
      <c r="C1169" s="5" t="s">
        <v>75</v>
      </c>
      <c r="D1169" s="8"/>
      <c r="E1169" s="8"/>
      <c r="F1169" s="8"/>
      <c r="G1169" s="8"/>
      <c r="H1169" s="8"/>
      <c r="I1169" s="8"/>
      <c r="J1169" s="9" t="s">
        <v>71</v>
      </c>
      <c r="K1169" s="14" t="str">
        <f>IFERROR(__xludf.DUMMYFUNCTION("ARRAYFORMULA(VLOOKUP(A1169,IMPORTRANGE(""https://docs.google.com/spreadsheets/d/1BuTWp7qHGjWhqrnf-OmePP568O4A5Am9ttzvVdP67zw/edit#gid=1603210130"", ""TOURISM!$A$2:$F$2692""), {2,3,4,5,6},0))"),"Europe")</f>
        <v>Europe</v>
      </c>
      <c r="L1169" s="14"/>
      <c r="M1169" s="14" t="str">
        <f>IFERROR(__xludf.DUMMYFUNCTION("""COMPUTED_VALUE"""),"Isle of Man-Europe")</f>
        <v>Isle of Man-Europe</v>
      </c>
      <c r="N1169" s="14" t="str">
        <f>IFERROR(__xludf.DUMMYFUNCTION("""COMPUTED_VALUE"""),"2010")</f>
        <v>2010</v>
      </c>
      <c r="O1169" s="14"/>
      <c r="P1169" s="15" t="str">
        <f>IFERROR(__xludf.DUMMYFUNCTION("ARRAYFORMULA(VLOOKUP(A1169,IMPORTRANGE(""https://docs.google.com/spreadsheets/d/1BuTWp7qHGjWhqrnf-OmePP568O4A5Am9ttzvVdP67zw/edit#gid=771602874"" ,""HUMAN RESOURCES!$A$2:$M$2692""), {2,3,4,5,6,7,8,9,10,11,12,13},0))"),"")</f>
        <v/>
      </c>
      <c r="Q1169" s="14"/>
      <c r="R1169" s="14"/>
      <c r="S1169" s="14"/>
      <c r="T1169" s="14"/>
      <c r="U1169" s="14"/>
      <c r="V1169" s="14"/>
      <c r="W1169" s="14">
        <f>IFERROR(__xludf.DUMMYFUNCTION("""COMPUTED_VALUE"""),83992.0)</f>
        <v>83992</v>
      </c>
      <c r="X1169" s="14">
        <f>IFERROR(__xludf.DUMMYFUNCTION("""COMPUTED_VALUE"""),0.52)</f>
        <v>0.52</v>
      </c>
      <c r="Y1169" s="14" t="str">
        <f>IFERROR(__xludf.DUMMYFUNCTION("""COMPUTED_VALUE"""),"Isle of Man-Europe")</f>
        <v>Isle of Man-Europe</v>
      </c>
      <c r="Z1169" s="14" t="str">
        <f>IFERROR(__xludf.DUMMYFUNCTION("""COMPUTED_VALUE"""),"Europe")</f>
        <v>Europe</v>
      </c>
      <c r="AA1169" s="14" t="str">
        <f>IFERROR(__xludf.DUMMYFUNCTION("""COMPUTED_VALUE"""),"2010")</f>
        <v>2010</v>
      </c>
      <c r="AB1169" s="15" t="str">
        <f>IFERROR(__xludf.DUMMYFUNCTION("ARRAYFORMULA(VLOOKUP(A1169,IMPORTRANGE(""https://docs.google.com/spreadsheets/d/1BuTWp7qHGjWhqrnf-OmePP568O4A5Am9ttzvVdP67zw/edit#gid=1931367683"" ,""ENERGY!$A$2:$F$2692""), {2,3,4,5,6},0))"),"Europe")</f>
        <v>Europe</v>
      </c>
      <c r="AC1169" s="14" t="str">
        <f>IFERROR(__xludf.DUMMYFUNCTION("""COMPUTED_VALUE"""),"Isle of Man-Europe")</f>
        <v>Isle of Man-Europe</v>
      </c>
      <c r="AD1169" s="14" t="str">
        <f>IFERROR(__xludf.DUMMYFUNCTION("""COMPUTED_VALUE"""),"2011")</f>
        <v>2011</v>
      </c>
      <c r="AE1169" s="14"/>
      <c r="AF1169" s="14"/>
    </row>
    <row r="1170">
      <c r="A1170" s="12">
        <v>1169.0</v>
      </c>
      <c r="B1170" s="12" t="s">
        <v>168</v>
      </c>
      <c r="C1170" s="5" t="s">
        <v>75</v>
      </c>
      <c r="D1170" s="8"/>
      <c r="E1170" s="8"/>
      <c r="F1170" s="8"/>
      <c r="G1170" s="8"/>
      <c r="H1170" s="8"/>
      <c r="I1170" s="8"/>
      <c r="J1170" s="9" t="s">
        <v>72</v>
      </c>
      <c r="K1170" s="14" t="str">
        <f>IFERROR(__xludf.DUMMYFUNCTION("ARRAYFORMULA(VLOOKUP(A1170,IMPORTRANGE(""https://docs.google.com/spreadsheets/d/1BuTWp7qHGjWhqrnf-OmePP568O4A5Am9ttzvVdP67zw/edit#gid=1603210130"", ""TOURISM!$A$2:$F$2692""), {2,3,4,5,6},0))"),"Europe")</f>
        <v>Europe</v>
      </c>
      <c r="L1170" s="14"/>
      <c r="M1170" s="14" t="str">
        <f>IFERROR(__xludf.DUMMYFUNCTION("""COMPUTED_VALUE"""),"Isle of Man-Europe")</f>
        <v>Isle of Man-Europe</v>
      </c>
      <c r="N1170" s="14" t="str">
        <f>IFERROR(__xludf.DUMMYFUNCTION("""COMPUTED_VALUE"""),"2011")</f>
        <v>2011</v>
      </c>
      <c r="O1170" s="14"/>
      <c r="P1170" s="15" t="str">
        <f>IFERROR(__xludf.DUMMYFUNCTION("ARRAYFORMULA(VLOOKUP(A1170,IMPORTRANGE(""https://docs.google.com/spreadsheets/d/1BuTWp7qHGjWhqrnf-OmePP568O4A5Am9ttzvVdP67zw/edit#gid=771602874"" ,""HUMAN RESOURCES!$A$2:$M$2692""), {2,3,4,5,6,7,8,9,10,11,12,13},0))"),"")</f>
        <v/>
      </c>
      <c r="Q1170" s="14"/>
      <c r="R1170" s="14"/>
      <c r="S1170" s="14"/>
      <c r="T1170" s="14"/>
      <c r="U1170" s="14"/>
      <c r="V1170" s="14"/>
      <c r="W1170" s="14">
        <f>IFERROR(__xludf.DUMMYFUNCTION("""COMPUTED_VALUE"""),84654.0)</f>
        <v>84654</v>
      </c>
      <c r="X1170" s="14">
        <f>IFERROR(__xludf.DUMMYFUNCTION("""COMPUTED_VALUE"""),0.52)</f>
        <v>0.52</v>
      </c>
      <c r="Y1170" s="14" t="str">
        <f>IFERROR(__xludf.DUMMYFUNCTION("""COMPUTED_VALUE"""),"Isle of Man-Europe")</f>
        <v>Isle of Man-Europe</v>
      </c>
      <c r="Z1170" s="14" t="str">
        <f>IFERROR(__xludf.DUMMYFUNCTION("""COMPUTED_VALUE"""),"Europe")</f>
        <v>Europe</v>
      </c>
      <c r="AA1170" s="14" t="str">
        <f>IFERROR(__xludf.DUMMYFUNCTION("""COMPUTED_VALUE"""),"2011")</f>
        <v>2011</v>
      </c>
      <c r="AB1170" s="15" t="str">
        <f>IFERROR(__xludf.DUMMYFUNCTION("ARRAYFORMULA(VLOOKUP(A1170,IMPORTRANGE(""https://docs.google.com/spreadsheets/d/1BuTWp7qHGjWhqrnf-OmePP568O4A5Am9ttzvVdP67zw/edit#gid=1931367683"" ,""ENERGY!$A$2:$F$2692""), {2,3,4,5,6},0))"),"Europe")</f>
        <v>Europe</v>
      </c>
      <c r="AC1170" s="14" t="str">
        <f>IFERROR(__xludf.DUMMYFUNCTION("""COMPUTED_VALUE"""),"Isle of Man-Europe")</f>
        <v>Isle of Man-Europe</v>
      </c>
      <c r="AD1170" s="14" t="str">
        <f>IFERROR(__xludf.DUMMYFUNCTION("""COMPUTED_VALUE"""),"2005")</f>
        <v>2005</v>
      </c>
      <c r="AE1170" s="14"/>
      <c r="AF1170" s="14"/>
    </row>
    <row r="1171">
      <c r="A1171" s="12">
        <v>1170.0</v>
      </c>
      <c r="B1171" s="12" t="s">
        <v>168</v>
      </c>
      <c r="C1171" s="5" t="s">
        <v>75</v>
      </c>
      <c r="D1171" s="8"/>
      <c r="E1171" s="8"/>
      <c r="F1171" s="8"/>
      <c r="G1171" s="8"/>
      <c r="H1171" s="8"/>
      <c r="I1171" s="8"/>
      <c r="J1171" s="9" t="s">
        <v>73</v>
      </c>
      <c r="K1171" s="14" t="str">
        <f>IFERROR(__xludf.DUMMYFUNCTION("ARRAYFORMULA(VLOOKUP(A1171,IMPORTRANGE(""https://docs.google.com/spreadsheets/d/1BuTWp7qHGjWhqrnf-OmePP568O4A5Am9ttzvVdP67zw/edit#gid=1603210130"", ""TOURISM!$A$2:$F$2692""), {2,3,4,5,6},0))"),"Europe")</f>
        <v>Europe</v>
      </c>
      <c r="L1171" s="14"/>
      <c r="M1171" s="14" t="str">
        <f>IFERROR(__xludf.DUMMYFUNCTION("""COMPUTED_VALUE"""),"Isle of Man-Europe")</f>
        <v>Isle of Man-Europe</v>
      </c>
      <c r="N1171" s="14" t="str">
        <f>IFERROR(__xludf.DUMMYFUNCTION("""COMPUTED_VALUE"""),"2012")</f>
        <v>2012</v>
      </c>
      <c r="O1171" s="14"/>
      <c r="P1171" s="15" t="str">
        <f>IFERROR(__xludf.DUMMYFUNCTION("ARRAYFORMULA(VLOOKUP(A1171,IMPORTRANGE(""https://docs.google.com/spreadsheets/d/1BuTWp7qHGjWhqrnf-OmePP568O4A5Am9ttzvVdP67zw/edit#gid=771602874"" ,""HUMAN RESOURCES!$A$2:$M$2692""), {2,3,4,5,6,7,8,9,10,11,12,13},0))"),"")</f>
        <v/>
      </c>
      <c r="Q1171" s="14"/>
      <c r="R1171" s="14"/>
      <c r="S1171" s="14"/>
      <c r="T1171" s="14"/>
      <c r="U1171" s="14"/>
      <c r="V1171" s="14"/>
      <c r="W1171" s="14">
        <f>IFERROR(__xludf.DUMMYFUNCTION("""COMPUTED_VALUE"""),85284.0)</f>
        <v>85284</v>
      </c>
      <c r="X1171" s="14">
        <f>IFERROR(__xludf.DUMMYFUNCTION("""COMPUTED_VALUE"""),0.52)</f>
        <v>0.52</v>
      </c>
      <c r="Y1171" s="14" t="str">
        <f>IFERROR(__xludf.DUMMYFUNCTION("""COMPUTED_VALUE"""),"Isle of Man-Europe")</f>
        <v>Isle of Man-Europe</v>
      </c>
      <c r="Z1171" s="14" t="str">
        <f>IFERROR(__xludf.DUMMYFUNCTION("""COMPUTED_VALUE"""),"Europe")</f>
        <v>Europe</v>
      </c>
      <c r="AA1171" s="14" t="str">
        <f>IFERROR(__xludf.DUMMYFUNCTION("""COMPUTED_VALUE"""),"2012")</f>
        <v>2012</v>
      </c>
      <c r="AB1171" s="15" t="str">
        <f>IFERROR(__xludf.DUMMYFUNCTION("ARRAYFORMULA(VLOOKUP(A1171,IMPORTRANGE(""https://docs.google.com/spreadsheets/d/1BuTWp7qHGjWhqrnf-OmePP568O4A5Am9ttzvVdP67zw/edit#gid=1931367683"" ,""ENERGY!$A$2:$F$2692""), {2,3,4,5,6},0))"),"Europe")</f>
        <v>Europe</v>
      </c>
      <c r="AC1171" s="14" t="str">
        <f>IFERROR(__xludf.DUMMYFUNCTION("""COMPUTED_VALUE"""),"Isle of Man-Europe")</f>
        <v>Isle of Man-Europe</v>
      </c>
      <c r="AD1171" s="14" t="str">
        <f>IFERROR(__xludf.DUMMYFUNCTION("""COMPUTED_VALUE"""),"2010")</f>
        <v>2010</v>
      </c>
      <c r="AE1171" s="14"/>
      <c r="AF1171" s="14"/>
    </row>
    <row r="1172">
      <c r="A1172" s="12">
        <v>1171.0</v>
      </c>
      <c r="B1172" s="12" t="s">
        <v>169</v>
      </c>
      <c r="C1172" s="5" t="s">
        <v>93</v>
      </c>
      <c r="D1172" s="8"/>
      <c r="E1172" s="8"/>
      <c r="F1172" s="8"/>
      <c r="G1172" s="8"/>
      <c r="H1172" s="11">
        <v>0.209</v>
      </c>
      <c r="I1172" s="11">
        <v>0.732</v>
      </c>
      <c r="J1172" s="9" t="s">
        <v>60</v>
      </c>
      <c r="K1172" s="14" t="str">
        <f>IFERROR(__xludf.DUMMYFUNCTION("ARRAYFORMULA(VLOOKUP(A1172,IMPORTRANGE(""https://docs.google.com/spreadsheets/d/1BuTWp7qHGjWhqrnf-OmePP568O4A5Am9ttzvVdP67zw/edit#gid=1603210130"", ""TOURISM!$A$2:$F$2692""), {2,3,4,5,6},0))"),"Middle East")</f>
        <v>Middle East</v>
      </c>
      <c r="L1172" s="14">
        <f>IFERROR(__xludf.DUMMYFUNCTION("""COMPUTED_VALUE"""),4.611E9)</f>
        <v>4611000000</v>
      </c>
      <c r="M1172" s="14" t="str">
        <f>IFERROR(__xludf.DUMMYFUNCTION("""COMPUTED_VALUE"""),"Israel-Middle East")</f>
        <v>Israel-Middle East</v>
      </c>
      <c r="N1172" s="14" t="str">
        <f>IFERROR(__xludf.DUMMYFUNCTION("""COMPUTED_VALUE"""),"2000")</f>
        <v>2000</v>
      </c>
      <c r="O1172" s="14">
        <f>IFERROR(__xludf.DUMMYFUNCTION("""COMPUTED_VALUE"""),3.733E9)</f>
        <v>3733000000</v>
      </c>
      <c r="P1172" s="15">
        <f>IFERROR(__xludf.DUMMYFUNCTION("ARRAYFORMULA(VLOOKUP(A1172,IMPORTRANGE(""https://docs.google.com/spreadsheets/d/1BuTWp7qHGjWhqrnf-OmePP568O4A5Am9ttzvVdP67zw/edit#gid=771602874"" ,""HUMAN RESOURCES!$A$2:$M$2692""), {2,3,4,5,6,7,8,9,10,11,12,13},0))"),0.022)</f>
        <v>0.022</v>
      </c>
      <c r="Q1172" s="14">
        <f>IFERROR(__xludf.DUMMYFUNCTION("""COMPUTED_VALUE"""),0.006)</f>
        <v>0.006</v>
      </c>
      <c r="R1172" s="14">
        <f>IFERROR(__xludf.DUMMYFUNCTION("""COMPUTED_VALUE"""),81.0)</f>
        <v>81</v>
      </c>
      <c r="S1172" s="14">
        <f>IFERROR(__xludf.DUMMYFUNCTION("""COMPUTED_VALUE"""),77.0)</f>
        <v>77</v>
      </c>
      <c r="T1172" s="14">
        <f>IFERROR(__xludf.DUMMYFUNCTION("""COMPUTED_VALUE"""),0.281)</f>
        <v>0.281</v>
      </c>
      <c r="U1172" s="14">
        <f>IFERROR(__xludf.DUMMYFUNCTION("""COMPUTED_VALUE"""),0.619)</f>
        <v>0.619</v>
      </c>
      <c r="V1172" s="14">
        <f>IFERROR(__xludf.DUMMYFUNCTION("""COMPUTED_VALUE"""),0.1)</f>
        <v>0.1</v>
      </c>
      <c r="W1172" s="14">
        <f>IFERROR(__xludf.DUMMYFUNCTION("""COMPUTED_VALUE"""),6289000.0)</f>
        <v>6289000</v>
      </c>
      <c r="X1172" s="14">
        <f>IFERROR(__xludf.DUMMYFUNCTION("""COMPUTED_VALUE"""),0.912)</f>
        <v>0.912</v>
      </c>
      <c r="Y1172" s="14" t="str">
        <f>IFERROR(__xludf.DUMMYFUNCTION("""COMPUTED_VALUE"""),"Israel-Middle East")</f>
        <v>Israel-Middle East</v>
      </c>
      <c r="Z1172" s="14" t="str">
        <f>IFERROR(__xludf.DUMMYFUNCTION("""COMPUTED_VALUE"""),"Middle East")</f>
        <v>Middle East</v>
      </c>
      <c r="AA1172" s="14" t="str">
        <f>IFERROR(__xludf.DUMMYFUNCTION("""COMPUTED_VALUE"""),"2000")</f>
        <v>2000</v>
      </c>
      <c r="AB1172" s="15" t="str">
        <f>IFERROR(__xludf.DUMMYFUNCTION("ARRAYFORMULA(VLOOKUP(A1172,IMPORTRANGE(""https://docs.google.com/spreadsheets/d/1BuTWp7qHGjWhqrnf-OmePP568O4A5Am9ttzvVdP67zw/edit#gid=1931367683"" ,""ENERGY!$A$2:$F$2692""), {2,3,4,5,6},0))"),"Middle East")</f>
        <v>Middle East</v>
      </c>
      <c r="AC1172" s="14" t="str">
        <f>IFERROR(__xludf.DUMMYFUNCTION("""COMPUTED_VALUE"""),"Israel-Middle East")</f>
        <v>Israel-Middle East</v>
      </c>
      <c r="AD1172" s="14" t="str">
        <f>IFERROR(__xludf.DUMMYFUNCTION("""COMPUTED_VALUE"""),"2000")</f>
        <v>2000</v>
      </c>
      <c r="AE1172" s="14">
        <f>IFERROR(__xludf.DUMMYFUNCTION("""COMPUTED_VALUE"""),24079.0)</f>
        <v>24079</v>
      </c>
      <c r="AF1172" s="14"/>
    </row>
    <row r="1173">
      <c r="A1173" s="12">
        <v>1172.0</v>
      </c>
      <c r="B1173" s="12" t="s">
        <v>169</v>
      </c>
      <c r="C1173" s="5" t="s">
        <v>93</v>
      </c>
      <c r="D1173" s="8"/>
      <c r="E1173" s="8"/>
      <c r="F1173" s="8"/>
      <c r="G1173" s="8"/>
      <c r="H1173" s="11">
        <v>0.174</v>
      </c>
      <c r="I1173" s="11">
        <v>0.897</v>
      </c>
      <c r="J1173" s="9" t="s">
        <v>62</v>
      </c>
      <c r="K1173" s="14" t="str">
        <f>IFERROR(__xludf.DUMMYFUNCTION("ARRAYFORMULA(VLOOKUP(A1173,IMPORTRANGE(""https://docs.google.com/spreadsheets/d/1BuTWp7qHGjWhqrnf-OmePP568O4A5Am9ttzvVdP67zw/edit#gid=1603210130"", ""TOURISM!$A$2:$F$2692""), {2,3,4,5,6},0))"),"Middle East")</f>
        <v>Middle East</v>
      </c>
      <c r="L1173" s="14">
        <f>IFERROR(__xludf.DUMMYFUNCTION("""COMPUTED_VALUE"""),2.854E9)</f>
        <v>2854000000</v>
      </c>
      <c r="M1173" s="14" t="str">
        <f>IFERROR(__xludf.DUMMYFUNCTION("""COMPUTED_VALUE"""),"Israel-Middle East")</f>
        <v>Israel-Middle East</v>
      </c>
      <c r="N1173" s="14" t="str">
        <f>IFERROR(__xludf.DUMMYFUNCTION("""COMPUTED_VALUE"""),"2001")</f>
        <v>2001</v>
      </c>
      <c r="O1173" s="14">
        <f>IFERROR(__xludf.DUMMYFUNCTION("""COMPUTED_VALUE"""),3.887E9)</f>
        <v>3887000000</v>
      </c>
      <c r="P1173" s="15">
        <f>IFERROR(__xludf.DUMMYFUNCTION("ARRAYFORMULA(VLOOKUP(A1173,IMPORTRANGE(""https://docs.google.com/spreadsheets/d/1BuTWp7qHGjWhqrnf-OmePP568O4A5Am9ttzvVdP67zw/edit#gid=771602874"" ,""HUMAN RESOURCES!$A$2:$M$2692""), {2,3,4,5,6,7,8,9,10,11,12,13},0))"),0.021)</f>
        <v>0.021</v>
      </c>
      <c r="Q1173" s="14">
        <f>IFERROR(__xludf.DUMMYFUNCTION("""COMPUTED_VALUE"""),0.005)</f>
        <v>0.005</v>
      </c>
      <c r="R1173" s="14">
        <f>IFERROR(__xludf.DUMMYFUNCTION("""COMPUTED_VALUE"""),81.0)</f>
        <v>81</v>
      </c>
      <c r="S1173" s="14">
        <f>IFERROR(__xludf.DUMMYFUNCTION("""COMPUTED_VALUE"""),78.0)</f>
        <v>78</v>
      </c>
      <c r="T1173" s="14">
        <f>IFERROR(__xludf.DUMMYFUNCTION("""COMPUTED_VALUE"""),0.28)</f>
        <v>0.28</v>
      </c>
      <c r="U1173" s="14">
        <f>IFERROR(__xludf.DUMMYFUNCTION("""COMPUTED_VALUE"""),0.619)</f>
        <v>0.619</v>
      </c>
      <c r="V1173" s="14">
        <f>IFERROR(__xludf.DUMMYFUNCTION("""COMPUTED_VALUE"""),0.1)</f>
        <v>0.1</v>
      </c>
      <c r="W1173" s="14">
        <f>IFERROR(__xludf.DUMMYFUNCTION("""COMPUTED_VALUE"""),6439000.0)</f>
        <v>6439000</v>
      </c>
      <c r="X1173" s="14">
        <f>IFERROR(__xludf.DUMMYFUNCTION("""COMPUTED_VALUE"""),0.913)</f>
        <v>0.913</v>
      </c>
      <c r="Y1173" s="14" t="str">
        <f>IFERROR(__xludf.DUMMYFUNCTION("""COMPUTED_VALUE"""),"Israel-Middle East")</f>
        <v>Israel-Middle East</v>
      </c>
      <c r="Z1173" s="14" t="str">
        <f>IFERROR(__xludf.DUMMYFUNCTION("""COMPUTED_VALUE"""),"Middle East")</f>
        <v>Middle East</v>
      </c>
      <c r="AA1173" s="14" t="str">
        <f>IFERROR(__xludf.DUMMYFUNCTION("""COMPUTED_VALUE"""),"2001")</f>
        <v>2001</v>
      </c>
      <c r="AB1173" s="15" t="str">
        <f>IFERROR(__xludf.DUMMYFUNCTION("ARRAYFORMULA(VLOOKUP(A1173,IMPORTRANGE(""https://docs.google.com/spreadsheets/d/1BuTWp7qHGjWhqrnf-OmePP568O4A5Am9ttzvVdP67zw/edit#gid=1931367683"" ,""ENERGY!$A$2:$F$2692""), {2,3,4,5,6},0))"),"Middle East")</f>
        <v>Middle East</v>
      </c>
      <c r="AC1173" s="14" t="str">
        <f>IFERROR(__xludf.DUMMYFUNCTION("""COMPUTED_VALUE"""),"Israel-Middle East")</f>
        <v>Israel-Middle East</v>
      </c>
      <c r="AD1173" s="14" t="str">
        <f>IFERROR(__xludf.DUMMYFUNCTION("""COMPUTED_VALUE"""),"2001")</f>
        <v>2001</v>
      </c>
      <c r="AE1173" s="14">
        <f>IFERROR(__xludf.DUMMYFUNCTION("""COMPUTED_VALUE"""),23254.0)</f>
        <v>23254</v>
      </c>
      <c r="AF1173" s="14"/>
    </row>
    <row r="1174">
      <c r="A1174" s="12">
        <v>1173.0</v>
      </c>
      <c r="B1174" s="12" t="s">
        <v>169</v>
      </c>
      <c r="C1174" s="5" t="s">
        <v>93</v>
      </c>
      <c r="D1174" s="8"/>
      <c r="E1174" s="8"/>
      <c r="F1174" s="8"/>
      <c r="G1174" s="8"/>
      <c r="H1174" s="11">
        <v>0.178</v>
      </c>
      <c r="I1174" s="11">
        <v>1.01</v>
      </c>
      <c r="J1174" s="9" t="s">
        <v>63</v>
      </c>
      <c r="K1174" s="14" t="str">
        <f>IFERROR(__xludf.DUMMYFUNCTION("ARRAYFORMULA(VLOOKUP(A1174,IMPORTRANGE(""https://docs.google.com/spreadsheets/d/1BuTWp7qHGjWhqrnf-OmePP568O4A5Am9ttzvVdP67zw/edit#gid=1603210130"", ""TOURISM!$A$2:$F$2692""), {2,3,4,5,6},0))"),"Middle East")</f>
        <v>Middle East</v>
      </c>
      <c r="L1174" s="14">
        <f>IFERROR(__xludf.DUMMYFUNCTION("""COMPUTED_VALUE"""),2.426E9)</f>
        <v>2426000000</v>
      </c>
      <c r="M1174" s="14" t="str">
        <f>IFERROR(__xludf.DUMMYFUNCTION("""COMPUTED_VALUE"""),"Israel-Middle East")</f>
        <v>Israel-Middle East</v>
      </c>
      <c r="N1174" s="14" t="str">
        <f>IFERROR(__xludf.DUMMYFUNCTION("""COMPUTED_VALUE"""),"2002")</f>
        <v>2002</v>
      </c>
      <c r="O1174" s="14">
        <f>IFERROR(__xludf.DUMMYFUNCTION("""COMPUTED_VALUE"""),3.322E9)</f>
        <v>3322000000</v>
      </c>
      <c r="P1174" s="15">
        <f>IFERROR(__xludf.DUMMYFUNCTION("ARRAYFORMULA(VLOOKUP(A1174,IMPORTRANGE(""https://docs.google.com/spreadsheets/d/1BuTWp7qHGjWhqrnf-OmePP568O4A5Am9ttzvVdP67zw/edit#gid=771602874"" ,""HUMAN RESOURCES!$A$2:$M$2692""), {2,3,4,5,6,7,8,9,10,11,12,13},0))"),0.021)</f>
        <v>0.021</v>
      </c>
      <c r="Q1174" s="14">
        <f>IFERROR(__xludf.DUMMYFUNCTION("""COMPUTED_VALUE"""),0.005)</f>
        <v>0.005</v>
      </c>
      <c r="R1174" s="14">
        <f>IFERROR(__xludf.DUMMYFUNCTION("""COMPUTED_VALUE"""),82.0)</f>
        <v>82</v>
      </c>
      <c r="S1174" s="14">
        <f>IFERROR(__xludf.DUMMYFUNCTION("""COMPUTED_VALUE"""),78.0)</f>
        <v>78</v>
      </c>
      <c r="T1174" s="14">
        <f>IFERROR(__xludf.DUMMYFUNCTION("""COMPUTED_VALUE"""),0.28)</f>
        <v>0.28</v>
      </c>
      <c r="U1174" s="14">
        <f>IFERROR(__xludf.DUMMYFUNCTION("""COMPUTED_VALUE"""),0.62)</f>
        <v>0.62</v>
      </c>
      <c r="V1174" s="14">
        <f>IFERROR(__xludf.DUMMYFUNCTION("""COMPUTED_VALUE"""),0.1)</f>
        <v>0.1</v>
      </c>
      <c r="W1174" s="14">
        <f>IFERROR(__xludf.DUMMYFUNCTION("""COMPUTED_VALUE"""),6570000.0)</f>
        <v>6570000</v>
      </c>
      <c r="X1174" s="14">
        <f>IFERROR(__xludf.DUMMYFUNCTION("""COMPUTED_VALUE"""),0.913)</f>
        <v>0.913</v>
      </c>
      <c r="Y1174" s="14" t="str">
        <f>IFERROR(__xludf.DUMMYFUNCTION("""COMPUTED_VALUE"""),"Israel-Middle East")</f>
        <v>Israel-Middle East</v>
      </c>
      <c r="Z1174" s="14" t="str">
        <f>IFERROR(__xludf.DUMMYFUNCTION("""COMPUTED_VALUE"""),"Middle East")</f>
        <v>Middle East</v>
      </c>
      <c r="AA1174" s="14" t="str">
        <f>IFERROR(__xludf.DUMMYFUNCTION("""COMPUTED_VALUE"""),"2002")</f>
        <v>2002</v>
      </c>
      <c r="AB1174" s="15" t="str">
        <f>IFERROR(__xludf.DUMMYFUNCTION("ARRAYFORMULA(VLOOKUP(A1174,IMPORTRANGE(""https://docs.google.com/spreadsheets/d/1BuTWp7qHGjWhqrnf-OmePP568O4A5Am9ttzvVdP67zw/edit#gid=1931367683"" ,""ENERGY!$A$2:$F$2692""), {2,3,4,5,6},0))"),"Middle East")</f>
        <v>Middle East</v>
      </c>
      <c r="AC1174" s="14" t="str">
        <f>IFERROR(__xludf.DUMMYFUNCTION("""COMPUTED_VALUE"""),"Israel-Middle East")</f>
        <v>Israel-Middle East</v>
      </c>
      <c r="AD1174" s="14" t="str">
        <f>IFERROR(__xludf.DUMMYFUNCTION("""COMPUTED_VALUE"""),"2002")</f>
        <v>2002</v>
      </c>
      <c r="AE1174" s="14">
        <f>IFERROR(__xludf.DUMMYFUNCTION("""COMPUTED_VALUE"""),23195.0)</f>
        <v>23195</v>
      </c>
      <c r="AF1174" s="14">
        <f>IFERROR(__xludf.DUMMYFUNCTION("""COMPUTED_VALUE"""),70656.0)</f>
        <v>70656</v>
      </c>
    </row>
    <row r="1175">
      <c r="A1175" s="12">
        <v>1174.0</v>
      </c>
      <c r="B1175" s="12" t="s">
        <v>169</v>
      </c>
      <c r="C1175" s="5" t="s">
        <v>93</v>
      </c>
      <c r="D1175" s="8"/>
      <c r="E1175" s="11">
        <v>20.0</v>
      </c>
      <c r="F1175" s="8"/>
      <c r="G1175" s="8"/>
      <c r="H1175" s="11">
        <v>0.196</v>
      </c>
      <c r="I1175" s="11">
        <v>1.042</v>
      </c>
      <c r="J1175" s="9" t="s">
        <v>64</v>
      </c>
      <c r="K1175" s="14" t="str">
        <f>IFERROR(__xludf.DUMMYFUNCTION("ARRAYFORMULA(VLOOKUP(A1175,IMPORTRANGE(""https://docs.google.com/spreadsheets/d/1BuTWp7qHGjWhqrnf-OmePP568O4A5Am9ttzvVdP67zw/edit#gid=1603210130"", ""TOURISM!$A$2:$F$2692""), {2,3,4,5,6},0))"),"Middle East")</f>
        <v>Middle East</v>
      </c>
      <c r="L1175" s="14">
        <f>IFERROR(__xludf.DUMMYFUNCTION("""COMPUTED_VALUE"""),2.473E9)</f>
        <v>2473000000</v>
      </c>
      <c r="M1175" s="14" t="str">
        <f>IFERROR(__xludf.DUMMYFUNCTION("""COMPUTED_VALUE"""),"Israel-Middle East")</f>
        <v>Israel-Middle East</v>
      </c>
      <c r="N1175" s="14" t="str">
        <f>IFERROR(__xludf.DUMMYFUNCTION("""COMPUTED_VALUE"""),"2003")</f>
        <v>2003</v>
      </c>
      <c r="O1175" s="14">
        <f>IFERROR(__xludf.DUMMYFUNCTION("""COMPUTED_VALUE"""),3.341E9)</f>
        <v>3341000000</v>
      </c>
      <c r="P1175" s="15">
        <f>IFERROR(__xludf.DUMMYFUNCTION("ARRAYFORMULA(VLOOKUP(A1175,IMPORTRANGE(""https://docs.google.com/spreadsheets/d/1BuTWp7qHGjWhqrnf-OmePP568O4A5Am9ttzvVdP67zw/edit#gid=771602874"" ,""HUMAN RESOURCES!$A$2:$M$2692""), {2,3,4,5,6,7,8,9,10,11,12,13},0))"),0.022)</f>
        <v>0.022</v>
      </c>
      <c r="Q1175" s="14">
        <f>IFERROR(__xludf.DUMMYFUNCTION("""COMPUTED_VALUE"""),0.005)</f>
        <v>0.005</v>
      </c>
      <c r="R1175" s="14">
        <f>IFERROR(__xludf.DUMMYFUNCTION("""COMPUTED_VALUE"""),82.0)</f>
        <v>82</v>
      </c>
      <c r="S1175" s="14">
        <f>IFERROR(__xludf.DUMMYFUNCTION("""COMPUTED_VALUE"""),78.0)</f>
        <v>78</v>
      </c>
      <c r="T1175" s="14">
        <f>IFERROR(__xludf.DUMMYFUNCTION("""COMPUTED_VALUE"""),0.28)</f>
        <v>0.28</v>
      </c>
      <c r="U1175" s="14">
        <f>IFERROR(__xludf.DUMMYFUNCTION("""COMPUTED_VALUE"""),0.62)</f>
        <v>0.62</v>
      </c>
      <c r="V1175" s="14">
        <f>IFERROR(__xludf.DUMMYFUNCTION("""COMPUTED_VALUE"""),0.1)</f>
        <v>0.1</v>
      </c>
      <c r="W1175" s="14">
        <f>IFERROR(__xludf.DUMMYFUNCTION("""COMPUTED_VALUE"""),6689700.0)</f>
        <v>6689700</v>
      </c>
      <c r="X1175" s="14">
        <f>IFERROR(__xludf.DUMMYFUNCTION("""COMPUTED_VALUE"""),0.914)</f>
        <v>0.914</v>
      </c>
      <c r="Y1175" s="14" t="str">
        <f>IFERROR(__xludf.DUMMYFUNCTION("""COMPUTED_VALUE"""),"Israel-Middle East")</f>
        <v>Israel-Middle East</v>
      </c>
      <c r="Z1175" s="14" t="str">
        <f>IFERROR(__xludf.DUMMYFUNCTION("""COMPUTED_VALUE"""),"Middle East")</f>
        <v>Middle East</v>
      </c>
      <c r="AA1175" s="14" t="str">
        <f>IFERROR(__xludf.DUMMYFUNCTION("""COMPUTED_VALUE"""),"2003")</f>
        <v>2003</v>
      </c>
      <c r="AB1175" s="15" t="str">
        <f>IFERROR(__xludf.DUMMYFUNCTION("ARRAYFORMULA(VLOOKUP(A1175,IMPORTRANGE(""https://docs.google.com/spreadsheets/d/1BuTWp7qHGjWhqrnf-OmePP568O4A5Am9ttzvVdP67zw/edit#gid=1931367683"" ,""ENERGY!$A$2:$F$2692""), {2,3,4,5,6},0))"),"Middle East")</f>
        <v>Middle East</v>
      </c>
      <c r="AC1175" s="14" t="str">
        <f>IFERROR(__xludf.DUMMYFUNCTION("""COMPUTED_VALUE"""),"Israel-Middle East")</f>
        <v>Israel-Middle East</v>
      </c>
      <c r="AD1175" s="14" t="str">
        <f>IFERROR(__xludf.DUMMYFUNCTION("""COMPUTED_VALUE"""),"2003")</f>
        <v>2003</v>
      </c>
      <c r="AE1175" s="14">
        <f>IFERROR(__xludf.DUMMYFUNCTION("""COMPUTED_VALUE"""),21463.0)</f>
        <v>21463</v>
      </c>
      <c r="AF1175" s="14">
        <f>IFERROR(__xludf.DUMMYFUNCTION("""COMPUTED_VALUE"""),67029.0)</f>
        <v>67029</v>
      </c>
    </row>
    <row r="1176">
      <c r="A1176" s="12">
        <v>1175.0</v>
      </c>
      <c r="B1176" s="12" t="s">
        <v>169</v>
      </c>
      <c r="C1176" s="5" t="s">
        <v>93</v>
      </c>
      <c r="D1176" s="8"/>
      <c r="E1176" s="11">
        <v>20.0</v>
      </c>
      <c r="F1176" s="8"/>
      <c r="G1176" s="8"/>
      <c r="H1176" s="11">
        <v>0.228</v>
      </c>
      <c r="I1176" s="11">
        <v>1.117</v>
      </c>
      <c r="J1176" s="9" t="s">
        <v>65</v>
      </c>
      <c r="K1176" s="14" t="str">
        <f>IFERROR(__xludf.DUMMYFUNCTION("ARRAYFORMULA(VLOOKUP(A1176,IMPORTRANGE(""https://docs.google.com/spreadsheets/d/1BuTWp7qHGjWhqrnf-OmePP568O4A5Am9ttzvVdP67zw/edit#gid=1603210130"", ""TOURISM!$A$2:$F$2692""), {2,3,4,5,6},0))"),"Middle East")</f>
        <v>Middle East</v>
      </c>
      <c r="L1176" s="14">
        <f>IFERROR(__xludf.DUMMYFUNCTION("""COMPUTED_VALUE"""),2.908E9)</f>
        <v>2908000000</v>
      </c>
      <c r="M1176" s="14" t="str">
        <f>IFERROR(__xludf.DUMMYFUNCTION("""COMPUTED_VALUE"""),"Israel-Middle East")</f>
        <v>Israel-Middle East</v>
      </c>
      <c r="N1176" s="14" t="str">
        <f>IFERROR(__xludf.DUMMYFUNCTION("""COMPUTED_VALUE"""),"2004")</f>
        <v>2004</v>
      </c>
      <c r="O1176" s="14">
        <f>IFERROR(__xludf.DUMMYFUNCTION("""COMPUTED_VALUE"""),3.663E9)</f>
        <v>3663000000</v>
      </c>
      <c r="P1176" s="15">
        <f>IFERROR(__xludf.DUMMYFUNCTION("ARRAYFORMULA(VLOOKUP(A1176,IMPORTRANGE(""https://docs.google.com/spreadsheets/d/1BuTWp7qHGjWhqrnf-OmePP568O4A5Am9ttzvVdP67zw/edit#gid=771602874"" ,""HUMAN RESOURCES!$A$2:$M$2692""), {2,3,4,5,6,7,8,9,10,11,12,13},0))"),0.021)</f>
        <v>0.021</v>
      </c>
      <c r="Q1176" s="14">
        <f>IFERROR(__xludf.DUMMYFUNCTION("""COMPUTED_VALUE"""),0.005)</f>
        <v>0.005</v>
      </c>
      <c r="R1176" s="14">
        <f>IFERROR(__xludf.DUMMYFUNCTION("""COMPUTED_VALUE"""),82.0)</f>
        <v>82</v>
      </c>
      <c r="S1176" s="14">
        <f>IFERROR(__xludf.DUMMYFUNCTION("""COMPUTED_VALUE"""),78.0)</f>
        <v>78</v>
      </c>
      <c r="T1176" s="14">
        <f>IFERROR(__xludf.DUMMYFUNCTION("""COMPUTED_VALUE"""),0.279)</f>
        <v>0.279</v>
      </c>
      <c r="U1176" s="14">
        <f>IFERROR(__xludf.DUMMYFUNCTION("""COMPUTED_VALUE"""),0.621)</f>
        <v>0.621</v>
      </c>
      <c r="V1176" s="14">
        <f>IFERROR(__xludf.DUMMYFUNCTION("""COMPUTED_VALUE"""),0.1)</f>
        <v>0.1</v>
      </c>
      <c r="W1176" s="14">
        <f>IFERROR(__xludf.DUMMYFUNCTION("""COMPUTED_VALUE"""),6809000.0)</f>
        <v>6809000</v>
      </c>
      <c r="X1176" s="14">
        <f>IFERROR(__xludf.DUMMYFUNCTION("""COMPUTED_VALUE"""),0.915)</f>
        <v>0.915</v>
      </c>
      <c r="Y1176" s="14" t="str">
        <f>IFERROR(__xludf.DUMMYFUNCTION("""COMPUTED_VALUE"""),"Israel-Middle East")</f>
        <v>Israel-Middle East</v>
      </c>
      <c r="Z1176" s="14" t="str">
        <f>IFERROR(__xludf.DUMMYFUNCTION("""COMPUTED_VALUE"""),"Middle East")</f>
        <v>Middle East</v>
      </c>
      <c r="AA1176" s="14" t="str">
        <f>IFERROR(__xludf.DUMMYFUNCTION("""COMPUTED_VALUE"""),"2004")</f>
        <v>2004</v>
      </c>
      <c r="AB1176" s="15" t="str">
        <f>IFERROR(__xludf.DUMMYFUNCTION("ARRAYFORMULA(VLOOKUP(A1176,IMPORTRANGE(""https://docs.google.com/spreadsheets/d/1BuTWp7qHGjWhqrnf-OmePP568O4A5Am9ttzvVdP67zw/edit#gid=1931367683"" ,""ENERGY!$A$2:$F$2692""), {2,3,4,5,6},0))"),"Middle East")</f>
        <v>Middle East</v>
      </c>
      <c r="AC1176" s="14" t="str">
        <f>IFERROR(__xludf.DUMMYFUNCTION("""COMPUTED_VALUE"""),"Israel-Middle East")</f>
        <v>Israel-Middle East</v>
      </c>
      <c r="AD1176" s="14" t="str">
        <f>IFERROR(__xludf.DUMMYFUNCTION("""COMPUTED_VALUE"""),"2004")</f>
        <v>2004</v>
      </c>
      <c r="AE1176" s="14">
        <f>IFERROR(__xludf.DUMMYFUNCTION("""COMPUTED_VALUE"""),22868.0)</f>
        <v>22868</v>
      </c>
      <c r="AF1176" s="14">
        <f>IFERROR(__xludf.DUMMYFUNCTION("""COMPUTED_VALUE"""),70938.0)</f>
        <v>70938</v>
      </c>
    </row>
    <row r="1177">
      <c r="A1177" s="12">
        <v>1176.0</v>
      </c>
      <c r="B1177" s="12" t="s">
        <v>169</v>
      </c>
      <c r="C1177" s="5" t="s">
        <v>93</v>
      </c>
      <c r="D1177" s="11">
        <v>0.391</v>
      </c>
      <c r="E1177" s="11">
        <v>20.0</v>
      </c>
      <c r="F1177" s="8"/>
      <c r="G1177" s="11">
        <v>230.0</v>
      </c>
      <c r="H1177" s="11">
        <v>0.252</v>
      </c>
      <c r="I1177" s="11">
        <v>1.175</v>
      </c>
      <c r="J1177" s="9" t="s">
        <v>66</v>
      </c>
      <c r="K1177" s="14" t="str">
        <f>IFERROR(__xludf.DUMMYFUNCTION("ARRAYFORMULA(VLOOKUP(A1177,IMPORTRANGE(""https://docs.google.com/spreadsheets/d/1BuTWp7qHGjWhqrnf-OmePP568O4A5Am9ttzvVdP67zw/edit#gid=1603210130"", ""TOURISM!$A$2:$F$2692""), {2,3,4,5,6},0))"),"Middle East")</f>
        <v>Middle East</v>
      </c>
      <c r="L1177" s="14">
        <f>IFERROR(__xludf.DUMMYFUNCTION("""COMPUTED_VALUE"""),3.427E9)</f>
        <v>3427000000</v>
      </c>
      <c r="M1177" s="14" t="str">
        <f>IFERROR(__xludf.DUMMYFUNCTION("""COMPUTED_VALUE"""),"Israel-Middle East")</f>
        <v>Israel-Middle East</v>
      </c>
      <c r="N1177" s="14" t="str">
        <f>IFERROR(__xludf.DUMMYFUNCTION("""COMPUTED_VALUE"""),"2005")</f>
        <v>2005</v>
      </c>
      <c r="O1177" s="14">
        <f>IFERROR(__xludf.DUMMYFUNCTION("""COMPUTED_VALUE"""),3.78E9)</f>
        <v>3780000000</v>
      </c>
      <c r="P1177" s="15">
        <f>IFERROR(__xludf.DUMMYFUNCTION("ARRAYFORMULA(VLOOKUP(A1177,IMPORTRANGE(""https://docs.google.com/spreadsheets/d/1BuTWp7qHGjWhqrnf-OmePP568O4A5Am9ttzvVdP67zw/edit#gid=771602874"" ,""HUMAN RESOURCES!$A$2:$M$2692""), {2,3,4,5,6,7,8,9,10,11,12,13},0))"),0.021)</f>
        <v>0.021</v>
      </c>
      <c r="Q1177" s="14">
        <f>IFERROR(__xludf.DUMMYFUNCTION("""COMPUTED_VALUE"""),0.005)</f>
        <v>0.005</v>
      </c>
      <c r="R1177" s="14">
        <f>IFERROR(__xludf.DUMMYFUNCTION("""COMPUTED_VALUE"""),82.0)</f>
        <v>82</v>
      </c>
      <c r="S1177" s="14">
        <f>IFERROR(__xludf.DUMMYFUNCTION("""COMPUTED_VALUE"""),78.0)</f>
        <v>78</v>
      </c>
      <c r="T1177" s="14">
        <f>IFERROR(__xludf.DUMMYFUNCTION("""COMPUTED_VALUE"""),0.279)</f>
        <v>0.279</v>
      </c>
      <c r="U1177" s="14">
        <f>IFERROR(__xludf.DUMMYFUNCTION("""COMPUTED_VALUE"""),0.621)</f>
        <v>0.621</v>
      </c>
      <c r="V1177" s="14">
        <f>IFERROR(__xludf.DUMMYFUNCTION("""COMPUTED_VALUE"""),0.1)</f>
        <v>0.1</v>
      </c>
      <c r="W1177" s="14">
        <f>IFERROR(__xludf.DUMMYFUNCTION("""COMPUTED_VALUE"""),6930100.0)</f>
        <v>6930100</v>
      </c>
      <c r="X1177" s="14">
        <f>IFERROR(__xludf.DUMMYFUNCTION("""COMPUTED_VALUE"""),0.915)</f>
        <v>0.915</v>
      </c>
      <c r="Y1177" s="14" t="str">
        <f>IFERROR(__xludf.DUMMYFUNCTION("""COMPUTED_VALUE"""),"Israel-Middle East")</f>
        <v>Israel-Middle East</v>
      </c>
      <c r="Z1177" s="14" t="str">
        <f>IFERROR(__xludf.DUMMYFUNCTION("""COMPUTED_VALUE"""),"Middle East")</f>
        <v>Middle East</v>
      </c>
      <c r="AA1177" s="14" t="str">
        <f>IFERROR(__xludf.DUMMYFUNCTION("""COMPUTED_VALUE"""),"2005")</f>
        <v>2005</v>
      </c>
      <c r="AB1177" s="15" t="str">
        <f>IFERROR(__xludf.DUMMYFUNCTION("ARRAYFORMULA(VLOOKUP(A1177,IMPORTRANGE(""https://docs.google.com/spreadsheets/d/1BuTWp7qHGjWhqrnf-OmePP568O4A5Am9ttzvVdP67zw/edit#gid=1931367683"" ,""ENERGY!$A$2:$F$2692""), {2,3,4,5,6},0))"),"Middle East")</f>
        <v>Middle East</v>
      </c>
      <c r="AC1177" s="14" t="str">
        <f>IFERROR(__xludf.DUMMYFUNCTION("""COMPUTED_VALUE"""),"Israel-Middle East")</f>
        <v>Israel-Middle East</v>
      </c>
      <c r="AD1177" s="14" t="str">
        <f>IFERROR(__xludf.DUMMYFUNCTION("""COMPUTED_VALUE"""),"2007")</f>
        <v>2007</v>
      </c>
      <c r="AE1177" s="14">
        <f>IFERROR(__xludf.DUMMYFUNCTION("""COMPUTED_VALUE"""),20700.0)</f>
        <v>20700</v>
      </c>
      <c r="AF1177" s="14">
        <f>IFERROR(__xludf.DUMMYFUNCTION("""COMPUTED_VALUE"""),66424.0)</f>
        <v>66424</v>
      </c>
    </row>
    <row r="1178">
      <c r="A1178" s="12">
        <v>1177.0</v>
      </c>
      <c r="B1178" s="12" t="s">
        <v>169</v>
      </c>
      <c r="C1178" s="5" t="s">
        <v>93</v>
      </c>
      <c r="D1178" s="11">
        <v>0.382</v>
      </c>
      <c r="E1178" s="11">
        <v>20.0</v>
      </c>
      <c r="F1178" s="8"/>
      <c r="G1178" s="11">
        <v>230.0</v>
      </c>
      <c r="H1178" s="11">
        <v>0.279</v>
      </c>
      <c r="I1178" s="11">
        <v>1.243</v>
      </c>
      <c r="J1178" s="9" t="s">
        <v>67</v>
      </c>
      <c r="K1178" s="14" t="str">
        <f>IFERROR(__xludf.DUMMYFUNCTION("ARRAYFORMULA(VLOOKUP(A1178,IMPORTRANGE(""https://docs.google.com/spreadsheets/d/1BuTWp7qHGjWhqrnf-OmePP568O4A5Am9ttzvVdP67zw/edit#gid=1603210130"", ""TOURISM!$A$2:$F$2692""), {2,3,4,5,6},0))"),"Middle East")</f>
        <v>Middle East</v>
      </c>
      <c r="L1178" s="14">
        <f>IFERROR(__xludf.DUMMYFUNCTION("""COMPUTED_VALUE"""),3.802E9)</f>
        <v>3802000000</v>
      </c>
      <c r="M1178" s="14" t="str">
        <f>IFERROR(__xludf.DUMMYFUNCTION("""COMPUTED_VALUE"""),"Israel-Middle East")</f>
        <v>Israel-Middle East</v>
      </c>
      <c r="N1178" s="14" t="str">
        <f>IFERROR(__xludf.DUMMYFUNCTION("""COMPUTED_VALUE"""),"2006")</f>
        <v>2006</v>
      </c>
      <c r="O1178" s="14">
        <f>IFERROR(__xludf.DUMMYFUNCTION("""COMPUTED_VALUE"""),4.085E9)</f>
        <v>4085000000</v>
      </c>
      <c r="P1178" s="15">
        <f>IFERROR(__xludf.DUMMYFUNCTION("ARRAYFORMULA(VLOOKUP(A1178,IMPORTRANGE(""https://docs.google.com/spreadsheets/d/1BuTWp7qHGjWhqrnf-OmePP568O4A5Am9ttzvVdP67zw/edit#gid=771602874"" ,""HUMAN RESOURCES!$A$2:$M$2692""), {2,3,4,5,6,7,8,9,10,11,12,13},0))"),0.021)</f>
        <v>0.021</v>
      </c>
      <c r="Q1178" s="14">
        <f>IFERROR(__xludf.DUMMYFUNCTION("""COMPUTED_VALUE"""),0.004)</f>
        <v>0.004</v>
      </c>
      <c r="R1178" s="14">
        <f>IFERROR(__xludf.DUMMYFUNCTION("""COMPUTED_VALUE"""),83.0)</f>
        <v>83</v>
      </c>
      <c r="S1178" s="14">
        <f>IFERROR(__xludf.DUMMYFUNCTION("""COMPUTED_VALUE"""),88.0)</f>
        <v>88</v>
      </c>
      <c r="T1178" s="14">
        <f>IFERROR(__xludf.DUMMYFUNCTION("""COMPUTED_VALUE"""),0.277)</f>
        <v>0.277</v>
      </c>
      <c r="U1178" s="14">
        <f>IFERROR(__xludf.DUMMYFUNCTION("""COMPUTED_VALUE"""),0.622)</f>
        <v>0.622</v>
      </c>
      <c r="V1178" s="14">
        <f>IFERROR(__xludf.DUMMYFUNCTION("""COMPUTED_VALUE"""),0.101)</f>
        <v>0.101</v>
      </c>
      <c r="W1178" s="14">
        <f>IFERROR(__xludf.DUMMYFUNCTION("""COMPUTED_VALUE"""),7053700.0)</f>
        <v>7053700</v>
      </c>
      <c r="X1178" s="14">
        <f>IFERROR(__xludf.DUMMYFUNCTION("""COMPUTED_VALUE"""),0.916)</f>
        <v>0.916</v>
      </c>
      <c r="Y1178" s="14" t="str">
        <f>IFERROR(__xludf.DUMMYFUNCTION("""COMPUTED_VALUE"""),"Israel-Middle East")</f>
        <v>Israel-Middle East</v>
      </c>
      <c r="Z1178" s="14" t="str">
        <f>IFERROR(__xludf.DUMMYFUNCTION("""COMPUTED_VALUE"""),"Middle East")</f>
        <v>Middle East</v>
      </c>
      <c r="AA1178" s="14" t="str">
        <f>IFERROR(__xludf.DUMMYFUNCTION("""COMPUTED_VALUE"""),"2006")</f>
        <v>2006</v>
      </c>
      <c r="AB1178" s="15" t="str">
        <f>IFERROR(__xludf.DUMMYFUNCTION("ARRAYFORMULA(VLOOKUP(A1178,IMPORTRANGE(""https://docs.google.com/spreadsheets/d/1BuTWp7qHGjWhqrnf-OmePP568O4A5Am9ttzvVdP67zw/edit#gid=1931367683"" ,""ENERGY!$A$2:$F$2692""), {2,3,4,5,6},0))"),"Middle East")</f>
        <v>Middle East</v>
      </c>
      <c r="AC1178" s="14" t="str">
        <f>IFERROR(__xludf.DUMMYFUNCTION("""COMPUTED_VALUE"""),"Israel-Middle East")</f>
        <v>Israel-Middle East</v>
      </c>
      <c r="AD1178" s="14" t="str">
        <f>IFERROR(__xludf.DUMMYFUNCTION("""COMPUTED_VALUE"""),"2011")</f>
        <v>2011</v>
      </c>
      <c r="AE1178" s="14">
        <f>IFERROR(__xludf.DUMMYFUNCTION("""COMPUTED_VALUE"""),20380.0)</f>
        <v>20380</v>
      </c>
      <c r="AF1178" s="14">
        <f>IFERROR(__xludf.DUMMYFUNCTION("""COMPUTED_VALUE"""),65977.0)</f>
        <v>65977</v>
      </c>
    </row>
    <row r="1179">
      <c r="A1179" s="12">
        <v>1178.0</v>
      </c>
      <c r="B1179" s="12" t="s">
        <v>169</v>
      </c>
      <c r="C1179" s="5" t="s">
        <v>93</v>
      </c>
      <c r="D1179" s="11">
        <v>0.352</v>
      </c>
      <c r="E1179" s="11">
        <v>20.0</v>
      </c>
      <c r="F1179" s="8"/>
      <c r="G1179" s="11">
        <v>230.0</v>
      </c>
      <c r="H1179" s="11">
        <v>0.481</v>
      </c>
      <c r="I1179" s="11">
        <v>1.285</v>
      </c>
      <c r="J1179" s="9" t="s">
        <v>68</v>
      </c>
      <c r="K1179" s="14" t="str">
        <f>IFERROR(__xludf.DUMMYFUNCTION("ARRAYFORMULA(VLOOKUP(A1179,IMPORTRANGE(""https://docs.google.com/spreadsheets/d/1BuTWp7qHGjWhqrnf-OmePP568O4A5Am9ttzvVdP67zw/edit#gid=1603210130"", ""TOURISM!$A$2:$F$2692""), {2,3,4,5,6},0))"),"Middle East")</f>
        <v>Middle East</v>
      </c>
      <c r="L1179" s="14">
        <f>IFERROR(__xludf.DUMMYFUNCTION("""COMPUTED_VALUE"""),4.405E9)</f>
        <v>4405000000</v>
      </c>
      <c r="M1179" s="14" t="str">
        <f>IFERROR(__xludf.DUMMYFUNCTION("""COMPUTED_VALUE"""),"Israel-Middle East")</f>
        <v>Israel-Middle East</v>
      </c>
      <c r="N1179" s="14" t="str">
        <f>IFERROR(__xludf.DUMMYFUNCTION("""COMPUTED_VALUE"""),"2007")</f>
        <v>2007</v>
      </c>
      <c r="O1179" s="14">
        <f>IFERROR(__xludf.DUMMYFUNCTION("""COMPUTED_VALUE"""),4.669E9)</f>
        <v>4669000000</v>
      </c>
      <c r="P1179" s="15">
        <f>IFERROR(__xludf.DUMMYFUNCTION("ARRAYFORMULA(VLOOKUP(A1179,IMPORTRANGE(""https://docs.google.com/spreadsheets/d/1BuTWp7qHGjWhqrnf-OmePP568O4A5Am9ttzvVdP67zw/edit#gid=771602874"" ,""HUMAN RESOURCES!$A$2:$M$2692""), {2,3,4,5,6,7,8,9,10,11,12,13},0))"),0.021)</f>
        <v>0.021</v>
      </c>
      <c r="Q1179" s="14">
        <f>IFERROR(__xludf.DUMMYFUNCTION("""COMPUTED_VALUE"""),0.004)</f>
        <v>0.004</v>
      </c>
      <c r="R1179" s="14">
        <f>IFERROR(__xludf.DUMMYFUNCTION("""COMPUTED_VALUE"""),82.0)</f>
        <v>82</v>
      </c>
      <c r="S1179" s="14">
        <f>IFERROR(__xludf.DUMMYFUNCTION("""COMPUTED_VALUE"""),88.0)</f>
        <v>88</v>
      </c>
      <c r="T1179" s="14">
        <f>IFERROR(__xludf.DUMMYFUNCTION("""COMPUTED_VALUE"""),0.275)</f>
        <v>0.275</v>
      </c>
      <c r="U1179" s="14">
        <f>IFERROR(__xludf.DUMMYFUNCTION("""COMPUTED_VALUE"""),0.623)</f>
        <v>0.623</v>
      </c>
      <c r="V1179" s="14">
        <f>IFERROR(__xludf.DUMMYFUNCTION("""COMPUTED_VALUE"""),0.102)</f>
        <v>0.102</v>
      </c>
      <c r="W1179" s="14">
        <f>IFERROR(__xludf.DUMMYFUNCTION("""COMPUTED_VALUE"""),7180100.0)</f>
        <v>7180100</v>
      </c>
      <c r="X1179" s="14">
        <f>IFERROR(__xludf.DUMMYFUNCTION("""COMPUTED_VALUE"""),0.916)</f>
        <v>0.916</v>
      </c>
      <c r="Y1179" s="14" t="str">
        <f>IFERROR(__xludf.DUMMYFUNCTION("""COMPUTED_VALUE"""),"Israel-Middle East")</f>
        <v>Israel-Middle East</v>
      </c>
      <c r="Z1179" s="14" t="str">
        <f>IFERROR(__xludf.DUMMYFUNCTION("""COMPUTED_VALUE"""),"Middle East")</f>
        <v>Middle East</v>
      </c>
      <c r="AA1179" s="14" t="str">
        <f>IFERROR(__xludf.DUMMYFUNCTION("""COMPUTED_VALUE"""),"2007")</f>
        <v>2007</v>
      </c>
      <c r="AB1179" s="15" t="str">
        <f>IFERROR(__xludf.DUMMYFUNCTION("ARRAYFORMULA(VLOOKUP(A1179,IMPORTRANGE(""https://docs.google.com/spreadsheets/d/1BuTWp7qHGjWhqrnf-OmePP568O4A5Am9ttzvVdP67zw/edit#gid=1931367683"" ,""ENERGY!$A$2:$F$2692""), {2,3,4,5,6},0))"),"Middle East")</f>
        <v>Middle East</v>
      </c>
      <c r="AC1179" s="14" t="str">
        <f>IFERROR(__xludf.DUMMYFUNCTION("""COMPUTED_VALUE"""),"Israel-Middle East")</f>
        <v>Israel-Middle East</v>
      </c>
      <c r="AD1179" s="14" t="str">
        <f>IFERROR(__xludf.DUMMYFUNCTION("""COMPUTED_VALUE"""),"2008")</f>
        <v>2008</v>
      </c>
      <c r="AE1179" s="14">
        <f>IFERROR(__xludf.DUMMYFUNCTION("""COMPUTED_VALUE"""),18478.0)</f>
        <v>18478</v>
      </c>
      <c r="AF1179" s="14">
        <f>IFERROR(__xludf.DUMMYFUNCTION("""COMPUTED_VALUE"""),60245.0)</f>
        <v>60245</v>
      </c>
    </row>
    <row r="1180">
      <c r="A1180" s="12">
        <v>1179.0</v>
      </c>
      <c r="B1180" s="12" t="s">
        <v>169</v>
      </c>
      <c r="C1180" s="5" t="s">
        <v>93</v>
      </c>
      <c r="D1180" s="11">
        <v>0.33</v>
      </c>
      <c r="E1180" s="11">
        <v>20.0</v>
      </c>
      <c r="F1180" s="8"/>
      <c r="G1180" s="11">
        <v>230.0</v>
      </c>
      <c r="H1180" s="11">
        <v>0.594</v>
      </c>
      <c r="I1180" s="11">
        <v>1.264</v>
      </c>
      <c r="J1180" s="9" t="s">
        <v>69</v>
      </c>
      <c r="K1180" s="14" t="str">
        <f>IFERROR(__xludf.DUMMYFUNCTION("ARRAYFORMULA(VLOOKUP(A1180,IMPORTRANGE(""https://docs.google.com/spreadsheets/d/1BuTWp7qHGjWhqrnf-OmePP568O4A5Am9ttzvVdP67zw/edit#gid=1603210130"", ""TOURISM!$A$2:$F$2692""), {2,3,4,5,6},0))"),"Middle East")</f>
        <v>Middle East</v>
      </c>
      <c r="L1180" s="14">
        <f>IFERROR(__xludf.DUMMYFUNCTION("""COMPUTED_VALUE"""),5.509E9)</f>
        <v>5509000000</v>
      </c>
      <c r="M1180" s="14" t="str">
        <f>IFERROR(__xludf.DUMMYFUNCTION("""COMPUTED_VALUE"""),"Israel-Middle East")</f>
        <v>Israel-Middle East</v>
      </c>
      <c r="N1180" s="14" t="str">
        <f>IFERROR(__xludf.DUMMYFUNCTION("""COMPUTED_VALUE"""),"2008")</f>
        <v>2008</v>
      </c>
      <c r="O1180" s="14">
        <f>IFERROR(__xludf.DUMMYFUNCTION("""COMPUTED_VALUE"""),4.693E9)</f>
        <v>4693000000</v>
      </c>
      <c r="P1180" s="15">
        <f>IFERROR(__xludf.DUMMYFUNCTION("ARRAYFORMULA(VLOOKUP(A1180,IMPORTRANGE(""https://docs.google.com/spreadsheets/d/1BuTWp7qHGjWhqrnf-OmePP568O4A5Am9ttzvVdP67zw/edit#gid=771602874"" ,""HUMAN RESOURCES!$A$2:$M$2692""), {2,3,4,5,6,7,8,9,10,11,12,13},0))"),0.022)</f>
        <v>0.022</v>
      </c>
      <c r="Q1180" s="14">
        <f>IFERROR(__xludf.DUMMYFUNCTION("""COMPUTED_VALUE"""),0.004)</f>
        <v>0.004</v>
      </c>
      <c r="R1180" s="14">
        <f>IFERROR(__xludf.DUMMYFUNCTION("""COMPUTED_VALUE"""),83.0)</f>
        <v>83</v>
      </c>
      <c r="S1180" s="14">
        <f>IFERROR(__xludf.DUMMYFUNCTION("""COMPUTED_VALUE"""),79.0)</f>
        <v>79</v>
      </c>
      <c r="T1180" s="14">
        <f>IFERROR(__xludf.DUMMYFUNCTION("""COMPUTED_VALUE"""),0.274)</f>
        <v>0.274</v>
      </c>
      <c r="U1180" s="14">
        <f>IFERROR(__xludf.DUMMYFUNCTION("""COMPUTED_VALUE"""),0.624)</f>
        <v>0.624</v>
      </c>
      <c r="V1180" s="14">
        <f>IFERROR(__xludf.DUMMYFUNCTION("""COMPUTED_VALUE"""),0.103)</f>
        <v>0.103</v>
      </c>
      <c r="W1180" s="14">
        <f>IFERROR(__xludf.DUMMYFUNCTION("""COMPUTED_VALUE"""),7308800.0)</f>
        <v>7308800</v>
      </c>
      <c r="X1180" s="14">
        <f>IFERROR(__xludf.DUMMYFUNCTION("""COMPUTED_VALUE"""),0.917)</f>
        <v>0.917</v>
      </c>
      <c r="Y1180" s="14" t="str">
        <f>IFERROR(__xludf.DUMMYFUNCTION("""COMPUTED_VALUE"""),"Israel-Middle East")</f>
        <v>Israel-Middle East</v>
      </c>
      <c r="Z1180" s="14" t="str">
        <f>IFERROR(__xludf.DUMMYFUNCTION("""COMPUTED_VALUE"""),"Middle East")</f>
        <v>Middle East</v>
      </c>
      <c r="AA1180" s="14" t="str">
        <f>IFERROR(__xludf.DUMMYFUNCTION("""COMPUTED_VALUE"""),"2008")</f>
        <v>2008</v>
      </c>
      <c r="AB1180" s="15" t="str">
        <f>IFERROR(__xludf.DUMMYFUNCTION("ARRAYFORMULA(VLOOKUP(A1180,IMPORTRANGE(""https://docs.google.com/spreadsheets/d/1BuTWp7qHGjWhqrnf-OmePP568O4A5Am9ttzvVdP67zw/edit#gid=1931367683"" ,""ENERGY!$A$2:$F$2692""), {2,3,4,5,6},0))"),"Middle East")</f>
        <v>Middle East</v>
      </c>
      <c r="AC1180" s="14" t="str">
        <f>IFERROR(__xludf.DUMMYFUNCTION("""COMPUTED_VALUE"""),"Israel-Middle East")</f>
        <v>Israel-Middle East</v>
      </c>
      <c r="AD1180" s="14" t="str">
        <f>IFERROR(__xludf.DUMMYFUNCTION("""COMPUTED_VALUE"""),"2006")</f>
        <v>2006</v>
      </c>
      <c r="AE1180" s="14">
        <f>IFERROR(__xludf.DUMMYFUNCTION("""COMPUTED_VALUE"""),19241.0)</f>
        <v>19241</v>
      </c>
      <c r="AF1180" s="14">
        <f>IFERROR(__xludf.DUMMYFUNCTION("""COMPUTED_VALUE"""),63201.0)</f>
        <v>63201</v>
      </c>
    </row>
    <row r="1181">
      <c r="A1181" s="12">
        <v>1180.0</v>
      </c>
      <c r="B1181" s="12" t="s">
        <v>169</v>
      </c>
      <c r="C1181" s="5" t="s">
        <v>93</v>
      </c>
      <c r="D1181" s="11">
        <v>0.319</v>
      </c>
      <c r="E1181" s="11">
        <v>20.0</v>
      </c>
      <c r="F1181" s="8"/>
      <c r="G1181" s="11">
        <v>230.0</v>
      </c>
      <c r="H1181" s="11">
        <v>0.631</v>
      </c>
      <c r="I1181" s="11">
        <v>1.24</v>
      </c>
      <c r="J1181" s="9" t="s">
        <v>70</v>
      </c>
      <c r="K1181" s="14" t="str">
        <f>IFERROR(__xludf.DUMMYFUNCTION("ARRAYFORMULA(VLOOKUP(A1181,IMPORTRANGE(""https://docs.google.com/spreadsheets/d/1BuTWp7qHGjWhqrnf-OmePP568O4A5Am9ttzvVdP67zw/edit#gid=1603210130"", ""TOURISM!$A$2:$F$2692""), {2,3,4,5,6},0))"),"Middle East")</f>
        <v>Middle East</v>
      </c>
      <c r="L1181" s="14">
        <f>IFERROR(__xludf.DUMMYFUNCTION("""COMPUTED_VALUE"""),5.067E9)</f>
        <v>5067000000</v>
      </c>
      <c r="M1181" s="14" t="str">
        <f>IFERROR(__xludf.DUMMYFUNCTION("""COMPUTED_VALUE"""),"Israel-Middle East")</f>
        <v>Israel-Middle East</v>
      </c>
      <c r="N1181" s="14" t="str">
        <f>IFERROR(__xludf.DUMMYFUNCTION("""COMPUTED_VALUE"""),"2009")</f>
        <v>2009</v>
      </c>
      <c r="O1181" s="14">
        <f>IFERROR(__xludf.DUMMYFUNCTION("""COMPUTED_VALUE"""),4.241E9)</f>
        <v>4241000000</v>
      </c>
      <c r="P1181" s="15">
        <f>IFERROR(__xludf.DUMMYFUNCTION("ARRAYFORMULA(VLOOKUP(A1181,IMPORTRANGE(""https://docs.google.com/spreadsheets/d/1BuTWp7qHGjWhqrnf-OmePP568O4A5Am9ttzvVdP67zw/edit#gid=771602874"" ,""HUMAN RESOURCES!$A$2:$M$2692""), {2,3,4,5,6,7,8,9,10,11,12,13},0))"),0.022)</f>
        <v>0.022</v>
      </c>
      <c r="Q1181" s="14">
        <f>IFERROR(__xludf.DUMMYFUNCTION("""COMPUTED_VALUE"""),0.004)</f>
        <v>0.004</v>
      </c>
      <c r="R1181" s="14">
        <f>IFERROR(__xludf.DUMMYFUNCTION("""COMPUTED_VALUE"""),83.0)</f>
        <v>83</v>
      </c>
      <c r="S1181" s="14">
        <f>IFERROR(__xludf.DUMMYFUNCTION("""COMPUTED_VALUE"""),80.0)</f>
        <v>80</v>
      </c>
      <c r="T1181" s="14">
        <f>IFERROR(__xludf.DUMMYFUNCTION("""COMPUTED_VALUE"""),0.272)</f>
        <v>0.272</v>
      </c>
      <c r="U1181" s="14">
        <f>IFERROR(__xludf.DUMMYFUNCTION("""COMPUTED_VALUE"""),0.624)</f>
        <v>0.624</v>
      </c>
      <c r="V1181" s="14">
        <f>IFERROR(__xludf.DUMMYFUNCTION("""COMPUTED_VALUE"""),0.104)</f>
        <v>0.104</v>
      </c>
      <c r="W1181" s="14">
        <f>IFERROR(__xludf.DUMMYFUNCTION("""COMPUTED_VALUE"""),7485600.0)</f>
        <v>7485600</v>
      </c>
      <c r="X1181" s="14">
        <f>IFERROR(__xludf.DUMMYFUNCTION("""COMPUTED_VALUE"""),0.918)</f>
        <v>0.918</v>
      </c>
      <c r="Y1181" s="14" t="str">
        <f>IFERROR(__xludf.DUMMYFUNCTION("""COMPUTED_VALUE"""),"Israel-Middle East")</f>
        <v>Israel-Middle East</v>
      </c>
      <c r="Z1181" s="14" t="str">
        <f>IFERROR(__xludf.DUMMYFUNCTION("""COMPUTED_VALUE"""),"Middle East")</f>
        <v>Middle East</v>
      </c>
      <c r="AA1181" s="14" t="str">
        <f>IFERROR(__xludf.DUMMYFUNCTION("""COMPUTED_VALUE"""),"2009")</f>
        <v>2009</v>
      </c>
      <c r="AB1181" s="15" t="str">
        <f>IFERROR(__xludf.DUMMYFUNCTION("ARRAYFORMULA(VLOOKUP(A1181,IMPORTRANGE(""https://docs.google.com/spreadsheets/d/1BuTWp7qHGjWhqrnf-OmePP568O4A5Am9ttzvVdP67zw/edit#gid=1931367683"" ,""ENERGY!$A$2:$F$2692""), {2,3,4,5,6},0))"),"Middle East")</f>
        <v>Middle East</v>
      </c>
      <c r="AC1181" s="14" t="str">
        <f>IFERROR(__xludf.DUMMYFUNCTION("""COMPUTED_VALUE"""),"Israel-Middle East")</f>
        <v>Israel-Middle East</v>
      </c>
      <c r="AD1181" s="14" t="str">
        <f>IFERROR(__xludf.DUMMYFUNCTION("""COMPUTED_VALUE"""),"2010")</f>
        <v>2010</v>
      </c>
      <c r="AE1181" s="14">
        <f>IFERROR(__xludf.DUMMYFUNCTION("""COMPUTED_VALUE"""),19730.0)</f>
        <v>19730</v>
      </c>
      <c r="AF1181" s="14">
        <f>IFERROR(__xludf.DUMMYFUNCTION("""COMPUTED_VALUE"""),65122.0)</f>
        <v>65122</v>
      </c>
    </row>
    <row r="1182">
      <c r="A1182" s="12">
        <v>1181.0</v>
      </c>
      <c r="B1182" s="12" t="s">
        <v>169</v>
      </c>
      <c r="C1182" s="5" t="s">
        <v>93</v>
      </c>
      <c r="D1182" s="11">
        <v>0.311</v>
      </c>
      <c r="E1182" s="11">
        <v>20.0</v>
      </c>
      <c r="F1182" s="8"/>
      <c r="G1182" s="11">
        <v>235.0</v>
      </c>
      <c r="H1182" s="11">
        <v>0.675</v>
      </c>
      <c r="I1182" s="11">
        <v>1.228</v>
      </c>
      <c r="J1182" s="9" t="s">
        <v>71</v>
      </c>
      <c r="K1182" s="14" t="str">
        <f>IFERROR(__xludf.DUMMYFUNCTION("ARRAYFORMULA(VLOOKUP(A1182,IMPORTRANGE(""https://docs.google.com/spreadsheets/d/1BuTWp7qHGjWhqrnf-OmePP568O4A5Am9ttzvVdP67zw/edit#gid=1603210130"", ""TOURISM!$A$2:$F$2692""), {2,3,4,5,6},0))"),"Middle East")</f>
        <v>Middle East</v>
      </c>
      <c r="L1182" s="14">
        <f>IFERROR(__xludf.DUMMYFUNCTION("""COMPUTED_VALUE"""),5.824E9)</f>
        <v>5824000000</v>
      </c>
      <c r="M1182" s="14" t="str">
        <f>IFERROR(__xludf.DUMMYFUNCTION("""COMPUTED_VALUE"""),"Israel-Middle East")</f>
        <v>Israel-Middle East</v>
      </c>
      <c r="N1182" s="14" t="str">
        <f>IFERROR(__xludf.DUMMYFUNCTION("""COMPUTED_VALUE"""),"2010")</f>
        <v>2010</v>
      </c>
      <c r="O1182" s="14">
        <f>IFERROR(__xludf.DUMMYFUNCTION("""COMPUTED_VALUE"""),4.725E9)</f>
        <v>4725000000</v>
      </c>
      <c r="P1182" s="15">
        <f>IFERROR(__xludf.DUMMYFUNCTION("ARRAYFORMULA(VLOOKUP(A1182,IMPORTRANGE(""https://docs.google.com/spreadsheets/d/1BuTWp7qHGjWhqrnf-OmePP568O4A5Am9ttzvVdP67zw/edit#gid=771602874"" ,""HUMAN RESOURCES!$A$2:$M$2692""), {2,3,4,5,6,7,8,9,10,11,12,13},0))"),0.022)</f>
        <v>0.022</v>
      </c>
      <c r="Q1182" s="14">
        <f>IFERROR(__xludf.DUMMYFUNCTION("""COMPUTED_VALUE"""),0.004)</f>
        <v>0.004</v>
      </c>
      <c r="R1182" s="14">
        <f>IFERROR(__xludf.DUMMYFUNCTION("""COMPUTED_VALUE"""),84.0)</f>
        <v>84</v>
      </c>
      <c r="S1182" s="14">
        <f>IFERROR(__xludf.DUMMYFUNCTION("""COMPUTED_VALUE"""),80.0)</f>
        <v>80</v>
      </c>
      <c r="T1182" s="14">
        <f>IFERROR(__xludf.DUMMYFUNCTION("""COMPUTED_VALUE"""),0.272)</f>
        <v>0.272</v>
      </c>
      <c r="U1182" s="14">
        <f>IFERROR(__xludf.DUMMYFUNCTION("""COMPUTED_VALUE"""),0.623)</f>
        <v>0.623</v>
      </c>
      <c r="V1182" s="14">
        <f>IFERROR(__xludf.DUMMYFUNCTION("""COMPUTED_VALUE"""),0.104)</f>
        <v>0.104</v>
      </c>
      <c r="W1182" s="14">
        <f>IFERROR(__xludf.DUMMYFUNCTION("""COMPUTED_VALUE"""),7623600.0)</f>
        <v>7623600</v>
      </c>
      <c r="X1182" s="14">
        <f>IFERROR(__xludf.DUMMYFUNCTION("""COMPUTED_VALUE"""),0.918)</f>
        <v>0.918</v>
      </c>
      <c r="Y1182" s="14" t="str">
        <f>IFERROR(__xludf.DUMMYFUNCTION("""COMPUTED_VALUE"""),"Israel-Middle East")</f>
        <v>Israel-Middle East</v>
      </c>
      <c r="Z1182" s="14" t="str">
        <f>IFERROR(__xludf.DUMMYFUNCTION("""COMPUTED_VALUE"""),"Middle East")</f>
        <v>Middle East</v>
      </c>
      <c r="AA1182" s="14" t="str">
        <f>IFERROR(__xludf.DUMMYFUNCTION("""COMPUTED_VALUE"""),"2010")</f>
        <v>2010</v>
      </c>
      <c r="AB1182" s="15" t="str">
        <f>IFERROR(__xludf.DUMMYFUNCTION("ARRAYFORMULA(VLOOKUP(A1182,IMPORTRANGE(""https://docs.google.com/spreadsheets/d/1BuTWp7qHGjWhqrnf-OmePP568O4A5Am9ttzvVdP67zw/edit#gid=1931367683"" ,""ENERGY!$A$2:$F$2692""), {2,3,4,5,6},0))"),"Middle East")</f>
        <v>Middle East</v>
      </c>
      <c r="AC1182" s="14" t="str">
        <f>IFERROR(__xludf.DUMMYFUNCTION("""COMPUTED_VALUE"""),"Israel-Middle East")</f>
        <v>Israel-Middle East</v>
      </c>
      <c r="AD1182" s="14" t="str">
        <f>IFERROR(__xludf.DUMMYFUNCTION("""COMPUTED_VALUE"""),"2011")</f>
        <v>2011</v>
      </c>
      <c r="AE1182" s="14">
        <f>IFERROR(__xludf.DUMMYFUNCTION("""COMPUTED_VALUE"""),18809.0)</f>
        <v>18809</v>
      </c>
      <c r="AF1182" s="14">
        <f>IFERROR(__xludf.DUMMYFUNCTION("""COMPUTED_VALUE"""),63146.0)</f>
        <v>63146</v>
      </c>
    </row>
    <row r="1183">
      <c r="A1183" s="12">
        <v>1182.0</v>
      </c>
      <c r="B1183" s="12" t="s">
        <v>169</v>
      </c>
      <c r="C1183" s="5" t="s">
        <v>93</v>
      </c>
      <c r="D1183" s="11">
        <v>0.302</v>
      </c>
      <c r="E1183" s="11">
        <v>20.0</v>
      </c>
      <c r="F1183" s="8"/>
      <c r="G1183" s="11">
        <v>235.0</v>
      </c>
      <c r="H1183" s="11">
        <v>0.689</v>
      </c>
      <c r="I1183" s="11">
        <v>1.22</v>
      </c>
      <c r="J1183" s="9" t="s">
        <v>72</v>
      </c>
      <c r="K1183" s="14" t="str">
        <f>IFERROR(__xludf.DUMMYFUNCTION("ARRAYFORMULA(VLOOKUP(A1183,IMPORTRANGE(""https://docs.google.com/spreadsheets/d/1BuTWp7qHGjWhqrnf-OmePP568O4A5Am9ttzvVdP67zw/edit#gid=1603210130"", ""TOURISM!$A$2:$F$2692""), {2,3,4,5,6},0))"),"Middle East")</f>
        <v>Middle East</v>
      </c>
      <c r="L1183" s="14">
        <f>IFERROR(__xludf.DUMMYFUNCTION("""COMPUTED_VALUE"""),6.029E9)</f>
        <v>6029000000</v>
      </c>
      <c r="M1183" s="14" t="str">
        <f>IFERROR(__xludf.DUMMYFUNCTION("""COMPUTED_VALUE"""),"Israel-Middle East")</f>
        <v>Israel-Middle East</v>
      </c>
      <c r="N1183" s="14" t="str">
        <f>IFERROR(__xludf.DUMMYFUNCTION("""COMPUTED_VALUE"""),"2011")</f>
        <v>2011</v>
      </c>
      <c r="O1183" s="14">
        <f>IFERROR(__xludf.DUMMYFUNCTION("""COMPUTED_VALUE"""),4.937E9)</f>
        <v>4937000000</v>
      </c>
      <c r="P1183" s="15">
        <f>IFERROR(__xludf.DUMMYFUNCTION("ARRAYFORMULA(VLOOKUP(A1183,IMPORTRANGE(""https://docs.google.com/spreadsheets/d/1BuTWp7qHGjWhqrnf-OmePP568O4A5Am9ttzvVdP67zw/edit#gid=771602874"" ,""HUMAN RESOURCES!$A$2:$M$2692""), {2,3,4,5,6,7,8,9,10,11,12,13},0))"),0.021)</f>
        <v>0.021</v>
      </c>
      <c r="Q1183" s="14">
        <f>IFERROR(__xludf.DUMMYFUNCTION("""COMPUTED_VALUE"""),0.003)</f>
        <v>0.003</v>
      </c>
      <c r="R1183" s="14">
        <f>IFERROR(__xludf.DUMMYFUNCTION("""COMPUTED_VALUE"""),84.0)</f>
        <v>84</v>
      </c>
      <c r="S1183" s="14">
        <f>IFERROR(__xludf.DUMMYFUNCTION("""COMPUTED_VALUE"""),80.0)</f>
        <v>80</v>
      </c>
      <c r="T1183" s="14">
        <f>IFERROR(__xludf.DUMMYFUNCTION("""COMPUTED_VALUE"""),0.273)</f>
        <v>0.273</v>
      </c>
      <c r="U1183" s="14">
        <f>IFERROR(__xludf.DUMMYFUNCTION("""COMPUTED_VALUE"""),0.622)</f>
        <v>0.622</v>
      </c>
      <c r="V1183" s="14">
        <f>IFERROR(__xludf.DUMMYFUNCTION("""COMPUTED_VALUE"""),0.105)</f>
        <v>0.105</v>
      </c>
      <c r="W1183" s="14">
        <f>IFERROR(__xludf.DUMMYFUNCTION("""COMPUTED_VALUE"""),7765800.0)</f>
        <v>7765800</v>
      </c>
      <c r="X1183" s="14">
        <f>IFERROR(__xludf.DUMMYFUNCTION("""COMPUTED_VALUE"""),0.919)</f>
        <v>0.919</v>
      </c>
      <c r="Y1183" s="14" t="str">
        <f>IFERROR(__xludf.DUMMYFUNCTION("""COMPUTED_VALUE"""),"Israel-Middle East")</f>
        <v>Israel-Middle East</v>
      </c>
      <c r="Z1183" s="14" t="str">
        <f>IFERROR(__xludf.DUMMYFUNCTION("""COMPUTED_VALUE"""),"Middle East")</f>
        <v>Middle East</v>
      </c>
      <c r="AA1183" s="14" t="str">
        <f>IFERROR(__xludf.DUMMYFUNCTION("""COMPUTED_VALUE"""),"2011")</f>
        <v>2011</v>
      </c>
      <c r="AB1183" s="15" t="str">
        <f>IFERROR(__xludf.DUMMYFUNCTION("ARRAYFORMULA(VLOOKUP(A1183,IMPORTRANGE(""https://docs.google.com/spreadsheets/d/1BuTWp7qHGjWhqrnf-OmePP568O4A5Am9ttzvVdP67zw/edit#gid=1931367683"" ,""ENERGY!$A$2:$F$2692""), {2,3,4,5,6},0))"),"Middle East")</f>
        <v>Middle East</v>
      </c>
      <c r="AC1183" s="14" t="str">
        <f>IFERROR(__xludf.DUMMYFUNCTION("""COMPUTED_VALUE"""),"Israel-Middle East")</f>
        <v>Israel-Middle East</v>
      </c>
      <c r="AD1183" s="14" t="str">
        <f>IFERROR(__xludf.DUMMYFUNCTION("""COMPUTED_VALUE"""),"2005")</f>
        <v>2005</v>
      </c>
      <c r="AE1183" s="14">
        <f>IFERROR(__xludf.DUMMYFUNCTION("""COMPUTED_VALUE"""),19143.0)</f>
        <v>19143</v>
      </c>
      <c r="AF1183" s="14">
        <f>IFERROR(__xludf.DUMMYFUNCTION("""COMPUTED_VALUE"""),65749.0)</f>
        <v>65749</v>
      </c>
    </row>
    <row r="1184">
      <c r="A1184" s="12">
        <v>1183.0</v>
      </c>
      <c r="B1184" s="12" t="s">
        <v>169</v>
      </c>
      <c r="C1184" s="5" t="s">
        <v>93</v>
      </c>
      <c r="D1184" s="11">
        <v>0.29</v>
      </c>
      <c r="E1184" s="11">
        <v>21.0</v>
      </c>
      <c r="F1184" s="11">
        <v>33.0</v>
      </c>
      <c r="G1184" s="11">
        <v>235.0</v>
      </c>
      <c r="H1184" s="11">
        <v>0.708</v>
      </c>
      <c r="I1184" s="11">
        <v>1.207</v>
      </c>
      <c r="J1184" s="9" t="s">
        <v>73</v>
      </c>
      <c r="K1184" s="14" t="str">
        <f>IFERROR(__xludf.DUMMYFUNCTION("ARRAYFORMULA(VLOOKUP(A1184,IMPORTRANGE(""https://docs.google.com/spreadsheets/d/1BuTWp7qHGjWhqrnf-OmePP568O4A5Am9ttzvVdP67zw/edit#gid=1603210130"", ""TOURISM!$A$2:$F$2692""), {2,3,4,5,6},0))"),"Middle East")</f>
        <v>Middle East</v>
      </c>
      <c r="L1184" s="14">
        <f>IFERROR(__xludf.DUMMYFUNCTION("""COMPUTED_VALUE"""),6.225E9)</f>
        <v>6225000000</v>
      </c>
      <c r="M1184" s="14" t="str">
        <f>IFERROR(__xludf.DUMMYFUNCTION("""COMPUTED_VALUE"""),"Israel-Middle East")</f>
        <v>Israel-Middle East</v>
      </c>
      <c r="N1184" s="14" t="str">
        <f>IFERROR(__xludf.DUMMYFUNCTION("""COMPUTED_VALUE"""),"2012")</f>
        <v>2012</v>
      </c>
      <c r="O1184" s="14">
        <f>IFERROR(__xludf.DUMMYFUNCTION("""COMPUTED_VALUE"""),4.851E9)</f>
        <v>4851000000</v>
      </c>
      <c r="P1184" s="15">
        <f>IFERROR(__xludf.DUMMYFUNCTION("ARRAYFORMULA(VLOOKUP(A1184,IMPORTRANGE(""https://docs.google.com/spreadsheets/d/1BuTWp7qHGjWhqrnf-OmePP568O4A5Am9ttzvVdP67zw/edit#gid=771602874"" ,""HUMAN RESOURCES!$A$2:$M$2692""), {2,3,4,5,6,7,8,9,10,11,12,13},0))"),0.022)</f>
        <v>0.022</v>
      </c>
      <c r="Q1184" s="14">
        <f>IFERROR(__xludf.DUMMYFUNCTION("""COMPUTED_VALUE"""),0.003)</f>
        <v>0.003</v>
      </c>
      <c r="R1184" s="14">
        <f>IFERROR(__xludf.DUMMYFUNCTION("""COMPUTED_VALUE"""),84.0)</f>
        <v>84</v>
      </c>
      <c r="S1184" s="14">
        <f>IFERROR(__xludf.DUMMYFUNCTION("""COMPUTED_VALUE"""),80.0)</f>
        <v>80</v>
      </c>
      <c r="T1184" s="14">
        <f>IFERROR(__xludf.DUMMYFUNCTION("""COMPUTED_VALUE"""),0.275)</f>
        <v>0.275</v>
      </c>
      <c r="U1184" s="14">
        <f>IFERROR(__xludf.DUMMYFUNCTION("""COMPUTED_VALUE"""),0.619)</f>
        <v>0.619</v>
      </c>
      <c r="V1184" s="14">
        <f>IFERROR(__xludf.DUMMYFUNCTION("""COMPUTED_VALUE"""),0.105)</f>
        <v>0.105</v>
      </c>
      <c r="W1184" s="14">
        <f>IFERROR(__xludf.DUMMYFUNCTION("""COMPUTED_VALUE"""),7910500.0)</f>
        <v>7910500</v>
      </c>
      <c r="X1184" s="14">
        <f>IFERROR(__xludf.DUMMYFUNCTION("""COMPUTED_VALUE"""),0.919)</f>
        <v>0.919</v>
      </c>
      <c r="Y1184" s="14" t="str">
        <f>IFERROR(__xludf.DUMMYFUNCTION("""COMPUTED_VALUE"""),"Israel-Middle East")</f>
        <v>Israel-Middle East</v>
      </c>
      <c r="Z1184" s="14" t="str">
        <f>IFERROR(__xludf.DUMMYFUNCTION("""COMPUTED_VALUE"""),"Middle East")</f>
        <v>Middle East</v>
      </c>
      <c r="AA1184" s="14" t="str">
        <f>IFERROR(__xludf.DUMMYFUNCTION("""COMPUTED_VALUE"""),"2012")</f>
        <v>2012</v>
      </c>
      <c r="AB1184" s="15" t="str">
        <f>IFERROR(__xludf.DUMMYFUNCTION("ARRAYFORMULA(VLOOKUP(A1184,IMPORTRANGE(""https://docs.google.com/spreadsheets/d/1BuTWp7qHGjWhqrnf-OmePP568O4A5Am9ttzvVdP67zw/edit#gid=1931367683"" ,""ENERGY!$A$2:$F$2692""), {2,3,4,5,6},0))"),"Middle East")</f>
        <v>Middle East</v>
      </c>
      <c r="AC1184" s="14" t="str">
        <f>IFERROR(__xludf.DUMMYFUNCTION("""COMPUTED_VALUE"""),"Israel-Middle East")</f>
        <v>Israel-Middle East</v>
      </c>
      <c r="AD1184" s="14" t="str">
        <f>IFERROR(__xludf.DUMMYFUNCTION("""COMPUTED_VALUE"""),"2010")</f>
        <v>2010</v>
      </c>
      <c r="AE1184" s="14">
        <f>IFERROR(__xludf.DUMMYFUNCTION("""COMPUTED_VALUE"""),18234.0)</f>
        <v>18234</v>
      </c>
      <c r="AF1184" s="14">
        <f>IFERROR(__xludf.DUMMYFUNCTION("""COMPUTED_VALUE"""),62691.0)</f>
        <v>62691</v>
      </c>
    </row>
    <row r="1185">
      <c r="A1185" s="12">
        <v>1184.0</v>
      </c>
      <c r="B1185" s="12" t="s">
        <v>170</v>
      </c>
      <c r="C1185" s="5" t="s">
        <v>75</v>
      </c>
      <c r="D1185" s="8"/>
      <c r="E1185" s="8"/>
      <c r="F1185" s="8"/>
      <c r="G1185" s="8"/>
      <c r="H1185" s="11">
        <v>0.231</v>
      </c>
      <c r="I1185" s="11">
        <v>0.741</v>
      </c>
      <c r="J1185" s="9" t="s">
        <v>60</v>
      </c>
      <c r="K1185" s="14" t="str">
        <f>IFERROR(__xludf.DUMMYFUNCTION("ARRAYFORMULA(VLOOKUP(A1185,IMPORTRANGE(""https://docs.google.com/spreadsheets/d/1BuTWp7qHGjWhqrnf-OmePP568O4A5Am9ttzvVdP67zw/edit#gid=1603210130"", ""TOURISM!$A$2:$F$2692""), {2,3,4,5,6},0))"),"Europe")</f>
        <v>Europe</v>
      </c>
      <c r="L1185" s="14">
        <f>IFERROR(__xludf.DUMMYFUNCTION("""COMPUTED_VALUE"""),2.8706E10)</f>
        <v>28706000000</v>
      </c>
      <c r="M1185" s="14" t="str">
        <f>IFERROR(__xludf.DUMMYFUNCTION("""COMPUTED_VALUE"""),"Italy-Europe")</f>
        <v>Italy-Europe</v>
      </c>
      <c r="N1185" s="14" t="str">
        <f>IFERROR(__xludf.DUMMYFUNCTION("""COMPUTED_VALUE"""),"2000")</f>
        <v>2000</v>
      </c>
      <c r="O1185" s="14">
        <f>IFERROR(__xludf.DUMMYFUNCTION("""COMPUTED_VALUE"""),1.8169E10)</f>
        <v>18169000000</v>
      </c>
      <c r="P1185" s="15">
        <f>IFERROR(__xludf.DUMMYFUNCTION("ARRAYFORMULA(VLOOKUP(A1185,IMPORTRANGE(""https://docs.google.com/spreadsheets/d/1BuTWp7qHGjWhqrnf-OmePP568O4A5Am9ttzvVdP67zw/edit#gid=771602874"" ,""HUMAN RESOURCES!$A$2:$M$2692""), {2,3,4,5,6,7,8,9,10,11,12,13},0))"),0.01)</f>
        <v>0.01</v>
      </c>
      <c r="Q1185" s="14">
        <f>IFERROR(__xludf.DUMMYFUNCTION("""COMPUTED_VALUE"""),0.005)</f>
        <v>0.005</v>
      </c>
      <c r="R1185" s="14">
        <f>IFERROR(__xludf.DUMMYFUNCTION("""COMPUTED_VALUE"""),83.0)</f>
        <v>83</v>
      </c>
      <c r="S1185" s="14">
        <f>IFERROR(__xludf.DUMMYFUNCTION("""COMPUTED_VALUE"""),77.0)</f>
        <v>77</v>
      </c>
      <c r="T1185" s="14">
        <f>IFERROR(__xludf.DUMMYFUNCTION("""COMPUTED_VALUE"""),0.143)</f>
        <v>0.143</v>
      </c>
      <c r="U1185" s="14">
        <f>IFERROR(__xludf.DUMMYFUNCTION("""COMPUTED_VALUE"""),0.674)</f>
        <v>0.674</v>
      </c>
      <c r="V1185" s="14">
        <f>IFERROR(__xludf.DUMMYFUNCTION("""COMPUTED_VALUE"""),0.183)</f>
        <v>0.183</v>
      </c>
      <c r="W1185" s="14">
        <f>IFERROR(__xludf.DUMMYFUNCTION("""COMPUTED_VALUE"""),5.6942108E7)</f>
        <v>56942108</v>
      </c>
      <c r="X1185" s="14">
        <f>IFERROR(__xludf.DUMMYFUNCTION("""COMPUTED_VALUE"""),0.672)</f>
        <v>0.672</v>
      </c>
      <c r="Y1185" s="14" t="str">
        <f>IFERROR(__xludf.DUMMYFUNCTION("""COMPUTED_VALUE"""),"Italy-Europe")</f>
        <v>Italy-Europe</v>
      </c>
      <c r="Z1185" s="14" t="str">
        <f>IFERROR(__xludf.DUMMYFUNCTION("""COMPUTED_VALUE"""),"Europe")</f>
        <v>Europe</v>
      </c>
      <c r="AA1185" s="14" t="str">
        <f>IFERROR(__xludf.DUMMYFUNCTION("""COMPUTED_VALUE"""),"2000")</f>
        <v>2000</v>
      </c>
      <c r="AB1185" s="15" t="str">
        <f>IFERROR(__xludf.DUMMYFUNCTION("ARRAYFORMULA(VLOOKUP(A1185,IMPORTRANGE(""https://docs.google.com/spreadsheets/d/1BuTWp7qHGjWhqrnf-OmePP568O4A5Am9ttzvVdP67zw/edit#gid=1931367683"" ,""ENERGY!$A$2:$F$2692""), {2,3,4,5,6},0))"),"Europe")</f>
        <v>Europe</v>
      </c>
      <c r="AC1185" s="14" t="str">
        <f>IFERROR(__xludf.DUMMYFUNCTION("""COMPUTED_VALUE"""),"Italy-Europe")</f>
        <v>Italy-Europe</v>
      </c>
      <c r="AD1185" s="14" t="str">
        <f>IFERROR(__xludf.DUMMYFUNCTION("""COMPUTED_VALUE"""),"2000")</f>
        <v>2000</v>
      </c>
      <c r="AE1185" s="14">
        <f>IFERROR(__xludf.DUMMYFUNCTION("""COMPUTED_VALUE"""),158616.0)</f>
        <v>158616</v>
      </c>
      <c r="AF1185" s="14"/>
    </row>
    <row r="1186">
      <c r="A1186" s="12">
        <v>1185.0</v>
      </c>
      <c r="B1186" s="12" t="s">
        <v>170</v>
      </c>
      <c r="C1186" s="5" t="s">
        <v>75</v>
      </c>
      <c r="D1186" s="8"/>
      <c r="E1186" s="8"/>
      <c r="F1186" s="8"/>
      <c r="G1186" s="8"/>
      <c r="H1186" s="11">
        <v>0.272</v>
      </c>
      <c r="I1186" s="11">
        <v>0.896</v>
      </c>
      <c r="J1186" s="9" t="s">
        <v>62</v>
      </c>
      <c r="K1186" s="14" t="str">
        <f>IFERROR(__xludf.DUMMYFUNCTION("ARRAYFORMULA(VLOOKUP(A1186,IMPORTRANGE(""https://docs.google.com/spreadsheets/d/1BuTWp7qHGjWhqrnf-OmePP568O4A5Am9ttzvVdP67zw/edit#gid=1603210130"", ""TOURISM!$A$2:$F$2692""), {2,3,4,5,6},0))"),"Europe")</f>
        <v>Europe</v>
      </c>
      <c r="L1186" s="14">
        <f>IFERROR(__xludf.DUMMYFUNCTION("""COMPUTED_VALUE"""),2.6916E10)</f>
        <v>26916000000</v>
      </c>
      <c r="M1186" s="14" t="str">
        <f>IFERROR(__xludf.DUMMYFUNCTION("""COMPUTED_VALUE"""),"Italy-Europe")</f>
        <v>Italy-Europe</v>
      </c>
      <c r="N1186" s="14" t="str">
        <f>IFERROR(__xludf.DUMMYFUNCTION("""COMPUTED_VALUE"""),"2001")</f>
        <v>2001</v>
      </c>
      <c r="O1186" s="14">
        <f>IFERROR(__xludf.DUMMYFUNCTION("""COMPUTED_VALUE"""),1.6997E10)</f>
        <v>16997000000</v>
      </c>
      <c r="P1186" s="15">
        <f>IFERROR(__xludf.DUMMYFUNCTION("ARRAYFORMULA(VLOOKUP(A1186,IMPORTRANGE(""https://docs.google.com/spreadsheets/d/1BuTWp7qHGjWhqrnf-OmePP568O4A5Am9ttzvVdP67zw/edit#gid=771602874"" ,""HUMAN RESOURCES!$A$2:$M$2692""), {2,3,4,5,6,7,8,9,10,11,12,13},0))"),0.009)</f>
        <v>0.009</v>
      </c>
      <c r="Q1186" s="14">
        <f>IFERROR(__xludf.DUMMYFUNCTION("""COMPUTED_VALUE"""),0.004)</f>
        <v>0.004</v>
      </c>
      <c r="R1186" s="14">
        <f>IFERROR(__xludf.DUMMYFUNCTION("""COMPUTED_VALUE"""),83.0)</f>
        <v>83</v>
      </c>
      <c r="S1186" s="14">
        <f>IFERROR(__xludf.DUMMYFUNCTION("""COMPUTED_VALUE"""),77.0)</f>
        <v>77</v>
      </c>
      <c r="T1186" s="14">
        <f>IFERROR(__xludf.DUMMYFUNCTION("""COMPUTED_VALUE"""),0.143)</f>
        <v>0.143</v>
      </c>
      <c r="U1186" s="14">
        <f>IFERROR(__xludf.DUMMYFUNCTION("""COMPUTED_VALUE"""),0.672)</f>
        <v>0.672</v>
      </c>
      <c r="V1186" s="14">
        <f>IFERROR(__xludf.DUMMYFUNCTION("""COMPUTED_VALUE"""),0.186)</f>
        <v>0.186</v>
      </c>
      <c r="W1186" s="14">
        <f>IFERROR(__xludf.DUMMYFUNCTION("""COMPUTED_VALUE"""),5.69741E7)</f>
        <v>56974100</v>
      </c>
      <c r="X1186" s="14">
        <f>IFERROR(__xludf.DUMMYFUNCTION("""COMPUTED_VALUE"""),0.673)</f>
        <v>0.673</v>
      </c>
      <c r="Y1186" s="14" t="str">
        <f>IFERROR(__xludf.DUMMYFUNCTION("""COMPUTED_VALUE"""),"Italy-Europe")</f>
        <v>Italy-Europe</v>
      </c>
      <c r="Z1186" s="14" t="str">
        <f>IFERROR(__xludf.DUMMYFUNCTION("""COMPUTED_VALUE"""),"Europe")</f>
        <v>Europe</v>
      </c>
      <c r="AA1186" s="14" t="str">
        <f>IFERROR(__xludf.DUMMYFUNCTION("""COMPUTED_VALUE"""),"2001")</f>
        <v>2001</v>
      </c>
      <c r="AB1186" s="15" t="str">
        <f>IFERROR(__xludf.DUMMYFUNCTION("ARRAYFORMULA(VLOOKUP(A1186,IMPORTRANGE(""https://docs.google.com/spreadsheets/d/1BuTWp7qHGjWhqrnf-OmePP568O4A5Am9ttzvVdP67zw/edit#gid=1931367683"" ,""ENERGY!$A$2:$F$2692""), {2,3,4,5,6},0))"),"Europe")</f>
        <v>Europe</v>
      </c>
      <c r="AC1186" s="14" t="str">
        <f>IFERROR(__xludf.DUMMYFUNCTION("""COMPUTED_VALUE"""),"Italy-Europe")</f>
        <v>Italy-Europe</v>
      </c>
      <c r="AD1186" s="14" t="str">
        <f>IFERROR(__xludf.DUMMYFUNCTION("""COMPUTED_VALUE"""),"2001")</f>
        <v>2001</v>
      </c>
      <c r="AE1186" s="14">
        <f>IFERROR(__xludf.DUMMYFUNCTION("""COMPUTED_VALUE"""),167416.0)</f>
        <v>167416</v>
      </c>
      <c r="AF1186" s="14"/>
    </row>
    <row r="1187">
      <c r="A1187" s="12">
        <v>1186.0</v>
      </c>
      <c r="B1187" s="12" t="s">
        <v>170</v>
      </c>
      <c r="C1187" s="5" t="s">
        <v>75</v>
      </c>
      <c r="D1187" s="8"/>
      <c r="E1187" s="8"/>
      <c r="F1187" s="8"/>
      <c r="G1187" s="8"/>
      <c r="H1187" s="11">
        <v>0.28</v>
      </c>
      <c r="I1187" s="11">
        <v>0.943</v>
      </c>
      <c r="J1187" s="9" t="s">
        <v>63</v>
      </c>
      <c r="K1187" s="14" t="str">
        <f>IFERROR(__xludf.DUMMYFUNCTION("ARRAYFORMULA(VLOOKUP(A1187,IMPORTRANGE(""https://docs.google.com/spreadsheets/d/1BuTWp7qHGjWhqrnf-OmePP568O4A5Am9ttzvVdP67zw/edit#gid=1603210130"", ""TOURISM!$A$2:$F$2692""), {2,3,4,5,6},0))"),"Europe")</f>
        <v>Europe</v>
      </c>
      <c r="L1187" s="14">
        <f>IFERROR(__xludf.DUMMYFUNCTION("""COMPUTED_VALUE"""),2.8192E10)</f>
        <v>28192000000</v>
      </c>
      <c r="M1187" s="14" t="str">
        <f>IFERROR(__xludf.DUMMYFUNCTION("""COMPUTED_VALUE"""),"Italy-Europe")</f>
        <v>Italy-Europe</v>
      </c>
      <c r="N1187" s="14" t="str">
        <f>IFERROR(__xludf.DUMMYFUNCTION("""COMPUTED_VALUE"""),"2002")</f>
        <v>2002</v>
      </c>
      <c r="O1187" s="14">
        <f>IFERROR(__xludf.DUMMYFUNCTION("""COMPUTED_VALUE"""),1.9636E10)</f>
        <v>19636000000</v>
      </c>
      <c r="P1187" s="15">
        <f>IFERROR(__xludf.DUMMYFUNCTION("ARRAYFORMULA(VLOOKUP(A1187,IMPORTRANGE(""https://docs.google.com/spreadsheets/d/1BuTWp7qHGjWhqrnf-OmePP568O4A5Am9ttzvVdP67zw/edit#gid=771602874"" ,""HUMAN RESOURCES!$A$2:$M$2692""), {2,3,4,5,6,7,8,9,10,11,12,13},0))"),0.009)</f>
        <v>0.009</v>
      </c>
      <c r="Q1187" s="14">
        <f>IFERROR(__xludf.DUMMYFUNCTION("""COMPUTED_VALUE"""),0.004)</f>
        <v>0.004</v>
      </c>
      <c r="R1187" s="14">
        <f>IFERROR(__xludf.DUMMYFUNCTION("""COMPUTED_VALUE"""),83.0)</f>
        <v>83</v>
      </c>
      <c r="S1187" s="14">
        <f>IFERROR(__xludf.DUMMYFUNCTION("""COMPUTED_VALUE"""),77.0)</f>
        <v>77</v>
      </c>
      <c r="T1187" s="14">
        <f>IFERROR(__xludf.DUMMYFUNCTION("""COMPUTED_VALUE"""),0.142)</f>
        <v>0.142</v>
      </c>
      <c r="U1187" s="14">
        <f>IFERROR(__xludf.DUMMYFUNCTION("""COMPUTED_VALUE"""),0.669)</f>
        <v>0.669</v>
      </c>
      <c r="V1187" s="14">
        <f>IFERROR(__xludf.DUMMYFUNCTION("""COMPUTED_VALUE"""),0.189)</f>
        <v>0.189</v>
      </c>
      <c r="W1187" s="14">
        <f>IFERROR(__xludf.DUMMYFUNCTION("""COMPUTED_VALUE"""),5.7059007E7)</f>
        <v>57059007</v>
      </c>
      <c r="X1187" s="14">
        <f>IFERROR(__xludf.DUMMYFUNCTION("""COMPUTED_VALUE"""),0.674)</f>
        <v>0.674</v>
      </c>
      <c r="Y1187" s="14" t="str">
        <f>IFERROR(__xludf.DUMMYFUNCTION("""COMPUTED_VALUE"""),"Italy-Europe")</f>
        <v>Italy-Europe</v>
      </c>
      <c r="Z1187" s="14" t="str">
        <f>IFERROR(__xludf.DUMMYFUNCTION("""COMPUTED_VALUE"""),"Europe")</f>
        <v>Europe</v>
      </c>
      <c r="AA1187" s="14" t="str">
        <f>IFERROR(__xludf.DUMMYFUNCTION("""COMPUTED_VALUE"""),"2002")</f>
        <v>2002</v>
      </c>
      <c r="AB1187" s="15" t="str">
        <f>IFERROR(__xludf.DUMMYFUNCTION("ARRAYFORMULA(VLOOKUP(A1187,IMPORTRANGE(""https://docs.google.com/spreadsheets/d/1BuTWp7qHGjWhqrnf-OmePP568O4A5Am9ttzvVdP67zw/edit#gid=1931367683"" ,""ENERGY!$A$2:$F$2692""), {2,3,4,5,6},0))"),"Europe")</f>
        <v>Europe</v>
      </c>
      <c r="AC1187" s="14" t="str">
        <f>IFERROR(__xludf.DUMMYFUNCTION("""COMPUTED_VALUE"""),"Italy-Europe")</f>
        <v>Italy-Europe</v>
      </c>
      <c r="AD1187" s="14" t="str">
        <f>IFERROR(__xludf.DUMMYFUNCTION("""COMPUTED_VALUE"""),"2002")</f>
        <v>2002</v>
      </c>
      <c r="AE1187" s="14">
        <f>IFERROR(__xludf.DUMMYFUNCTION("""COMPUTED_VALUE"""),170239.0)</f>
        <v>170239</v>
      </c>
      <c r="AF1187" s="14">
        <f>IFERROR(__xludf.DUMMYFUNCTION("""COMPUTED_VALUE"""),406307.0)</f>
        <v>406307</v>
      </c>
    </row>
    <row r="1188">
      <c r="A1188" s="12">
        <v>1187.0</v>
      </c>
      <c r="B1188" s="12" t="s">
        <v>170</v>
      </c>
      <c r="C1188" s="5" t="s">
        <v>75</v>
      </c>
      <c r="D1188" s="8"/>
      <c r="E1188" s="11">
        <v>23.0</v>
      </c>
      <c r="F1188" s="8"/>
      <c r="G1188" s="8"/>
      <c r="H1188" s="11">
        <v>0.29</v>
      </c>
      <c r="I1188" s="11">
        <v>0.981</v>
      </c>
      <c r="J1188" s="9" t="s">
        <v>64</v>
      </c>
      <c r="K1188" s="14" t="str">
        <f>IFERROR(__xludf.DUMMYFUNCTION("ARRAYFORMULA(VLOOKUP(A1188,IMPORTRANGE(""https://docs.google.com/spreadsheets/d/1BuTWp7qHGjWhqrnf-OmePP568O4A5Am9ttzvVdP67zw/edit#gid=1603210130"", ""TOURISM!$A$2:$F$2692""), {2,3,4,5,6},0))"),"Europe")</f>
        <v>Europe</v>
      </c>
      <c r="L1188" s="14">
        <f>IFERROR(__xludf.DUMMYFUNCTION("""COMPUTED_VALUE"""),3.2591E10)</f>
        <v>32591000000</v>
      </c>
      <c r="M1188" s="14" t="str">
        <f>IFERROR(__xludf.DUMMYFUNCTION("""COMPUTED_VALUE"""),"Italy-Europe")</f>
        <v>Italy-Europe</v>
      </c>
      <c r="N1188" s="14" t="str">
        <f>IFERROR(__xludf.DUMMYFUNCTION("""COMPUTED_VALUE"""),"2003")</f>
        <v>2003</v>
      </c>
      <c r="O1188" s="14">
        <f>IFERROR(__xludf.DUMMYFUNCTION("""COMPUTED_VALUE"""),2.3731E10)</f>
        <v>23731000000</v>
      </c>
      <c r="P1188" s="15">
        <f>IFERROR(__xludf.DUMMYFUNCTION("ARRAYFORMULA(VLOOKUP(A1188,IMPORTRANGE(""https://docs.google.com/spreadsheets/d/1BuTWp7qHGjWhqrnf-OmePP568O4A5Am9ttzvVdP67zw/edit#gid=771602874"" ,""HUMAN RESOURCES!$A$2:$M$2692""), {2,3,4,5,6,7,8,9,10,11,12,13},0))"),0.009)</f>
        <v>0.009</v>
      </c>
      <c r="Q1188" s="14">
        <f>IFERROR(__xludf.DUMMYFUNCTION("""COMPUTED_VALUE"""),0.004)</f>
        <v>0.004</v>
      </c>
      <c r="R1188" s="14">
        <f>IFERROR(__xludf.DUMMYFUNCTION("""COMPUTED_VALUE"""),83.0)</f>
        <v>83</v>
      </c>
      <c r="S1188" s="14">
        <f>IFERROR(__xludf.DUMMYFUNCTION("""COMPUTED_VALUE"""),77.0)</f>
        <v>77</v>
      </c>
      <c r="T1188" s="14">
        <f>IFERROR(__xludf.DUMMYFUNCTION("""COMPUTED_VALUE"""),0.142)</f>
        <v>0.142</v>
      </c>
      <c r="U1188" s="14">
        <f>IFERROR(__xludf.DUMMYFUNCTION("""COMPUTED_VALUE"""),0.667)</f>
        <v>0.667</v>
      </c>
      <c r="V1188" s="14">
        <f>IFERROR(__xludf.DUMMYFUNCTION("""COMPUTED_VALUE"""),0.192)</f>
        <v>0.192</v>
      </c>
      <c r="W1188" s="14">
        <f>IFERROR(__xludf.DUMMYFUNCTION("""COMPUTED_VALUE"""),5.7313203E7)</f>
        <v>57313203</v>
      </c>
      <c r="X1188" s="14">
        <f>IFERROR(__xludf.DUMMYFUNCTION("""COMPUTED_VALUE"""),0.675)</f>
        <v>0.675</v>
      </c>
      <c r="Y1188" s="14" t="str">
        <f>IFERROR(__xludf.DUMMYFUNCTION("""COMPUTED_VALUE"""),"Italy-Europe")</f>
        <v>Italy-Europe</v>
      </c>
      <c r="Z1188" s="14" t="str">
        <f>IFERROR(__xludf.DUMMYFUNCTION("""COMPUTED_VALUE"""),"Europe")</f>
        <v>Europe</v>
      </c>
      <c r="AA1188" s="14" t="str">
        <f>IFERROR(__xludf.DUMMYFUNCTION("""COMPUTED_VALUE"""),"2003")</f>
        <v>2003</v>
      </c>
      <c r="AB1188" s="15" t="str">
        <f>IFERROR(__xludf.DUMMYFUNCTION("ARRAYFORMULA(VLOOKUP(A1188,IMPORTRANGE(""https://docs.google.com/spreadsheets/d/1BuTWp7qHGjWhqrnf-OmePP568O4A5Am9ttzvVdP67zw/edit#gid=1931367683"" ,""ENERGY!$A$2:$F$2692""), {2,3,4,5,6},0))"),"Europe")</f>
        <v>Europe</v>
      </c>
      <c r="AC1188" s="14" t="str">
        <f>IFERROR(__xludf.DUMMYFUNCTION("""COMPUTED_VALUE"""),"Italy-Europe")</f>
        <v>Italy-Europe</v>
      </c>
      <c r="AD1188" s="14" t="str">
        <f>IFERROR(__xludf.DUMMYFUNCTION("""COMPUTED_VALUE"""),"2003")</f>
        <v>2003</v>
      </c>
      <c r="AE1188" s="14">
        <f>IFERROR(__xludf.DUMMYFUNCTION("""COMPUTED_VALUE"""),164858.0)</f>
        <v>164858</v>
      </c>
      <c r="AF1188" s="14">
        <f>IFERROR(__xludf.DUMMYFUNCTION("""COMPUTED_VALUE"""),401592.0)</f>
        <v>401592</v>
      </c>
    </row>
    <row r="1189">
      <c r="A1189" s="12">
        <v>1188.0</v>
      </c>
      <c r="B1189" s="12" t="s">
        <v>170</v>
      </c>
      <c r="C1189" s="5" t="s">
        <v>75</v>
      </c>
      <c r="D1189" s="8"/>
      <c r="E1189" s="11">
        <v>13.0</v>
      </c>
      <c r="F1189" s="8"/>
      <c r="G1189" s="8"/>
      <c r="H1189" s="11">
        <v>0.332</v>
      </c>
      <c r="I1189" s="11">
        <v>1.077</v>
      </c>
      <c r="J1189" s="9" t="s">
        <v>65</v>
      </c>
      <c r="K1189" s="14" t="str">
        <f>IFERROR(__xludf.DUMMYFUNCTION("ARRAYFORMULA(VLOOKUP(A1189,IMPORTRANGE(""https://docs.google.com/spreadsheets/d/1BuTWp7qHGjWhqrnf-OmePP568O4A5Am9ttzvVdP67zw/edit#gid=1603210130"", ""TOURISM!$A$2:$F$2692""), {2,3,4,5,6},0))"),"Europe")</f>
        <v>Europe</v>
      </c>
      <c r="L1189" s="14">
        <f>IFERROR(__xludf.DUMMYFUNCTION("""COMPUTED_VALUE"""),3.787E10)</f>
        <v>37870000000</v>
      </c>
      <c r="M1189" s="14" t="str">
        <f>IFERROR(__xludf.DUMMYFUNCTION("""COMPUTED_VALUE"""),"Italy-Europe")</f>
        <v>Italy-Europe</v>
      </c>
      <c r="N1189" s="14" t="str">
        <f>IFERROR(__xludf.DUMMYFUNCTION("""COMPUTED_VALUE"""),"2004")</f>
        <v>2004</v>
      </c>
      <c r="O1189" s="14">
        <f>IFERROR(__xludf.DUMMYFUNCTION("""COMPUTED_VALUE"""),2.4064E10)</f>
        <v>24064000000</v>
      </c>
      <c r="P1189" s="15">
        <f>IFERROR(__xludf.DUMMYFUNCTION("ARRAYFORMULA(VLOOKUP(A1189,IMPORTRANGE(""https://docs.google.com/spreadsheets/d/1BuTWp7qHGjWhqrnf-OmePP568O4A5Am9ttzvVdP67zw/edit#gid=771602874"" ,""HUMAN RESOURCES!$A$2:$M$2692""), {2,3,4,5,6,7,8,9,10,11,12,13},0))"),0.01)</f>
        <v>0.01</v>
      </c>
      <c r="Q1189" s="14">
        <f>IFERROR(__xludf.DUMMYFUNCTION("""COMPUTED_VALUE"""),0.004)</f>
        <v>0.004</v>
      </c>
      <c r="R1189" s="14">
        <f>IFERROR(__xludf.DUMMYFUNCTION("""COMPUTED_VALUE"""),84.0)</f>
        <v>84</v>
      </c>
      <c r="S1189" s="14">
        <f>IFERROR(__xludf.DUMMYFUNCTION("""COMPUTED_VALUE"""),78.0)</f>
        <v>78</v>
      </c>
      <c r="T1189" s="14">
        <f>IFERROR(__xludf.DUMMYFUNCTION("""COMPUTED_VALUE"""),0.141)</f>
        <v>0.141</v>
      </c>
      <c r="U1189" s="14">
        <f>IFERROR(__xludf.DUMMYFUNCTION("""COMPUTED_VALUE"""),0.665)</f>
        <v>0.665</v>
      </c>
      <c r="V1189" s="14">
        <f>IFERROR(__xludf.DUMMYFUNCTION("""COMPUTED_VALUE"""),0.194)</f>
        <v>0.194</v>
      </c>
      <c r="W1189" s="14">
        <f>IFERROR(__xludf.DUMMYFUNCTION("""COMPUTED_VALUE"""),5.7685327E7)</f>
        <v>57685327</v>
      </c>
      <c r="X1189" s="14">
        <f>IFERROR(__xludf.DUMMYFUNCTION("""COMPUTED_VALUE"""),0.676)</f>
        <v>0.676</v>
      </c>
      <c r="Y1189" s="14" t="str">
        <f>IFERROR(__xludf.DUMMYFUNCTION("""COMPUTED_VALUE"""),"Italy-Europe")</f>
        <v>Italy-Europe</v>
      </c>
      <c r="Z1189" s="14" t="str">
        <f>IFERROR(__xludf.DUMMYFUNCTION("""COMPUTED_VALUE"""),"Europe")</f>
        <v>Europe</v>
      </c>
      <c r="AA1189" s="14" t="str">
        <f>IFERROR(__xludf.DUMMYFUNCTION("""COMPUTED_VALUE"""),"2004")</f>
        <v>2004</v>
      </c>
      <c r="AB1189" s="15" t="str">
        <f>IFERROR(__xludf.DUMMYFUNCTION("ARRAYFORMULA(VLOOKUP(A1189,IMPORTRANGE(""https://docs.google.com/spreadsheets/d/1BuTWp7qHGjWhqrnf-OmePP568O4A5Am9ttzvVdP67zw/edit#gid=1931367683"" ,""ENERGY!$A$2:$F$2692""), {2,3,4,5,6},0))"),"Europe")</f>
        <v>Europe</v>
      </c>
      <c r="AC1189" s="14" t="str">
        <f>IFERROR(__xludf.DUMMYFUNCTION("""COMPUTED_VALUE"""),"Italy-Europe")</f>
        <v>Italy-Europe</v>
      </c>
      <c r="AD1189" s="14" t="str">
        <f>IFERROR(__xludf.DUMMYFUNCTION("""COMPUTED_VALUE"""),"2004")</f>
        <v>2004</v>
      </c>
      <c r="AE1189" s="14">
        <f>IFERROR(__xludf.DUMMYFUNCTION("""COMPUTED_VALUE"""),176004.0)</f>
        <v>176004</v>
      </c>
      <c r="AF1189" s="14">
        <f>IFERROR(__xludf.DUMMYFUNCTION("""COMPUTED_VALUE"""),447187.0)</f>
        <v>447187</v>
      </c>
    </row>
    <row r="1190">
      <c r="A1190" s="12">
        <v>1189.0</v>
      </c>
      <c r="B1190" s="12" t="s">
        <v>170</v>
      </c>
      <c r="C1190" s="5" t="s">
        <v>75</v>
      </c>
      <c r="D1190" s="11">
        <v>0.768</v>
      </c>
      <c r="E1190" s="11">
        <v>13.0</v>
      </c>
      <c r="F1190" s="8"/>
      <c r="G1190" s="11">
        <v>340.0</v>
      </c>
      <c r="H1190" s="11">
        <v>0.35</v>
      </c>
      <c r="I1190" s="11">
        <v>1.219</v>
      </c>
      <c r="J1190" s="9" t="s">
        <v>66</v>
      </c>
      <c r="K1190" s="14" t="str">
        <f>IFERROR(__xludf.DUMMYFUNCTION("ARRAYFORMULA(VLOOKUP(A1190,IMPORTRANGE(""https://docs.google.com/spreadsheets/d/1BuTWp7qHGjWhqrnf-OmePP568O4A5Am9ttzvVdP67zw/edit#gid=1603210130"", ""TOURISM!$A$2:$F$2692""), {2,3,4,5,6},0))"),"Europe")</f>
        <v>Europe</v>
      </c>
      <c r="L1190" s="14">
        <f>IFERROR(__xludf.DUMMYFUNCTION("""COMPUTED_VALUE"""),3.8374E10)</f>
        <v>38374000000</v>
      </c>
      <c r="M1190" s="14" t="str">
        <f>IFERROR(__xludf.DUMMYFUNCTION("""COMPUTED_VALUE"""),"Italy-Europe")</f>
        <v>Italy-Europe</v>
      </c>
      <c r="N1190" s="14" t="str">
        <f>IFERROR(__xludf.DUMMYFUNCTION("""COMPUTED_VALUE"""),"2005")</f>
        <v>2005</v>
      </c>
      <c r="O1190" s="14">
        <f>IFERROR(__xludf.DUMMYFUNCTION("""COMPUTED_VALUE"""),2.6774E10)</f>
        <v>26774000000</v>
      </c>
      <c r="P1190" s="15">
        <f>IFERROR(__xludf.DUMMYFUNCTION("ARRAYFORMULA(VLOOKUP(A1190,IMPORTRANGE(""https://docs.google.com/spreadsheets/d/1BuTWp7qHGjWhqrnf-OmePP568O4A5Am9ttzvVdP67zw/edit#gid=771602874"" ,""HUMAN RESOURCES!$A$2:$M$2692""), {2,3,4,5,6,7,8,9,10,11,12,13},0))"),0.01)</f>
        <v>0.01</v>
      </c>
      <c r="Q1190" s="14">
        <f>IFERROR(__xludf.DUMMYFUNCTION("""COMPUTED_VALUE"""),0.004)</f>
        <v>0.004</v>
      </c>
      <c r="R1190" s="14">
        <f>IFERROR(__xludf.DUMMYFUNCTION("""COMPUTED_VALUE"""),84.0)</f>
        <v>84</v>
      </c>
      <c r="S1190" s="14">
        <f>IFERROR(__xludf.DUMMYFUNCTION("""COMPUTED_VALUE"""),78.0)</f>
        <v>78</v>
      </c>
      <c r="T1190" s="14">
        <f>IFERROR(__xludf.DUMMYFUNCTION("""COMPUTED_VALUE"""),0.141)</f>
        <v>0.141</v>
      </c>
      <c r="U1190" s="14">
        <f>IFERROR(__xludf.DUMMYFUNCTION("""COMPUTED_VALUE"""),0.663)</f>
        <v>0.663</v>
      </c>
      <c r="V1190" s="14">
        <f>IFERROR(__xludf.DUMMYFUNCTION("""COMPUTED_VALUE"""),0.196)</f>
        <v>0.196</v>
      </c>
      <c r="W1190" s="14">
        <f>IFERROR(__xludf.DUMMYFUNCTION("""COMPUTED_VALUE"""),5.7969484E7)</f>
        <v>57969484</v>
      </c>
      <c r="X1190" s="14">
        <f>IFERROR(__xludf.DUMMYFUNCTION("""COMPUTED_VALUE"""),0.677)</f>
        <v>0.677</v>
      </c>
      <c r="Y1190" s="14" t="str">
        <f>IFERROR(__xludf.DUMMYFUNCTION("""COMPUTED_VALUE"""),"Italy-Europe")</f>
        <v>Italy-Europe</v>
      </c>
      <c r="Z1190" s="14" t="str">
        <f>IFERROR(__xludf.DUMMYFUNCTION("""COMPUTED_VALUE"""),"Europe")</f>
        <v>Europe</v>
      </c>
      <c r="AA1190" s="14" t="str">
        <f>IFERROR(__xludf.DUMMYFUNCTION("""COMPUTED_VALUE"""),"2005")</f>
        <v>2005</v>
      </c>
      <c r="AB1190" s="15" t="str">
        <f>IFERROR(__xludf.DUMMYFUNCTION("ARRAYFORMULA(VLOOKUP(A1190,IMPORTRANGE(""https://docs.google.com/spreadsheets/d/1BuTWp7qHGjWhqrnf-OmePP568O4A5Am9ttzvVdP67zw/edit#gid=1931367683"" ,""ENERGY!$A$2:$F$2692""), {2,3,4,5,6},0))"),"Europe")</f>
        <v>Europe</v>
      </c>
      <c r="AC1190" s="14" t="str">
        <f>IFERROR(__xludf.DUMMYFUNCTION("""COMPUTED_VALUE"""),"Italy-Europe")</f>
        <v>Italy-Europe</v>
      </c>
      <c r="AD1190" s="14" t="str">
        <f>IFERROR(__xludf.DUMMYFUNCTION("""COMPUTED_VALUE"""),"2007")</f>
        <v>2007</v>
      </c>
      <c r="AE1190" s="14">
        <f>IFERROR(__xludf.DUMMYFUNCTION("""COMPUTED_VALUE"""),179599.0)</f>
        <v>179599</v>
      </c>
      <c r="AF1190" s="14">
        <f>IFERROR(__xludf.DUMMYFUNCTION("""COMPUTED_VALUE"""),462676.0)</f>
        <v>462676</v>
      </c>
    </row>
    <row r="1191">
      <c r="A1191" s="12">
        <v>1190.0</v>
      </c>
      <c r="B1191" s="12" t="s">
        <v>170</v>
      </c>
      <c r="C1191" s="5" t="s">
        <v>75</v>
      </c>
      <c r="D1191" s="11">
        <v>0.754</v>
      </c>
      <c r="E1191" s="11">
        <v>13.0</v>
      </c>
      <c r="F1191" s="8"/>
      <c r="G1191" s="11">
        <v>340.0</v>
      </c>
      <c r="H1191" s="11">
        <v>0.38</v>
      </c>
      <c r="I1191" s="11">
        <v>1.361</v>
      </c>
      <c r="J1191" s="9" t="s">
        <v>67</v>
      </c>
      <c r="K1191" s="14" t="str">
        <f>IFERROR(__xludf.DUMMYFUNCTION("ARRAYFORMULA(VLOOKUP(A1191,IMPORTRANGE(""https://docs.google.com/spreadsheets/d/1BuTWp7qHGjWhqrnf-OmePP568O4A5Am9ttzvVdP67zw/edit#gid=1603210130"", ""TOURISM!$A$2:$F$2692""), {2,3,4,5,6},0))"),"Europe")</f>
        <v>Europe</v>
      </c>
      <c r="L1191" s="14">
        <f>IFERROR(__xludf.DUMMYFUNCTION("""COMPUTED_VALUE"""),4.1644E10)</f>
        <v>41644000000</v>
      </c>
      <c r="M1191" s="14" t="str">
        <f>IFERROR(__xludf.DUMMYFUNCTION("""COMPUTED_VALUE"""),"Italy-Europe")</f>
        <v>Italy-Europe</v>
      </c>
      <c r="N1191" s="14" t="str">
        <f>IFERROR(__xludf.DUMMYFUNCTION("""COMPUTED_VALUE"""),"2006")</f>
        <v>2006</v>
      </c>
      <c r="O1191" s="14">
        <f>IFERROR(__xludf.DUMMYFUNCTION("""COMPUTED_VALUE"""),2.7437E10)</f>
        <v>27437000000</v>
      </c>
      <c r="P1191" s="15">
        <f>IFERROR(__xludf.DUMMYFUNCTION("ARRAYFORMULA(VLOOKUP(A1191,IMPORTRANGE(""https://docs.google.com/spreadsheets/d/1BuTWp7qHGjWhqrnf-OmePP568O4A5Am9ttzvVdP67zw/edit#gid=771602874"" ,""HUMAN RESOURCES!$A$2:$M$2692""), {2,3,4,5,6,7,8,9,10,11,12,13},0))"),0.01)</f>
        <v>0.01</v>
      </c>
      <c r="Q1191" s="14">
        <f>IFERROR(__xludf.DUMMYFUNCTION("""COMPUTED_VALUE"""),0.004)</f>
        <v>0.004</v>
      </c>
      <c r="R1191" s="14">
        <f>IFERROR(__xludf.DUMMYFUNCTION("""COMPUTED_VALUE"""),84.0)</f>
        <v>84</v>
      </c>
      <c r="S1191" s="14">
        <f>IFERROR(__xludf.DUMMYFUNCTION("""COMPUTED_VALUE"""),79.0)</f>
        <v>79</v>
      </c>
      <c r="T1191" s="14">
        <f>IFERROR(__xludf.DUMMYFUNCTION("""COMPUTED_VALUE"""),0.141)</f>
        <v>0.141</v>
      </c>
      <c r="U1191" s="14">
        <f>IFERROR(__xludf.DUMMYFUNCTION("""COMPUTED_VALUE"""),0.661)</f>
        <v>0.661</v>
      </c>
      <c r="V1191" s="14">
        <f>IFERROR(__xludf.DUMMYFUNCTION("""COMPUTED_VALUE"""),0.198)</f>
        <v>0.198</v>
      </c>
      <c r="W1191" s="14">
        <f>IFERROR(__xludf.DUMMYFUNCTION("""COMPUTED_VALUE"""),5.8143979E7)</f>
        <v>58143979</v>
      </c>
      <c r="X1191" s="14">
        <f>IFERROR(__xludf.DUMMYFUNCTION("""COMPUTED_VALUE"""),0.679)</f>
        <v>0.679</v>
      </c>
      <c r="Y1191" s="14" t="str">
        <f>IFERROR(__xludf.DUMMYFUNCTION("""COMPUTED_VALUE"""),"Italy-Europe")</f>
        <v>Italy-Europe</v>
      </c>
      <c r="Z1191" s="14" t="str">
        <f>IFERROR(__xludf.DUMMYFUNCTION("""COMPUTED_VALUE"""),"Europe")</f>
        <v>Europe</v>
      </c>
      <c r="AA1191" s="14" t="str">
        <f>IFERROR(__xludf.DUMMYFUNCTION("""COMPUTED_VALUE"""),"2006")</f>
        <v>2006</v>
      </c>
      <c r="AB1191" s="15" t="str">
        <f>IFERROR(__xludf.DUMMYFUNCTION("ARRAYFORMULA(VLOOKUP(A1191,IMPORTRANGE(""https://docs.google.com/spreadsheets/d/1BuTWp7qHGjWhqrnf-OmePP568O4A5Am9ttzvVdP67zw/edit#gid=1931367683"" ,""ENERGY!$A$2:$F$2692""), {2,3,4,5,6},0))"),"Europe")</f>
        <v>Europe</v>
      </c>
      <c r="AC1191" s="14" t="str">
        <f>IFERROR(__xludf.DUMMYFUNCTION("""COMPUTED_VALUE"""),"Italy-Europe")</f>
        <v>Italy-Europe</v>
      </c>
      <c r="AD1191" s="14" t="str">
        <f>IFERROR(__xludf.DUMMYFUNCTION("""COMPUTED_VALUE"""),"2011")</f>
        <v>2011</v>
      </c>
      <c r="AE1191" s="14">
        <f>IFERROR(__xludf.DUMMYFUNCTION("""COMPUTED_VALUE"""),181830.0)</f>
        <v>181830</v>
      </c>
      <c r="AF1191" s="14">
        <f>IFERROR(__xludf.DUMMYFUNCTION("""COMPUTED_VALUE"""),469347.0)</f>
        <v>469347</v>
      </c>
    </row>
    <row r="1192">
      <c r="A1192" s="12">
        <v>1191.0</v>
      </c>
      <c r="B1192" s="12" t="s">
        <v>170</v>
      </c>
      <c r="C1192" s="5" t="s">
        <v>75</v>
      </c>
      <c r="D1192" s="11">
        <v>0.754</v>
      </c>
      <c r="E1192" s="11">
        <v>13.0</v>
      </c>
      <c r="F1192" s="8"/>
      <c r="G1192" s="11">
        <v>340.0</v>
      </c>
      <c r="H1192" s="11">
        <v>0.408</v>
      </c>
      <c r="I1192" s="11">
        <v>1.51</v>
      </c>
      <c r="J1192" s="9" t="s">
        <v>68</v>
      </c>
      <c r="K1192" s="14" t="str">
        <f>IFERROR(__xludf.DUMMYFUNCTION("ARRAYFORMULA(VLOOKUP(A1192,IMPORTRANGE(""https://docs.google.com/spreadsheets/d/1BuTWp7qHGjWhqrnf-OmePP568O4A5Am9ttzvVdP67zw/edit#gid=1603210130"", ""TOURISM!$A$2:$F$2692""), {2,3,4,5,6},0))"),"Europe")</f>
        <v>Europe</v>
      </c>
      <c r="L1192" s="14">
        <f>IFERROR(__xludf.DUMMYFUNCTION("""COMPUTED_VALUE"""),4.6144E10)</f>
        <v>46144000000</v>
      </c>
      <c r="M1192" s="14" t="str">
        <f>IFERROR(__xludf.DUMMYFUNCTION("""COMPUTED_VALUE"""),"Italy-Europe")</f>
        <v>Italy-Europe</v>
      </c>
      <c r="N1192" s="14" t="str">
        <f>IFERROR(__xludf.DUMMYFUNCTION("""COMPUTED_VALUE"""),"2007")</f>
        <v>2007</v>
      </c>
      <c r="O1192" s="14">
        <f>IFERROR(__xludf.DUMMYFUNCTION("""COMPUTED_VALUE"""),3.2754E10)</f>
        <v>32754000000</v>
      </c>
      <c r="P1192" s="15">
        <f>IFERROR(__xludf.DUMMYFUNCTION("ARRAYFORMULA(VLOOKUP(A1192,IMPORTRANGE(""https://docs.google.com/spreadsheets/d/1BuTWp7qHGjWhqrnf-OmePP568O4A5Am9ttzvVdP67zw/edit#gid=771602874"" ,""HUMAN RESOURCES!$A$2:$M$2692""), {2,3,4,5,6,7,8,9,10,11,12,13},0))"),0.01)</f>
        <v>0.01</v>
      </c>
      <c r="Q1192" s="14">
        <f>IFERROR(__xludf.DUMMYFUNCTION("""COMPUTED_VALUE"""),0.004)</f>
        <v>0.004</v>
      </c>
      <c r="R1192" s="14">
        <f>IFERROR(__xludf.DUMMYFUNCTION("""COMPUTED_VALUE"""),84.0)</f>
        <v>84</v>
      </c>
      <c r="S1192" s="14">
        <f>IFERROR(__xludf.DUMMYFUNCTION("""COMPUTED_VALUE"""),79.0)</f>
        <v>79</v>
      </c>
      <c r="T1192" s="14">
        <f>IFERROR(__xludf.DUMMYFUNCTION("""COMPUTED_VALUE"""),0.141)</f>
        <v>0.141</v>
      </c>
      <c r="U1192" s="14">
        <f>IFERROR(__xludf.DUMMYFUNCTION("""COMPUTED_VALUE"""),0.66)</f>
        <v>0.66</v>
      </c>
      <c r="V1192" s="14">
        <f>IFERROR(__xludf.DUMMYFUNCTION("""COMPUTED_VALUE"""),0.199)</f>
        <v>0.199</v>
      </c>
      <c r="W1192" s="14">
        <f>IFERROR(__xludf.DUMMYFUNCTION("""COMPUTED_VALUE"""),5.843831E7)</f>
        <v>58438310</v>
      </c>
      <c r="X1192" s="14">
        <f>IFERROR(__xludf.DUMMYFUNCTION("""COMPUTED_VALUE"""),0.68)</f>
        <v>0.68</v>
      </c>
      <c r="Y1192" s="14" t="str">
        <f>IFERROR(__xludf.DUMMYFUNCTION("""COMPUTED_VALUE"""),"Italy-Europe")</f>
        <v>Italy-Europe</v>
      </c>
      <c r="Z1192" s="14" t="str">
        <f>IFERROR(__xludf.DUMMYFUNCTION("""COMPUTED_VALUE"""),"Europe")</f>
        <v>Europe</v>
      </c>
      <c r="AA1192" s="14" t="str">
        <f>IFERROR(__xludf.DUMMYFUNCTION("""COMPUTED_VALUE"""),"2007")</f>
        <v>2007</v>
      </c>
      <c r="AB1192" s="15" t="str">
        <f>IFERROR(__xludf.DUMMYFUNCTION("ARRAYFORMULA(VLOOKUP(A1192,IMPORTRANGE(""https://docs.google.com/spreadsheets/d/1BuTWp7qHGjWhqrnf-OmePP568O4A5Am9ttzvVdP67zw/edit#gid=1931367683"" ,""ENERGY!$A$2:$F$2692""), {2,3,4,5,6},0))"),"Europe")</f>
        <v>Europe</v>
      </c>
      <c r="AC1192" s="14" t="str">
        <f>IFERROR(__xludf.DUMMYFUNCTION("""COMPUTED_VALUE"""),"Italy-Europe")</f>
        <v>Italy-Europe</v>
      </c>
      <c r="AD1192" s="14" t="str">
        <f>IFERROR(__xludf.DUMMYFUNCTION("""COMPUTED_VALUE"""),"2008")</f>
        <v>2008</v>
      </c>
      <c r="AE1192" s="14">
        <f>IFERROR(__xludf.DUMMYFUNCTION("""COMPUTED_VALUE"""),183873.0)</f>
        <v>183873</v>
      </c>
      <c r="AF1192" s="14">
        <f>IFERROR(__xludf.DUMMYFUNCTION("""COMPUTED_VALUE"""),473380.0)</f>
        <v>473380</v>
      </c>
    </row>
    <row r="1193">
      <c r="A1193" s="12">
        <v>1192.0</v>
      </c>
      <c r="B1193" s="12" t="s">
        <v>170</v>
      </c>
      <c r="C1193" s="5" t="s">
        <v>75</v>
      </c>
      <c r="D1193" s="11">
        <v>0.725</v>
      </c>
      <c r="E1193" s="11">
        <v>10.0</v>
      </c>
      <c r="F1193" s="8"/>
      <c r="G1193" s="11">
        <v>314.0</v>
      </c>
      <c r="H1193" s="11">
        <v>0.445</v>
      </c>
      <c r="I1193" s="11">
        <v>1.509</v>
      </c>
      <c r="J1193" s="9" t="s">
        <v>69</v>
      </c>
      <c r="K1193" s="14" t="str">
        <f>IFERROR(__xludf.DUMMYFUNCTION("ARRAYFORMULA(VLOOKUP(A1193,IMPORTRANGE(""https://docs.google.com/spreadsheets/d/1BuTWp7qHGjWhqrnf-OmePP568O4A5Am9ttzvVdP67zw/edit#gid=1603210130"", ""TOURISM!$A$2:$F$2692""), {2,3,4,5,6},0))"),"Europe")</f>
        <v>Europe</v>
      </c>
      <c r="L1193" s="14">
        <f>IFERROR(__xludf.DUMMYFUNCTION("""COMPUTED_VALUE"""),4.8757E10)</f>
        <v>48757000000</v>
      </c>
      <c r="M1193" s="14" t="str">
        <f>IFERROR(__xludf.DUMMYFUNCTION("""COMPUTED_VALUE"""),"Italy-Europe")</f>
        <v>Italy-Europe</v>
      </c>
      <c r="N1193" s="14" t="str">
        <f>IFERROR(__xludf.DUMMYFUNCTION("""COMPUTED_VALUE"""),"2008")</f>
        <v>2008</v>
      </c>
      <c r="O1193" s="14">
        <f>IFERROR(__xludf.DUMMYFUNCTION("""COMPUTED_VALUE"""),3.7807E10)</f>
        <v>37807000000</v>
      </c>
      <c r="P1193" s="15">
        <f>IFERROR(__xludf.DUMMYFUNCTION("ARRAYFORMULA(VLOOKUP(A1193,IMPORTRANGE(""https://docs.google.com/spreadsheets/d/1BuTWp7qHGjWhqrnf-OmePP568O4A5Am9ttzvVdP67zw/edit#gid=771602874"" ,""HUMAN RESOURCES!$A$2:$M$2692""), {2,3,4,5,6,7,8,9,10,11,12,13},0))"),0.01)</f>
        <v>0.01</v>
      </c>
      <c r="Q1193" s="14">
        <f>IFERROR(__xludf.DUMMYFUNCTION("""COMPUTED_VALUE"""),0.004)</f>
        <v>0.004</v>
      </c>
      <c r="R1193" s="14">
        <f>IFERROR(__xludf.DUMMYFUNCTION("""COMPUTED_VALUE"""),85.0)</f>
        <v>85</v>
      </c>
      <c r="S1193" s="14">
        <f>IFERROR(__xludf.DUMMYFUNCTION("""COMPUTED_VALUE"""),79.0)</f>
        <v>79</v>
      </c>
      <c r="T1193" s="14">
        <f>IFERROR(__xludf.DUMMYFUNCTION("""COMPUTED_VALUE"""),0.14)</f>
        <v>0.14</v>
      </c>
      <c r="U1193" s="14">
        <f>IFERROR(__xludf.DUMMYFUNCTION("""COMPUTED_VALUE"""),0.66)</f>
        <v>0.66</v>
      </c>
      <c r="V1193" s="14">
        <f>IFERROR(__xludf.DUMMYFUNCTION("""COMPUTED_VALUE"""),0.2)</f>
        <v>0.2</v>
      </c>
      <c r="W1193" s="14">
        <f>IFERROR(__xludf.DUMMYFUNCTION("""COMPUTED_VALUE"""),5.8826731E7)</f>
        <v>58826731</v>
      </c>
      <c r="X1193" s="14">
        <f>IFERROR(__xludf.DUMMYFUNCTION("""COMPUTED_VALUE"""),0.681)</f>
        <v>0.681</v>
      </c>
      <c r="Y1193" s="14" t="str">
        <f>IFERROR(__xludf.DUMMYFUNCTION("""COMPUTED_VALUE"""),"Italy-Europe")</f>
        <v>Italy-Europe</v>
      </c>
      <c r="Z1193" s="14" t="str">
        <f>IFERROR(__xludf.DUMMYFUNCTION("""COMPUTED_VALUE"""),"Europe")</f>
        <v>Europe</v>
      </c>
      <c r="AA1193" s="14" t="str">
        <f>IFERROR(__xludf.DUMMYFUNCTION("""COMPUTED_VALUE"""),"2008")</f>
        <v>2008</v>
      </c>
      <c r="AB1193" s="15" t="str">
        <f>IFERROR(__xludf.DUMMYFUNCTION("ARRAYFORMULA(VLOOKUP(A1193,IMPORTRANGE(""https://docs.google.com/spreadsheets/d/1BuTWp7qHGjWhqrnf-OmePP568O4A5Am9ttzvVdP67zw/edit#gid=1931367683"" ,""ENERGY!$A$2:$F$2692""), {2,3,4,5,6},0))"),"Europe")</f>
        <v>Europe</v>
      </c>
      <c r="AC1193" s="14" t="str">
        <f>IFERROR(__xludf.DUMMYFUNCTION("""COMPUTED_VALUE"""),"Italy-Europe")</f>
        <v>Italy-Europe</v>
      </c>
      <c r="AD1193" s="14" t="str">
        <f>IFERROR(__xludf.DUMMYFUNCTION("""COMPUTED_VALUE"""),"2006")</f>
        <v>2006</v>
      </c>
      <c r="AE1193" s="14">
        <f>IFERROR(__xludf.DUMMYFUNCTION("""COMPUTED_VALUE"""),181990.0)</f>
        <v>181990</v>
      </c>
      <c r="AF1193" s="14">
        <f>IFERROR(__xludf.DUMMYFUNCTION("""COMPUTED_VALUE"""),472768.0)</f>
        <v>472768</v>
      </c>
    </row>
    <row r="1194">
      <c r="A1194" s="12">
        <v>1193.0</v>
      </c>
      <c r="B1194" s="12" t="s">
        <v>170</v>
      </c>
      <c r="C1194" s="5" t="s">
        <v>75</v>
      </c>
      <c r="D1194" s="11">
        <v>0.677</v>
      </c>
      <c r="E1194" s="11">
        <v>10.0</v>
      </c>
      <c r="F1194" s="8"/>
      <c r="G1194" s="11">
        <v>314.0</v>
      </c>
      <c r="H1194" s="11">
        <v>0.488</v>
      </c>
      <c r="I1194" s="11">
        <v>1.495</v>
      </c>
      <c r="J1194" s="9" t="s">
        <v>70</v>
      </c>
      <c r="K1194" s="14" t="str">
        <f>IFERROR(__xludf.DUMMYFUNCTION("ARRAYFORMULA(VLOOKUP(A1194,IMPORTRANGE(""https://docs.google.com/spreadsheets/d/1BuTWp7qHGjWhqrnf-OmePP568O4A5Am9ttzvVdP67zw/edit#gid=1603210130"", ""TOURISM!$A$2:$F$2692""), {2,3,4,5,6},0))"),"Europe")</f>
        <v>Europe</v>
      </c>
      <c r="L1194" s="14">
        <f>IFERROR(__xludf.DUMMYFUNCTION("""COMPUTED_VALUE"""),4.1938E10)</f>
        <v>41938000000</v>
      </c>
      <c r="M1194" s="14" t="str">
        <f>IFERROR(__xludf.DUMMYFUNCTION("""COMPUTED_VALUE"""),"Italy-Europe")</f>
        <v>Italy-Europe</v>
      </c>
      <c r="N1194" s="14" t="str">
        <f>IFERROR(__xludf.DUMMYFUNCTION("""COMPUTED_VALUE"""),"2009")</f>
        <v>2009</v>
      </c>
      <c r="O1194" s="14">
        <f>IFERROR(__xludf.DUMMYFUNCTION("""COMPUTED_VALUE"""),3.4399E10)</f>
        <v>34399000000</v>
      </c>
      <c r="P1194" s="15">
        <f>IFERROR(__xludf.DUMMYFUNCTION("ARRAYFORMULA(VLOOKUP(A1194,IMPORTRANGE(""https://docs.google.com/spreadsheets/d/1BuTWp7qHGjWhqrnf-OmePP568O4A5Am9ttzvVdP67zw/edit#gid=771602874"" ,""HUMAN RESOURCES!$A$2:$M$2692""), {2,3,4,5,6,7,8,9,10,11,12,13},0))"),0.01)</f>
        <v>0.01</v>
      </c>
      <c r="Q1194" s="14">
        <f>IFERROR(__xludf.DUMMYFUNCTION("""COMPUTED_VALUE"""),0.004)</f>
        <v>0.004</v>
      </c>
      <c r="R1194" s="14">
        <f>IFERROR(__xludf.DUMMYFUNCTION("""COMPUTED_VALUE"""),85.0)</f>
        <v>85</v>
      </c>
      <c r="S1194" s="14">
        <f>IFERROR(__xludf.DUMMYFUNCTION("""COMPUTED_VALUE"""),79.0)</f>
        <v>79</v>
      </c>
      <c r="T1194" s="14">
        <f>IFERROR(__xludf.DUMMYFUNCTION("""COMPUTED_VALUE"""),0.14)</f>
        <v>0.14</v>
      </c>
      <c r="U1194" s="14">
        <f>IFERROR(__xludf.DUMMYFUNCTION("""COMPUTED_VALUE"""),0.658)</f>
        <v>0.658</v>
      </c>
      <c r="V1194" s="14">
        <f>IFERROR(__xludf.DUMMYFUNCTION("""COMPUTED_VALUE"""),0.201)</f>
        <v>0.201</v>
      </c>
      <c r="W1194" s="14">
        <f>IFERROR(__xludf.DUMMYFUNCTION("""COMPUTED_VALUE"""),5.9095365E7)</f>
        <v>59095365</v>
      </c>
      <c r="X1194" s="14">
        <f>IFERROR(__xludf.DUMMYFUNCTION("""COMPUTED_VALUE"""),0.682)</f>
        <v>0.682</v>
      </c>
      <c r="Y1194" s="14" t="str">
        <f>IFERROR(__xludf.DUMMYFUNCTION("""COMPUTED_VALUE"""),"Italy-Europe")</f>
        <v>Italy-Europe</v>
      </c>
      <c r="Z1194" s="14" t="str">
        <f>IFERROR(__xludf.DUMMYFUNCTION("""COMPUTED_VALUE"""),"Europe")</f>
        <v>Europe</v>
      </c>
      <c r="AA1194" s="14" t="str">
        <f>IFERROR(__xludf.DUMMYFUNCTION("""COMPUTED_VALUE"""),"2009")</f>
        <v>2009</v>
      </c>
      <c r="AB1194" s="15" t="str">
        <f>IFERROR(__xludf.DUMMYFUNCTION("ARRAYFORMULA(VLOOKUP(A1194,IMPORTRANGE(""https://docs.google.com/spreadsheets/d/1BuTWp7qHGjWhqrnf-OmePP568O4A5Am9ttzvVdP67zw/edit#gid=1931367683"" ,""ENERGY!$A$2:$F$2692""), {2,3,4,5,6},0))"),"Europe")</f>
        <v>Europe</v>
      </c>
      <c r="AC1194" s="14" t="str">
        <f>IFERROR(__xludf.DUMMYFUNCTION("""COMPUTED_VALUE"""),"Italy-Europe")</f>
        <v>Italy-Europe</v>
      </c>
      <c r="AD1194" s="14" t="str">
        <f>IFERROR(__xludf.DUMMYFUNCTION("""COMPUTED_VALUE"""),"2010")</f>
        <v>2010</v>
      </c>
      <c r="AE1194" s="14">
        <f>IFERROR(__xludf.DUMMYFUNCTION("""COMPUTED_VALUE"""),179423.0)</f>
        <v>179423</v>
      </c>
      <c r="AF1194" s="14">
        <f>IFERROR(__xludf.DUMMYFUNCTION("""COMPUTED_VALUE"""),468349.0)</f>
        <v>468349</v>
      </c>
    </row>
    <row r="1195">
      <c r="A1195" s="12">
        <v>1194.0</v>
      </c>
      <c r="B1195" s="12" t="s">
        <v>170</v>
      </c>
      <c r="C1195" s="5" t="s">
        <v>75</v>
      </c>
      <c r="D1195" s="11">
        <v>0.677</v>
      </c>
      <c r="E1195" s="11">
        <v>6.0</v>
      </c>
      <c r="F1195" s="8"/>
      <c r="G1195" s="11">
        <v>285.0</v>
      </c>
      <c r="H1195" s="11">
        <v>0.537</v>
      </c>
      <c r="I1195" s="11">
        <v>1.548</v>
      </c>
      <c r="J1195" s="9" t="s">
        <v>71</v>
      </c>
      <c r="K1195" s="14" t="str">
        <f>IFERROR(__xludf.DUMMYFUNCTION("ARRAYFORMULA(VLOOKUP(A1195,IMPORTRANGE(""https://docs.google.com/spreadsheets/d/1BuTWp7qHGjWhqrnf-OmePP568O4A5Am9ttzvVdP67zw/edit#gid=1603210130"", ""TOURISM!$A$2:$F$2692""), {2,3,4,5,6},0))"),"Europe")</f>
        <v>Europe</v>
      </c>
      <c r="L1195" s="14">
        <f>IFERROR(__xludf.DUMMYFUNCTION("""COMPUTED_VALUE"""),4.0058E10)</f>
        <v>40058000000</v>
      </c>
      <c r="M1195" s="14" t="str">
        <f>IFERROR(__xludf.DUMMYFUNCTION("""COMPUTED_VALUE"""),"Italy-Europe")</f>
        <v>Italy-Europe</v>
      </c>
      <c r="N1195" s="14" t="str">
        <f>IFERROR(__xludf.DUMMYFUNCTION("""COMPUTED_VALUE"""),"2010")</f>
        <v>2010</v>
      </c>
      <c r="O1195" s="14">
        <f>IFERROR(__xludf.DUMMYFUNCTION("""COMPUTED_VALUE"""),3.3053E10)</f>
        <v>33053000000</v>
      </c>
      <c r="P1195" s="15">
        <f>IFERROR(__xludf.DUMMYFUNCTION("ARRAYFORMULA(VLOOKUP(A1195,IMPORTRANGE(""https://docs.google.com/spreadsheets/d/1BuTWp7qHGjWhqrnf-OmePP568O4A5Am9ttzvVdP67zw/edit#gid=771602874"" ,""HUMAN RESOURCES!$A$2:$M$2692""), {2,3,4,5,6,7,8,9,10,11,12,13},0))"),0.009)</f>
        <v>0.009</v>
      </c>
      <c r="Q1195" s="14">
        <f>IFERROR(__xludf.DUMMYFUNCTION("""COMPUTED_VALUE"""),0.003)</f>
        <v>0.003</v>
      </c>
      <c r="R1195" s="14">
        <f>IFERROR(__xludf.DUMMYFUNCTION("""COMPUTED_VALUE"""),85.0)</f>
        <v>85</v>
      </c>
      <c r="S1195" s="14">
        <f>IFERROR(__xludf.DUMMYFUNCTION("""COMPUTED_VALUE"""),80.0)</f>
        <v>80</v>
      </c>
      <c r="T1195" s="14">
        <f>IFERROR(__xludf.DUMMYFUNCTION("""COMPUTED_VALUE"""),0.14)</f>
        <v>0.14</v>
      </c>
      <c r="U1195" s="14">
        <f>IFERROR(__xludf.DUMMYFUNCTION("""COMPUTED_VALUE"""),0.657)</f>
        <v>0.657</v>
      </c>
      <c r="V1195" s="14">
        <f>IFERROR(__xludf.DUMMYFUNCTION("""COMPUTED_VALUE"""),0.203)</f>
        <v>0.203</v>
      </c>
      <c r="W1195" s="14">
        <f>IFERROR(__xludf.DUMMYFUNCTION("""COMPUTED_VALUE"""),5.9277417E7)</f>
        <v>59277417</v>
      </c>
      <c r="X1195" s="14">
        <f>IFERROR(__xludf.DUMMYFUNCTION("""COMPUTED_VALUE"""),0.683)</f>
        <v>0.683</v>
      </c>
      <c r="Y1195" s="14" t="str">
        <f>IFERROR(__xludf.DUMMYFUNCTION("""COMPUTED_VALUE"""),"Italy-Europe")</f>
        <v>Italy-Europe</v>
      </c>
      <c r="Z1195" s="14" t="str">
        <f>IFERROR(__xludf.DUMMYFUNCTION("""COMPUTED_VALUE"""),"Europe")</f>
        <v>Europe</v>
      </c>
      <c r="AA1195" s="14" t="str">
        <f>IFERROR(__xludf.DUMMYFUNCTION("""COMPUTED_VALUE"""),"2010")</f>
        <v>2010</v>
      </c>
      <c r="AB1195" s="15" t="str">
        <f>IFERROR(__xludf.DUMMYFUNCTION("ARRAYFORMULA(VLOOKUP(A1195,IMPORTRANGE(""https://docs.google.com/spreadsheets/d/1BuTWp7qHGjWhqrnf-OmePP568O4A5Am9ttzvVdP67zw/edit#gid=1931367683"" ,""ENERGY!$A$2:$F$2692""), {2,3,4,5,6},0))"),"Europe")</f>
        <v>Europe</v>
      </c>
      <c r="AC1195" s="14" t="str">
        <f>IFERROR(__xludf.DUMMYFUNCTION("""COMPUTED_VALUE"""),"Italy-Europe")</f>
        <v>Italy-Europe</v>
      </c>
      <c r="AD1195" s="14" t="str">
        <f>IFERROR(__xludf.DUMMYFUNCTION("""COMPUTED_VALUE"""),"2011")</f>
        <v>2011</v>
      </c>
      <c r="AE1195" s="14">
        <f>IFERROR(__xludf.DUMMYFUNCTION("""COMPUTED_VALUE"""),172396.0)</f>
        <v>172396</v>
      </c>
      <c r="AF1195" s="14">
        <f>IFERROR(__xludf.DUMMYFUNCTION("""COMPUTED_VALUE"""),452632.0)</f>
        <v>452632</v>
      </c>
    </row>
    <row r="1196">
      <c r="A1196" s="12">
        <v>1195.0</v>
      </c>
      <c r="B1196" s="12" t="s">
        <v>170</v>
      </c>
      <c r="C1196" s="5" t="s">
        <v>75</v>
      </c>
      <c r="D1196" s="11">
        <v>0.677</v>
      </c>
      <c r="E1196" s="11">
        <v>6.0</v>
      </c>
      <c r="F1196" s="8"/>
      <c r="G1196" s="11">
        <v>285.0</v>
      </c>
      <c r="H1196" s="11">
        <v>0.544</v>
      </c>
      <c r="I1196" s="11">
        <v>1.581</v>
      </c>
      <c r="J1196" s="9" t="s">
        <v>72</v>
      </c>
      <c r="K1196" s="14" t="str">
        <f>IFERROR(__xludf.DUMMYFUNCTION("ARRAYFORMULA(VLOOKUP(A1196,IMPORTRANGE(""https://docs.google.com/spreadsheets/d/1BuTWp7qHGjWhqrnf-OmePP568O4A5Am9ttzvVdP67zw/edit#gid=1603210130"", ""TOURISM!$A$2:$F$2692""), {2,3,4,5,6},0))"),"Europe")</f>
        <v>Europe</v>
      </c>
      <c r="L1196" s="14">
        <f>IFERROR(__xludf.DUMMYFUNCTION("""COMPUTED_VALUE"""),4.5368E10)</f>
        <v>45368000000</v>
      </c>
      <c r="M1196" s="14" t="str">
        <f>IFERROR(__xludf.DUMMYFUNCTION("""COMPUTED_VALUE"""),"Italy-Europe")</f>
        <v>Italy-Europe</v>
      </c>
      <c r="N1196" s="14" t="str">
        <f>IFERROR(__xludf.DUMMYFUNCTION("""COMPUTED_VALUE"""),"2011")</f>
        <v>2011</v>
      </c>
      <c r="O1196" s="14">
        <f>IFERROR(__xludf.DUMMYFUNCTION("""COMPUTED_VALUE"""),3.5724E10)</f>
        <v>35724000000</v>
      </c>
      <c r="P1196" s="15">
        <f>IFERROR(__xludf.DUMMYFUNCTION("ARRAYFORMULA(VLOOKUP(A1196,IMPORTRANGE(""https://docs.google.com/spreadsheets/d/1BuTWp7qHGjWhqrnf-OmePP568O4A5Am9ttzvVdP67zw/edit#gid=771602874"" ,""HUMAN RESOURCES!$A$2:$M$2692""), {2,3,4,5,6,7,8,9,10,11,12,13},0))"),0.009)</f>
        <v>0.009</v>
      </c>
      <c r="Q1196" s="14">
        <f>IFERROR(__xludf.DUMMYFUNCTION("""COMPUTED_VALUE"""),0.003)</f>
        <v>0.003</v>
      </c>
      <c r="R1196" s="14">
        <f>IFERROR(__xludf.DUMMYFUNCTION("""COMPUTED_VALUE"""),85.0)</f>
        <v>85</v>
      </c>
      <c r="S1196" s="14">
        <f>IFERROR(__xludf.DUMMYFUNCTION("""COMPUTED_VALUE"""),80.0)</f>
        <v>80</v>
      </c>
      <c r="T1196" s="14">
        <f>IFERROR(__xludf.DUMMYFUNCTION("""COMPUTED_VALUE"""),0.14)</f>
        <v>0.14</v>
      </c>
      <c r="U1196" s="14">
        <f>IFERROR(__xludf.DUMMYFUNCTION("""COMPUTED_VALUE"""),0.654)</f>
        <v>0.654</v>
      </c>
      <c r="V1196" s="14">
        <f>IFERROR(__xludf.DUMMYFUNCTION("""COMPUTED_VALUE"""),0.205)</f>
        <v>0.205</v>
      </c>
      <c r="W1196" s="14">
        <f>IFERROR(__xludf.DUMMYFUNCTION("""COMPUTED_VALUE"""),5.9379449E7)</f>
        <v>59379449</v>
      </c>
      <c r="X1196" s="14">
        <f>IFERROR(__xludf.DUMMYFUNCTION("""COMPUTED_VALUE"""),0.684)</f>
        <v>0.684</v>
      </c>
      <c r="Y1196" s="14" t="str">
        <f>IFERROR(__xludf.DUMMYFUNCTION("""COMPUTED_VALUE"""),"Italy-Europe")</f>
        <v>Italy-Europe</v>
      </c>
      <c r="Z1196" s="14" t="str">
        <f>IFERROR(__xludf.DUMMYFUNCTION("""COMPUTED_VALUE"""),"Europe")</f>
        <v>Europe</v>
      </c>
      <c r="AA1196" s="14" t="str">
        <f>IFERROR(__xludf.DUMMYFUNCTION("""COMPUTED_VALUE"""),"2011")</f>
        <v>2011</v>
      </c>
      <c r="AB1196" s="15" t="str">
        <f>IFERROR(__xludf.DUMMYFUNCTION("ARRAYFORMULA(VLOOKUP(A1196,IMPORTRANGE(""https://docs.google.com/spreadsheets/d/1BuTWp7qHGjWhqrnf-OmePP568O4A5Am9ttzvVdP67zw/edit#gid=1931367683"" ,""ENERGY!$A$2:$F$2692""), {2,3,4,5,6},0))"),"Europe")</f>
        <v>Europe</v>
      </c>
      <c r="AC1196" s="14" t="str">
        <f>IFERROR(__xludf.DUMMYFUNCTION("""COMPUTED_VALUE"""),"Italy-Europe")</f>
        <v>Italy-Europe</v>
      </c>
      <c r="AD1196" s="14" t="str">
        <f>IFERROR(__xludf.DUMMYFUNCTION("""COMPUTED_VALUE"""),"2005")</f>
        <v>2005</v>
      </c>
      <c r="AE1196" s="14">
        <f>IFERROR(__xludf.DUMMYFUNCTION("""COMPUTED_VALUE"""),172142.0)</f>
        <v>172142</v>
      </c>
      <c r="AF1196" s="14">
        <f>IFERROR(__xludf.DUMMYFUNCTION("""COMPUTED_VALUE"""),450348.0)</f>
        <v>450348</v>
      </c>
    </row>
    <row r="1197">
      <c r="A1197" s="12">
        <v>1196.0</v>
      </c>
      <c r="B1197" s="12" t="s">
        <v>170</v>
      </c>
      <c r="C1197" s="5" t="s">
        <v>75</v>
      </c>
      <c r="D1197" s="11">
        <v>0.677</v>
      </c>
      <c r="E1197" s="11">
        <v>6.0</v>
      </c>
      <c r="F1197" s="11">
        <v>67.0</v>
      </c>
      <c r="G1197" s="11">
        <v>269.0</v>
      </c>
      <c r="H1197" s="11">
        <v>0.558</v>
      </c>
      <c r="I1197" s="11">
        <v>1.597</v>
      </c>
      <c r="J1197" s="9" t="s">
        <v>73</v>
      </c>
      <c r="K1197" s="14" t="str">
        <f>IFERROR(__xludf.DUMMYFUNCTION("ARRAYFORMULA(VLOOKUP(A1197,IMPORTRANGE(""https://docs.google.com/spreadsheets/d/1BuTWp7qHGjWhqrnf-OmePP568O4A5Am9ttzvVdP67zw/edit#gid=1603210130"", ""TOURISM!$A$2:$F$2692""), {2,3,4,5,6},0))"),"Europe")</f>
        <v>Europe</v>
      </c>
      <c r="L1197" s="14">
        <f>IFERROR(__xludf.DUMMYFUNCTION("""COMPUTED_VALUE"""),4.3036E10)</f>
        <v>43036000000</v>
      </c>
      <c r="M1197" s="14" t="str">
        <f>IFERROR(__xludf.DUMMYFUNCTION("""COMPUTED_VALUE"""),"Italy-Europe")</f>
        <v>Italy-Europe</v>
      </c>
      <c r="N1197" s="14" t="str">
        <f>IFERROR(__xludf.DUMMYFUNCTION("""COMPUTED_VALUE"""),"2012")</f>
        <v>2012</v>
      </c>
      <c r="O1197" s="14">
        <f>IFERROR(__xludf.DUMMYFUNCTION("""COMPUTED_VALUE"""),3.2798E10)</f>
        <v>32798000000</v>
      </c>
      <c r="P1197" s="15">
        <f>IFERROR(__xludf.DUMMYFUNCTION("ARRAYFORMULA(VLOOKUP(A1197,IMPORTRANGE(""https://docs.google.com/spreadsheets/d/1BuTWp7qHGjWhqrnf-OmePP568O4A5Am9ttzvVdP67zw/edit#gid=771602874"" ,""HUMAN RESOURCES!$A$2:$M$2692""), {2,3,4,5,6,7,8,9,10,11,12,13},0))"),0.009)</f>
        <v>0.009</v>
      </c>
      <c r="Q1197" s="14">
        <f>IFERROR(__xludf.DUMMYFUNCTION("""COMPUTED_VALUE"""),0.003)</f>
        <v>0.003</v>
      </c>
      <c r="R1197" s="14">
        <f>IFERROR(__xludf.DUMMYFUNCTION("""COMPUTED_VALUE"""),86.0)</f>
        <v>86</v>
      </c>
      <c r="S1197" s="14">
        <f>IFERROR(__xludf.DUMMYFUNCTION("""COMPUTED_VALUE"""),80.0)</f>
        <v>80</v>
      </c>
      <c r="T1197" s="14">
        <f>IFERROR(__xludf.DUMMYFUNCTION("""COMPUTED_VALUE"""),0.14)</f>
        <v>0.14</v>
      </c>
      <c r="U1197" s="14">
        <f>IFERROR(__xludf.DUMMYFUNCTION("""COMPUTED_VALUE"""),0.651)</f>
        <v>0.651</v>
      </c>
      <c r="V1197" s="14">
        <f>IFERROR(__xludf.DUMMYFUNCTION("""COMPUTED_VALUE"""),0.208)</f>
        <v>0.208</v>
      </c>
      <c r="W1197" s="14">
        <f>IFERROR(__xludf.DUMMYFUNCTION("""COMPUTED_VALUE"""),5.9539717E7)</f>
        <v>59539717</v>
      </c>
      <c r="X1197" s="14">
        <f>IFERROR(__xludf.DUMMYFUNCTION("""COMPUTED_VALUE"""),0.686)</f>
        <v>0.686</v>
      </c>
      <c r="Y1197" s="14" t="str">
        <f>IFERROR(__xludf.DUMMYFUNCTION("""COMPUTED_VALUE"""),"Italy-Europe")</f>
        <v>Italy-Europe</v>
      </c>
      <c r="Z1197" s="14" t="str">
        <f>IFERROR(__xludf.DUMMYFUNCTION("""COMPUTED_VALUE"""),"Europe")</f>
        <v>Europe</v>
      </c>
      <c r="AA1197" s="14" t="str">
        <f>IFERROR(__xludf.DUMMYFUNCTION("""COMPUTED_VALUE"""),"2012")</f>
        <v>2012</v>
      </c>
      <c r="AB1197" s="15" t="str">
        <f>IFERROR(__xludf.DUMMYFUNCTION("ARRAYFORMULA(VLOOKUP(A1197,IMPORTRANGE(""https://docs.google.com/spreadsheets/d/1BuTWp7qHGjWhqrnf-OmePP568O4A5Am9ttzvVdP67zw/edit#gid=1931367683"" ,""ENERGY!$A$2:$F$2692""), {2,3,4,5,6},0))"),"Europe")</f>
        <v>Europe</v>
      </c>
      <c r="AC1197" s="14" t="str">
        <f>IFERROR(__xludf.DUMMYFUNCTION("""COMPUTED_VALUE"""),"Italy-Europe")</f>
        <v>Italy-Europe</v>
      </c>
      <c r="AD1197" s="14" t="str">
        <f>IFERROR(__xludf.DUMMYFUNCTION("""COMPUTED_VALUE"""),"2010")</f>
        <v>2010</v>
      </c>
      <c r="AE1197" s="14">
        <f>IFERROR(__xludf.DUMMYFUNCTION("""COMPUTED_VALUE"""),171522.0)</f>
        <v>171522</v>
      </c>
      <c r="AF1197" s="14">
        <f>IFERROR(__xludf.DUMMYFUNCTION("""COMPUTED_VALUE"""),451441.0)</f>
        <v>451441</v>
      </c>
    </row>
    <row r="1198">
      <c r="A1198" s="12">
        <v>1197.0</v>
      </c>
      <c r="B1198" s="12" t="s">
        <v>171</v>
      </c>
      <c r="C1198" s="5" t="s">
        <v>84</v>
      </c>
      <c r="D1198" s="8"/>
      <c r="E1198" s="8"/>
      <c r="F1198" s="8"/>
      <c r="G1198" s="8"/>
      <c r="H1198" s="11">
        <v>0.031</v>
      </c>
      <c r="I1198" s="11">
        <v>0.142</v>
      </c>
      <c r="J1198" s="9" t="s">
        <v>60</v>
      </c>
      <c r="K1198" s="14" t="str">
        <f>IFERROR(__xludf.DUMMYFUNCTION("ARRAYFORMULA(VLOOKUP(A1198,IMPORTRANGE(""https://docs.google.com/spreadsheets/d/1BuTWp7qHGjWhqrnf-OmePP568O4A5Am9ttzvVdP67zw/edit#gid=1603210130"", ""TOURISM!$A$2:$F$2692""), {2,3,4,5,6},0))"),"The Americas")</f>
        <v>The Americas</v>
      </c>
      <c r="L1198" s="14">
        <f>IFERROR(__xludf.DUMMYFUNCTION("""COMPUTED_VALUE"""),1.577E9)</f>
        <v>1577000000</v>
      </c>
      <c r="M1198" s="14" t="str">
        <f>IFERROR(__xludf.DUMMYFUNCTION("""COMPUTED_VALUE"""),"Jamaica-The Americas")</f>
        <v>Jamaica-The Americas</v>
      </c>
      <c r="N1198" s="14" t="str">
        <f>IFERROR(__xludf.DUMMYFUNCTION("""COMPUTED_VALUE"""),"2000")</f>
        <v>2000</v>
      </c>
      <c r="O1198" s="14">
        <f>IFERROR(__xludf.DUMMYFUNCTION("""COMPUTED_VALUE"""),2.38E8)</f>
        <v>238000000</v>
      </c>
      <c r="P1198" s="15">
        <f>IFERROR(__xludf.DUMMYFUNCTION("ARRAYFORMULA(VLOOKUP(A1198,IMPORTRANGE(""https://docs.google.com/spreadsheets/d/1BuTWp7qHGjWhqrnf-OmePP568O4A5Am9ttzvVdP67zw/edit#gid=771602874"" ,""HUMAN RESOURCES!$A$2:$M$2692""), {2,3,4,5,6,7,8,9,10,11,12,13},0))"),0.021)</f>
        <v>0.021</v>
      </c>
      <c r="Q1198" s="14">
        <f>IFERROR(__xludf.DUMMYFUNCTION("""COMPUTED_VALUE"""),0.02)</f>
        <v>0.02</v>
      </c>
      <c r="R1198" s="14">
        <f>IFERROR(__xludf.DUMMYFUNCTION("""COMPUTED_VALUE"""),73.0)</f>
        <v>73</v>
      </c>
      <c r="S1198" s="14">
        <f>IFERROR(__xludf.DUMMYFUNCTION("""COMPUTED_VALUE"""),68.0)</f>
        <v>68</v>
      </c>
      <c r="T1198" s="14">
        <f>IFERROR(__xludf.DUMMYFUNCTION("""COMPUTED_VALUE"""),0.327)</f>
        <v>0.327</v>
      </c>
      <c r="U1198" s="14">
        <f>IFERROR(__xludf.DUMMYFUNCTION("""COMPUTED_VALUE"""),0.599)</f>
        <v>0.599</v>
      </c>
      <c r="V1198" s="14">
        <f>IFERROR(__xludf.DUMMYFUNCTION("""COMPUTED_VALUE"""),0.075)</f>
        <v>0.075</v>
      </c>
      <c r="W1198" s="14">
        <f>IFERROR(__xludf.DUMMYFUNCTION("""COMPUTED_VALUE"""),2589389.0)</f>
        <v>2589389</v>
      </c>
      <c r="X1198" s="14">
        <f>IFERROR(__xludf.DUMMYFUNCTION("""COMPUTED_VALUE"""),0.518)</f>
        <v>0.518</v>
      </c>
      <c r="Y1198" s="14" t="str">
        <f>IFERROR(__xludf.DUMMYFUNCTION("""COMPUTED_VALUE"""),"Jamaica-The Americas")</f>
        <v>Jamaica-The Americas</v>
      </c>
      <c r="Z1198" s="14" t="str">
        <f>IFERROR(__xludf.DUMMYFUNCTION("""COMPUTED_VALUE"""),"The Americas")</f>
        <v>The Americas</v>
      </c>
      <c r="AA1198" s="14" t="str">
        <f>IFERROR(__xludf.DUMMYFUNCTION("""COMPUTED_VALUE"""),"2000")</f>
        <v>2000</v>
      </c>
      <c r="AB1198" s="15" t="str">
        <f>IFERROR(__xludf.DUMMYFUNCTION("ARRAYFORMULA(VLOOKUP(A1198,IMPORTRANGE(""https://docs.google.com/spreadsheets/d/1BuTWp7qHGjWhqrnf-OmePP568O4A5Am9ttzvVdP67zw/edit#gid=1931367683"" ,""ENERGY!$A$2:$F$2692""), {2,3,4,5,6},0))"),"The Americas")</f>
        <v>The Americas</v>
      </c>
      <c r="AC1198" s="14" t="str">
        <f>IFERROR(__xludf.DUMMYFUNCTION("""COMPUTED_VALUE"""),"Jamaica-The Americas")</f>
        <v>Jamaica-The Americas</v>
      </c>
      <c r="AD1198" s="14" t="str">
        <f>IFERROR(__xludf.DUMMYFUNCTION("""COMPUTED_VALUE"""),"2000")</f>
        <v>2000</v>
      </c>
      <c r="AE1198" s="14"/>
      <c r="AF1198" s="14"/>
    </row>
    <row r="1199">
      <c r="A1199" s="12">
        <v>1198.0</v>
      </c>
      <c r="B1199" s="12" t="s">
        <v>171</v>
      </c>
      <c r="C1199" s="5" t="s">
        <v>84</v>
      </c>
      <c r="D1199" s="8"/>
      <c r="E1199" s="8"/>
      <c r="F1199" s="8"/>
      <c r="G1199" s="8"/>
      <c r="H1199" s="11">
        <v>0.039</v>
      </c>
      <c r="I1199" s="11">
        <v>0.229</v>
      </c>
      <c r="J1199" s="9" t="s">
        <v>62</v>
      </c>
      <c r="K1199" s="14" t="str">
        <f>IFERROR(__xludf.DUMMYFUNCTION("ARRAYFORMULA(VLOOKUP(A1199,IMPORTRANGE(""https://docs.google.com/spreadsheets/d/1BuTWp7qHGjWhqrnf-OmePP568O4A5Am9ttzvVdP67zw/edit#gid=1603210130"", ""TOURISM!$A$2:$F$2692""), {2,3,4,5,6},0))"),"The Americas")</f>
        <v>The Americas</v>
      </c>
      <c r="L1199" s="14">
        <f>IFERROR(__xludf.DUMMYFUNCTION("""COMPUTED_VALUE"""),1.494E9)</f>
        <v>1494000000</v>
      </c>
      <c r="M1199" s="14" t="str">
        <f>IFERROR(__xludf.DUMMYFUNCTION("""COMPUTED_VALUE"""),"Jamaica-The Americas")</f>
        <v>Jamaica-The Americas</v>
      </c>
      <c r="N1199" s="14" t="str">
        <f>IFERROR(__xludf.DUMMYFUNCTION("""COMPUTED_VALUE"""),"2001")</f>
        <v>2001</v>
      </c>
      <c r="O1199" s="14">
        <f>IFERROR(__xludf.DUMMYFUNCTION("""COMPUTED_VALUE"""),2.27E8)</f>
        <v>227000000</v>
      </c>
      <c r="P1199" s="15">
        <f>IFERROR(__xludf.DUMMYFUNCTION("ARRAYFORMULA(VLOOKUP(A1199,IMPORTRANGE(""https://docs.google.com/spreadsheets/d/1BuTWp7qHGjWhqrnf-OmePP568O4A5Am9ttzvVdP67zw/edit#gid=771602874"" ,""HUMAN RESOURCES!$A$2:$M$2692""), {2,3,4,5,6,7,8,9,10,11,12,13},0))"),0.019)</f>
        <v>0.019</v>
      </c>
      <c r="Q1199" s="14">
        <f>IFERROR(__xludf.DUMMYFUNCTION("""COMPUTED_VALUE"""),0.02)</f>
        <v>0.02</v>
      </c>
      <c r="R1199" s="14">
        <f>IFERROR(__xludf.DUMMYFUNCTION("""COMPUTED_VALUE"""),74.0)</f>
        <v>74</v>
      </c>
      <c r="S1199" s="14">
        <f>IFERROR(__xludf.DUMMYFUNCTION("""COMPUTED_VALUE"""),68.0)</f>
        <v>68</v>
      </c>
      <c r="T1199" s="14">
        <f>IFERROR(__xludf.DUMMYFUNCTION("""COMPUTED_VALUE"""),0.324)</f>
        <v>0.324</v>
      </c>
      <c r="U1199" s="14">
        <f>IFERROR(__xludf.DUMMYFUNCTION("""COMPUTED_VALUE"""),0.601)</f>
        <v>0.601</v>
      </c>
      <c r="V1199" s="14">
        <f>IFERROR(__xludf.DUMMYFUNCTION("""COMPUTED_VALUE"""),0.075)</f>
        <v>0.075</v>
      </c>
      <c r="W1199" s="14">
        <f>IFERROR(__xludf.DUMMYFUNCTION("""COMPUTED_VALUE"""),2605556.0)</f>
        <v>2605556</v>
      </c>
      <c r="X1199" s="14">
        <f>IFERROR(__xludf.DUMMYFUNCTION("""COMPUTED_VALUE"""),0.521)</f>
        <v>0.521</v>
      </c>
      <c r="Y1199" s="14" t="str">
        <f>IFERROR(__xludf.DUMMYFUNCTION("""COMPUTED_VALUE"""),"Jamaica-The Americas")</f>
        <v>Jamaica-The Americas</v>
      </c>
      <c r="Z1199" s="14" t="str">
        <f>IFERROR(__xludf.DUMMYFUNCTION("""COMPUTED_VALUE"""),"The Americas")</f>
        <v>The Americas</v>
      </c>
      <c r="AA1199" s="14" t="str">
        <f>IFERROR(__xludf.DUMMYFUNCTION("""COMPUTED_VALUE"""),"2001")</f>
        <v>2001</v>
      </c>
      <c r="AB1199" s="15" t="str">
        <f>IFERROR(__xludf.DUMMYFUNCTION("ARRAYFORMULA(VLOOKUP(A1199,IMPORTRANGE(""https://docs.google.com/spreadsheets/d/1BuTWp7qHGjWhqrnf-OmePP568O4A5Am9ttzvVdP67zw/edit#gid=1931367683"" ,""ENERGY!$A$2:$F$2692""), {2,3,4,5,6},0))"),"The Americas")</f>
        <v>The Americas</v>
      </c>
      <c r="AC1199" s="14" t="str">
        <f>IFERROR(__xludf.DUMMYFUNCTION("""COMPUTED_VALUE"""),"Jamaica-The Americas")</f>
        <v>Jamaica-The Americas</v>
      </c>
      <c r="AD1199" s="14" t="str">
        <f>IFERROR(__xludf.DUMMYFUNCTION("""COMPUTED_VALUE"""),"2001")</f>
        <v>2001</v>
      </c>
      <c r="AE1199" s="14">
        <f>IFERROR(__xludf.DUMMYFUNCTION("""COMPUTED_VALUE"""),3066.0)</f>
        <v>3066</v>
      </c>
      <c r="AF1199" s="14"/>
    </row>
    <row r="1200">
      <c r="A1200" s="12">
        <v>1199.0</v>
      </c>
      <c r="B1200" s="12" t="s">
        <v>171</v>
      </c>
      <c r="C1200" s="5" t="s">
        <v>84</v>
      </c>
      <c r="D1200" s="8"/>
      <c r="E1200" s="8"/>
      <c r="F1200" s="8"/>
      <c r="G1200" s="8"/>
      <c r="H1200" s="11">
        <v>0.061</v>
      </c>
      <c r="I1200" s="11">
        <v>0.474</v>
      </c>
      <c r="J1200" s="9" t="s">
        <v>63</v>
      </c>
      <c r="K1200" s="14" t="str">
        <f>IFERROR(__xludf.DUMMYFUNCTION("ARRAYFORMULA(VLOOKUP(A1200,IMPORTRANGE(""https://docs.google.com/spreadsheets/d/1BuTWp7qHGjWhqrnf-OmePP568O4A5Am9ttzvVdP67zw/edit#gid=1603210130"", ""TOURISM!$A$2:$F$2692""), {2,3,4,5,6},0))"),"The Americas")</f>
        <v>The Americas</v>
      </c>
      <c r="L1200" s="14">
        <f>IFERROR(__xludf.DUMMYFUNCTION("""COMPUTED_VALUE"""),1.482E9)</f>
        <v>1482000000</v>
      </c>
      <c r="M1200" s="14" t="str">
        <f>IFERROR(__xludf.DUMMYFUNCTION("""COMPUTED_VALUE"""),"Jamaica-The Americas")</f>
        <v>Jamaica-The Americas</v>
      </c>
      <c r="N1200" s="14" t="str">
        <f>IFERROR(__xludf.DUMMYFUNCTION("""COMPUTED_VALUE"""),"2002")</f>
        <v>2002</v>
      </c>
      <c r="O1200" s="14">
        <f>IFERROR(__xludf.DUMMYFUNCTION("""COMPUTED_VALUE"""),2.74E8)</f>
        <v>274000000</v>
      </c>
      <c r="P1200" s="15">
        <f>IFERROR(__xludf.DUMMYFUNCTION("ARRAYFORMULA(VLOOKUP(A1200,IMPORTRANGE(""https://docs.google.com/spreadsheets/d/1BuTWp7qHGjWhqrnf-OmePP568O4A5Am9ttzvVdP67zw/edit#gid=771602874"" ,""HUMAN RESOURCES!$A$2:$M$2692""), {2,3,4,5,6,7,8,9,10,11,12,13},0))"),0.018)</f>
        <v>0.018</v>
      </c>
      <c r="Q1200" s="14">
        <f>IFERROR(__xludf.DUMMYFUNCTION("""COMPUTED_VALUE"""),0.019)</f>
        <v>0.019</v>
      </c>
      <c r="R1200" s="14">
        <f>IFERROR(__xludf.DUMMYFUNCTION("""COMPUTED_VALUE"""),74.0)</f>
        <v>74</v>
      </c>
      <c r="S1200" s="14">
        <f>IFERROR(__xludf.DUMMYFUNCTION("""COMPUTED_VALUE"""),68.0)</f>
        <v>68</v>
      </c>
      <c r="T1200" s="14">
        <f>IFERROR(__xludf.DUMMYFUNCTION("""COMPUTED_VALUE"""),0.321)</f>
        <v>0.321</v>
      </c>
      <c r="U1200" s="14">
        <f>IFERROR(__xludf.DUMMYFUNCTION("""COMPUTED_VALUE"""),0.604)</f>
        <v>0.604</v>
      </c>
      <c r="V1200" s="14">
        <f>IFERROR(__xludf.DUMMYFUNCTION("""COMPUTED_VALUE"""),0.076)</f>
        <v>0.076</v>
      </c>
      <c r="W1200" s="14">
        <f>IFERROR(__xludf.DUMMYFUNCTION("""COMPUTED_VALUE"""),2615253.0)</f>
        <v>2615253</v>
      </c>
      <c r="X1200" s="14">
        <f>IFERROR(__xludf.DUMMYFUNCTION("""COMPUTED_VALUE"""),0.523)</f>
        <v>0.523</v>
      </c>
      <c r="Y1200" s="14" t="str">
        <f>IFERROR(__xludf.DUMMYFUNCTION("""COMPUTED_VALUE"""),"Jamaica-The Americas")</f>
        <v>Jamaica-The Americas</v>
      </c>
      <c r="Z1200" s="14" t="str">
        <f>IFERROR(__xludf.DUMMYFUNCTION("""COMPUTED_VALUE"""),"The Americas")</f>
        <v>The Americas</v>
      </c>
      <c r="AA1200" s="14" t="str">
        <f>IFERROR(__xludf.DUMMYFUNCTION("""COMPUTED_VALUE"""),"2002")</f>
        <v>2002</v>
      </c>
      <c r="AB1200" s="15" t="str">
        <f>IFERROR(__xludf.DUMMYFUNCTION("ARRAYFORMULA(VLOOKUP(A1200,IMPORTRANGE(""https://docs.google.com/spreadsheets/d/1BuTWp7qHGjWhqrnf-OmePP568O4A5Am9ttzvVdP67zw/edit#gid=1931367683"" ,""ENERGY!$A$2:$F$2692""), {2,3,4,5,6},0))"),"The Americas")</f>
        <v>The Americas</v>
      </c>
      <c r="AC1200" s="14" t="str">
        <f>IFERROR(__xludf.DUMMYFUNCTION("""COMPUTED_VALUE"""),"Jamaica-The Americas")</f>
        <v>Jamaica-The Americas</v>
      </c>
      <c r="AD1200" s="14" t="str">
        <f>IFERROR(__xludf.DUMMYFUNCTION("""COMPUTED_VALUE"""),"2002")</f>
        <v>2002</v>
      </c>
      <c r="AE1200" s="14">
        <f>IFERROR(__xludf.DUMMYFUNCTION("""COMPUTED_VALUE"""),2830.0)</f>
        <v>2830</v>
      </c>
      <c r="AF1200" s="14">
        <f>IFERROR(__xludf.DUMMYFUNCTION("""COMPUTED_VALUE"""),7158.0)</f>
        <v>7158</v>
      </c>
    </row>
    <row r="1201">
      <c r="A1201" s="12">
        <v>1200.0</v>
      </c>
      <c r="B1201" s="12" t="s">
        <v>171</v>
      </c>
      <c r="C1201" s="5" t="s">
        <v>84</v>
      </c>
      <c r="D1201" s="8"/>
      <c r="E1201" s="11">
        <v>31.0</v>
      </c>
      <c r="F1201" s="8"/>
      <c r="G1201" s="8"/>
      <c r="H1201" s="11">
        <v>0.078</v>
      </c>
      <c r="I1201" s="11">
        <v>0.596</v>
      </c>
      <c r="J1201" s="9" t="s">
        <v>64</v>
      </c>
      <c r="K1201" s="14" t="str">
        <f>IFERROR(__xludf.DUMMYFUNCTION("ARRAYFORMULA(VLOOKUP(A1201,IMPORTRANGE(""https://docs.google.com/spreadsheets/d/1BuTWp7qHGjWhqrnf-OmePP568O4A5Am9ttzvVdP67zw/edit#gid=1603210130"", ""TOURISM!$A$2:$F$2692""), {2,3,4,5,6},0))"),"The Americas")</f>
        <v>The Americas</v>
      </c>
      <c r="L1201" s="14">
        <f>IFERROR(__xludf.DUMMYFUNCTION("""COMPUTED_VALUE"""),1.621E9)</f>
        <v>1621000000</v>
      </c>
      <c r="M1201" s="14" t="str">
        <f>IFERROR(__xludf.DUMMYFUNCTION("""COMPUTED_VALUE"""),"Jamaica-The Americas")</f>
        <v>Jamaica-The Americas</v>
      </c>
      <c r="N1201" s="14" t="str">
        <f>IFERROR(__xludf.DUMMYFUNCTION("""COMPUTED_VALUE"""),"2003")</f>
        <v>2003</v>
      </c>
      <c r="O1201" s="14">
        <f>IFERROR(__xludf.DUMMYFUNCTION("""COMPUTED_VALUE"""),2.69E8)</f>
        <v>269000000</v>
      </c>
      <c r="P1201" s="15">
        <f>IFERROR(__xludf.DUMMYFUNCTION("ARRAYFORMULA(VLOOKUP(A1201,IMPORTRANGE(""https://docs.google.com/spreadsheets/d/1BuTWp7qHGjWhqrnf-OmePP568O4A5Am9ttzvVdP67zw/edit#gid=771602874"" ,""HUMAN RESOURCES!$A$2:$M$2692""), {2,3,4,5,6,7,8,9,10,11,12,13},0))"),0.017)</f>
        <v>0.017</v>
      </c>
      <c r="Q1201" s="14">
        <f>IFERROR(__xludf.DUMMYFUNCTION("""COMPUTED_VALUE"""),0.019)</f>
        <v>0.019</v>
      </c>
      <c r="R1201" s="14">
        <f>IFERROR(__xludf.DUMMYFUNCTION("""COMPUTED_VALUE"""),74.0)</f>
        <v>74</v>
      </c>
      <c r="S1201" s="14">
        <f>IFERROR(__xludf.DUMMYFUNCTION("""COMPUTED_VALUE"""),68.0)</f>
        <v>68</v>
      </c>
      <c r="T1201" s="14">
        <f>IFERROR(__xludf.DUMMYFUNCTION("""COMPUTED_VALUE"""),0.318)</f>
        <v>0.318</v>
      </c>
      <c r="U1201" s="14">
        <f>IFERROR(__xludf.DUMMYFUNCTION("""COMPUTED_VALUE"""),0.606)</f>
        <v>0.606</v>
      </c>
      <c r="V1201" s="14">
        <f>IFERROR(__xludf.DUMMYFUNCTION("""COMPUTED_VALUE"""),0.076)</f>
        <v>0.076</v>
      </c>
      <c r="W1201" s="14">
        <f>IFERROR(__xludf.DUMMYFUNCTION("""COMPUTED_VALUE"""),2624695.0)</f>
        <v>2624695</v>
      </c>
      <c r="X1201" s="14">
        <f>IFERROR(__xludf.DUMMYFUNCTION("""COMPUTED_VALUE"""),0.524)</f>
        <v>0.524</v>
      </c>
      <c r="Y1201" s="14" t="str">
        <f>IFERROR(__xludf.DUMMYFUNCTION("""COMPUTED_VALUE"""),"Jamaica-The Americas")</f>
        <v>Jamaica-The Americas</v>
      </c>
      <c r="Z1201" s="14" t="str">
        <f>IFERROR(__xludf.DUMMYFUNCTION("""COMPUTED_VALUE"""),"The Americas")</f>
        <v>The Americas</v>
      </c>
      <c r="AA1201" s="14" t="str">
        <f>IFERROR(__xludf.DUMMYFUNCTION("""COMPUTED_VALUE"""),"2003")</f>
        <v>2003</v>
      </c>
      <c r="AB1201" s="15" t="str">
        <f>IFERROR(__xludf.DUMMYFUNCTION("ARRAYFORMULA(VLOOKUP(A1201,IMPORTRANGE(""https://docs.google.com/spreadsheets/d/1BuTWp7qHGjWhqrnf-OmePP568O4A5Am9ttzvVdP67zw/edit#gid=1931367683"" ,""ENERGY!$A$2:$F$2692""), {2,3,4,5,6},0))"),"The Americas")</f>
        <v>The Americas</v>
      </c>
      <c r="AC1201" s="14" t="str">
        <f>IFERROR(__xludf.DUMMYFUNCTION("""COMPUTED_VALUE"""),"Jamaica-The Americas")</f>
        <v>Jamaica-The Americas</v>
      </c>
      <c r="AD1201" s="14" t="str">
        <f>IFERROR(__xludf.DUMMYFUNCTION("""COMPUTED_VALUE"""),"2003")</f>
        <v>2003</v>
      </c>
      <c r="AE1201" s="14">
        <f>IFERROR(__xludf.DUMMYFUNCTION("""COMPUTED_VALUE"""),3022.0)</f>
        <v>3022</v>
      </c>
      <c r="AF1201" s="14">
        <f>IFERROR(__xludf.DUMMYFUNCTION("""COMPUTED_VALUE"""),8592.0)</f>
        <v>8592</v>
      </c>
    </row>
    <row r="1202">
      <c r="A1202" s="12">
        <v>1201.0</v>
      </c>
      <c r="B1202" s="12" t="s">
        <v>171</v>
      </c>
      <c r="C1202" s="5" t="s">
        <v>84</v>
      </c>
      <c r="D1202" s="8"/>
      <c r="E1202" s="11">
        <v>31.0</v>
      </c>
      <c r="F1202" s="8"/>
      <c r="G1202" s="8"/>
      <c r="H1202" s="11">
        <v>0.1</v>
      </c>
      <c r="I1202" s="11">
        <v>0.689</v>
      </c>
      <c r="J1202" s="9" t="s">
        <v>65</v>
      </c>
      <c r="K1202" s="14" t="str">
        <f>IFERROR(__xludf.DUMMYFUNCTION("ARRAYFORMULA(VLOOKUP(A1202,IMPORTRANGE(""https://docs.google.com/spreadsheets/d/1BuTWp7qHGjWhqrnf-OmePP568O4A5Am9ttzvVdP67zw/edit#gid=1603210130"", ""TOURISM!$A$2:$F$2692""), {2,3,4,5,6},0))"),"The Americas")</f>
        <v>The Americas</v>
      </c>
      <c r="L1202" s="14">
        <f>IFERROR(__xludf.DUMMYFUNCTION("""COMPUTED_VALUE"""),1.733E9)</f>
        <v>1733000000</v>
      </c>
      <c r="M1202" s="14" t="str">
        <f>IFERROR(__xludf.DUMMYFUNCTION("""COMPUTED_VALUE"""),"Jamaica-The Americas")</f>
        <v>Jamaica-The Americas</v>
      </c>
      <c r="N1202" s="14" t="str">
        <f>IFERROR(__xludf.DUMMYFUNCTION("""COMPUTED_VALUE"""),"2004")</f>
        <v>2004</v>
      </c>
      <c r="O1202" s="14">
        <f>IFERROR(__xludf.DUMMYFUNCTION("""COMPUTED_VALUE"""),3.18E8)</f>
        <v>318000000</v>
      </c>
      <c r="P1202" s="15">
        <f>IFERROR(__xludf.DUMMYFUNCTION("ARRAYFORMULA(VLOOKUP(A1202,IMPORTRANGE(""https://docs.google.com/spreadsheets/d/1BuTWp7qHGjWhqrnf-OmePP568O4A5Am9ttzvVdP67zw/edit#gid=771602874"" ,""HUMAN RESOURCES!$A$2:$M$2692""), {2,3,4,5,6,7,8,9,10,11,12,13},0))"),0.017)</f>
        <v>0.017</v>
      </c>
      <c r="Q1202" s="14">
        <f>IFERROR(__xludf.DUMMYFUNCTION("""COMPUTED_VALUE"""),0.018)</f>
        <v>0.018</v>
      </c>
      <c r="R1202" s="14">
        <f>IFERROR(__xludf.DUMMYFUNCTION("""COMPUTED_VALUE"""),74.0)</f>
        <v>74</v>
      </c>
      <c r="S1202" s="14">
        <f>IFERROR(__xludf.DUMMYFUNCTION("""COMPUTED_VALUE"""),68.0)</f>
        <v>68</v>
      </c>
      <c r="T1202" s="14">
        <f>IFERROR(__xludf.DUMMYFUNCTION("""COMPUTED_VALUE"""),0.315)</f>
        <v>0.315</v>
      </c>
      <c r="U1202" s="14">
        <f>IFERROR(__xludf.DUMMYFUNCTION("""COMPUTED_VALUE"""),0.609)</f>
        <v>0.609</v>
      </c>
      <c r="V1202" s="14">
        <f>IFERROR(__xludf.DUMMYFUNCTION("""COMPUTED_VALUE"""),0.076)</f>
        <v>0.076</v>
      </c>
      <c r="W1202" s="14">
        <f>IFERROR(__xludf.DUMMYFUNCTION("""COMPUTED_VALUE"""),2634145.0)</f>
        <v>2634145</v>
      </c>
      <c r="X1202" s="14">
        <f>IFERROR(__xludf.DUMMYFUNCTION("""COMPUTED_VALUE"""),0.526)</f>
        <v>0.526</v>
      </c>
      <c r="Y1202" s="14" t="str">
        <f>IFERROR(__xludf.DUMMYFUNCTION("""COMPUTED_VALUE"""),"Jamaica-The Americas")</f>
        <v>Jamaica-The Americas</v>
      </c>
      <c r="Z1202" s="14" t="str">
        <f>IFERROR(__xludf.DUMMYFUNCTION("""COMPUTED_VALUE"""),"The Americas")</f>
        <v>The Americas</v>
      </c>
      <c r="AA1202" s="14" t="str">
        <f>IFERROR(__xludf.DUMMYFUNCTION("""COMPUTED_VALUE"""),"2004")</f>
        <v>2004</v>
      </c>
      <c r="AB1202" s="15" t="str">
        <f>IFERROR(__xludf.DUMMYFUNCTION("ARRAYFORMULA(VLOOKUP(A1202,IMPORTRANGE(""https://docs.google.com/spreadsheets/d/1BuTWp7qHGjWhqrnf-OmePP568O4A5Am9ttzvVdP67zw/edit#gid=1931367683"" ,""ENERGY!$A$2:$F$2692""), {2,3,4,5,6},0))"),"The Americas")</f>
        <v>The Americas</v>
      </c>
      <c r="AC1202" s="14" t="str">
        <f>IFERROR(__xludf.DUMMYFUNCTION("""COMPUTED_VALUE"""),"Jamaica-The Americas")</f>
        <v>Jamaica-The Americas</v>
      </c>
      <c r="AD1202" s="14" t="str">
        <f>IFERROR(__xludf.DUMMYFUNCTION("""COMPUTED_VALUE"""),"2004")</f>
        <v>2004</v>
      </c>
      <c r="AE1202" s="14">
        <f>IFERROR(__xludf.DUMMYFUNCTION("""COMPUTED_VALUE"""),4078.0)</f>
        <v>4078</v>
      </c>
      <c r="AF1202" s="14">
        <f>IFERROR(__xludf.DUMMYFUNCTION("""COMPUTED_VALUE"""),11947.0)</f>
        <v>11947</v>
      </c>
    </row>
    <row r="1203">
      <c r="A1203" s="12">
        <v>1202.0</v>
      </c>
      <c r="B1203" s="12" t="s">
        <v>171</v>
      </c>
      <c r="C1203" s="5" t="s">
        <v>84</v>
      </c>
      <c r="D1203" s="11">
        <v>0.499</v>
      </c>
      <c r="E1203" s="11">
        <v>8.0</v>
      </c>
      <c r="F1203" s="8"/>
      <c r="G1203" s="11">
        <v>414.0</v>
      </c>
      <c r="H1203" s="11">
        <v>0.128</v>
      </c>
      <c r="I1203" s="11">
        <v>0.739</v>
      </c>
      <c r="J1203" s="9" t="s">
        <v>66</v>
      </c>
      <c r="K1203" s="14" t="str">
        <f>IFERROR(__xludf.DUMMYFUNCTION("ARRAYFORMULA(VLOOKUP(A1203,IMPORTRANGE(""https://docs.google.com/spreadsheets/d/1BuTWp7qHGjWhqrnf-OmePP568O4A5Am9ttzvVdP67zw/edit#gid=1603210130"", ""TOURISM!$A$2:$F$2692""), {2,3,4,5,6},0))"),"The Americas")</f>
        <v>The Americas</v>
      </c>
      <c r="L1203" s="14">
        <f>IFERROR(__xludf.DUMMYFUNCTION("""COMPUTED_VALUE"""),1.783E9)</f>
        <v>1783000000</v>
      </c>
      <c r="M1203" s="14" t="str">
        <f>IFERROR(__xludf.DUMMYFUNCTION("""COMPUTED_VALUE"""),"Jamaica-The Americas")</f>
        <v>Jamaica-The Americas</v>
      </c>
      <c r="N1203" s="14" t="str">
        <f>IFERROR(__xludf.DUMMYFUNCTION("""COMPUTED_VALUE"""),"2005")</f>
        <v>2005</v>
      </c>
      <c r="O1203" s="14">
        <f>IFERROR(__xludf.DUMMYFUNCTION("""COMPUTED_VALUE"""),2.9E8)</f>
        <v>290000000</v>
      </c>
      <c r="P1203" s="15">
        <f>IFERROR(__xludf.DUMMYFUNCTION("ARRAYFORMULA(VLOOKUP(A1203,IMPORTRANGE(""https://docs.google.com/spreadsheets/d/1BuTWp7qHGjWhqrnf-OmePP568O4A5Am9ttzvVdP67zw/edit#gid=771602874"" ,""HUMAN RESOURCES!$A$2:$M$2692""), {2,3,4,5,6,7,8,9,10,11,12,13},0))"),0.018)</f>
        <v>0.018</v>
      </c>
      <c r="Q1203" s="14">
        <f>IFERROR(__xludf.DUMMYFUNCTION("""COMPUTED_VALUE"""),0.018)</f>
        <v>0.018</v>
      </c>
      <c r="R1203" s="14">
        <f>IFERROR(__xludf.DUMMYFUNCTION("""COMPUTED_VALUE"""),74.0)</f>
        <v>74</v>
      </c>
      <c r="S1203" s="14">
        <f>IFERROR(__xludf.DUMMYFUNCTION("""COMPUTED_VALUE"""),69.0)</f>
        <v>69</v>
      </c>
      <c r="T1203" s="14">
        <f>IFERROR(__xludf.DUMMYFUNCTION("""COMPUTED_VALUE"""),0.311)</f>
        <v>0.311</v>
      </c>
      <c r="U1203" s="14">
        <f>IFERROR(__xludf.DUMMYFUNCTION("""COMPUTED_VALUE"""),0.612)</f>
        <v>0.612</v>
      </c>
      <c r="V1203" s="14">
        <f>IFERROR(__xludf.DUMMYFUNCTION("""COMPUTED_VALUE"""),0.077)</f>
        <v>0.077</v>
      </c>
      <c r="W1203" s="14">
        <f>IFERROR(__xludf.DUMMYFUNCTION("""COMPUTED_VALUE"""),2643601.0)</f>
        <v>2643601</v>
      </c>
      <c r="X1203" s="14">
        <f>IFERROR(__xludf.DUMMYFUNCTION("""COMPUTED_VALUE"""),0.528)</f>
        <v>0.528</v>
      </c>
      <c r="Y1203" s="14" t="str">
        <f>IFERROR(__xludf.DUMMYFUNCTION("""COMPUTED_VALUE"""),"Jamaica-The Americas")</f>
        <v>Jamaica-The Americas</v>
      </c>
      <c r="Z1203" s="14" t="str">
        <f>IFERROR(__xludf.DUMMYFUNCTION("""COMPUTED_VALUE"""),"The Americas")</f>
        <v>The Americas</v>
      </c>
      <c r="AA1203" s="14" t="str">
        <f>IFERROR(__xludf.DUMMYFUNCTION("""COMPUTED_VALUE"""),"2005")</f>
        <v>2005</v>
      </c>
      <c r="AB1203" s="15" t="str">
        <f>IFERROR(__xludf.DUMMYFUNCTION("ARRAYFORMULA(VLOOKUP(A1203,IMPORTRANGE(""https://docs.google.com/spreadsheets/d/1BuTWp7qHGjWhqrnf-OmePP568O4A5Am9ttzvVdP67zw/edit#gid=1931367683"" ,""ENERGY!$A$2:$F$2692""), {2,3,4,5,6},0))"),"The Americas")</f>
        <v>The Americas</v>
      </c>
      <c r="AC1203" s="14" t="str">
        <f>IFERROR(__xludf.DUMMYFUNCTION("""COMPUTED_VALUE"""),"Jamaica-The Americas")</f>
        <v>Jamaica-The Americas</v>
      </c>
      <c r="AD1203" s="14" t="str">
        <f>IFERROR(__xludf.DUMMYFUNCTION("""COMPUTED_VALUE"""),"2007")</f>
        <v>2007</v>
      </c>
      <c r="AE1203" s="14">
        <f>IFERROR(__xludf.DUMMYFUNCTION("""COMPUTED_VALUE"""),4200.0)</f>
        <v>4200</v>
      </c>
      <c r="AF1203" s="14">
        <f>IFERROR(__xludf.DUMMYFUNCTION("""COMPUTED_VALUE"""),13480.0)</f>
        <v>13480</v>
      </c>
    </row>
    <row r="1204">
      <c r="A1204" s="12">
        <v>1203.0</v>
      </c>
      <c r="B1204" s="12" t="s">
        <v>171</v>
      </c>
      <c r="C1204" s="5" t="s">
        <v>84</v>
      </c>
      <c r="D1204" s="11">
        <v>0.499</v>
      </c>
      <c r="E1204" s="11">
        <v>8.0</v>
      </c>
      <c r="F1204" s="8"/>
      <c r="G1204" s="11">
        <v>414.0</v>
      </c>
      <c r="H1204" s="11">
        <v>0.164</v>
      </c>
      <c r="I1204" s="11">
        <v>0.844</v>
      </c>
      <c r="J1204" s="9" t="s">
        <v>67</v>
      </c>
      <c r="K1204" s="14" t="str">
        <f>IFERROR(__xludf.DUMMYFUNCTION("ARRAYFORMULA(VLOOKUP(A1204,IMPORTRANGE(""https://docs.google.com/spreadsheets/d/1BuTWp7qHGjWhqrnf-OmePP568O4A5Am9ttzvVdP67zw/edit#gid=1603210130"", ""TOURISM!$A$2:$F$2692""), {2,3,4,5,6},0))"),"The Americas")</f>
        <v>The Americas</v>
      </c>
      <c r="L1204" s="14">
        <f>IFERROR(__xludf.DUMMYFUNCTION("""COMPUTED_VALUE"""),2.094E9)</f>
        <v>2094000000</v>
      </c>
      <c r="M1204" s="14" t="str">
        <f>IFERROR(__xludf.DUMMYFUNCTION("""COMPUTED_VALUE"""),"Jamaica-The Americas")</f>
        <v>Jamaica-The Americas</v>
      </c>
      <c r="N1204" s="14" t="str">
        <f>IFERROR(__xludf.DUMMYFUNCTION("""COMPUTED_VALUE"""),"2006")</f>
        <v>2006</v>
      </c>
      <c r="O1204" s="14">
        <f>IFERROR(__xludf.DUMMYFUNCTION("""COMPUTED_VALUE"""),3.15E8)</f>
        <v>315000000</v>
      </c>
      <c r="P1204" s="15">
        <f>IFERROR(__xludf.DUMMYFUNCTION("ARRAYFORMULA(VLOOKUP(A1204,IMPORTRANGE(""https://docs.google.com/spreadsheets/d/1BuTWp7qHGjWhqrnf-OmePP568O4A5Am9ttzvVdP67zw/edit#gid=771602874"" ,""HUMAN RESOURCES!$A$2:$M$2692""), {2,3,4,5,6,7,8,9,10,11,12,13},0))"),0.016)</f>
        <v>0.016</v>
      </c>
      <c r="Q1204" s="14">
        <f>IFERROR(__xludf.DUMMYFUNCTION("""COMPUTED_VALUE"""),0.018)</f>
        <v>0.018</v>
      </c>
      <c r="R1204" s="14">
        <f>IFERROR(__xludf.DUMMYFUNCTION("""COMPUTED_VALUE"""),75.0)</f>
        <v>75</v>
      </c>
      <c r="S1204" s="14">
        <f>IFERROR(__xludf.DUMMYFUNCTION("""COMPUTED_VALUE"""),69.0)</f>
        <v>69</v>
      </c>
      <c r="T1204" s="14">
        <f>IFERROR(__xludf.DUMMYFUNCTION("""COMPUTED_VALUE"""),0.308)</f>
        <v>0.308</v>
      </c>
      <c r="U1204" s="14">
        <f>IFERROR(__xludf.DUMMYFUNCTION("""COMPUTED_VALUE"""),0.615)</f>
        <v>0.615</v>
      </c>
      <c r="V1204" s="14">
        <f>IFERROR(__xludf.DUMMYFUNCTION("""COMPUTED_VALUE"""),0.077)</f>
        <v>0.077</v>
      </c>
      <c r="W1204" s="14">
        <f>IFERROR(__xludf.DUMMYFUNCTION("""COMPUTED_VALUE"""),2653042.0)</f>
        <v>2653042</v>
      </c>
      <c r="X1204" s="14">
        <f>IFERROR(__xludf.DUMMYFUNCTION("""COMPUTED_VALUE"""),0.53)</f>
        <v>0.53</v>
      </c>
      <c r="Y1204" s="14" t="str">
        <f>IFERROR(__xludf.DUMMYFUNCTION("""COMPUTED_VALUE"""),"Jamaica-The Americas")</f>
        <v>Jamaica-The Americas</v>
      </c>
      <c r="Z1204" s="14" t="str">
        <f>IFERROR(__xludf.DUMMYFUNCTION("""COMPUTED_VALUE"""),"The Americas")</f>
        <v>The Americas</v>
      </c>
      <c r="AA1204" s="14" t="str">
        <f>IFERROR(__xludf.DUMMYFUNCTION("""COMPUTED_VALUE"""),"2006")</f>
        <v>2006</v>
      </c>
      <c r="AB1204" s="15" t="str">
        <f>IFERROR(__xludf.DUMMYFUNCTION("ARRAYFORMULA(VLOOKUP(A1204,IMPORTRANGE(""https://docs.google.com/spreadsheets/d/1BuTWp7qHGjWhqrnf-OmePP568O4A5Am9ttzvVdP67zw/edit#gid=1931367683"" ,""ENERGY!$A$2:$F$2692""), {2,3,4,5,6},0))"),"The Americas")</f>
        <v>The Americas</v>
      </c>
      <c r="AC1204" s="14" t="str">
        <f>IFERROR(__xludf.DUMMYFUNCTION("""COMPUTED_VALUE"""),"Jamaica-The Americas")</f>
        <v>Jamaica-The Americas</v>
      </c>
      <c r="AD1204" s="14" t="str">
        <f>IFERROR(__xludf.DUMMYFUNCTION("""COMPUTED_VALUE"""),"2011")</f>
        <v>2011</v>
      </c>
      <c r="AE1204" s="14">
        <f>IFERROR(__xludf.DUMMYFUNCTION("""COMPUTED_VALUE"""),4176.0)</f>
        <v>4176</v>
      </c>
      <c r="AF1204" s="14">
        <f>IFERROR(__xludf.DUMMYFUNCTION("""COMPUTED_VALUE"""),12020.0)</f>
        <v>12020</v>
      </c>
    </row>
    <row r="1205">
      <c r="A1205" s="12">
        <v>1204.0</v>
      </c>
      <c r="B1205" s="12" t="s">
        <v>171</v>
      </c>
      <c r="C1205" s="5" t="s">
        <v>84</v>
      </c>
      <c r="D1205" s="11">
        <v>0.499</v>
      </c>
      <c r="E1205" s="11">
        <v>8.0</v>
      </c>
      <c r="F1205" s="8"/>
      <c r="G1205" s="11">
        <v>414.0</v>
      </c>
      <c r="H1205" s="11">
        <v>0.211</v>
      </c>
      <c r="I1205" s="11">
        <v>0.991</v>
      </c>
      <c r="J1205" s="9" t="s">
        <v>68</v>
      </c>
      <c r="K1205" s="14" t="str">
        <f>IFERROR(__xludf.DUMMYFUNCTION("ARRAYFORMULA(VLOOKUP(A1205,IMPORTRANGE(""https://docs.google.com/spreadsheets/d/1BuTWp7qHGjWhqrnf-OmePP568O4A5Am9ttzvVdP67zw/edit#gid=1603210130"", ""TOURISM!$A$2:$F$2692""), {2,3,4,5,6},0))"),"The Americas")</f>
        <v>The Americas</v>
      </c>
      <c r="L1205" s="14">
        <f>IFERROR(__xludf.DUMMYFUNCTION("""COMPUTED_VALUE"""),2.142E9)</f>
        <v>2142000000</v>
      </c>
      <c r="M1205" s="14" t="str">
        <f>IFERROR(__xludf.DUMMYFUNCTION("""COMPUTED_VALUE"""),"Jamaica-The Americas")</f>
        <v>Jamaica-The Americas</v>
      </c>
      <c r="N1205" s="14" t="str">
        <f>IFERROR(__xludf.DUMMYFUNCTION("""COMPUTED_VALUE"""),"2007")</f>
        <v>2007</v>
      </c>
      <c r="O1205" s="14">
        <f>IFERROR(__xludf.DUMMYFUNCTION("""COMPUTED_VALUE"""),3.4E8)</f>
        <v>340000000</v>
      </c>
      <c r="P1205" s="15">
        <f>IFERROR(__xludf.DUMMYFUNCTION("ARRAYFORMULA(VLOOKUP(A1205,IMPORTRANGE(""https://docs.google.com/spreadsheets/d/1BuTWp7qHGjWhqrnf-OmePP568O4A5Am9ttzvVdP67zw/edit#gid=771602874"" ,""HUMAN RESOURCES!$A$2:$M$2692""), {2,3,4,5,6,7,8,9,10,11,12,13},0))"),0.016)</f>
        <v>0.016</v>
      </c>
      <c r="Q1205" s="14">
        <f>IFERROR(__xludf.DUMMYFUNCTION("""COMPUTED_VALUE"""),0.017)</f>
        <v>0.017</v>
      </c>
      <c r="R1205" s="14">
        <f>IFERROR(__xludf.DUMMYFUNCTION("""COMPUTED_VALUE"""),75.0)</f>
        <v>75</v>
      </c>
      <c r="S1205" s="14">
        <f>IFERROR(__xludf.DUMMYFUNCTION("""COMPUTED_VALUE"""),69.0)</f>
        <v>69</v>
      </c>
      <c r="T1205" s="14">
        <f>IFERROR(__xludf.DUMMYFUNCTION("""COMPUTED_VALUE"""),0.304)</f>
        <v>0.304</v>
      </c>
      <c r="U1205" s="14">
        <f>IFERROR(__xludf.DUMMYFUNCTION("""COMPUTED_VALUE"""),0.618)</f>
        <v>0.618</v>
      </c>
      <c r="V1205" s="14">
        <f>IFERROR(__xludf.DUMMYFUNCTION("""COMPUTED_VALUE"""),0.077)</f>
        <v>0.077</v>
      </c>
      <c r="W1205" s="14">
        <f>IFERROR(__xludf.DUMMYFUNCTION("""COMPUTED_VALUE"""),2662481.0)</f>
        <v>2662481</v>
      </c>
      <c r="X1205" s="14">
        <f>IFERROR(__xludf.DUMMYFUNCTION("""COMPUTED_VALUE"""),0.532)</f>
        <v>0.532</v>
      </c>
      <c r="Y1205" s="14" t="str">
        <f>IFERROR(__xludf.DUMMYFUNCTION("""COMPUTED_VALUE"""),"Jamaica-The Americas")</f>
        <v>Jamaica-The Americas</v>
      </c>
      <c r="Z1205" s="14" t="str">
        <f>IFERROR(__xludf.DUMMYFUNCTION("""COMPUTED_VALUE"""),"The Americas")</f>
        <v>The Americas</v>
      </c>
      <c r="AA1205" s="14" t="str">
        <f>IFERROR(__xludf.DUMMYFUNCTION("""COMPUTED_VALUE"""),"2007")</f>
        <v>2007</v>
      </c>
      <c r="AB1205" s="15" t="str">
        <f>IFERROR(__xludf.DUMMYFUNCTION("ARRAYFORMULA(VLOOKUP(A1205,IMPORTRANGE(""https://docs.google.com/spreadsheets/d/1BuTWp7qHGjWhqrnf-OmePP568O4A5Am9ttzvVdP67zw/edit#gid=1931367683"" ,""ENERGY!$A$2:$F$2692""), {2,3,4,5,6},0))"),"The Americas")</f>
        <v>The Americas</v>
      </c>
      <c r="AC1205" s="14" t="str">
        <f>IFERROR(__xludf.DUMMYFUNCTION("""COMPUTED_VALUE"""),"Jamaica-The Americas")</f>
        <v>Jamaica-The Americas</v>
      </c>
      <c r="AD1205" s="14" t="str">
        <f>IFERROR(__xludf.DUMMYFUNCTION("""COMPUTED_VALUE"""),"2008")</f>
        <v>2008</v>
      </c>
      <c r="AE1205" s="14">
        <f>IFERROR(__xludf.DUMMYFUNCTION("""COMPUTED_VALUE"""),3717.0)</f>
        <v>3717</v>
      </c>
      <c r="AF1205" s="14">
        <f>IFERROR(__xludf.DUMMYFUNCTION("""COMPUTED_VALUE"""),10645.0)</f>
        <v>10645</v>
      </c>
    </row>
    <row r="1206">
      <c r="A1206" s="12">
        <v>1205.0</v>
      </c>
      <c r="B1206" s="12" t="s">
        <v>171</v>
      </c>
      <c r="C1206" s="5" t="s">
        <v>84</v>
      </c>
      <c r="D1206" s="11">
        <v>0.499</v>
      </c>
      <c r="E1206" s="11">
        <v>8.0</v>
      </c>
      <c r="F1206" s="8"/>
      <c r="G1206" s="11">
        <v>414.0</v>
      </c>
      <c r="H1206" s="11">
        <v>0.236</v>
      </c>
      <c r="I1206" s="11">
        <v>1.002</v>
      </c>
      <c r="J1206" s="9" t="s">
        <v>69</v>
      </c>
      <c r="K1206" s="14" t="str">
        <f>IFERROR(__xludf.DUMMYFUNCTION("ARRAYFORMULA(VLOOKUP(A1206,IMPORTRANGE(""https://docs.google.com/spreadsheets/d/1BuTWp7qHGjWhqrnf-OmePP568O4A5Am9ttzvVdP67zw/edit#gid=1603210130"", ""TOURISM!$A$2:$F$2692""), {2,3,4,5,6},0))"),"The Americas")</f>
        <v>The Americas</v>
      </c>
      <c r="L1206" s="14">
        <f>IFERROR(__xludf.DUMMYFUNCTION("""COMPUTED_VALUE"""),2.222E9)</f>
        <v>2222000000</v>
      </c>
      <c r="M1206" s="14" t="str">
        <f>IFERROR(__xludf.DUMMYFUNCTION("""COMPUTED_VALUE"""),"Jamaica-The Americas")</f>
        <v>Jamaica-The Americas</v>
      </c>
      <c r="N1206" s="14" t="str">
        <f>IFERROR(__xludf.DUMMYFUNCTION("""COMPUTED_VALUE"""),"2008")</f>
        <v>2008</v>
      </c>
      <c r="O1206" s="14">
        <f>IFERROR(__xludf.DUMMYFUNCTION("""COMPUTED_VALUE"""),3.12E8)</f>
        <v>312000000</v>
      </c>
      <c r="P1206" s="15">
        <f>IFERROR(__xludf.DUMMYFUNCTION("ARRAYFORMULA(VLOOKUP(A1206,IMPORTRANGE(""https://docs.google.com/spreadsheets/d/1BuTWp7qHGjWhqrnf-OmePP568O4A5Am9ttzvVdP67zw/edit#gid=771602874"" ,""HUMAN RESOURCES!$A$2:$M$2692""), {2,3,4,5,6,7,8,9,10,11,12,13},0))"),0.016)</f>
        <v>0.016</v>
      </c>
      <c r="Q1206" s="14">
        <f>IFERROR(__xludf.DUMMYFUNCTION("""COMPUTED_VALUE"""),0.017)</f>
        <v>0.017</v>
      </c>
      <c r="R1206" s="14">
        <f>IFERROR(__xludf.DUMMYFUNCTION("""COMPUTED_VALUE"""),75.0)</f>
        <v>75</v>
      </c>
      <c r="S1206" s="14">
        <f>IFERROR(__xludf.DUMMYFUNCTION("""COMPUTED_VALUE"""),70.0)</f>
        <v>70</v>
      </c>
      <c r="T1206" s="14">
        <f>IFERROR(__xludf.DUMMYFUNCTION("""COMPUTED_VALUE"""),0.3)</f>
        <v>0.3</v>
      </c>
      <c r="U1206" s="14">
        <f>IFERROR(__xludf.DUMMYFUNCTION("""COMPUTED_VALUE"""),0.622)</f>
        <v>0.622</v>
      </c>
      <c r="V1206" s="14">
        <f>IFERROR(__xludf.DUMMYFUNCTION("""COMPUTED_VALUE"""),0.078)</f>
        <v>0.078</v>
      </c>
      <c r="W1206" s="14">
        <f>IFERROR(__xludf.DUMMYFUNCTION("""COMPUTED_VALUE"""),2671934.0)</f>
        <v>2671934</v>
      </c>
      <c r="X1206" s="14">
        <f>IFERROR(__xludf.DUMMYFUNCTION("""COMPUTED_VALUE"""),0.534)</f>
        <v>0.534</v>
      </c>
      <c r="Y1206" s="14" t="str">
        <f>IFERROR(__xludf.DUMMYFUNCTION("""COMPUTED_VALUE"""),"Jamaica-The Americas")</f>
        <v>Jamaica-The Americas</v>
      </c>
      <c r="Z1206" s="14" t="str">
        <f>IFERROR(__xludf.DUMMYFUNCTION("""COMPUTED_VALUE"""),"The Americas")</f>
        <v>The Americas</v>
      </c>
      <c r="AA1206" s="14" t="str">
        <f>IFERROR(__xludf.DUMMYFUNCTION("""COMPUTED_VALUE"""),"2008")</f>
        <v>2008</v>
      </c>
      <c r="AB1206" s="15" t="str">
        <f>IFERROR(__xludf.DUMMYFUNCTION("ARRAYFORMULA(VLOOKUP(A1206,IMPORTRANGE(""https://docs.google.com/spreadsheets/d/1BuTWp7qHGjWhqrnf-OmePP568O4A5Am9ttzvVdP67zw/edit#gid=1931367683"" ,""ENERGY!$A$2:$F$2692""), {2,3,4,5,6},0))"),"The Americas")</f>
        <v>The Americas</v>
      </c>
      <c r="AC1206" s="14" t="str">
        <f>IFERROR(__xludf.DUMMYFUNCTION("""COMPUTED_VALUE"""),"Jamaica-The Americas")</f>
        <v>Jamaica-The Americas</v>
      </c>
      <c r="AD1206" s="14" t="str">
        <f>IFERROR(__xludf.DUMMYFUNCTION("""COMPUTED_VALUE"""),"2006")</f>
        <v>2006</v>
      </c>
      <c r="AE1206" s="14">
        <f>IFERROR(__xludf.DUMMYFUNCTION("""COMPUTED_VALUE"""),3769.0)</f>
        <v>3769</v>
      </c>
      <c r="AF1206" s="14">
        <f>IFERROR(__xludf.DUMMYFUNCTION("""COMPUTED_VALUE"""),10715.0)</f>
        <v>10715</v>
      </c>
    </row>
    <row r="1207">
      <c r="A1207" s="12">
        <v>1206.0</v>
      </c>
      <c r="B1207" s="12" t="s">
        <v>171</v>
      </c>
      <c r="C1207" s="5" t="s">
        <v>84</v>
      </c>
      <c r="D1207" s="11">
        <v>0.499</v>
      </c>
      <c r="E1207" s="11">
        <v>8.0</v>
      </c>
      <c r="F1207" s="8"/>
      <c r="G1207" s="11">
        <v>414.0</v>
      </c>
      <c r="H1207" s="11">
        <v>0.243</v>
      </c>
      <c r="I1207" s="11">
        <v>1.083</v>
      </c>
      <c r="J1207" s="9" t="s">
        <v>70</v>
      </c>
      <c r="K1207" s="14" t="str">
        <f>IFERROR(__xludf.DUMMYFUNCTION("ARRAYFORMULA(VLOOKUP(A1207,IMPORTRANGE(""https://docs.google.com/spreadsheets/d/1BuTWp7qHGjWhqrnf-OmePP568O4A5Am9ttzvVdP67zw/edit#gid=1603210130"", ""TOURISM!$A$2:$F$2692""), {2,3,4,5,6},0))"),"The Americas")</f>
        <v>The Americas</v>
      </c>
      <c r="L1207" s="14">
        <f>IFERROR(__xludf.DUMMYFUNCTION("""COMPUTED_VALUE"""),2.07E9)</f>
        <v>2070000000</v>
      </c>
      <c r="M1207" s="14" t="str">
        <f>IFERROR(__xludf.DUMMYFUNCTION("""COMPUTED_VALUE"""),"Jamaica-The Americas")</f>
        <v>Jamaica-The Americas</v>
      </c>
      <c r="N1207" s="14" t="str">
        <f>IFERROR(__xludf.DUMMYFUNCTION("""COMPUTED_VALUE"""),"2009")</f>
        <v>2009</v>
      </c>
      <c r="O1207" s="14">
        <f>IFERROR(__xludf.DUMMYFUNCTION("""COMPUTED_VALUE"""),2.59E8)</f>
        <v>259000000</v>
      </c>
      <c r="P1207" s="15">
        <f>IFERROR(__xludf.DUMMYFUNCTION("ARRAYFORMULA(VLOOKUP(A1207,IMPORTRANGE(""https://docs.google.com/spreadsheets/d/1BuTWp7qHGjWhqrnf-OmePP568O4A5Am9ttzvVdP67zw/edit#gid=771602874"" ,""HUMAN RESOURCES!$A$2:$M$2692""), {2,3,4,5,6,7,8,9,10,11,12,13},0))"),0.016)</f>
        <v>0.016</v>
      </c>
      <c r="Q1207" s="14">
        <f>IFERROR(__xludf.DUMMYFUNCTION("""COMPUTED_VALUE"""),0.016)</f>
        <v>0.016</v>
      </c>
      <c r="R1207" s="14">
        <f>IFERROR(__xludf.DUMMYFUNCTION("""COMPUTED_VALUE"""),75.0)</f>
        <v>75</v>
      </c>
      <c r="S1207" s="14">
        <f>IFERROR(__xludf.DUMMYFUNCTION("""COMPUTED_VALUE"""),70.0)</f>
        <v>70</v>
      </c>
      <c r="T1207" s="14">
        <f>IFERROR(__xludf.DUMMYFUNCTION("""COMPUTED_VALUE"""),0.296)</f>
        <v>0.296</v>
      </c>
      <c r="U1207" s="14">
        <f>IFERROR(__xludf.DUMMYFUNCTION("""COMPUTED_VALUE"""),0.626)</f>
        <v>0.626</v>
      </c>
      <c r="V1207" s="14">
        <f>IFERROR(__xludf.DUMMYFUNCTION("""COMPUTED_VALUE"""),0.078)</f>
        <v>0.078</v>
      </c>
      <c r="W1207" s="14">
        <f>IFERROR(__xludf.DUMMYFUNCTION("""COMPUTED_VALUE"""),2681386.0)</f>
        <v>2681386</v>
      </c>
      <c r="X1207" s="14">
        <f>IFERROR(__xludf.DUMMYFUNCTION("""COMPUTED_VALUE"""),0.536)</f>
        <v>0.536</v>
      </c>
      <c r="Y1207" s="14" t="str">
        <f>IFERROR(__xludf.DUMMYFUNCTION("""COMPUTED_VALUE"""),"Jamaica-The Americas")</f>
        <v>Jamaica-The Americas</v>
      </c>
      <c r="Z1207" s="14" t="str">
        <f>IFERROR(__xludf.DUMMYFUNCTION("""COMPUTED_VALUE"""),"The Americas")</f>
        <v>The Americas</v>
      </c>
      <c r="AA1207" s="14" t="str">
        <f>IFERROR(__xludf.DUMMYFUNCTION("""COMPUTED_VALUE"""),"2009")</f>
        <v>2009</v>
      </c>
      <c r="AB1207" s="15" t="str">
        <f>IFERROR(__xludf.DUMMYFUNCTION("ARRAYFORMULA(VLOOKUP(A1207,IMPORTRANGE(""https://docs.google.com/spreadsheets/d/1BuTWp7qHGjWhqrnf-OmePP568O4A5Am9ttzvVdP67zw/edit#gid=1931367683"" ,""ENERGY!$A$2:$F$2692""), {2,3,4,5,6},0))"),"The Americas")</f>
        <v>The Americas</v>
      </c>
      <c r="AC1207" s="14" t="str">
        <f>IFERROR(__xludf.DUMMYFUNCTION("""COMPUTED_VALUE"""),"Jamaica-The Americas")</f>
        <v>Jamaica-The Americas</v>
      </c>
      <c r="AD1207" s="14" t="str">
        <f>IFERROR(__xludf.DUMMYFUNCTION("""COMPUTED_VALUE"""),"2010")</f>
        <v>2010</v>
      </c>
      <c r="AE1207" s="14">
        <f>IFERROR(__xludf.DUMMYFUNCTION("""COMPUTED_VALUE"""),3728.0)</f>
        <v>3728</v>
      </c>
      <c r="AF1207" s="14">
        <f>IFERROR(__xludf.DUMMYFUNCTION("""COMPUTED_VALUE"""),10722.0)</f>
        <v>10722</v>
      </c>
    </row>
    <row r="1208">
      <c r="A1208" s="12">
        <v>1207.0</v>
      </c>
      <c r="B1208" s="12" t="s">
        <v>171</v>
      </c>
      <c r="C1208" s="5" t="s">
        <v>84</v>
      </c>
      <c r="D1208" s="11">
        <v>0.487</v>
      </c>
      <c r="E1208" s="11">
        <v>8.0</v>
      </c>
      <c r="F1208" s="8"/>
      <c r="G1208" s="11">
        <v>414.0</v>
      </c>
      <c r="H1208" s="11">
        <v>0.277</v>
      </c>
      <c r="I1208" s="11">
        <v>1.161</v>
      </c>
      <c r="J1208" s="9" t="s">
        <v>71</v>
      </c>
      <c r="K1208" s="14" t="str">
        <f>IFERROR(__xludf.DUMMYFUNCTION("ARRAYFORMULA(VLOOKUP(A1208,IMPORTRANGE(""https://docs.google.com/spreadsheets/d/1BuTWp7qHGjWhqrnf-OmePP568O4A5Am9ttzvVdP67zw/edit#gid=1603210130"", ""TOURISM!$A$2:$F$2692""), {2,3,4,5,6},0))"),"The Americas")</f>
        <v>The Americas</v>
      </c>
      <c r="L1208" s="14">
        <f>IFERROR(__xludf.DUMMYFUNCTION("""COMPUTED_VALUE"""),2.095E9)</f>
        <v>2095000000</v>
      </c>
      <c r="M1208" s="14" t="str">
        <f>IFERROR(__xludf.DUMMYFUNCTION("""COMPUTED_VALUE"""),"Jamaica-The Americas")</f>
        <v>Jamaica-The Americas</v>
      </c>
      <c r="N1208" s="14" t="str">
        <f>IFERROR(__xludf.DUMMYFUNCTION("""COMPUTED_VALUE"""),"2010")</f>
        <v>2010</v>
      </c>
      <c r="O1208" s="14">
        <f>IFERROR(__xludf.DUMMYFUNCTION("""COMPUTED_VALUE"""),2.35E8)</f>
        <v>235000000</v>
      </c>
      <c r="P1208" s="15">
        <f>IFERROR(__xludf.DUMMYFUNCTION("ARRAYFORMULA(VLOOKUP(A1208,IMPORTRANGE(""https://docs.google.com/spreadsheets/d/1BuTWp7qHGjWhqrnf-OmePP568O4A5Am9ttzvVdP67zw/edit#gid=771602874"" ,""HUMAN RESOURCES!$A$2:$M$2692""), {2,3,4,5,6,7,8,9,10,11,12,13},0))"),0.015)</f>
        <v>0.015</v>
      </c>
      <c r="Q1208" s="14">
        <f>IFERROR(__xludf.DUMMYFUNCTION("""COMPUTED_VALUE"""),0.016)</f>
        <v>0.016</v>
      </c>
      <c r="R1208" s="14">
        <f>IFERROR(__xludf.DUMMYFUNCTION("""COMPUTED_VALUE"""),76.0)</f>
        <v>76</v>
      </c>
      <c r="S1208" s="14">
        <f>IFERROR(__xludf.DUMMYFUNCTION("""COMPUTED_VALUE"""),70.0)</f>
        <v>70</v>
      </c>
      <c r="T1208" s="14">
        <f>IFERROR(__xludf.DUMMYFUNCTION("""COMPUTED_VALUE"""),0.29)</f>
        <v>0.29</v>
      </c>
      <c r="U1208" s="14">
        <f>IFERROR(__xludf.DUMMYFUNCTION("""COMPUTED_VALUE"""),0.631)</f>
        <v>0.631</v>
      </c>
      <c r="V1208" s="14">
        <f>IFERROR(__xludf.DUMMYFUNCTION("""COMPUTED_VALUE"""),0.078)</f>
        <v>0.078</v>
      </c>
      <c r="W1208" s="14">
        <f>IFERROR(__xludf.DUMMYFUNCTION("""COMPUTED_VALUE"""),2690824.0)</f>
        <v>2690824</v>
      </c>
      <c r="X1208" s="14">
        <f>IFERROR(__xludf.DUMMYFUNCTION("""COMPUTED_VALUE"""),0.537)</f>
        <v>0.537</v>
      </c>
      <c r="Y1208" s="14" t="str">
        <f>IFERROR(__xludf.DUMMYFUNCTION("""COMPUTED_VALUE"""),"Jamaica-The Americas")</f>
        <v>Jamaica-The Americas</v>
      </c>
      <c r="Z1208" s="14" t="str">
        <f>IFERROR(__xludf.DUMMYFUNCTION("""COMPUTED_VALUE"""),"The Americas")</f>
        <v>The Americas</v>
      </c>
      <c r="AA1208" s="14" t="str">
        <f>IFERROR(__xludf.DUMMYFUNCTION("""COMPUTED_VALUE"""),"2010")</f>
        <v>2010</v>
      </c>
      <c r="AB1208" s="15" t="str">
        <f>IFERROR(__xludf.DUMMYFUNCTION("ARRAYFORMULA(VLOOKUP(A1208,IMPORTRANGE(""https://docs.google.com/spreadsheets/d/1BuTWp7qHGjWhqrnf-OmePP568O4A5Am9ttzvVdP67zw/edit#gid=1931367683"" ,""ENERGY!$A$2:$F$2692""), {2,3,4,5,6},0))"),"The Americas")</f>
        <v>The Americas</v>
      </c>
      <c r="AC1208" s="14" t="str">
        <f>IFERROR(__xludf.DUMMYFUNCTION("""COMPUTED_VALUE"""),"Jamaica-The Americas")</f>
        <v>Jamaica-The Americas</v>
      </c>
      <c r="AD1208" s="14" t="str">
        <f>IFERROR(__xludf.DUMMYFUNCTION("""COMPUTED_VALUE"""),"2011")</f>
        <v>2011</v>
      </c>
      <c r="AE1208" s="14">
        <f>IFERROR(__xludf.DUMMYFUNCTION("""COMPUTED_VALUE"""),3586.0)</f>
        <v>3586</v>
      </c>
      <c r="AF1208" s="14">
        <f>IFERROR(__xludf.DUMMYFUNCTION("""COMPUTED_VALUE"""),10301.0)</f>
        <v>10301</v>
      </c>
    </row>
    <row r="1209">
      <c r="A1209" s="12">
        <v>1208.0</v>
      </c>
      <c r="B1209" s="12" t="s">
        <v>171</v>
      </c>
      <c r="C1209" s="5" t="s">
        <v>84</v>
      </c>
      <c r="D1209" s="11">
        <v>0.443</v>
      </c>
      <c r="E1209" s="11">
        <v>7.0</v>
      </c>
      <c r="F1209" s="8"/>
      <c r="G1209" s="11">
        <v>414.0</v>
      </c>
      <c r="H1209" s="11">
        <v>0.374</v>
      </c>
      <c r="I1209" s="11">
        <v>1.069</v>
      </c>
      <c r="J1209" s="9" t="s">
        <v>72</v>
      </c>
      <c r="K1209" s="14" t="str">
        <f>IFERROR(__xludf.DUMMYFUNCTION("ARRAYFORMULA(VLOOKUP(A1209,IMPORTRANGE(""https://docs.google.com/spreadsheets/d/1BuTWp7qHGjWhqrnf-OmePP568O4A5Am9ttzvVdP67zw/edit#gid=1603210130"", ""TOURISM!$A$2:$F$2692""), {2,3,4,5,6},0))"),"The Americas")</f>
        <v>The Americas</v>
      </c>
      <c r="L1209" s="14">
        <f>IFERROR(__xludf.DUMMYFUNCTION("""COMPUTED_VALUE"""),2.055E9)</f>
        <v>2055000000</v>
      </c>
      <c r="M1209" s="14" t="str">
        <f>IFERROR(__xludf.DUMMYFUNCTION("""COMPUTED_VALUE"""),"Jamaica-The Americas")</f>
        <v>Jamaica-The Americas</v>
      </c>
      <c r="N1209" s="14" t="str">
        <f>IFERROR(__xludf.DUMMYFUNCTION("""COMPUTED_VALUE"""),"2011")</f>
        <v>2011</v>
      </c>
      <c r="O1209" s="14">
        <f>IFERROR(__xludf.DUMMYFUNCTION("""COMPUTED_VALUE"""),2.13E8)</f>
        <v>213000000</v>
      </c>
      <c r="P1209" s="15">
        <f>IFERROR(__xludf.DUMMYFUNCTION("ARRAYFORMULA(VLOOKUP(A1209,IMPORTRANGE(""https://docs.google.com/spreadsheets/d/1BuTWp7qHGjWhqrnf-OmePP568O4A5Am9ttzvVdP67zw/edit#gid=771602874"" ,""HUMAN RESOURCES!$A$2:$M$2692""), {2,3,4,5,6,7,8,9,10,11,12,13},0))"),0.015)</f>
        <v>0.015</v>
      </c>
      <c r="Q1209" s="14">
        <f>IFERROR(__xludf.DUMMYFUNCTION("""COMPUTED_VALUE"""),0.015)</f>
        <v>0.015</v>
      </c>
      <c r="R1209" s="14">
        <f>IFERROR(__xludf.DUMMYFUNCTION("""COMPUTED_VALUE"""),76.0)</f>
        <v>76</v>
      </c>
      <c r="S1209" s="14">
        <f>IFERROR(__xludf.DUMMYFUNCTION("""COMPUTED_VALUE"""),71.0)</f>
        <v>71</v>
      </c>
      <c r="T1209" s="14">
        <f>IFERROR(__xludf.DUMMYFUNCTION("""COMPUTED_VALUE"""),0.284)</f>
        <v>0.284</v>
      </c>
      <c r="U1209" s="14">
        <f>IFERROR(__xludf.DUMMYFUNCTION("""COMPUTED_VALUE"""),0.637)</f>
        <v>0.637</v>
      </c>
      <c r="V1209" s="14">
        <f>IFERROR(__xludf.DUMMYFUNCTION("""COMPUTED_VALUE"""),0.079)</f>
        <v>0.079</v>
      </c>
      <c r="W1209" s="14">
        <f>IFERROR(__xludf.DUMMYFUNCTION("""COMPUTED_VALUE"""),2699838.0)</f>
        <v>2699838</v>
      </c>
      <c r="X1209" s="14">
        <f>IFERROR(__xludf.DUMMYFUNCTION("""COMPUTED_VALUE"""),0.539)</f>
        <v>0.539</v>
      </c>
      <c r="Y1209" s="14" t="str">
        <f>IFERROR(__xludf.DUMMYFUNCTION("""COMPUTED_VALUE"""),"Jamaica-The Americas")</f>
        <v>Jamaica-The Americas</v>
      </c>
      <c r="Z1209" s="14" t="str">
        <f>IFERROR(__xludf.DUMMYFUNCTION("""COMPUTED_VALUE"""),"The Americas")</f>
        <v>The Americas</v>
      </c>
      <c r="AA1209" s="14" t="str">
        <f>IFERROR(__xludf.DUMMYFUNCTION("""COMPUTED_VALUE"""),"2011")</f>
        <v>2011</v>
      </c>
      <c r="AB1209" s="15" t="str">
        <f>IFERROR(__xludf.DUMMYFUNCTION("ARRAYFORMULA(VLOOKUP(A1209,IMPORTRANGE(""https://docs.google.com/spreadsheets/d/1BuTWp7qHGjWhqrnf-OmePP568O4A5Am9ttzvVdP67zw/edit#gid=1931367683"" ,""ENERGY!$A$2:$F$2692""), {2,3,4,5,6},0))"),"The Americas")</f>
        <v>The Americas</v>
      </c>
      <c r="AC1209" s="14" t="str">
        <f>IFERROR(__xludf.DUMMYFUNCTION("""COMPUTED_VALUE"""),"Jamaica-The Americas")</f>
        <v>Jamaica-The Americas</v>
      </c>
      <c r="AD1209" s="14" t="str">
        <f>IFERROR(__xludf.DUMMYFUNCTION("""COMPUTED_VALUE"""),"2005")</f>
        <v>2005</v>
      </c>
      <c r="AE1209" s="14">
        <f>IFERROR(__xludf.DUMMYFUNCTION("""COMPUTED_VALUE"""),3841.0)</f>
        <v>3841</v>
      </c>
      <c r="AF1209" s="14">
        <f>IFERROR(__xludf.DUMMYFUNCTION("""COMPUTED_VALUE"""),10627.0)</f>
        <v>10627</v>
      </c>
    </row>
    <row r="1210">
      <c r="A1210" s="12">
        <v>1209.0</v>
      </c>
      <c r="B1210" s="12" t="s">
        <v>171</v>
      </c>
      <c r="C1210" s="5" t="s">
        <v>84</v>
      </c>
      <c r="D1210" s="11">
        <v>0.443</v>
      </c>
      <c r="E1210" s="11">
        <v>7.0</v>
      </c>
      <c r="F1210" s="11">
        <v>91.0</v>
      </c>
      <c r="G1210" s="11">
        <v>368.0</v>
      </c>
      <c r="H1210" s="11">
        <v>0.338</v>
      </c>
      <c r="I1210" s="11">
        <v>0.98</v>
      </c>
      <c r="J1210" s="9" t="s">
        <v>73</v>
      </c>
      <c r="K1210" s="14" t="str">
        <f>IFERROR(__xludf.DUMMYFUNCTION("ARRAYFORMULA(VLOOKUP(A1210,IMPORTRANGE(""https://docs.google.com/spreadsheets/d/1BuTWp7qHGjWhqrnf-OmePP568O4A5Am9ttzvVdP67zw/edit#gid=1603210130"", ""TOURISM!$A$2:$F$2692""), {2,3,4,5,6},0))"),"The Americas")</f>
        <v>The Americas</v>
      </c>
      <c r="L1210" s="14">
        <f>IFERROR(__xludf.DUMMYFUNCTION("""COMPUTED_VALUE"""),2.07E9)</f>
        <v>2070000000</v>
      </c>
      <c r="M1210" s="14" t="str">
        <f>IFERROR(__xludf.DUMMYFUNCTION("""COMPUTED_VALUE"""),"Jamaica-The Americas")</f>
        <v>Jamaica-The Americas</v>
      </c>
      <c r="N1210" s="14" t="str">
        <f>IFERROR(__xludf.DUMMYFUNCTION("""COMPUTED_VALUE"""),"2012")</f>
        <v>2012</v>
      </c>
      <c r="O1210" s="14">
        <f>IFERROR(__xludf.DUMMYFUNCTION("""COMPUTED_VALUE"""),1.65E8)</f>
        <v>165000000</v>
      </c>
      <c r="P1210" s="15">
        <f>IFERROR(__xludf.DUMMYFUNCTION("ARRAYFORMULA(VLOOKUP(A1210,IMPORTRANGE(""https://docs.google.com/spreadsheets/d/1BuTWp7qHGjWhqrnf-OmePP568O4A5Am9ttzvVdP67zw/edit#gid=771602874"" ,""HUMAN RESOURCES!$A$2:$M$2692""), {2,3,4,5,6,7,8,9,10,11,12,13},0))"),0.015)</f>
        <v>0.015</v>
      </c>
      <c r="Q1210" s="14">
        <f>IFERROR(__xludf.DUMMYFUNCTION("""COMPUTED_VALUE"""),0.015)</f>
        <v>0.015</v>
      </c>
      <c r="R1210" s="14">
        <f>IFERROR(__xludf.DUMMYFUNCTION("""COMPUTED_VALUE"""),76.0)</f>
        <v>76</v>
      </c>
      <c r="S1210" s="14">
        <f>IFERROR(__xludf.DUMMYFUNCTION("""COMPUTED_VALUE"""),71.0)</f>
        <v>71</v>
      </c>
      <c r="T1210" s="14">
        <f>IFERROR(__xludf.DUMMYFUNCTION("""COMPUTED_VALUE"""),0.278)</f>
        <v>0.278</v>
      </c>
      <c r="U1210" s="14">
        <f>IFERROR(__xludf.DUMMYFUNCTION("""COMPUTED_VALUE"""),0.643)</f>
        <v>0.643</v>
      </c>
      <c r="V1210" s="14">
        <f>IFERROR(__xludf.DUMMYFUNCTION("""COMPUTED_VALUE"""),0.079)</f>
        <v>0.079</v>
      </c>
      <c r="W1210" s="14">
        <f>IFERROR(__xludf.DUMMYFUNCTION("""COMPUTED_VALUE"""),2707805.0)</f>
        <v>2707805</v>
      </c>
      <c r="X1210" s="14">
        <f>IFERROR(__xludf.DUMMYFUNCTION("""COMPUTED_VALUE"""),0.541)</f>
        <v>0.541</v>
      </c>
      <c r="Y1210" s="14" t="str">
        <f>IFERROR(__xludf.DUMMYFUNCTION("""COMPUTED_VALUE"""),"Jamaica-The Americas")</f>
        <v>Jamaica-The Americas</v>
      </c>
      <c r="Z1210" s="14" t="str">
        <f>IFERROR(__xludf.DUMMYFUNCTION("""COMPUTED_VALUE"""),"The Americas")</f>
        <v>The Americas</v>
      </c>
      <c r="AA1210" s="14" t="str">
        <f>IFERROR(__xludf.DUMMYFUNCTION("""COMPUTED_VALUE"""),"2012")</f>
        <v>2012</v>
      </c>
      <c r="AB1210" s="15" t="str">
        <f>IFERROR(__xludf.DUMMYFUNCTION("ARRAYFORMULA(VLOOKUP(A1210,IMPORTRANGE(""https://docs.google.com/spreadsheets/d/1BuTWp7qHGjWhqrnf-OmePP568O4A5Am9ttzvVdP67zw/edit#gid=1931367683"" ,""ENERGY!$A$2:$F$2692""), {2,3,4,5,6},0))"),"The Americas")</f>
        <v>The Americas</v>
      </c>
      <c r="AC1210" s="14" t="str">
        <f>IFERROR(__xludf.DUMMYFUNCTION("""COMPUTED_VALUE"""),"Jamaica-The Americas")</f>
        <v>Jamaica-The Americas</v>
      </c>
      <c r="AD1210" s="14" t="str">
        <f>IFERROR(__xludf.DUMMYFUNCTION("""COMPUTED_VALUE"""),"2010")</f>
        <v>2010</v>
      </c>
      <c r="AE1210" s="14">
        <f>IFERROR(__xludf.DUMMYFUNCTION("""COMPUTED_VALUE"""),3829.0)</f>
        <v>3829</v>
      </c>
      <c r="AF1210" s="14">
        <f>IFERROR(__xludf.DUMMYFUNCTION("""COMPUTED_VALUE"""),10319.0)</f>
        <v>10319</v>
      </c>
    </row>
    <row r="1211">
      <c r="A1211" s="12">
        <v>1210.0</v>
      </c>
      <c r="B1211" s="12" t="s">
        <v>172</v>
      </c>
      <c r="C1211" s="5" t="s">
        <v>61</v>
      </c>
      <c r="D1211" s="8"/>
      <c r="E1211" s="8"/>
      <c r="F1211" s="8"/>
      <c r="G1211" s="8"/>
      <c r="H1211" s="11">
        <v>0.3</v>
      </c>
      <c r="I1211" s="11">
        <v>0.531</v>
      </c>
      <c r="J1211" s="9" t="s">
        <v>60</v>
      </c>
      <c r="K1211" s="14" t="str">
        <f>IFERROR(__xludf.DUMMYFUNCTION("ARRAYFORMULA(VLOOKUP(A1211,IMPORTRANGE(""https://docs.google.com/spreadsheets/d/1BuTWp7qHGjWhqrnf-OmePP568O4A5Am9ttzvVdP67zw/edit#gid=1603210130"", ""TOURISM!$A$2:$F$2692""), {2,3,4,5,6},0))"),"Asia")</f>
        <v>Asia</v>
      </c>
      <c r="L1211" s="14">
        <f>IFERROR(__xludf.DUMMYFUNCTION("""COMPUTED_VALUE"""),5.97E9)</f>
        <v>5970000000</v>
      </c>
      <c r="M1211" s="14" t="str">
        <f>IFERROR(__xludf.DUMMYFUNCTION("""COMPUTED_VALUE"""),"Japan-Asia")</f>
        <v>Japan-Asia</v>
      </c>
      <c r="N1211" s="14" t="str">
        <f>IFERROR(__xludf.DUMMYFUNCTION("""COMPUTED_VALUE"""),"2000")</f>
        <v>2000</v>
      </c>
      <c r="O1211" s="14">
        <f>IFERROR(__xludf.DUMMYFUNCTION("""COMPUTED_VALUE"""),4.2643E10)</f>
        <v>42643000000</v>
      </c>
      <c r="P1211" s="15">
        <f>IFERROR(__xludf.DUMMYFUNCTION("ARRAYFORMULA(VLOOKUP(A1211,IMPORTRANGE(""https://docs.google.com/spreadsheets/d/1BuTWp7qHGjWhqrnf-OmePP568O4A5Am9ttzvVdP67zw/edit#gid=771602874"" ,""HUMAN RESOURCES!$A$2:$M$2692""), {2,3,4,5,6,7,8,9,10,11,12,13},0))"),0.009)</f>
        <v>0.009</v>
      </c>
      <c r="Q1211" s="14">
        <f>IFERROR(__xludf.DUMMYFUNCTION("""COMPUTED_VALUE"""),0.003)</f>
        <v>0.003</v>
      </c>
      <c r="R1211" s="14">
        <f>IFERROR(__xludf.DUMMYFUNCTION("""COMPUTED_VALUE"""),85.0)</f>
        <v>85</v>
      </c>
      <c r="S1211" s="14">
        <f>IFERROR(__xludf.DUMMYFUNCTION("""COMPUTED_VALUE"""),78.0)</f>
        <v>78</v>
      </c>
      <c r="T1211" s="14">
        <f>IFERROR(__xludf.DUMMYFUNCTION("""COMPUTED_VALUE"""),0.146)</f>
        <v>0.146</v>
      </c>
      <c r="U1211" s="14">
        <f>IFERROR(__xludf.DUMMYFUNCTION("""COMPUTED_VALUE"""),0.682)</f>
        <v>0.682</v>
      </c>
      <c r="V1211" s="14">
        <f>IFERROR(__xludf.DUMMYFUNCTION("""COMPUTED_VALUE"""),0.172)</f>
        <v>0.172</v>
      </c>
      <c r="W1211" s="14">
        <f>IFERROR(__xludf.DUMMYFUNCTION("""COMPUTED_VALUE"""),1.2687E8)</f>
        <v>126870000</v>
      </c>
      <c r="X1211" s="14">
        <f>IFERROR(__xludf.DUMMYFUNCTION("""COMPUTED_VALUE"""),0.786)</f>
        <v>0.786</v>
      </c>
      <c r="Y1211" s="14" t="str">
        <f>IFERROR(__xludf.DUMMYFUNCTION("""COMPUTED_VALUE"""),"Japan-Asia")</f>
        <v>Japan-Asia</v>
      </c>
      <c r="Z1211" s="14" t="str">
        <f>IFERROR(__xludf.DUMMYFUNCTION("""COMPUTED_VALUE"""),"Asia")</f>
        <v>Asia</v>
      </c>
      <c r="AA1211" s="14" t="str">
        <f>IFERROR(__xludf.DUMMYFUNCTION("""COMPUTED_VALUE"""),"2000")</f>
        <v>2000</v>
      </c>
      <c r="AB1211" s="15" t="str">
        <f>IFERROR(__xludf.DUMMYFUNCTION("ARRAYFORMULA(VLOOKUP(A1211,IMPORTRANGE(""https://docs.google.com/spreadsheets/d/1BuTWp7qHGjWhqrnf-OmePP568O4A5Am9ttzvVdP67zw/edit#gid=1931367683"" ,""ENERGY!$A$2:$F$2692""), {2,3,4,5,6},0))"),"Asia")</f>
        <v>Asia</v>
      </c>
      <c r="AC1211" s="14" t="str">
        <f>IFERROR(__xludf.DUMMYFUNCTION("""COMPUTED_VALUE"""),"Japan-Asia")</f>
        <v>Japan-Asia</v>
      </c>
      <c r="AD1211" s="14" t="str">
        <f>IFERROR(__xludf.DUMMYFUNCTION("""COMPUTED_VALUE"""),"2000")</f>
        <v>2000</v>
      </c>
      <c r="AE1211" s="14">
        <f>IFERROR(__xludf.DUMMYFUNCTION("""COMPUTED_VALUE"""),451501.0)</f>
        <v>451501</v>
      </c>
      <c r="AF1211" s="14"/>
    </row>
    <row r="1212">
      <c r="A1212" s="12">
        <v>1211.0</v>
      </c>
      <c r="B1212" s="12" t="s">
        <v>172</v>
      </c>
      <c r="C1212" s="5" t="s">
        <v>61</v>
      </c>
      <c r="D1212" s="8"/>
      <c r="E1212" s="8"/>
      <c r="F1212" s="8"/>
      <c r="G1212" s="8"/>
      <c r="H1212" s="11">
        <v>0.385</v>
      </c>
      <c r="I1212" s="11">
        <v>0.594</v>
      </c>
      <c r="J1212" s="9" t="s">
        <v>62</v>
      </c>
      <c r="K1212" s="14" t="str">
        <f>IFERROR(__xludf.DUMMYFUNCTION("ARRAYFORMULA(VLOOKUP(A1212,IMPORTRANGE(""https://docs.google.com/spreadsheets/d/1BuTWp7qHGjWhqrnf-OmePP568O4A5Am9ttzvVdP67zw/edit#gid=1603210130"", ""TOURISM!$A$2:$F$2692""), {2,3,4,5,6},0))"),"Asia")</f>
        <v>Asia</v>
      </c>
      <c r="L1212" s="14">
        <f>IFERROR(__xludf.DUMMYFUNCTION("""COMPUTED_VALUE"""),5.75E9)</f>
        <v>5750000000</v>
      </c>
      <c r="M1212" s="14" t="str">
        <f>IFERROR(__xludf.DUMMYFUNCTION("""COMPUTED_VALUE"""),"Japan-Asia")</f>
        <v>Japan-Asia</v>
      </c>
      <c r="N1212" s="14" t="str">
        <f>IFERROR(__xludf.DUMMYFUNCTION("""COMPUTED_VALUE"""),"2001")</f>
        <v>2001</v>
      </c>
      <c r="O1212" s="14">
        <f>IFERROR(__xludf.DUMMYFUNCTION("""COMPUTED_VALUE"""),3.5526E10)</f>
        <v>35526000000</v>
      </c>
      <c r="P1212" s="15">
        <f>IFERROR(__xludf.DUMMYFUNCTION("ARRAYFORMULA(VLOOKUP(A1212,IMPORTRANGE(""https://docs.google.com/spreadsheets/d/1BuTWp7qHGjWhqrnf-OmePP568O4A5Am9ttzvVdP67zw/edit#gid=771602874"" ,""HUMAN RESOURCES!$A$2:$M$2692""), {2,3,4,5,6,7,8,9,10,11,12,13},0))"),0.009)</f>
        <v>0.009</v>
      </c>
      <c r="Q1212" s="14">
        <f>IFERROR(__xludf.DUMMYFUNCTION("""COMPUTED_VALUE"""),0.003)</f>
        <v>0.003</v>
      </c>
      <c r="R1212" s="14">
        <f>IFERROR(__xludf.DUMMYFUNCTION("""COMPUTED_VALUE"""),85.0)</f>
        <v>85</v>
      </c>
      <c r="S1212" s="14">
        <f>IFERROR(__xludf.DUMMYFUNCTION("""COMPUTED_VALUE"""),78.0)</f>
        <v>78</v>
      </c>
      <c r="T1212" s="14">
        <f>IFERROR(__xludf.DUMMYFUNCTION("""COMPUTED_VALUE"""),0.144)</f>
        <v>0.144</v>
      </c>
      <c r="U1212" s="14">
        <f>IFERROR(__xludf.DUMMYFUNCTION("""COMPUTED_VALUE"""),0.679)</f>
        <v>0.679</v>
      </c>
      <c r="V1212" s="14">
        <f>IFERROR(__xludf.DUMMYFUNCTION("""COMPUTED_VALUE"""),0.177)</f>
        <v>0.177</v>
      </c>
      <c r="W1212" s="14">
        <f>IFERROR(__xludf.DUMMYFUNCTION("""COMPUTED_VALUE"""),1.27149E8)</f>
        <v>127149000</v>
      </c>
      <c r="X1212" s="14">
        <f>IFERROR(__xludf.DUMMYFUNCTION("""COMPUTED_VALUE"""),0.8)</f>
        <v>0.8</v>
      </c>
      <c r="Y1212" s="14" t="str">
        <f>IFERROR(__xludf.DUMMYFUNCTION("""COMPUTED_VALUE"""),"Japan-Asia")</f>
        <v>Japan-Asia</v>
      </c>
      <c r="Z1212" s="14" t="str">
        <f>IFERROR(__xludf.DUMMYFUNCTION("""COMPUTED_VALUE"""),"Asia")</f>
        <v>Asia</v>
      </c>
      <c r="AA1212" s="14" t="str">
        <f>IFERROR(__xludf.DUMMYFUNCTION("""COMPUTED_VALUE"""),"2001")</f>
        <v>2001</v>
      </c>
      <c r="AB1212" s="15" t="str">
        <f>IFERROR(__xludf.DUMMYFUNCTION("ARRAYFORMULA(VLOOKUP(A1212,IMPORTRANGE(""https://docs.google.com/spreadsheets/d/1BuTWp7qHGjWhqrnf-OmePP568O4A5Am9ttzvVdP67zw/edit#gid=1931367683"" ,""ENERGY!$A$2:$F$2692""), {2,3,4,5,6},0))"),"Asia")</f>
        <v>Asia</v>
      </c>
      <c r="AC1212" s="14" t="str">
        <f>IFERROR(__xludf.DUMMYFUNCTION("""COMPUTED_VALUE"""),"Japan-Asia")</f>
        <v>Japan-Asia</v>
      </c>
      <c r="AD1212" s="14" t="str">
        <f>IFERROR(__xludf.DUMMYFUNCTION("""COMPUTED_VALUE"""),"2001")</f>
        <v>2001</v>
      </c>
      <c r="AE1212" s="14">
        <f>IFERROR(__xludf.DUMMYFUNCTION("""COMPUTED_VALUE"""),461468.0)</f>
        <v>461468</v>
      </c>
      <c r="AF1212" s="14"/>
    </row>
    <row r="1213">
      <c r="A1213" s="12">
        <v>1212.0</v>
      </c>
      <c r="B1213" s="12" t="s">
        <v>172</v>
      </c>
      <c r="C1213" s="5" t="s">
        <v>61</v>
      </c>
      <c r="D1213" s="8"/>
      <c r="E1213" s="8"/>
      <c r="F1213" s="8"/>
      <c r="G1213" s="8"/>
      <c r="H1213" s="11">
        <v>0.466</v>
      </c>
      <c r="I1213" s="11">
        <v>0.643</v>
      </c>
      <c r="J1213" s="9" t="s">
        <v>63</v>
      </c>
      <c r="K1213" s="14" t="str">
        <f>IFERROR(__xludf.DUMMYFUNCTION("ARRAYFORMULA(VLOOKUP(A1213,IMPORTRANGE(""https://docs.google.com/spreadsheets/d/1BuTWp7qHGjWhqrnf-OmePP568O4A5Am9ttzvVdP67zw/edit#gid=1603210130"", ""TOURISM!$A$2:$F$2692""), {2,3,4,5,6},0))"),"Asia")</f>
        <v>Asia</v>
      </c>
      <c r="L1213" s="14">
        <f>IFERROR(__xludf.DUMMYFUNCTION("""COMPUTED_VALUE"""),6.069E9)</f>
        <v>6069000000</v>
      </c>
      <c r="M1213" s="14" t="str">
        <f>IFERROR(__xludf.DUMMYFUNCTION("""COMPUTED_VALUE"""),"Japan-Asia")</f>
        <v>Japan-Asia</v>
      </c>
      <c r="N1213" s="14" t="str">
        <f>IFERROR(__xludf.DUMMYFUNCTION("""COMPUTED_VALUE"""),"2002")</f>
        <v>2002</v>
      </c>
      <c r="O1213" s="14">
        <f>IFERROR(__xludf.DUMMYFUNCTION("""COMPUTED_VALUE"""),3.4977E10)</f>
        <v>34977000000</v>
      </c>
      <c r="P1213" s="15">
        <f>IFERROR(__xludf.DUMMYFUNCTION("ARRAYFORMULA(VLOOKUP(A1213,IMPORTRANGE(""https://docs.google.com/spreadsheets/d/1BuTWp7qHGjWhqrnf-OmePP568O4A5Am9ttzvVdP67zw/edit#gid=771602874"" ,""HUMAN RESOURCES!$A$2:$M$2692""), {2,3,4,5,6,7,8,9,10,11,12,13},0))"),0.009)</f>
        <v>0.009</v>
      </c>
      <c r="Q1213" s="14">
        <f>IFERROR(__xludf.DUMMYFUNCTION("""COMPUTED_VALUE"""),0.003)</f>
        <v>0.003</v>
      </c>
      <c r="R1213" s="14">
        <f>IFERROR(__xludf.DUMMYFUNCTION("""COMPUTED_VALUE"""),85.0)</f>
        <v>85</v>
      </c>
      <c r="S1213" s="14">
        <f>IFERROR(__xludf.DUMMYFUNCTION("""COMPUTED_VALUE"""),78.0)</f>
        <v>78</v>
      </c>
      <c r="T1213" s="14">
        <f>IFERROR(__xludf.DUMMYFUNCTION("""COMPUTED_VALUE"""),0.142)</f>
        <v>0.142</v>
      </c>
      <c r="U1213" s="14">
        <f>IFERROR(__xludf.DUMMYFUNCTION("""COMPUTED_VALUE"""),0.675)</f>
        <v>0.675</v>
      </c>
      <c r="V1213" s="14">
        <f>IFERROR(__xludf.DUMMYFUNCTION("""COMPUTED_VALUE"""),0.182)</f>
        <v>0.182</v>
      </c>
      <c r="W1213" s="14">
        <f>IFERROR(__xludf.DUMMYFUNCTION("""COMPUTED_VALUE"""),1.27445E8)</f>
        <v>127445000</v>
      </c>
      <c r="X1213" s="14">
        <f>IFERROR(__xludf.DUMMYFUNCTION("""COMPUTED_VALUE"""),0.816)</f>
        <v>0.816</v>
      </c>
      <c r="Y1213" s="14" t="str">
        <f>IFERROR(__xludf.DUMMYFUNCTION("""COMPUTED_VALUE"""),"Japan-Asia")</f>
        <v>Japan-Asia</v>
      </c>
      <c r="Z1213" s="14" t="str">
        <f>IFERROR(__xludf.DUMMYFUNCTION("""COMPUTED_VALUE"""),"Asia")</f>
        <v>Asia</v>
      </c>
      <c r="AA1213" s="14" t="str">
        <f>IFERROR(__xludf.DUMMYFUNCTION("""COMPUTED_VALUE"""),"2002")</f>
        <v>2002</v>
      </c>
      <c r="AB1213" s="15" t="str">
        <f>IFERROR(__xludf.DUMMYFUNCTION("ARRAYFORMULA(VLOOKUP(A1213,IMPORTRANGE(""https://docs.google.com/spreadsheets/d/1BuTWp7qHGjWhqrnf-OmePP568O4A5Am9ttzvVdP67zw/edit#gid=1931367683"" ,""ENERGY!$A$2:$F$2692""), {2,3,4,5,6},0))"),"Asia")</f>
        <v>Asia</v>
      </c>
      <c r="AC1213" s="14" t="str">
        <f>IFERROR(__xludf.DUMMYFUNCTION("""COMPUTED_VALUE"""),"Japan-Asia")</f>
        <v>Japan-Asia</v>
      </c>
      <c r="AD1213" s="14" t="str">
        <f>IFERROR(__xludf.DUMMYFUNCTION("""COMPUTED_VALUE"""),"2002")</f>
        <v>2002</v>
      </c>
      <c r="AE1213" s="14">
        <f>IFERROR(__xludf.DUMMYFUNCTION("""COMPUTED_VALUE"""),499092.0)</f>
        <v>499092</v>
      </c>
      <c r="AF1213" s="14">
        <f>IFERROR(__xludf.DUMMYFUNCTION("""COMPUTED_VALUE"""),1170715.0)</f>
        <v>1170715</v>
      </c>
    </row>
    <row r="1214">
      <c r="A1214" s="12">
        <v>1213.0</v>
      </c>
      <c r="B1214" s="12" t="s">
        <v>172</v>
      </c>
      <c r="C1214" s="5" t="s">
        <v>61</v>
      </c>
      <c r="D1214" s="8"/>
      <c r="E1214" s="11">
        <v>31.0</v>
      </c>
      <c r="F1214" s="8"/>
      <c r="G1214" s="8"/>
      <c r="H1214" s="11">
        <v>0.484</v>
      </c>
      <c r="I1214" s="11">
        <v>0.685</v>
      </c>
      <c r="J1214" s="9" t="s">
        <v>64</v>
      </c>
      <c r="K1214" s="14" t="str">
        <f>IFERROR(__xludf.DUMMYFUNCTION("ARRAYFORMULA(VLOOKUP(A1214,IMPORTRANGE(""https://docs.google.com/spreadsheets/d/1BuTWp7qHGjWhqrnf-OmePP568O4A5Am9ttzvVdP67zw/edit#gid=1603210130"", ""TOURISM!$A$2:$F$2692""), {2,3,4,5,6},0))"),"Asia")</f>
        <v>Asia</v>
      </c>
      <c r="L1214" s="14">
        <f>IFERROR(__xludf.DUMMYFUNCTION("""COMPUTED_VALUE"""),1.1475E10)</f>
        <v>11475000000</v>
      </c>
      <c r="M1214" s="14" t="str">
        <f>IFERROR(__xludf.DUMMYFUNCTION("""COMPUTED_VALUE"""),"Japan-Asia")</f>
        <v>Japan-Asia</v>
      </c>
      <c r="N1214" s="14" t="str">
        <f>IFERROR(__xludf.DUMMYFUNCTION("""COMPUTED_VALUE"""),"2003")</f>
        <v>2003</v>
      </c>
      <c r="O1214" s="14">
        <f>IFERROR(__xludf.DUMMYFUNCTION("""COMPUTED_VALUE"""),3.6505E10)</f>
        <v>36505000000</v>
      </c>
      <c r="P1214" s="15">
        <f>IFERROR(__xludf.DUMMYFUNCTION("ARRAYFORMULA(VLOOKUP(A1214,IMPORTRANGE(""https://docs.google.com/spreadsheets/d/1BuTWp7qHGjWhqrnf-OmePP568O4A5Am9ttzvVdP67zw/edit#gid=771602874"" ,""HUMAN RESOURCES!$A$2:$M$2692""), {2,3,4,5,6,7,8,9,10,11,12,13},0))"),0.009)</f>
        <v>0.009</v>
      </c>
      <c r="Q1214" s="14">
        <f>IFERROR(__xludf.DUMMYFUNCTION("""COMPUTED_VALUE"""),0.003)</f>
        <v>0.003</v>
      </c>
      <c r="R1214" s="14">
        <f>IFERROR(__xludf.DUMMYFUNCTION("""COMPUTED_VALUE"""),85.0)</f>
        <v>85</v>
      </c>
      <c r="S1214" s="14">
        <f>IFERROR(__xludf.DUMMYFUNCTION("""COMPUTED_VALUE"""),78.0)</f>
        <v>78</v>
      </c>
      <c r="T1214" s="14">
        <f>IFERROR(__xludf.DUMMYFUNCTION("""COMPUTED_VALUE"""),0.141)</f>
        <v>0.141</v>
      </c>
      <c r="U1214" s="14">
        <f>IFERROR(__xludf.DUMMYFUNCTION("""COMPUTED_VALUE"""),0.672)</f>
        <v>0.672</v>
      </c>
      <c r="V1214" s="14">
        <f>IFERROR(__xludf.DUMMYFUNCTION("""COMPUTED_VALUE"""),0.188)</f>
        <v>0.188</v>
      </c>
      <c r="W1214" s="14">
        <f>IFERROR(__xludf.DUMMYFUNCTION("""COMPUTED_VALUE"""),1.27718E8)</f>
        <v>127718000</v>
      </c>
      <c r="X1214" s="14">
        <f>IFERROR(__xludf.DUMMYFUNCTION("""COMPUTED_VALUE"""),0.832)</f>
        <v>0.832</v>
      </c>
      <c r="Y1214" s="14" t="str">
        <f>IFERROR(__xludf.DUMMYFUNCTION("""COMPUTED_VALUE"""),"Japan-Asia")</f>
        <v>Japan-Asia</v>
      </c>
      <c r="Z1214" s="14" t="str">
        <f>IFERROR(__xludf.DUMMYFUNCTION("""COMPUTED_VALUE"""),"Asia")</f>
        <v>Asia</v>
      </c>
      <c r="AA1214" s="14" t="str">
        <f>IFERROR(__xludf.DUMMYFUNCTION("""COMPUTED_VALUE"""),"2003")</f>
        <v>2003</v>
      </c>
      <c r="AB1214" s="15" t="str">
        <f>IFERROR(__xludf.DUMMYFUNCTION("ARRAYFORMULA(VLOOKUP(A1214,IMPORTRANGE(""https://docs.google.com/spreadsheets/d/1BuTWp7qHGjWhqrnf-OmePP568O4A5Am9ttzvVdP67zw/edit#gid=1931367683"" ,""ENERGY!$A$2:$F$2692""), {2,3,4,5,6},0))"),"Asia")</f>
        <v>Asia</v>
      </c>
      <c r="AC1214" s="14" t="str">
        <f>IFERROR(__xludf.DUMMYFUNCTION("""COMPUTED_VALUE"""),"Japan-Asia")</f>
        <v>Japan-Asia</v>
      </c>
      <c r="AD1214" s="14" t="str">
        <f>IFERROR(__xludf.DUMMYFUNCTION("""COMPUTED_VALUE"""),"2003")</f>
        <v>2003</v>
      </c>
      <c r="AE1214" s="14">
        <f>IFERROR(__xludf.DUMMYFUNCTION("""COMPUTED_VALUE"""),472174.0)</f>
        <v>472174</v>
      </c>
      <c r="AF1214" s="14">
        <f>IFERROR(__xludf.DUMMYFUNCTION("""COMPUTED_VALUE"""),1100650.0)</f>
        <v>1100650</v>
      </c>
    </row>
    <row r="1215">
      <c r="A1215" s="12">
        <v>1214.0</v>
      </c>
      <c r="B1215" s="12" t="s">
        <v>172</v>
      </c>
      <c r="C1215" s="5" t="s">
        <v>61</v>
      </c>
      <c r="D1215" s="8"/>
      <c r="E1215" s="11">
        <v>31.0</v>
      </c>
      <c r="F1215" s="8"/>
      <c r="G1215" s="8"/>
      <c r="H1215" s="11">
        <v>0.624</v>
      </c>
      <c r="I1215" s="11">
        <v>0.722</v>
      </c>
      <c r="J1215" s="9" t="s">
        <v>65</v>
      </c>
      <c r="K1215" s="14" t="str">
        <f>IFERROR(__xludf.DUMMYFUNCTION("ARRAYFORMULA(VLOOKUP(A1215,IMPORTRANGE(""https://docs.google.com/spreadsheets/d/1BuTWp7qHGjWhqrnf-OmePP568O4A5Am9ttzvVdP67zw/edit#gid=1603210130"", ""TOURISM!$A$2:$F$2692""), {2,3,4,5,6},0))"),"Asia")</f>
        <v>Asia</v>
      </c>
      <c r="L1215" s="14">
        <f>IFERROR(__xludf.DUMMYFUNCTION("""COMPUTED_VALUE"""),1.4343E10)</f>
        <v>14343000000</v>
      </c>
      <c r="M1215" s="14" t="str">
        <f>IFERROR(__xludf.DUMMYFUNCTION("""COMPUTED_VALUE"""),"Japan-Asia")</f>
        <v>Japan-Asia</v>
      </c>
      <c r="N1215" s="14" t="str">
        <f>IFERROR(__xludf.DUMMYFUNCTION("""COMPUTED_VALUE"""),"2004")</f>
        <v>2004</v>
      </c>
      <c r="O1215" s="14">
        <f>IFERROR(__xludf.DUMMYFUNCTION("""COMPUTED_VALUE"""),4.8175E10)</f>
        <v>48175000000</v>
      </c>
      <c r="P1215" s="15">
        <f>IFERROR(__xludf.DUMMYFUNCTION("ARRAYFORMULA(VLOOKUP(A1215,IMPORTRANGE(""https://docs.google.com/spreadsheets/d/1BuTWp7qHGjWhqrnf-OmePP568O4A5Am9ttzvVdP67zw/edit#gid=771602874"" ,""HUMAN RESOURCES!$A$2:$M$2692""), {2,3,4,5,6,7,8,9,10,11,12,13},0))"),0.009)</f>
        <v>0.009</v>
      </c>
      <c r="Q1215" s="14">
        <f>IFERROR(__xludf.DUMMYFUNCTION("""COMPUTED_VALUE"""),0.003)</f>
        <v>0.003</v>
      </c>
      <c r="R1215" s="14">
        <f>IFERROR(__xludf.DUMMYFUNCTION("""COMPUTED_VALUE"""),86.0)</f>
        <v>86</v>
      </c>
      <c r="S1215" s="14">
        <f>IFERROR(__xludf.DUMMYFUNCTION("""COMPUTED_VALUE"""),79.0)</f>
        <v>79</v>
      </c>
      <c r="T1215" s="14">
        <f>IFERROR(__xludf.DUMMYFUNCTION("""COMPUTED_VALUE"""),0.139)</f>
        <v>0.139</v>
      </c>
      <c r="U1215" s="14">
        <f>IFERROR(__xludf.DUMMYFUNCTION("""COMPUTED_VALUE"""),0.668)</f>
        <v>0.668</v>
      </c>
      <c r="V1215" s="14">
        <f>IFERROR(__xludf.DUMMYFUNCTION("""COMPUTED_VALUE"""),0.193)</f>
        <v>0.193</v>
      </c>
      <c r="W1215" s="14">
        <f>IFERROR(__xludf.DUMMYFUNCTION("""COMPUTED_VALUE"""),1.27761E8)</f>
        <v>127761000</v>
      </c>
      <c r="X1215" s="14">
        <f>IFERROR(__xludf.DUMMYFUNCTION("""COMPUTED_VALUE"""),0.846)</f>
        <v>0.846</v>
      </c>
      <c r="Y1215" s="14" t="str">
        <f>IFERROR(__xludf.DUMMYFUNCTION("""COMPUTED_VALUE"""),"Japan-Asia")</f>
        <v>Japan-Asia</v>
      </c>
      <c r="Z1215" s="14" t="str">
        <f>IFERROR(__xludf.DUMMYFUNCTION("""COMPUTED_VALUE"""),"Asia")</f>
        <v>Asia</v>
      </c>
      <c r="AA1215" s="14" t="str">
        <f>IFERROR(__xludf.DUMMYFUNCTION("""COMPUTED_VALUE"""),"2004")</f>
        <v>2004</v>
      </c>
      <c r="AB1215" s="15" t="str">
        <f>IFERROR(__xludf.DUMMYFUNCTION("ARRAYFORMULA(VLOOKUP(A1215,IMPORTRANGE(""https://docs.google.com/spreadsheets/d/1BuTWp7qHGjWhqrnf-OmePP568O4A5Am9ttzvVdP67zw/edit#gid=1931367683"" ,""ENERGY!$A$2:$F$2692""), {2,3,4,5,6},0))"),"Asia")</f>
        <v>Asia</v>
      </c>
      <c r="AC1215" s="14" t="str">
        <f>IFERROR(__xludf.DUMMYFUNCTION("""COMPUTED_VALUE"""),"Japan-Asia")</f>
        <v>Japan-Asia</v>
      </c>
      <c r="AD1215" s="14" t="str">
        <f>IFERROR(__xludf.DUMMYFUNCTION("""COMPUTED_VALUE"""),"2004")</f>
        <v>2004</v>
      </c>
      <c r="AE1215" s="14">
        <f>IFERROR(__xludf.DUMMYFUNCTION("""COMPUTED_VALUE"""),495352.0)</f>
        <v>495352</v>
      </c>
      <c r="AF1215" s="14">
        <f>IFERROR(__xludf.DUMMYFUNCTION("""COMPUTED_VALUE"""),1206916.0)</f>
        <v>1206916</v>
      </c>
    </row>
    <row r="1216">
      <c r="A1216" s="12">
        <v>1215.0</v>
      </c>
      <c r="B1216" s="12" t="s">
        <v>172</v>
      </c>
      <c r="C1216" s="5" t="s">
        <v>61</v>
      </c>
      <c r="D1216" s="11">
        <v>0.525</v>
      </c>
      <c r="E1216" s="11">
        <v>30.0</v>
      </c>
      <c r="F1216" s="8"/>
      <c r="G1216" s="11">
        <v>315.0</v>
      </c>
      <c r="H1216" s="11">
        <v>0.669</v>
      </c>
      <c r="I1216" s="11">
        <v>0.76</v>
      </c>
      <c r="J1216" s="9" t="s">
        <v>66</v>
      </c>
      <c r="K1216" s="14" t="str">
        <f>IFERROR(__xludf.DUMMYFUNCTION("ARRAYFORMULA(VLOOKUP(A1216,IMPORTRANGE(""https://docs.google.com/spreadsheets/d/1BuTWp7qHGjWhqrnf-OmePP568O4A5Am9ttzvVdP67zw/edit#gid=1603210130"", ""TOURISM!$A$2:$F$2692""), {2,3,4,5,6},0))"),"Asia")</f>
        <v>Asia</v>
      </c>
      <c r="L1216" s="14">
        <f>IFERROR(__xludf.DUMMYFUNCTION("""COMPUTED_VALUE"""),1.5555E10)</f>
        <v>15555000000</v>
      </c>
      <c r="M1216" s="14" t="str">
        <f>IFERROR(__xludf.DUMMYFUNCTION("""COMPUTED_VALUE"""),"Japan-Asia")</f>
        <v>Japan-Asia</v>
      </c>
      <c r="N1216" s="14" t="str">
        <f>IFERROR(__xludf.DUMMYFUNCTION("""COMPUTED_VALUE"""),"2005")</f>
        <v>2005</v>
      </c>
      <c r="O1216" s="14">
        <f>IFERROR(__xludf.DUMMYFUNCTION("""COMPUTED_VALUE"""),4.8102E10)</f>
        <v>48102000000</v>
      </c>
      <c r="P1216" s="15">
        <f>IFERROR(__xludf.DUMMYFUNCTION("ARRAYFORMULA(VLOOKUP(A1216,IMPORTRANGE(""https://docs.google.com/spreadsheets/d/1BuTWp7qHGjWhqrnf-OmePP568O4A5Am9ttzvVdP67zw/edit#gid=771602874"" ,""HUMAN RESOURCES!$A$2:$M$2692""), {2,3,4,5,6,7,8,9,10,11,12,13},0))"),0.008)</f>
        <v>0.008</v>
      </c>
      <c r="Q1216" s="14">
        <f>IFERROR(__xludf.DUMMYFUNCTION("""COMPUTED_VALUE"""),0.003)</f>
        <v>0.003</v>
      </c>
      <c r="R1216" s="14">
        <f>IFERROR(__xludf.DUMMYFUNCTION("""COMPUTED_VALUE"""),85.0)</f>
        <v>85</v>
      </c>
      <c r="S1216" s="14">
        <f>IFERROR(__xludf.DUMMYFUNCTION("""COMPUTED_VALUE"""),79.0)</f>
        <v>79</v>
      </c>
      <c r="T1216" s="14">
        <f>IFERROR(__xludf.DUMMYFUNCTION("""COMPUTED_VALUE"""),0.138)</f>
        <v>0.138</v>
      </c>
      <c r="U1216" s="14">
        <f>IFERROR(__xludf.DUMMYFUNCTION("""COMPUTED_VALUE"""),0.663)</f>
        <v>0.663</v>
      </c>
      <c r="V1216" s="14">
        <f>IFERROR(__xludf.DUMMYFUNCTION("""COMPUTED_VALUE"""),0.198)</f>
        <v>0.198</v>
      </c>
      <c r="W1216" s="14">
        <f>IFERROR(__xludf.DUMMYFUNCTION("""COMPUTED_VALUE"""),1.27773E8)</f>
        <v>127773000</v>
      </c>
      <c r="X1216" s="14">
        <f>IFERROR(__xludf.DUMMYFUNCTION("""COMPUTED_VALUE"""),0.86)</f>
        <v>0.86</v>
      </c>
      <c r="Y1216" s="14" t="str">
        <f>IFERROR(__xludf.DUMMYFUNCTION("""COMPUTED_VALUE"""),"Japan-Asia")</f>
        <v>Japan-Asia</v>
      </c>
      <c r="Z1216" s="14" t="str">
        <f>IFERROR(__xludf.DUMMYFUNCTION("""COMPUTED_VALUE"""),"Asia")</f>
        <v>Asia</v>
      </c>
      <c r="AA1216" s="14" t="str">
        <f>IFERROR(__xludf.DUMMYFUNCTION("""COMPUTED_VALUE"""),"2005")</f>
        <v>2005</v>
      </c>
      <c r="AB1216" s="15" t="str">
        <f>IFERROR(__xludf.DUMMYFUNCTION("ARRAYFORMULA(VLOOKUP(A1216,IMPORTRANGE(""https://docs.google.com/spreadsheets/d/1BuTWp7qHGjWhqrnf-OmePP568O4A5Am9ttzvVdP67zw/edit#gid=1931367683"" ,""ENERGY!$A$2:$F$2692""), {2,3,4,5,6},0))"),"Asia")</f>
        <v>Asia</v>
      </c>
      <c r="AC1216" s="14" t="str">
        <f>IFERROR(__xludf.DUMMYFUNCTION("""COMPUTED_VALUE"""),"Japan-Asia")</f>
        <v>Japan-Asia</v>
      </c>
      <c r="AD1216" s="14" t="str">
        <f>IFERROR(__xludf.DUMMYFUNCTION("""COMPUTED_VALUE"""),"2007")</f>
        <v>2007</v>
      </c>
      <c r="AE1216" s="14">
        <f>IFERROR(__xludf.DUMMYFUNCTION("""COMPUTED_VALUE"""),515198.0)</f>
        <v>515198</v>
      </c>
      <c r="AF1216" s="14">
        <f>IFERROR(__xludf.DUMMYFUNCTION("""COMPUTED_VALUE"""),1251136.0)</f>
        <v>1251136</v>
      </c>
    </row>
    <row r="1217">
      <c r="A1217" s="12">
        <v>1216.0</v>
      </c>
      <c r="B1217" s="12" t="s">
        <v>172</v>
      </c>
      <c r="C1217" s="5" t="s">
        <v>61</v>
      </c>
      <c r="D1217" s="11">
        <v>0.525</v>
      </c>
      <c r="E1217" s="11">
        <v>22.0</v>
      </c>
      <c r="F1217" s="8"/>
      <c r="G1217" s="11">
        <v>350.0</v>
      </c>
      <c r="H1217" s="11">
        <v>0.687</v>
      </c>
      <c r="I1217" s="11">
        <v>0.785</v>
      </c>
      <c r="J1217" s="9" t="s">
        <v>67</v>
      </c>
      <c r="K1217" s="14" t="str">
        <f>IFERROR(__xludf.DUMMYFUNCTION("ARRAYFORMULA(VLOOKUP(A1217,IMPORTRANGE(""https://docs.google.com/spreadsheets/d/1BuTWp7qHGjWhqrnf-OmePP568O4A5Am9ttzvVdP67zw/edit#gid=1603210130"", ""TOURISM!$A$2:$F$2692""), {2,3,4,5,6},0))"),"Asia")</f>
        <v>Asia</v>
      </c>
      <c r="L1217" s="14">
        <f>IFERROR(__xludf.DUMMYFUNCTION("""COMPUTED_VALUE"""),1.149E10)</f>
        <v>11490000000</v>
      </c>
      <c r="M1217" s="14" t="str">
        <f>IFERROR(__xludf.DUMMYFUNCTION("""COMPUTED_VALUE"""),"Japan-Asia")</f>
        <v>Japan-Asia</v>
      </c>
      <c r="N1217" s="14" t="str">
        <f>IFERROR(__xludf.DUMMYFUNCTION("""COMPUTED_VALUE"""),"2006")</f>
        <v>2006</v>
      </c>
      <c r="O1217" s="14">
        <f>IFERROR(__xludf.DUMMYFUNCTION("""COMPUTED_VALUE"""),3.7659E10)</f>
        <v>37659000000</v>
      </c>
      <c r="P1217" s="15">
        <f>IFERROR(__xludf.DUMMYFUNCTION("ARRAYFORMULA(VLOOKUP(A1217,IMPORTRANGE(""https://docs.google.com/spreadsheets/d/1BuTWp7qHGjWhqrnf-OmePP568O4A5Am9ttzvVdP67zw/edit#gid=771602874"" ,""HUMAN RESOURCES!$A$2:$M$2692""), {2,3,4,5,6,7,8,9,10,11,12,13},0))"),0.009)</f>
        <v>0.009</v>
      </c>
      <c r="Q1217" s="14">
        <f>IFERROR(__xludf.DUMMYFUNCTION("""COMPUTED_VALUE"""),0.003)</f>
        <v>0.003</v>
      </c>
      <c r="R1217" s="14">
        <f>IFERROR(__xludf.DUMMYFUNCTION("""COMPUTED_VALUE"""),86.0)</f>
        <v>86</v>
      </c>
      <c r="S1217" s="14">
        <f>IFERROR(__xludf.DUMMYFUNCTION("""COMPUTED_VALUE"""),79.0)</f>
        <v>79</v>
      </c>
      <c r="T1217" s="14">
        <f>IFERROR(__xludf.DUMMYFUNCTION("""COMPUTED_VALUE"""),0.137)</f>
        <v>0.137</v>
      </c>
      <c r="U1217" s="14">
        <f>IFERROR(__xludf.DUMMYFUNCTION("""COMPUTED_VALUE"""),0.659)</f>
        <v>0.659</v>
      </c>
      <c r="V1217" s="14">
        <f>IFERROR(__xludf.DUMMYFUNCTION("""COMPUTED_VALUE"""),0.204)</f>
        <v>0.204</v>
      </c>
      <c r="W1217" s="14">
        <f>IFERROR(__xludf.DUMMYFUNCTION("""COMPUTED_VALUE"""),1.27756E8)</f>
        <v>127756000</v>
      </c>
      <c r="X1217" s="14">
        <f>IFERROR(__xludf.DUMMYFUNCTION("""COMPUTED_VALUE"""),0.871)</f>
        <v>0.871</v>
      </c>
      <c r="Y1217" s="14" t="str">
        <f>IFERROR(__xludf.DUMMYFUNCTION("""COMPUTED_VALUE"""),"Japan-Asia")</f>
        <v>Japan-Asia</v>
      </c>
      <c r="Z1217" s="14" t="str">
        <f>IFERROR(__xludf.DUMMYFUNCTION("""COMPUTED_VALUE"""),"Asia")</f>
        <v>Asia</v>
      </c>
      <c r="AA1217" s="14" t="str">
        <f>IFERROR(__xludf.DUMMYFUNCTION("""COMPUTED_VALUE"""),"2006")</f>
        <v>2006</v>
      </c>
      <c r="AB1217" s="15" t="str">
        <f>IFERROR(__xludf.DUMMYFUNCTION("ARRAYFORMULA(VLOOKUP(A1217,IMPORTRANGE(""https://docs.google.com/spreadsheets/d/1BuTWp7qHGjWhqrnf-OmePP568O4A5Am9ttzvVdP67zw/edit#gid=1931367683"" ,""ENERGY!$A$2:$F$2692""), {2,3,4,5,6},0))"),"Asia")</f>
        <v>Asia</v>
      </c>
      <c r="AC1217" s="14" t="str">
        <f>IFERROR(__xludf.DUMMYFUNCTION("""COMPUTED_VALUE"""),"Japan-Asia")</f>
        <v>Japan-Asia</v>
      </c>
      <c r="AD1217" s="14" t="str">
        <f>IFERROR(__xludf.DUMMYFUNCTION("""COMPUTED_VALUE"""),"2011")</f>
        <v>2011</v>
      </c>
      <c r="AE1217" s="14">
        <f>IFERROR(__xludf.DUMMYFUNCTION("""COMPUTED_VALUE"""),519807.0)</f>
        <v>519807</v>
      </c>
      <c r="AF1217" s="14">
        <f>IFERROR(__xludf.DUMMYFUNCTION("""COMPUTED_VALUE"""),1231302.0)</f>
        <v>1231302</v>
      </c>
    </row>
    <row r="1218">
      <c r="A1218" s="12">
        <v>1217.0</v>
      </c>
      <c r="B1218" s="12" t="s">
        <v>172</v>
      </c>
      <c r="C1218" s="5" t="s">
        <v>61</v>
      </c>
      <c r="D1218" s="11">
        <v>0.525</v>
      </c>
      <c r="E1218" s="11">
        <v>22.0</v>
      </c>
      <c r="F1218" s="8"/>
      <c r="G1218" s="11">
        <v>350.0</v>
      </c>
      <c r="H1218" s="11">
        <v>0.743</v>
      </c>
      <c r="I1218" s="11">
        <v>0.844</v>
      </c>
      <c r="J1218" s="9" t="s">
        <v>68</v>
      </c>
      <c r="K1218" s="14" t="str">
        <f>IFERROR(__xludf.DUMMYFUNCTION("ARRAYFORMULA(VLOOKUP(A1218,IMPORTRANGE(""https://docs.google.com/spreadsheets/d/1BuTWp7qHGjWhqrnf-OmePP568O4A5Am9ttzvVdP67zw/edit#gid=1603210130"", ""TOURISM!$A$2:$F$2692""), {2,3,4,5,6},0))"),"Asia")</f>
        <v>Asia</v>
      </c>
      <c r="L1218" s="14">
        <f>IFERROR(__xludf.DUMMYFUNCTION("""COMPUTED_VALUE"""),1.2422E10)</f>
        <v>12422000000</v>
      </c>
      <c r="M1218" s="14" t="str">
        <f>IFERROR(__xludf.DUMMYFUNCTION("""COMPUTED_VALUE"""),"Japan-Asia")</f>
        <v>Japan-Asia</v>
      </c>
      <c r="N1218" s="14" t="str">
        <f>IFERROR(__xludf.DUMMYFUNCTION("""COMPUTED_VALUE"""),"2007")</f>
        <v>2007</v>
      </c>
      <c r="O1218" s="14">
        <f>IFERROR(__xludf.DUMMYFUNCTION("""COMPUTED_VALUE"""),3.7261E10)</f>
        <v>37261000000</v>
      </c>
      <c r="P1218" s="15">
        <f>IFERROR(__xludf.DUMMYFUNCTION("ARRAYFORMULA(VLOOKUP(A1218,IMPORTRANGE(""https://docs.google.com/spreadsheets/d/1BuTWp7qHGjWhqrnf-OmePP568O4A5Am9ttzvVdP67zw/edit#gid=771602874"" ,""HUMAN RESOURCES!$A$2:$M$2692""), {2,3,4,5,6,7,8,9,10,11,12,13},0))"),0.009)</f>
        <v>0.009</v>
      </c>
      <c r="Q1218" s="14">
        <f>IFERROR(__xludf.DUMMYFUNCTION("""COMPUTED_VALUE"""),0.003)</f>
        <v>0.003</v>
      </c>
      <c r="R1218" s="14">
        <f>IFERROR(__xludf.DUMMYFUNCTION("""COMPUTED_VALUE"""),86.0)</f>
        <v>86</v>
      </c>
      <c r="S1218" s="14">
        <f>IFERROR(__xludf.DUMMYFUNCTION("""COMPUTED_VALUE"""),79.0)</f>
        <v>79</v>
      </c>
      <c r="T1218" s="14">
        <f>IFERROR(__xludf.DUMMYFUNCTION("""COMPUTED_VALUE"""),0.136)</f>
        <v>0.136</v>
      </c>
      <c r="U1218" s="14">
        <f>IFERROR(__xludf.DUMMYFUNCTION("""COMPUTED_VALUE"""),0.654)</f>
        <v>0.654</v>
      </c>
      <c r="V1218" s="14">
        <f>IFERROR(__xludf.DUMMYFUNCTION("""COMPUTED_VALUE"""),0.21)</f>
        <v>0.21</v>
      </c>
      <c r="W1218" s="14">
        <f>IFERROR(__xludf.DUMMYFUNCTION("""COMPUTED_VALUE"""),1.2777075E8)</f>
        <v>127770750</v>
      </c>
      <c r="X1218" s="14">
        <f>IFERROR(__xludf.DUMMYFUNCTION("""COMPUTED_VALUE"""),0.88)</f>
        <v>0.88</v>
      </c>
      <c r="Y1218" s="14" t="str">
        <f>IFERROR(__xludf.DUMMYFUNCTION("""COMPUTED_VALUE"""),"Japan-Asia")</f>
        <v>Japan-Asia</v>
      </c>
      <c r="Z1218" s="14" t="str">
        <f>IFERROR(__xludf.DUMMYFUNCTION("""COMPUTED_VALUE"""),"Asia")</f>
        <v>Asia</v>
      </c>
      <c r="AA1218" s="14" t="str">
        <f>IFERROR(__xludf.DUMMYFUNCTION("""COMPUTED_VALUE"""),"2007")</f>
        <v>2007</v>
      </c>
      <c r="AB1218" s="15" t="str">
        <f>IFERROR(__xludf.DUMMYFUNCTION("ARRAYFORMULA(VLOOKUP(A1218,IMPORTRANGE(""https://docs.google.com/spreadsheets/d/1BuTWp7qHGjWhqrnf-OmePP568O4A5Am9ttzvVdP67zw/edit#gid=1931367683"" ,""ENERGY!$A$2:$F$2692""), {2,3,4,5,6},0))"),"Asia")</f>
        <v>Asia</v>
      </c>
      <c r="AC1218" s="14" t="str">
        <f>IFERROR(__xludf.DUMMYFUNCTION("""COMPUTED_VALUE"""),"Japan-Asia")</f>
        <v>Japan-Asia</v>
      </c>
      <c r="AD1218" s="14" t="str">
        <f>IFERROR(__xludf.DUMMYFUNCTION("""COMPUTED_VALUE"""),"2008")</f>
        <v>2008</v>
      </c>
      <c r="AE1218" s="14">
        <f>IFERROR(__xludf.DUMMYFUNCTION("""COMPUTED_VALUE"""),520541.0)</f>
        <v>520541</v>
      </c>
      <c r="AF1218" s="14">
        <f>IFERROR(__xludf.DUMMYFUNCTION("""COMPUTED_VALUE"""),1238181.0)</f>
        <v>1238181</v>
      </c>
    </row>
    <row r="1219">
      <c r="A1219" s="12">
        <v>1218.0</v>
      </c>
      <c r="B1219" s="12" t="s">
        <v>172</v>
      </c>
      <c r="C1219" s="5" t="s">
        <v>61</v>
      </c>
      <c r="D1219" s="11">
        <v>0.55</v>
      </c>
      <c r="E1219" s="11">
        <v>22.0</v>
      </c>
      <c r="F1219" s="8"/>
      <c r="G1219" s="11">
        <v>355.0</v>
      </c>
      <c r="H1219" s="11">
        <v>0.754</v>
      </c>
      <c r="I1219" s="11">
        <v>0.867</v>
      </c>
      <c r="J1219" s="9" t="s">
        <v>69</v>
      </c>
      <c r="K1219" s="14" t="str">
        <f>IFERROR(__xludf.DUMMYFUNCTION("ARRAYFORMULA(VLOOKUP(A1219,IMPORTRANGE(""https://docs.google.com/spreadsheets/d/1BuTWp7qHGjWhqrnf-OmePP568O4A5Am9ttzvVdP67zw/edit#gid=1603210130"", ""TOURISM!$A$2:$F$2692""), {2,3,4,5,6},0))"),"Asia")</f>
        <v>Asia</v>
      </c>
      <c r="L1219" s="14">
        <f>IFERROR(__xludf.DUMMYFUNCTION("""COMPUTED_VALUE"""),1.3781E10)</f>
        <v>13781000000</v>
      </c>
      <c r="M1219" s="14" t="str">
        <f>IFERROR(__xludf.DUMMYFUNCTION("""COMPUTED_VALUE"""),"Japan-Asia")</f>
        <v>Japan-Asia</v>
      </c>
      <c r="N1219" s="14" t="str">
        <f>IFERROR(__xludf.DUMMYFUNCTION("""COMPUTED_VALUE"""),"2008")</f>
        <v>2008</v>
      </c>
      <c r="O1219" s="14">
        <f>IFERROR(__xludf.DUMMYFUNCTION("""COMPUTED_VALUE"""),3.8976E10)</f>
        <v>38976000000</v>
      </c>
      <c r="P1219" s="15">
        <f>IFERROR(__xludf.DUMMYFUNCTION("ARRAYFORMULA(VLOOKUP(A1219,IMPORTRANGE(""https://docs.google.com/spreadsheets/d/1BuTWp7qHGjWhqrnf-OmePP568O4A5Am9ttzvVdP67zw/edit#gid=771602874"" ,""HUMAN RESOURCES!$A$2:$M$2692""), {2,3,4,5,6,7,8,9,10,11,12,13},0))"),0.009)</f>
        <v>0.009</v>
      </c>
      <c r="Q1219" s="14">
        <f>IFERROR(__xludf.DUMMYFUNCTION("""COMPUTED_VALUE"""),0.003)</f>
        <v>0.003</v>
      </c>
      <c r="R1219" s="14">
        <f>IFERROR(__xludf.DUMMYFUNCTION("""COMPUTED_VALUE"""),86.0)</f>
        <v>86</v>
      </c>
      <c r="S1219" s="14">
        <f>IFERROR(__xludf.DUMMYFUNCTION("""COMPUTED_VALUE"""),79.0)</f>
        <v>79</v>
      </c>
      <c r="T1219" s="14">
        <f>IFERROR(__xludf.DUMMYFUNCTION("""COMPUTED_VALUE"""),0.135)</f>
        <v>0.135</v>
      </c>
      <c r="U1219" s="14">
        <f>IFERROR(__xludf.DUMMYFUNCTION("""COMPUTED_VALUE"""),0.649)</f>
        <v>0.649</v>
      </c>
      <c r="V1219" s="14">
        <f>IFERROR(__xludf.DUMMYFUNCTION("""COMPUTED_VALUE"""),0.216)</f>
        <v>0.216</v>
      </c>
      <c r="W1219" s="14">
        <f>IFERROR(__xludf.DUMMYFUNCTION("""COMPUTED_VALUE"""),1.2770404E8)</f>
        <v>127704040</v>
      </c>
      <c r="X1219" s="14">
        <f>IFERROR(__xludf.DUMMYFUNCTION("""COMPUTED_VALUE"""),0.889)</f>
        <v>0.889</v>
      </c>
      <c r="Y1219" s="14" t="str">
        <f>IFERROR(__xludf.DUMMYFUNCTION("""COMPUTED_VALUE"""),"Japan-Asia")</f>
        <v>Japan-Asia</v>
      </c>
      <c r="Z1219" s="14" t="str">
        <f>IFERROR(__xludf.DUMMYFUNCTION("""COMPUTED_VALUE"""),"Asia")</f>
        <v>Asia</v>
      </c>
      <c r="AA1219" s="14" t="str">
        <f>IFERROR(__xludf.DUMMYFUNCTION("""COMPUTED_VALUE"""),"2008")</f>
        <v>2008</v>
      </c>
      <c r="AB1219" s="15" t="str">
        <f>IFERROR(__xludf.DUMMYFUNCTION("ARRAYFORMULA(VLOOKUP(A1219,IMPORTRANGE(""https://docs.google.com/spreadsheets/d/1BuTWp7qHGjWhqrnf-OmePP568O4A5Am9ttzvVdP67zw/edit#gid=1931367683"" ,""ENERGY!$A$2:$F$2692""), {2,3,4,5,6},0))"),"Asia")</f>
        <v>Asia</v>
      </c>
      <c r="AC1219" s="14" t="str">
        <f>IFERROR(__xludf.DUMMYFUNCTION("""COMPUTED_VALUE"""),"Japan-Asia")</f>
        <v>Japan-Asia</v>
      </c>
      <c r="AD1219" s="14" t="str">
        <f>IFERROR(__xludf.DUMMYFUNCTION("""COMPUTED_VALUE"""),"2006")</f>
        <v>2006</v>
      </c>
      <c r="AE1219" s="14">
        <f>IFERROR(__xludf.DUMMYFUNCTION("""COMPUTED_VALUE"""),522488.0)</f>
        <v>522488</v>
      </c>
      <c r="AF1219" s="14">
        <f>IFERROR(__xludf.DUMMYFUNCTION("""COMPUTED_VALUE"""),1259655.0)</f>
        <v>1259655</v>
      </c>
    </row>
    <row r="1220">
      <c r="A1220" s="12">
        <v>1219.0</v>
      </c>
      <c r="B1220" s="12" t="s">
        <v>172</v>
      </c>
      <c r="C1220" s="5" t="s">
        <v>61</v>
      </c>
      <c r="D1220" s="11">
        <v>0.553</v>
      </c>
      <c r="E1220" s="11">
        <v>22.0</v>
      </c>
      <c r="F1220" s="8"/>
      <c r="G1220" s="11">
        <v>355.0</v>
      </c>
      <c r="H1220" s="11">
        <v>0.78</v>
      </c>
      <c r="I1220" s="11">
        <v>0.913</v>
      </c>
      <c r="J1220" s="9" t="s">
        <v>70</v>
      </c>
      <c r="K1220" s="14" t="str">
        <f>IFERROR(__xludf.DUMMYFUNCTION("ARRAYFORMULA(VLOOKUP(A1220,IMPORTRANGE(""https://docs.google.com/spreadsheets/d/1BuTWp7qHGjWhqrnf-OmePP568O4A5Am9ttzvVdP67zw/edit#gid=1603210130"", ""TOURISM!$A$2:$F$2692""), {2,3,4,5,6},0))"),"Asia")</f>
        <v>Asia</v>
      </c>
      <c r="L1220" s="14">
        <f>IFERROR(__xludf.DUMMYFUNCTION("""COMPUTED_VALUE"""),1.2537E10)</f>
        <v>12537000000</v>
      </c>
      <c r="M1220" s="14" t="str">
        <f>IFERROR(__xludf.DUMMYFUNCTION("""COMPUTED_VALUE"""),"Japan-Asia")</f>
        <v>Japan-Asia</v>
      </c>
      <c r="N1220" s="14" t="str">
        <f>IFERROR(__xludf.DUMMYFUNCTION("""COMPUTED_VALUE"""),"2009")</f>
        <v>2009</v>
      </c>
      <c r="O1220" s="14">
        <f>IFERROR(__xludf.DUMMYFUNCTION("""COMPUTED_VALUE"""),3.4788E10)</f>
        <v>34788000000</v>
      </c>
      <c r="P1220" s="15">
        <f>IFERROR(__xludf.DUMMYFUNCTION("ARRAYFORMULA(VLOOKUP(A1220,IMPORTRANGE(""https://docs.google.com/spreadsheets/d/1BuTWp7qHGjWhqrnf-OmePP568O4A5Am9ttzvVdP67zw/edit#gid=771602874"" ,""HUMAN RESOURCES!$A$2:$M$2692""), {2,3,4,5,6,7,8,9,10,11,12,13},0))"),0.009)</f>
        <v>0.009</v>
      </c>
      <c r="Q1220" s="14">
        <f>IFERROR(__xludf.DUMMYFUNCTION("""COMPUTED_VALUE"""),0.002)</f>
        <v>0.002</v>
      </c>
      <c r="R1220" s="14">
        <f>IFERROR(__xludf.DUMMYFUNCTION("""COMPUTED_VALUE"""),86.0)</f>
        <v>86</v>
      </c>
      <c r="S1220" s="14">
        <f>IFERROR(__xludf.DUMMYFUNCTION("""COMPUTED_VALUE"""),80.0)</f>
        <v>80</v>
      </c>
      <c r="T1220" s="14">
        <f>IFERROR(__xludf.DUMMYFUNCTION("""COMPUTED_VALUE"""),0.134)</f>
        <v>0.134</v>
      </c>
      <c r="U1220" s="14">
        <f>IFERROR(__xludf.DUMMYFUNCTION("""COMPUTED_VALUE"""),0.643)</f>
        <v>0.643</v>
      </c>
      <c r="V1220" s="14">
        <f>IFERROR(__xludf.DUMMYFUNCTION("""COMPUTED_VALUE"""),0.223)</f>
        <v>0.223</v>
      </c>
      <c r="W1220" s="14">
        <f>IFERROR(__xludf.DUMMYFUNCTION("""COMPUTED_VALUE"""),1.27557958E8)</f>
        <v>127557958</v>
      </c>
      <c r="X1220" s="14">
        <f>IFERROR(__xludf.DUMMYFUNCTION("""COMPUTED_VALUE"""),0.897)</f>
        <v>0.897</v>
      </c>
      <c r="Y1220" s="14" t="str">
        <f>IFERROR(__xludf.DUMMYFUNCTION("""COMPUTED_VALUE"""),"Japan-Asia")</f>
        <v>Japan-Asia</v>
      </c>
      <c r="Z1220" s="14" t="str">
        <f>IFERROR(__xludf.DUMMYFUNCTION("""COMPUTED_VALUE"""),"Asia")</f>
        <v>Asia</v>
      </c>
      <c r="AA1220" s="14" t="str">
        <f>IFERROR(__xludf.DUMMYFUNCTION("""COMPUTED_VALUE"""),"2009")</f>
        <v>2009</v>
      </c>
      <c r="AB1220" s="15" t="str">
        <f>IFERROR(__xludf.DUMMYFUNCTION("ARRAYFORMULA(VLOOKUP(A1220,IMPORTRANGE(""https://docs.google.com/spreadsheets/d/1BuTWp7qHGjWhqrnf-OmePP568O4A5Am9ttzvVdP67zw/edit#gid=1931367683"" ,""ENERGY!$A$2:$F$2692""), {2,3,4,5,6},0))"),"Asia")</f>
        <v>Asia</v>
      </c>
      <c r="AC1220" s="14" t="str">
        <f>IFERROR(__xludf.DUMMYFUNCTION("""COMPUTED_VALUE"""),"Japan-Asia")</f>
        <v>Japan-Asia</v>
      </c>
      <c r="AD1220" s="14" t="str">
        <f>IFERROR(__xludf.DUMMYFUNCTION("""COMPUTED_VALUE"""),"2010")</f>
        <v>2010</v>
      </c>
      <c r="AE1220" s="14">
        <f>IFERROR(__xludf.DUMMYFUNCTION("""COMPUTED_VALUE"""),506237.0)</f>
        <v>506237</v>
      </c>
      <c r="AF1220" s="14">
        <f>IFERROR(__xludf.DUMMYFUNCTION("""COMPUTED_VALUE"""),1237429.0)</f>
        <v>1237429</v>
      </c>
    </row>
    <row r="1221">
      <c r="A1221" s="12">
        <v>1220.0</v>
      </c>
      <c r="B1221" s="12" t="s">
        <v>172</v>
      </c>
      <c r="C1221" s="5" t="s">
        <v>61</v>
      </c>
      <c r="D1221" s="11">
        <v>0.476</v>
      </c>
      <c r="E1221" s="11">
        <v>22.0</v>
      </c>
      <c r="F1221" s="8"/>
      <c r="G1221" s="11">
        <v>355.0</v>
      </c>
      <c r="H1221" s="11">
        <v>0.782</v>
      </c>
      <c r="I1221" s="11">
        <v>0.968</v>
      </c>
      <c r="J1221" s="9" t="s">
        <v>71</v>
      </c>
      <c r="K1221" s="14" t="str">
        <f>IFERROR(__xludf.DUMMYFUNCTION("ARRAYFORMULA(VLOOKUP(A1221,IMPORTRANGE(""https://docs.google.com/spreadsheets/d/1BuTWp7qHGjWhqrnf-OmePP568O4A5Am9ttzvVdP67zw/edit#gid=1603210130"", ""TOURISM!$A$2:$F$2692""), {2,3,4,5,6},0))"),"Asia")</f>
        <v>Asia</v>
      </c>
      <c r="L1221" s="14">
        <f>IFERROR(__xludf.DUMMYFUNCTION("""COMPUTED_VALUE"""),1.5356E10)</f>
        <v>15356000000</v>
      </c>
      <c r="M1221" s="14" t="str">
        <f>IFERROR(__xludf.DUMMYFUNCTION("""COMPUTED_VALUE"""),"Japan-Asia")</f>
        <v>Japan-Asia</v>
      </c>
      <c r="N1221" s="14" t="str">
        <f>IFERROR(__xludf.DUMMYFUNCTION("""COMPUTED_VALUE"""),"2010")</f>
        <v>2010</v>
      </c>
      <c r="O1221" s="14">
        <f>IFERROR(__xludf.DUMMYFUNCTION("""COMPUTED_VALUE"""),3.9306E10)</f>
        <v>39306000000</v>
      </c>
      <c r="P1221" s="15">
        <f>IFERROR(__xludf.DUMMYFUNCTION("ARRAYFORMULA(VLOOKUP(A1221,IMPORTRANGE(""https://docs.google.com/spreadsheets/d/1BuTWp7qHGjWhqrnf-OmePP568O4A5Am9ttzvVdP67zw/edit#gid=771602874"" ,""HUMAN RESOURCES!$A$2:$M$2692""), {2,3,4,5,6,7,8,9,10,11,12,13},0))"),0.009)</f>
        <v>0.009</v>
      </c>
      <c r="Q1221" s="14">
        <f>IFERROR(__xludf.DUMMYFUNCTION("""COMPUTED_VALUE"""),0.002)</f>
        <v>0.002</v>
      </c>
      <c r="R1221" s="14">
        <f>IFERROR(__xludf.DUMMYFUNCTION("""COMPUTED_VALUE"""),86.0)</f>
        <v>86</v>
      </c>
      <c r="S1221" s="14">
        <f>IFERROR(__xludf.DUMMYFUNCTION("""COMPUTED_VALUE"""),80.0)</f>
        <v>80</v>
      </c>
      <c r="T1221" s="14">
        <f>IFERROR(__xludf.DUMMYFUNCTION("""COMPUTED_VALUE"""),0.133)</f>
        <v>0.133</v>
      </c>
      <c r="U1221" s="14">
        <f>IFERROR(__xludf.DUMMYFUNCTION("""COMPUTED_VALUE"""),0.638)</f>
        <v>0.638</v>
      </c>
      <c r="V1221" s="14">
        <f>IFERROR(__xludf.DUMMYFUNCTION("""COMPUTED_VALUE"""),0.23)</f>
        <v>0.23</v>
      </c>
      <c r="W1221" s="14">
        <f>IFERROR(__xludf.DUMMYFUNCTION("""COMPUTED_VALUE"""),1.27450459E8)</f>
        <v>127450459</v>
      </c>
      <c r="X1221" s="14">
        <f>IFERROR(__xludf.DUMMYFUNCTION("""COMPUTED_VALUE"""),0.905)</f>
        <v>0.905</v>
      </c>
      <c r="Y1221" s="14" t="str">
        <f>IFERROR(__xludf.DUMMYFUNCTION("""COMPUTED_VALUE"""),"Japan-Asia")</f>
        <v>Japan-Asia</v>
      </c>
      <c r="Z1221" s="14" t="str">
        <f>IFERROR(__xludf.DUMMYFUNCTION("""COMPUTED_VALUE"""),"Asia")</f>
        <v>Asia</v>
      </c>
      <c r="AA1221" s="14" t="str">
        <f>IFERROR(__xludf.DUMMYFUNCTION("""COMPUTED_VALUE"""),"2010")</f>
        <v>2010</v>
      </c>
      <c r="AB1221" s="15" t="str">
        <f>IFERROR(__xludf.DUMMYFUNCTION("ARRAYFORMULA(VLOOKUP(A1221,IMPORTRANGE(""https://docs.google.com/spreadsheets/d/1BuTWp7qHGjWhqrnf-OmePP568O4A5Am9ttzvVdP67zw/edit#gid=1931367683"" ,""ENERGY!$A$2:$F$2692""), {2,3,4,5,6},0))"),"Asia")</f>
        <v>Asia</v>
      </c>
      <c r="AC1221" s="14" t="str">
        <f>IFERROR(__xludf.DUMMYFUNCTION("""COMPUTED_VALUE"""),"Japan-Asia")</f>
        <v>Japan-Asia</v>
      </c>
      <c r="AD1221" s="14" t="str">
        <f>IFERROR(__xludf.DUMMYFUNCTION("""COMPUTED_VALUE"""),"2011")</f>
        <v>2011</v>
      </c>
      <c r="AE1221" s="14">
        <f>IFERROR(__xludf.DUMMYFUNCTION("""COMPUTED_VALUE"""),510390.0)</f>
        <v>510390</v>
      </c>
      <c r="AF1221" s="14">
        <f>IFERROR(__xludf.DUMMYFUNCTION("""COMPUTED_VALUE"""),1216751.0)</f>
        <v>1216751</v>
      </c>
    </row>
    <row r="1222">
      <c r="A1222" s="12">
        <v>1221.0</v>
      </c>
      <c r="B1222" s="12" t="s">
        <v>172</v>
      </c>
      <c r="C1222" s="5" t="s">
        <v>61</v>
      </c>
      <c r="D1222" s="11">
        <v>0.484</v>
      </c>
      <c r="E1222" s="11">
        <v>22.0</v>
      </c>
      <c r="F1222" s="8"/>
      <c r="G1222" s="11">
        <v>330.0</v>
      </c>
      <c r="H1222" s="11">
        <v>0.791</v>
      </c>
      <c r="I1222" s="11">
        <v>1.02</v>
      </c>
      <c r="J1222" s="9" t="s">
        <v>72</v>
      </c>
      <c r="K1222" s="14" t="str">
        <f>IFERROR(__xludf.DUMMYFUNCTION("ARRAYFORMULA(VLOOKUP(A1222,IMPORTRANGE(""https://docs.google.com/spreadsheets/d/1BuTWp7qHGjWhqrnf-OmePP568O4A5Am9ttzvVdP67zw/edit#gid=1603210130"", ""TOURISM!$A$2:$F$2692""), {2,3,4,5,6},0))"),"Asia")</f>
        <v>Asia</v>
      </c>
      <c r="L1222" s="14">
        <f>IFERROR(__xludf.DUMMYFUNCTION("""COMPUTED_VALUE"""),1.2534E10)</f>
        <v>12534000000</v>
      </c>
      <c r="M1222" s="14" t="str">
        <f>IFERROR(__xludf.DUMMYFUNCTION("""COMPUTED_VALUE"""),"Japan-Asia")</f>
        <v>Japan-Asia</v>
      </c>
      <c r="N1222" s="14" t="str">
        <f>IFERROR(__xludf.DUMMYFUNCTION("""COMPUTED_VALUE"""),"2011")</f>
        <v>2011</v>
      </c>
      <c r="O1222" s="14">
        <f>IFERROR(__xludf.DUMMYFUNCTION("""COMPUTED_VALUE"""),3.976E10)</f>
        <v>39760000000</v>
      </c>
      <c r="P1222" s="15">
        <f>IFERROR(__xludf.DUMMYFUNCTION("ARRAYFORMULA(VLOOKUP(A1222,IMPORTRANGE(""https://docs.google.com/spreadsheets/d/1BuTWp7qHGjWhqrnf-OmePP568O4A5Am9ttzvVdP67zw/edit#gid=771602874"" ,""HUMAN RESOURCES!$A$2:$M$2692""), {2,3,4,5,6,7,8,9,10,11,12,13},0))"),0.008)</f>
        <v>0.008</v>
      </c>
      <c r="Q1222" s="14">
        <f>IFERROR(__xludf.DUMMYFUNCTION("""COMPUTED_VALUE"""),0.002)</f>
        <v>0.002</v>
      </c>
      <c r="R1222" s="14">
        <f>IFERROR(__xludf.DUMMYFUNCTION("""COMPUTED_VALUE"""),86.0)</f>
        <v>86</v>
      </c>
      <c r="S1222" s="14">
        <f>IFERROR(__xludf.DUMMYFUNCTION("""COMPUTED_VALUE"""),79.0)</f>
        <v>79</v>
      </c>
      <c r="T1222" s="14">
        <f>IFERROR(__xludf.DUMMYFUNCTION("""COMPUTED_VALUE"""),0.132)</f>
        <v>0.132</v>
      </c>
      <c r="U1222" s="14">
        <f>IFERROR(__xludf.DUMMYFUNCTION("""COMPUTED_VALUE"""),0.631)</f>
        <v>0.631</v>
      </c>
      <c r="V1222" s="14">
        <f>IFERROR(__xludf.DUMMYFUNCTION("""COMPUTED_VALUE"""),0.237)</f>
        <v>0.237</v>
      </c>
      <c r="W1222" s="14">
        <f>IFERROR(__xludf.DUMMYFUNCTION("""COMPUTED_VALUE"""),1.27817277E8)</f>
        <v>127817277</v>
      </c>
      <c r="X1222" s="14">
        <f>IFERROR(__xludf.DUMMYFUNCTION("""COMPUTED_VALUE"""),0.912)</f>
        <v>0.912</v>
      </c>
      <c r="Y1222" s="14" t="str">
        <f>IFERROR(__xludf.DUMMYFUNCTION("""COMPUTED_VALUE"""),"Japan-Asia")</f>
        <v>Japan-Asia</v>
      </c>
      <c r="Z1222" s="14" t="str">
        <f>IFERROR(__xludf.DUMMYFUNCTION("""COMPUTED_VALUE"""),"Asia")</f>
        <v>Asia</v>
      </c>
      <c r="AA1222" s="14" t="str">
        <f>IFERROR(__xludf.DUMMYFUNCTION("""COMPUTED_VALUE"""),"2011")</f>
        <v>2011</v>
      </c>
      <c r="AB1222" s="15" t="str">
        <f>IFERROR(__xludf.DUMMYFUNCTION("ARRAYFORMULA(VLOOKUP(A1222,IMPORTRANGE(""https://docs.google.com/spreadsheets/d/1BuTWp7qHGjWhqrnf-OmePP568O4A5Am9ttzvVdP67zw/edit#gid=1931367683"" ,""ENERGY!$A$2:$F$2692""), {2,3,4,5,6},0))"),"Asia")</f>
        <v>Asia</v>
      </c>
      <c r="AC1222" s="14" t="str">
        <f>IFERROR(__xludf.DUMMYFUNCTION("""COMPUTED_VALUE"""),"Japan-Asia")</f>
        <v>Japan-Asia</v>
      </c>
      <c r="AD1222" s="14" t="str">
        <f>IFERROR(__xludf.DUMMYFUNCTION("""COMPUTED_VALUE"""),"2005")</f>
        <v>2005</v>
      </c>
      <c r="AE1222" s="14">
        <f>IFERROR(__xludf.DUMMYFUNCTION("""COMPUTED_VALUE"""),510791.0)</f>
        <v>510791</v>
      </c>
      <c r="AF1222" s="14">
        <f>IFERROR(__xludf.DUMMYFUNCTION("""COMPUTED_VALUE"""),1202266.0)</f>
        <v>1202266</v>
      </c>
    </row>
    <row r="1223">
      <c r="A1223" s="12">
        <v>1222.0</v>
      </c>
      <c r="B1223" s="12" t="s">
        <v>172</v>
      </c>
      <c r="C1223" s="5" t="s">
        <v>61</v>
      </c>
      <c r="D1223" s="11">
        <v>0.494</v>
      </c>
      <c r="E1223" s="11">
        <v>22.0</v>
      </c>
      <c r="F1223" s="11">
        <v>23.0</v>
      </c>
      <c r="G1223" s="11">
        <v>330.0</v>
      </c>
      <c r="H1223" s="11">
        <v>0.863</v>
      </c>
      <c r="I1223" s="11">
        <v>1.087</v>
      </c>
      <c r="J1223" s="9" t="s">
        <v>73</v>
      </c>
      <c r="K1223" s="14" t="str">
        <f>IFERROR(__xludf.DUMMYFUNCTION("ARRAYFORMULA(VLOOKUP(A1223,IMPORTRANGE(""https://docs.google.com/spreadsheets/d/1BuTWp7qHGjWhqrnf-OmePP568O4A5Am9ttzvVdP67zw/edit#gid=1603210130"", ""TOURISM!$A$2:$F$2692""), {2,3,4,5,6},0))"),"Asia")</f>
        <v>Asia</v>
      </c>
      <c r="L1223" s="14">
        <f>IFERROR(__xludf.DUMMYFUNCTION("""COMPUTED_VALUE"""),1.6197E10)</f>
        <v>16197000000</v>
      </c>
      <c r="M1223" s="14" t="str">
        <f>IFERROR(__xludf.DUMMYFUNCTION("""COMPUTED_VALUE"""),"Japan-Asia")</f>
        <v>Japan-Asia</v>
      </c>
      <c r="N1223" s="14" t="str">
        <f>IFERROR(__xludf.DUMMYFUNCTION("""COMPUTED_VALUE"""),"2012")</f>
        <v>2012</v>
      </c>
      <c r="O1223" s="14">
        <f>IFERROR(__xludf.DUMMYFUNCTION("""COMPUTED_VALUE"""),4.0967E10)</f>
        <v>40967000000</v>
      </c>
      <c r="P1223" s="15">
        <f>IFERROR(__xludf.DUMMYFUNCTION("ARRAYFORMULA(VLOOKUP(A1223,IMPORTRANGE(""https://docs.google.com/spreadsheets/d/1BuTWp7qHGjWhqrnf-OmePP568O4A5Am9ttzvVdP67zw/edit#gid=771602874"" ,""HUMAN RESOURCES!$A$2:$M$2692""), {2,3,4,5,6,7,8,9,10,11,12,13},0))"),0.008)</f>
        <v>0.008</v>
      </c>
      <c r="Q1223" s="14">
        <f>IFERROR(__xludf.DUMMYFUNCTION("""COMPUTED_VALUE"""),0.002)</f>
        <v>0.002</v>
      </c>
      <c r="R1223" s="14">
        <f>IFERROR(__xludf.DUMMYFUNCTION("""COMPUTED_VALUE"""),86.0)</f>
        <v>86</v>
      </c>
      <c r="S1223" s="14">
        <f>IFERROR(__xludf.DUMMYFUNCTION("""COMPUTED_VALUE"""),80.0)</f>
        <v>80</v>
      </c>
      <c r="T1223" s="14">
        <f>IFERROR(__xludf.DUMMYFUNCTION("""COMPUTED_VALUE"""),0.131)</f>
        <v>0.131</v>
      </c>
      <c r="U1223" s="14">
        <f>IFERROR(__xludf.DUMMYFUNCTION("""COMPUTED_VALUE"""),0.625)</f>
        <v>0.625</v>
      </c>
      <c r="V1223" s="14">
        <f>IFERROR(__xludf.DUMMYFUNCTION("""COMPUTED_VALUE"""),0.244)</f>
        <v>0.244</v>
      </c>
      <c r="W1223" s="14">
        <f>IFERROR(__xludf.DUMMYFUNCTION("""COMPUTED_VALUE"""),1.27561489E8)</f>
        <v>127561489</v>
      </c>
      <c r="X1223" s="14">
        <f>IFERROR(__xludf.DUMMYFUNCTION("""COMPUTED_VALUE"""),0.919)</f>
        <v>0.919</v>
      </c>
      <c r="Y1223" s="14" t="str">
        <f>IFERROR(__xludf.DUMMYFUNCTION("""COMPUTED_VALUE"""),"Japan-Asia")</f>
        <v>Japan-Asia</v>
      </c>
      <c r="Z1223" s="14" t="str">
        <f>IFERROR(__xludf.DUMMYFUNCTION("""COMPUTED_VALUE"""),"Asia")</f>
        <v>Asia</v>
      </c>
      <c r="AA1223" s="14" t="str">
        <f>IFERROR(__xludf.DUMMYFUNCTION("""COMPUTED_VALUE"""),"2012")</f>
        <v>2012</v>
      </c>
      <c r="AB1223" s="15" t="str">
        <f>IFERROR(__xludf.DUMMYFUNCTION("ARRAYFORMULA(VLOOKUP(A1223,IMPORTRANGE(""https://docs.google.com/spreadsheets/d/1BuTWp7qHGjWhqrnf-OmePP568O4A5Am9ttzvVdP67zw/edit#gid=1931367683"" ,""ENERGY!$A$2:$F$2692""), {2,3,4,5,6},0))"),"Asia")</f>
        <v>Asia</v>
      </c>
      <c r="AC1223" s="14" t="str">
        <f>IFERROR(__xludf.DUMMYFUNCTION("""COMPUTED_VALUE"""),"Japan-Asia")</f>
        <v>Japan-Asia</v>
      </c>
      <c r="AD1223" s="14" t="str">
        <f>IFERROR(__xludf.DUMMYFUNCTION("""COMPUTED_VALUE"""),"2010")</f>
        <v>2010</v>
      </c>
      <c r="AE1223" s="14">
        <f>IFERROR(__xludf.DUMMYFUNCTION("""COMPUTED_VALUE"""),518964.0)</f>
        <v>518964</v>
      </c>
      <c r="AF1223" s="14">
        <f>IFERROR(__xludf.DUMMYFUNCTION("""COMPUTED_VALUE"""),1219589.0)</f>
        <v>1219589</v>
      </c>
    </row>
    <row r="1224">
      <c r="A1224" s="12">
        <v>1223.0</v>
      </c>
      <c r="B1224" s="12" t="s">
        <v>173</v>
      </c>
      <c r="C1224" s="5" t="s">
        <v>93</v>
      </c>
      <c r="D1224" s="8"/>
      <c r="E1224" s="8"/>
      <c r="F1224" s="8"/>
      <c r="G1224" s="8"/>
      <c r="H1224" s="11">
        <v>0.026</v>
      </c>
      <c r="I1224" s="11">
        <v>0.082</v>
      </c>
      <c r="J1224" s="9" t="s">
        <v>60</v>
      </c>
      <c r="K1224" s="14" t="str">
        <f>IFERROR(__xludf.DUMMYFUNCTION("ARRAYFORMULA(VLOOKUP(A1224,IMPORTRANGE(""https://docs.google.com/spreadsheets/d/1BuTWp7qHGjWhqrnf-OmePP568O4A5Am9ttzvVdP67zw/edit#gid=1603210130"", ""TOURISM!$A$2:$F$2692""), {2,3,4,5,6},0))"),"Middle East")</f>
        <v>Middle East</v>
      </c>
      <c r="L1224" s="14">
        <f>IFERROR(__xludf.DUMMYFUNCTION("""COMPUTED_VALUE"""),9.35E8)</f>
        <v>935000000</v>
      </c>
      <c r="M1224" s="14" t="str">
        <f>IFERROR(__xludf.DUMMYFUNCTION("""COMPUTED_VALUE"""),"Jordan-Middle East")</f>
        <v>Jordan-Middle East</v>
      </c>
      <c r="N1224" s="14" t="str">
        <f>IFERROR(__xludf.DUMMYFUNCTION("""COMPUTED_VALUE"""),"2000")</f>
        <v>2000</v>
      </c>
      <c r="O1224" s="14">
        <f>IFERROR(__xludf.DUMMYFUNCTION("""COMPUTED_VALUE"""),3.87E8)</f>
        <v>387000000</v>
      </c>
      <c r="P1224" s="15">
        <f>IFERROR(__xludf.DUMMYFUNCTION("ARRAYFORMULA(VLOOKUP(A1224,IMPORTRANGE(""https://docs.google.com/spreadsheets/d/1BuTWp7qHGjWhqrnf-OmePP568O4A5Am9ttzvVdP67zw/edit#gid=771602874"" ,""HUMAN RESOURCES!$A$2:$M$2692""), {2,3,4,5,6,7,8,9,10,11,12,13},0))"),0.031)</f>
        <v>0.031</v>
      </c>
      <c r="Q1224" s="14">
        <f>IFERROR(__xludf.DUMMYFUNCTION("""COMPUTED_VALUE"""),0.023)</f>
        <v>0.023</v>
      </c>
      <c r="R1224" s="14">
        <f>IFERROR(__xludf.DUMMYFUNCTION("""COMPUTED_VALUE"""),73.0)</f>
        <v>73</v>
      </c>
      <c r="S1224" s="14">
        <f>IFERROR(__xludf.DUMMYFUNCTION("""COMPUTED_VALUE"""),70.0)</f>
        <v>70</v>
      </c>
      <c r="T1224" s="14">
        <f>IFERROR(__xludf.DUMMYFUNCTION("""COMPUTED_VALUE"""),0.394)</f>
        <v>0.394</v>
      </c>
      <c r="U1224" s="14">
        <f>IFERROR(__xludf.DUMMYFUNCTION("""COMPUTED_VALUE"""),0.575)</f>
        <v>0.575</v>
      </c>
      <c r="V1224" s="14">
        <f>IFERROR(__xludf.DUMMYFUNCTION("""COMPUTED_VALUE"""),0.031)</f>
        <v>0.031</v>
      </c>
      <c r="W1224" s="14">
        <f>IFERROR(__xludf.DUMMYFUNCTION("""COMPUTED_VALUE"""),4797000.0)</f>
        <v>4797000</v>
      </c>
      <c r="X1224" s="14">
        <f>IFERROR(__xludf.DUMMYFUNCTION("""COMPUTED_VALUE"""),0.798)</f>
        <v>0.798</v>
      </c>
      <c r="Y1224" s="14" t="str">
        <f>IFERROR(__xludf.DUMMYFUNCTION("""COMPUTED_VALUE"""),"Jordan-Middle East")</f>
        <v>Jordan-Middle East</v>
      </c>
      <c r="Z1224" s="14" t="str">
        <f>IFERROR(__xludf.DUMMYFUNCTION("""COMPUTED_VALUE"""),"Middle East")</f>
        <v>Middle East</v>
      </c>
      <c r="AA1224" s="14" t="str">
        <f>IFERROR(__xludf.DUMMYFUNCTION("""COMPUTED_VALUE"""),"2000")</f>
        <v>2000</v>
      </c>
      <c r="AB1224" s="15" t="str">
        <f>IFERROR(__xludf.DUMMYFUNCTION("ARRAYFORMULA(VLOOKUP(A1224,IMPORTRANGE(""https://docs.google.com/spreadsheets/d/1BuTWp7qHGjWhqrnf-OmePP568O4A5Am9ttzvVdP67zw/edit#gid=1931367683"" ,""ENERGY!$A$2:$F$2692""), {2,3,4,5,6},0))"),"Middle East")</f>
        <v>Middle East</v>
      </c>
      <c r="AC1224" s="14" t="str">
        <f>IFERROR(__xludf.DUMMYFUNCTION("""COMPUTED_VALUE"""),"Jordan-Middle East")</f>
        <v>Jordan-Middle East</v>
      </c>
      <c r="AD1224" s="14" t="str">
        <f>IFERROR(__xludf.DUMMYFUNCTION("""COMPUTED_VALUE"""),"2000")</f>
        <v>2000</v>
      </c>
      <c r="AE1224" s="14"/>
      <c r="AF1224" s="14"/>
    </row>
    <row r="1225">
      <c r="A1225" s="12">
        <v>1224.0</v>
      </c>
      <c r="B1225" s="12" t="s">
        <v>173</v>
      </c>
      <c r="C1225" s="5" t="s">
        <v>93</v>
      </c>
      <c r="D1225" s="8"/>
      <c r="E1225" s="8"/>
      <c r="F1225" s="8"/>
      <c r="G1225" s="8"/>
      <c r="H1225" s="11">
        <v>0.047</v>
      </c>
      <c r="I1225" s="11">
        <v>0.179</v>
      </c>
      <c r="J1225" s="9" t="s">
        <v>62</v>
      </c>
      <c r="K1225" s="14" t="str">
        <f>IFERROR(__xludf.DUMMYFUNCTION("ARRAYFORMULA(VLOOKUP(A1225,IMPORTRANGE(""https://docs.google.com/spreadsheets/d/1BuTWp7qHGjWhqrnf-OmePP568O4A5Am9ttzvVdP67zw/edit#gid=1603210130"", ""TOURISM!$A$2:$F$2692""), {2,3,4,5,6},0))"),"Middle East")</f>
        <v>Middle East</v>
      </c>
      <c r="L1225" s="14">
        <f>IFERROR(__xludf.DUMMYFUNCTION("""COMPUTED_VALUE"""),8.84E8)</f>
        <v>884000000</v>
      </c>
      <c r="M1225" s="14" t="str">
        <f>IFERROR(__xludf.DUMMYFUNCTION("""COMPUTED_VALUE"""),"Jordan-Middle East")</f>
        <v>Jordan-Middle East</v>
      </c>
      <c r="N1225" s="14" t="str">
        <f>IFERROR(__xludf.DUMMYFUNCTION("""COMPUTED_VALUE"""),"2001")</f>
        <v>2001</v>
      </c>
      <c r="O1225" s="14">
        <f>IFERROR(__xludf.DUMMYFUNCTION("""COMPUTED_VALUE"""),4.2E8)</f>
        <v>420000000</v>
      </c>
      <c r="P1225" s="15">
        <f>IFERROR(__xludf.DUMMYFUNCTION("ARRAYFORMULA(VLOOKUP(A1225,IMPORTRANGE(""https://docs.google.com/spreadsheets/d/1BuTWp7qHGjWhqrnf-OmePP568O4A5Am9ttzvVdP67zw/edit#gid=771602874"" ,""HUMAN RESOURCES!$A$2:$M$2692""), {2,3,4,5,6,7,8,9,10,11,12,13},0))"),0.031)</f>
        <v>0.031</v>
      </c>
      <c r="Q1225" s="14">
        <f>IFERROR(__xludf.DUMMYFUNCTION("""COMPUTED_VALUE"""),0.023)</f>
        <v>0.023</v>
      </c>
      <c r="R1225" s="14">
        <f>IFERROR(__xludf.DUMMYFUNCTION("""COMPUTED_VALUE"""),73.0)</f>
        <v>73</v>
      </c>
      <c r="S1225" s="14">
        <f>IFERROR(__xludf.DUMMYFUNCTION("""COMPUTED_VALUE"""),71.0)</f>
        <v>71</v>
      </c>
      <c r="T1225" s="14">
        <f>IFERROR(__xludf.DUMMYFUNCTION("""COMPUTED_VALUE"""),0.392)</f>
        <v>0.392</v>
      </c>
      <c r="U1225" s="14">
        <f>IFERROR(__xludf.DUMMYFUNCTION("""COMPUTED_VALUE"""),0.577)</f>
        <v>0.577</v>
      </c>
      <c r="V1225" s="14">
        <f>IFERROR(__xludf.DUMMYFUNCTION("""COMPUTED_VALUE"""),0.031)</f>
        <v>0.031</v>
      </c>
      <c r="W1225" s="14">
        <f>IFERROR(__xludf.DUMMYFUNCTION("""COMPUTED_VALUE"""),4917000.0)</f>
        <v>4917000</v>
      </c>
      <c r="X1225" s="14">
        <f>IFERROR(__xludf.DUMMYFUNCTION("""COMPUTED_VALUE"""),0.801)</f>
        <v>0.801</v>
      </c>
      <c r="Y1225" s="14" t="str">
        <f>IFERROR(__xludf.DUMMYFUNCTION("""COMPUTED_VALUE"""),"Jordan-Middle East")</f>
        <v>Jordan-Middle East</v>
      </c>
      <c r="Z1225" s="14" t="str">
        <f>IFERROR(__xludf.DUMMYFUNCTION("""COMPUTED_VALUE"""),"Middle East")</f>
        <v>Middle East</v>
      </c>
      <c r="AA1225" s="14" t="str">
        <f>IFERROR(__xludf.DUMMYFUNCTION("""COMPUTED_VALUE"""),"2001")</f>
        <v>2001</v>
      </c>
      <c r="AB1225" s="15" t="str">
        <f>IFERROR(__xludf.DUMMYFUNCTION("ARRAYFORMULA(VLOOKUP(A1225,IMPORTRANGE(""https://docs.google.com/spreadsheets/d/1BuTWp7qHGjWhqrnf-OmePP568O4A5Am9ttzvVdP67zw/edit#gid=1931367683"" ,""ENERGY!$A$2:$F$2692""), {2,3,4,5,6},0))"),"Middle East")</f>
        <v>Middle East</v>
      </c>
      <c r="AC1225" s="14" t="str">
        <f>IFERROR(__xludf.DUMMYFUNCTION("""COMPUTED_VALUE"""),"Jordan-Middle East")</f>
        <v>Jordan-Middle East</v>
      </c>
      <c r="AD1225" s="14" t="str">
        <f>IFERROR(__xludf.DUMMYFUNCTION("""COMPUTED_VALUE"""),"2001")</f>
        <v>2001</v>
      </c>
      <c r="AE1225" s="14">
        <f>IFERROR(__xludf.DUMMYFUNCTION("""COMPUTED_VALUE"""),7064.0)</f>
        <v>7064</v>
      </c>
      <c r="AF1225" s="14"/>
    </row>
    <row r="1226">
      <c r="A1226" s="12">
        <v>1225.0</v>
      </c>
      <c r="B1226" s="12" t="s">
        <v>173</v>
      </c>
      <c r="C1226" s="5" t="s">
        <v>93</v>
      </c>
      <c r="D1226" s="8"/>
      <c r="E1226" s="8"/>
      <c r="F1226" s="8"/>
      <c r="G1226" s="8"/>
      <c r="H1226" s="11">
        <v>0.06</v>
      </c>
      <c r="I1226" s="11">
        <v>0.249</v>
      </c>
      <c r="J1226" s="9" t="s">
        <v>63</v>
      </c>
      <c r="K1226" s="14" t="str">
        <f>IFERROR(__xludf.DUMMYFUNCTION("ARRAYFORMULA(VLOOKUP(A1226,IMPORTRANGE(""https://docs.google.com/spreadsheets/d/1BuTWp7qHGjWhqrnf-OmePP568O4A5Am9ttzvVdP67zw/edit#gid=1603210130"", ""TOURISM!$A$2:$F$2692""), {2,3,4,5,6},0))"),"Middle East")</f>
        <v>Middle East</v>
      </c>
      <c r="L1226" s="14">
        <f>IFERROR(__xludf.DUMMYFUNCTION("""COMPUTED_VALUE"""),1.254E9)</f>
        <v>1254000000</v>
      </c>
      <c r="M1226" s="14" t="str">
        <f>IFERROR(__xludf.DUMMYFUNCTION("""COMPUTED_VALUE"""),"Jordan-Middle East")</f>
        <v>Jordan-Middle East</v>
      </c>
      <c r="N1226" s="14" t="str">
        <f>IFERROR(__xludf.DUMMYFUNCTION("""COMPUTED_VALUE"""),"2002")</f>
        <v>2002</v>
      </c>
      <c r="O1226" s="14">
        <f>IFERROR(__xludf.DUMMYFUNCTION("""COMPUTED_VALUE"""),5.04E8)</f>
        <v>504000000</v>
      </c>
      <c r="P1226" s="15">
        <f>IFERROR(__xludf.DUMMYFUNCTION("ARRAYFORMULA(VLOOKUP(A1226,IMPORTRANGE(""https://docs.google.com/spreadsheets/d/1BuTWp7qHGjWhqrnf-OmePP568O4A5Am9ttzvVdP67zw/edit#gid=771602874"" ,""HUMAN RESOURCES!$A$2:$M$2692""), {2,3,4,5,6,7,8,9,10,11,12,13},0))"),0.031)</f>
        <v>0.031</v>
      </c>
      <c r="Q1226" s="14">
        <f>IFERROR(__xludf.DUMMYFUNCTION("""COMPUTED_VALUE"""),0.022)</f>
        <v>0.022</v>
      </c>
      <c r="R1226" s="14">
        <f>IFERROR(__xludf.DUMMYFUNCTION("""COMPUTED_VALUE"""),74.0)</f>
        <v>74</v>
      </c>
      <c r="S1226" s="14">
        <f>IFERROR(__xludf.DUMMYFUNCTION("""COMPUTED_VALUE"""),71.0)</f>
        <v>71</v>
      </c>
      <c r="T1226" s="14">
        <f>IFERROR(__xludf.DUMMYFUNCTION("""COMPUTED_VALUE"""),0.39)</f>
        <v>0.39</v>
      </c>
      <c r="U1226" s="14">
        <f>IFERROR(__xludf.DUMMYFUNCTION("""COMPUTED_VALUE"""),0.579)</f>
        <v>0.579</v>
      </c>
      <c r="V1226" s="14">
        <f>IFERROR(__xludf.DUMMYFUNCTION("""COMPUTED_VALUE"""),0.031)</f>
        <v>0.031</v>
      </c>
      <c r="W1226" s="14">
        <f>IFERROR(__xludf.DUMMYFUNCTION("""COMPUTED_VALUE"""),5038000.0)</f>
        <v>5038000</v>
      </c>
      <c r="X1226" s="14">
        <f>IFERROR(__xludf.DUMMYFUNCTION("""COMPUTED_VALUE"""),0.804)</f>
        <v>0.804</v>
      </c>
      <c r="Y1226" s="14" t="str">
        <f>IFERROR(__xludf.DUMMYFUNCTION("""COMPUTED_VALUE"""),"Jordan-Middle East")</f>
        <v>Jordan-Middle East</v>
      </c>
      <c r="Z1226" s="14" t="str">
        <f>IFERROR(__xludf.DUMMYFUNCTION("""COMPUTED_VALUE"""),"Middle East")</f>
        <v>Middle East</v>
      </c>
      <c r="AA1226" s="14" t="str">
        <f>IFERROR(__xludf.DUMMYFUNCTION("""COMPUTED_VALUE"""),"2002")</f>
        <v>2002</v>
      </c>
      <c r="AB1226" s="15" t="str">
        <f>IFERROR(__xludf.DUMMYFUNCTION("ARRAYFORMULA(VLOOKUP(A1226,IMPORTRANGE(""https://docs.google.com/spreadsheets/d/1BuTWp7qHGjWhqrnf-OmePP568O4A5Am9ttzvVdP67zw/edit#gid=1931367683"" ,""ENERGY!$A$2:$F$2692""), {2,3,4,5,6},0))"),"Middle East")</f>
        <v>Middle East</v>
      </c>
      <c r="AC1226" s="14" t="str">
        <f>IFERROR(__xludf.DUMMYFUNCTION("""COMPUTED_VALUE"""),"Jordan-Middle East")</f>
        <v>Jordan-Middle East</v>
      </c>
      <c r="AD1226" s="14" t="str">
        <f>IFERROR(__xludf.DUMMYFUNCTION("""COMPUTED_VALUE"""),"2002")</f>
        <v>2002</v>
      </c>
      <c r="AE1226" s="14">
        <f>IFERROR(__xludf.DUMMYFUNCTION("""COMPUTED_VALUE"""),7105.0)</f>
        <v>7105</v>
      </c>
      <c r="AF1226" s="14">
        <f>IFERROR(__xludf.DUMMYFUNCTION("""COMPUTED_VALUE"""),20821.0)</f>
        <v>20821</v>
      </c>
    </row>
    <row r="1227">
      <c r="A1227" s="12">
        <v>1226.0</v>
      </c>
      <c r="B1227" s="12" t="s">
        <v>173</v>
      </c>
      <c r="C1227" s="5" t="s">
        <v>93</v>
      </c>
      <c r="D1227" s="8"/>
      <c r="E1227" s="11">
        <v>79.0</v>
      </c>
      <c r="F1227" s="8"/>
      <c r="G1227" s="8"/>
      <c r="H1227" s="11">
        <v>0.085</v>
      </c>
      <c r="I1227" s="11">
        <v>0.266</v>
      </c>
      <c r="J1227" s="9" t="s">
        <v>64</v>
      </c>
      <c r="K1227" s="14" t="str">
        <f>IFERROR(__xludf.DUMMYFUNCTION("ARRAYFORMULA(VLOOKUP(A1227,IMPORTRANGE(""https://docs.google.com/spreadsheets/d/1BuTWp7qHGjWhqrnf-OmePP568O4A5Am9ttzvVdP67zw/edit#gid=1603210130"", ""TOURISM!$A$2:$F$2692""), {2,3,4,5,6},0))"),"Middle East")</f>
        <v>Middle East</v>
      </c>
      <c r="L1227" s="14">
        <f>IFERROR(__xludf.DUMMYFUNCTION("""COMPUTED_VALUE"""),1.266E9)</f>
        <v>1266000000</v>
      </c>
      <c r="M1227" s="14" t="str">
        <f>IFERROR(__xludf.DUMMYFUNCTION("""COMPUTED_VALUE"""),"Jordan-Middle East")</f>
        <v>Jordan-Middle East</v>
      </c>
      <c r="N1227" s="14" t="str">
        <f>IFERROR(__xludf.DUMMYFUNCTION("""COMPUTED_VALUE"""),"2003")</f>
        <v>2003</v>
      </c>
      <c r="O1227" s="14">
        <f>IFERROR(__xludf.DUMMYFUNCTION("""COMPUTED_VALUE"""),5.03E8)</f>
        <v>503000000</v>
      </c>
      <c r="P1227" s="15">
        <f>IFERROR(__xludf.DUMMYFUNCTION("ARRAYFORMULA(VLOOKUP(A1227,IMPORTRANGE(""https://docs.google.com/spreadsheets/d/1BuTWp7qHGjWhqrnf-OmePP568O4A5Am9ttzvVdP67zw/edit#gid=771602874"" ,""HUMAN RESOURCES!$A$2:$M$2692""), {2,3,4,5,6,7,8,9,10,11,12,13},0))"),0.03)</f>
        <v>0.03</v>
      </c>
      <c r="Q1227" s="14">
        <f>IFERROR(__xludf.DUMMYFUNCTION("""COMPUTED_VALUE"""),0.022)</f>
        <v>0.022</v>
      </c>
      <c r="R1227" s="14">
        <f>IFERROR(__xludf.DUMMYFUNCTION("""COMPUTED_VALUE"""),74.0)</f>
        <v>74</v>
      </c>
      <c r="S1227" s="14">
        <f>IFERROR(__xludf.DUMMYFUNCTION("""COMPUTED_VALUE"""),71.0)</f>
        <v>71</v>
      </c>
      <c r="T1227" s="14">
        <f>IFERROR(__xludf.DUMMYFUNCTION("""COMPUTED_VALUE"""),0.387)</f>
        <v>0.387</v>
      </c>
      <c r="U1227" s="14">
        <f>IFERROR(__xludf.DUMMYFUNCTION("""COMPUTED_VALUE"""),0.582)</f>
        <v>0.582</v>
      </c>
      <c r="V1227" s="14">
        <f>IFERROR(__xludf.DUMMYFUNCTION("""COMPUTED_VALUE"""),0.031)</f>
        <v>0.031</v>
      </c>
      <c r="W1227" s="14">
        <f>IFERROR(__xludf.DUMMYFUNCTION("""COMPUTED_VALUE"""),5164000.0)</f>
        <v>5164000</v>
      </c>
      <c r="X1227" s="14">
        <f>IFERROR(__xludf.DUMMYFUNCTION("""COMPUTED_VALUE"""),0.806)</f>
        <v>0.806</v>
      </c>
      <c r="Y1227" s="14" t="str">
        <f>IFERROR(__xludf.DUMMYFUNCTION("""COMPUTED_VALUE"""),"Jordan-Middle East")</f>
        <v>Jordan-Middle East</v>
      </c>
      <c r="Z1227" s="14" t="str">
        <f>IFERROR(__xludf.DUMMYFUNCTION("""COMPUTED_VALUE"""),"Middle East")</f>
        <v>Middle East</v>
      </c>
      <c r="AA1227" s="14" t="str">
        <f>IFERROR(__xludf.DUMMYFUNCTION("""COMPUTED_VALUE"""),"2003")</f>
        <v>2003</v>
      </c>
      <c r="AB1227" s="15" t="str">
        <f>IFERROR(__xludf.DUMMYFUNCTION("ARRAYFORMULA(VLOOKUP(A1227,IMPORTRANGE(""https://docs.google.com/spreadsheets/d/1BuTWp7qHGjWhqrnf-OmePP568O4A5Am9ttzvVdP67zw/edit#gid=1931367683"" ,""ENERGY!$A$2:$F$2692""), {2,3,4,5,6},0))"),"Middle East")</f>
        <v>Middle East</v>
      </c>
      <c r="AC1227" s="14" t="str">
        <f>IFERROR(__xludf.DUMMYFUNCTION("""COMPUTED_VALUE"""),"Jordan-Middle East")</f>
        <v>Jordan-Middle East</v>
      </c>
      <c r="AD1227" s="14" t="str">
        <f>IFERROR(__xludf.DUMMYFUNCTION("""COMPUTED_VALUE"""),"2003")</f>
        <v>2003</v>
      </c>
      <c r="AE1227" s="14">
        <f>IFERROR(__xludf.DUMMYFUNCTION("""COMPUTED_VALUE"""),7458.0)</f>
        <v>7458</v>
      </c>
      <c r="AF1227" s="14">
        <f>IFERROR(__xludf.DUMMYFUNCTION("""COMPUTED_VALUE"""),21254.0)</f>
        <v>21254</v>
      </c>
    </row>
    <row r="1228">
      <c r="A1228" s="12">
        <v>1227.0</v>
      </c>
      <c r="B1228" s="12" t="s">
        <v>173</v>
      </c>
      <c r="C1228" s="5" t="s">
        <v>93</v>
      </c>
      <c r="D1228" s="8"/>
      <c r="E1228" s="11">
        <v>26.0</v>
      </c>
      <c r="F1228" s="8"/>
      <c r="G1228" s="8"/>
      <c r="H1228" s="11">
        <v>0.117</v>
      </c>
      <c r="I1228" s="11">
        <v>0.319</v>
      </c>
      <c r="J1228" s="9" t="s">
        <v>65</v>
      </c>
      <c r="K1228" s="14" t="str">
        <f>IFERROR(__xludf.DUMMYFUNCTION("ARRAYFORMULA(VLOOKUP(A1228,IMPORTRANGE(""https://docs.google.com/spreadsheets/d/1BuTWp7qHGjWhqrnf-OmePP568O4A5Am9ttzvVdP67zw/edit#gid=1603210130"", ""TOURISM!$A$2:$F$2692""), {2,3,4,5,6},0))"),"Middle East")</f>
        <v>Middle East</v>
      </c>
      <c r="L1228" s="14">
        <f>IFERROR(__xludf.DUMMYFUNCTION("""COMPUTED_VALUE"""),1.621E9)</f>
        <v>1621000000</v>
      </c>
      <c r="M1228" s="14" t="str">
        <f>IFERROR(__xludf.DUMMYFUNCTION("""COMPUTED_VALUE"""),"Jordan-Middle East")</f>
        <v>Jordan-Middle East</v>
      </c>
      <c r="N1228" s="14" t="str">
        <f>IFERROR(__xludf.DUMMYFUNCTION("""COMPUTED_VALUE"""),"2004")</f>
        <v>2004</v>
      </c>
      <c r="O1228" s="14">
        <f>IFERROR(__xludf.DUMMYFUNCTION("""COMPUTED_VALUE"""),5.85E8)</f>
        <v>585000000</v>
      </c>
      <c r="P1228" s="15">
        <f>IFERROR(__xludf.DUMMYFUNCTION("ARRAYFORMULA(VLOOKUP(A1228,IMPORTRANGE(""https://docs.google.com/spreadsheets/d/1BuTWp7qHGjWhqrnf-OmePP568O4A5Am9ttzvVdP67zw/edit#gid=771602874"" ,""HUMAN RESOURCES!$A$2:$M$2692""), {2,3,4,5,6,7,8,9,10,11,12,13},0))"),0.03)</f>
        <v>0.03</v>
      </c>
      <c r="Q1228" s="14">
        <f>IFERROR(__xludf.DUMMYFUNCTION("""COMPUTED_VALUE"""),0.021)</f>
        <v>0.021</v>
      </c>
      <c r="R1228" s="14">
        <f>IFERROR(__xludf.DUMMYFUNCTION("""COMPUTED_VALUE"""),74.0)</f>
        <v>74</v>
      </c>
      <c r="S1228" s="14">
        <f>IFERROR(__xludf.DUMMYFUNCTION("""COMPUTED_VALUE"""),71.0)</f>
        <v>71</v>
      </c>
      <c r="T1228" s="14">
        <f>IFERROR(__xludf.DUMMYFUNCTION("""COMPUTED_VALUE"""),0.383)</f>
        <v>0.383</v>
      </c>
      <c r="U1228" s="14">
        <f>IFERROR(__xludf.DUMMYFUNCTION("""COMPUTED_VALUE"""),0.585)</f>
        <v>0.585</v>
      </c>
      <c r="V1228" s="14">
        <f>IFERROR(__xludf.DUMMYFUNCTION("""COMPUTED_VALUE"""),0.032)</f>
        <v>0.032</v>
      </c>
      <c r="W1228" s="14">
        <f>IFERROR(__xludf.DUMMYFUNCTION("""COMPUTED_VALUE"""),5290000.0)</f>
        <v>5290000</v>
      </c>
      <c r="X1228" s="14">
        <f>IFERROR(__xludf.DUMMYFUNCTION("""COMPUTED_VALUE"""),0.809)</f>
        <v>0.809</v>
      </c>
      <c r="Y1228" s="14" t="str">
        <f>IFERROR(__xludf.DUMMYFUNCTION("""COMPUTED_VALUE"""),"Jordan-Middle East")</f>
        <v>Jordan-Middle East</v>
      </c>
      <c r="Z1228" s="14" t="str">
        <f>IFERROR(__xludf.DUMMYFUNCTION("""COMPUTED_VALUE"""),"Middle East")</f>
        <v>Middle East</v>
      </c>
      <c r="AA1228" s="14" t="str">
        <f>IFERROR(__xludf.DUMMYFUNCTION("""COMPUTED_VALUE"""),"2004")</f>
        <v>2004</v>
      </c>
      <c r="AB1228" s="15" t="str">
        <f>IFERROR(__xludf.DUMMYFUNCTION("ARRAYFORMULA(VLOOKUP(A1228,IMPORTRANGE(""https://docs.google.com/spreadsheets/d/1BuTWp7qHGjWhqrnf-OmePP568O4A5Am9ttzvVdP67zw/edit#gid=1931367683"" ,""ENERGY!$A$2:$F$2692""), {2,3,4,5,6},0))"),"Middle East")</f>
        <v>Middle East</v>
      </c>
      <c r="AC1228" s="14" t="str">
        <f>IFERROR(__xludf.DUMMYFUNCTION("""COMPUTED_VALUE"""),"Jordan-Middle East")</f>
        <v>Jordan-Middle East</v>
      </c>
      <c r="AD1228" s="14" t="str">
        <f>IFERROR(__xludf.DUMMYFUNCTION("""COMPUTED_VALUE"""),"2004")</f>
        <v>2004</v>
      </c>
      <c r="AE1228" s="14">
        <f>IFERROR(__xludf.DUMMYFUNCTION("""COMPUTED_VALUE"""),7069.0)</f>
        <v>7069</v>
      </c>
      <c r="AF1228" s="14">
        <f>IFERROR(__xludf.DUMMYFUNCTION("""COMPUTED_VALUE"""),20763.0)</f>
        <v>20763</v>
      </c>
    </row>
    <row r="1229">
      <c r="A1229" s="12">
        <v>1228.0</v>
      </c>
      <c r="B1229" s="12" t="s">
        <v>173</v>
      </c>
      <c r="C1229" s="5" t="s">
        <v>93</v>
      </c>
      <c r="D1229" s="11">
        <v>0.311</v>
      </c>
      <c r="E1229" s="11">
        <v>16.0</v>
      </c>
      <c r="F1229" s="8"/>
      <c r="G1229" s="11">
        <v>136.0</v>
      </c>
      <c r="H1229" s="11">
        <v>0.129</v>
      </c>
      <c r="I1229" s="11">
        <v>0.599</v>
      </c>
      <c r="J1229" s="9" t="s">
        <v>66</v>
      </c>
      <c r="K1229" s="14" t="str">
        <f>IFERROR(__xludf.DUMMYFUNCTION("ARRAYFORMULA(VLOOKUP(A1229,IMPORTRANGE(""https://docs.google.com/spreadsheets/d/1BuTWp7qHGjWhqrnf-OmePP568O4A5Am9ttzvVdP67zw/edit#gid=1603210130"", ""TOURISM!$A$2:$F$2692""), {2,3,4,5,6},0))"),"Middle East")</f>
        <v>Middle East</v>
      </c>
      <c r="L1229" s="14">
        <f>IFERROR(__xludf.DUMMYFUNCTION("""COMPUTED_VALUE"""),1.759E9)</f>
        <v>1759000000</v>
      </c>
      <c r="M1229" s="14" t="str">
        <f>IFERROR(__xludf.DUMMYFUNCTION("""COMPUTED_VALUE"""),"Jordan-Middle East")</f>
        <v>Jordan-Middle East</v>
      </c>
      <c r="N1229" s="14" t="str">
        <f>IFERROR(__xludf.DUMMYFUNCTION("""COMPUTED_VALUE"""),"2005")</f>
        <v>2005</v>
      </c>
      <c r="O1229" s="14">
        <f>IFERROR(__xludf.DUMMYFUNCTION("""COMPUTED_VALUE"""),6.53E8)</f>
        <v>653000000</v>
      </c>
      <c r="P1229" s="15">
        <f>IFERROR(__xludf.DUMMYFUNCTION("ARRAYFORMULA(VLOOKUP(A1229,IMPORTRANGE(""https://docs.google.com/spreadsheets/d/1BuTWp7qHGjWhqrnf-OmePP568O4A5Am9ttzvVdP67zw/edit#gid=771602874"" ,""HUMAN RESOURCES!$A$2:$M$2692""), {2,3,4,5,6,7,8,9,10,11,12,13},0))"),0.03)</f>
        <v>0.03</v>
      </c>
      <c r="Q1229" s="14">
        <f>IFERROR(__xludf.DUMMYFUNCTION("""COMPUTED_VALUE"""),0.02)</f>
        <v>0.02</v>
      </c>
      <c r="R1229" s="14">
        <f>IFERROR(__xludf.DUMMYFUNCTION("""COMPUTED_VALUE"""),74.0)</f>
        <v>74</v>
      </c>
      <c r="S1229" s="14">
        <f>IFERROR(__xludf.DUMMYFUNCTION("""COMPUTED_VALUE"""),71.0)</f>
        <v>71</v>
      </c>
      <c r="T1229" s="14">
        <f>IFERROR(__xludf.DUMMYFUNCTION("""COMPUTED_VALUE"""),0.379)</f>
        <v>0.379</v>
      </c>
      <c r="U1229" s="14">
        <f>IFERROR(__xludf.DUMMYFUNCTION("""COMPUTED_VALUE"""),0.589)</f>
        <v>0.589</v>
      </c>
      <c r="V1229" s="14">
        <f>IFERROR(__xludf.DUMMYFUNCTION("""COMPUTED_VALUE"""),0.032)</f>
        <v>0.032</v>
      </c>
      <c r="W1229" s="14">
        <f>IFERROR(__xludf.DUMMYFUNCTION("""COMPUTED_VALUE"""),5411000.0)</f>
        <v>5411000</v>
      </c>
      <c r="X1229" s="14">
        <f>IFERROR(__xludf.DUMMYFUNCTION("""COMPUTED_VALUE"""),0.812)</f>
        <v>0.812</v>
      </c>
      <c r="Y1229" s="14" t="str">
        <f>IFERROR(__xludf.DUMMYFUNCTION("""COMPUTED_VALUE"""),"Jordan-Middle East")</f>
        <v>Jordan-Middle East</v>
      </c>
      <c r="Z1229" s="14" t="str">
        <f>IFERROR(__xludf.DUMMYFUNCTION("""COMPUTED_VALUE"""),"Middle East")</f>
        <v>Middle East</v>
      </c>
      <c r="AA1229" s="14" t="str">
        <f>IFERROR(__xludf.DUMMYFUNCTION("""COMPUTED_VALUE"""),"2005")</f>
        <v>2005</v>
      </c>
      <c r="AB1229" s="15" t="str">
        <f>IFERROR(__xludf.DUMMYFUNCTION("ARRAYFORMULA(VLOOKUP(A1229,IMPORTRANGE(""https://docs.google.com/spreadsheets/d/1BuTWp7qHGjWhqrnf-OmePP568O4A5Am9ttzvVdP67zw/edit#gid=1931367683"" ,""ENERGY!$A$2:$F$2692""), {2,3,4,5,6},0))"),"Middle East")</f>
        <v>Middle East</v>
      </c>
      <c r="AC1229" s="14" t="str">
        <f>IFERROR(__xludf.DUMMYFUNCTION("""COMPUTED_VALUE"""),"Jordan-Middle East")</f>
        <v>Jordan-Middle East</v>
      </c>
      <c r="AD1229" s="14" t="str">
        <f>IFERROR(__xludf.DUMMYFUNCTION("""COMPUTED_VALUE"""),"2007")</f>
        <v>2007</v>
      </c>
      <c r="AE1229" s="14">
        <f>IFERROR(__xludf.DUMMYFUNCTION("""COMPUTED_VALUE"""),7209.0)</f>
        <v>7209</v>
      </c>
      <c r="AF1229" s="14">
        <f>IFERROR(__xludf.DUMMYFUNCTION("""COMPUTED_VALUE"""),21540.0)</f>
        <v>21540</v>
      </c>
    </row>
    <row r="1230">
      <c r="A1230" s="12">
        <v>1229.0</v>
      </c>
      <c r="B1230" s="12" t="s">
        <v>173</v>
      </c>
      <c r="C1230" s="5" t="s">
        <v>93</v>
      </c>
      <c r="D1230" s="11">
        <v>0.311</v>
      </c>
      <c r="E1230" s="11">
        <v>16.0</v>
      </c>
      <c r="F1230" s="8"/>
      <c r="G1230" s="11">
        <v>136.0</v>
      </c>
      <c r="H1230" s="11">
        <v>0.139</v>
      </c>
      <c r="I1230" s="11">
        <v>0.8</v>
      </c>
      <c r="J1230" s="9" t="s">
        <v>67</v>
      </c>
      <c r="K1230" s="14" t="str">
        <f>IFERROR(__xludf.DUMMYFUNCTION("ARRAYFORMULA(VLOOKUP(A1230,IMPORTRANGE(""https://docs.google.com/spreadsheets/d/1BuTWp7qHGjWhqrnf-OmePP568O4A5Am9ttzvVdP67zw/edit#gid=1603210130"", ""TOURISM!$A$2:$F$2692""), {2,3,4,5,6},0))"),"Middle East")</f>
        <v>Middle East</v>
      </c>
      <c r="L1230" s="14">
        <f>IFERROR(__xludf.DUMMYFUNCTION("""COMPUTED_VALUE"""),2.426E9)</f>
        <v>2426000000</v>
      </c>
      <c r="M1230" s="14" t="str">
        <f>IFERROR(__xludf.DUMMYFUNCTION("""COMPUTED_VALUE"""),"Jordan-Middle East")</f>
        <v>Jordan-Middle East</v>
      </c>
      <c r="N1230" s="14" t="str">
        <f>IFERROR(__xludf.DUMMYFUNCTION("""COMPUTED_VALUE"""),"2006")</f>
        <v>2006</v>
      </c>
      <c r="O1230" s="14">
        <f>IFERROR(__xludf.DUMMYFUNCTION("""COMPUTED_VALUE"""),9.56E8)</f>
        <v>956000000</v>
      </c>
      <c r="P1230" s="15">
        <f>IFERROR(__xludf.DUMMYFUNCTION("ARRAYFORMULA(VLOOKUP(A1230,IMPORTRANGE(""https://docs.google.com/spreadsheets/d/1BuTWp7qHGjWhqrnf-OmePP568O4A5Am9ttzvVdP67zw/edit#gid=771602874"" ,""HUMAN RESOURCES!$A$2:$M$2692""), {2,3,4,5,6,7,8,9,10,11,12,13},0))"),0.03)</f>
        <v>0.03</v>
      </c>
      <c r="Q1230" s="14">
        <f>IFERROR(__xludf.DUMMYFUNCTION("""COMPUTED_VALUE"""),0.02)</f>
        <v>0.02</v>
      </c>
      <c r="R1230" s="14">
        <f>IFERROR(__xludf.DUMMYFUNCTION("""COMPUTED_VALUE"""),74.0)</f>
        <v>74</v>
      </c>
      <c r="S1230" s="14">
        <f>IFERROR(__xludf.DUMMYFUNCTION("""COMPUTED_VALUE"""),71.0)</f>
        <v>71</v>
      </c>
      <c r="T1230" s="14">
        <f>IFERROR(__xludf.DUMMYFUNCTION("""COMPUTED_VALUE"""),0.374)</f>
        <v>0.374</v>
      </c>
      <c r="U1230" s="14">
        <f>IFERROR(__xludf.DUMMYFUNCTION("""COMPUTED_VALUE"""),0.594)</f>
        <v>0.594</v>
      </c>
      <c r="V1230" s="14">
        <f>IFERROR(__xludf.DUMMYFUNCTION("""COMPUTED_VALUE"""),0.032)</f>
        <v>0.032</v>
      </c>
      <c r="W1230" s="14">
        <f>IFERROR(__xludf.DUMMYFUNCTION("""COMPUTED_VALUE"""),5536000.0)</f>
        <v>5536000</v>
      </c>
      <c r="X1230" s="14">
        <f>IFERROR(__xludf.DUMMYFUNCTION("""COMPUTED_VALUE"""),0.814)</f>
        <v>0.814</v>
      </c>
      <c r="Y1230" s="14" t="str">
        <f>IFERROR(__xludf.DUMMYFUNCTION("""COMPUTED_VALUE"""),"Jordan-Middle East")</f>
        <v>Jordan-Middle East</v>
      </c>
      <c r="Z1230" s="14" t="str">
        <f>IFERROR(__xludf.DUMMYFUNCTION("""COMPUTED_VALUE"""),"Middle East")</f>
        <v>Middle East</v>
      </c>
      <c r="AA1230" s="14" t="str">
        <f>IFERROR(__xludf.DUMMYFUNCTION("""COMPUTED_VALUE"""),"2006")</f>
        <v>2006</v>
      </c>
      <c r="AB1230" s="15" t="str">
        <f>IFERROR(__xludf.DUMMYFUNCTION("ARRAYFORMULA(VLOOKUP(A1230,IMPORTRANGE(""https://docs.google.com/spreadsheets/d/1BuTWp7qHGjWhqrnf-OmePP568O4A5Am9ttzvVdP67zw/edit#gid=1931367683"" ,""ENERGY!$A$2:$F$2692""), {2,3,4,5,6},0))"),"Middle East")</f>
        <v>Middle East</v>
      </c>
      <c r="AC1230" s="14" t="str">
        <f>IFERROR(__xludf.DUMMYFUNCTION("""COMPUTED_VALUE"""),"Jordan-Middle East")</f>
        <v>Jordan-Middle East</v>
      </c>
      <c r="AD1230" s="14" t="str">
        <f>IFERROR(__xludf.DUMMYFUNCTION("""COMPUTED_VALUE"""),"2011")</f>
        <v>2011</v>
      </c>
      <c r="AE1230" s="14">
        <f>IFERROR(__xludf.DUMMYFUNCTION("""COMPUTED_VALUE"""),6853.0)</f>
        <v>6853</v>
      </c>
      <c r="AF1230" s="14">
        <f>IFERROR(__xludf.DUMMYFUNCTION("""COMPUTED_VALUE"""),20733.0)</f>
        <v>20733</v>
      </c>
    </row>
    <row r="1231">
      <c r="A1231" s="12">
        <v>1230.0</v>
      </c>
      <c r="B1231" s="12" t="s">
        <v>173</v>
      </c>
      <c r="C1231" s="5" t="s">
        <v>93</v>
      </c>
      <c r="D1231" s="11">
        <v>0.311</v>
      </c>
      <c r="E1231" s="11">
        <v>13.0</v>
      </c>
      <c r="F1231" s="8"/>
      <c r="G1231" s="11">
        <v>136.0</v>
      </c>
      <c r="H1231" s="11">
        <v>0.2</v>
      </c>
      <c r="I1231" s="11">
        <v>0.844</v>
      </c>
      <c r="J1231" s="9" t="s">
        <v>68</v>
      </c>
      <c r="K1231" s="14" t="str">
        <f>IFERROR(__xludf.DUMMYFUNCTION("ARRAYFORMULA(VLOOKUP(A1231,IMPORTRANGE(""https://docs.google.com/spreadsheets/d/1BuTWp7qHGjWhqrnf-OmePP568O4A5Am9ttzvVdP67zw/edit#gid=1603210130"", ""TOURISM!$A$2:$F$2692""), {2,3,4,5,6},0))"),"Middle East")</f>
        <v>Middle East</v>
      </c>
      <c r="L1231" s="14">
        <f>IFERROR(__xludf.DUMMYFUNCTION("""COMPUTED_VALUE"""),2.754E9)</f>
        <v>2754000000</v>
      </c>
      <c r="M1231" s="14" t="str">
        <f>IFERROR(__xludf.DUMMYFUNCTION("""COMPUTED_VALUE"""),"Jordan-Middle East")</f>
        <v>Jordan-Middle East</v>
      </c>
      <c r="N1231" s="14" t="str">
        <f>IFERROR(__xludf.DUMMYFUNCTION("""COMPUTED_VALUE"""),"2007")</f>
        <v>2007</v>
      </c>
      <c r="O1231" s="14">
        <f>IFERROR(__xludf.DUMMYFUNCTION("""COMPUTED_VALUE"""),1.024E9)</f>
        <v>1024000000</v>
      </c>
      <c r="P1231" s="15">
        <f>IFERROR(__xludf.DUMMYFUNCTION("ARRAYFORMULA(VLOOKUP(A1231,IMPORTRANGE(""https://docs.google.com/spreadsheets/d/1BuTWp7qHGjWhqrnf-OmePP568O4A5Am9ttzvVdP67zw/edit#gid=771602874"" ,""HUMAN RESOURCES!$A$2:$M$2692""), {2,3,4,5,6,7,8,9,10,11,12,13},0))"),0.03)</f>
        <v>0.03</v>
      </c>
      <c r="Q1231" s="14">
        <f>IFERROR(__xludf.DUMMYFUNCTION("""COMPUTED_VALUE"""),0.019)</f>
        <v>0.019</v>
      </c>
      <c r="R1231" s="14">
        <f>IFERROR(__xludf.DUMMYFUNCTION("""COMPUTED_VALUE"""),75.0)</f>
        <v>75</v>
      </c>
      <c r="S1231" s="14">
        <f>IFERROR(__xludf.DUMMYFUNCTION("""COMPUTED_VALUE"""),71.0)</f>
        <v>71</v>
      </c>
      <c r="T1231" s="14">
        <f>IFERROR(__xludf.DUMMYFUNCTION("""COMPUTED_VALUE"""),0.368)</f>
        <v>0.368</v>
      </c>
      <c r="U1231" s="14">
        <f>IFERROR(__xludf.DUMMYFUNCTION("""COMPUTED_VALUE"""),0.6)</f>
        <v>0.6</v>
      </c>
      <c r="V1231" s="14">
        <f>IFERROR(__xludf.DUMMYFUNCTION("""COMPUTED_VALUE"""),0.033)</f>
        <v>0.033</v>
      </c>
      <c r="W1231" s="14">
        <f>IFERROR(__xludf.DUMMYFUNCTION("""COMPUTED_VALUE"""),5661000.0)</f>
        <v>5661000</v>
      </c>
      <c r="X1231" s="14">
        <f>IFERROR(__xludf.DUMMYFUNCTION("""COMPUTED_VALUE"""),0.817)</f>
        <v>0.817</v>
      </c>
      <c r="Y1231" s="14" t="str">
        <f>IFERROR(__xludf.DUMMYFUNCTION("""COMPUTED_VALUE"""),"Jordan-Middle East")</f>
        <v>Jordan-Middle East</v>
      </c>
      <c r="Z1231" s="14" t="str">
        <f>IFERROR(__xludf.DUMMYFUNCTION("""COMPUTED_VALUE"""),"Middle East")</f>
        <v>Middle East</v>
      </c>
      <c r="AA1231" s="14" t="str">
        <f>IFERROR(__xludf.DUMMYFUNCTION("""COMPUTED_VALUE"""),"2007")</f>
        <v>2007</v>
      </c>
      <c r="AB1231" s="15" t="str">
        <f>IFERROR(__xludf.DUMMYFUNCTION("ARRAYFORMULA(VLOOKUP(A1231,IMPORTRANGE(""https://docs.google.com/spreadsheets/d/1BuTWp7qHGjWhqrnf-OmePP568O4A5Am9ttzvVdP67zw/edit#gid=1931367683"" ,""ENERGY!$A$2:$F$2692""), {2,3,4,5,6},0))"),"Middle East")</f>
        <v>Middle East</v>
      </c>
      <c r="AC1231" s="14" t="str">
        <f>IFERROR(__xludf.DUMMYFUNCTION("""COMPUTED_VALUE"""),"Jordan-Middle East")</f>
        <v>Jordan-Middle East</v>
      </c>
      <c r="AD1231" s="14" t="str">
        <f>IFERROR(__xludf.DUMMYFUNCTION("""COMPUTED_VALUE"""),"2008")</f>
        <v>2008</v>
      </c>
      <c r="AE1231" s="14">
        <f>IFERROR(__xludf.DUMMYFUNCTION("""COMPUTED_VALUE"""),6677.0)</f>
        <v>6677</v>
      </c>
      <c r="AF1231" s="14">
        <f>IFERROR(__xludf.DUMMYFUNCTION("""COMPUTED_VALUE"""),21027.0)</f>
        <v>21027</v>
      </c>
    </row>
    <row r="1232">
      <c r="A1232" s="12">
        <v>1231.0</v>
      </c>
      <c r="B1232" s="12" t="s">
        <v>173</v>
      </c>
      <c r="C1232" s="5" t="s">
        <v>93</v>
      </c>
      <c r="D1232" s="11">
        <v>0.311</v>
      </c>
      <c r="E1232" s="11">
        <v>13.0</v>
      </c>
      <c r="F1232" s="8"/>
      <c r="G1232" s="11">
        <v>136.0</v>
      </c>
      <c r="H1232" s="11">
        <v>0.23</v>
      </c>
      <c r="I1232" s="11">
        <v>0.899</v>
      </c>
      <c r="J1232" s="9" t="s">
        <v>69</v>
      </c>
      <c r="K1232" s="14" t="str">
        <f>IFERROR(__xludf.DUMMYFUNCTION("ARRAYFORMULA(VLOOKUP(A1232,IMPORTRANGE(""https://docs.google.com/spreadsheets/d/1BuTWp7qHGjWhqrnf-OmePP568O4A5Am9ttzvVdP67zw/edit#gid=1603210130"", ""TOURISM!$A$2:$F$2692""), {2,3,4,5,6},0))"),"Middle East")</f>
        <v>Middle East</v>
      </c>
      <c r="L1232" s="14">
        <f>IFERROR(__xludf.DUMMYFUNCTION("""COMPUTED_VALUE"""),3.539E9)</f>
        <v>3539000000</v>
      </c>
      <c r="M1232" s="14" t="str">
        <f>IFERROR(__xludf.DUMMYFUNCTION("""COMPUTED_VALUE"""),"Jordan-Middle East")</f>
        <v>Jordan-Middle East</v>
      </c>
      <c r="N1232" s="14" t="str">
        <f>IFERROR(__xludf.DUMMYFUNCTION("""COMPUTED_VALUE"""),"2008")</f>
        <v>2008</v>
      </c>
      <c r="O1232" s="14">
        <f>IFERROR(__xludf.DUMMYFUNCTION("""COMPUTED_VALUE"""),1.14E9)</f>
        <v>1140000000</v>
      </c>
      <c r="P1232" s="15">
        <f>IFERROR(__xludf.DUMMYFUNCTION("ARRAYFORMULA(VLOOKUP(A1232,IMPORTRANGE(""https://docs.google.com/spreadsheets/d/1BuTWp7qHGjWhqrnf-OmePP568O4A5Am9ttzvVdP67zw/edit#gid=771602874"" ,""HUMAN RESOURCES!$A$2:$M$2692""), {2,3,4,5,6,7,8,9,10,11,12,13},0))"),0.03)</f>
        <v>0.03</v>
      </c>
      <c r="Q1232" s="14">
        <f>IFERROR(__xludf.DUMMYFUNCTION("""COMPUTED_VALUE"""),0.019)</f>
        <v>0.019</v>
      </c>
      <c r="R1232" s="14">
        <f>IFERROR(__xludf.DUMMYFUNCTION("""COMPUTED_VALUE"""),75.0)</f>
        <v>75</v>
      </c>
      <c r="S1232" s="14">
        <f>IFERROR(__xludf.DUMMYFUNCTION("""COMPUTED_VALUE"""),72.0)</f>
        <v>72</v>
      </c>
      <c r="T1232" s="14">
        <f>IFERROR(__xludf.DUMMYFUNCTION("""COMPUTED_VALUE"""),0.362)</f>
        <v>0.362</v>
      </c>
      <c r="U1232" s="14">
        <f>IFERROR(__xludf.DUMMYFUNCTION("""COMPUTED_VALUE"""),0.605)</f>
        <v>0.605</v>
      </c>
      <c r="V1232" s="14">
        <f>IFERROR(__xludf.DUMMYFUNCTION("""COMPUTED_VALUE"""),0.033)</f>
        <v>0.033</v>
      </c>
      <c r="W1232" s="14">
        <f>IFERROR(__xludf.DUMMYFUNCTION("""COMPUTED_VALUE"""),5786000.0)</f>
        <v>5786000</v>
      </c>
      <c r="X1232" s="14">
        <f>IFERROR(__xludf.DUMMYFUNCTION("""COMPUTED_VALUE"""),0.82)</f>
        <v>0.82</v>
      </c>
      <c r="Y1232" s="14" t="str">
        <f>IFERROR(__xludf.DUMMYFUNCTION("""COMPUTED_VALUE"""),"Jordan-Middle East")</f>
        <v>Jordan-Middle East</v>
      </c>
      <c r="Z1232" s="14" t="str">
        <f>IFERROR(__xludf.DUMMYFUNCTION("""COMPUTED_VALUE"""),"Middle East")</f>
        <v>Middle East</v>
      </c>
      <c r="AA1232" s="14" t="str">
        <f>IFERROR(__xludf.DUMMYFUNCTION("""COMPUTED_VALUE"""),"2008")</f>
        <v>2008</v>
      </c>
      <c r="AB1232" s="15" t="str">
        <f>IFERROR(__xludf.DUMMYFUNCTION("ARRAYFORMULA(VLOOKUP(A1232,IMPORTRANGE(""https://docs.google.com/spreadsheets/d/1BuTWp7qHGjWhqrnf-OmePP568O4A5Am9ttzvVdP67zw/edit#gid=1931367683"" ,""ENERGY!$A$2:$F$2692""), {2,3,4,5,6},0))"),"Middle East")</f>
        <v>Middle East</v>
      </c>
      <c r="AC1232" s="14" t="str">
        <f>IFERROR(__xludf.DUMMYFUNCTION("""COMPUTED_VALUE"""),"Jordan-Middle East")</f>
        <v>Jordan-Middle East</v>
      </c>
      <c r="AD1232" s="14" t="str">
        <f>IFERROR(__xludf.DUMMYFUNCTION("""COMPUTED_VALUE"""),"2006")</f>
        <v>2006</v>
      </c>
      <c r="AE1232" s="14">
        <f>IFERROR(__xludf.DUMMYFUNCTION("""COMPUTED_VALUE"""),6219.0)</f>
        <v>6219</v>
      </c>
      <c r="AF1232" s="14">
        <f>IFERROR(__xludf.DUMMYFUNCTION("""COMPUTED_VALUE"""),19241.0)</f>
        <v>19241</v>
      </c>
    </row>
    <row r="1233">
      <c r="A1233" s="12">
        <v>1232.0</v>
      </c>
      <c r="B1233" s="12" t="s">
        <v>173</v>
      </c>
      <c r="C1233" s="5" t="s">
        <v>93</v>
      </c>
      <c r="D1233" s="11">
        <v>0.311</v>
      </c>
      <c r="E1233" s="11">
        <v>12.0</v>
      </c>
      <c r="F1233" s="8"/>
      <c r="G1233" s="11">
        <v>136.0</v>
      </c>
      <c r="H1233" s="11">
        <v>0.26</v>
      </c>
      <c r="I1233" s="11">
        <v>0.973</v>
      </c>
      <c r="J1233" s="9" t="s">
        <v>70</v>
      </c>
      <c r="K1233" s="14" t="str">
        <f>IFERROR(__xludf.DUMMYFUNCTION("ARRAYFORMULA(VLOOKUP(A1233,IMPORTRANGE(""https://docs.google.com/spreadsheets/d/1BuTWp7qHGjWhqrnf-OmePP568O4A5Am9ttzvVdP67zw/edit#gid=1603210130"", ""TOURISM!$A$2:$F$2692""), {2,3,4,5,6},0))"),"Middle East")</f>
        <v>Middle East</v>
      </c>
      <c r="L1233" s="14">
        <f>IFERROR(__xludf.DUMMYFUNCTION("""COMPUTED_VALUE"""),3.472E9)</f>
        <v>3472000000</v>
      </c>
      <c r="M1233" s="14" t="str">
        <f>IFERROR(__xludf.DUMMYFUNCTION("""COMPUTED_VALUE"""),"Jordan-Middle East")</f>
        <v>Jordan-Middle East</v>
      </c>
      <c r="N1233" s="14" t="str">
        <f>IFERROR(__xludf.DUMMYFUNCTION("""COMPUTED_VALUE"""),"2009")</f>
        <v>2009</v>
      </c>
      <c r="O1233" s="14">
        <f>IFERROR(__xludf.DUMMYFUNCTION("""COMPUTED_VALUE"""),1.202E9)</f>
        <v>1202000000</v>
      </c>
      <c r="P1233" s="15">
        <f>IFERROR(__xludf.DUMMYFUNCTION("ARRAYFORMULA(VLOOKUP(A1233,IMPORTRANGE(""https://docs.google.com/spreadsheets/d/1BuTWp7qHGjWhqrnf-OmePP568O4A5Am9ttzvVdP67zw/edit#gid=771602874"" ,""HUMAN RESOURCES!$A$2:$M$2692""), {2,3,4,5,6,7,8,9,10,11,12,13},0))"),0.029)</f>
        <v>0.029</v>
      </c>
      <c r="Q1233" s="14">
        <f>IFERROR(__xludf.DUMMYFUNCTION("""COMPUTED_VALUE"""),0.018)</f>
        <v>0.018</v>
      </c>
      <c r="R1233" s="14">
        <f>IFERROR(__xludf.DUMMYFUNCTION("""COMPUTED_VALUE"""),75.0)</f>
        <v>75</v>
      </c>
      <c r="S1233" s="14">
        <f>IFERROR(__xludf.DUMMYFUNCTION("""COMPUTED_VALUE"""),72.0)</f>
        <v>72</v>
      </c>
      <c r="T1233" s="14">
        <f>IFERROR(__xludf.DUMMYFUNCTION("""COMPUTED_VALUE"""),0.356)</f>
        <v>0.356</v>
      </c>
      <c r="U1233" s="14">
        <f>IFERROR(__xludf.DUMMYFUNCTION("""COMPUTED_VALUE"""),0.61)</f>
        <v>0.61</v>
      </c>
      <c r="V1233" s="14">
        <f>IFERROR(__xludf.DUMMYFUNCTION("""COMPUTED_VALUE"""),0.034)</f>
        <v>0.034</v>
      </c>
      <c r="W1233" s="14">
        <f>IFERROR(__xludf.DUMMYFUNCTION("""COMPUTED_VALUE"""),5915000.0)</f>
        <v>5915000</v>
      </c>
      <c r="X1233" s="14">
        <f>IFERROR(__xludf.DUMMYFUNCTION("""COMPUTED_VALUE"""),0.822)</f>
        <v>0.822</v>
      </c>
      <c r="Y1233" s="14" t="str">
        <f>IFERROR(__xludf.DUMMYFUNCTION("""COMPUTED_VALUE"""),"Jordan-Middle East")</f>
        <v>Jordan-Middle East</v>
      </c>
      <c r="Z1233" s="14" t="str">
        <f>IFERROR(__xludf.DUMMYFUNCTION("""COMPUTED_VALUE"""),"Middle East")</f>
        <v>Middle East</v>
      </c>
      <c r="AA1233" s="14" t="str">
        <f>IFERROR(__xludf.DUMMYFUNCTION("""COMPUTED_VALUE"""),"2009")</f>
        <v>2009</v>
      </c>
      <c r="AB1233" s="15" t="str">
        <f>IFERROR(__xludf.DUMMYFUNCTION("ARRAYFORMULA(VLOOKUP(A1233,IMPORTRANGE(""https://docs.google.com/spreadsheets/d/1BuTWp7qHGjWhqrnf-OmePP568O4A5Am9ttzvVdP67zw/edit#gid=1931367683"" ,""ENERGY!$A$2:$F$2692""), {2,3,4,5,6},0))"),"Middle East")</f>
        <v>Middle East</v>
      </c>
      <c r="AC1233" s="14" t="str">
        <f>IFERROR(__xludf.DUMMYFUNCTION("""COMPUTED_VALUE"""),"Jordan-Middle East")</f>
        <v>Jordan-Middle East</v>
      </c>
      <c r="AD1233" s="14" t="str">
        <f>IFERROR(__xludf.DUMMYFUNCTION("""COMPUTED_VALUE"""),"2010")</f>
        <v>2010</v>
      </c>
      <c r="AE1233" s="14">
        <f>IFERROR(__xludf.DUMMYFUNCTION("""COMPUTED_VALUE"""),5176.0)</f>
        <v>5176</v>
      </c>
      <c r="AF1233" s="14">
        <f>IFERROR(__xludf.DUMMYFUNCTION("""COMPUTED_VALUE"""),17470.0)</f>
        <v>17470</v>
      </c>
    </row>
    <row r="1234">
      <c r="A1234" s="12">
        <v>1233.0</v>
      </c>
      <c r="B1234" s="12" t="s">
        <v>173</v>
      </c>
      <c r="C1234" s="5" t="s">
        <v>93</v>
      </c>
      <c r="D1234" s="11">
        <v>0.312</v>
      </c>
      <c r="E1234" s="11">
        <v>12.0</v>
      </c>
      <c r="F1234" s="8"/>
      <c r="G1234" s="11">
        <v>136.0</v>
      </c>
      <c r="H1234" s="11">
        <v>0.272</v>
      </c>
      <c r="I1234" s="11">
        <v>1.026</v>
      </c>
      <c r="J1234" s="9" t="s">
        <v>71</v>
      </c>
      <c r="K1234" s="14" t="str">
        <f>IFERROR(__xludf.DUMMYFUNCTION("ARRAYFORMULA(VLOOKUP(A1234,IMPORTRANGE(""https://docs.google.com/spreadsheets/d/1BuTWp7qHGjWhqrnf-OmePP568O4A5Am9ttzvVdP67zw/edit#gid=1603210130"", ""TOURISM!$A$2:$F$2692""), {2,3,4,5,6},0))"),"Middle East")</f>
        <v>Middle East</v>
      </c>
      <c r="L1234" s="14">
        <f>IFERROR(__xludf.DUMMYFUNCTION("""COMPUTED_VALUE"""),4.39E9)</f>
        <v>4390000000</v>
      </c>
      <c r="M1234" s="14" t="str">
        <f>IFERROR(__xludf.DUMMYFUNCTION("""COMPUTED_VALUE"""),"Jordan-Middle East")</f>
        <v>Jordan-Middle East</v>
      </c>
      <c r="N1234" s="14" t="str">
        <f>IFERROR(__xludf.DUMMYFUNCTION("""COMPUTED_VALUE"""),"2010")</f>
        <v>2010</v>
      </c>
      <c r="O1234" s="14">
        <f>IFERROR(__xludf.DUMMYFUNCTION("""COMPUTED_VALUE"""),1.736E9)</f>
        <v>1736000000</v>
      </c>
      <c r="P1234" s="15">
        <f>IFERROR(__xludf.DUMMYFUNCTION("ARRAYFORMULA(VLOOKUP(A1234,IMPORTRANGE(""https://docs.google.com/spreadsheets/d/1BuTWp7qHGjWhqrnf-OmePP568O4A5Am9ttzvVdP67zw/edit#gid=771602874"" ,""HUMAN RESOURCES!$A$2:$M$2692""), {2,3,4,5,6,7,8,9,10,11,12,13},0))"),0.029)</f>
        <v>0.029</v>
      </c>
      <c r="Q1234" s="14">
        <f>IFERROR(__xludf.DUMMYFUNCTION("""COMPUTED_VALUE"""),0.018)</f>
        <v>0.018</v>
      </c>
      <c r="R1234" s="14">
        <f>IFERROR(__xludf.DUMMYFUNCTION("""COMPUTED_VALUE"""),75.0)</f>
        <v>75</v>
      </c>
      <c r="S1234" s="14">
        <f>IFERROR(__xludf.DUMMYFUNCTION("""COMPUTED_VALUE"""),72.0)</f>
        <v>72</v>
      </c>
      <c r="T1234" s="14">
        <f>IFERROR(__xludf.DUMMYFUNCTION("""COMPUTED_VALUE"""),0.351)</f>
        <v>0.351</v>
      </c>
      <c r="U1234" s="14">
        <f>IFERROR(__xludf.DUMMYFUNCTION("""COMPUTED_VALUE"""),0.615)</f>
        <v>0.615</v>
      </c>
      <c r="V1234" s="14">
        <f>IFERROR(__xludf.DUMMYFUNCTION("""COMPUTED_VALUE"""),0.034)</f>
        <v>0.034</v>
      </c>
      <c r="W1234" s="14">
        <f>IFERROR(__xludf.DUMMYFUNCTION("""COMPUTED_VALUE"""),6046000.0)</f>
        <v>6046000</v>
      </c>
      <c r="X1234" s="14">
        <f>IFERROR(__xludf.DUMMYFUNCTION("""COMPUTED_VALUE"""),0.825)</f>
        <v>0.825</v>
      </c>
      <c r="Y1234" s="14" t="str">
        <f>IFERROR(__xludf.DUMMYFUNCTION("""COMPUTED_VALUE"""),"Jordan-Middle East")</f>
        <v>Jordan-Middle East</v>
      </c>
      <c r="Z1234" s="14" t="str">
        <f>IFERROR(__xludf.DUMMYFUNCTION("""COMPUTED_VALUE"""),"Middle East")</f>
        <v>Middle East</v>
      </c>
      <c r="AA1234" s="14" t="str">
        <f>IFERROR(__xludf.DUMMYFUNCTION("""COMPUTED_VALUE"""),"2010")</f>
        <v>2010</v>
      </c>
      <c r="AB1234" s="15" t="str">
        <f>IFERROR(__xludf.DUMMYFUNCTION("ARRAYFORMULA(VLOOKUP(A1234,IMPORTRANGE(""https://docs.google.com/spreadsheets/d/1BuTWp7qHGjWhqrnf-OmePP568O4A5Am9ttzvVdP67zw/edit#gid=1931367683"" ,""ENERGY!$A$2:$F$2692""), {2,3,4,5,6},0))"),"Middle East")</f>
        <v>Middle East</v>
      </c>
      <c r="AC1234" s="14" t="str">
        <f>IFERROR(__xludf.DUMMYFUNCTION("""COMPUTED_VALUE"""),"Jordan-Middle East")</f>
        <v>Jordan-Middle East</v>
      </c>
      <c r="AD1234" s="14" t="str">
        <f>IFERROR(__xludf.DUMMYFUNCTION("""COMPUTED_VALUE"""),"2011")</f>
        <v>2011</v>
      </c>
      <c r="AE1234" s="14">
        <f>IFERROR(__xludf.DUMMYFUNCTION("""COMPUTED_VALUE"""),5060.0)</f>
        <v>5060</v>
      </c>
      <c r="AF1234" s="14">
        <f>IFERROR(__xludf.DUMMYFUNCTION("""COMPUTED_VALUE"""),16887.0)</f>
        <v>16887</v>
      </c>
    </row>
    <row r="1235">
      <c r="A1235" s="12">
        <v>1234.0</v>
      </c>
      <c r="B1235" s="12" t="s">
        <v>173</v>
      </c>
      <c r="C1235" s="5" t="s">
        <v>93</v>
      </c>
      <c r="D1235" s="11">
        <v>0.277</v>
      </c>
      <c r="E1235" s="11">
        <v>12.0</v>
      </c>
      <c r="F1235" s="8"/>
      <c r="G1235" s="11">
        <v>151.0</v>
      </c>
      <c r="H1235" s="11">
        <v>0.349</v>
      </c>
      <c r="I1235" s="11">
        <v>1.112</v>
      </c>
      <c r="J1235" s="9" t="s">
        <v>72</v>
      </c>
      <c r="K1235" s="14" t="str">
        <f>IFERROR(__xludf.DUMMYFUNCTION("ARRAYFORMULA(VLOOKUP(A1235,IMPORTRANGE(""https://docs.google.com/spreadsheets/d/1BuTWp7qHGjWhqrnf-OmePP568O4A5Am9ttzvVdP67zw/edit#gid=1603210130"", ""TOURISM!$A$2:$F$2692""), {2,3,4,5,6},0))"),"Middle East")</f>
        <v>Middle East</v>
      </c>
      <c r="L1235" s="14">
        <f>IFERROR(__xludf.DUMMYFUNCTION("""COMPUTED_VALUE"""),3.86E9)</f>
        <v>3860000000</v>
      </c>
      <c r="M1235" s="14" t="str">
        <f>IFERROR(__xludf.DUMMYFUNCTION("""COMPUTED_VALUE"""),"Jordan-Middle East")</f>
        <v>Jordan-Middle East</v>
      </c>
      <c r="N1235" s="14" t="str">
        <f>IFERROR(__xludf.DUMMYFUNCTION("""COMPUTED_VALUE"""),"2011")</f>
        <v>2011</v>
      </c>
      <c r="O1235" s="14">
        <f>IFERROR(__xludf.DUMMYFUNCTION("""COMPUTED_VALUE"""),1.28E9)</f>
        <v>1280000000</v>
      </c>
      <c r="P1235" s="15">
        <f>IFERROR(__xludf.DUMMYFUNCTION("ARRAYFORMULA(VLOOKUP(A1235,IMPORTRANGE(""https://docs.google.com/spreadsheets/d/1BuTWp7qHGjWhqrnf-OmePP568O4A5Am9ttzvVdP67zw/edit#gid=771602874"" ,""HUMAN RESOURCES!$A$2:$M$2692""), {2,3,4,5,6,7,8,9,10,11,12,13},0))"),0.028)</f>
        <v>0.028</v>
      </c>
      <c r="Q1235" s="14">
        <f>IFERROR(__xludf.DUMMYFUNCTION("""COMPUTED_VALUE"""),0.017)</f>
        <v>0.017</v>
      </c>
      <c r="R1235" s="14">
        <f>IFERROR(__xludf.DUMMYFUNCTION("""COMPUTED_VALUE"""),75.0)</f>
        <v>75</v>
      </c>
      <c r="S1235" s="14">
        <f>IFERROR(__xludf.DUMMYFUNCTION("""COMPUTED_VALUE"""),72.0)</f>
        <v>72</v>
      </c>
      <c r="T1235" s="14">
        <f>IFERROR(__xludf.DUMMYFUNCTION("""COMPUTED_VALUE"""),0.346)</f>
        <v>0.346</v>
      </c>
      <c r="U1235" s="14">
        <f>IFERROR(__xludf.DUMMYFUNCTION("""COMPUTED_VALUE"""),0.62)</f>
        <v>0.62</v>
      </c>
      <c r="V1235" s="14">
        <f>IFERROR(__xludf.DUMMYFUNCTION("""COMPUTED_VALUE"""),0.034)</f>
        <v>0.034</v>
      </c>
      <c r="W1235" s="14">
        <f>IFERROR(__xludf.DUMMYFUNCTION("""COMPUTED_VALUE"""),6181000.0)</f>
        <v>6181000</v>
      </c>
      <c r="X1235" s="14">
        <f>IFERROR(__xludf.DUMMYFUNCTION("""COMPUTED_VALUE"""),0.827)</f>
        <v>0.827</v>
      </c>
      <c r="Y1235" s="14" t="str">
        <f>IFERROR(__xludf.DUMMYFUNCTION("""COMPUTED_VALUE"""),"Jordan-Middle East")</f>
        <v>Jordan-Middle East</v>
      </c>
      <c r="Z1235" s="14" t="str">
        <f>IFERROR(__xludf.DUMMYFUNCTION("""COMPUTED_VALUE"""),"Middle East")</f>
        <v>Middle East</v>
      </c>
      <c r="AA1235" s="14" t="str">
        <f>IFERROR(__xludf.DUMMYFUNCTION("""COMPUTED_VALUE"""),"2011")</f>
        <v>2011</v>
      </c>
      <c r="AB1235" s="15" t="str">
        <f>IFERROR(__xludf.DUMMYFUNCTION("ARRAYFORMULA(VLOOKUP(A1235,IMPORTRANGE(""https://docs.google.com/spreadsheets/d/1BuTWp7qHGjWhqrnf-OmePP568O4A5Am9ttzvVdP67zw/edit#gid=1931367683"" ,""ENERGY!$A$2:$F$2692""), {2,3,4,5,6},0))"),"Middle East")</f>
        <v>Middle East</v>
      </c>
      <c r="AC1235" s="14" t="str">
        <f>IFERROR(__xludf.DUMMYFUNCTION("""COMPUTED_VALUE"""),"Jordan-Middle East")</f>
        <v>Jordan-Middle East</v>
      </c>
      <c r="AD1235" s="14" t="str">
        <f>IFERROR(__xludf.DUMMYFUNCTION("""COMPUTED_VALUE"""),"2005")</f>
        <v>2005</v>
      </c>
      <c r="AE1235" s="14">
        <f>IFERROR(__xludf.DUMMYFUNCTION("""COMPUTED_VALUE"""),4818.0)</f>
        <v>4818</v>
      </c>
      <c r="AF1235" s="14">
        <f>IFERROR(__xludf.DUMMYFUNCTION("""COMPUTED_VALUE"""),16003.0)</f>
        <v>16003</v>
      </c>
    </row>
    <row r="1236">
      <c r="A1236" s="12">
        <v>1235.0</v>
      </c>
      <c r="B1236" s="12" t="s">
        <v>173</v>
      </c>
      <c r="C1236" s="5" t="s">
        <v>93</v>
      </c>
      <c r="D1236" s="11">
        <v>0.281</v>
      </c>
      <c r="E1236" s="11">
        <v>12.0</v>
      </c>
      <c r="F1236" s="11">
        <v>119.0</v>
      </c>
      <c r="G1236" s="11">
        <v>151.0</v>
      </c>
      <c r="H1236" s="11">
        <v>0.41</v>
      </c>
      <c r="I1236" s="11">
        <v>1.282</v>
      </c>
      <c r="J1236" s="9" t="s">
        <v>73</v>
      </c>
      <c r="K1236" s="14" t="str">
        <f>IFERROR(__xludf.DUMMYFUNCTION("ARRAYFORMULA(VLOOKUP(A1236,IMPORTRANGE(""https://docs.google.com/spreadsheets/d/1BuTWp7qHGjWhqrnf-OmePP568O4A5Am9ttzvVdP67zw/edit#gid=1603210130"", ""TOURISM!$A$2:$F$2692""), {2,3,4,5,6},0))"),"Middle East")</f>
        <v>Middle East</v>
      </c>
      <c r="L1236" s="14">
        <f>IFERROR(__xludf.DUMMYFUNCTION("""COMPUTED_VALUE"""),4.485E9)</f>
        <v>4485000000</v>
      </c>
      <c r="M1236" s="14" t="str">
        <f>IFERROR(__xludf.DUMMYFUNCTION("""COMPUTED_VALUE"""),"Jordan-Middle East")</f>
        <v>Jordan-Middle East</v>
      </c>
      <c r="N1236" s="14" t="str">
        <f>IFERROR(__xludf.DUMMYFUNCTION("""COMPUTED_VALUE"""),"2012")</f>
        <v>2012</v>
      </c>
      <c r="O1236" s="14">
        <f>IFERROR(__xludf.DUMMYFUNCTION("""COMPUTED_VALUE"""),1.257E9)</f>
        <v>1257000000</v>
      </c>
      <c r="P1236" s="15">
        <f>IFERROR(__xludf.DUMMYFUNCTION("ARRAYFORMULA(VLOOKUP(A1236,IMPORTRANGE(""https://docs.google.com/spreadsheets/d/1BuTWp7qHGjWhqrnf-OmePP568O4A5Am9ttzvVdP67zw/edit#gid=771602874"" ,""HUMAN RESOURCES!$A$2:$M$2692""), {2,3,4,5,6,7,8,9,10,11,12,13},0))"),0.028)</f>
        <v>0.028</v>
      </c>
      <c r="Q1236" s="14">
        <f>IFERROR(__xludf.DUMMYFUNCTION("""COMPUTED_VALUE"""),0.017)</f>
        <v>0.017</v>
      </c>
      <c r="R1236" s="14">
        <f>IFERROR(__xludf.DUMMYFUNCTION("""COMPUTED_VALUE"""),75.0)</f>
        <v>75</v>
      </c>
      <c r="S1236" s="14">
        <f>IFERROR(__xludf.DUMMYFUNCTION("""COMPUTED_VALUE"""),72.0)</f>
        <v>72</v>
      </c>
      <c r="T1236" s="14">
        <f>IFERROR(__xludf.DUMMYFUNCTION("""COMPUTED_VALUE"""),0.341)</f>
        <v>0.341</v>
      </c>
      <c r="U1236" s="14">
        <f>IFERROR(__xludf.DUMMYFUNCTION("""COMPUTED_VALUE"""),0.624)</f>
        <v>0.624</v>
      </c>
      <c r="V1236" s="14">
        <f>IFERROR(__xludf.DUMMYFUNCTION("""COMPUTED_VALUE"""),0.035)</f>
        <v>0.035</v>
      </c>
      <c r="W1236" s="14">
        <f>IFERROR(__xludf.DUMMYFUNCTION("""COMPUTED_VALUE"""),6318000.0)</f>
        <v>6318000</v>
      </c>
      <c r="X1236" s="14">
        <f>IFERROR(__xludf.DUMMYFUNCTION("""COMPUTED_VALUE"""),0.83)</f>
        <v>0.83</v>
      </c>
      <c r="Y1236" s="14" t="str">
        <f>IFERROR(__xludf.DUMMYFUNCTION("""COMPUTED_VALUE"""),"Jordan-Middle East")</f>
        <v>Jordan-Middle East</v>
      </c>
      <c r="Z1236" s="14" t="str">
        <f>IFERROR(__xludf.DUMMYFUNCTION("""COMPUTED_VALUE"""),"Middle East")</f>
        <v>Middle East</v>
      </c>
      <c r="AA1236" s="14" t="str">
        <f>IFERROR(__xludf.DUMMYFUNCTION("""COMPUTED_VALUE"""),"2012")</f>
        <v>2012</v>
      </c>
      <c r="AB1236" s="15" t="str">
        <f>IFERROR(__xludf.DUMMYFUNCTION("ARRAYFORMULA(VLOOKUP(A1236,IMPORTRANGE(""https://docs.google.com/spreadsheets/d/1BuTWp7qHGjWhqrnf-OmePP568O4A5Am9ttzvVdP67zw/edit#gid=1931367683"" ,""ENERGY!$A$2:$F$2692""), {2,3,4,5,6},0))"),"Middle East")</f>
        <v>Middle East</v>
      </c>
      <c r="AC1236" s="14" t="str">
        <f>IFERROR(__xludf.DUMMYFUNCTION("""COMPUTED_VALUE"""),"Jordan-Middle East")</f>
        <v>Jordan-Middle East</v>
      </c>
      <c r="AD1236" s="14" t="str">
        <f>IFERROR(__xludf.DUMMYFUNCTION("""COMPUTED_VALUE"""),"2010")</f>
        <v>2010</v>
      </c>
      <c r="AE1236" s="14">
        <f>IFERROR(__xludf.DUMMYFUNCTION("""COMPUTED_VALUE"""),4864.0)</f>
        <v>4864</v>
      </c>
      <c r="AF1236" s="14">
        <f>IFERROR(__xludf.DUMMYFUNCTION("""COMPUTED_VALUE"""),15508.0)</f>
        <v>15508</v>
      </c>
    </row>
    <row r="1237">
      <c r="A1237" s="12">
        <v>1236.0</v>
      </c>
      <c r="B1237" s="12" t="s">
        <v>174</v>
      </c>
      <c r="C1237" s="5" t="s">
        <v>61</v>
      </c>
      <c r="D1237" s="8"/>
      <c r="E1237" s="8"/>
      <c r="F1237" s="8"/>
      <c r="G1237" s="8"/>
      <c r="H1237" s="11">
        <v>0.007</v>
      </c>
      <c r="I1237" s="11">
        <v>0.014</v>
      </c>
      <c r="J1237" s="9" t="s">
        <v>60</v>
      </c>
      <c r="K1237" s="14" t="str">
        <f>IFERROR(__xludf.DUMMYFUNCTION("ARRAYFORMULA(VLOOKUP(A1237,IMPORTRANGE(""https://docs.google.com/spreadsheets/d/1BuTWp7qHGjWhqrnf-OmePP568O4A5Am9ttzvVdP67zw/edit#gid=1603210130"", ""TOURISM!$A$2:$F$2692""), {2,3,4,5,6},0))"),"Asia")</f>
        <v>Asia</v>
      </c>
      <c r="L1237" s="14">
        <f>IFERROR(__xludf.DUMMYFUNCTION("""COMPUTED_VALUE"""),4.03E8)</f>
        <v>403000000</v>
      </c>
      <c r="M1237" s="14" t="str">
        <f>IFERROR(__xludf.DUMMYFUNCTION("""COMPUTED_VALUE"""),"Kazakhstan-Asia")</f>
        <v>Kazakhstan-Asia</v>
      </c>
      <c r="N1237" s="14" t="str">
        <f>IFERROR(__xludf.DUMMYFUNCTION("""COMPUTED_VALUE"""),"2000")</f>
        <v>2000</v>
      </c>
      <c r="O1237" s="14">
        <f>IFERROR(__xludf.DUMMYFUNCTION("""COMPUTED_VALUE"""),4.83E8)</f>
        <v>483000000</v>
      </c>
      <c r="P1237" s="15">
        <f>IFERROR(__xludf.DUMMYFUNCTION("ARRAYFORMULA(VLOOKUP(A1237,IMPORTRANGE(""https://docs.google.com/spreadsheets/d/1BuTWp7qHGjWhqrnf-OmePP568O4A5Am9ttzvVdP67zw/edit#gid=771602874"" ,""HUMAN RESOURCES!$A$2:$M$2692""), {2,3,4,5,6,7,8,9,10,11,12,13},0))"),0.015)</f>
        <v>0.015</v>
      </c>
      <c r="Q1237" s="14">
        <f>IFERROR(__xludf.DUMMYFUNCTION("""COMPUTED_VALUE"""),0.038)</f>
        <v>0.038</v>
      </c>
      <c r="R1237" s="14">
        <f>IFERROR(__xludf.DUMMYFUNCTION("""COMPUTED_VALUE"""),71.0)</f>
        <v>71</v>
      </c>
      <c r="S1237" s="14">
        <f>IFERROR(__xludf.DUMMYFUNCTION("""COMPUTED_VALUE"""),60.0)</f>
        <v>60</v>
      </c>
      <c r="T1237" s="14">
        <f>IFERROR(__xludf.DUMMYFUNCTION("""COMPUTED_VALUE"""),0.277)</f>
        <v>0.277</v>
      </c>
      <c r="U1237" s="14">
        <f>IFERROR(__xludf.DUMMYFUNCTION("""COMPUTED_VALUE"""),0.655)</f>
        <v>0.655</v>
      </c>
      <c r="V1237" s="14">
        <f>IFERROR(__xludf.DUMMYFUNCTION("""COMPUTED_VALUE"""),0.068)</f>
        <v>0.068</v>
      </c>
      <c r="W1237" s="14">
        <f>IFERROR(__xludf.DUMMYFUNCTION("""COMPUTED_VALUE"""),1.4883626E7)</f>
        <v>14883626</v>
      </c>
      <c r="X1237" s="14">
        <f>IFERROR(__xludf.DUMMYFUNCTION("""COMPUTED_VALUE"""),0.557)</f>
        <v>0.557</v>
      </c>
      <c r="Y1237" s="14" t="str">
        <f>IFERROR(__xludf.DUMMYFUNCTION("""COMPUTED_VALUE"""),"Kazakhstan-Asia")</f>
        <v>Kazakhstan-Asia</v>
      </c>
      <c r="Z1237" s="14" t="str">
        <f>IFERROR(__xludf.DUMMYFUNCTION("""COMPUTED_VALUE"""),"Asia")</f>
        <v>Asia</v>
      </c>
      <c r="AA1237" s="14" t="str">
        <f>IFERROR(__xludf.DUMMYFUNCTION("""COMPUTED_VALUE"""),"2000")</f>
        <v>2000</v>
      </c>
      <c r="AB1237" s="15" t="str">
        <f>IFERROR(__xludf.DUMMYFUNCTION("ARRAYFORMULA(VLOOKUP(A1237,IMPORTRANGE(""https://docs.google.com/spreadsheets/d/1BuTWp7qHGjWhqrnf-OmePP568O4A5Am9ttzvVdP67zw/edit#gid=1931367683"" ,""ENERGY!$A$2:$F$2692""), {2,3,4,5,6},0))"),"Asia")</f>
        <v>Asia</v>
      </c>
      <c r="AC1237" s="14" t="str">
        <f>IFERROR(__xludf.DUMMYFUNCTION("""COMPUTED_VALUE"""),"Kazakhstan-Asia")</f>
        <v>Kazakhstan-Asia</v>
      </c>
      <c r="AD1237" s="14" t="str">
        <f>IFERROR(__xludf.DUMMYFUNCTION("""COMPUTED_VALUE"""),"2000")</f>
        <v>2000</v>
      </c>
      <c r="AE1237" s="14"/>
      <c r="AF1237" s="14"/>
    </row>
    <row r="1238">
      <c r="A1238" s="12">
        <v>1237.0</v>
      </c>
      <c r="B1238" s="12" t="s">
        <v>174</v>
      </c>
      <c r="C1238" s="5" t="s">
        <v>61</v>
      </c>
      <c r="D1238" s="8"/>
      <c r="E1238" s="8"/>
      <c r="F1238" s="8"/>
      <c r="G1238" s="8"/>
      <c r="H1238" s="11">
        <v>0.01</v>
      </c>
      <c r="I1238" s="11">
        <v>0.04</v>
      </c>
      <c r="J1238" s="9" t="s">
        <v>62</v>
      </c>
      <c r="K1238" s="14" t="str">
        <f>IFERROR(__xludf.DUMMYFUNCTION("ARRAYFORMULA(VLOOKUP(A1238,IMPORTRANGE(""https://docs.google.com/spreadsheets/d/1BuTWp7qHGjWhqrnf-OmePP568O4A5Am9ttzvVdP67zw/edit#gid=1603210130"", ""TOURISM!$A$2:$F$2692""), {2,3,4,5,6},0))"),"Asia")</f>
        <v>Asia</v>
      </c>
      <c r="L1238" s="14">
        <f>IFERROR(__xludf.DUMMYFUNCTION("""COMPUTED_VALUE"""),5.02E8)</f>
        <v>502000000</v>
      </c>
      <c r="M1238" s="14" t="str">
        <f>IFERROR(__xludf.DUMMYFUNCTION("""COMPUTED_VALUE"""),"Kazakhstan-Asia")</f>
        <v>Kazakhstan-Asia</v>
      </c>
      <c r="N1238" s="14" t="str">
        <f>IFERROR(__xludf.DUMMYFUNCTION("""COMPUTED_VALUE"""),"2001")</f>
        <v>2001</v>
      </c>
      <c r="O1238" s="14">
        <f>IFERROR(__xludf.DUMMYFUNCTION("""COMPUTED_VALUE"""),7.61E8)</f>
        <v>761000000</v>
      </c>
      <c r="P1238" s="15">
        <f>IFERROR(__xludf.DUMMYFUNCTION("ARRAYFORMULA(VLOOKUP(A1238,IMPORTRANGE(""https://docs.google.com/spreadsheets/d/1BuTWp7qHGjWhqrnf-OmePP568O4A5Am9ttzvVdP67zw/edit#gid=771602874"" ,""HUMAN RESOURCES!$A$2:$M$2692""), {2,3,4,5,6,7,8,9,10,11,12,13},0))"),0.015)</f>
        <v>0.015</v>
      </c>
      <c r="Q1238" s="14">
        <f>IFERROR(__xludf.DUMMYFUNCTION("""COMPUTED_VALUE"""),0.036)</f>
        <v>0.036</v>
      </c>
      <c r="R1238" s="14">
        <f>IFERROR(__xludf.DUMMYFUNCTION("""COMPUTED_VALUE"""),71.0)</f>
        <v>71</v>
      </c>
      <c r="S1238" s="14">
        <f>IFERROR(__xludf.DUMMYFUNCTION("""COMPUTED_VALUE"""),61.0)</f>
        <v>61</v>
      </c>
      <c r="T1238" s="14">
        <f>IFERROR(__xludf.DUMMYFUNCTION("""COMPUTED_VALUE"""),0.271)</f>
        <v>0.271</v>
      </c>
      <c r="U1238" s="14">
        <f>IFERROR(__xludf.DUMMYFUNCTION("""COMPUTED_VALUE"""),0.661)</f>
        <v>0.661</v>
      </c>
      <c r="V1238" s="14">
        <f>IFERROR(__xludf.DUMMYFUNCTION("""COMPUTED_VALUE"""),0.069)</f>
        <v>0.069</v>
      </c>
      <c r="W1238" s="14">
        <f>IFERROR(__xludf.DUMMYFUNCTION("""COMPUTED_VALUE"""),1.4858335E7)</f>
        <v>14858335</v>
      </c>
      <c r="X1238" s="14">
        <f>IFERROR(__xludf.DUMMYFUNCTION("""COMPUTED_VALUE"""),0.555)</f>
        <v>0.555</v>
      </c>
      <c r="Y1238" s="14" t="str">
        <f>IFERROR(__xludf.DUMMYFUNCTION("""COMPUTED_VALUE"""),"Kazakhstan-Asia")</f>
        <v>Kazakhstan-Asia</v>
      </c>
      <c r="Z1238" s="14" t="str">
        <f>IFERROR(__xludf.DUMMYFUNCTION("""COMPUTED_VALUE"""),"Asia")</f>
        <v>Asia</v>
      </c>
      <c r="AA1238" s="14" t="str">
        <f>IFERROR(__xludf.DUMMYFUNCTION("""COMPUTED_VALUE"""),"2001")</f>
        <v>2001</v>
      </c>
      <c r="AB1238" s="15" t="str">
        <f>IFERROR(__xludf.DUMMYFUNCTION("ARRAYFORMULA(VLOOKUP(A1238,IMPORTRANGE(""https://docs.google.com/spreadsheets/d/1BuTWp7qHGjWhqrnf-OmePP568O4A5Am9ttzvVdP67zw/edit#gid=1931367683"" ,""ENERGY!$A$2:$F$2692""), {2,3,4,5,6},0))"),"Asia")</f>
        <v>Asia</v>
      </c>
      <c r="AC1238" s="14" t="str">
        <f>IFERROR(__xludf.DUMMYFUNCTION("""COMPUTED_VALUE"""),"Kazakhstan-Asia")</f>
        <v>Kazakhstan-Asia</v>
      </c>
      <c r="AD1238" s="14" t="str">
        <f>IFERROR(__xludf.DUMMYFUNCTION("""COMPUTED_VALUE"""),"2001")</f>
        <v>2001</v>
      </c>
      <c r="AE1238" s="14">
        <f>IFERROR(__xludf.DUMMYFUNCTION("""COMPUTED_VALUE"""),78101.0)</f>
        <v>78101</v>
      </c>
      <c r="AF1238" s="14"/>
    </row>
    <row r="1239">
      <c r="A1239" s="12">
        <v>1238.0</v>
      </c>
      <c r="B1239" s="12" t="s">
        <v>174</v>
      </c>
      <c r="C1239" s="5" t="s">
        <v>61</v>
      </c>
      <c r="D1239" s="8"/>
      <c r="E1239" s="8"/>
      <c r="F1239" s="8"/>
      <c r="G1239" s="8"/>
      <c r="H1239" s="11">
        <v>0.017</v>
      </c>
      <c r="I1239" s="11">
        <v>0.07</v>
      </c>
      <c r="J1239" s="9" t="s">
        <v>63</v>
      </c>
      <c r="K1239" s="14" t="str">
        <f>IFERROR(__xludf.DUMMYFUNCTION("ARRAYFORMULA(VLOOKUP(A1239,IMPORTRANGE(""https://docs.google.com/spreadsheets/d/1BuTWp7qHGjWhqrnf-OmePP568O4A5Am9ttzvVdP67zw/edit#gid=1603210130"", ""TOURISM!$A$2:$F$2692""), {2,3,4,5,6},0))"),"Asia")</f>
        <v>Asia</v>
      </c>
      <c r="L1239" s="14">
        <f>IFERROR(__xludf.DUMMYFUNCTION("""COMPUTED_VALUE"""),6.8E8)</f>
        <v>680000000</v>
      </c>
      <c r="M1239" s="14" t="str">
        <f>IFERROR(__xludf.DUMMYFUNCTION("""COMPUTED_VALUE"""),"Kazakhstan-Asia")</f>
        <v>Kazakhstan-Asia</v>
      </c>
      <c r="N1239" s="14" t="str">
        <f>IFERROR(__xludf.DUMMYFUNCTION("""COMPUTED_VALUE"""),"2002")</f>
        <v>2002</v>
      </c>
      <c r="O1239" s="14">
        <f>IFERROR(__xludf.DUMMYFUNCTION("""COMPUTED_VALUE"""),8.63E8)</f>
        <v>863000000</v>
      </c>
      <c r="P1239" s="15">
        <f>IFERROR(__xludf.DUMMYFUNCTION("ARRAYFORMULA(VLOOKUP(A1239,IMPORTRANGE(""https://docs.google.com/spreadsheets/d/1BuTWp7qHGjWhqrnf-OmePP568O4A5Am9ttzvVdP67zw/edit#gid=771602874"" ,""HUMAN RESOURCES!$A$2:$M$2692""), {2,3,4,5,6,7,8,9,10,11,12,13},0))"),0.015)</f>
        <v>0.015</v>
      </c>
      <c r="Q1239" s="14">
        <f>IFERROR(__xludf.DUMMYFUNCTION("""COMPUTED_VALUE"""),0.034)</f>
        <v>0.034</v>
      </c>
      <c r="R1239" s="14">
        <f>IFERROR(__xludf.DUMMYFUNCTION("""COMPUTED_VALUE"""),72.0)</f>
        <v>72</v>
      </c>
      <c r="S1239" s="14">
        <f>IFERROR(__xludf.DUMMYFUNCTION("""COMPUTED_VALUE"""),61.0)</f>
        <v>61</v>
      </c>
      <c r="T1239" s="14">
        <f>IFERROR(__xludf.DUMMYFUNCTION("""COMPUTED_VALUE"""),0.263)</f>
        <v>0.263</v>
      </c>
      <c r="U1239" s="14">
        <f>IFERROR(__xludf.DUMMYFUNCTION("""COMPUTED_VALUE"""),0.665)</f>
        <v>0.665</v>
      </c>
      <c r="V1239" s="14">
        <f>IFERROR(__xludf.DUMMYFUNCTION("""COMPUTED_VALUE"""),0.071)</f>
        <v>0.071</v>
      </c>
      <c r="W1239" s="14">
        <f>IFERROR(__xludf.DUMMYFUNCTION("""COMPUTED_VALUE"""),1.4858948E7)</f>
        <v>14858948</v>
      </c>
      <c r="X1239" s="14">
        <f>IFERROR(__xludf.DUMMYFUNCTION("""COMPUTED_VALUE"""),0.553)</f>
        <v>0.553</v>
      </c>
      <c r="Y1239" s="14" t="str">
        <f>IFERROR(__xludf.DUMMYFUNCTION("""COMPUTED_VALUE"""),"Kazakhstan-Asia")</f>
        <v>Kazakhstan-Asia</v>
      </c>
      <c r="Z1239" s="14" t="str">
        <f>IFERROR(__xludf.DUMMYFUNCTION("""COMPUTED_VALUE"""),"Asia")</f>
        <v>Asia</v>
      </c>
      <c r="AA1239" s="14" t="str">
        <f>IFERROR(__xludf.DUMMYFUNCTION("""COMPUTED_VALUE"""),"2002")</f>
        <v>2002</v>
      </c>
      <c r="AB1239" s="15" t="str">
        <f>IFERROR(__xludf.DUMMYFUNCTION("ARRAYFORMULA(VLOOKUP(A1239,IMPORTRANGE(""https://docs.google.com/spreadsheets/d/1BuTWp7qHGjWhqrnf-OmePP568O4A5Am9ttzvVdP67zw/edit#gid=1931367683"" ,""ENERGY!$A$2:$F$2692""), {2,3,4,5,6},0))"),"Asia")</f>
        <v>Asia</v>
      </c>
      <c r="AC1239" s="14" t="str">
        <f>IFERROR(__xludf.DUMMYFUNCTION("""COMPUTED_VALUE"""),"Kazakhstan-Asia")</f>
        <v>Kazakhstan-Asia</v>
      </c>
      <c r="AD1239" s="14" t="str">
        <f>IFERROR(__xludf.DUMMYFUNCTION("""COMPUTED_VALUE"""),"2002")</f>
        <v>2002</v>
      </c>
      <c r="AE1239" s="14">
        <f>IFERROR(__xludf.DUMMYFUNCTION("""COMPUTED_VALUE"""),74443.0)</f>
        <v>74443</v>
      </c>
      <c r="AF1239" s="14">
        <f>IFERROR(__xludf.DUMMYFUNCTION("""COMPUTED_VALUE"""),248729.0)</f>
        <v>248729</v>
      </c>
    </row>
    <row r="1240">
      <c r="A1240" s="12">
        <v>1239.0</v>
      </c>
      <c r="B1240" s="12" t="s">
        <v>174</v>
      </c>
      <c r="C1240" s="5" t="s">
        <v>61</v>
      </c>
      <c r="D1240" s="8"/>
      <c r="E1240" s="11">
        <v>26.0</v>
      </c>
      <c r="F1240" s="8"/>
      <c r="G1240" s="8"/>
      <c r="H1240" s="11">
        <v>0.02</v>
      </c>
      <c r="I1240" s="11">
        <v>0.09</v>
      </c>
      <c r="J1240" s="9" t="s">
        <v>64</v>
      </c>
      <c r="K1240" s="14" t="str">
        <f>IFERROR(__xludf.DUMMYFUNCTION("ARRAYFORMULA(VLOOKUP(A1240,IMPORTRANGE(""https://docs.google.com/spreadsheets/d/1BuTWp7qHGjWhqrnf-OmePP568O4A5Am9ttzvVdP67zw/edit#gid=1603210130"", ""TOURISM!$A$2:$F$2692""), {2,3,4,5,6},0))"),"Asia")</f>
        <v>Asia</v>
      </c>
      <c r="L1240" s="14">
        <f>IFERROR(__xludf.DUMMYFUNCTION("""COMPUTED_VALUE"""),6.38E8)</f>
        <v>638000000</v>
      </c>
      <c r="M1240" s="14" t="str">
        <f>IFERROR(__xludf.DUMMYFUNCTION("""COMPUTED_VALUE"""),"Kazakhstan-Asia")</f>
        <v>Kazakhstan-Asia</v>
      </c>
      <c r="N1240" s="14" t="str">
        <f>IFERROR(__xludf.DUMMYFUNCTION("""COMPUTED_VALUE"""),"2003")</f>
        <v>2003</v>
      </c>
      <c r="O1240" s="14">
        <f>IFERROR(__xludf.DUMMYFUNCTION("""COMPUTED_VALUE"""),7.83E8)</f>
        <v>783000000</v>
      </c>
      <c r="P1240" s="15">
        <f>IFERROR(__xludf.DUMMYFUNCTION("ARRAYFORMULA(VLOOKUP(A1240,IMPORTRANGE(""https://docs.google.com/spreadsheets/d/1BuTWp7qHGjWhqrnf-OmePP568O4A5Am9ttzvVdP67zw/edit#gid=771602874"" ,""HUMAN RESOURCES!$A$2:$M$2692""), {2,3,4,5,6,7,8,9,10,11,12,13},0))"),0.017)</f>
        <v>0.017</v>
      </c>
      <c r="Q1240" s="14">
        <f>IFERROR(__xludf.DUMMYFUNCTION("""COMPUTED_VALUE"""),0.032)</f>
        <v>0.032</v>
      </c>
      <c r="R1240" s="14">
        <f>IFERROR(__xludf.DUMMYFUNCTION("""COMPUTED_VALUE"""),72.0)</f>
        <v>72</v>
      </c>
      <c r="S1240" s="14">
        <f>IFERROR(__xludf.DUMMYFUNCTION("""COMPUTED_VALUE"""),61.0)</f>
        <v>61</v>
      </c>
      <c r="T1240" s="14">
        <f>IFERROR(__xludf.DUMMYFUNCTION("""COMPUTED_VALUE"""),0.257)</f>
        <v>0.257</v>
      </c>
      <c r="U1240" s="14">
        <f>IFERROR(__xludf.DUMMYFUNCTION("""COMPUTED_VALUE"""),0.67)</f>
        <v>0.67</v>
      </c>
      <c r="V1240" s="14">
        <f>IFERROR(__xludf.DUMMYFUNCTION("""COMPUTED_VALUE"""),0.074)</f>
        <v>0.074</v>
      </c>
      <c r="W1240" s="14">
        <f>IFERROR(__xludf.DUMMYFUNCTION("""COMPUTED_VALUE"""),1.4909018E7)</f>
        <v>14909018</v>
      </c>
      <c r="X1240" s="14">
        <f>IFERROR(__xludf.DUMMYFUNCTION("""COMPUTED_VALUE"""),0.551)</f>
        <v>0.551</v>
      </c>
      <c r="Y1240" s="14" t="str">
        <f>IFERROR(__xludf.DUMMYFUNCTION("""COMPUTED_VALUE"""),"Kazakhstan-Asia")</f>
        <v>Kazakhstan-Asia</v>
      </c>
      <c r="Z1240" s="14" t="str">
        <f>IFERROR(__xludf.DUMMYFUNCTION("""COMPUTED_VALUE"""),"Asia")</f>
        <v>Asia</v>
      </c>
      <c r="AA1240" s="14" t="str">
        <f>IFERROR(__xludf.DUMMYFUNCTION("""COMPUTED_VALUE"""),"2003")</f>
        <v>2003</v>
      </c>
      <c r="AB1240" s="15" t="str">
        <f>IFERROR(__xludf.DUMMYFUNCTION("ARRAYFORMULA(VLOOKUP(A1240,IMPORTRANGE(""https://docs.google.com/spreadsheets/d/1BuTWp7qHGjWhqrnf-OmePP568O4A5Am9ttzvVdP67zw/edit#gid=1931367683"" ,""ENERGY!$A$2:$F$2692""), {2,3,4,5,6},0))"),"Asia")</f>
        <v>Asia</v>
      </c>
      <c r="AC1240" s="14" t="str">
        <f>IFERROR(__xludf.DUMMYFUNCTION("""COMPUTED_VALUE"""),"Kazakhstan-Asia")</f>
        <v>Kazakhstan-Asia</v>
      </c>
      <c r="AD1240" s="14" t="str">
        <f>IFERROR(__xludf.DUMMYFUNCTION("""COMPUTED_VALUE"""),"2003")</f>
        <v>2003</v>
      </c>
      <c r="AE1240" s="14">
        <f>IFERROR(__xludf.DUMMYFUNCTION("""COMPUTED_VALUE"""),63417.0)</f>
        <v>63417</v>
      </c>
      <c r="AF1240" s="14">
        <f>IFERROR(__xludf.DUMMYFUNCTION("""COMPUTED_VALUE"""),214087.0)</f>
        <v>214087</v>
      </c>
    </row>
    <row r="1241">
      <c r="A1241" s="12">
        <v>1240.0</v>
      </c>
      <c r="B1241" s="12" t="s">
        <v>174</v>
      </c>
      <c r="C1241" s="5" t="s">
        <v>61</v>
      </c>
      <c r="D1241" s="8"/>
      <c r="E1241" s="11">
        <v>26.0</v>
      </c>
      <c r="F1241" s="8"/>
      <c r="G1241" s="8"/>
      <c r="H1241" s="11">
        <v>0.027</v>
      </c>
      <c r="I1241" s="11">
        <v>0.164</v>
      </c>
      <c r="J1241" s="9" t="s">
        <v>65</v>
      </c>
      <c r="K1241" s="14" t="str">
        <f>IFERROR(__xludf.DUMMYFUNCTION("ARRAYFORMULA(VLOOKUP(A1241,IMPORTRANGE(""https://docs.google.com/spreadsheets/d/1BuTWp7qHGjWhqrnf-OmePP568O4A5Am9ttzvVdP67zw/edit#gid=1603210130"", ""TOURISM!$A$2:$F$2692""), {2,3,4,5,6},0))"),"Asia")</f>
        <v>Asia</v>
      </c>
      <c r="L1241" s="14">
        <f>IFERROR(__xludf.DUMMYFUNCTION("""COMPUTED_VALUE"""),8.03E8)</f>
        <v>803000000</v>
      </c>
      <c r="M1241" s="14" t="str">
        <f>IFERROR(__xludf.DUMMYFUNCTION("""COMPUTED_VALUE"""),"Kazakhstan-Asia")</f>
        <v>Kazakhstan-Asia</v>
      </c>
      <c r="N1241" s="14" t="str">
        <f>IFERROR(__xludf.DUMMYFUNCTION("""COMPUTED_VALUE"""),"2004")</f>
        <v>2004</v>
      </c>
      <c r="O1241" s="14">
        <f>IFERROR(__xludf.DUMMYFUNCTION("""COMPUTED_VALUE"""),9.97E8)</f>
        <v>997000000</v>
      </c>
      <c r="P1241" s="15">
        <f>IFERROR(__xludf.DUMMYFUNCTION("ARRAYFORMULA(VLOOKUP(A1241,IMPORTRANGE(""https://docs.google.com/spreadsheets/d/1BuTWp7qHGjWhqrnf-OmePP568O4A5Am9ttzvVdP67zw/edit#gid=771602874"" ,""HUMAN RESOURCES!$A$2:$M$2692""), {2,3,4,5,6,7,8,9,10,11,12,13},0))"),0.018)</f>
        <v>0.018</v>
      </c>
      <c r="Q1241" s="14">
        <f>IFERROR(__xludf.DUMMYFUNCTION("""COMPUTED_VALUE"""),0.03)</f>
        <v>0.03</v>
      </c>
      <c r="R1241" s="14">
        <f>IFERROR(__xludf.DUMMYFUNCTION("""COMPUTED_VALUE"""),72.0)</f>
        <v>72</v>
      </c>
      <c r="S1241" s="14">
        <f>IFERROR(__xludf.DUMMYFUNCTION("""COMPUTED_VALUE"""),60.0)</f>
        <v>60</v>
      </c>
      <c r="T1241" s="14">
        <f>IFERROR(__xludf.DUMMYFUNCTION("""COMPUTED_VALUE"""),0.251)</f>
        <v>0.251</v>
      </c>
      <c r="U1241" s="14">
        <f>IFERROR(__xludf.DUMMYFUNCTION("""COMPUTED_VALUE"""),0.674)</f>
        <v>0.674</v>
      </c>
      <c r="V1241" s="14">
        <f>IFERROR(__xludf.DUMMYFUNCTION("""COMPUTED_VALUE"""),0.076)</f>
        <v>0.076</v>
      </c>
      <c r="W1241" s="14">
        <f>IFERROR(__xludf.DUMMYFUNCTION("""COMPUTED_VALUE"""),1.5012985E7)</f>
        <v>15012985</v>
      </c>
      <c r="X1241" s="14">
        <f>IFERROR(__xludf.DUMMYFUNCTION("""COMPUTED_VALUE"""),0.549)</f>
        <v>0.549</v>
      </c>
      <c r="Y1241" s="14" t="str">
        <f>IFERROR(__xludf.DUMMYFUNCTION("""COMPUTED_VALUE"""),"Kazakhstan-Asia")</f>
        <v>Kazakhstan-Asia</v>
      </c>
      <c r="Z1241" s="14" t="str">
        <f>IFERROR(__xludf.DUMMYFUNCTION("""COMPUTED_VALUE"""),"Asia")</f>
        <v>Asia</v>
      </c>
      <c r="AA1241" s="14" t="str">
        <f>IFERROR(__xludf.DUMMYFUNCTION("""COMPUTED_VALUE"""),"2004")</f>
        <v>2004</v>
      </c>
      <c r="AB1241" s="15" t="str">
        <f>IFERROR(__xludf.DUMMYFUNCTION("ARRAYFORMULA(VLOOKUP(A1241,IMPORTRANGE(""https://docs.google.com/spreadsheets/d/1BuTWp7qHGjWhqrnf-OmePP568O4A5Am9ttzvVdP67zw/edit#gid=1931367683"" ,""ENERGY!$A$2:$F$2692""), {2,3,4,5,6},0))"),"Asia")</f>
        <v>Asia</v>
      </c>
      <c r="AC1241" s="14" t="str">
        <f>IFERROR(__xludf.DUMMYFUNCTION("""COMPUTED_VALUE"""),"Kazakhstan-Asia")</f>
        <v>Kazakhstan-Asia</v>
      </c>
      <c r="AD1241" s="14" t="str">
        <f>IFERROR(__xludf.DUMMYFUNCTION("""COMPUTED_VALUE"""),"2004")</f>
        <v>2004</v>
      </c>
      <c r="AE1241" s="14">
        <f>IFERROR(__xludf.DUMMYFUNCTION("""COMPUTED_VALUE"""),69983.0)</f>
        <v>69983</v>
      </c>
      <c r="AF1241" s="14">
        <f>IFERROR(__xludf.DUMMYFUNCTION("""COMPUTED_VALUE"""),230438.0)</f>
        <v>230438</v>
      </c>
    </row>
    <row r="1242">
      <c r="A1242" s="12">
        <v>1241.0</v>
      </c>
      <c r="B1242" s="12" t="s">
        <v>174</v>
      </c>
      <c r="C1242" s="5" t="s">
        <v>61</v>
      </c>
      <c r="D1242" s="11">
        <v>0.441</v>
      </c>
      <c r="E1242" s="11">
        <v>25.0</v>
      </c>
      <c r="F1242" s="8"/>
      <c r="G1242" s="11">
        <v>271.0</v>
      </c>
      <c r="H1242" s="11">
        <v>0.03</v>
      </c>
      <c r="I1242" s="11">
        <v>0.358</v>
      </c>
      <c r="J1242" s="9" t="s">
        <v>66</v>
      </c>
      <c r="K1242" s="14" t="str">
        <f>IFERROR(__xludf.DUMMYFUNCTION("ARRAYFORMULA(VLOOKUP(A1242,IMPORTRANGE(""https://docs.google.com/spreadsheets/d/1BuTWp7qHGjWhqrnf-OmePP568O4A5Am9ttzvVdP67zw/edit#gid=1603210130"", ""TOURISM!$A$2:$F$2692""), {2,3,4,5,6},0))"),"Asia")</f>
        <v>Asia</v>
      </c>
      <c r="L1242" s="14">
        <f>IFERROR(__xludf.DUMMYFUNCTION("""COMPUTED_VALUE"""),8.01E8)</f>
        <v>801000000</v>
      </c>
      <c r="M1242" s="14" t="str">
        <f>IFERROR(__xludf.DUMMYFUNCTION("""COMPUTED_VALUE"""),"Kazakhstan-Asia")</f>
        <v>Kazakhstan-Asia</v>
      </c>
      <c r="N1242" s="14" t="str">
        <f>IFERROR(__xludf.DUMMYFUNCTION("""COMPUTED_VALUE"""),"2005")</f>
        <v>2005</v>
      </c>
      <c r="O1242" s="14">
        <f>IFERROR(__xludf.DUMMYFUNCTION("""COMPUTED_VALUE"""),9.4E8)</f>
        <v>940000000</v>
      </c>
      <c r="P1242" s="15">
        <f>IFERROR(__xludf.DUMMYFUNCTION("ARRAYFORMULA(VLOOKUP(A1242,IMPORTRANGE(""https://docs.google.com/spreadsheets/d/1BuTWp7qHGjWhqrnf-OmePP568O4A5Am9ttzvVdP67zw/edit#gid=771602874"" ,""HUMAN RESOURCES!$A$2:$M$2692""), {2,3,4,5,6,7,8,9,10,11,12,13},0))"),0.018)</f>
        <v>0.018</v>
      </c>
      <c r="Q1242" s="14">
        <f>IFERROR(__xludf.DUMMYFUNCTION("""COMPUTED_VALUE"""),0.029)</f>
        <v>0.029</v>
      </c>
      <c r="R1242" s="14">
        <f>IFERROR(__xludf.DUMMYFUNCTION("""COMPUTED_VALUE"""),72.0)</f>
        <v>72</v>
      </c>
      <c r="S1242" s="14">
        <f>IFERROR(__xludf.DUMMYFUNCTION("""COMPUTED_VALUE"""),60.0)</f>
        <v>60</v>
      </c>
      <c r="T1242" s="14">
        <f>IFERROR(__xludf.DUMMYFUNCTION("""COMPUTED_VALUE"""),0.247)</f>
        <v>0.247</v>
      </c>
      <c r="U1242" s="14">
        <f>IFERROR(__xludf.DUMMYFUNCTION("""COMPUTED_VALUE"""),0.677)</f>
        <v>0.677</v>
      </c>
      <c r="V1242" s="14">
        <f>IFERROR(__xludf.DUMMYFUNCTION("""COMPUTED_VALUE"""),0.076)</f>
        <v>0.076</v>
      </c>
      <c r="W1242" s="14">
        <f>IFERROR(__xludf.DUMMYFUNCTION("""COMPUTED_VALUE"""),1.5147029E7)</f>
        <v>15147029</v>
      </c>
      <c r="X1242" s="14">
        <f>IFERROR(__xludf.DUMMYFUNCTION("""COMPUTED_VALUE"""),0.547)</f>
        <v>0.547</v>
      </c>
      <c r="Y1242" s="14" t="str">
        <f>IFERROR(__xludf.DUMMYFUNCTION("""COMPUTED_VALUE"""),"Kazakhstan-Asia")</f>
        <v>Kazakhstan-Asia</v>
      </c>
      <c r="Z1242" s="14" t="str">
        <f>IFERROR(__xludf.DUMMYFUNCTION("""COMPUTED_VALUE"""),"Asia")</f>
        <v>Asia</v>
      </c>
      <c r="AA1242" s="14" t="str">
        <f>IFERROR(__xludf.DUMMYFUNCTION("""COMPUTED_VALUE"""),"2005")</f>
        <v>2005</v>
      </c>
      <c r="AB1242" s="15" t="str">
        <f>IFERROR(__xludf.DUMMYFUNCTION("ARRAYFORMULA(VLOOKUP(A1242,IMPORTRANGE(""https://docs.google.com/spreadsheets/d/1BuTWp7qHGjWhqrnf-OmePP568O4A5Am9ttzvVdP67zw/edit#gid=1931367683"" ,""ENERGY!$A$2:$F$2692""), {2,3,4,5,6},0))"),"Asia")</f>
        <v>Asia</v>
      </c>
      <c r="AC1242" s="14" t="str">
        <f>IFERROR(__xludf.DUMMYFUNCTION("""COMPUTED_VALUE"""),"Kazakhstan-Asia")</f>
        <v>Kazakhstan-Asia</v>
      </c>
      <c r="AD1242" s="14" t="str">
        <f>IFERROR(__xludf.DUMMYFUNCTION("""COMPUTED_VALUE"""),"2007")</f>
        <v>2007</v>
      </c>
      <c r="AE1242" s="14">
        <f>IFERROR(__xludf.DUMMYFUNCTION("""COMPUTED_VALUE"""),66231.0)</f>
        <v>66231</v>
      </c>
      <c r="AF1242" s="14">
        <f>IFERROR(__xludf.DUMMYFUNCTION("""COMPUTED_VALUE"""),220313.0)</f>
        <v>220313</v>
      </c>
    </row>
    <row r="1243">
      <c r="A1243" s="12">
        <v>1242.0</v>
      </c>
      <c r="B1243" s="12" t="s">
        <v>174</v>
      </c>
      <c r="C1243" s="5" t="s">
        <v>61</v>
      </c>
      <c r="D1243" s="11">
        <v>0.442</v>
      </c>
      <c r="E1243" s="11">
        <v>21.0</v>
      </c>
      <c r="F1243" s="8"/>
      <c r="G1243" s="11">
        <v>271.0</v>
      </c>
      <c r="H1243" s="11">
        <v>0.033</v>
      </c>
      <c r="I1243" s="11">
        <v>0.511</v>
      </c>
      <c r="J1243" s="9" t="s">
        <v>67</v>
      </c>
      <c r="K1243" s="14" t="str">
        <f>IFERROR(__xludf.DUMMYFUNCTION("ARRAYFORMULA(VLOOKUP(A1243,IMPORTRANGE(""https://docs.google.com/spreadsheets/d/1BuTWp7qHGjWhqrnf-OmePP568O4A5Am9ttzvVdP67zw/edit#gid=1603210130"", ""TOURISM!$A$2:$F$2692""), {2,3,4,5,6},0))"),"Asia")</f>
        <v>Asia</v>
      </c>
      <c r="L1243" s="14">
        <f>IFERROR(__xludf.DUMMYFUNCTION("""COMPUTED_VALUE"""),9.73E8)</f>
        <v>973000000</v>
      </c>
      <c r="M1243" s="14" t="str">
        <f>IFERROR(__xludf.DUMMYFUNCTION("""COMPUTED_VALUE"""),"Kazakhstan-Asia")</f>
        <v>Kazakhstan-Asia</v>
      </c>
      <c r="N1243" s="14" t="str">
        <f>IFERROR(__xludf.DUMMYFUNCTION("""COMPUTED_VALUE"""),"2006")</f>
        <v>2006</v>
      </c>
      <c r="O1243" s="14">
        <f>IFERROR(__xludf.DUMMYFUNCTION("""COMPUTED_VALUE"""),1.06E9)</f>
        <v>1060000000</v>
      </c>
      <c r="P1243" s="15">
        <f>IFERROR(__xludf.DUMMYFUNCTION("ARRAYFORMULA(VLOOKUP(A1243,IMPORTRANGE(""https://docs.google.com/spreadsheets/d/1BuTWp7qHGjWhqrnf-OmePP568O4A5Am9ttzvVdP67zw/edit#gid=771602874"" ,""HUMAN RESOURCES!$A$2:$M$2692""), {2,3,4,5,6,7,8,9,10,11,12,13},0))"),0.02)</f>
        <v>0.02</v>
      </c>
      <c r="Q1243" s="14">
        <f>IFERROR(__xludf.DUMMYFUNCTION("""COMPUTED_VALUE"""),0.027)</f>
        <v>0.027</v>
      </c>
      <c r="R1243" s="14">
        <f>IFERROR(__xludf.DUMMYFUNCTION("""COMPUTED_VALUE"""),72.0)</f>
        <v>72</v>
      </c>
      <c r="S1243" s="14">
        <f>IFERROR(__xludf.DUMMYFUNCTION("""COMPUTED_VALUE"""),61.0)</f>
        <v>61</v>
      </c>
      <c r="T1243" s="14">
        <f>IFERROR(__xludf.DUMMYFUNCTION("""COMPUTED_VALUE"""),0.245)</f>
        <v>0.245</v>
      </c>
      <c r="U1243" s="14">
        <f>IFERROR(__xludf.DUMMYFUNCTION("""COMPUTED_VALUE"""),0.68)</f>
        <v>0.68</v>
      </c>
      <c r="V1243" s="14">
        <f>IFERROR(__xludf.DUMMYFUNCTION("""COMPUTED_VALUE"""),0.075)</f>
        <v>0.075</v>
      </c>
      <c r="W1243" s="14">
        <f>IFERROR(__xludf.DUMMYFUNCTION("""COMPUTED_VALUE"""),1.5308084E7)</f>
        <v>15308084</v>
      </c>
      <c r="X1243" s="14">
        <f>IFERROR(__xludf.DUMMYFUNCTION("""COMPUTED_VALUE"""),0.545)</f>
        <v>0.545</v>
      </c>
      <c r="Y1243" s="14" t="str">
        <f>IFERROR(__xludf.DUMMYFUNCTION("""COMPUTED_VALUE"""),"Kazakhstan-Asia")</f>
        <v>Kazakhstan-Asia</v>
      </c>
      <c r="Z1243" s="14" t="str">
        <f>IFERROR(__xludf.DUMMYFUNCTION("""COMPUTED_VALUE"""),"Asia")</f>
        <v>Asia</v>
      </c>
      <c r="AA1243" s="14" t="str">
        <f>IFERROR(__xludf.DUMMYFUNCTION("""COMPUTED_VALUE"""),"2006")</f>
        <v>2006</v>
      </c>
      <c r="AB1243" s="15" t="str">
        <f>IFERROR(__xludf.DUMMYFUNCTION("ARRAYFORMULA(VLOOKUP(A1243,IMPORTRANGE(""https://docs.google.com/spreadsheets/d/1BuTWp7qHGjWhqrnf-OmePP568O4A5Am9ttzvVdP67zw/edit#gid=1931367683"" ,""ENERGY!$A$2:$F$2692""), {2,3,4,5,6},0))"),"Asia")</f>
        <v>Asia</v>
      </c>
      <c r="AC1243" s="14" t="str">
        <f>IFERROR(__xludf.DUMMYFUNCTION("""COMPUTED_VALUE"""),"Kazakhstan-Asia")</f>
        <v>Kazakhstan-Asia</v>
      </c>
      <c r="AD1243" s="14" t="str">
        <f>IFERROR(__xludf.DUMMYFUNCTION("""COMPUTED_VALUE"""),"2011")</f>
        <v>2011</v>
      </c>
      <c r="AE1243" s="14">
        <f>IFERROR(__xludf.DUMMYFUNCTION("""COMPUTED_VALUE"""),61504.0)</f>
        <v>61504</v>
      </c>
      <c r="AF1243" s="14">
        <f>IFERROR(__xludf.DUMMYFUNCTION("""COMPUTED_VALUE"""),192532.0)</f>
        <v>192532</v>
      </c>
    </row>
    <row r="1244">
      <c r="A1244" s="12">
        <v>1243.0</v>
      </c>
      <c r="B1244" s="12" t="s">
        <v>174</v>
      </c>
      <c r="C1244" s="5" t="s">
        <v>61</v>
      </c>
      <c r="D1244" s="11">
        <v>0.414</v>
      </c>
      <c r="E1244" s="11">
        <v>21.0</v>
      </c>
      <c r="F1244" s="8"/>
      <c r="G1244" s="11">
        <v>271.0</v>
      </c>
      <c r="H1244" s="11">
        <v>0.04</v>
      </c>
      <c r="I1244" s="11">
        <v>0.8</v>
      </c>
      <c r="J1244" s="9" t="s">
        <v>68</v>
      </c>
      <c r="K1244" s="14" t="str">
        <f>IFERROR(__xludf.DUMMYFUNCTION("ARRAYFORMULA(VLOOKUP(A1244,IMPORTRANGE(""https://docs.google.com/spreadsheets/d/1BuTWp7qHGjWhqrnf-OmePP568O4A5Am9ttzvVdP67zw/edit#gid=1603210130"", ""TOURISM!$A$2:$F$2692""), {2,3,4,5,6},0))"),"Asia")</f>
        <v>Asia</v>
      </c>
      <c r="L1244" s="14">
        <f>IFERROR(__xludf.DUMMYFUNCTION("""COMPUTED_VALUE"""),1.213E9)</f>
        <v>1213000000</v>
      </c>
      <c r="M1244" s="14" t="str">
        <f>IFERROR(__xludf.DUMMYFUNCTION("""COMPUTED_VALUE"""),"Kazakhstan-Asia")</f>
        <v>Kazakhstan-Asia</v>
      </c>
      <c r="N1244" s="14" t="str">
        <f>IFERROR(__xludf.DUMMYFUNCTION("""COMPUTED_VALUE"""),"2007")</f>
        <v>2007</v>
      </c>
      <c r="O1244" s="14">
        <f>IFERROR(__xludf.DUMMYFUNCTION("""COMPUTED_VALUE"""),1.396E9)</f>
        <v>1396000000</v>
      </c>
      <c r="P1244" s="15">
        <f>IFERROR(__xludf.DUMMYFUNCTION("ARRAYFORMULA(VLOOKUP(A1244,IMPORTRANGE(""https://docs.google.com/spreadsheets/d/1BuTWp7qHGjWhqrnf-OmePP568O4A5Am9ttzvVdP67zw/edit#gid=771602874"" ,""HUMAN RESOURCES!$A$2:$M$2692""), {2,3,4,5,6,7,8,9,10,11,12,13},0))"),0.021)</f>
        <v>0.021</v>
      </c>
      <c r="Q1244" s="14">
        <f>IFERROR(__xludf.DUMMYFUNCTION("""COMPUTED_VALUE"""),0.025)</f>
        <v>0.025</v>
      </c>
      <c r="R1244" s="14">
        <f>IFERROR(__xludf.DUMMYFUNCTION("""COMPUTED_VALUE"""),73.0)</f>
        <v>73</v>
      </c>
      <c r="S1244" s="14">
        <f>IFERROR(__xludf.DUMMYFUNCTION("""COMPUTED_VALUE"""),61.0)</f>
        <v>61</v>
      </c>
      <c r="T1244" s="14">
        <f>IFERROR(__xludf.DUMMYFUNCTION("""COMPUTED_VALUE"""),0.244)</f>
        <v>0.244</v>
      </c>
      <c r="U1244" s="14">
        <f>IFERROR(__xludf.DUMMYFUNCTION("""COMPUTED_VALUE"""),0.682)</f>
        <v>0.682</v>
      </c>
      <c r="V1244" s="14">
        <f>IFERROR(__xludf.DUMMYFUNCTION("""COMPUTED_VALUE"""),0.073)</f>
        <v>0.073</v>
      </c>
      <c r="W1244" s="14">
        <f>IFERROR(__xludf.DUMMYFUNCTION("""COMPUTED_VALUE"""),1.5484192E7)</f>
        <v>15484192</v>
      </c>
      <c r="X1244" s="14">
        <f>IFERROR(__xludf.DUMMYFUNCTION("""COMPUTED_VALUE"""),0.543)</f>
        <v>0.543</v>
      </c>
      <c r="Y1244" s="14" t="str">
        <f>IFERROR(__xludf.DUMMYFUNCTION("""COMPUTED_VALUE"""),"Kazakhstan-Asia")</f>
        <v>Kazakhstan-Asia</v>
      </c>
      <c r="Z1244" s="14" t="str">
        <f>IFERROR(__xludf.DUMMYFUNCTION("""COMPUTED_VALUE"""),"Asia")</f>
        <v>Asia</v>
      </c>
      <c r="AA1244" s="14" t="str">
        <f>IFERROR(__xludf.DUMMYFUNCTION("""COMPUTED_VALUE"""),"2007")</f>
        <v>2007</v>
      </c>
      <c r="AB1244" s="15" t="str">
        <f>IFERROR(__xludf.DUMMYFUNCTION("ARRAYFORMULA(VLOOKUP(A1244,IMPORTRANGE(""https://docs.google.com/spreadsheets/d/1BuTWp7qHGjWhqrnf-OmePP568O4A5Am9ttzvVdP67zw/edit#gid=1931367683"" ,""ENERGY!$A$2:$F$2692""), {2,3,4,5,6},0))"),"Asia")</f>
        <v>Asia</v>
      </c>
      <c r="AC1244" s="14" t="str">
        <f>IFERROR(__xludf.DUMMYFUNCTION("""COMPUTED_VALUE"""),"Kazakhstan-Asia")</f>
        <v>Kazakhstan-Asia</v>
      </c>
      <c r="AD1244" s="14" t="str">
        <f>IFERROR(__xludf.DUMMYFUNCTION("""COMPUTED_VALUE"""),"2008")</f>
        <v>2008</v>
      </c>
      <c r="AE1244" s="14">
        <f>IFERROR(__xludf.DUMMYFUNCTION("""COMPUTED_VALUE"""),50805.0)</f>
        <v>50805</v>
      </c>
      <c r="AF1244" s="14">
        <f>IFERROR(__xludf.DUMMYFUNCTION("""COMPUTED_VALUE"""),176947.0)</f>
        <v>176947</v>
      </c>
    </row>
    <row r="1245">
      <c r="A1245" s="12">
        <v>1244.0</v>
      </c>
      <c r="B1245" s="12" t="s">
        <v>174</v>
      </c>
      <c r="C1245" s="5" t="s">
        <v>61</v>
      </c>
      <c r="D1245" s="11">
        <v>0.415</v>
      </c>
      <c r="E1245" s="11">
        <v>21.0</v>
      </c>
      <c r="F1245" s="8"/>
      <c r="G1245" s="11">
        <v>271.0</v>
      </c>
      <c r="H1245" s="11">
        <v>0.11</v>
      </c>
      <c r="I1245" s="11">
        <v>0.958</v>
      </c>
      <c r="J1245" s="9" t="s">
        <v>69</v>
      </c>
      <c r="K1245" s="14" t="str">
        <f>IFERROR(__xludf.DUMMYFUNCTION("ARRAYFORMULA(VLOOKUP(A1245,IMPORTRANGE(""https://docs.google.com/spreadsheets/d/1BuTWp7qHGjWhqrnf-OmePP568O4A5Am9ttzvVdP67zw/edit#gid=1603210130"", ""TOURISM!$A$2:$F$2692""), {2,3,4,5,6},0))"),"Asia")</f>
        <v>Asia</v>
      </c>
      <c r="L1245" s="14">
        <f>IFERROR(__xludf.DUMMYFUNCTION("""COMPUTED_VALUE"""),1.255E9)</f>
        <v>1255000000</v>
      </c>
      <c r="M1245" s="14" t="str">
        <f>IFERROR(__xludf.DUMMYFUNCTION("""COMPUTED_VALUE"""),"Kazakhstan-Asia")</f>
        <v>Kazakhstan-Asia</v>
      </c>
      <c r="N1245" s="14" t="str">
        <f>IFERROR(__xludf.DUMMYFUNCTION("""COMPUTED_VALUE"""),"2008")</f>
        <v>2008</v>
      </c>
      <c r="O1245" s="14">
        <f>IFERROR(__xludf.DUMMYFUNCTION("""COMPUTED_VALUE"""),1.361E9)</f>
        <v>1361000000</v>
      </c>
      <c r="P1245" s="15">
        <f>IFERROR(__xludf.DUMMYFUNCTION("ARRAYFORMULA(VLOOKUP(A1245,IMPORTRANGE(""https://docs.google.com/spreadsheets/d/1BuTWp7qHGjWhqrnf-OmePP568O4A5Am9ttzvVdP67zw/edit#gid=771602874"" ,""HUMAN RESOURCES!$A$2:$M$2692""), {2,3,4,5,6,7,8,9,10,11,12,13},0))"),0.023)</f>
        <v>0.023</v>
      </c>
      <c r="Q1245" s="14">
        <f>IFERROR(__xludf.DUMMYFUNCTION("""COMPUTED_VALUE"""),0.023)</f>
        <v>0.023</v>
      </c>
      <c r="R1245" s="14">
        <f>IFERROR(__xludf.DUMMYFUNCTION("""COMPUTED_VALUE"""),72.0)</f>
        <v>72</v>
      </c>
      <c r="S1245" s="14">
        <f>IFERROR(__xludf.DUMMYFUNCTION("""COMPUTED_VALUE"""),62.0)</f>
        <v>62</v>
      </c>
      <c r="T1245" s="14">
        <f>IFERROR(__xludf.DUMMYFUNCTION("""COMPUTED_VALUE"""),0.245)</f>
        <v>0.245</v>
      </c>
      <c r="U1245" s="14">
        <f>IFERROR(__xludf.DUMMYFUNCTION("""COMPUTED_VALUE"""),0.684)</f>
        <v>0.684</v>
      </c>
      <c r="V1245" s="14">
        <f>IFERROR(__xludf.DUMMYFUNCTION("""COMPUTED_VALUE"""),0.071)</f>
        <v>0.071</v>
      </c>
      <c r="W1245" s="14">
        <f>IFERROR(__xludf.DUMMYFUNCTION("""COMPUTED_VALUE"""),1.5674E7)</f>
        <v>15674000</v>
      </c>
      <c r="X1245" s="14">
        <f>IFERROR(__xludf.DUMMYFUNCTION("""COMPUTED_VALUE"""),0.541)</f>
        <v>0.541</v>
      </c>
      <c r="Y1245" s="14" t="str">
        <f>IFERROR(__xludf.DUMMYFUNCTION("""COMPUTED_VALUE"""),"Kazakhstan-Asia")</f>
        <v>Kazakhstan-Asia</v>
      </c>
      <c r="Z1245" s="14" t="str">
        <f>IFERROR(__xludf.DUMMYFUNCTION("""COMPUTED_VALUE"""),"Asia")</f>
        <v>Asia</v>
      </c>
      <c r="AA1245" s="14" t="str">
        <f>IFERROR(__xludf.DUMMYFUNCTION("""COMPUTED_VALUE"""),"2008")</f>
        <v>2008</v>
      </c>
      <c r="AB1245" s="15" t="str">
        <f>IFERROR(__xludf.DUMMYFUNCTION("ARRAYFORMULA(VLOOKUP(A1245,IMPORTRANGE(""https://docs.google.com/spreadsheets/d/1BuTWp7qHGjWhqrnf-OmePP568O4A5Am9ttzvVdP67zw/edit#gid=1931367683"" ,""ENERGY!$A$2:$F$2692""), {2,3,4,5,6},0))"),"Asia")</f>
        <v>Asia</v>
      </c>
      <c r="AC1245" s="14" t="str">
        <f>IFERROR(__xludf.DUMMYFUNCTION("""COMPUTED_VALUE"""),"Kazakhstan-Asia")</f>
        <v>Kazakhstan-Asia</v>
      </c>
      <c r="AD1245" s="14" t="str">
        <f>IFERROR(__xludf.DUMMYFUNCTION("""COMPUTED_VALUE"""),"2006")</f>
        <v>2006</v>
      </c>
      <c r="AE1245" s="14">
        <f>IFERROR(__xludf.DUMMYFUNCTION("""COMPUTED_VALUE"""),50717.0)</f>
        <v>50717</v>
      </c>
      <c r="AF1245" s="14">
        <f>IFERROR(__xludf.DUMMYFUNCTION("""COMPUTED_VALUE"""),172158.0)</f>
        <v>172158</v>
      </c>
    </row>
    <row r="1246">
      <c r="A1246" s="12">
        <v>1245.0</v>
      </c>
      <c r="B1246" s="12" t="s">
        <v>174</v>
      </c>
      <c r="C1246" s="5" t="s">
        <v>61</v>
      </c>
      <c r="D1246" s="11">
        <v>0.347</v>
      </c>
      <c r="E1246" s="11">
        <v>20.0</v>
      </c>
      <c r="F1246" s="8"/>
      <c r="G1246" s="11">
        <v>271.0</v>
      </c>
      <c r="H1246" s="11">
        <v>0.182</v>
      </c>
      <c r="I1246" s="11">
        <v>1.084</v>
      </c>
      <c r="J1246" s="9" t="s">
        <v>70</v>
      </c>
      <c r="K1246" s="14" t="str">
        <f>IFERROR(__xludf.DUMMYFUNCTION("ARRAYFORMULA(VLOOKUP(A1246,IMPORTRANGE(""https://docs.google.com/spreadsheets/d/1BuTWp7qHGjWhqrnf-OmePP568O4A5Am9ttzvVdP67zw/edit#gid=1603210130"", ""TOURISM!$A$2:$F$2692""), {2,3,4,5,6},0))"),"Asia")</f>
        <v>Asia</v>
      </c>
      <c r="L1246" s="14">
        <f>IFERROR(__xludf.DUMMYFUNCTION("""COMPUTED_VALUE"""),1.185E9)</f>
        <v>1185000000</v>
      </c>
      <c r="M1246" s="14" t="str">
        <f>IFERROR(__xludf.DUMMYFUNCTION("""COMPUTED_VALUE"""),"Kazakhstan-Asia")</f>
        <v>Kazakhstan-Asia</v>
      </c>
      <c r="N1246" s="14" t="str">
        <f>IFERROR(__xludf.DUMMYFUNCTION("""COMPUTED_VALUE"""),"2009")</f>
        <v>2009</v>
      </c>
      <c r="O1246" s="14">
        <f>IFERROR(__xludf.DUMMYFUNCTION("""COMPUTED_VALUE"""),1.319E9)</f>
        <v>1319000000</v>
      </c>
      <c r="P1246" s="15">
        <f>IFERROR(__xludf.DUMMYFUNCTION("ARRAYFORMULA(VLOOKUP(A1246,IMPORTRANGE(""https://docs.google.com/spreadsheets/d/1BuTWp7qHGjWhqrnf-OmePP568O4A5Am9ttzvVdP67zw/edit#gid=771602874"" ,""HUMAN RESOURCES!$A$2:$M$2692""), {2,3,4,5,6,7,8,9,10,11,12,13},0))"),0.022)</f>
        <v>0.022</v>
      </c>
      <c r="Q1246" s="14">
        <f>IFERROR(__xludf.DUMMYFUNCTION("""COMPUTED_VALUE"""),0.021)</f>
        <v>0.021</v>
      </c>
      <c r="R1246" s="14">
        <f>IFERROR(__xludf.DUMMYFUNCTION("""COMPUTED_VALUE"""),74.0)</f>
        <v>74</v>
      </c>
      <c r="S1246" s="14">
        <f>IFERROR(__xludf.DUMMYFUNCTION("""COMPUTED_VALUE"""),64.0)</f>
        <v>64</v>
      </c>
      <c r="T1246" s="14">
        <f>IFERROR(__xludf.DUMMYFUNCTION("""COMPUTED_VALUE"""),0.247)</f>
        <v>0.247</v>
      </c>
      <c r="U1246" s="14">
        <f>IFERROR(__xludf.DUMMYFUNCTION("""COMPUTED_VALUE"""),0.685)</f>
        <v>0.685</v>
      </c>
      <c r="V1246" s="14">
        <f>IFERROR(__xludf.DUMMYFUNCTION("""COMPUTED_VALUE"""),0.068)</f>
        <v>0.068</v>
      </c>
      <c r="W1246" s="14">
        <f>IFERROR(__xludf.DUMMYFUNCTION("""COMPUTED_VALUE"""),1.6092701E7)</f>
        <v>16092701</v>
      </c>
      <c r="X1246" s="14">
        <f>IFERROR(__xludf.DUMMYFUNCTION("""COMPUTED_VALUE"""),0.539)</f>
        <v>0.539</v>
      </c>
      <c r="Y1246" s="14" t="str">
        <f>IFERROR(__xludf.DUMMYFUNCTION("""COMPUTED_VALUE"""),"Kazakhstan-Asia")</f>
        <v>Kazakhstan-Asia</v>
      </c>
      <c r="Z1246" s="14" t="str">
        <f>IFERROR(__xludf.DUMMYFUNCTION("""COMPUTED_VALUE"""),"Asia")</f>
        <v>Asia</v>
      </c>
      <c r="AA1246" s="14" t="str">
        <f>IFERROR(__xludf.DUMMYFUNCTION("""COMPUTED_VALUE"""),"2009")</f>
        <v>2009</v>
      </c>
      <c r="AB1246" s="15" t="str">
        <f>IFERROR(__xludf.DUMMYFUNCTION("ARRAYFORMULA(VLOOKUP(A1246,IMPORTRANGE(""https://docs.google.com/spreadsheets/d/1BuTWp7qHGjWhqrnf-OmePP568O4A5Am9ttzvVdP67zw/edit#gid=1931367683"" ,""ENERGY!$A$2:$F$2692""), {2,3,4,5,6},0))"),"Asia")</f>
        <v>Asia</v>
      </c>
      <c r="AC1246" s="14" t="str">
        <f>IFERROR(__xludf.DUMMYFUNCTION("""COMPUTED_VALUE"""),"Kazakhstan-Asia")</f>
        <v>Kazakhstan-Asia</v>
      </c>
      <c r="AD1246" s="14" t="str">
        <f>IFERROR(__xludf.DUMMYFUNCTION("""COMPUTED_VALUE"""),"2010")</f>
        <v>2010</v>
      </c>
      <c r="AE1246" s="14">
        <f>IFERROR(__xludf.DUMMYFUNCTION("""COMPUTED_VALUE"""),43041.0)</f>
        <v>43041</v>
      </c>
      <c r="AF1246" s="14">
        <f>IFERROR(__xludf.DUMMYFUNCTION("""COMPUTED_VALUE"""),153816.0)</f>
        <v>153816</v>
      </c>
    </row>
    <row r="1247">
      <c r="A1247" s="12">
        <v>1246.0</v>
      </c>
      <c r="B1247" s="12" t="s">
        <v>174</v>
      </c>
      <c r="C1247" s="5" t="s">
        <v>61</v>
      </c>
      <c r="D1247" s="11">
        <v>0.286</v>
      </c>
      <c r="E1247" s="11">
        <v>19.0</v>
      </c>
      <c r="F1247" s="8"/>
      <c r="G1247" s="11">
        <v>271.0</v>
      </c>
      <c r="H1247" s="11">
        <v>0.316</v>
      </c>
      <c r="I1247" s="11">
        <v>1.219</v>
      </c>
      <c r="J1247" s="9" t="s">
        <v>71</v>
      </c>
      <c r="K1247" s="14" t="str">
        <f>IFERROR(__xludf.DUMMYFUNCTION("ARRAYFORMULA(VLOOKUP(A1247,IMPORTRANGE(""https://docs.google.com/spreadsheets/d/1BuTWp7qHGjWhqrnf-OmePP568O4A5Am9ttzvVdP67zw/edit#gid=1603210130"", ""TOURISM!$A$2:$F$2692""), {2,3,4,5,6},0))"),"Asia")</f>
        <v>Asia</v>
      </c>
      <c r="L1247" s="14">
        <f>IFERROR(__xludf.DUMMYFUNCTION("""COMPUTED_VALUE"""),1.236E9)</f>
        <v>1236000000</v>
      </c>
      <c r="M1247" s="14" t="str">
        <f>IFERROR(__xludf.DUMMYFUNCTION("""COMPUTED_VALUE"""),"Kazakhstan-Asia")</f>
        <v>Kazakhstan-Asia</v>
      </c>
      <c r="N1247" s="14" t="str">
        <f>IFERROR(__xludf.DUMMYFUNCTION("""COMPUTED_VALUE"""),"2010")</f>
        <v>2010</v>
      </c>
      <c r="O1247" s="14">
        <f>IFERROR(__xludf.DUMMYFUNCTION("""COMPUTED_VALUE"""),1.489E9)</f>
        <v>1489000000</v>
      </c>
      <c r="P1247" s="15">
        <f>IFERROR(__xludf.DUMMYFUNCTION("ARRAYFORMULA(VLOOKUP(A1247,IMPORTRANGE(""https://docs.google.com/spreadsheets/d/1BuTWp7qHGjWhqrnf-OmePP568O4A5Am9ttzvVdP67zw/edit#gid=771602874"" ,""HUMAN RESOURCES!$A$2:$M$2692""), {2,3,4,5,6,7,8,9,10,11,12,13},0))"),0.023)</f>
        <v>0.023</v>
      </c>
      <c r="Q1247" s="14">
        <f>IFERROR(__xludf.DUMMYFUNCTION("""COMPUTED_VALUE"""),0.019)</f>
        <v>0.019</v>
      </c>
      <c r="R1247" s="14">
        <f>IFERROR(__xludf.DUMMYFUNCTION("""COMPUTED_VALUE"""),73.0)</f>
        <v>73</v>
      </c>
      <c r="S1247" s="14">
        <f>IFERROR(__xludf.DUMMYFUNCTION("""COMPUTED_VALUE"""),64.0)</f>
        <v>64</v>
      </c>
      <c r="T1247" s="14">
        <f>IFERROR(__xludf.DUMMYFUNCTION("""COMPUTED_VALUE"""),0.249)</f>
        <v>0.249</v>
      </c>
      <c r="U1247" s="14">
        <f>IFERROR(__xludf.DUMMYFUNCTION("""COMPUTED_VALUE"""),0.684)</f>
        <v>0.684</v>
      </c>
      <c r="V1247" s="14">
        <f>IFERROR(__xludf.DUMMYFUNCTION("""COMPUTED_VALUE"""),0.067)</f>
        <v>0.067</v>
      </c>
      <c r="W1247" s="14">
        <f>IFERROR(__xludf.DUMMYFUNCTION("""COMPUTED_VALUE"""),1.6321581E7)</f>
        <v>16321581</v>
      </c>
      <c r="X1247" s="14">
        <f>IFERROR(__xludf.DUMMYFUNCTION("""COMPUTED_VALUE"""),0.537)</f>
        <v>0.537</v>
      </c>
      <c r="Y1247" s="14" t="str">
        <f>IFERROR(__xludf.DUMMYFUNCTION("""COMPUTED_VALUE"""),"Kazakhstan-Asia")</f>
        <v>Kazakhstan-Asia</v>
      </c>
      <c r="Z1247" s="14" t="str">
        <f>IFERROR(__xludf.DUMMYFUNCTION("""COMPUTED_VALUE"""),"Asia")</f>
        <v>Asia</v>
      </c>
      <c r="AA1247" s="14" t="str">
        <f>IFERROR(__xludf.DUMMYFUNCTION("""COMPUTED_VALUE"""),"2010")</f>
        <v>2010</v>
      </c>
      <c r="AB1247" s="15" t="str">
        <f>IFERROR(__xludf.DUMMYFUNCTION("ARRAYFORMULA(VLOOKUP(A1247,IMPORTRANGE(""https://docs.google.com/spreadsheets/d/1BuTWp7qHGjWhqrnf-OmePP568O4A5Am9ttzvVdP67zw/edit#gid=1931367683"" ,""ENERGY!$A$2:$F$2692""), {2,3,4,5,6},0))"),"Asia")</f>
        <v>Asia</v>
      </c>
      <c r="AC1247" s="14" t="str">
        <f>IFERROR(__xludf.DUMMYFUNCTION("""COMPUTED_VALUE"""),"Kazakhstan-Asia")</f>
        <v>Kazakhstan-Asia</v>
      </c>
      <c r="AD1247" s="14" t="str">
        <f>IFERROR(__xludf.DUMMYFUNCTION("""COMPUTED_VALUE"""),"2011")</f>
        <v>2011</v>
      </c>
      <c r="AE1247" s="14">
        <f>IFERROR(__xludf.DUMMYFUNCTION("""COMPUTED_VALUE"""),39679.0)</f>
        <v>39679</v>
      </c>
      <c r="AF1247" s="14">
        <f>IFERROR(__xludf.DUMMYFUNCTION("""COMPUTED_VALUE"""),151946.0)</f>
        <v>151946</v>
      </c>
    </row>
    <row r="1248">
      <c r="A1248" s="12">
        <v>1247.0</v>
      </c>
      <c r="B1248" s="12" t="s">
        <v>174</v>
      </c>
      <c r="C1248" s="5" t="s">
        <v>61</v>
      </c>
      <c r="D1248" s="11">
        <v>0.286</v>
      </c>
      <c r="E1248" s="11">
        <v>19.0</v>
      </c>
      <c r="F1248" s="8"/>
      <c r="G1248" s="11">
        <v>188.0</v>
      </c>
      <c r="H1248" s="11">
        <v>0.506</v>
      </c>
      <c r="I1248" s="11">
        <v>1.568</v>
      </c>
      <c r="J1248" s="9" t="s">
        <v>72</v>
      </c>
      <c r="K1248" s="14" t="str">
        <f>IFERROR(__xludf.DUMMYFUNCTION("ARRAYFORMULA(VLOOKUP(A1248,IMPORTRANGE(""https://docs.google.com/spreadsheets/d/1BuTWp7qHGjWhqrnf-OmePP568O4A5Am9ttzvVdP67zw/edit#gid=1603210130"", ""TOURISM!$A$2:$F$2692""), {2,3,4,5,6},0))"),"Asia")</f>
        <v>Asia</v>
      </c>
      <c r="L1248" s="14">
        <f>IFERROR(__xludf.DUMMYFUNCTION("""COMPUTED_VALUE"""),1.524E9)</f>
        <v>1524000000</v>
      </c>
      <c r="M1248" s="14" t="str">
        <f>IFERROR(__xludf.DUMMYFUNCTION("""COMPUTED_VALUE"""),"Kazakhstan-Asia")</f>
        <v>Kazakhstan-Asia</v>
      </c>
      <c r="N1248" s="14" t="str">
        <f>IFERROR(__xludf.DUMMYFUNCTION("""COMPUTED_VALUE"""),"2011")</f>
        <v>2011</v>
      </c>
      <c r="O1248" s="14">
        <f>IFERROR(__xludf.DUMMYFUNCTION("""COMPUTED_VALUE"""),1.831E9)</f>
        <v>1831000000</v>
      </c>
      <c r="P1248" s="15">
        <f>IFERROR(__xludf.DUMMYFUNCTION("ARRAYFORMULA(VLOOKUP(A1248,IMPORTRANGE(""https://docs.google.com/spreadsheets/d/1BuTWp7qHGjWhqrnf-OmePP568O4A5Am9ttzvVdP67zw/edit#gid=771602874"" ,""HUMAN RESOURCES!$A$2:$M$2692""), {2,3,4,5,6,7,8,9,10,11,12,13},0))"),0.023)</f>
        <v>0.023</v>
      </c>
      <c r="Q1248" s="14">
        <f>IFERROR(__xludf.DUMMYFUNCTION("""COMPUTED_VALUE"""),0.018)</f>
        <v>0.018</v>
      </c>
      <c r="R1248" s="14">
        <f>IFERROR(__xludf.DUMMYFUNCTION("""COMPUTED_VALUE"""),74.0)</f>
        <v>74</v>
      </c>
      <c r="S1248" s="14">
        <f>IFERROR(__xludf.DUMMYFUNCTION("""COMPUTED_VALUE"""),64.0)</f>
        <v>64</v>
      </c>
      <c r="T1248" s="14">
        <f>IFERROR(__xludf.DUMMYFUNCTION("""COMPUTED_VALUE"""),0.252)</f>
        <v>0.252</v>
      </c>
      <c r="U1248" s="14">
        <f>IFERROR(__xludf.DUMMYFUNCTION("""COMPUTED_VALUE"""),0.683)</f>
        <v>0.683</v>
      </c>
      <c r="V1248" s="14">
        <f>IFERROR(__xludf.DUMMYFUNCTION("""COMPUTED_VALUE"""),0.066)</f>
        <v>0.066</v>
      </c>
      <c r="W1248" s="14">
        <f>IFERROR(__xludf.DUMMYFUNCTION("""COMPUTED_VALUE"""),1.65566E7)</f>
        <v>16556600</v>
      </c>
      <c r="X1248" s="14">
        <f>IFERROR(__xludf.DUMMYFUNCTION("""COMPUTED_VALUE"""),0.536)</f>
        <v>0.536</v>
      </c>
      <c r="Y1248" s="14" t="str">
        <f>IFERROR(__xludf.DUMMYFUNCTION("""COMPUTED_VALUE"""),"Kazakhstan-Asia")</f>
        <v>Kazakhstan-Asia</v>
      </c>
      <c r="Z1248" s="14" t="str">
        <f>IFERROR(__xludf.DUMMYFUNCTION("""COMPUTED_VALUE"""),"Asia")</f>
        <v>Asia</v>
      </c>
      <c r="AA1248" s="14" t="str">
        <f>IFERROR(__xludf.DUMMYFUNCTION("""COMPUTED_VALUE"""),"2011")</f>
        <v>2011</v>
      </c>
      <c r="AB1248" s="15" t="str">
        <f>IFERROR(__xludf.DUMMYFUNCTION("ARRAYFORMULA(VLOOKUP(A1248,IMPORTRANGE(""https://docs.google.com/spreadsheets/d/1BuTWp7qHGjWhqrnf-OmePP568O4A5Am9ttzvVdP67zw/edit#gid=1931367683"" ,""ENERGY!$A$2:$F$2692""), {2,3,4,5,6},0))"),"Asia")</f>
        <v>Asia</v>
      </c>
      <c r="AC1248" s="14" t="str">
        <f>IFERROR(__xludf.DUMMYFUNCTION("""COMPUTED_VALUE"""),"Kazakhstan-Asia")</f>
        <v>Kazakhstan-Asia</v>
      </c>
      <c r="AD1248" s="14" t="str">
        <f>IFERROR(__xludf.DUMMYFUNCTION("""COMPUTED_VALUE"""),"2005")</f>
        <v>2005</v>
      </c>
      <c r="AE1248" s="14">
        <f>IFERROR(__xludf.DUMMYFUNCTION("""COMPUTED_VALUE"""),34493.0)</f>
        <v>34493</v>
      </c>
      <c r="AF1248" s="14">
        <f>IFERROR(__xludf.DUMMYFUNCTION("""COMPUTED_VALUE"""),147908.0)</f>
        <v>147908</v>
      </c>
    </row>
    <row r="1249">
      <c r="A1249" s="12">
        <v>1248.0</v>
      </c>
      <c r="B1249" s="12" t="s">
        <v>174</v>
      </c>
      <c r="C1249" s="5" t="s">
        <v>61</v>
      </c>
      <c r="D1249" s="11">
        <v>0.286</v>
      </c>
      <c r="E1249" s="11">
        <v>19.0</v>
      </c>
      <c r="F1249" s="11">
        <v>53.0</v>
      </c>
      <c r="G1249" s="11">
        <v>188.0</v>
      </c>
      <c r="H1249" s="11">
        <v>0.533</v>
      </c>
      <c r="I1249" s="11">
        <v>1.858</v>
      </c>
      <c r="J1249" s="9" t="s">
        <v>73</v>
      </c>
      <c r="K1249" s="14" t="str">
        <f>IFERROR(__xludf.DUMMYFUNCTION("ARRAYFORMULA(VLOOKUP(A1249,IMPORTRANGE(""https://docs.google.com/spreadsheets/d/1BuTWp7qHGjWhqrnf-OmePP568O4A5Am9ttzvVdP67zw/edit#gid=1603210130"", ""TOURISM!$A$2:$F$2692""), {2,3,4,5,6},0))"),"Asia")</f>
        <v>Asia</v>
      </c>
      <c r="L1249" s="14">
        <f>IFERROR(__xludf.DUMMYFUNCTION("""COMPUTED_VALUE"""),1.572E9)</f>
        <v>1572000000</v>
      </c>
      <c r="M1249" s="14" t="str">
        <f>IFERROR(__xludf.DUMMYFUNCTION("""COMPUTED_VALUE"""),"Kazakhstan-Asia")</f>
        <v>Kazakhstan-Asia</v>
      </c>
      <c r="N1249" s="14" t="str">
        <f>IFERROR(__xludf.DUMMYFUNCTION("""COMPUTED_VALUE"""),"2012")</f>
        <v>2012</v>
      </c>
      <c r="O1249" s="14">
        <f>IFERROR(__xludf.DUMMYFUNCTION("""COMPUTED_VALUE"""),2.119E9)</f>
        <v>2119000000</v>
      </c>
      <c r="P1249" s="15">
        <f>IFERROR(__xludf.DUMMYFUNCTION("ARRAYFORMULA(VLOOKUP(A1249,IMPORTRANGE(""https://docs.google.com/spreadsheets/d/1BuTWp7qHGjWhqrnf-OmePP568O4A5Am9ttzvVdP67zw/edit#gid=771602874"" ,""HUMAN RESOURCES!$A$2:$M$2692""), {2,3,4,5,6,7,8,9,10,11,12,13},0))"),0.023)</f>
        <v>0.023</v>
      </c>
      <c r="Q1249" s="14">
        <f>IFERROR(__xludf.DUMMYFUNCTION("""COMPUTED_VALUE"""),0.016)</f>
        <v>0.016</v>
      </c>
      <c r="R1249" s="14">
        <f>IFERROR(__xludf.DUMMYFUNCTION("""COMPUTED_VALUE"""),74.0)</f>
        <v>74</v>
      </c>
      <c r="S1249" s="14">
        <f>IFERROR(__xludf.DUMMYFUNCTION("""COMPUTED_VALUE"""),65.0)</f>
        <v>65</v>
      </c>
      <c r="T1249" s="14">
        <f>IFERROR(__xludf.DUMMYFUNCTION("""COMPUTED_VALUE"""),0.255)</f>
        <v>0.255</v>
      </c>
      <c r="U1249" s="14">
        <f>IFERROR(__xludf.DUMMYFUNCTION("""COMPUTED_VALUE"""),0.68)</f>
        <v>0.68</v>
      </c>
      <c r="V1249" s="14">
        <f>IFERROR(__xludf.DUMMYFUNCTION("""COMPUTED_VALUE"""),0.066)</f>
        <v>0.066</v>
      </c>
      <c r="W1249" s="14">
        <f>IFERROR(__xludf.DUMMYFUNCTION("""COMPUTED_VALUE"""),1.6791425E7)</f>
        <v>16791425</v>
      </c>
      <c r="X1249" s="14">
        <f>IFERROR(__xludf.DUMMYFUNCTION("""COMPUTED_VALUE"""),0.535)</f>
        <v>0.535</v>
      </c>
      <c r="Y1249" s="14" t="str">
        <f>IFERROR(__xludf.DUMMYFUNCTION("""COMPUTED_VALUE"""),"Kazakhstan-Asia")</f>
        <v>Kazakhstan-Asia</v>
      </c>
      <c r="Z1249" s="14" t="str">
        <f>IFERROR(__xludf.DUMMYFUNCTION("""COMPUTED_VALUE"""),"Asia")</f>
        <v>Asia</v>
      </c>
      <c r="AA1249" s="14" t="str">
        <f>IFERROR(__xludf.DUMMYFUNCTION("""COMPUTED_VALUE"""),"2012")</f>
        <v>2012</v>
      </c>
      <c r="AB1249" s="15" t="str">
        <f>IFERROR(__xludf.DUMMYFUNCTION("ARRAYFORMULA(VLOOKUP(A1249,IMPORTRANGE(""https://docs.google.com/spreadsheets/d/1BuTWp7qHGjWhqrnf-OmePP568O4A5Am9ttzvVdP67zw/edit#gid=1931367683"" ,""ENERGY!$A$2:$F$2692""), {2,3,4,5,6},0))"),"Asia")</f>
        <v>Asia</v>
      </c>
      <c r="AC1249" s="14" t="str">
        <f>IFERROR(__xludf.DUMMYFUNCTION("""COMPUTED_VALUE"""),"Kazakhstan-Asia")</f>
        <v>Kazakhstan-Asia</v>
      </c>
      <c r="AD1249" s="14" t="str">
        <f>IFERROR(__xludf.DUMMYFUNCTION("""COMPUTED_VALUE"""),"2010")</f>
        <v>2010</v>
      </c>
      <c r="AE1249" s="14">
        <f>IFERROR(__xludf.DUMMYFUNCTION("""COMPUTED_VALUE"""),35679.0)</f>
        <v>35679</v>
      </c>
      <c r="AF1249" s="14">
        <f>IFERROR(__xludf.DUMMYFUNCTION("""COMPUTED_VALUE"""),127769.0)</f>
        <v>127769</v>
      </c>
    </row>
    <row r="1250">
      <c r="A1250" s="12">
        <v>1249.0</v>
      </c>
      <c r="B1250" s="12" t="s">
        <v>175</v>
      </c>
      <c r="C1250" s="5" t="s">
        <v>77</v>
      </c>
      <c r="D1250" s="8"/>
      <c r="E1250" s="8"/>
      <c r="F1250" s="8"/>
      <c r="G1250" s="8"/>
      <c r="H1250" s="11">
        <v>0.003</v>
      </c>
      <c r="I1250" s="11">
        <v>0.004</v>
      </c>
      <c r="J1250" s="9" t="s">
        <v>60</v>
      </c>
      <c r="K1250" s="14" t="str">
        <f>IFERROR(__xludf.DUMMYFUNCTION("ARRAYFORMULA(VLOOKUP(A1250,IMPORTRANGE(""https://docs.google.com/spreadsheets/d/1BuTWp7qHGjWhqrnf-OmePP568O4A5Am9ttzvVdP67zw/edit#gid=1603210130"", ""TOURISM!$A$2:$F$2692""), {2,3,4,5,6},0))"),"Africa")</f>
        <v>Africa</v>
      </c>
      <c r="L1250" s="14">
        <f>IFERROR(__xludf.DUMMYFUNCTION("""COMPUTED_VALUE"""),5.0E8)</f>
        <v>500000000</v>
      </c>
      <c r="M1250" s="14" t="str">
        <f>IFERROR(__xludf.DUMMYFUNCTION("""COMPUTED_VALUE"""),"Kenya-Africa")</f>
        <v>Kenya-Africa</v>
      </c>
      <c r="N1250" s="14" t="str">
        <f>IFERROR(__xludf.DUMMYFUNCTION("""COMPUTED_VALUE"""),"2000")</f>
        <v>2000</v>
      </c>
      <c r="O1250" s="14">
        <f>IFERROR(__xludf.DUMMYFUNCTION("""COMPUTED_VALUE"""),1.56E8)</f>
        <v>156000000</v>
      </c>
      <c r="P1250" s="15">
        <f>IFERROR(__xludf.DUMMYFUNCTION("ARRAYFORMULA(VLOOKUP(A1250,IMPORTRANGE(""https://docs.google.com/spreadsheets/d/1BuTWp7qHGjWhqrnf-OmePP568O4A5Am9ttzvVdP67zw/edit#gid=771602874"" ,""HUMAN RESOURCES!$A$2:$M$2692""), {2,3,4,5,6,7,8,9,10,11,12,13},0))"),0.039)</f>
        <v>0.039</v>
      </c>
      <c r="Q1250" s="14">
        <f>IFERROR(__xludf.DUMMYFUNCTION("""COMPUTED_VALUE"""),0.069)</f>
        <v>0.069</v>
      </c>
      <c r="R1250" s="14">
        <f>IFERROR(__xludf.DUMMYFUNCTION("""COMPUTED_VALUE"""),54.0)</f>
        <v>54</v>
      </c>
      <c r="S1250" s="14">
        <f>IFERROR(__xludf.DUMMYFUNCTION("""COMPUTED_VALUE"""),52.0)</f>
        <v>52</v>
      </c>
      <c r="T1250" s="14">
        <f>IFERROR(__xludf.DUMMYFUNCTION("""COMPUTED_VALUE"""),0.442)</f>
        <v>0.442</v>
      </c>
      <c r="U1250" s="14">
        <f>IFERROR(__xludf.DUMMYFUNCTION("""COMPUTED_VALUE"""),0.531)</f>
        <v>0.531</v>
      </c>
      <c r="V1250" s="14">
        <f>IFERROR(__xludf.DUMMYFUNCTION("""COMPUTED_VALUE"""),0.028)</f>
        <v>0.028</v>
      </c>
      <c r="W1250" s="14">
        <f>IFERROR(__xludf.DUMMYFUNCTION("""COMPUTED_VALUE"""),3.128505E7)</f>
        <v>31285050</v>
      </c>
      <c r="X1250" s="14">
        <f>IFERROR(__xludf.DUMMYFUNCTION("""COMPUTED_VALUE"""),0.199)</f>
        <v>0.199</v>
      </c>
      <c r="Y1250" s="14" t="str">
        <f>IFERROR(__xludf.DUMMYFUNCTION("""COMPUTED_VALUE"""),"Kenya-Africa")</f>
        <v>Kenya-Africa</v>
      </c>
      <c r="Z1250" s="14" t="str">
        <f>IFERROR(__xludf.DUMMYFUNCTION("""COMPUTED_VALUE"""),"Africa")</f>
        <v>Africa</v>
      </c>
      <c r="AA1250" s="14" t="str">
        <f>IFERROR(__xludf.DUMMYFUNCTION("""COMPUTED_VALUE"""),"2000")</f>
        <v>2000</v>
      </c>
      <c r="AB1250" s="15" t="str">
        <f>IFERROR(__xludf.DUMMYFUNCTION("ARRAYFORMULA(VLOOKUP(A1250,IMPORTRANGE(""https://docs.google.com/spreadsheets/d/1BuTWp7qHGjWhqrnf-OmePP568O4A5Am9ttzvVdP67zw/edit#gid=1931367683"" ,""ENERGY!$A$2:$F$2692""), {2,3,4,5,6},0))"),"Africa")</f>
        <v>Africa</v>
      </c>
      <c r="AC1250" s="14" t="str">
        <f>IFERROR(__xludf.DUMMYFUNCTION("""COMPUTED_VALUE"""),"Kenya-Africa")</f>
        <v>Kenya-Africa</v>
      </c>
      <c r="AD1250" s="14" t="str">
        <f>IFERROR(__xludf.DUMMYFUNCTION("""COMPUTED_VALUE"""),"2000")</f>
        <v>2000</v>
      </c>
      <c r="AE1250" s="14"/>
      <c r="AF1250" s="14"/>
    </row>
    <row r="1251">
      <c r="A1251" s="12">
        <v>1250.0</v>
      </c>
      <c r="B1251" s="12" t="s">
        <v>175</v>
      </c>
      <c r="C1251" s="5" t="s">
        <v>77</v>
      </c>
      <c r="D1251" s="8"/>
      <c r="E1251" s="8"/>
      <c r="F1251" s="8"/>
      <c r="G1251" s="8"/>
      <c r="H1251" s="11">
        <v>0.006</v>
      </c>
      <c r="I1251" s="11">
        <v>0.019</v>
      </c>
      <c r="J1251" s="9" t="s">
        <v>62</v>
      </c>
      <c r="K1251" s="14" t="str">
        <f>IFERROR(__xludf.DUMMYFUNCTION("ARRAYFORMULA(VLOOKUP(A1251,IMPORTRANGE(""https://docs.google.com/spreadsheets/d/1BuTWp7qHGjWhqrnf-OmePP568O4A5Am9ttzvVdP67zw/edit#gid=1603210130"", ""TOURISM!$A$2:$F$2692""), {2,3,4,5,6},0))"),"Africa")</f>
        <v>Africa</v>
      </c>
      <c r="L1251" s="14">
        <f>IFERROR(__xludf.DUMMYFUNCTION("""COMPUTED_VALUE"""),5.36E8)</f>
        <v>536000000</v>
      </c>
      <c r="M1251" s="14" t="str">
        <f>IFERROR(__xludf.DUMMYFUNCTION("""COMPUTED_VALUE"""),"Kenya-Africa")</f>
        <v>Kenya-Africa</v>
      </c>
      <c r="N1251" s="14" t="str">
        <f>IFERROR(__xludf.DUMMYFUNCTION("""COMPUTED_VALUE"""),"2001")</f>
        <v>2001</v>
      </c>
      <c r="O1251" s="14">
        <f>IFERROR(__xludf.DUMMYFUNCTION("""COMPUTED_VALUE"""),1.83E8)</f>
        <v>183000000</v>
      </c>
      <c r="P1251" s="15">
        <f>IFERROR(__xludf.DUMMYFUNCTION("ARRAYFORMULA(VLOOKUP(A1251,IMPORTRANGE(""https://docs.google.com/spreadsheets/d/1BuTWp7qHGjWhqrnf-OmePP568O4A5Am9ttzvVdP67zw/edit#gid=771602874"" ,""HUMAN RESOURCES!$A$2:$M$2692""), {2,3,4,5,6,7,8,9,10,11,12,13},0))"),0.039)</f>
        <v>0.039</v>
      </c>
      <c r="Q1251" s="14">
        <f>IFERROR(__xludf.DUMMYFUNCTION("""COMPUTED_VALUE"""),0.068)</f>
        <v>0.068</v>
      </c>
      <c r="R1251" s="14">
        <f>IFERROR(__xludf.DUMMYFUNCTION("""COMPUTED_VALUE"""),54.0)</f>
        <v>54</v>
      </c>
      <c r="S1251" s="14">
        <f>IFERROR(__xludf.DUMMYFUNCTION("""COMPUTED_VALUE"""),52.0)</f>
        <v>52</v>
      </c>
      <c r="T1251" s="14">
        <f>IFERROR(__xludf.DUMMYFUNCTION("""COMPUTED_VALUE"""),0.438)</f>
        <v>0.438</v>
      </c>
      <c r="U1251" s="14">
        <f>IFERROR(__xludf.DUMMYFUNCTION("""COMPUTED_VALUE"""),0.534)</f>
        <v>0.534</v>
      </c>
      <c r="V1251" s="14">
        <f>IFERROR(__xludf.DUMMYFUNCTION("""COMPUTED_VALUE"""),0.028)</f>
        <v>0.028</v>
      </c>
      <c r="W1251" s="14">
        <f>IFERROR(__xludf.DUMMYFUNCTION("""COMPUTED_VALUE"""),3.2126351E7)</f>
        <v>32126351</v>
      </c>
      <c r="X1251" s="14">
        <f>IFERROR(__xludf.DUMMYFUNCTION("""COMPUTED_VALUE"""),0.202)</f>
        <v>0.202</v>
      </c>
      <c r="Y1251" s="14" t="str">
        <f>IFERROR(__xludf.DUMMYFUNCTION("""COMPUTED_VALUE"""),"Kenya-Africa")</f>
        <v>Kenya-Africa</v>
      </c>
      <c r="Z1251" s="14" t="str">
        <f>IFERROR(__xludf.DUMMYFUNCTION("""COMPUTED_VALUE"""),"Africa")</f>
        <v>Africa</v>
      </c>
      <c r="AA1251" s="14" t="str">
        <f>IFERROR(__xludf.DUMMYFUNCTION("""COMPUTED_VALUE"""),"2001")</f>
        <v>2001</v>
      </c>
      <c r="AB1251" s="15" t="str">
        <f>IFERROR(__xludf.DUMMYFUNCTION("ARRAYFORMULA(VLOOKUP(A1251,IMPORTRANGE(""https://docs.google.com/spreadsheets/d/1BuTWp7qHGjWhqrnf-OmePP568O4A5Am9ttzvVdP67zw/edit#gid=1931367683"" ,""ENERGY!$A$2:$F$2692""), {2,3,4,5,6},0))"),"Africa")</f>
        <v>Africa</v>
      </c>
      <c r="AC1251" s="14" t="str">
        <f>IFERROR(__xludf.DUMMYFUNCTION("""COMPUTED_VALUE"""),"Kenya-Africa")</f>
        <v>Kenya-Africa</v>
      </c>
      <c r="AD1251" s="14" t="str">
        <f>IFERROR(__xludf.DUMMYFUNCTION("""COMPUTED_VALUE"""),"2001")</f>
        <v>2001</v>
      </c>
      <c r="AE1251" s="14">
        <f>IFERROR(__xludf.DUMMYFUNCTION("""COMPUTED_VALUE"""),20179.0)</f>
        <v>20179</v>
      </c>
      <c r="AF1251" s="14"/>
    </row>
    <row r="1252">
      <c r="A1252" s="12">
        <v>1251.0</v>
      </c>
      <c r="B1252" s="12" t="s">
        <v>175</v>
      </c>
      <c r="C1252" s="5" t="s">
        <v>77</v>
      </c>
      <c r="D1252" s="8"/>
      <c r="E1252" s="8"/>
      <c r="F1252" s="8"/>
      <c r="G1252" s="8"/>
      <c r="H1252" s="11">
        <v>0.012</v>
      </c>
      <c r="I1252" s="11">
        <v>0.036</v>
      </c>
      <c r="J1252" s="9" t="s">
        <v>63</v>
      </c>
      <c r="K1252" s="14" t="str">
        <f>IFERROR(__xludf.DUMMYFUNCTION("ARRAYFORMULA(VLOOKUP(A1252,IMPORTRANGE(""https://docs.google.com/spreadsheets/d/1BuTWp7qHGjWhqrnf-OmePP568O4A5Am9ttzvVdP67zw/edit#gid=1603210130"", ""TOURISM!$A$2:$F$2692""), {2,3,4,5,6},0))"),"Africa")</f>
        <v>Africa</v>
      </c>
      <c r="L1252" s="14">
        <f>IFERROR(__xludf.DUMMYFUNCTION("""COMPUTED_VALUE"""),5.13E8)</f>
        <v>513000000</v>
      </c>
      <c r="M1252" s="14" t="str">
        <f>IFERROR(__xludf.DUMMYFUNCTION("""COMPUTED_VALUE"""),"Kenya-Africa")</f>
        <v>Kenya-Africa</v>
      </c>
      <c r="N1252" s="14" t="str">
        <f>IFERROR(__xludf.DUMMYFUNCTION("""COMPUTED_VALUE"""),"2002")</f>
        <v>2002</v>
      </c>
      <c r="O1252" s="14">
        <f>IFERROR(__xludf.DUMMYFUNCTION("""COMPUTED_VALUE"""),1.26E8)</f>
        <v>126000000</v>
      </c>
      <c r="P1252" s="15">
        <f>IFERROR(__xludf.DUMMYFUNCTION("ARRAYFORMULA(VLOOKUP(A1252,IMPORTRANGE(""https://docs.google.com/spreadsheets/d/1BuTWp7qHGjWhqrnf-OmePP568O4A5Am9ttzvVdP67zw/edit#gid=771602874"" ,""HUMAN RESOURCES!$A$2:$M$2692""), {2,3,4,5,6,7,8,9,10,11,12,13},0))"),0.039)</f>
        <v>0.039</v>
      </c>
      <c r="Q1252" s="14">
        <f>IFERROR(__xludf.DUMMYFUNCTION("""COMPUTED_VALUE"""),0.066)</f>
        <v>0.066</v>
      </c>
      <c r="R1252" s="14">
        <f>IFERROR(__xludf.DUMMYFUNCTION("""COMPUTED_VALUE"""),54.0)</f>
        <v>54</v>
      </c>
      <c r="S1252" s="14">
        <f>IFERROR(__xludf.DUMMYFUNCTION("""COMPUTED_VALUE"""),52.0)</f>
        <v>52</v>
      </c>
      <c r="T1252" s="14">
        <f>IFERROR(__xludf.DUMMYFUNCTION("""COMPUTED_VALUE"""),0.435)</f>
        <v>0.435</v>
      </c>
      <c r="U1252" s="14">
        <f>IFERROR(__xludf.DUMMYFUNCTION("""COMPUTED_VALUE"""),0.538)</f>
        <v>0.538</v>
      </c>
      <c r="V1252" s="14">
        <f>IFERROR(__xludf.DUMMYFUNCTION("""COMPUTED_VALUE"""),0.028)</f>
        <v>0.028</v>
      </c>
      <c r="W1252" s="14">
        <f>IFERROR(__xludf.DUMMYFUNCTION("""COMPUTED_VALUE"""),3.3000524E7)</f>
        <v>33000524</v>
      </c>
      <c r="X1252" s="14">
        <f>IFERROR(__xludf.DUMMYFUNCTION("""COMPUTED_VALUE"""),0.206)</f>
        <v>0.206</v>
      </c>
      <c r="Y1252" s="14" t="str">
        <f>IFERROR(__xludf.DUMMYFUNCTION("""COMPUTED_VALUE"""),"Kenya-Africa")</f>
        <v>Kenya-Africa</v>
      </c>
      <c r="Z1252" s="14" t="str">
        <f>IFERROR(__xludf.DUMMYFUNCTION("""COMPUTED_VALUE"""),"Africa")</f>
        <v>Africa</v>
      </c>
      <c r="AA1252" s="14" t="str">
        <f>IFERROR(__xludf.DUMMYFUNCTION("""COMPUTED_VALUE"""),"2002")</f>
        <v>2002</v>
      </c>
      <c r="AB1252" s="15" t="str">
        <f>IFERROR(__xludf.DUMMYFUNCTION("ARRAYFORMULA(VLOOKUP(A1252,IMPORTRANGE(""https://docs.google.com/spreadsheets/d/1BuTWp7qHGjWhqrnf-OmePP568O4A5Am9ttzvVdP67zw/edit#gid=1931367683"" ,""ENERGY!$A$2:$F$2692""), {2,3,4,5,6},0))"),"Africa")</f>
        <v>Africa</v>
      </c>
      <c r="AC1252" s="14" t="str">
        <f>IFERROR(__xludf.DUMMYFUNCTION("""COMPUTED_VALUE"""),"Kenya-Africa")</f>
        <v>Kenya-Africa</v>
      </c>
      <c r="AD1252" s="14" t="str">
        <f>IFERROR(__xludf.DUMMYFUNCTION("""COMPUTED_VALUE"""),"2002")</f>
        <v>2002</v>
      </c>
      <c r="AE1252" s="14">
        <f>IFERROR(__xludf.DUMMYFUNCTION("""COMPUTED_VALUE"""),19719.0)</f>
        <v>19719</v>
      </c>
      <c r="AF1252" s="14">
        <f>IFERROR(__xludf.DUMMYFUNCTION("""COMPUTED_VALUE"""),12427.0)</f>
        <v>12427</v>
      </c>
    </row>
    <row r="1253">
      <c r="A1253" s="12">
        <v>1252.0</v>
      </c>
      <c r="B1253" s="12" t="s">
        <v>175</v>
      </c>
      <c r="C1253" s="5" t="s">
        <v>77</v>
      </c>
      <c r="D1253" s="8"/>
      <c r="E1253" s="11">
        <v>60.0</v>
      </c>
      <c r="F1253" s="8"/>
      <c r="G1253" s="8"/>
      <c r="H1253" s="11">
        <v>0.029</v>
      </c>
      <c r="I1253" s="11">
        <v>0.047</v>
      </c>
      <c r="J1253" s="9" t="s">
        <v>64</v>
      </c>
      <c r="K1253" s="14" t="str">
        <f>IFERROR(__xludf.DUMMYFUNCTION("ARRAYFORMULA(VLOOKUP(A1253,IMPORTRANGE(""https://docs.google.com/spreadsheets/d/1BuTWp7qHGjWhqrnf-OmePP568O4A5Am9ttzvVdP67zw/edit#gid=1603210130"", ""TOURISM!$A$2:$F$2692""), {2,3,4,5,6},0))"),"Africa")</f>
        <v>Africa</v>
      </c>
      <c r="L1253" s="14">
        <f>IFERROR(__xludf.DUMMYFUNCTION("""COMPUTED_VALUE"""),6.19E8)</f>
        <v>619000000</v>
      </c>
      <c r="M1253" s="14" t="str">
        <f>IFERROR(__xludf.DUMMYFUNCTION("""COMPUTED_VALUE"""),"Kenya-Africa")</f>
        <v>Kenya-Africa</v>
      </c>
      <c r="N1253" s="14" t="str">
        <f>IFERROR(__xludf.DUMMYFUNCTION("""COMPUTED_VALUE"""),"2003")</f>
        <v>2003</v>
      </c>
      <c r="O1253" s="14">
        <f>IFERROR(__xludf.DUMMYFUNCTION("""COMPUTED_VALUE"""),1.27E8)</f>
        <v>127000000</v>
      </c>
      <c r="P1253" s="15">
        <f>IFERROR(__xludf.DUMMYFUNCTION("ARRAYFORMULA(VLOOKUP(A1253,IMPORTRANGE(""https://docs.google.com/spreadsheets/d/1BuTWp7qHGjWhqrnf-OmePP568O4A5Am9ttzvVdP67zw/edit#gid=771602874"" ,""HUMAN RESOURCES!$A$2:$M$2692""), {2,3,4,5,6,7,8,9,10,11,12,13},0))"),0.039)</f>
        <v>0.039</v>
      </c>
      <c r="Q1253" s="14">
        <f>IFERROR(__xludf.DUMMYFUNCTION("""COMPUTED_VALUE"""),0.065)</f>
        <v>0.065</v>
      </c>
      <c r="R1253" s="14">
        <f>IFERROR(__xludf.DUMMYFUNCTION("""COMPUTED_VALUE"""),54.0)</f>
        <v>54</v>
      </c>
      <c r="S1253" s="14">
        <f>IFERROR(__xludf.DUMMYFUNCTION("""COMPUTED_VALUE"""),52.0)</f>
        <v>52</v>
      </c>
      <c r="T1253" s="14">
        <f>IFERROR(__xludf.DUMMYFUNCTION("""COMPUTED_VALUE"""),0.432)</f>
        <v>0.432</v>
      </c>
      <c r="U1253" s="14">
        <f>IFERROR(__xludf.DUMMYFUNCTION("""COMPUTED_VALUE"""),0.541)</f>
        <v>0.541</v>
      </c>
      <c r="V1253" s="14">
        <f>IFERROR(__xludf.DUMMYFUNCTION("""COMPUTED_VALUE"""),0.028)</f>
        <v>0.028</v>
      </c>
      <c r="W1253" s="14">
        <f>IFERROR(__xludf.DUMMYFUNCTION("""COMPUTED_VALUE"""),3.3905011E7)</f>
        <v>33905011</v>
      </c>
      <c r="X1253" s="14">
        <f>IFERROR(__xludf.DUMMYFUNCTION("""COMPUTED_VALUE"""),0.209)</f>
        <v>0.209</v>
      </c>
      <c r="Y1253" s="14" t="str">
        <f>IFERROR(__xludf.DUMMYFUNCTION("""COMPUTED_VALUE"""),"Kenya-Africa")</f>
        <v>Kenya-Africa</v>
      </c>
      <c r="Z1253" s="14" t="str">
        <f>IFERROR(__xludf.DUMMYFUNCTION("""COMPUTED_VALUE"""),"Africa")</f>
        <v>Africa</v>
      </c>
      <c r="AA1253" s="14" t="str">
        <f>IFERROR(__xludf.DUMMYFUNCTION("""COMPUTED_VALUE"""),"2003")</f>
        <v>2003</v>
      </c>
      <c r="AB1253" s="15" t="str">
        <f>IFERROR(__xludf.DUMMYFUNCTION("ARRAYFORMULA(VLOOKUP(A1253,IMPORTRANGE(""https://docs.google.com/spreadsheets/d/1BuTWp7qHGjWhqrnf-OmePP568O4A5Am9ttzvVdP67zw/edit#gid=1931367683"" ,""ENERGY!$A$2:$F$2692""), {2,3,4,5,6},0))"),"Africa")</f>
        <v>Africa</v>
      </c>
      <c r="AC1253" s="14" t="str">
        <f>IFERROR(__xludf.DUMMYFUNCTION("""COMPUTED_VALUE"""),"Kenya-Africa")</f>
        <v>Kenya-Africa</v>
      </c>
      <c r="AD1253" s="14" t="str">
        <f>IFERROR(__xludf.DUMMYFUNCTION("""COMPUTED_VALUE"""),"2003")</f>
        <v>2003</v>
      </c>
      <c r="AE1253" s="14">
        <f>IFERROR(__xludf.DUMMYFUNCTION("""COMPUTED_VALUE"""),18897.0)</f>
        <v>18897</v>
      </c>
      <c r="AF1253" s="14">
        <f>IFERROR(__xludf.DUMMYFUNCTION("""COMPUTED_VALUE"""),12350.0)</f>
        <v>12350</v>
      </c>
    </row>
    <row r="1254">
      <c r="A1254" s="12">
        <v>1253.0</v>
      </c>
      <c r="B1254" s="12" t="s">
        <v>175</v>
      </c>
      <c r="C1254" s="5" t="s">
        <v>77</v>
      </c>
      <c r="D1254" s="8"/>
      <c r="E1254" s="11">
        <v>47.0</v>
      </c>
      <c r="F1254" s="8"/>
      <c r="G1254" s="8"/>
      <c r="H1254" s="11">
        <v>0.03</v>
      </c>
      <c r="I1254" s="11">
        <v>0.073</v>
      </c>
      <c r="J1254" s="9" t="s">
        <v>65</v>
      </c>
      <c r="K1254" s="14" t="str">
        <f>IFERROR(__xludf.DUMMYFUNCTION("ARRAYFORMULA(VLOOKUP(A1254,IMPORTRANGE(""https://docs.google.com/spreadsheets/d/1BuTWp7qHGjWhqrnf-OmePP568O4A5Am9ttzvVdP67zw/edit#gid=1603210130"", ""TOURISM!$A$2:$F$2692""), {2,3,4,5,6},0))"),"Africa")</f>
        <v>Africa</v>
      </c>
      <c r="L1254" s="14">
        <f>IFERROR(__xludf.DUMMYFUNCTION("""COMPUTED_VALUE"""),7.99E8)</f>
        <v>799000000</v>
      </c>
      <c r="M1254" s="14" t="str">
        <f>IFERROR(__xludf.DUMMYFUNCTION("""COMPUTED_VALUE"""),"Kenya-Africa")</f>
        <v>Kenya-Africa</v>
      </c>
      <c r="N1254" s="14" t="str">
        <f>IFERROR(__xludf.DUMMYFUNCTION("""COMPUTED_VALUE"""),"2004")</f>
        <v>2004</v>
      </c>
      <c r="O1254" s="14">
        <f>IFERROR(__xludf.DUMMYFUNCTION("""COMPUTED_VALUE"""),1.08E8)</f>
        <v>108000000</v>
      </c>
      <c r="P1254" s="15">
        <f>IFERROR(__xludf.DUMMYFUNCTION("ARRAYFORMULA(VLOOKUP(A1254,IMPORTRANGE(""https://docs.google.com/spreadsheets/d/1BuTWp7qHGjWhqrnf-OmePP568O4A5Am9ttzvVdP67zw/edit#gid=771602874"" ,""HUMAN RESOURCES!$A$2:$M$2692""), {2,3,4,5,6,7,8,9,10,11,12,13},0))"),0.039)</f>
        <v>0.039</v>
      </c>
      <c r="Q1254" s="14">
        <f>IFERROR(__xludf.DUMMYFUNCTION("""COMPUTED_VALUE"""),0.063)</f>
        <v>0.063</v>
      </c>
      <c r="R1254" s="14">
        <f>IFERROR(__xludf.DUMMYFUNCTION("""COMPUTED_VALUE"""),55.0)</f>
        <v>55</v>
      </c>
      <c r="S1254" s="14">
        <f>IFERROR(__xludf.DUMMYFUNCTION("""COMPUTED_VALUE"""),53.0)</f>
        <v>53</v>
      </c>
      <c r="T1254" s="14">
        <f>IFERROR(__xludf.DUMMYFUNCTION("""COMPUTED_VALUE"""),0.429)</f>
        <v>0.429</v>
      </c>
      <c r="U1254" s="14">
        <f>IFERROR(__xludf.DUMMYFUNCTION("""COMPUTED_VALUE"""),0.543)</f>
        <v>0.543</v>
      </c>
      <c r="V1254" s="14">
        <f>IFERROR(__xludf.DUMMYFUNCTION("""COMPUTED_VALUE"""),0.027)</f>
        <v>0.027</v>
      </c>
      <c r="W1254" s="14">
        <f>IFERROR(__xludf.DUMMYFUNCTION("""COMPUTED_VALUE"""),3.4834606E7)</f>
        <v>34834606</v>
      </c>
      <c r="X1254" s="14">
        <f>IFERROR(__xludf.DUMMYFUNCTION("""COMPUTED_VALUE"""),0.213)</f>
        <v>0.213</v>
      </c>
      <c r="Y1254" s="14" t="str">
        <f>IFERROR(__xludf.DUMMYFUNCTION("""COMPUTED_VALUE"""),"Kenya-Africa")</f>
        <v>Kenya-Africa</v>
      </c>
      <c r="Z1254" s="14" t="str">
        <f>IFERROR(__xludf.DUMMYFUNCTION("""COMPUTED_VALUE"""),"Africa")</f>
        <v>Africa</v>
      </c>
      <c r="AA1254" s="14" t="str">
        <f>IFERROR(__xludf.DUMMYFUNCTION("""COMPUTED_VALUE"""),"2004")</f>
        <v>2004</v>
      </c>
      <c r="AB1254" s="15" t="str">
        <f>IFERROR(__xludf.DUMMYFUNCTION("ARRAYFORMULA(VLOOKUP(A1254,IMPORTRANGE(""https://docs.google.com/spreadsheets/d/1BuTWp7qHGjWhqrnf-OmePP568O4A5Am9ttzvVdP67zw/edit#gid=1931367683"" ,""ENERGY!$A$2:$F$2692""), {2,3,4,5,6},0))"),"Africa")</f>
        <v>Africa</v>
      </c>
      <c r="AC1254" s="14" t="str">
        <f>IFERROR(__xludf.DUMMYFUNCTION("""COMPUTED_VALUE"""),"Kenya-Africa")</f>
        <v>Kenya-Africa</v>
      </c>
      <c r="AD1254" s="14" t="str">
        <f>IFERROR(__xludf.DUMMYFUNCTION("""COMPUTED_VALUE"""),"2004")</f>
        <v>2004</v>
      </c>
      <c r="AE1254" s="14">
        <f>IFERROR(__xludf.DUMMYFUNCTION("""COMPUTED_VALUE"""),17806.0)</f>
        <v>17806</v>
      </c>
      <c r="AF1254" s="14">
        <f>IFERROR(__xludf.DUMMYFUNCTION("""COMPUTED_VALUE"""),10242.0)</f>
        <v>10242</v>
      </c>
    </row>
    <row r="1255">
      <c r="A1255" s="12">
        <v>1254.0</v>
      </c>
      <c r="B1255" s="12" t="s">
        <v>175</v>
      </c>
      <c r="C1255" s="5" t="s">
        <v>77</v>
      </c>
      <c r="D1255" s="11">
        <v>0.498</v>
      </c>
      <c r="E1255" s="11">
        <v>54.0</v>
      </c>
      <c r="F1255" s="8"/>
      <c r="G1255" s="11">
        <v>372.0</v>
      </c>
      <c r="H1255" s="11">
        <v>0.031</v>
      </c>
      <c r="I1255" s="11">
        <v>0.129</v>
      </c>
      <c r="J1255" s="9" t="s">
        <v>66</v>
      </c>
      <c r="K1255" s="14" t="str">
        <f>IFERROR(__xludf.DUMMYFUNCTION("ARRAYFORMULA(VLOOKUP(A1255,IMPORTRANGE(""https://docs.google.com/spreadsheets/d/1BuTWp7qHGjWhqrnf-OmePP568O4A5Am9ttzvVdP67zw/edit#gid=1603210130"", ""TOURISM!$A$2:$F$2692""), {2,3,4,5,6},0))"),"Africa")</f>
        <v>Africa</v>
      </c>
      <c r="L1255" s="14">
        <f>IFERROR(__xludf.DUMMYFUNCTION("""COMPUTED_VALUE"""),9.69E8)</f>
        <v>969000000</v>
      </c>
      <c r="M1255" s="14" t="str">
        <f>IFERROR(__xludf.DUMMYFUNCTION("""COMPUTED_VALUE"""),"Kenya-Africa")</f>
        <v>Kenya-Africa</v>
      </c>
      <c r="N1255" s="14" t="str">
        <f>IFERROR(__xludf.DUMMYFUNCTION("""COMPUTED_VALUE"""),"2005")</f>
        <v>2005</v>
      </c>
      <c r="O1255" s="14">
        <f>IFERROR(__xludf.DUMMYFUNCTION("""COMPUTED_VALUE"""),1.24E8)</f>
        <v>124000000</v>
      </c>
      <c r="P1255" s="15">
        <f>IFERROR(__xludf.DUMMYFUNCTION("ARRAYFORMULA(VLOOKUP(A1255,IMPORTRANGE(""https://docs.google.com/spreadsheets/d/1BuTWp7qHGjWhqrnf-OmePP568O4A5Am9ttzvVdP67zw/edit#gid=771602874"" ,""HUMAN RESOURCES!$A$2:$M$2692""), {2,3,4,5,6,7,8,9,10,11,12,13},0))"),0.039)</f>
        <v>0.039</v>
      </c>
      <c r="Q1255" s="14">
        <f>IFERROR(__xludf.DUMMYFUNCTION("""COMPUTED_VALUE"""),0.061)</f>
        <v>0.061</v>
      </c>
      <c r="R1255" s="14">
        <f>IFERROR(__xludf.DUMMYFUNCTION("""COMPUTED_VALUE"""),56.0)</f>
        <v>56</v>
      </c>
      <c r="S1255" s="14">
        <f>IFERROR(__xludf.DUMMYFUNCTION("""COMPUTED_VALUE"""),54.0)</f>
        <v>54</v>
      </c>
      <c r="T1255" s="14">
        <f>IFERROR(__xludf.DUMMYFUNCTION("""COMPUTED_VALUE"""),0.428)</f>
        <v>0.428</v>
      </c>
      <c r="U1255" s="14">
        <f>IFERROR(__xludf.DUMMYFUNCTION("""COMPUTED_VALUE"""),0.545)</f>
        <v>0.545</v>
      </c>
      <c r="V1255" s="14">
        <f>IFERROR(__xludf.DUMMYFUNCTION("""COMPUTED_VALUE"""),0.027)</f>
        <v>0.027</v>
      </c>
      <c r="W1255" s="14">
        <f>IFERROR(__xludf.DUMMYFUNCTION("""COMPUTED_VALUE"""),3.5785718E7)</f>
        <v>35785718</v>
      </c>
      <c r="X1255" s="14">
        <f>IFERROR(__xludf.DUMMYFUNCTION("""COMPUTED_VALUE"""),0.217)</f>
        <v>0.217</v>
      </c>
      <c r="Y1255" s="14" t="str">
        <f>IFERROR(__xludf.DUMMYFUNCTION("""COMPUTED_VALUE"""),"Kenya-Africa")</f>
        <v>Kenya-Africa</v>
      </c>
      <c r="Z1255" s="14" t="str">
        <f>IFERROR(__xludf.DUMMYFUNCTION("""COMPUTED_VALUE"""),"Africa")</f>
        <v>Africa</v>
      </c>
      <c r="AA1255" s="14" t="str">
        <f>IFERROR(__xludf.DUMMYFUNCTION("""COMPUTED_VALUE"""),"2005")</f>
        <v>2005</v>
      </c>
      <c r="AB1255" s="15" t="str">
        <f>IFERROR(__xludf.DUMMYFUNCTION("ARRAYFORMULA(VLOOKUP(A1255,IMPORTRANGE(""https://docs.google.com/spreadsheets/d/1BuTWp7qHGjWhqrnf-OmePP568O4A5Am9ttzvVdP67zw/edit#gid=1931367683"" ,""ENERGY!$A$2:$F$2692""), {2,3,4,5,6},0))"),"Africa")</f>
        <v>Africa</v>
      </c>
      <c r="AC1255" s="14" t="str">
        <f>IFERROR(__xludf.DUMMYFUNCTION("""COMPUTED_VALUE"""),"Kenya-Africa")</f>
        <v>Kenya-Africa</v>
      </c>
      <c r="AD1255" s="14" t="str">
        <f>IFERROR(__xludf.DUMMYFUNCTION("""COMPUTED_VALUE"""),"2007")</f>
        <v>2007</v>
      </c>
      <c r="AE1255" s="14">
        <f>IFERROR(__xludf.DUMMYFUNCTION("""COMPUTED_VALUE"""),17230.0)</f>
        <v>17230</v>
      </c>
      <c r="AF1255" s="14">
        <f>IFERROR(__xludf.DUMMYFUNCTION("""COMPUTED_VALUE"""),9831.0)</f>
        <v>9831</v>
      </c>
    </row>
    <row r="1256">
      <c r="A1256" s="12">
        <v>1255.0</v>
      </c>
      <c r="B1256" s="12" t="s">
        <v>175</v>
      </c>
      <c r="C1256" s="5" t="s">
        <v>77</v>
      </c>
      <c r="D1256" s="11">
        <v>0.498</v>
      </c>
      <c r="E1256" s="11">
        <v>54.0</v>
      </c>
      <c r="F1256" s="8"/>
      <c r="G1256" s="11">
        <v>432.0</v>
      </c>
      <c r="H1256" s="11">
        <v>0.075</v>
      </c>
      <c r="I1256" s="11">
        <v>0.2</v>
      </c>
      <c r="J1256" s="9" t="s">
        <v>67</v>
      </c>
      <c r="K1256" s="14" t="str">
        <f>IFERROR(__xludf.DUMMYFUNCTION("ARRAYFORMULA(VLOOKUP(A1256,IMPORTRANGE(""https://docs.google.com/spreadsheets/d/1BuTWp7qHGjWhqrnf-OmePP568O4A5Am9ttzvVdP67zw/edit#gid=1603210130"", ""TOURISM!$A$2:$F$2692""), {2,3,4,5,6},0))"),"Africa")</f>
        <v>Africa</v>
      </c>
      <c r="L1256" s="14">
        <f>IFERROR(__xludf.DUMMYFUNCTION("""COMPUTED_VALUE"""),1.181E9)</f>
        <v>1181000000</v>
      </c>
      <c r="M1256" s="14" t="str">
        <f>IFERROR(__xludf.DUMMYFUNCTION("""COMPUTED_VALUE"""),"Kenya-Africa")</f>
        <v>Kenya-Africa</v>
      </c>
      <c r="N1256" s="14" t="str">
        <f>IFERROR(__xludf.DUMMYFUNCTION("""COMPUTED_VALUE"""),"2006")</f>
        <v>2006</v>
      </c>
      <c r="O1256" s="14">
        <f>IFERROR(__xludf.DUMMYFUNCTION("""COMPUTED_VALUE"""),1.78E8)</f>
        <v>178000000</v>
      </c>
      <c r="P1256" s="15">
        <f>IFERROR(__xludf.DUMMYFUNCTION("ARRAYFORMULA(VLOOKUP(A1256,IMPORTRANGE(""https://docs.google.com/spreadsheets/d/1BuTWp7qHGjWhqrnf-OmePP568O4A5Am9ttzvVdP67zw/edit#gid=771602874"" ,""HUMAN RESOURCES!$A$2:$M$2692""), {2,3,4,5,6,7,8,9,10,11,12,13},0))"),0.038)</f>
        <v>0.038</v>
      </c>
      <c r="Q1256" s="14">
        <f>IFERROR(__xludf.DUMMYFUNCTION("""COMPUTED_VALUE"""),0.059)</f>
        <v>0.059</v>
      </c>
      <c r="R1256" s="14">
        <f>IFERROR(__xludf.DUMMYFUNCTION("""COMPUTED_VALUE"""),57.0)</f>
        <v>57</v>
      </c>
      <c r="S1256" s="14">
        <f>IFERROR(__xludf.DUMMYFUNCTION("""COMPUTED_VALUE"""),55.0)</f>
        <v>55</v>
      </c>
      <c r="T1256" s="14">
        <f>IFERROR(__xludf.DUMMYFUNCTION("""COMPUTED_VALUE"""),0.427)</f>
        <v>0.427</v>
      </c>
      <c r="U1256" s="14">
        <f>IFERROR(__xludf.DUMMYFUNCTION("""COMPUTED_VALUE"""),0.546)</f>
        <v>0.546</v>
      </c>
      <c r="V1256" s="14">
        <f>IFERROR(__xludf.DUMMYFUNCTION("""COMPUTED_VALUE"""),0.027)</f>
        <v>0.027</v>
      </c>
      <c r="W1256" s="14">
        <f>IFERROR(__xludf.DUMMYFUNCTION("""COMPUTED_VALUE"""),3.6757498E7)</f>
        <v>36757498</v>
      </c>
      <c r="X1256" s="14">
        <f>IFERROR(__xludf.DUMMYFUNCTION("""COMPUTED_VALUE"""),0.22)</f>
        <v>0.22</v>
      </c>
      <c r="Y1256" s="14" t="str">
        <f>IFERROR(__xludf.DUMMYFUNCTION("""COMPUTED_VALUE"""),"Kenya-Africa")</f>
        <v>Kenya-Africa</v>
      </c>
      <c r="Z1256" s="14" t="str">
        <f>IFERROR(__xludf.DUMMYFUNCTION("""COMPUTED_VALUE"""),"Africa")</f>
        <v>Africa</v>
      </c>
      <c r="AA1256" s="14" t="str">
        <f>IFERROR(__xludf.DUMMYFUNCTION("""COMPUTED_VALUE"""),"2006")</f>
        <v>2006</v>
      </c>
      <c r="AB1256" s="15" t="str">
        <f>IFERROR(__xludf.DUMMYFUNCTION("ARRAYFORMULA(VLOOKUP(A1256,IMPORTRANGE(""https://docs.google.com/spreadsheets/d/1BuTWp7qHGjWhqrnf-OmePP568O4A5Am9ttzvVdP67zw/edit#gid=1931367683"" ,""ENERGY!$A$2:$F$2692""), {2,3,4,5,6},0))"),"Africa")</f>
        <v>Africa</v>
      </c>
      <c r="AC1256" s="14" t="str">
        <f>IFERROR(__xludf.DUMMYFUNCTION("""COMPUTED_VALUE"""),"Kenya-Africa")</f>
        <v>Kenya-Africa</v>
      </c>
      <c r="AD1256" s="14" t="str">
        <f>IFERROR(__xludf.DUMMYFUNCTION("""COMPUTED_VALUE"""),"2011")</f>
        <v>2011</v>
      </c>
      <c r="AE1256" s="14">
        <f>IFERROR(__xludf.DUMMYFUNCTION("""COMPUTED_VALUE"""),16896.0)</f>
        <v>16896</v>
      </c>
      <c r="AF1256" s="14">
        <f>IFERROR(__xludf.DUMMYFUNCTION("""COMPUTED_VALUE"""),9575.0)</f>
        <v>9575</v>
      </c>
    </row>
    <row r="1257">
      <c r="A1257" s="12">
        <v>1256.0</v>
      </c>
      <c r="B1257" s="12" t="s">
        <v>175</v>
      </c>
      <c r="C1257" s="5" t="s">
        <v>77</v>
      </c>
      <c r="D1257" s="11">
        <v>0.493</v>
      </c>
      <c r="E1257" s="11">
        <v>44.0</v>
      </c>
      <c r="F1257" s="8"/>
      <c r="G1257" s="11">
        <v>432.0</v>
      </c>
      <c r="H1257" s="11">
        <v>0.08</v>
      </c>
      <c r="I1257" s="11">
        <v>0.301</v>
      </c>
      <c r="J1257" s="9" t="s">
        <v>68</v>
      </c>
      <c r="K1257" s="14" t="str">
        <f>IFERROR(__xludf.DUMMYFUNCTION("ARRAYFORMULA(VLOOKUP(A1257,IMPORTRANGE(""https://docs.google.com/spreadsheets/d/1BuTWp7qHGjWhqrnf-OmePP568O4A5Am9ttzvVdP67zw/edit#gid=1603210130"", ""TOURISM!$A$2:$F$2692""), {2,3,4,5,6},0))"),"Africa")</f>
        <v>Africa</v>
      </c>
      <c r="L1257" s="14">
        <f>IFERROR(__xludf.DUMMYFUNCTION("""COMPUTED_VALUE"""),1.514E9)</f>
        <v>1514000000</v>
      </c>
      <c r="M1257" s="14" t="str">
        <f>IFERROR(__xludf.DUMMYFUNCTION("""COMPUTED_VALUE"""),"Kenya-Africa")</f>
        <v>Kenya-Africa</v>
      </c>
      <c r="N1257" s="14" t="str">
        <f>IFERROR(__xludf.DUMMYFUNCTION("""COMPUTED_VALUE"""),"2007")</f>
        <v>2007</v>
      </c>
      <c r="O1257" s="14">
        <f>IFERROR(__xludf.DUMMYFUNCTION("""COMPUTED_VALUE"""),2.65E8)</f>
        <v>265000000</v>
      </c>
      <c r="P1257" s="15">
        <f>IFERROR(__xludf.DUMMYFUNCTION("ARRAYFORMULA(VLOOKUP(A1257,IMPORTRANGE(""https://docs.google.com/spreadsheets/d/1BuTWp7qHGjWhqrnf-OmePP568O4A5Am9ttzvVdP67zw/edit#gid=771602874"" ,""HUMAN RESOURCES!$A$2:$M$2692""), {2,3,4,5,6,7,8,9,10,11,12,13},0))"),0.038)</f>
        <v>0.038</v>
      </c>
      <c r="Q1257" s="14">
        <f>IFERROR(__xludf.DUMMYFUNCTION("""COMPUTED_VALUE"""),0.058)</f>
        <v>0.058</v>
      </c>
      <c r="R1257" s="14">
        <f>IFERROR(__xludf.DUMMYFUNCTION("""COMPUTED_VALUE"""),58.0)</f>
        <v>58</v>
      </c>
      <c r="S1257" s="14">
        <f>IFERROR(__xludf.DUMMYFUNCTION("""COMPUTED_VALUE"""),55.0)</f>
        <v>55</v>
      </c>
      <c r="T1257" s="14">
        <f>IFERROR(__xludf.DUMMYFUNCTION("""COMPUTED_VALUE"""),0.426)</f>
        <v>0.426</v>
      </c>
      <c r="U1257" s="14">
        <f>IFERROR(__xludf.DUMMYFUNCTION("""COMPUTED_VALUE"""),0.547)</f>
        <v>0.547</v>
      </c>
      <c r="V1257" s="14">
        <f>IFERROR(__xludf.DUMMYFUNCTION("""COMPUTED_VALUE"""),0.027)</f>
        <v>0.027</v>
      </c>
      <c r="W1257" s="14">
        <f>IFERROR(__xludf.DUMMYFUNCTION("""COMPUTED_VALUE"""),3.7752304E7)</f>
        <v>37752304</v>
      </c>
      <c r="X1257" s="14">
        <f>IFERROR(__xludf.DUMMYFUNCTION("""COMPUTED_VALUE"""),0.224)</f>
        <v>0.224</v>
      </c>
      <c r="Y1257" s="14" t="str">
        <f>IFERROR(__xludf.DUMMYFUNCTION("""COMPUTED_VALUE"""),"Kenya-Africa")</f>
        <v>Kenya-Africa</v>
      </c>
      <c r="Z1257" s="14" t="str">
        <f>IFERROR(__xludf.DUMMYFUNCTION("""COMPUTED_VALUE"""),"Africa")</f>
        <v>Africa</v>
      </c>
      <c r="AA1257" s="14" t="str">
        <f>IFERROR(__xludf.DUMMYFUNCTION("""COMPUTED_VALUE"""),"2007")</f>
        <v>2007</v>
      </c>
      <c r="AB1257" s="15" t="str">
        <f>IFERROR(__xludf.DUMMYFUNCTION("ARRAYFORMULA(VLOOKUP(A1257,IMPORTRANGE(""https://docs.google.com/spreadsheets/d/1BuTWp7qHGjWhqrnf-OmePP568O4A5Am9ttzvVdP67zw/edit#gid=1931367683"" ,""ENERGY!$A$2:$F$2692""), {2,3,4,5,6},0))"),"Africa")</f>
        <v>Africa</v>
      </c>
      <c r="AC1257" s="14" t="str">
        <f>IFERROR(__xludf.DUMMYFUNCTION("""COMPUTED_VALUE"""),"Kenya-Africa")</f>
        <v>Kenya-Africa</v>
      </c>
      <c r="AD1257" s="14" t="str">
        <f>IFERROR(__xludf.DUMMYFUNCTION("""COMPUTED_VALUE"""),"2008")</f>
        <v>2008</v>
      </c>
      <c r="AE1257" s="14">
        <f>IFERROR(__xludf.DUMMYFUNCTION("""COMPUTED_VALUE"""),16151.0)</f>
        <v>16151</v>
      </c>
      <c r="AF1257" s="14">
        <f>IFERROR(__xludf.DUMMYFUNCTION("""COMPUTED_VALUE"""),8562.0)</f>
        <v>8562</v>
      </c>
    </row>
    <row r="1258">
      <c r="A1258" s="12">
        <v>1257.0</v>
      </c>
      <c r="B1258" s="12" t="s">
        <v>175</v>
      </c>
      <c r="C1258" s="5" t="s">
        <v>77</v>
      </c>
      <c r="D1258" s="11">
        <v>0.493</v>
      </c>
      <c r="E1258" s="11">
        <v>30.0</v>
      </c>
      <c r="F1258" s="8"/>
      <c r="G1258" s="11">
        <v>417.0</v>
      </c>
      <c r="H1258" s="11">
        <v>0.087</v>
      </c>
      <c r="I1258" s="11">
        <v>0.42</v>
      </c>
      <c r="J1258" s="9" t="s">
        <v>69</v>
      </c>
      <c r="K1258" s="14" t="str">
        <f>IFERROR(__xludf.DUMMYFUNCTION("ARRAYFORMULA(VLOOKUP(A1258,IMPORTRANGE(""https://docs.google.com/spreadsheets/d/1BuTWp7qHGjWhqrnf-OmePP568O4A5Am9ttzvVdP67zw/edit#gid=1603210130"", ""TOURISM!$A$2:$F$2692""), {2,3,4,5,6},0))"),"Africa")</f>
        <v>Africa</v>
      </c>
      <c r="L1258" s="14">
        <f>IFERROR(__xludf.DUMMYFUNCTION("""COMPUTED_VALUE"""),1.398E9)</f>
        <v>1398000000</v>
      </c>
      <c r="M1258" s="14" t="str">
        <f>IFERROR(__xludf.DUMMYFUNCTION("""COMPUTED_VALUE"""),"Kenya-Africa")</f>
        <v>Kenya-Africa</v>
      </c>
      <c r="N1258" s="14" t="str">
        <f>IFERROR(__xludf.DUMMYFUNCTION("""COMPUTED_VALUE"""),"2008")</f>
        <v>2008</v>
      </c>
      <c r="O1258" s="14">
        <f>IFERROR(__xludf.DUMMYFUNCTION("""COMPUTED_VALUE"""),2.66E8)</f>
        <v>266000000</v>
      </c>
      <c r="P1258" s="15">
        <f>IFERROR(__xludf.DUMMYFUNCTION("ARRAYFORMULA(VLOOKUP(A1258,IMPORTRANGE(""https://docs.google.com/spreadsheets/d/1BuTWp7qHGjWhqrnf-OmePP568O4A5Am9ttzvVdP67zw/edit#gid=771602874"" ,""HUMAN RESOURCES!$A$2:$M$2692""), {2,3,4,5,6,7,8,9,10,11,12,13},0))"),0.038)</f>
        <v>0.038</v>
      </c>
      <c r="Q1258" s="14">
        <f>IFERROR(__xludf.DUMMYFUNCTION("""COMPUTED_VALUE"""),0.056)</f>
        <v>0.056</v>
      </c>
      <c r="R1258" s="14">
        <f>IFERROR(__xludf.DUMMYFUNCTION("""COMPUTED_VALUE"""),59.0)</f>
        <v>59</v>
      </c>
      <c r="S1258" s="14">
        <f>IFERROR(__xludf.DUMMYFUNCTION("""COMPUTED_VALUE"""),56.0)</f>
        <v>56</v>
      </c>
      <c r="T1258" s="14">
        <f>IFERROR(__xludf.DUMMYFUNCTION("""COMPUTED_VALUE"""),0.426)</f>
        <v>0.426</v>
      </c>
      <c r="U1258" s="14">
        <f>IFERROR(__xludf.DUMMYFUNCTION("""COMPUTED_VALUE"""),0.547)</f>
        <v>0.547</v>
      </c>
      <c r="V1258" s="14">
        <f>IFERROR(__xludf.DUMMYFUNCTION("""COMPUTED_VALUE"""),0.026)</f>
        <v>0.026</v>
      </c>
      <c r="W1258" s="14">
        <f>IFERROR(__xludf.DUMMYFUNCTION("""COMPUTED_VALUE"""),3.8773277E7)</f>
        <v>38773277</v>
      </c>
      <c r="X1258" s="14">
        <f>IFERROR(__xludf.DUMMYFUNCTION("""COMPUTED_VALUE"""),0.228)</f>
        <v>0.228</v>
      </c>
      <c r="Y1258" s="14" t="str">
        <f>IFERROR(__xludf.DUMMYFUNCTION("""COMPUTED_VALUE"""),"Kenya-Africa")</f>
        <v>Kenya-Africa</v>
      </c>
      <c r="Z1258" s="14" t="str">
        <f>IFERROR(__xludf.DUMMYFUNCTION("""COMPUTED_VALUE"""),"Africa")</f>
        <v>Africa</v>
      </c>
      <c r="AA1258" s="14" t="str">
        <f>IFERROR(__xludf.DUMMYFUNCTION("""COMPUTED_VALUE"""),"2008")</f>
        <v>2008</v>
      </c>
      <c r="AB1258" s="15" t="str">
        <f>IFERROR(__xludf.DUMMYFUNCTION("ARRAYFORMULA(VLOOKUP(A1258,IMPORTRANGE(""https://docs.google.com/spreadsheets/d/1BuTWp7qHGjWhqrnf-OmePP568O4A5Am9ttzvVdP67zw/edit#gid=1931367683"" ,""ENERGY!$A$2:$F$2692""), {2,3,4,5,6},0))"),"Africa")</f>
        <v>Africa</v>
      </c>
      <c r="AC1258" s="14" t="str">
        <f>IFERROR(__xludf.DUMMYFUNCTION("""COMPUTED_VALUE"""),"Kenya-Africa")</f>
        <v>Kenya-Africa</v>
      </c>
      <c r="AD1258" s="14" t="str">
        <f>IFERROR(__xludf.DUMMYFUNCTION("""COMPUTED_VALUE"""),"2006")</f>
        <v>2006</v>
      </c>
      <c r="AE1258" s="14">
        <f>IFERROR(__xludf.DUMMYFUNCTION("""COMPUTED_VALUE"""),15552.0)</f>
        <v>15552</v>
      </c>
      <c r="AF1258" s="14">
        <f>IFERROR(__xludf.DUMMYFUNCTION("""COMPUTED_VALUE"""),7624.0)</f>
        <v>7624</v>
      </c>
    </row>
    <row r="1259">
      <c r="A1259" s="12">
        <v>1258.0</v>
      </c>
      <c r="B1259" s="12" t="s">
        <v>175</v>
      </c>
      <c r="C1259" s="5" t="s">
        <v>77</v>
      </c>
      <c r="D1259" s="11">
        <v>0.493</v>
      </c>
      <c r="E1259" s="11">
        <v>34.0</v>
      </c>
      <c r="F1259" s="8"/>
      <c r="G1259" s="11">
        <v>417.0</v>
      </c>
      <c r="H1259" s="11">
        <v>0.1</v>
      </c>
      <c r="I1259" s="11">
        <v>0.486</v>
      </c>
      <c r="J1259" s="9" t="s">
        <v>70</v>
      </c>
      <c r="K1259" s="14" t="str">
        <f>IFERROR(__xludf.DUMMYFUNCTION("ARRAYFORMULA(VLOOKUP(A1259,IMPORTRANGE(""https://docs.google.com/spreadsheets/d/1BuTWp7qHGjWhqrnf-OmePP568O4A5Am9ttzvVdP67zw/edit#gid=1603210130"", ""TOURISM!$A$2:$F$2692""), {2,3,4,5,6},0))"),"Africa")</f>
        <v>Africa</v>
      </c>
      <c r="L1259" s="14">
        <f>IFERROR(__xludf.DUMMYFUNCTION("""COMPUTED_VALUE"""),1.124E9)</f>
        <v>1124000000</v>
      </c>
      <c r="M1259" s="14" t="str">
        <f>IFERROR(__xludf.DUMMYFUNCTION("""COMPUTED_VALUE"""),"Kenya-Africa")</f>
        <v>Kenya-Africa</v>
      </c>
      <c r="N1259" s="14" t="str">
        <f>IFERROR(__xludf.DUMMYFUNCTION("""COMPUTED_VALUE"""),"2009")</f>
        <v>2009</v>
      </c>
      <c r="O1259" s="14">
        <f>IFERROR(__xludf.DUMMYFUNCTION("""COMPUTED_VALUE"""),2.27E8)</f>
        <v>227000000</v>
      </c>
      <c r="P1259" s="15">
        <f>IFERROR(__xludf.DUMMYFUNCTION("ARRAYFORMULA(VLOOKUP(A1259,IMPORTRANGE(""https://docs.google.com/spreadsheets/d/1BuTWp7qHGjWhqrnf-OmePP568O4A5Am9ttzvVdP67zw/edit#gid=771602874"" ,""HUMAN RESOURCES!$A$2:$M$2692""), {2,3,4,5,6,7,8,9,10,11,12,13},0))"),0.037)</f>
        <v>0.037</v>
      </c>
      <c r="Q1259" s="14">
        <f>IFERROR(__xludf.DUMMYFUNCTION("""COMPUTED_VALUE"""),0.054)</f>
        <v>0.054</v>
      </c>
      <c r="R1259" s="14">
        <f>IFERROR(__xludf.DUMMYFUNCTION("""COMPUTED_VALUE"""),60.0)</f>
        <v>60</v>
      </c>
      <c r="S1259" s="14">
        <f>IFERROR(__xludf.DUMMYFUNCTION("""COMPUTED_VALUE"""),57.0)</f>
        <v>57</v>
      </c>
      <c r="T1259" s="14">
        <f>IFERROR(__xludf.DUMMYFUNCTION("""COMPUTED_VALUE"""),0.426)</f>
        <v>0.426</v>
      </c>
      <c r="U1259" s="14">
        <f>IFERROR(__xludf.DUMMYFUNCTION("""COMPUTED_VALUE"""),0.548)</f>
        <v>0.548</v>
      </c>
      <c r="V1259" s="14">
        <f>IFERROR(__xludf.DUMMYFUNCTION("""COMPUTED_VALUE"""),0.026)</f>
        <v>0.026</v>
      </c>
      <c r="W1259" s="14">
        <f>IFERROR(__xludf.DUMMYFUNCTION("""COMPUTED_VALUE"""),3.9824734E7)</f>
        <v>39824734</v>
      </c>
      <c r="X1259" s="14">
        <f>IFERROR(__xludf.DUMMYFUNCTION("""COMPUTED_VALUE"""),0.232)</f>
        <v>0.232</v>
      </c>
      <c r="Y1259" s="14" t="str">
        <f>IFERROR(__xludf.DUMMYFUNCTION("""COMPUTED_VALUE"""),"Kenya-Africa")</f>
        <v>Kenya-Africa</v>
      </c>
      <c r="Z1259" s="14" t="str">
        <f>IFERROR(__xludf.DUMMYFUNCTION("""COMPUTED_VALUE"""),"Africa")</f>
        <v>Africa</v>
      </c>
      <c r="AA1259" s="14" t="str">
        <f>IFERROR(__xludf.DUMMYFUNCTION("""COMPUTED_VALUE"""),"2009")</f>
        <v>2009</v>
      </c>
      <c r="AB1259" s="15" t="str">
        <f>IFERROR(__xludf.DUMMYFUNCTION("ARRAYFORMULA(VLOOKUP(A1259,IMPORTRANGE(""https://docs.google.com/spreadsheets/d/1BuTWp7qHGjWhqrnf-OmePP568O4A5Am9ttzvVdP67zw/edit#gid=1931367683"" ,""ENERGY!$A$2:$F$2692""), {2,3,4,5,6},0))"),"Africa")</f>
        <v>Africa</v>
      </c>
      <c r="AC1259" s="14" t="str">
        <f>IFERROR(__xludf.DUMMYFUNCTION("""COMPUTED_VALUE"""),"Kenya-Africa")</f>
        <v>Kenya-Africa</v>
      </c>
      <c r="AD1259" s="14" t="str">
        <f>IFERROR(__xludf.DUMMYFUNCTION("""COMPUTED_VALUE"""),"2010")</f>
        <v>2010</v>
      </c>
      <c r="AE1259" s="14">
        <f>IFERROR(__xludf.DUMMYFUNCTION("""COMPUTED_VALUE"""),14769.0)</f>
        <v>14769</v>
      </c>
      <c r="AF1259" s="14">
        <f>IFERROR(__xludf.DUMMYFUNCTION("""COMPUTED_VALUE"""),6755.0)</f>
        <v>6755</v>
      </c>
    </row>
    <row r="1260">
      <c r="A1260" s="12">
        <v>1259.0</v>
      </c>
      <c r="B1260" s="12" t="s">
        <v>175</v>
      </c>
      <c r="C1260" s="5" t="s">
        <v>77</v>
      </c>
      <c r="D1260" s="11">
        <v>0.493</v>
      </c>
      <c r="E1260" s="11">
        <v>33.0</v>
      </c>
      <c r="F1260" s="8"/>
      <c r="G1260" s="11">
        <v>393.0</v>
      </c>
      <c r="H1260" s="11">
        <v>0.14</v>
      </c>
      <c r="I1260" s="11">
        <v>0.61</v>
      </c>
      <c r="J1260" s="9" t="s">
        <v>71</v>
      </c>
      <c r="K1260" s="14" t="str">
        <f>IFERROR(__xludf.DUMMYFUNCTION("ARRAYFORMULA(VLOOKUP(A1260,IMPORTRANGE(""https://docs.google.com/spreadsheets/d/1BuTWp7qHGjWhqrnf-OmePP568O4A5Am9ttzvVdP67zw/edit#gid=1603210130"", ""TOURISM!$A$2:$F$2692""), {2,3,4,5,6},0))"),"Africa")</f>
        <v>Africa</v>
      </c>
      <c r="L1260" s="14">
        <f>IFERROR(__xludf.DUMMYFUNCTION("""COMPUTED_VALUE"""),1.62E9)</f>
        <v>1620000000</v>
      </c>
      <c r="M1260" s="14" t="str">
        <f>IFERROR(__xludf.DUMMYFUNCTION("""COMPUTED_VALUE"""),"Kenya-Africa")</f>
        <v>Kenya-Africa</v>
      </c>
      <c r="N1260" s="14" t="str">
        <f>IFERROR(__xludf.DUMMYFUNCTION("""COMPUTED_VALUE"""),"2010")</f>
        <v>2010</v>
      </c>
      <c r="O1260" s="14">
        <f>IFERROR(__xludf.DUMMYFUNCTION("""COMPUTED_VALUE"""),2.12E8)</f>
        <v>212000000</v>
      </c>
      <c r="P1260" s="15">
        <f>IFERROR(__xludf.DUMMYFUNCTION("ARRAYFORMULA(VLOOKUP(A1260,IMPORTRANGE(""https://docs.google.com/spreadsheets/d/1BuTWp7qHGjWhqrnf-OmePP568O4A5Am9ttzvVdP67zw/edit#gid=771602874"" ,""HUMAN RESOURCES!$A$2:$M$2692""), {2,3,4,5,6,7,8,9,10,11,12,13},0))"),0.037)</f>
        <v>0.037</v>
      </c>
      <c r="Q1260" s="14">
        <f>IFERROR(__xludf.DUMMYFUNCTION("""COMPUTED_VALUE"""),0.052)</f>
        <v>0.052</v>
      </c>
      <c r="R1260" s="14">
        <f>IFERROR(__xludf.DUMMYFUNCTION("""COMPUTED_VALUE"""),61.0)</f>
        <v>61</v>
      </c>
      <c r="S1260" s="14">
        <f>IFERROR(__xludf.DUMMYFUNCTION("""COMPUTED_VALUE"""),58.0)</f>
        <v>58</v>
      </c>
      <c r="T1260" s="14">
        <f>IFERROR(__xludf.DUMMYFUNCTION("""COMPUTED_VALUE"""),0.426)</f>
        <v>0.426</v>
      </c>
      <c r="U1260" s="14">
        <f>IFERROR(__xludf.DUMMYFUNCTION("""COMPUTED_VALUE"""),0.548)</f>
        <v>0.548</v>
      </c>
      <c r="V1260" s="14">
        <f>IFERROR(__xludf.DUMMYFUNCTION("""COMPUTED_VALUE"""),0.026)</f>
        <v>0.026</v>
      </c>
      <c r="W1260" s="14">
        <f>IFERROR(__xludf.DUMMYFUNCTION("""COMPUTED_VALUE"""),4.0909194E7)</f>
        <v>40909194</v>
      </c>
      <c r="X1260" s="14">
        <f>IFERROR(__xludf.DUMMYFUNCTION("""COMPUTED_VALUE"""),0.236)</f>
        <v>0.236</v>
      </c>
      <c r="Y1260" s="14" t="str">
        <f>IFERROR(__xludf.DUMMYFUNCTION("""COMPUTED_VALUE"""),"Kenya-Africa")</f>
        <v>Kenya-Africa</v>
      </c>
      <c r="Z1260" s="14" t="str">
        <f>IFERROR(__xludf.DUMMYFUNCTION("""COMPUTED_VALUE"""),"Africa")</f>
        <v>Africa</v>
      </c>
      <c r="AA1260" s="14" t="str">
        <f>IFERROR(__xludf.DUMMYFUNCTION("""COMPUTED_VALUE"""),"2010")</f>
        <v>2010</v>
      </c>
      <c r="AB1260" s="15" t="str">
        <f>IFERROR(__xludf.DUMMYFUNCTION("ARRAYFORMULA(VLOOKUP(A1260,IMPORTRANGE(""https://docs.google.com/spreadsheets/d/1BuTWp7qHGjWhqrnf-OmePP568O4A5Am9ttzvVdP67zw/edit#gid=1931367683"" ,""ENERGY!$A$2:$F$2692""), {2,3,4,5,6},0))"),"Africa")</f>
        <v>Africa</v>
      </c>
      <c r="AC1260" s="14" t="str">
        <f>IFERROR(__xludf.DUMMYFUNCTION("""COMPUTED_VALUE"""),"Kenya-Africa")</f>
        <v>Kenya-Africa</v>
      </c>
      <c r="AD1260" s="14" t="str">
        <f>IFERROR(__xludf.DUMMYFUNCTION("""COMPUTED_VALUE"""),"2011")</f>
        <v>2011</v>
      </c>
      <c r="AE1260" s="14">
        <f>IFERROR(__xludf.DUMMYFUNCTION("""COMPUTED_VALUE"""),14454.0)</f>
        <v>14454</v>
      </c>
      <c r="AF1260" s="14">
        <f>IFERROR(__xludf.DUMMYFUNCTION("""COMPUTED_VALUE"""),7968.0)</f>
        <v>7968</v>
      </c>
    </row>
    <row r="1261">
      <c r="A1261" s="12">
        <v>1260.0</v>
      </c>
      <c r="B1261" s="12" t="s">
        <v>175</v>
      </c>
      <c r="C1261" s="5" t="s">
        <v>77</v>
      </c>
      <c r="D1261" s="11">
        <v>0.493</v>
      </c>
      <c r="E1261" s="11">
        <v>33.0</v>
      </c>
      <c r="F1261" s="8"/>
      <c r="G1261" s="11">
        <v>393.0</v>
      </c>
      <c r="H1261" s="11">
        <v>0.28</v>
      </c>
      <c r="I1261" s="11">
        <v>0.668</v>
      </c>
      <c r="J1261" s="9" t="s">
        <v>72</v>
      </c>
      <c r="K1261" s="14" t="str">
        <f>IFERROR(__xludf.DUMMYFUNCTION("ARRAYFORMULA(VLOOKUP(A1261,IMPORTRANGE(""https://docs.google.com/spreadsheets/d/1BuTWp7qHGjWhqrnf-OmePP568O4A5Am9ttzvVdP67zw/edit#gid=1603210130"", ""TOURISM!$A$2:$F$2692""), {2,3,4,5,6},0))"),"Africa")</f>
        <v>Africa</v>
      </c>
      <c r="L1261" s="14">
        <f>IFERROR(__xludf.DUMMYFUNCTION("""COMPUTED_VALUE"""),1.844E9)</f>
        <v>1844000000</v>
      </c>
      <c r="M1261" s="14" t="str">
        <f>IFERROR(__xludf.DUMMYFUNCTION("""COMPUTED_VALUE"""),"Kenya-Africa")</f>
        <v>Kenya-Africa</v>
      </c>
      <c r="N1261" s="14" t="str">
        <f>IFERROR(__xludf.DUMMYFUNCTION("""COMPUTED_VALUE"""),"2011")</f>
        <v>2011</v>
      </c>
      <c r="O1261" s="14">
        <f>IFERROR(__xludf.DUMMYFUNCTION("""COMPUTED_VALUE"""),1.97E8)</f>
        <v>197000000</v>
      </c>
      <c r="P1261" s="15">
        <f>IFERROR(__xludf.DUMMYFUNCTION("ARRAYFORMULA(VLOOKUP(A1261,IMPORTRANGE(""https://docs.google.com/spreadsheets/d/1BuTWp7qHGjWhqrnf-OmePP568O4A5Am9ttzvVdP67zw/edit#gid=771602874"" ,""HUMAN RESOURCES!$A$2:$M$2692""), {2,3,4,5,6,7,8,9,10,11,12,13},0))"),0.036)</f>
        <v>0.036</v>
      </c>
      <c r="Q1261" s="14">
        <f>IFERROR(__xludf.DUMMYFUNCTION("""COMPUTED_VALUE"""),0.05)</f>
        <v>0.05</v>
      </c>
      <c r="R1261" s="14">
        <f>IFERROR(__xludf.DUMMYFUNCTION("""COMPUTED_VALUE"""),62.0)</f>
        <v>62</v>
      </c>
      <c r="S1261" s="14">
        <f>IFERROR(__xludf.DUMMYFUNCTION("""COMPUTED_VALUE"""),59.0)</f>
        <v>59</v>
      </c>
      <c r="T1261" s="14">
        <f>IFERROR(__xludf.DUMMYFUNCTION("""COMPUTED_VALUE"""),0.425)</f>
        <v>0.425</v>
      </c>
      <c r="U1261" s="14">
        <f>IFERROR(__xludf.DUMMYFUNCTION("""COMPUTED_VALUE"""),0.549)</f>
        <v>0.549</v>
      </c>
      <c r="V1261" s="14">
        <f>IFERROR(__xludf.DUMMYFUNCTION("""COMPUTED_VALUE"""),0.026)</f>
        <v>0.026</v>
      </c>
      <c r="W1261" s="14">
        <f>IFERROR(__xludf.DUMMYFUNCTION("""COMPUTED_VALUE"""),4.2027891E7)</f>
        <v>42027891</v>
      </c>
      <c r="X1261" s="14">
        <f>IFERROR(__xludf.DUMMYFUNCTION("""COMPUTED_VALUE"""),0.24)</f>
        <v>0.24</v>
      </c>
      <c r="Y1261" s="14" t="str">
        <f>IFERROR(__xludf.DUMMYFUNCTION("""COMPUTED_VALUE"""),"Kenya-Africa")</f>
        <v>Kenya-Africa</v>
      </c>
      <c r="Z1261" s="14" t="str">
        <f>IFERROR(__xludf.DUMMYFUNCTION("""COMPUTED_VALUE"""),"Africa")</f>
        <v>Africa</v>
      </c>
      <c r="AA1261" s="14" t="str">
        <f>IFERROR(__xludf.DUMMYFUNCTION("""COMPUTED_VALUE"""),"2011")</f>
        <v>2011</v>
      </c>
      <c r="AB1261" s="15" t="str">
        <f>IFERROR(__xludf.DUMMYFUNCTION("ARRAYFORMULA(VLOOKUP(A1261,IMPORTRANGE(""https://docs.google.com/spreadsheets/d/1BuTWp7qHGjWhqrnf-OmePP568O4A5Am9ttzvVdP67zw/edit#gid=1931367683"" ,""ENERGY!$A$2:$F$2692""), {2,3,4,5,6},0))"),"Africa")</f>
        <v>Africa</v>
      </c>
      <c r="AC1261" s="14" t="str">
        <f>IFERROR(__xludf.DUMMYFUNCTION("""COMPUTED_VALUE"""),"Kenya-Africa")</f>
        <v>Kenya-Africa</v>
      </c>
      <c r="AD1261" s="14" t="str">
        <f>IFERROR(__xludf.DUMMYFUNCTION("""COMPUTED_VALUE"""),"2005")</f>
        <v>2005</v>
      </c>
      <c r="AE1261" s="14">
        <f>IFERROR(__xludf.DUMMYFUNCTION("""COMPUTED_VALUE"""),14259.0)</f>
        <v>14259</v>
      </c>
      <c r="AF1261" s="14">
        <f>IFERROR(__xludf.DUMMYFUNCTION("""COMPUTED_VALUE"""),9369.0)</f>
        <v>9369</v>
      </c>
    </row>
    <row r="1262">
      <c r="A1262" s="12">
        <v>1261.0</v>
      </c>
      <c r="B1262" s="12" t="s">
        <v>175</v>
      </c>
      <c r="C1262" s="5" t="s">
        <v>77</v>
      </c>
      <c r="D1262" s="11">
        <v>0.442</v>
      </c>
      <c r="E1262" s="11">
        <v>32.0</v>
      </c>
      <c r="F1262" s="11">
        <v>122.0</v>
      </c>
      <c r="G1262" s="11">
        <v>340.0</v>
      </c>
      <c r="H1262" s="11">
        <v>0.321</v>
      </c>
      <c r="I1262" s="11">
        <v>0.712</v>
      </c>
      <c r="J1262" s="9" t="s">
        <v>73</v>
      </c>
      <c r="K1262" s="14" t="str">
        <f>IFERROR(__xludf.DUMMYFUNCTION("ARRAYFORMULA(VLOOKUP(A1262,IMPORTRANGE(""https://docs.google.com/spreadsheets/d/1BuTWp7qHGjWhqrnf-OmePP568O4A5Am9ttzvVdP67zw/edit#gid=1603210130"", ""TOURISM!$A$2:$F$2692""), {2,3,4,5,6},0))"),"Africa")</f>
        <v>Africa</v>
      </c>
      <c r="L1262" s="14">
        <f>IFERROR(__xludf.DUMMYFUNCTION("""COMPUTED_VALUE"""),2.004E9)</f>
        <v>2004000000</v>
      </c>
      <c r="M1262" s="14" t="str">
        <f>IFERROR(__xludf.DUMMYFUNCTION("""COMPUTED_VALUE"""),"Kenya-Africa")</f>
        <v>Kenya-Africa</v>
      </c>
      <c r="N1262" s="14" t="str">
        <f>IFERROR(__xludf.DUMMYFUNCTION("""COMPUTED_VALUE"""),"2012")</f>
        <v>2012</v>
      </c>
      <c r="O1262" s="14">
        <f>IFERROR(__xludf.DUMMYFUNCTION("""COMPUTED_VALUE"""),1.74E8)</f>
        <v>174000000</v>
      </c>
      <c r="P1262" s="15">
        <f>IFERROR(__xludf.DUMMYFUNCTION("ARRAYFORMULA(VLOOKUP(A1262,IMPORTRANGE(""https://docs.google.com/spreadsheets/d/1BuTWp7qHGjWhqrnf-OmePP568O4A5Am9ttzvVdP67zw/edit#gid=771602874"" ,""HUMAN RESOURCES!$A$2:$M$2692""), {2,3,4,5,6,7,8,9,10,11,12,13},0))"),0.036)</f>
        <v>0.036</v>
      </c>
      <c r="Q1262" s="14">
        <f>IFERROR(__xludf.DUMMYFUNCTION("""COMPUTED_VALUE"""),0.049)</f>
        <v>0.049</v>
      </c>
      <c r="R1262" s="14">
        <f>IFERROR(__xludf.DUMMYFUNCTION("""COMPUTED_VALUE"""),63.0)</f>
        <v>63</v>
      </c>
      <c r="S1262" s="14">
        <f>IFERROR(__xludf.DUMMYFUNCTION("""COMPUTED_VALUE"""),59.0)</f>
        <v>59</v>
      </c>
      <c r="T1262" s="14">
        <f>IFERROR(__xludf.DUMMYFUNCTION("""COMPUTED_VALUE"""),0.424)</f>
        <v>0.424</v>
      </c>
      <c r="U1262" s="14">
        <f>IFERROR(__xludf.DUMMYFUNCTION("""COMPUTED_VALUE"""),0.55)</f>
        <v>0.55</v>
      </c>
      <c r="V1262" s="14">
        <f>IFERROR(__xludf.DUMMYFUNCTION("""COMPUTED_VALUE"""),0.026)</f>
        <v>0.026</v>
      </c>
      <c r="W1262" s="14">
        <f>IFERROR(__xludf.DUMMYFUNCTION("""COMPUTED_VALUE"""),4.3178141E7)</f>
        <v>43178141</v>
      </c>
      <c r="X1262" s="14">
        <f>IFERROR(__xludf.DUMMYFUNCTION("""COMPUTED_VALUE"""),0.244)</f>
        <v>0.244</v>
      </c>
      <c r="Y1262" s="14" t="str">
        <f>IFERROR(__xludf.DUMMYFUNCTION("""COMPUTED_VALUE"""),"Kenya-Africa")</f>
        <v>Kenya-Africa</v>
      </c>
      <c r="Z1262" s="14" t="str">
        <f>IFERROR(__xludf.DUMMYFUNCTION("""COMPUTED_VALUE"""),"Africa")</f>
        <v>Africa</v>
      </c>
      <c r="AA1262" s="14" t="str">
        <f>IFERROR(__xludf.DUMMYFUNCTION("""COMPUTED_VALUE"""),"2012")</f>
        <v>2012</v>
      </c>
      <c r="AB1262" s="15" t="str">
        <f>IFERROR(__xludf.DUMMYFUNCTION("ARRAYFORMULA(VLOOKUP(A1262,IMPORTRANGE(""https://docs.google.com/spreadsheets/d/1BuTWp7qHGjWhqrnf-OmePP568O4A5Am9ttzvVdP67zw/edit#gid=1931367683"" ,""ENERGY!$A$2:$F$2692""), {2,3,4,5,6},0))"),"Africa")</f>
        <v>Africa</v>
      </c>
      <c r="AC1262" s="14" t="str">
        <f>IFERROR(__xludf.DUMMYFUNCTION("""COMPUTED_VALUE"""),"Kenya-Africa")</f>
        <v>Kenya-Africa</v>
      </c>
      <c r="AD1262" s="14" t="str">
        <f>IFERROR(__xludf.DUMMYFUNCTION("""COMPUTED_VALUE"""),"2010")</f>
        <v>2010</v>
      </c>
      <c r="AE1262" s="14">
        <f>IFERROR(__xludf.DUMMYFUNCTION("""COMPUTED_VALUE"""),14055.0)</f>
        <v>14055</v>
      </c>
      <c r="AF1262" s="14">
        <f>IFERROR(__xludf.DUMMYFUNCTION("""COMPUTED_VALUE"""),10418.0)</f>
        <v>10418</v>
      </c>
    </row>
    <row r="1263">
      <c r="A1263" s="12">
        <v>1262.0</v>
      </c>
      <c r="B1263" s="12" t="s">
        <v>176</v>
      </c>
      <c r="C1263" s="5" t="s">
        <v>80</v>
      </c>
      <c r="D1263" s="8"/>
      <c r="E1263" s="8"/>
      <c r="F1263" s="8"/>
      <c r="G1263" s="8"/>
      <c r="H1263" s="11">
        <v>0.018</v>
      </c>
      <c r="I1263" s="11">
        <v>0.004</v>
      </c>
      <c r="J1263" s="9" t="s">
        <v>60</v>
      </c>
      <c r="K1263" s="14" t="str">
        <f>IFERROR(__xludf.DUMMYFUNCTION("ARRAYFORMULA(VLOOKUP(A1263,IMPORTRANGE(""https://docs.google.com/spreadsheets/d/1BuTWp7qHGjWhqrnf-OmePP568O4A5Am9ttzvVdP67zw/edit#gid=1603210130"", ""TOURISM!$A$2:$F$2692""), {2,3,4,5,6},0))"),"Oceania")</f>
        <v>Oceania</v>
      </c>
      <c r="L1263" s="14">
        <f>IFERROR(__xludf.DUMMYFUNCTION("""COMPUTED_VALUE"""),2700000.0)</f>
        <v>2700000</v>
      </c>
      <c r="M1263" s="14" t="str">
        <f>IFERROR(__xludf.DUMMYFUNCTION("""COMPUTED_VALUE"""),"Kiribati-Oceania")</f>
        <v>Kiribati-Oceania</v>
      </c>
      <c r="N1263" s="14" t="str">
        <f>IFERROR(__xludf.DUMMYFUNCTION("""COMPUTED_VALUE"""),"2000")</f>
        <v>2000</v>
      </c>
      <c r="O1263" s="14"/>
      <c r="P1263" s="15">
        <f>IFERROR(__xludf.DUMMYFUNCTION("ARRAYFORMULA(VLOOKUP(A1263,IMPORTRANGE(""https://docs.google.com/spreadsheets/d/1BuTWp7qHGjWhqrnf-OmePP568O4A5Am9ttzvVdP67zw/edit#gid=771602874"" ,""HUMAN RESOURCES!$A$2:$M$2692""), {2,3,4,5,6,7,8,9,10,11,12,13},0))"),0.029)</f>
        <v>0.029</v>
      </c>
      <c r="Q1263" s="14">
        <f>IFERROR(__xludf.DUMMYFUNCTION("""COMPUTED_VALUE"""),0.054)</f>
        <v>0.054</v>
      </c>
      <c r="R1263" s="14">
        <f>IFERROR(__xludf.DUMMYFUNCTION("""COMPUTED_VALUE"""),68.0)</f>
        <v>68</v>
      </c>
      <c r="S1263" s="14">
        <f>IFERROR(__xludf.DUMMYFUNCTION("""COMPUTED_VALUE"""),62.0)</f>
        <v>62</v>
      </c>
      <c r="T1263" s="14">
        <f>IFERROR(__xludf.DUMMYFUNCTION("""COMPUTED_VALUE"""),0.399)</f>
        <v>0.399</v>
      </c>
      <c r="U1263" s="14">
        <f>IFERROR(__xludf.DUMMYFUNCTION("""COMPUTED_VALUE"""),0.567)</f>
        <v>0.567</v>
      </c>
      <c r="V1263" s="14">
        <f>IFERROR(__xludf.DUMMYFUNCTION("""COMPUTED_VALUE"""),0.034)</f>
        <v>0.034</v>
      </c>
      <c r="W1263" s="14">
        <f>IFERROR(__xludf.DUMMYFUNCTION("""COMPUTED_VALUE"""),82788.0)</f>
        <v>82788</v>
      </c>
      <c r="X1263" s="14">
        <f>IFERROR(__xludf.DUMMYFUNCTION("""COMPUTED_VALUE"""),0.43)</f>
        <v>0.43</v>
      </c>
      <c r="Y1263" s="14" t="str">
        <f>IFERROR(__xludf.DUMMYFUNCTION("""COMPUTED_VALUE"""),"Kiribati-Oceania")</f>
        <v>Kiribati-Oceania</v>
      </c>
      <c r="Z1263" s="14" t="str">
        <f>IFERROR(__xludf.DUMMYFUNCTION("""COMPUTED_VALUE"""),"Oceania")</f>
        <v>Oceania</v>
      </c>
      <c r="AA1263" s="14" t="str">
        <f>IFERROR(__xludf.DUMMYFUNCTION("""COMPUTED_VALUE"""),"2000")</f>
        <v>2000</v>
      </c>
      <c r="AB1263" s="15" t="str">
        <f>IFERROR(__xludf.DUMMYFUNCTION("ARRAYFORMULA(VLOOKUP(A1263,IMPORTRANGE(""https://docs.google.com/spreadsheets/d/1BuTWp7qHGjWhqrnf-OmePP568O4A5Am9ttzvVdP67zw/edit#gid=1931367683"" ,""ENERGY!$A$2:$F$2692""), {2,3,4,5,6},0))"),"Oceania")</f>
        <v>Oceania</v>
      </c>
      <c r="AC1263" s="14" t="str">
        <f>IFERROR(__xludf.DUMMYFUNCTION("""COMPUTED_VALUE"""),"Kiribati-Oceania")</f>
        <v>Kiribati-Oceania</v>
      </c>
      <c r="AD1263" s="14" t="str">
        <f>IFERROR(__xludf.DUMMYFUNCTION("""COMPUTED_VALUE"""),"2000")</f>
        <v>2000</v>
      </c>
      <c r="AE1263" s="14"/>
      <c r="AF1263" s="14"/>
    </row>
    <row r="1264">
      <c r="A1264" s="12">
        <v>1263.0</v>
      </c>
      <c r="B1264" s="12" t="s">
        <v>176</v>
      </c>
      <c r="C1264" s="5" t="s">
        <v>80</v>
      </c>
      <c r="D1264" s="8"/>
      <c r="E1264" s="8"/>
      <c r="F1264" s="8"/>
      <c r="G1264" s="8"/>
      <c r="H1264" s="11">
        <v>0.023</v>
      </c>
      <c r="I1264" s="11">
        <v>0.005</v>
      </c>
      <c r="J1264" s="9" t="s">
        <v>62</v>
      </c>
      <c r="K1264" s="14" t="str">
        <f>IFERROR(__xludf.DUMMYFUNCTION("ARRAYFORMULA(VLOOKUP(A1264,IMPORTRANGE(""https://docs.google.com/spreadsheets/d/1BuTWp7qHGjWhqrnf-OmePP568O4A5Am9ttzvVdP67zw/edit#gid=1603210130"", ""TOURISM!$A$2:$F$2692""), {2,3,4,5,6},0))"),"Oceania")</f>
        <v>Oceania</v>
      </c>
      <c r="L1264" s="14">
        <f>IFERROR(__xludf.DUMMYFUNCTION("""COMPUTED_VALUE"""),3200000.0)</f>
        <v>3200000</v>
      </c>
      <c r="M1264" s="14" t="str">
        <f>IFERROR(__xludf.DUMMYFUNCTION("""COMPUTED_VALUE"""),"Kiribati-Oceania")</f>
        <v>Kiribati-Oceania</v>
      </c>
      <c r="N1264" s="14" t="str">
        <f>IFERROR(__xludf.DUMMYFUNCTION("""COMPUTED_VALUE"""),"2001")</f>
        <v>2001</v>
      </c>
      <c r="O1264" s="14"/>
      <c r="P1264" s="15">
        <f>IFERROR(__xludf.DUMMYFUNCTION("ARRAYFORMULA(VLOOKUP(A1264,IMPORTRANGE(""https://docs.google.com/spreadsheets/d/1BuTWp7qHGjWhqrnf-OmePP568O4A5Am9ttzvVdP67zw/edit#gid=771602874"" ,""HUMAN RESOURCES!$A$2:$M$2692""), {2,3,4,5,6,7,8,9,10,11,12,13},0))"),0.028)</f>
        <v>0.028</v>
      </c>
      <c r="Q1264" s="14">
        <f>IFERROR(__xludf.DUMMYFUNCTION("""COMPUTED_VALUE"""),0.053)</f>
        <v>0.053</v>
      </c>
      <c r="R1264" s="14">
        <f>IFERROR(__xludf.DUMMYFUNCTION("""COMPUTED_VALUE"""),68.0)</f>
        <v>68</v>
      </c>
      <c r="S1264" s="14">
        <f>IFERROR(__xludf.DUMMYFUNCTION("""COMPUTED_VALUE"""),62.0)</f>
        <v>62</v>
      </c>
      <c r="T1264" s="14">
        <f>IFERROR(__xludf.DUMMYFUNCTION("""COMPUTED_VALUE"""),0.394)</f>
        <v>0.394</v>
      </c>
      <c r="U1264" s="14">
        <f>IFERROR(__xludf.DUMMYFUNCTION("""COMPUTED_VALUE"""),0.572)</f>
        <v>0.572</v>
      </c>
      <c r="V1264" s="14">
        <f>IFERROR(__xludf.DUMMYFUNCTION("""COMPUTED_VALUE"""),0.034)</f>
        <v>0.034</v>
      </c>
      <c r="W1264" s="14">
        <f>IFERROR(__xludf.DUMMYFUNCTION("""COMPUTED_VALUE"""),84261.0)</f>
        <v>84261</v>
      </c>
      <c r="X1264" s="14">
        <f>IFERROR(__xludf.DUMMYFUNCTION("""COMPUTED_VALUE"""),0.435)</f>
        <v>0.435</v>
      </c>
      <c r="Y1264" s="14" t="str">
        <f>IFERROR(__xludf.DUMMYFUNCTION("""COMPUTED_VALUE"""),"Kiribati-Oceania")</f>
        <v>Kiribati-Oceania</v>
      </c>
      <c r="Z1264" s="14" t="str">
        <f>IFERROR(__xludf.DUMMYFUNCTION("""COMPUTED_VALUE"""),"Oceania")</f>
        <v>Oceania</v>
      </c>
      <c r="AA1264" s="14" t="str">
        <f>IFERROR(__xludf.DUMMYFUNCTION("""COMPUTED_VALUE"""),"2001")</f>
        <v>2001</v>
      </c>
      <c r="AB1264" s="15" t="str">
        <f>IFERROR(__xludf.DUMMYFUNCTION("ARRAYFORMULA(VLOOKUP(A1264,IMPORTRANGE(""https://docs.google.com/spreadsheets/d/1BuTWp7qHGjWhqrnf-OmePP568O4A5Am9ttzvVdP67zw/edit#gid=1931367683"" ,""ENERGY!$A$2:$F$2692""), {2,3,4,5,6},0))"),"Oceania")</f>
        <v>Oceania</v>
      </c>
      <c r="AC1264" s="14" t="str">
        <f>IFERROR(__xludf.DUMMYFUNCTION("""COMPUTED_VALUE"""),"Kiribati-Oceania")</f>
        <v>Kiribati-Oceania</v>
      </c>
      <c r="AD1264" s="14" t="str">
        <f>IFERROR(__xludf.DUMMYFUNCTION("""COMPUTED_VALUE"""),"2001")</f>
        <v>2001</v>
      </c>
      <c r="AE1264" s="14"/>
      <c r="AF1264" s="14"/>
    </row>
    <row r="1265">
      <c r="A1265" s="12">
        <v>1264.0</v>
      </c>
      <c r="B1265" s="12" t="s">
        <v>176</v>
      </c>
      <c r="C1265" s="5" t="s">
        <v>80</v>
      </c>
      <c r="D1265" s="8"/>
      <c r="E1265" s="8"/>
      <c r="F1265" s="8"/>
      <c r="G1265" s="8"/>
      <c r="H1265" s="11">
        <v>0.025</v>
      </c>
      <c r="I1265" s="11">
        <v>0.006</v>
      </c>
      <c r="J1265" s="9" t="s">
        <v>63</v>
      </c>
      <c r="K1265" s="14" t="str">
        <f>IFERROR(__xludf.DUMMYFUNCTION("ARRAYFORMULA(VLOOKUP(A1265,IMPORTRANGE(""https://docs.google.com/spreadsheets/d/1BuTWp7qHGjWhqrnf-OmePP568O4A5Am9ttzvVdP67zw/edit#gid=1603210130"", ""TOURISM!$A$2:$F$2692""), {2,3,4,5,6},0))"),"Oceania")</f>
        <v>Oceania</v>
      </c>
      <c r="L1265" s="14"/>
      <c r="M1265" s="14" t="str">
        <f>IFERROR(__xludf.DUMMYFUNCTION("""COMPUTED_VALUE"""),"Kiribati-Oceania")</f>
        <v>Kiribati-Oceania</v>
      </c>
      <c r="N1265" s="14" t="str">
        <f>IFERROR(__xludf.DUMMYFUNCTION("""COMPUTED_VALUE"""),"2002")</f>
        <v>2002</v>
      </c>
      <c r="O1265" s="14"/>
      <c r="P1265" s="15">
        <f>IFERROR(__xludf.DUMMYFUNCTION("ARRAYFORMULA(VLOOKUP(A1265,IMPORTRANGE(""https://docs.google.com/spreadsheets/d/1BuTWp7qHGjWhqrnf-OmePP568O4A5Am9ttzvVdP67zw/edit#gid=771602874"" ,""HUMAN RESOURCES!$A$2:$M$2692""), {2,3,4,5,6,7,8,9,10,11,12,13},0))"),0.027)</f>
        <v>0.027</v>
      </c>
      <c r="Q1265" s="14">
        <f>IFERROR(__xludf.DUMMYFUNCTION("""COMPUTED_VALUE"""),0.052)</f>
        <v>0.052</v>
      </c>
      <c r="R1265" s="14">
        <f>IFERROR(__xludf.DUMMYFUNCTION("""COMPUTED_VALUE"""),68.0)</f>
        <v>68</v>
      </c>
      <c r="S1265" s="14">
        <f>IFERROR(__xludf.DUMMYFUNCTION("""COMPUTED_VALUE"""),63.0)</f>
        <v>63</v>
      </c>
      <c r="T1265" s="14">
        <f>IFERROR(__xludf.DUMMYFUNCTION("""COMPUTED_VALUE"""),0.389)</f>
        <v>0.389</v>
      </c>
      <c r="U1265" s="14">
        <f>IFERROR(__xludf.DUMMYFUNCTION("""COMPUTED_VALUE"""),0.576)</f>
        <v>0.576</v>
      </c>
      <c r="V1265" s="14">
        <f>IFERROR(__xludf.DUMMYFUNCTION("""COMPUTED_VALUE"""),0.035)</f>
        <v>0.035</v>
      </c>
      <c r="W1265" s="14">
        <f>IFERROR(__xludf.DUMMYFUNCTION("""COMPUTED_VALUE"""),85799.0)</f>
        <v>85799</v>
      </c>
      <c r="X1265" s="14">
        <f>IFERROR(__xludf.DUMMYFUNCTION("""COMPUTED_VALUE"""),0.435)</f>
        <v>0.435</v>
      </c>
      <c r="Y1265" s="14" t="str">
        <f>IFERROR(__xludf.DUMMYFUNCTION("""COMPUTED_VALUE"""),"Kiribati-Oceania")</f>
        <v>Kiribati-Oceania</v>
      </c>
      <c r="Z1265" s="14" t="str">
        <f>IFERROR(__xludf.DUMMYFUNCTION("""COMPUTED_VALUE"""),"Oceania")</f>
        <v>Oceania</v>
      </c>
      <c r="AA1265" s="14" t="str">
        <f>IFERROR(__xludf.DUMMYFUNCTION("""COMPUTED_VALUE"""),"2002")</f>
        <v>2002</v>
      </c>
      <c r="AB1265" s="15" t="str">
        <f>IFERROR(__xludf.DUMMYFUNCTION("ARRAYFORMULA(VLOOKUP(A1265,IMPORTRANGE(""https://docs.google.com/spreadsheets/d/1BuTWp7qHGjWhqrnf-OmePP568O4A5Am9ttzvVdP67zw/edit#gid=1931367683"" ,""ENERGY!$A$2:$F$2692""), {2,3,4,5,6},0))"),"Oceania")</f>
        <v>Oceania</v>
      </c>
      <c r="AC1265" s="14" t="str">
        <f>IFERROR(__xludf.DUMMYFUNCTION("""COMPUTED_VALUE"""),"Kiribati-Oceania")</f>
        <v>Kiribati-Oceania</v>
      </c>
      <c r="AD1265" s="14" t="str">
        <f>IFERROR(__xludf.DUMMYFUNCTION("""COMPUTED_VALUE"""),"2002")</f>
        <v>2002</v>
      </c>
      <c r="AE1265" s="14"/>
      <c r="AF1265" s="14">
        <f>IFERROR(__xludf.DUMMYFUNCTION("""COMPUTED_VALUE"""),62.0)</f>
        <v>62</v>
      </c>
    </row>
    <row r="1266">
      <c r="A1266" s="12">
        <v>1265.0</v>
      </c>
      <c r="B1266" s="12" t="s">
        <v>176</v>
      </c>
      <c r="C1266" s="5" t="s">
        <v>80</v>
      </c>
      <c r="D1266" s="8"/>
      <c r="E1266" s="11">
        <v>21.0</v>
      </c>
      <c r="F1266" s="8"/>
      <c r="G1266" s="8"/>
      <c r="H1266" s="11">
        <v>0.03</v>
      </c>
      <c r="I1266" s="11">
        <v>0.006</v>
      </c>
      <c r="J1266" s="9" t="s">
        <v>64</v>
      </c>
      <c r="K1266" s="14" t="str">
        <f>IFERROR(__xludf.DUMMYFUNCTION("ARRAYFORMULA(VLOOKUP(A1266,IMPORTRANGE(""https://docs.google.com/spreadsheets/d/1BuTWp7qHGjWhqrnf-OmePP568O4A5Am9ttzvVdP67zw/edit#gid=1603210130"", ""TOURISM!$A$2:$F$2692""), {2,3,4,5,6},0))"),"Oceania")</f>
        <v>Oceania</v>
      </c>
      <c r="L1266" s="14"/>
      <c r="M1266" s="14" t="str">
        <f>IFERROR(__xludf.DUMMYFUNCTION("""COMPUTED_VALUE"""),"Kiribati-Oceania")</f>
        <v>Kiribati-Oceania</v>
      </c>
      <c r="N1266" s="14" t="str">
        <f>IFERROR(__xludf.DUMMYFUNCTION("""COMPUTED_VALUE"""),"2003")</f>
        <v>2003</v>
      </c>
      <c r="O1266" s="14"/>
      <c r="P1266" s="15">
        <f>IFERROR(__xludf.DUMMYFUNCTION("ARRAYFORMULA(VLOOKUP(A1266,IMPORTRANGE(""https://docs.google.com/spreadsheets/d/1BuTWp7qHGjWhqrnf-OmePP568O4A5Am9ttzvVdP67zw/edit#gid=771602874"" ,""HUMAN RESOURCES!$A$2:$M$2692""), {2,3,4,5,6,7,8,9,10,11,12,13},0))"),0.026)</f>
        <v>0.026</v>
      </c>
      <c r="Q1266" s="14">
        <f>IFERROR(__xludf.DUMMYFUNCTION("""COMPUTED_VALUE"""),0.051)</f>
        <v>0.051</v>
      </c>
      <c r="R1266" s="14">
        <f>IFERROR(__xludf.DUMMYFUNCTION("""COMPUTED_VALUE"""),69.0)</f>
        <v>69</v>
      </c>
      <c r="S1266" s="14">
        <f>IFERROR(__xludf.DUMMYFUNCTION("""COMPUTED_VALUE"""),63.0)</f>
        <v>63</v>
      </c>
      <c r="T1266" s="14">
        <f>IFERROR(__xludf.DUMMYFUNCTION("""COMPUTED_VALUE"""),0.383)</f>
        <v>0.383</v>
      </c>
      <c r="U1266" s="14">
        <f>IFERROR(__xludf.DUMMYFUNCTION("""COMPUTED_VALUE"""),0.582)</f>
        <v>0.582</v>
      </c>
      <c r="V1266" s="14">
        <f>IFERROR(__xludf.DUMMYFUNCTION("""COMPUTED_VALUE"""),0.035)</f>
        <v>0.035</v>
      </c>
      <c r="W1266" s="14">
        <f>IFERROR(__xludf.DUMMYFUNCTION("""COMPUTED_VALUE"""),87371.0)</f>
        <v>87371</v>
      </c>
      <c r="X1266" s="14">
        <f>IFERROR(__xludf.DUMMYFUNCTION("""COMPUTED_VALUE"""),0.435)</f>
        <v>0.435</v>
      </c>
      <c r="Y1266" s="14" t="str">
        <f>IFERROR(__xludf.DUMMYFUNCTION("""COMPUTED_VALUE"""),"Kiribati-Oceania")</f>
        <v>Kiribati-Oceania</v>
      </c>
      <c r="Z1266" s="14" t="str">
        <f>IFERROR(__xludf.DUMMYFUNCTION("""COMPUTED_VALUE"""),"Oceania")</f>
        <v>Oceania</v>
      </c>
      <c r="AA1266" s="14" t="str">
        <f>IFERROR(__xludf.DUMMYFUNCTION("""COMPUTED_VALUE"""),"2003")</f>
        <v>2003</v>
      </c>
      <c r="AB1266" s="15" t="str">
        <f>IFERROR(__xludf.DUMMYFUNCTION("ARRAYFORMULA(VLOOKUP(A1266,IMPORTRANGE(""https://docs.google.com/spreadsheets/d/1BuTWp7qHGjWhqrnf-OmePP568O4A5Am9ttzvVdP67zw/edit#gid=1931367683"" ,""ENERGY!$A$2:$F$2692""), {2,3,4,5,6},0))"),"Oceania")</f>
        <v>Oceania</v>
      </c>
      <c r="AC1266" s="14" t="str">
        <f>IFERROR(__xludf.DUMMYFUNCTION("""COMPUTED_VALUE"""),"Kiribati-Oceania")</f>
        <v>Kiribati-Oceania</v>
      </c>
      <c r="AD1266" s="14" t="str">
        <f>IFERROR(__xludf.DUMMYFUNCTION("""COMPUTED_VALUE"""),"2003")</f>
        <v>2003</v>
      </c>
      <c r="AE1266" s="14"/>
      <c r="AF1266" s="14">
        <f>IFERROR(__xludf.DUMMYFUNCTION("""COMPUTED_VALUE"""),40.0)</f>
        <v>40</v>
      </c>
    </row>
    <row r="1267">
      <c r="A1267" s="12">
        <v>1266.0</v>
      </c>
      <c r="B1267" s="12" t="s">
        <v>176</v>
      </c>
      <c r="C1267" s="5" t="s">
        <v>80</v>
      </c>
      <c r="D1267" s="8"/>
      <c r="E1267" s="11">
        <v>21.0</v>
      </c>
      <c r="F1267" s="8"/>
      <c r="G1267" s="8"/>
      <c r="H1267" s="11">
        <v>0.035</v>
      </c>
      <c r="I1267" s="11">
        <v>0.007</v>
      </c>
      <c r="J1267" s="9" t="s">
        <v>65</v>
      </c>
      <c r="K1267" s="14" t="str">
        <f>IFERROR(__xludf.DUMMYFUNCTION("ARRAYFORMULA(VLOOKUP(A1267,IMPORTRANGE(""https://docs.google.com/spreadsheets/d/1BuTWp7qHGjWhqrnf-OmePP568O4A5Am9ttzvVdP67zw/edit#gid=1603210130"", ""TOURISM!$A$2:$F$2692""), {2,3,4,5,6},0))"),"Oceania")</f>
        <v>Oceania</v>
      </c>
      <c r="L1267" s="14"/>
      <c r="M1267" s="14" t="str">
        <f>IFERROR(__xludf.DUMMYFUNCTION("""COMPUTED_VALUE"""),"Kiribati-Oceania")</f>
        <v>Kiribati-Oceania</v>
      </c>
      <c r="N1267" s="14" t="str">
        <f>IFERROR(__xludf.DUMMYFUNCTION("""COMPUTED_VALUE"""),"2004")</f>
        <v>2004</v>
      </c>
      <c r="O1267" s="14"/>
      <c r="P1267" s="15">
        <f>IFERROR(__xludf.DUMMYFUNCTION("ARRAYFORMULA(VLOOKUP(A1267,IMPORTRANGE(""https://docs.google.com/spreadsheets/d/1BuTWp7qHGjWhqrnf-OmePP568O4A5Am9ttzvVdP67zw/edit#gid=771602874"" ,""HUMAN RESOURCES!$A$2:$M$2692""), {2,3,4,5,6,7,8,9,10,11,12,13},0))"),0.025)</f>
        <v>0.025</v>
      </c>
      <c r="Q1267" s="14">
        <f>IFERROR(__xludf.DUMMYFUNCTION("""COMPUTED_VALUE"""),0.05)</f>
        <v>0.05</v>
      </c>
      <c r="R1267" s="14">
        <f>IFERROR(__xludf.DUMMYFUNCTION("""COMPUTED_VALUE"""),69.0)</f>
        <v>69</v>
      </c>
      <c r="S1267" s="14">
        <f>IFERROR(__xludf.DUMMYFUNCTION("""COMPUTED_VALUE"""),63.0)</f>
        <v>63</v>
      </c>
      <c r="T1267" s="14">
        <f>IFERROR(__xludf.DUMMYFUNCTION("""COMPUTED_VALUE"""),0.377)</f>
        <v>0.377</v>
      </c>
      <c r="U1267" s="14">
        <f>IFERROR(__xludf.DUMMYFUNCTION("""COMPUTED_VALUE"""),0.587)</f>
        <v>0.587</v>
      </c>
      <c r="V1267" s="14">
        <f>IFERROR(__xludf.DUMMYFUNCTION("""COMPUTED_VALUE"""),0.036)</f>
        <v>0.036</v>
      </c>
      <c r="W1267" s="14">
        <f>IFERROR(__xludf.DUMMYFUNCTION("""COMPUTED_VALUE"""),88936.0)</f>
        <v>88936</v>
      </c>
      <c r="X1267" s="14">
        <f>IFERROR(__xludf.DUMMYFUNCTION("""COMPUTED_VALUE"""),0.435)</f>
        <v>0.435</v>
      </c>
      <c r="Y1267" s="14" t="str">
        <f>IFERROR(__xludf.DUMMYFUNCTION("""COMPUTED_VALUE"""),"Kiribati-Oceania")</f>
        <v>Kiribati-Oceania</v>
      </c>
      <c r="Z1267" s="14" t="str">
        <f>IFERROR(__xludf.DUMMYFUNCTION("""COMPUTED_VALUE"""),"Oceania")</f>
        <v>Oceania</v>
      </c>
      <c r="AA1267" s="14" t="str">
        <f>IFERROR(__xludf.DUMMYFUNCTION("""COMPUTED_VALUE"""),"2004")</f>
        <v>2004</v>
      </c>
      <c r="AB1267" s="15" t="str">
        <f>IFERROR(__xludf.DUMMYFUNCTION("ARRAYFORMULA(VLOOKUP(A1267,IMPORTRANGE(""https://docs.google.com/spreadsheets/d/1BuTWp7qHGjWhqrnf-OmePP568O4A5Am9ttzvVdP67zw/edit#gid=1931367683"" ,""ENERGY!$A$2:$F$2692""), {2,3,4,5,6},0))"),"Oceania")</f>
        <v>Oceania</v>
      </c>
      <c r="AC1267" s="14" t="str">
        <f>IFERROR(__xludf.DUMMYFUNCTION("""COMPUTED_VALUE"""),"Kiribati-Oceania")</f>
        <v>Kiribati-Oceania</v>
      </c>
      <c r="AD1267" s="14" t="str">
        <f>IFERROR(__xludf.DUMMYFUNCTION("""COMPUTED_VALUE"""),"2004")</f>
        <v>2004</v>
      </c>
      <c r="AE1267" s="14"/>
      <c r="AF1267" s="14">
        <f>IFERROR(__xludf.DUMMYFUNCTION("""COMPUTED_VALUE"""),55.0)</f>
        <v>55</v>
      </c>
    </row>
    <row r="1268">
      <c r="A1268" s="12">
        <v>1267.0</v>
      </c>
      <c r="B1268" s="12" t="s">
        <v>176</v>
      </c>
      <c r="C1268" s="5" t="s">
        <v>80</v>
      </c>
      <c r="D1268" s="11">
        <v>0.318</v>
      </c>
      <c r="E1268" s="11">
        <v>31.0</v>
      </c>
      <c r="F1268" s="8"/>
      <c r="G1268" s="11">
        <v>120.0</v>
      </c>
      <c r="H1268" s="11">
        <v>0.04</v>
      </c>
      <c r="I1268" s="11">
        <v>0.007</v>
      </c>
      <c r="J1268" s="9" t="s">
        <v>66</v>
      </c>
      <c r="K1268" s="14" t="str">
        <f>IFERROR(__xludf.DUMMYFUNCTION("ARRAYFORMULA(VLOOKUP(A1268,IMPORTRANGE(""https://docs.google.com/spreadsheets/d/1BuTWp7qHGjWhqrnf-OmePP568O4A5Am9ttzvVdP67zw/edit#gid=1603210130"", ""TOURISM!$A$2:$F$2692""), {2,3,4,5,6},0))"),"Oceania")</f>
        <v>Oceania</v>
      </c>
      <c r="L1268" s="14">
        <f>IFERROR(__xludf.DUMMYFUNCTION("""COMPUTED_VALUE"""),3100000.0)</f>
        <v>3100000</v>
      </c>
      <c r="M1268" s="14" t="str">
        <f>IFERROR(__xludf.DUMMYFUNCTION("""COMPUTED_VALUE"""),"Kiribati-Oceania")</f>
        <v>Kiribati-Oceania</v>
      </c>
      <c r="N1268" s="14" t="str">
        <f>IFERROR(__xludf.DUMMYFUNCTION("""COMPUTED_VALUE"""),"2005")</f>
        <v>2005</v>
      </c>
      <c r="O1268" s="14">
        <f>IFERROR(__xludf.DUMMYFUNCTION("""COMPUTED_VALUE"""),9300000.0)</f>
        <v>9300000</v>
      </c>
      <c r="P1268" s="15">
        <f>IFERROR(__xludf.DUMMYFUNCTION("ARRAYFORMULA(VLOOKUP(A1268,IMPORTRANGE(""https://docs.google.com/spreadsheets/d/1BuTWp7qHGjWhqrnf-OmePP568O4A5Am9ttzvVdP67zw/edit#gid=771602874"" ,""HUMAN RESOURCES!$A$2:$M$2692""), {2,3,4,5,6,7,8,9,10,11,12,13},0))"),0.025)</f>
        <v>0.025</v>
      </c>
      <c r="Q1268" s="14">
        <f>IFERROR(__xludf.DUMMYFUNCTION("""COMPUTED_VALUE"""),0.05)</f>
        <v>0.05</v>
      </c>
      <c r="R1268" s="14">
        <f>IFERROR(__xludf.DUMMYFUNCTION("""COMPUTED_VALUE"""),69.0)</f>
        <v>69</v>
      </c>
      <c r="S1268" s="14">
        <f>IFERROR(__xludf.DUMMYFUNCTION("""COMPUTED_VALUE"""),64.0)</f>
        <v>64</v>
      </c>
      <c r="T1268" s="14">
        <f>IFERROR(__xludf.DUMMYFUNCTION("""COMPUTED_VALUE"""),0.371)</f>
        <v>0.371</v>
      </c>
      <c r="U1268" s="14">
        <f>IFERROR(__xludf.DUMMYFUNCTION("""COMPUTED_VALUE"""),0.593)</f>
        <v>0.593</v>
      </c>
      <c r="V1268" s="14">
        <f>IFERROR(__xludf.DUMMYFUNCTION("""COMPUTED_VALUE"""),0.036)</f>
        <v>0.036</v>
      </c>
      <c r="W1268" s="14">
        <f>IFERROR(__xludf.DUMMYFUNCTION("""COMPUTED_VALUE"""),90468.0)</f>
        <v>90468</v>
      </c>
      <c r="X1268" s="14">
        <f>IFERROR(__xludf.DUMMYFUNCTION("""COMPUTED_VALUE"""),0.436)</f>
        <v>0.436</v>
      </c>
      <c r="Y1268" s="14" t="str">
        <f>IFERROR(__xludf.DUMMYFUNCTION("""COMPUTED_VALUE"""),"Kiribati-Oceania")</f>
        <v>Kiribati-Oceania</v>
      </c>
      <c r="Z1268" s="14" t="str">
        <f>IFERROR(__xludf.DUMMYFUNCTION("""COMPUTED_VALUE"""),"Oceania")</f>
        <v>Oceania</v>
      </c>
      <c r="AA1268" s="14" t="str">
        <f>IFERROR(__xludf.DUMMYFUNCTION("""COMPUTED_VALUE"""),"2005")</f>
        <v>2005</v>
      </c>
      <c r="AB1268" s="15" t="str">
        <f>IFERROR(__xludf.DUMMYFUNCTION("ARRAYFORMULA(VLOOKUP(A1268,IMPORTRANGE(""https://docs.google.com/spreadsheets/d/1BuTWp7qHGjWhqrnf-OmePP568O4A5Am9ttzvVdP67zw/edit#gid=1931367683"" ,""ENERGY!$A$2:$F$2692""), {2,3,4,5,6},0))"),"Oceania")</f>
        <v>Oceania</v>
      </c>
      <c r="AC1268" s="14" t="str">
        <f>IFERROR(__xludf.DUMMYFUNCTION("""COMPUTED_VALUE"""),"Kiribati-Oceania")</f>
        <v>Kiribati-Oceania</v>
      </c>
      <c r="AD1268" s="14" t="str">
        <f>IFERROR(__xludf.DUMMYFUNCTION("""COMPUTED_VALUE"""),"2007")</f>
        <v>2007</v>
      </c>
      <c r="AE1268" s="14">
        <f>IFERROR(__xludf.DUMMYFUNCTION("""COMPUTED_VALUE"""),11.0)</f>
        <v>11</v>
      </c>
      <c r="AF1268" s="14">
        <f>IFERROR(__xludf.DUMMYFUNCTION("""COMPUTED_VALUE"""),51.0)</f>
        <v>51</v>
      </c>
    </row>
    <row r="1269">
      <c r="A1269" s="12">
        <v>1268.0</v>
      </c>
      <c r="B1269" s="12" t="s">
        <v>176</v>
      </c>
      <c r="C1269" s="5" t="s">
        <v>80</v>
      </c>
      <c r="D1269" s="11">
        <v>0.318</v>
      </c>
      <c r="E1269" s="11">
        <v>31.0</v>
      </c>
      <c r="F1269" s="8"/>
      <c r="G1269" s="11">
        <v>120.0</v>
      </c>
      <c r="H1269" s="11">
        <v>0.045</v>
      </c>
      <c r="I1269" s="11">
        <v>0.008</v>
      </c>
      <c r="J1269" s="9" t="s">
        <v>67</v>
      </c>
      <c r="K1269" s="14" t="str">
        <f>IFERROR(__xludf.DUMMYFUNCTION("ARRAYFORMULA(VLOOKUP(A1269,IMPORTRANGE(""https://docs.google.com/spreadsheets/d/1BuTWp7qHGjWhqrnf-OmePP568O4A5Am9ttzvVdP67zw/edit#gid=1603210130"", ""TOURISM!$A$2:$F$2692""), {2,3,4,5,6},0))"),"Oceania")</f>
        <v>Oceania</v>
      </c>
      <c r="L1269" s="14">
        <f>IFERROR(__xludf.DUMMYFUNCTION("""COMPUTED_VALUE"""),2300000.0)</f>
        <v>2300000</v>
      </c>
      <c r="M1269" s="14" t="str">
        <f>IFERROR(__xludf.DUMMYFUNCTION("""COMPUTED_VALUE"""),"Kiribati-Oceania")</f>
        <v>Kiribati-Oceania</v>
      </c>
      <c r="N1269" s="14" t="str">
        <f>IFERROR(__xludf.DUMMYFUNCTION("""COMPUTED_VALUE"""),"2006")</f>
        <v>2006</v>
      </c>
      <c r="O1269" s="14">
        <f>IFERROR(__xludf.DUMMYFUNCTION("""COMPUTED_VALUE"""),5600000.0)</f>
        <v>5600000</v>
      </c>
      <c r="P1269" s="15">
        <f>IFERROR(__xludf.DUMMYFUNCTION("ARRAYFORMULA(VLOOKUP(A1269,IMPORTRANGE(""https://docs.google.com/spreadsheets/d/1BuTWp7qHGjWhqrnf-OmePP568O4A5Am9ttzvVdP67zw/edit#gid=771602874"" ,""HUMAN RESOURCES!$A$2:$M$2692""), {2,3,4,5,6,7,8,9,10,11,12,13},0))"),0.024)</f>
        <v>0.024</v>
      </c>
      <c r="Q1269" s="14">
        <f>IFERROR(__xludf.DUMMYFUNCTION("""COMPUTED_VALUE"""),0.05)</f>
        <v>0.05</v>
      </c>
      <c r="R1269" s="14">
        <f>IFERROR(__xludf.DUMMYFUNCTION("""COMPUTED_VALUE"""),69.0)</f>
        <v>69</v>
      </c>
      <c r="S1269" s="14">
        <f>IFERROR(__xludf.DUMMYFUNCTION("""COMPUTED_VALUE"""),64.0)</f>
        <v>64</v>
      </c>
      <c r="T1269" s="14">
        <f>IFERROR(__xludf.DUMMYFUNCTION("""COMPUTED_VALUE"""),0.364)</f>
        <v>0.364</v>
      </c>
      <c r="U1269" s="14">
        <f>IFERROR(__xludf.DUMMYFUNCTION("""COMPUTED_VALUE"""),0.6)</f>
        <v>0.6</v>
      </c>
      <c r="V1269" s="14">
        <f>IFERROR(__xludf.DUMMYFUNCTION("""COMPUTED_VALUE"""),0.037)</f>
        <v>0.037</v>
      </c>
      <c r="W1269" s="14">
        <f>IFERROR(__xludf.DUMMYFUNCTION("""COMPUTED_VALUE"""),91953.0)</f>
        <v>91953</v>
      </c>
      <c r="X1269" s="14">
        <f>IFERROR(__xludf.DUMMYFUNCTION("""COMPUTED_VALUE"""),0.436)</f>
        <v>0.436</v>
      </c>
      <c r="Y1269" s="14" t="str">
        <f>IFERROR(__xludf.DUMMYFUNCTION("""COMPUTED_VALUE"""),"Kiribati-Oceania")</f>
        <v>Kiribati-Oceania</v>
      </c>
      <c r="Z1269" s="14" t="str">
        <f>IFERROR(__xludf.DUMMYFUNCTION("""COMPUTED_VALUE"""),"Oceania")</f>
        <v>Oceania</v>
      </c>
      <c r="AA1269" s="14" t="str">
        <f>IFERROR(__xludf.DUMMYFUNCTION("""COMPUTED_VALUE"""),"2006")</f>
        <v>2006</v>
      </c>
      <c r="AB1269" s="15" t="str">
        <f>IFERROR(__xludf.DUMMYFUNCTION("ARRAYFORMULA(VLOOKUP(A1269,IMPORTRANGE(""https://docs.google.com/spreadsheets/d/1BuTWp7qHGjWhqrnf-OmePP568O4A5Am9ttzvVdP67zw/edit#gid=1931367683"" ,""ENERGY!$A$2:$F$2692""), {2,3,4,5,6},0))"),"Oceania")</f>
        <v>Oceania</v>
      </c>
      <c r="AC1269" s="14" t="str">
        <f>IFERROR(__xludf.DUMMYFUNCTION("""COMPUTED_VALUE"""),"Kiribati-Oceania")</f>
        <v>Kiribati-Oceania</v>
      </c>
      <c r="AD1269" s="14" t="str">
        <f>IFERROR(__xludf.DUMMYFUNCTION("""COMPUTED_VALUE"""),"2011")</f>
        <v>2011</v>
      </c>
      <c r="AE1269" s="14">
        <f>IFERROR(__xludf.DUMMYFUNCTION("""COMPUTED_VALUE"""),10.0)</f>
        <v>10</v>
      </c>
      <c r="AF1269" s="14">
        <f>IFERROR(__xludf.DUMMYFUNCTION("""COMPUTED_VALUE"""),70.0)</f>
        <v>70</v>
      </c>
    </row>
    <row r="1270">
      <c r="A1270" s="12">
        <v>1269.0</v>
      </c>
      <c r="B1270" s="12" t="s">
        <v>176</v>
      </c>
      <c r="C1270" s="5" t="s">
        <v>80</v>
      </c>
      <c r="D1270" s="11">
        <v>0.318</v>
      </c>
      <c r="E1270" s="11">
        <v>31.0</v>
      </c>
      <c r="F1270" s="8"/>
      <c r="G1270" s="11">
        <v>120.0</v>
      </c>
      <c r="H1270" s="11">
        <v>0.06</v>
      </c>
      <c r="I1270" s="11">
        <v>0.008</v>
      </c>
      <c r="J1270" s="9" t="s">
        <v>68</v>
      </c>
      <c r="K1270" s="14" t="str">
        <f>IFERROR(__xludf.DUMMYFUNCTION("ARRAYFORMULA(VLOOKUP(A1270,IMPORTRANGE(""https://docs.google.com/spreadsheets/d/1BuTWp7qHGjWhqrnf-OmePP568O4A5Am9ttzvVdP67zw/edit#gid=1603210130"", ""TOURISM!$A$2:$F$2692""), {2,3,4,5,6},0))"),"Oceania")</f>
        <v>Oceania</v>
      </c>
      <c r="L1270" s="14">
        <f>IFERROR(__xludf.DUMMYFUNCTION("""COMPUTED_VALUE"""),4000000.0)</f>
        <v>4000000</v>
      </c>
      <c r="M1270" s="14" t="str">
        <f>IFERROR(__xludf.DUMMYFUNCTION("""COMPUTED_VALUE"""),"Kiribati-Oceania")</f>
        <v>Kiribati-Oceania</v>
      </c>
      <c r="N1270" s="14" t="str">
        <f>IFERROR(__xludf.DUMMYFUNCTION("""COMPUTED_VALUE"""),"2007")</f>
        <v>2007</v>
      </c>
      <c r="O1270" s="14">
        <f>IFERROR(__xludf.DUMMYFUNCTION("""COMPUTED_VALUE"""),9100000.0)</f>
        <v>9100000</v>
      </c>
      <c r="P1270" s="15">
        <f>IFERROR(__xludf.DUMMYFUNCTION("ARRAYFORMULA(VLOOKUP(A1270,IMPORTRANGE(""https://docs.google.com/spreadsheets/d/1BuTWp7qHGjWhqrnf-OmePP568O4A5Am9ttzvVdP67zw/edit#gid=771602874"" ,""HUMAN RESOURCES!$A$2:$M$2692""), {2,3,4,5,6,7,8,9,10,11,12,13},0))"),0.024)</f>
        <v>0.024</v>
      </c>
      <c r="Q1270" s="14">
        <f>IFERROR(__xludf.DUMMYFUNCTION("""COMPUTED_VALUE"""),0.05)</f>
        <v>0.05</v>
      </c>
      <c r="R1270" s="14">
        <f>IFERROR(__xludf.DUMMYFUNCTION("""COMPUTED_VALUE"""),70.0)</f>
        <v>70</v>
      </c>
      <c r="S1270" s="14">
        <f>IFERROR(__xludf.DUMMYFUNCTION("""COMPUTED_VALUE"""),64.0)</f>
        <v>64</v>
      </c>
      <c r="T1270" s="14">
        <f>IFERROR(__xludf.DUMMYFUNCTION("""COMPUTED_VALUE"""),0.357)</f>
        <v>0.357</v>
      </c>
      <c r="U1270" s="14">
        <f>IFERROR(__xludf.DUMMYFUNCTION("""COMPUTED_VALUE"""),0.606)</f>
        <v>0.606</v>
      </c>
      <c r="V1270" s="14">
        <f>IFERROR(__xludf.DUMMYFUNCTION("""COMPUTED_VALUE"""),0.037)</f>
        <v>0.037</v>
      </c>
      <c r="W1270" s="14">
        <f>IFERROR(__xludf.DUMMYFUNCTION("""COMPUTED_VALUE"""),93401.0)</f>
        <v>93401</v>
      </c>
      <c r="X1270" s="14">
        <f>IFERROR(__xludf.DUMMYFUNCTION("""COMPUTED_VALUE"""),0.436)</f>
        <v>0.436</v>
      </c>
      <c r="Y1270" s="14" t="str">
        <f>IFERROR(__xludf.DUMMYFUNCTION("""COMPUTED_VALUE"""),"Kiribati-Oceania")</f>
        <v>Kiribati-Oceania</v>
      </c>
      <c r="Z1270" s="14" t="str">
        <f>IFERROR(__xludf.DUMMYFUNCTION("""COMPUTED_VALUE"""),"Oceania")</f>
        <v>Oceania</v>
      </c>
      <c r="AA1270" s="14" t="str">
        <f>IFERROR(__xludf.DUMMYFUNCTION("""COMPUTED_VALUE"""),"2007")</f>
        <v>2007</v>
      </c>
      <c r="AB1270" s="15" t="str">
        <f>IFERROR(__xludf.DUMMYFUNCTION("ARRAYFORMULA(VLOOKUP(A1270,IMPORTRANGE(""https://docs.google.com/spreadsheets/d/1BuTWp7qHGjWhqrnf-OmePP568O4A5Am9ttzvVdP67zw/edit#gid=1931367683"" ,""ENERGY!$A$2:$F$2692""), {2,3,4,5,6},0))"),"Oceania")</f>
        <v>Oceania</v>
      </c>
      <c r="AC1270" s="14" t="str">
        <f>IFERROR(__xludf.DUMMYFUNCTION("""COMPUTED_VALUE"""),"Kiribati-Oceania")</f>
        <v>Kiribati-Oceania</v>
      </c>
      <c r="AD1270" s="14" t="str">
        <f>IFERROR(__xludf.DUMMYFUNCTION("""COMPUTED_VALUE"""),"2008")</f>
        <v>2008</v>
      </c>
      <c r="AE1270" s="14">
        <f>IFERROR(__xludf.DUMMYFUNCTION("""COMPUTED_VALUE"""),8.0)</f>
        <v>8</v>
      </c>
      <c r="AF1270" s="14">
        <f>IFERROR(__xludf.DUMMYFUNCTION("""COMPUTED_VALUE"""),62.0)</f>
        <v>62</v>
      </c>
    </row>
    <row r="1271">
      <c r="A1271" s="12">
        <v>1270.0</v>
      </c>
      <c r="B1271" s="12" t="s">
        <v>176</v>
      </c>
      <c r="C1271" s="5" t="s">
        <v>80</v>
      </c>
      <c r="D1271" s="11">
        <v>0.318</v>
      </c>
      <c r="E1271" s="11">
        <v>31.0</v>
      </c>
      <c r="F1271" s="8"/>
      <c r="G1271" s="11">
        <v>120.0</v>
      </c>
      <c r="H1271" s="11">
        <v>0.07</v>
      </c>
      <c r="I1271" s="11">
        <v>0.011</v>
      </c>
      <c r="J1271" s="9" t="s">
        <v>69</v>
      </c>
      <c r="K1271" s="14" t="str">
        <f>IFERROR(__xludf.DUMMYFUNCTION("ARRAYFORMULA(VLOOKUP(A1271,IMPORTRANGE(""https://docs.google.com/spreadsheets/d/1BuTWp7qHGjWhqrnf-OmePP568O4A5Am9ttzvVdP67zw/edit#gid=1603210130"", ""TOURISM!$A$2:$F$2692""), {2,3,4,5,6},0))"),"Oceania")</f>
        <v>Oceania</v>
      </c>
      <c r="L1271" s="14">
        <f>IFERROR(__xludf.DUMMYFUNCTION("""COMPUTED_VALUE"""),2900000.0)</f>
        <v>2900000</v>
      </c>
      <c r="M1271" s="14" t="str">
        <f>IFERROR(__xludf.DUMMYFUNCTION("""COMPUTED_VALUE"""),"Kiribati-Oceania")</f>
        <v>Kiribati-Oceania</v>
      </c>
      <c r="N1271" s="14" t="str">
        <f>IFERROR(__xludf.DUMMYFUNCTION("""COMPUTED_VALUE"""),"2008")</f>
        <v>2008</v>
      </c>
      <c r="O1271" s="14">
        <f>IFERROR(__xludf.DUMMYFUNCTION("""COMPUTED_VALUE"""),1.27E7)</f>
        <v>12700000</v>
      </c>
      <c r="P1271" s="15">
        <f>IFERROR(__xludf.DUMMYFUNCTION("ARRAYFORMULA(VLOOKUP(A1271,IMPORTRANGE(""https://docs.google.com/spreadsheets/d/1BuTWp7qHGjWhqrnf-OmePP568O4A5Am9ttzvVdP67zw/edit#gid=771602874"" ,""HUMAN RESOURCES!$A$2:$M$2692""), {2,3,4,5,6,7,8,9,10,11,12,13},0))"),0.024)</f>
        <v>0.024</v>
      </c>
      <c r="Q1271" s="14">
        <f>IFERROR(__xludf.DUMMYFUNCTION("""COMPUTED_VALUE"""),0.049)</f>
        <v>0.049</v>
      </c>
      <c r="R1271" s="14">
        <f>IFERROR(__xludf.DUMMYFUNCTION("""COMPUTED_VALUE"""),70.0)</f>
        <v>70</v>
      </c>
      <c r="S1271" s="14">
        <f>IFERROR(__xludf.DUMMYFUNCTION("""COMPUTED_VALUE"""),64.0)</f>
        <v>64</v>
      </c>
      <c r="T1271" s="14">
        <f>IFERROR(__xludf.DUMMYFUNCTION("""COMPUTED_VALUE"""),0.35)</f>
        <v>0.35</v>
      </c>
      <c r="U1271" s="14">
        <f>IFERROR(__xludf.DUMMYFUNCTION("""COMPUTED_VALUE"""),0.613)</f>
        <v>0.613</v>
      </c>
      <c r="V1271" s="14">
        <f>IFERROR(__xludf.DUMMYFUNCTION("""COMPUTED_VALUE"""),0.037)</f>
        <v>0.037</v>
      </c>
      <c r="W1271" s="14">
        <f>IFERROR(__xludf.DUMMYFUNCTION("""COMPUTED_VALUE"""),94832.0)</f>
        <v>94832</v>
      </c>
      <c r="X1271" s="14">
        <f>IFERROR(__xludf.DUMMYFUNCTION("""COMPUTED_VALUE"""),0.436)</f>
        <v>0.436</v>
      </c>
      <c r="Y1271" s="14" t="str">
        <f>IFERROR(__xludf.DUMMYFUNCTION("""COMPUTED_VALUE"""),"Kiribati-Oceania")</f>
        <v>Kiribati-Oceania</v>
      </c>
      <c r="Z1271" s="14" t="str">
        <f>IFERROR(__xludf.DUMMYFUNCTION("""COMPUTED_VALUE"""),"Oceania")</f>
        <v>Oceania</v>
      </c>
      <c r="AA1271" s="14" t="str">
        <f>IFERROR(__xludf.DUMMYFUNCTION("""COMPUTED_VALUE"""),"2008")</f>
        <v>2008</v>
      </c>
      <c r="AB1271" s="15" t="str">
        <f>IFERROR(__xludf.DUMMYFUNCTION("ARRAYFORMULA(VLOOKUP(A1271,IMPORTRANGE(""https://docs.google.com/spreadsheets/d/1BuTWp7qHGjWhqrnf-OmePP568O4A5Am9ttzvVdP67zw/edit#gid=1931367683"" ,""ENERGY!$A$2:$F$2692""), {2,3,4,5,6},0))"),"Oceania")</f>
        <v>Oceania</v>
      </c>
      <c r="AC1271" s="14" t="str">
        <f>IFERROR(__xludf.DUMMYFUNCTION("""COMPUTED_VALUE"""),"Kiribati-Oceania")</f>
        <v>Kiribati-Oceania</v>
      </c>
      <c r="AD1271" s="14" t="str">
        <f>IFERROR(__xludf.DUMMYFUNCTION("""COMPUTED_VALUE"""),"2006")</f>
        <v>2006</v>
      </c>
      <c r="AE1271" s="14">
        <f>IFERROR(__xludf.DUMMYFUNCTION("""COMPUTED_VALUE"""),8.0)</f>
        <v>8</v>
      </c>
      <c r="AF1271" s="14">
        <f>IFERROR(__xludf.DUMMYFUNCTION("""COMPUTED_VALUE"""),44.0)</f>
        <v>44</v>
      </c>
    </row>
    <row r="1272">
      <c r="A1272" s="12">
        <v>1271.0</v>
      </c>
      <c r="B1272" s="12" t="s">
        <v>176</v>
      </c>
      <c r="C1272" s="5" t="s">
        <v>80</v>
      </c>
      <c r="D1272" s="11">
        <v>0.318</v>
      </c>
      <c r="E1272" s="11">
        <v>31.0</v>
      </c>
      <c r="F1272" s="8"/>
      <c r="G1272" s="11">
        <v>120.0</v>
      </c>
      <c r="H1272" s="11">
        <v>0.09</v>
      </c>
      <c r="I1272" s="11">
        <v>0.103</v>
      </c>
      <c r="J1272" s="9" t="s">
        <v>70</v>
      </c>
      <c r="K1272" s="14" t="str">
        <f>IFERROR(__xludf.DUMMYFUNCTION("ARRAYFORMULA(VLOOKUP(A1272,IMPORTRANGE(""https://docs.google.com/spreadsheets/d/1BuTWp7qHGjWhqrnf-OmePP568O4A5Am9ttzvVdP67zw/edit#gid=1603210130"", ""TOURISM!$A$2:$F$2692""), {2,3,4,5,6},0))"),"Oceania")</f>
        <v>Oceania</v>
      </c>
      <c r="L1272" s="14">
        <f>IFERROR(__xludf.DUMMYFUNCTION("""COMPUTED_VALUE"""),2700000.0)</f>
        <v>2700000</v>
      </c>
      <c r="M1272" s="14" t="str">
        <f>IFERROR(__xludf.DUMMYFUNCTION("""COMPUTED_VALUE"""),"Kiribati-Oceania")</f>
        <v>Kiribati-Oceania</v>
      </c>
      <c r="N1272" s="14" t="str">
        <f>IFERROR(__xludf.DUMMYFUNCTION("""COMPUTED_VALUE"""),"2009")</f>
        <v>2009</v>
      </c>
      <c r="O1272" s="14">
        <f>IFERROR(__xludf.DUMMYFUNCTION("""COMPUTED_VALUE"""),1.09E7)</f>
        <v>10900000</v>
      </c>
      <c r="P1272" s="15">
        <f>IFERROR(__xludf.DUMMYFUNCTION("ARRAYFORMULA(VLOOKUP(A1272,IMPORTRANGE(""https://docs.google.com/spreadsheets/d/1BuTWp7qHGjWhqrnf-OmePP568O4A5Am9ttzvVdP67zw/edit#gid=771602874"" ,""HUMAN RESOURCES!$A$2:$M$2692""), {2,3,4,5,6,7,8,9,10,11,12,13},0))"),0.024)</f>
        <v>0.024</v>
      </c>
      <c r="Q1272" s="14">
        <f>IFERROR(__xludf.DUMMYFUNCTION("""COMPUTED_VALUE"""),0.049)</f>
        <v>0.049</v>
      </c>
      <c r="R1272" s="14">
        <f>IFERROR(__xludf.DUMMYFUNCTION("""COMPUTED_VALUE"""),70.0)</f>
        <v>70</v>
      </c>
      <c r="S1272" s="14">
        <f>IFERROR(__xludf.DUMMYFUNCTION("""COMPUTED_VALUE"""),65.0)</f>
        <v>65</v>
      </c>
      <c r="T1272" s="14">
        <f>IFERROR(__xludf.DUMMYFUNCTION("""COMPUTED_VALUE"""),0.343)</f>
        <v>0.343</v>
      </c>
      <c r="U1272" s="14">
        <f>IFERROR(__xludf.DUMMYFUNCTION("""COMPUTED_VALUE"""),0.619)</f>
        <v>0.619</v>
      </c>
      <c r="V1272" s="14">
        <f>IFERROR(__xludf.DUMMYFUNCTION("""COMPUTED_VALUE"""),0.038)</f>
        <v>0.038</v>
      </c>
      <c r="W1272" s="14">
        <f>IFERROR(__xludf.DUMMYFUNCTION("""COMPUTED_VALUE"""),96272.0)</f>
        <v>96272</v>
      </c>
      <c r="X1272" s="14">
        <f>IFERROR(__xludf.DUMMYFUNCTION("""COMPUTED_VALUE"""),0.437)</f>
        <v>0.437</v>
      </c>
      <c r="Y1272" s="14" t="str">
        <f>IFERROR(__xludf.DUMMYFUNCTION("""COMPUTED_VALUE"""),"Kiribati-Oceania")</f>
        <v>Kiribati-Oceania</v>
      </c>
      <c r="Z1272" s="14" t="str">
        <f>IFERROR(__xludf.DUMMYFUNCTION("""COMPUTED_VALUE"""),"Oceania")</f>
        <v>Oceania</v>
      </c>
      <c r="AA1272" s="14" t="str">
        <f>IFERROR(__xludf.DUMMYFUNCTION("""COMPUTED_VALUE"""),"2009")</f>
        <v>2009</v>
      </c>
      <c r="AB1272" s="15" t="str">
        <f>IFERROR(__xludf.DUMMYFUNCTION("ARRAYFORMULA(VLOOKUP(A1272,IMPORTRANGE(""https://docs.google.com/spreadsheets/d/1BuTWp7qHGjWhqrnf-OmePP568O4A5Am9ttzvVdP67zw/edit#gid=1931367683"" ,""ENERGY!$A$2:$F$2692""), {2,3,4,5,6},0))"),"Oceania")</f>
        <v>Oceania</v>
      </c>
      <c r="AC1272" s="14" t="str">
        <f>IFERROR(__xludf.DUMMYFUNCTION("""COMPUTED_VALUE"""),"Kiribati-Oceania")</f>
        <v>Kiribati-Oceania</v>
      </c>
      <c r="AD1272" s="14" t="str">
        <f>IFERROR(__xludf.DUMMYFUNCTION("""COMPUTED_VALUE"""),"2010")</f>
        <v>2010</v>
      </c>
      <c r="AE1272" s="14"/>
      <c r="AF1272" s="14">
        <f>IFERROR(__xludf.DUMMYFUNCTION("""COMPUTED_VALUE"""),40.0)</f>
        <v>40</v>
      </c>
    </row>
    <row r="1273">
      <c r="A1273" s="12">
        <v>1272.0</v>
      </c>
      <c r="B1273" s="12" t="s">
        <v>176</v>
      </c>
      <c r="C1273" s="5" t="s">
        <v>80</v>
      </c>
      <c r="D1273" s="11">
        <v>0.318</v>
      </c>
      <c r="E1273" s="11">
        <v>31.0</v>
      </c>
      <c r="F1273" s="8"/>
      <c r="G1273" s="11">
        <v>120.0</v>
      </c>
      <c r="H1273" s="11">
        <v>0.091</v>
      </c>
      <c r="I1273" s="11">
        <v>0.108</v>
      </c>
      <c r="J1273" s="9" t="s">
        <v>71</v>
      </c>
      <c r="K1273" s="14" t="str">
        <f>IFERROR(__xludf.DUMMYFUNCTION("ARRAYFORMULA(VLOOKUP(A1273,IMPORTRANGE(""https://docs.google.com/spreadsheets/d/1BuTWp7qHGjWhqrnf-OmePP568O4A5Am9ttzvVdP67zw/edit#gid=1603210130"", ""TOURISM!$A$2:$F$2692""), {2,3,4,5,6},0))"),"Oceania")</f>
        <v>Oceania</v>
      </c>
      <c r="L1273" s="14"/>
      <c r="M1273" s="14" t="str">
        <f>IFERROR(__xludf.DUMMYFUNCTION("""COMPUTED_VALUE"""),"Kiribati-Oceania")</f>
        <v>Kiribati-Oceania</v>
      </c>
      <c r="N1273" s="14" t="str">
        <f>IFERROR(__xludf.DUMMYFUNCTION("""COMPUTED_VALUE"""),"2010")</f>
        <v>2010</v>
      </c>
      <c r="O1273" s="14"/>
      <c r="P1273" s="15">
        <f>IFERROR(__xludf.DUMMYFUNCTION("ARRAYFORMULA(VLOOKUP(A1273,IMPORTRANGE(""https://docs.google.com/spreadsheets/d/1BuTWp7qHGjWhqrnf-OmePP568O4A5Am9ttzvVdP67zw/edit#gid=771602874"" ,""HUMAN RESOURCES!$A$2:$M$2692""), {2,3,4,5,6,7,8,9,10,11,12,13},0))"),0.023)</f>
        <v>0.023</v>
      </c>
      <c r="Q1273" s="14">
        <f>IFERROR(__xludf.DUMMYFUNCTION("""COMPUTED_VALUE"""),0.048)</f>
        <v>0.048</v>
      </c>
      <c r="R1273" s="14">
        <f>IFERROR(__xludf.DUMMYFUNCTION("""COMPUTED_VALUE"""),71.0)</f>
        <v>71</v>
      </c>
      <c r="S1273" s="14">
        <f>IFERROR(__xludf.DUMMYFUNCTION("""COMPUTED_VALUE"""),65.0)</f>
        <v>65</v>
      </c>
      <c r="T1273" s="14">
        <f>IFERROR(__xludf.DUMMYFUNCTION("""COMPUTED_VALUE"""),0.336)</f>
        <v>0.336</v>
      </c>
      <c r="U1273" s="14">
        <f>IFERROR(__xludf.DUMMYFUNCTION("""COMPUTED_VALUE"""),0.626)</f>
        <v>0.626</v>
      </c>
      <c r="V1273" s="14">
        <f>IFERROR(__xludf.DUMMYFUNCTION("""COMPUTED_VALUE"""),0.039)</f>
        <v>0.039</v>
      </c>
      <c r="W1273" s="14">
        <f>IFERROR(__xludf.DUMMYFUNCTION("""COMPUTED_VALUE"""),97743.0)</f>
        <v>97743</v>
      </c>
      <c r="X1273" s="14">
        <f>IFERROR(__xludf.DUMMYFUNCTION("""COMPUTED_VALUE"""),0.438)</f>
        <v>0.438</v>
      </c>
      <c r="Y1273" s="14" t="str">
        <f>IFERROR(__xludf.DUMMYFUNCTION("""COMPUTED_VALUE"""),"Kiribati-Oceania")</f>
        <v>Kiribati-Oceania</v>
      </c>
      <c r="Z1273" s="14" t="str">
        <f>IFERROR(__xludf.DUMMYFUNCTION("""COMPUTED_VALUE"""),"Oceania")</f>
        <v>Oceania</v>
      </c>
      <c r="AA1273" s="14" t="str">
        <f>IFERROR(__xludf.DUMMYFUNCTION("""COMPUTED_VALUE"""),"2010")</f>
        <v>2010</v>
      </c>
      <c r="AB1273" s="15" t="str">
        <f>IFERROR(__xludf.DUMMYFUNCTION("ARRAYFORMULA(VLOOKUP(A1273,IMPORTRANGE(""https://docs.google.com/spreadsheets/d/1BuTWp7qHGjWhqrnf-OmePP568O4A5Am9ttzvVdP67zw/edit#gid=1931367683"" ,""ENERGY!$A$2:$F$2692""), {2,3,4,5,6},0))"),"Oceania")</f>
        <v>Oceania</v>
      </c>
      <c r="AC1273" s="14" t="str">
        <f>IFERROR(__xludf.DUMMYFUNCTION("""COMPUTED_VALUE"""),"Kiribati-Oceania")</f>
        <v>Kiribati-Oceania</v>
      </c>
      <c r="AD1273" s="14" t="str">
        <f>IFERROR(__xludf.DUMMYFUNCTION("""COMPUTED_VALUE"""),"2011")</f>
        <v>2011</v>
      </c>
      <c r="AE1273" s="14"/>
      <c r="AF1273" s="14">
        <f>IFERROR(__xludf.DUMMYFUNCTION("""COMPUTED_VALUE"""),40.0)</f>
        <v>40</v>
      </c>
    </row>
    <row r="1274">
      <c r="A1274" s="12">
        <v>1273.0</v>
      </c>
      <c r="B1274" s="12" t="s">
        <v>176</v>
      </c>
      <c r="C1274" s="5" t="s">
        <v>80</v>
      </c>
      <c r="D1274" s="11">
        <v>0.318</v>
      </c>
      <c r="E1274" s="11">
        <v>31.0</v>
      </c>
      <c r="F1274" s="8"/>
      <c r="G1274" s="11">
        <v>120.0</v>
      </c>
      <c r="H1274" s="11">
        <v>0.1</v>
      </c>
      <c r="I1274" s="11">
        <v>0.139</v>
      </c>
      <c r="J1274" s="9" t="s">
        <v>72</v>
      </c>
      <c r="K1274" s="14" t="str">
        <f>IFERROR(__xludf.DUMMYFUNCTION("ARRAYFORMULA(VLOOKUP(A1274,IMPORTRANGE(""https://docs.google.com/spreadsheets/d/1BuTWp7qHGjWhqrnf-OmePP568O4A5Am9ttzvVdP67zw/edit#gid=1603210130"", ""TOURISM!$A$2:$F$2692""), {2,3,4,5,6},0))"),"Oceania")</f>
        <v>Oceania</v>
      </c>
      <c r="L1274" s="14"/>
      <c r="M1274" s="14" t="str">
        <f>IFERROR(__xludf.DUMMYFUNCTION("""COMPUTED_VALUE"""),"Kiribati-Oceania")</f>
        <v>Kiribati-Oceania</v>
      </c>
      <c r="N1274" s="14" t="str">
        <f>IFERROR(__xludf.DUMMYFUNCTION("""COMPUTED_VALUE"""),"2011")</f>
        <v>2011</v>
      </c>
      <c r="O1274" s="14"/>
      <c r="P1274" s="15">
        <f>IFERROR(__xludf.DUMMYFUNCTION("ARRAYFORMULA(VLOOKUP(A1274,IMPORTRANGE(""https://docs.google.com/spreadsheets/d/1BuTWp7qHGjWhqrnf-OmePP568O4A5Am9ttzvVdP67zw/edit#gid=771602874"" ,""HUMAN RESOURCES!$A$2:$M$2692""), {2,3,4,5,6,7,8,9,10,11,12,13},0))"),0.023)</f>
        <v>0.023</v>
      </c>
      <c r="Q1274" s="14">
        <f>IFERROR(__xludf.DUMMYFUNCTION("""COMPUTED_VALUE"""),0.047)</f>
        <v>0.047</v>
      </c>
      <c r="R1274" s="14">
        <f>IFERROR(__xludf.DUMMYFUNCTION("""COMPUTED_VALUE"""),71.0)</f>
        <v>71</v>
      </c>
      <c r="S1274" s="14">
        <f>IFERROR(__xludf.DUMMYFUNCTION("""COMPUTED_VALUE"""),65.0)</f>
        <v>65</v>
      </c>
      <c r="T1274" s="14">
        <f>IFERROR(__xludf.DUMMYFUNCTION("""COMPUTED_VALUE"""),0.33)</f>
        <v>0.33</v>
      </c>
      <c r="U1274" s="14">
        <f>IFERROR(__xludf.DUMMYFUNCTION("""COMPUTED_VALUE"""),0.631)</f>
        <v>0.631</v>
      </c>
      <c r="V1274" s="14">
        <f>IFERROR(__xludf.DUMMYFUNCTION("""COMPUTED_VALUE"""),0.039)</f>
        <v>0.039</v>
      </c>
      <c r="W1274" s="14">
        <f>IFERROR(__xludf.DUMMYFUNCTION("""COMPUTED_VALUE"""),99250.0)</f>
        <v>99250</v>
      </c>
      <c r="X1274" s="14">
        <f>IFERROR(__xludf.DUMMYFUNCTION("""COMPUTED_VALUE"""),0.439)</f>
        <v>0.439</v>
      </c>
      <c r="Y1274" s="14" t="str">
        <f>IFERROR(__xludf.DUMMYFUNCTION("""COMPUTED_VALUE"""),"Kiribati-Oceania")</f>
        <v>Kiribati-Oceania</v>
      </c>
      <c r="Z1274" s="14" t="str">
        <f>IFERROR(__xludf.DUMMYFUNCTION("""COMPUTED_VALUE"""),"Oceania")</f>
        <v>Oceania</v>
      </c>
      <c r="AA1274" s="14" t="str">
        <f>IFERROR(__xludf.DUMMYFUNCTION("""COMPUTED_VALUE"""),"2011")</f>
        <v>2011</v>
      </c>
      <c r="AB1274" s="15" t="str">
        <f>IFERROR(__xludf.DUMMYFUNCTION("ARRAYFORMULA(VLOOKUP(A1274,IMPORTRANGE(""https://docs.google.com/spreadsheets/d/1BuTWp7qHGjWhqrnf-OmePP568O4A5Am9ttzvVdP67zw/edit#gid=1931367683"" ,""ENERGY!$A$2:$F$2692""), {2,3,4,5,6},0))"),"Oceania")</f>
        <v>Oceania</v>
      </c>
      <c r="AC1274" s="14" t="str">
        <f>IFERROR(__xludf.DUMMYFUNCTION("""COMPUTED_VALUE"""),"Kiribati-Oceania")</f>
        <v>Kiribati-Oceania</v>
      </c>
      <c r="AD1274" s="14" t="str">
        <f>IFERROR(__xludf.DUMMYFUNCTION("""COMPUTED_VALUE"""),"2005")</f>
        <v>2005</v>
      </c>
      <c r="AE1274" s="14"/>
      <c r="AF1274" s="14">
        <f>IFERROR(__xludf.DUMMYFUNCTION("""COMPUTED_VALUE"""),26.0)</f>
        <v>26</v>
      </c>
    </row>
    <row r="1275">
      <c r="A1275" s="12">
        <v>1274.0</v>
      </c>
      <c r="B1275" s="12" t="s">
        <v>176</v>
      </c>
      <c r="C1275" s="5" t="s">
        <v>80</v>
      </c>
      <c r="D1275" s="11">
        <v>0.318</v>
      </c>
      <c r="E1275" s="11">
        <v>31.0</v>
      </c>
      <c r="F1275" s="11">
        <v>117.0</v>
      </c>
      <c r="G1275" s="11">
        <v>120.0</v>
      </c>
      <c r="H1275" s="11">
        <v>0.107</v>
      </c>
      <c r="I1275" s="11">
        <v>0.159</v>
      </c>
      <c r="J1275" s="9" t="s">
        <v>73</v>
      </c>
      <c r="K1275" s="14" t="str">
        <f>IFERROR(__xludf.DUMMYFUNCTION("ARRAYFORMULA(VLOOKUP(A1275,IMPORTRANGE(""https://docs.google.com/spreadsheets/d/1BuTWp7qHGjWhqrnf-OmePP568O4A5Am9ttzvVdP67zw/edit#gid=1603210130"", ""TOURISM!$A$2:$F$2692""), {2,3,4,5,6},0))"),"Oceania")</f>
        <v>Oceania</v>
      </c>
      <c r="L1275" s="14"/>
      <c r="M1275" s="14" t="str">
        <f>IFERROR(__xludf.DUMMYFUNCTION("""COMPUTED_VALUE"""),"Kiribati-Oceania")</f>
        <v>Kiribati-Oceania</v>
      </c>
      <c r="N1275" s="14" t="str">
        <f>IFERROR(__xludf.DUMMYFUNCTION("""COMPUTED_VALUE"""),"2012")</f>
        <v>2012</v>
      </c>
      <c r="O1275" s="14"/>
      <c r="P1275" s="15">
        <f>IFERROR(__xludf.DUMMYFUNCTION("ARRAYFORMULA(VLOOKUP(A1275,IMPORTRANGE(""https://docs.google.com/spreadsheets/d/1BuTWp7qHGjWhqrnf-OmePP568O4A5Am9ttzvVdP67zw/edit#gid=771602874"" ,""HUMAN RESOURCES!$A$2:$M$2692""), {2,3,4,5,6,7,8,9,10,11,12,13},0))"),0.023)</f>
        <v>0.023</v>
      </c>
      <c r="Q1275" s="14">
        <f>IFERROR(__xludf.DUMMYFUNCTION("""COMPUTED_VALUE"""),0.046)</f>
        <v>0.046</v>
      </c>
      <c r="R1275" s="14">
        <f>IFERROR(__xludf.DUMMYFUNCTION("""COMPUTED_VALUE"""),71.0)</f>
        <v>71</v>
      </c>
      <c r="S1275" s="14">
        <f>IFERROR(__xludf.DUMMYFUNCTION("""COMPUTED_VALUE"""),66.0)</f>
        <v>66</v>
      </c>
      <c r="T1275" s="14">
        <f>IFERROR(__xludf.DUMMYFUNCTION("""COMPUTED_VALUE"""),0.324)</f>
        <v>0.324</v>
      </c>
      <c r="U1275" s="14">
        <f>IFERROR(__xludf.DUMMYFUNCTION("""COMPUTED_VALUE"""),0.636)</f>
        <v>0.636</v>
      </c>
      <c r="V1275" s="14">
        <f>IFERROR(__xludf.DUMMYFUNCTION("""COMPUTED_VALUE"""),0.04)</f>
        <v>0.04</v>
      </c>
      <c r="W1275" s="14">
        <f>IFERROR(__xludf.DUMMYFUNCTION("""COMPUTED_VALUE"""),100786.0)</f>
        <v>100786</v>
      </c>
      <c r="X1275" s="14">
        <f>IFERROR(__xludf.DUMMYFUNCTION("""COMPUTED_VALUE"""),0.439)</f>
        <v>0.439</v>
      </c>
      <c r="Y1275" s="14" t="str">
        <f>IFERROR(__xludf.DUMMYFUNCTION("""COMPUTED_VALUE"""),"Kiribati-Oceania")</f>
        <v>Kiribati-Oceania</v>
      </c>
      <c r="Z1275" s="14" t="str">
        <f>IFERROR(__xludf.DUMMYFUNCTION("""COMPUTED_VALUE"""),"Oceania")</f>
        <v>Oceania</v>
      </c>
      <c r="AA1275" s="14" t="str">
        <f>IFERROR(__xludf.DUMMYFUNCTION("""COMPUTED_VALUE"""),"2012")</f>
        <v>2012</v>
      </c>
      <c r="AB1275" s="15" t="str">
        <f>IFERROR(__xludf.DUMMYFUNCTION("ARRAYFORMULA(VLOOKUP(A1275,IMPORTRANGE(""https://docs.google.com/spreadsheets/d/1BuTWp7qHGjWhqrnf-OmePP568O4A5Am9ttzvVdP67zw/edit#gid=1931367683"" ,""ENERGY!$A$2:$F$2692""), {2,3,4,5,6},0))"),"Oceania")</f>
        <v>Oceania</v>
      </c>
      <c r="AC1275" s="14" t="str">
        <f>IFERROR(__xludf.DUMMYFUNCTION("""COMPUTED_VALUE"""),"Kiribati-Oceania")</f>
        <v>Kiribati-Oceania</v>
      </c>
      <c r="AD1275" s="14" t="str">
        <f>IFERROR(__xludf.DUMMYFUNCTION("""COMPUTED_VALUE"""),"2010")</f>
        <v>2010</v>
      </c>
      <c r="AE1275" s="14"/>
      <c r="AF1275" s="14">
        <f>IFERROR(__xludf.DUMMYFUNCTION("""COMPUTED_VALUE"""),33.0)</f>
        <v>33</v>
      </c>
    </row>
    <row r="1276">
      <c r="A1276" s="12">
        <v>1275.0</v>
      </c>
      <c r="B1276" s="12" t="s">
        <v>177</v>
      </c>
      <c r="C1276" s="5" t="s">
        <v>75</v>
      </c>
      <c r="D1276" s="8"/>
      <c r="E1276" s="8"/>
      <c r="F1276" s="8"/>
      <c r="G1276" s="8"/>
      <c r="H1276" s="8"/>
      <c r="I1276" s="8"/>
      <c r="J1276" s="9" t="s">
        <v>60</v>
      </c>
      <c r="K1276" s="14" t="str">
        <f>IFERROR(__xludf.DUMMYFUNCTION("ARRAYFORMULA(VLOOKUP(A1276,IMPORTRANGE(""https://docs.google.com/spreadsheets/d/1BuTWp7qHGjWhqrnf-OmePP568O4A5Am9ttzvVdP67zw/edit#gid=1603210130"", ""TOURISM!$A$2:$F$2692""), {2,3,4,5,6},0))"),"Europe")</f>
        <v>Europe</v>
      </c>
      <c r="L1276" s="14"/>
      <c r="M1276" s="14" t="str">
        <f>IFERROR(__xludf.DUMMYFUNCTION("""COMPUTED_VALUE"""),"Kosovo-Europe")</f>
        <v>Kosovo-Europe</v>
      </c>
      <c r="N1276" s="14" t="str">
        <f>IFERROR(__xludf.DUMMYFUNCTION("""COMPUTED_VALUE"""),"2000")</f>
        <v>2000</v>
      </c>
      <c r="O1276" s="14"/>
      <c r="P1276" s="15">
        <f>IFERROR(__xludf.DUMMYFUNCTION("ARRAYFORMULA(VLOOKUP(A1276,IMPORTRANGE(""https://docs.google.com/spreadsheets/d/1BuTWp7qHGjWhqrnf-OmePP568O4A5Am9ttzvVdP67zw/edit#gid=771602874"" ,""HUMAN RESOURCES!$A$2:$M$2692""), {2,3,4,5,6,7,8,9,10,11,12,13},0))"),0.023)</f>
        <v>0.023</v>
      </c>
      <c r="Q1276" s="14"/>
      <c r="R1276" s="14">
        <f>IFERROR(__xludf.DUMMYFUNCTION("""COMPUTED_VALUE"""),70.0)</f>
        <v>70</v>
      </c>
      <c r="S1276" s="14">
        <f>IFERROR(__xludf.DUMMYFUNCTION("""COMPUTED_VALUE"""),66.0)</f>
        <v>66</v>
      </c>
      <c r="T1276" s="14"/>
      <c r="U1276" s="14"/>
      <c r="V1276" s="14"/>
      <c r="W1276" s="14">
        <f>IFERROR(__xludf.DUMMYFUNCTION("""COMPUTED_VALUE"""),1700000.0)</f>
        <v>1700000</v>
      </c>
      <c r="X1276" s="14"/>
      <c r="Y1276" s="14" t="str">
        <f>IFERROR(__xludf.DUMMYFUNCTION("""COMPUTED_VALUE"""),"Kosovo-Europe")</f>
        <v>Kosovo-Europe</v>
      </c>
      <c r="Z1276" s="14" t="str">
        <f>IFERROR(__xludf.DUMMYFUNCTION("""COMPUTED_VALUE"""),"Europe")</f>
        <v>Europe</v>
      </c>
      <c r="AA1276" s="14" t="str">
        <f>IFERROR(__xludf.DUMMYFUNCTION("""COMPUTED_VALUE"""),"2000")</f>
        <v>2000</v>
      </c>
      <c r="AB1276" s="15" t="str">
        <f>IFERROR(__xludf.DUMMYFUNCTION("ARRAYFORMULA(VLOOKUP(A1276,IMPORTRANGE(""https://docs.google.com/spreadsheets/d/1BuTWp7qHGjWhqrnf-OmePP568O4A5Am9ttzvVdP67zw/edit#gid=1931367683"" ,""ENERGY!$A$2:$F$2692""), {2,3,4,5,6},0))"),"Europe")</f>
        <v>Europe</v>
      </c>
      <c r="AC1276" s="14" t="str">
        <f>IFERROR(__xludf.DUMMYFUNCTION("""COMPUTED_VALUE"""),"Kosovo-Europe")</f>
        <v>Kosovo-Europe</v>
      </c>
      <c r="AD1276" s="14" t="str">
        <f>IFERROR(__xludf.DUMMYFUNCTION("""COMPUTED_VALUE"""),"2000")</f>
        <v>2000</v>
      </c>
      <c r="AE1276" s="14"/>
      <c r="AF1276" s="14"/>
    </row>
    <row r="1277">
      <c r="A1277" s="12">
        <v>1276.0</v>
      </c>
      <c r="B1277" s="12" t="s">
        <v>177</v>
      </c>
      <c r="C1277" s="5" t="s">
        <v>75</v>
      </c>
      <c r="D1277" s="8"/>
      <c r="E1277" s="8"/>
      <c r="F1277" s="8"/>
      <c r="G1277" s="8"/>
      <c r="H1277" s="8"/>
      <c r="I1277" s="8"/>
      <c r="J1277" s="9" t="s">
        <v>62</v>
      </c>
      <c r="K1277" s="14" t="str">
        <f>IFERROR(__xludf.DUMMYFUNCTION("ARRAYFORMULA(VLOOKUP(A1277,IMPORTRANGE(""https://docs.google.com/spreadsheets/d/1BuTWp7qHGjWhqrnf-OmePP568O4A5Am9ttzvVdP67zw/edit#gid=1603210130"", ""TOURISM!$A$2:$F$2692""), {2,3,4,5,6},0))"),"Europe")</f>
        <v>Europe</v>
      </c>
      <c r="L1277" s="14"/>
      <c r="M1277" s="14" t="str">
        <f>IFERROR(__xludf.DUMMYFUNCTION("""COMPUTED_VALUE"""),"Kosovo-Europe")</f>
        <v>Kosovo-Europe</v>
      </c>
      <c r="N1277" s="14" t="str">
        <f>IFERROR(__xludf.DUMMYFUNCTION("""COMPUTED_VALUE"""),"2001")</f>
        <v>2001</v>
      </c>
      <c r="O1277" s="14"/>
      <c r="P1277" s="15">
        <f>IFERROR(__xludf.DUMMYFUNCTION("ARRAYFORMULA(VLOOKUP(A1277,IMPORTRANGE(""https://docs.google.com/spreadsheets/d/1BuTWp7qHGjWhqrnf-OmePP568O4A5Am9ttzvVdP67zw/edit#gid=771602874"" ,""HUMAN RESOURCES!$A$2:$M$2692""), {2,3,4,5,6,7,8,9,10,11,12,13},0))"),0.022)</f>
        <v>0.022</v>
      </c>
      <c r="Q1277" s="14"/>
      <c r="R1277" s="14">
        <f>IFERROR(__xludf.DUMMYFUNCTION("""COMPUTED_VALUE"""),70.0)</f>
        <v>70</v>
      </c>
      <c r="S1277" s="14">
        <f>IFERROR(__xludf.DUMMYFUNCTION("""COMPUTED_VALUE"""),66.0)</f>
        <v>66</v>
      </c>
      <c r="T1277" s="14"/>
      <c r="U1277" s="14"/>
      <c r="V1277" s="14"/>
      <c r="W1277" s="14">
        <f>IFERROR(__xludf.DUMMYFUNCTION("""COMPUTED_VALUE"""),1701154.0)</f>
        <v>1701154</v>
      </c>
      <c r="X1277" s="14"/>
      <c r="Y1277" s="14" t="str">
        <f>IFERROR(__xludf.DUMMYFUNCTION("""COMPUTED_VALUE"""),"Kosovo-Europe")</f>
        <v>Kosovo-Europe</v>
      </c>
      <c r="Z1277" s="14" t="str">
        <f>IFERROR(__xludf.DUMMYFUNCTION("""COMPUTED_VALUE"""),"Europe")</f>
        <v>Europe</v>
      </c>
      <c r="AA1277" s="14" t="str">
        <f>IFERROR(__xludf.DUMMYFUNCTION("""COMPUTED_VALUE"""),"2001")</f>
        <v>2001</v>
      </c>
      <c r="AB1277" s="15" t="str">
        <f>IFERROR(__xludf.DUMMYFUNCTION("ARRAYFORMULA(VLOOKUP(A1277,IMPORTRANGE(""https://docs.google.com/spreadsheets/d/1BuTWp7qHGjWhqrnf-OmePP568O4A5Am9ttzvVdP67zw/edit#gid=1931367683"" ,""ENERGY!$A$2:$F$2692""), {2,3,4,5,6},0))"),"Europe")</f>
        <v>Europe</v>
      </c>
      <c r="AC1277" s="14" t="str">
        <f>IFERROR(__xludf.DUMMYFUNCTION("""COMPUTED_VALUE"""),"Kosovo-Europe")</f>
        <v>Kosovo-Europe</v>
      </c>
      <c r="AD1277" s="14" t="str">
        <f>IFERROR(__xludf.DUMMYFUNCTION("""COMPUTED_VALUE"""),"2001")</f>
        <v>2001</v>
      </c>
      <c r="AE1277" s="14">
        <f>IFERROR(__xludf.DUMMYFUNCTION("""COMPUTED_VALUE"""),2528.0)</f>
        <v>2528</v>
      </c>
      <c r="AF1277" s="14"/>
    </row>
    <row r="1278">
      <c r="A1278" s="12">
        <v>1277.0</v>
      </c>
      <c r="B1278" s="12" t="s">
        <v>177</v>
      </c>
      <c r="C1278" s="5" t="s">
        <v>75</v>
      </c>
      <c r="D1278" s="8"/>
      <c r="E1278" s="8"/>
      <c r="F1278" s="8"/>
      <c r="G1278" s="8"/>
      <c r="H1278" s="8"/>
      <c r="I1278" s="8"/>
      <c r="J1278" s="9" t="s">
        <v>63</v>
      </c>
      <c r="K1278" s="14" t="str">
        <f>IFERROR(__xludf.DUMMYFUNCTION("ARRAYFORMULA(VLOOKUP(A1278,IMPORTRANGE(""https://docs.google.com/spreadsheets/d/1BuTWp7qHGjWhqrnf-OmePP568O4A5Am9ttzvVdP67zw/edit#gid=1603210130"", ""TOURISM!$A$2:$F$2692""), {2,3,4,5,6},0))"),"Europe")</f>
        <v>Europe</v>
      </c>
      <c r="L1278" s="14"/>
      <c r="M1278" s="14" t="str">
        <f>IFERROR(__xludf.DUMMYFUNCTION("""COMPUTED_VALUE"""),"Kosovo-Europe")</f>
        <v>Kosovo-Europe</v>
      </c>
      <c r="N1278" s="14" t="str">
        <f>IFERROR(__xludf.DUMMYFUNCTION("""COMPUTED_VALUE"""),"2002")</f>
        <v>2002</v>
      </c>
      <c r="O1278" s="14"/>
      <c r="P1278" s="15">
        <f>IFERROR(__xludf.DUMMYFUNCTION("ARRAYFORMULA(VLOOKUP(A1278,IMPORTRANGE(""https://docs.google.com/spreadsheets/d/1BuTWp7qHGjWhqrnf-OmePP568O4A5Am9ttzvVdP67zw/edit#gid=771602874"" ,""HUMAN RESOURCES!$A$2:$M$2692""), {2,3,4,5,6,7,8,9,10,11,12,13},0))"),0.021)</f>
        <v>0.021</v>
      </c>
      <c r="Q1278" s="14"/>
      <c r="R1278" s="14">
        <f>IFERROR(__xludf.DUMMYFUNCTION("""COMPUTED_VALUE"""),70.0)</f>
        <v>70</v>
      </c>
      <c r="S1278" s="14">
        <f>IFERROR(__xludf.DUMMYFUNCTION("""COMPUTED_VALUE"""),66.0)</f>
        <v>66</v>
      </c>
      <c r="T1278" s="14"/>
      <c r="U1278" s="14"/>
      <c r="V1278" s="14"/>
      <c r="W1278" s="14">
        <f>IFERROR(__xludf.DUMMYFUNCTION("""COMPUTED_VALUE"""),1702310.0)</f>
        <v>1702310</v>
      </c>
      <c r="X1278" s="14"/>
      <c r="Y1278" s="14" t="str">
        <f>IFERROR(__xludf.DUMMYFUNCTION("""COMPUTED_VALUE"""),"Kosovo-Europe")</f>
        <v>Kosovo-Europe</v>
      </c>
      <c r="Z1278" s="14" t="str">
        <f>IFERROR(__xludf.DUMMYFUNCTION("""COMPUTED_VALUE"""),"Europe")</f>
        <v>Europe</v>
      </c>
      <c r="AA1278" s="14" t="str">
        <f>IFERROR(__xludf.DUMMYFUNCTION("""COMPUTED_VALUE"""),"2002")</f>
        <v>2002</v>
      </c>
      <c r="AB1278" s="15" t="str">
        <f>IFERROR(__xludf.DUMMYFUNCTION("ARRAYFORMULA(VLOOKUP(A1278,IMPORTRANGE(""https://docs.google.com/spreadsheets/d/1BuTWp7qHGjWhqrnf-OmePP568O4A5Am9ttzvVdP67zw/edit#gid=1931367683"" ,""ENERGY!$A$2:$F$2692""), {2,3,4,5,6},0))"),"Europe")</f>
        <v>Europe</v>
      </c>
      <c r="AC1278" s="14" t="str">
        <f>IFERROR(__xludf.DUMMYFUNCTION("""COMPUTED_VALUE"""),"Kosovo-Europe")</f>
        <v>Kosovo-Europe</v>
      </c>
      <c r="AD1278" s="14" t="str">
        <f>IFERROR(__xludf.DUMMYFUNCTION("""COMPUTED_VALUE"""),"2002")</f>
        <v>2002</v>
      </c>
      <c r="AE1278" s="14">
        <f>IFERROR(__xludf.DUMMYFUNCTION("""COMPUTED_VALUE"""),2496.0)</f>
        <v>2496</v>
      </c>
      <c r="AF1278" s="14"/>
    </row>
    <row r="1279">
      <c r="A1279" s="12">
        <v>1278.0</v>
      </c>
      <c r="B1279" s="12" t="s">
        <v>177</v>
      </c>
      <c r="C1279" s="5" t="s">
        <v>75</v>
      </c>
      <c r="D1279" s="8"/>
      <c r="E1279" s="8"/>
      <c r="F1279" s="8"/>
      <c r="G1279" s="8"/>
      <c r="H1279" s="8"/>
      <c r="I1279" s="8"/>
      <c r="J1279" s="9" t="s">
        <v>64</v>
      </c>
      <c r="K1279" s="14" t="str">
        <f>IFERROR(__xludf.DUMMYFUNCTION("ARRAYFORMULA(VLOOKUP(A1279,IMPORTRANGE(""https://docs.google.com/spreadsheets/d/1BuTWp7qHGjWhqrnf-OmePP568O4A5Am9ttzvVdP67zw/edit#gid=1603210130"", ""TOURISM!$A$2:$F$2692""), {2,3,4,5,6},0))"),"Europe")</f>
        <v>Europe</v>
      </c>
      <c r="L1279" s="14"/>
      <c r="M1279" s="14" t="str">
        <f>IFERROR(__xludf.DUMMYFUNCTION("""COMPUTED_VALUE"""),"Kosovo-Europe")</f>
        <v>Kosovo-Europe</v>
      </c>
      <c r="N1279" s="14" t="str">
        <f>IFERROR(__xludf.DUMMYFUNCTION("""COMPUTED_VALUE"""),"2003")</f>
        <v>2003</v>
      </c>
      <c r="O1279" s="14"/>
      <c r="P1279" s="15">
        <f>IFERROR(__xludf.DUMMYFUNCTION("ARRAYFORMULA(VLOOKUP(A1279,IMPORTRANGE(""https://docs.google.com/spreadsheets/d/1BuTWp7qHGjWhqrnf-OmePP568O4A5Am9ttzvVdP67zw/edit#gid=771602874"" ,""HUMAN RESOURCES!$A$2:$M$2692""), {2,3,4,5,6,7,8,9,10,11,12,13},0))"),0.018)</f>
        <v>0.018</v>
      </c>
      <c r="Q1279" s="14"/>
      <c r="R1279" s="14">
        <f>IFERROR(__xludf.DUMMYFUNCTION("""COMPUTED_VALUE"""),71.0)</f>
        <v>71</v>
      </c>
      <c r="S1279" s="14">
        <f>IFERROR(__xludf.DUMMYFUNCTION("""COMPUTED_VALUE"""),66.0)</f>
        <v>66</v>
      </c>
      <c r="T1279" s="14"/>
      <c r="U1279" s="14"/>
      <c r="V1279" s="14"/>
      <c r="W1279" s="14">
        <f>IFERROR(__xludf.DUMMYFUNCTION("""COMPUTED_VALUE"""),1703466.0)</f>
        <v>1703466</v>
      </c>
      <c r="X1279" s="14"/>
      <c r="Y1279" s="14" t="str">
        <f>IFERROR(__xludf.DUMMYFUNCTION("""COMPUTED_VALUE"""),"Kosovo-Europe")</f>
        <v>Kosovo-Europe</v>
      </c>
      <c r="Z1279" s="14" t="str">
        <f>IFERROR(__xludf.DUMMYFUNCTION("""COMPUTED_VALUE"""),"Europe")</f>
        <v>Europe</v>
      </c>
      <c r="AA1279" s="14" t="str">
        <f>IFERROR(__xludf.DUMMYFUNCTION("""COMPUTED_VALUE"""),"2003")</f>
        <v>2003</v>
      </c>
      <c r="AB1279" s="15" t="str">
        <f>IFERROR(__xludf.DUMMYFUNCTION("ARRAYFORMULA(VLOOKUP(A1279,IMPORTRANGE(""https://docs.google.com/spreadsheets/d/1BuTWp7qHGjWhqrnf-OmePP568O4A5Am9ttzvVdP67zw/edit#gid=1931367683"" ,""ENERGY!$A$2:$F$2692""), {2,3,4,5,6},0))"),"Europe")</f>
        <v>Europe</v>
      </c>
      <c r="AC1279" s="14" t="str">
        <f>IFERROR(__xludf.DUMMYFUNCTION("""COMPUTED_VALUE"""),"Kosovo-Europe")</f>
        <v>Kosovo-Europe</v>
      </c>
      <c r="AD1279" s="14" t="str">
        <f>IFERROR(__xludf.DUMMYFUNCTION("""COMPUTED_VALUE"""),"2003")</f>
        <v>2003</v>
      </c>
      <c r="AE1279" s="14">
        <f>IFERROR(__xludf.DUMMYFUNCTION("""COMPUTED_VALUE"""),2435.0)</f>
        <v>2435</v>
      </c>
      <c r="AF1279" s="14"/>
    </row>
    <row r="1280">
      <c r="A1280" s="12">
        <v>1279.0</v>
      </c>
      <c r="B1280" s="12" t="s">
        <v>177</v>
      </c>
      <c r="C1280" s="5" t="s">
        <v>75</v>
      </c>
      <c r="D1280" s="8"/>
      <c r="E1280" s="8"/>
      <c r="F1280" s="8"/>
      <c r="G1280" s="8"/>
      <c r="H1280" s="8"/>
      <c r="I1280" s="8"/>
      <c r="J1280" s="9" t="s">
        <v>65</v>
      </c>
      <c r="K1280" s="14" t="str">
        <f>IFERROR(__xludf.DUMMYFUNCTION("ARRAYFORMULA(VLOOKUP(A1280,IMPORTRANGE(""https://docs.google.com/spreadsheets/d/1BuTWp7qHGjWhqrnf-OmePP568O4A5Am9ttzvVdP67zw/edit#gid=1603210130"", ""TOURISM!$A$2:$F$2692""), {2,3,4,5,6},0))"),"Europe")</f>
        <v>Europe</v>
      </c>
      <c r="L1280" s="14"/>
      <c r="M1280" s="14" t="str">
        <f>IFERROR(__xludf.DUMMYFUNCTION("""COMPUTED_VALUE"""),"Kosovo-Europe")</f>
        <v>Kosovo-Europe</v>
      </c>
      <c r="N1280" s="14" t="str">
        <f>IFERROR(__xludf.DUMMYFUNCTION("""COMPUTED_VALUE"""),"2004")</f>
        <v>2004</v>
      </c>
      <c r="O1280" s="14"/>
      <c r="P1280" s="15">
        <f>IFERROR(__xludf.DUMMYFUNCTION("ARRAYFORMULA(VLOOKUP(A1280,IMPORTRANGE(""https://docs.google.com/spreadsheets/d/1BuTWp7qHGjWhqrnf-OmePP568O4A5Am9ttzvVdP67zw/edit#gid=771602874"" ,""HUMAN RESOURCES!$A$2:$M$2692""), {2,3,4,5,6,7,8,9,10,11,12,13},0))"),0.02)</f>
        <v>0.02</v>
      </c>
      <c r="Q1280" s="14"/>
      <c r="R1280" s="14">
        <f>IFERROR(__xludf.DUMMYFUNCTION("""COMPUTED_VALUE"""),71.0)</f>
        <v>71</v>
      </c>
      <c r="S1280" s="14">
        <f>IFERROR(__xludf.DUMMYFUNCTION("""COMPUTED_VALUE"""),66.0)</f>
        <v>66</v>
      </c>
      <c r="T1280" s="14"/>
      <c r="U1280" s="14"/>
      <c r="V1280" s="14"/>
      <c r="W1280" s="14">
        <f>IFERROR(__xludf.DUMMYFUNCTION("""COMPUTED_VALUE"""),1704622.0)</f>
        <v>1704622</v>
      </c>
      <c r="X1280" s="14"/>
      <c r="Y1280" s="14" t="str">
        <f>IFERROR(__xludf.DUMMYFUNCTION("""COMPUTED_VALUE"""),"Kosovo-Europe")</f>
        <v>Kosovo-Europe</v>
      </c>
      <c r="Z1280" s="14" t="str">
        <f>IFERROR(__xludf.DUMMYFUNCTION("""COMPUTED_VALUE"""),"Europe")</f>
        <v>Europe</v>
      </c>
      <c r="AA1280" s="14" t="str">
        <f>IFERROR(__xludf.DUMMYFUNCTION("""COMPUTED_VALUE"""),"2004")</f>
        <v>2004</v>
      </c>
      <c r="AB1280" s="15" t="str">
        <f>IFERROR(__xludf.DUMMYFUNCTION("ARRAYFORMULA(VLOOKUP(A1280,IMPORTRANGE(""https://docs.google.com/spreadsheets/d/1BuTWp7qHGjWhqrnf-OmePP568O4A5Am9ttzvVdP67zw/edit#gid=1931367683"" ,""ENERGY!$A$2:$F$2692""), {2,3,4,5,6},0))"),"Europe")</f>
        <v>Europe</v>
      </c>
      <c r="AC1280" s="14" t="str">
        <f>IFERROR(__xludf.DUMMYFUNCTION("""COMPUTED_VALUE"""),"Kosovo-Europe")</f>
        <v>Kosovo-Europe</v>
      </c>
      <c r="AD1280" s="14" t="str">
        <f>IFERROR(__xludf.DUMMYFUNCTION("""COMPUTED_VALUE"""),"2004")</f>
        <v>2004</v>
      </c>
      <c r="AE1280" s="14">
        <f>IFERROR(__xludf.DUMMYFUNCTION("""COMPUTED_VALUE"""),2216.0)</f>
        <v>2216</v>
      </c>
      <c r="AF1280" s="14"/>
    </row>
    <row r="1281">
      <c r="A1281" s="12">
        <v>1280.0</v>
      </c>
      <c r="B1281" s="12" t="s">
        <v>177</v>
      </c>
      <c r="C1281" s="5" t="s">
        <v>75</v>
      </c>
      <c r="D1281" s="8"/>
      <c r="E1281" s="8"/>
      <c r="F1281" s="8"/>
      <c r="G1281" s="8"/>
      <c r="H1281" s="8"/>
      <c r="I1281" s="8"/>
      <c r="J1281" s="9" t="s">
        <v>66</v>
      </c>
      <c r="K1281" s="14" t="str">
        <f>IFERROR(__xludf.DUMMYFUNCTION("ARRAYFORMULA(VLOOKUP(A1281,IMPORTRANGE(""https://docs.google.com/spreadsheets/d/1BuTWp7qHGjWhqrnf-OmePP568O4A5Am9ttzvVdP67zw/edit#gid=1603210130"", ""TOURISM!$A$2:$F$2692""), {2,3,4,5,6},0))"),"Europe")</f>
        <v>Europe</v>
      </c>
      <c r="L1281" s="14"/>
      <c r="M1281" s="14" t="str">
        <f>IFERROR(__xludf.DUMMYFUNCTION("""COMPUTED_VALUE"""),"Kosovo-Europe")</f>
        <v>Kosovo-Europe</v>
      </c>
      <c r="N1281" s="14" t="str">
        <f>IFERROR(__xludf.DUMMYFUNCTION("""COMPUTED_VALUE"""),"2005")</f>
        <v>2005</v>
      </c>
      <c r="O1281" s="14"/>
      <c r="P1281" s="15">
        <f>IFERROR(__xludf.DUMMYFUNCTION("ARRAYFORMULA(VLOOKUP(A1281,IMPORTRANGE(""https://docs.google.com/spreadsheets/d/1BuTWp7qHGjWhqrnf-OmePP568O4A5Am9ttzvVdP67zw/edit#gid=771602874"" ,""HUMAN RESOURCES!$A$2:$M$2692""), {2,3,4,5,6,7,8,9,10,11,12,13},0))"),0.021)</f>
        <v>0.021</v>
      </c>
      <c r="Q1281" s="14"/>
      <c r="R1281" s="14">
        <f>IFERROR(__xludf.DUMMYFUNCTION("""COMPUTED_VALUE"""),71.0)</f>
        <v>71</v>
      </c>
      <c r="S1281" s="14">
        <f>IFERROR(__xludf.DUMMYFUNCTION("""COMPUTED_VALUE"""),67.0)</f>
        <v>67</v>
      </c>
      <c r="T1281" s="14"/>
      <c r="U1281" s="14"/>
      <c r="V1281" s="14"/>
      <c r="W1281" s="14">
        <f>IFERROR(__xludf.DUMMYFUNCTION("""COMPUTED_VALUE"""),1705780.0)</f>
        <v>1705780</v>
      </c>
      <c r="X1281" s="14"/>
      <c r="Y1281" s="14" t="str">
        <f>IFERROR(__xludf.DUMMYFUNCTION("""COMPUTED_VALUE"""),"Kosovo-Europe")</f>
        <v>Kosovo-Europe</v>
      </c>
      <c r="Z1281" s="14" t="str">
        <f>IFERROR(__xludf.DUMMYFUNCTION("""COMPUTED_VALUE"""),"Europe")</f>
        <v>Europe</v>
      </c>
      <c r="AA1281" s="14" t="str">
        <f>IFERROR(__xludf.DUMMYFUNCTION("""COMPUTED_VALUE"""),"2005")</f>
        <v>2005</v>
      </c>
      <c r="AB1281" s="15" t="str">
        <f>IFERROR(__xludf.DUMMYFUNCTION("ARRAYFORMULA(VLOOKUP(A1281,IMPORTRANGE(""https://docs.google.com/spreadsheets/d/1BuTWp7qHGjWhqrnf-OmePP568O4A5Am9ttzvVdP67zw/edit#gid=1931367683"" ,""ENERGY!$A$2:$F$2692""), {2,3,4,5,6},0))"),"Europe")</f>
        <v>Europe</v>
      </c>
      <c r="AC1281" s="14" t="str">
        <f>IFERROR(__xludf.DUMMYFUNCTION("""COMPUTED_VALUE"""),"Kosovo-Europe")</f>
        <v>Kosovo-Europe</v>
      </c>
      <c r="AD1281" s="14" t="str">
        <f>IFERROR(__xludf.DUMMYFUNCTION("""COMPUTED_VALUE"""),"2007")</f>
        <v>2007</v>
      </c>
      <c r="AE1281" s="14">
        <f>IFERROR(__xludf.DUMMYFUNCTION("""COMPUTED_VALUE"""),2045.0)</f>
        <v>2045</v>
      </c>
      <c r="AF1281" s="14"/>
    </row>
    <row r="1282">
      <c r="A1282" s="12">
        <v>1281.0</v>
      </c>
      <c r="B1282" s="12" t="s">
        <v>177</v>
      </c>
      <c r="C1282" s="5" t="s">
        <v>75</v>
      </c>
      <c r="D1282" s="8"/>
      <c r="E1282" s="8"/>
      <c r="F1282" s="8"/>
      <c r="G1282" s="8"/>
      <c r="H1282" s="8"/>
      <c r="I1282" s="8"/>
      <c r="J1282" s="9" t="s">
        <v>67</v>
      </c>
      <c r="K1282" s="14" t="str">
        <f>IFERROR(__xludf.DUMMYFUNCTION("ARRAYFORMULA(VLOOKUP(A1282,IMPORTRANGE(""https://docs.google.com/spreadsheets/d/1BuTWp7qHGjWhqrnf-OmePP568O4A5Am9ttzvVdP67zw/edit#gid=1603210130"", ""TOURISM!$A$2:$F$2692""), {2,3,4,5,6},0))"),"Europe")</f>
        <v>Europe</v>
      </c>
      <c r="L1282" s="14"/>
      <c r="M1282" s="14" t="str">
        <f>IFERROR(__xludf.DUMMYFUNCTION("""COMPUTED_VALUE"""),"Kosovo-Europe")</f>
        <v>Kosovo-Europe</v>
      </c>
      <c r="N1282" s="14" t="str">
        <f>IFERROR(__xludf.DUMMYFUNCTION("""COMPUTED_VALUE"""),"2006")</f>
        <v>2006</v>
      </c>
      <c r="O1282" s="14"/>
      <c r="P1282" s="15">
        <f>IFERROR(__xludf.DUMMYFUNCTION("ARRAYFORMULA(VLOOKUP(A1282,IMPORTRANGE(""https://docs.google.com/spreadsheets/d/1BuTWp7qHGjWhqrnf-OmePP568O4A5Am9ttzvVdP67zw/edit#gid=771602874"" ,""HUMAN RESOURCES!$A$2:$M$2692""), {2,3,4,5,6,7,8,9,10,11,12,13},0))"),0.019)</f>
        <v>0.019</v>
      </c>
      <c r="Q1282" s="14"/>
      <c r="R1282" s="14">
        <f>IFERROR(__xludf.DUMMYFUNCTION("""COMPUTED_VALUE"""),71.0)</f>
        <v>71</v>
      </c>
      <c r="S1282" s="14">
        <f>IFERROR(__xludf.DUMMYFUNCTION("""COMPUTED_VALUE"""),67.0)</f>
        <v>67</v>
      </c>
      <c r="T1282" s="14"/>
      <c r="U1282" s="14"/>
      <c r="V1282" s="14"/>
      <c r="W1282" s="14">
        <f>IFERROR(__xludf.DUMMYFUNCTION("""COMPUTED_VALUE"""),1719536.0)</f>
        <v>1719536</v>
      </c>
      <c r="X1282" s="14"/>
      <c r="Y1282" s="14" t="str">
        <f>IFERROR(__xludf.DUMMYFUNCTION("""COMPUTED_VALUE"""),"Kosovo-Europe")</f>
        <v>Kosovo-Europe</v>
      </c>
      <c r="Z1282" s="14" t="str">
        <f>IFERROR(__xludf.DUMMYFUNCTION("""COMPUTED_VALUE"""),"Europe")</f>
        <v>Europe</v>
      </c>
      <c r="AA1282" s="14" t="str">
        <f>IFERROR(__xludf.DUMMYFUNCTION("""COMPUTED_VALUE"""),"2006")</f>
        <v>2006</v>
      </c>
      <c r="AB1282" s="15" t="str">
        <f>IFERROR(__xludf.DUMMYFUNCTION("ARRAYFORMULA(VLOOKUP(A1282,IMPORTRANGE(""https://docs.google.com/spreadsheets/d/1BuTWp7qHGjWhqrnf-OmePP568O4A5Am9ttzvVdP67zw/edit#gid=1931367683"" ,""ENERGY!$A$2:$F$2692""), {2,3,4,5,6},0))"),"Europe")</f>
        <v>Europe</v>
      </c>
      <c r="AC1282" s="14" t="str">
        <f>IFERROR(__xludf.DUMMYFUNCTION("""COMPUTED_VALUE"""),"Kosovo-Europe")</f>
        <v>Kosovo-Europe</v>
      </c>
      <c r="AD1282" s="14" t="str">
        <f>IFERROR(__xludf.DUMMYFUNCTION("""COMPUTED_VALUE"""),"2011")</f>
        <v>2011</v>
      </c>
      <c r="AE1282" s="14">
        <f>IFERROR(__xludf.DUMMYFUNCTION("""COMPUTED_VALUE"""),1966.0)</f>
        <v>1966</v>
      </c>
      <c r="AF1282" s="14"/>
    </row>
    <row r="1283">
      <c r="A1283" s="12">
        <v>1282.0</v>
      </c>
      <c r="B1283" s="12" t="s">
        <v>177</v>
      </c>
      <c r="C1283" s="5" t="s">
        <v>75</v>
      </c>
      <c r="D1283" s="8"/>
      <c r="E1283" s="8"/>
      <c r="F1283" s="8"/>
      <c r="G1283" s="8"/>
      <c r="H1283" s="8"/>
      <c r="I1283" s="8"/>
      <c r="J1283" s="9" t="s">
        <v>68</v>
      </c>
      <c r="K1283" s="14" t="str">
        <f>IFERROR(__xludf.DUMMYFUNCTION("ARRAYFORMULA(VLOOKUP(A1283,IMPORTRANGE(""https://docs.google.com/spreadsheets/d/1BuTWp7qHGjWhqrnf-OmePP568O4A5Am9ttzvVdP67zw/edit#gid=1603210130"", ""TOURISM!$A$2:$F$2692""), {2,3,4,5,6},0))"),"Europe")</f>
        <v>Europe</v>
      </c>
      <c r="L1283" s="14"/>
      <c r="M1283" s="14" t="str">
        <f>IFERROR(__xludf.DUMMYFUNCTION("""COMPUTED_VALUE"""),"Kosovo-Europe")</f>
        <v>Kosovo-Europe</v>
      </c>
      <c r="N1283" s="14" t="str">
        <f>IFERROR(__xludf.DUMMYFUNCTION("""COMPUTED_VALUE"""),"2007")</f>
        <v>2007</v>
      </c>
      <c r="O1283" s="14"/>
      <c r="P1283" s="15">
        <f>IFERROR(__xludf.DUMMYFUNCTION("ARRAYFORMULA(VLOOKUP(A1283,IMPORTRANGE(""https://docs.google.com/spreadsheets/d/1BuTWp7qHGjWhqrnf-OmePP568O4A5Am9ttzvVdP67zw/edit#gid=771602874"" ,""HUMAN RESOURCES!$A$2:$M$2692""), {2,3,4,5,6,7,8,9,10,11,12,13},0))"),0.019)</f>
        <v>0.019</v>
      </c>
      <c r="Q1283" s="14"/>
      <c r="R1283" s="14">
        <f>IFERROR(__xludf.DUMMYFUNCTION("""COMPUTED_VALUE"""),71.0)</f>
        <v>71</v>
      </c>
      <c r="S1283" s="14">
        <f>IFERROR(__xludf.DUMMYFUNCTION("""COMPUTED_VALUE"""),67.0)</f>
        <v>67</v>
      </c>
      <c r="T1283" s="14"/>
      <c r="U1283" s="14"/>
      <c r="V1283" s="14"/>
      <c r="W1283" s="14">
        <f>IFERROR(__xludf.DUMMYFUNCTION("""COMPUTED_VALUE"""),1733404.0)</f>
        <v>1733404</v>
      </c>
      <c r="X1283" s="14"/>
      <c r="Y1283" s="14" t="str">
        <f>IFERROR(__xludf.DUMMYFUNCTION("""COMPUTED_VALUE"""),"Kosovo-Europe")</f>
        <v>Kosovo-Europe</v>
      </c>
      <c r="Z1283" s="14" t="str">
        <f>IFERROR(__xludf.DUMMYFUNCTION("""COMPUTED_VALUE"""),"Europe")</f>
        <v>Europe</v>
      </c>
      <c r="AA1283" s="14" t="str">
        <f>IFERROR(__xludf.DUMMYFUNCTION("""COMPUTED_VALUE"""),"2007")</f>
        <v>2007</v>
      </c>
      <c r="AB1283" s="15" t="str">
        <f>IFERROR(__xludf.DUMMYFUNCTION("ARRAYFORMULA(VLOOKUP(A1283,IMPORTRANGE(""https://docs.google.com/spreadsheets/d/1BuTWp7qHGjWhqrnf-OmePP568O4A5Am9ttzvVdP67zw/edit#gid=1931367683"" ,""ENERGY!$A$2:$F$2692""), {2,3,4,5,6},0))"),"Europe")</f>
        <v>Europe</v>
      </c>
      <c r="AC1283" s="14" t="str">
        <f>IFERROR(__xludf.DUMMYFUNCTION("""COMPUTED_VALUE"""),"Kosovo-Europe")</f>
        <v>Kosovo-Europe</v>
      </c>
      <c r="AD1283" s="14" t="str">
        <f>IFERROR(__xludf.DUMMYFUNCTION("""COMPUTED_VALUE"""),"2008")</f>
        <v>2008</v>
      </c>
      <c r="AE1283" s="14">
        <f>IFERROR(__xludf.DUMMYFUNCTION("""COMPUTED_VALUE"""),1946.0)</f>
        <v>1946</v>
      </c>
      <c r="AF1283" s="14"/>
    </row>
    <row r="1284">
      <c r="A1284" s="12">
        <v>1283.0</v>
      </c>
      <c r="B1284" s="12" t="s">
        <v>177</v>
      </c>
      <c r="C1284" s="5" t="s">
        <v>75</v>
      </c>
      <c r="D1284" s="8"/>
      <c r="E1284" s="8"/>
      <c r="F1284" s="8"/>
      <c r="G1284" s="8"/>
      <c r="H1284" s="8"/>
      <c r="I1284" s="8"/>
      <c r="J1284" s="9" t="s">
        <v>69</v>
      </c>
      <c r="K1284" s="14" t="str">
        <f>IFERROR(__xludf.DUMMYFUNCTION("ARRAYFORMULA(VLOOKUP(A1284,IMPORTRANGE(""https://docs.google.com/spreadsheets/d/1BuTWp7qHGjWhqrnf-OmePP568O4A5Am9ttzvVdP67zw/edit#gid=1603210130"", ""TOURISM!$A$2:$F$2692""), {2,3,4,5,6},0))"),"Europe")</f>
        <v>Europe</v>
      </c>
      <c r="L1284" s="14"/>
      <c r="M1284" s="14" t="str">
        <f>IFERROR(__xludf.DUMMYFUNCTION("""COMPUTED_VALUE"""),"Kosovo-Europe")</f>
        <v>Kosovo-Europe</v>
      </c>
      <c r="N1284" s="14" t="str">
        <f>IFERROR(__xludf.DUMMYFUNCTION("""COMPUTED_VALUE"""),"2008")</f>
        <v>2008</v>
      </c>
      <c r="O1284" s="14"/>
      <c r="P1284" s="15">
        <f>IFERROR(__xludf.DUMMYFUNCTION("ARRAYFORMULA(VLOOKUP(A1284,IMPORTRANGE(""https://docs.google.com/spreadsheets/d/1BuTWp7qHGjWhqrnf-OmePP568O4A5Am9ttzvVdP67zw/edit#gid=771602874"" ,""HUMAN RESOURCES!$A$2:$M$2692""), {2,3,4,5,6,7,8,9,10,11,12,13},0))"),0.019)</f>
        <v>0.019</v>
      </c>
      <c r="Q1284" s="14"/>
      <c r="R1284" s="14">
        <f>IFERROR(__xludf.DUMMYFUNCTION("""COMPUTED_VALUE"""),72.0)</f>
        <v>72</v>
      </c>
      <c r="S1284" s="14">
        <f>IFERROR(__xludf.DUMMYFUNCTION("""COMPUTED_VALUE"""),67.0)</f>
        <v>67</v>
      </c>
      <c r="T1284" s="14"/>
      <c r="U1284" s="14"/>
      <c r="V1284" s="14"/>
      <c r="W1284" s="14">
        <f>IFERROR(__xludf.DUMMYFUNCTION("""COMPUTED_VALUE"""),1747383.0)</f>
        <v>1747383</v>
      </c>
      <c r="X1284" s="14"/>
      <c r="Y1284" s="14" t="str">
        <f>IFERROR(__xludf.DUMMYFUNCTION("""COMPUTED_VALUE"""),"Kosovo-Europe")</f>
        <v>Kosovo-Europe</v>
      </c>
      <c r="Z1284" s="14" t="str">
        <f>IFERROR(__xludf.DUMMYFUNCTION("""COMPUTED_VALUE"""),"Europe")</f>
        <v>Europe</v>
      </c>
      <c r="AA1284" s="14" t="str">
        <f>IFERROR(__xludf.DUMMYFUNCTION("""COMPUTED_VALUE"""),"2008")</f>
        <v>2008</v>
      </c>
      <c r="AB1284" s="15" t="str">
        <f>IFERROR(__xludf.DUMMYFUNCTION("ARRAYFORMULA(VLOOKUP(A1284,IMPORTRANGE(""https://docs.google.com/spreadsheets/d/1BuTWp7qHGjWhqrnf-OmePP568O4A5Am9ttzvVdP67zw/edit#gid=1931367683"" ,""ENERGY!$A$2:$F$2692""), {2,3,4,5,6},0))"),"Europe")</f>
        <v>Europe</v>
      </c>
      <c r="AC1284" s="14" t="str">
        <f>IFERROR(__xludf.DUMMYFUNCTION("""COMPUTED_VALUE"""),"Kosovo-Europe")</f>
        <v>Kosovo-Europe</v>
      </c>
      <c r="AD1284" s="14" t="str">
        <f>IFERROR(__xludf.DUMMYFUNCTION("""COMPUTED_VALUE"""),"2006")</f>
        <v>2006</v>
      </c>
      <c r="AE1284" s="14">
        <f>IFERROR(__xludf.DUMMYFUNCTION("""COMPUTED_VALUE"""),2005.0)</f>
        <v>2005</v>
      </c>
      <c r="AF1284" s="14"/>
    </row>
    <row r="1285">
      <c r="A1285" s="12">
        <v>1284.0</v>
      </c>
      <c r="B1285" s="12" t="s">
        <v>177</v>
      </c>
      <c r="C1285" s="5" t="s">
        <v>75</v>
      </c>
      <c r="D1285" s="11">
        <v>0.283</v>
      </c>
      <c r="E1285" s="11">
        <v>52.0</v>
      </c>
      <c r="F1285" s="8"/>
      <c r="G1285" s="11">
        <v>163.0</v>
      </c>
      <c r="H1285" s="8"/>
      <c r="I1285" s="8"/>
      <c r="J1285" s="9" t="s">
        <v>70</v>
      </c>
      <c r="K1285" s="14" t="str">
        <f>IFERROR(__xludf.DUMMYFUNCTION("ARRAYFORMULA(VLOOKUP(A1285,IMPORTRANGE(""https://docs.google.com/spreadsheets/d/1BuTWp7qHGjWhqrnf-OmePP568O4A5Am9ttzvVdP67zw/edit#gid=1603210130"", ""TOURISM!$A$2:$F$2692""), {2,3,4,5,6},0))"),"Europe")</f>
        <v>Europe</v>
      </c>
      <c r="L1285" s="14"/>
      <c r="M1285" s="14" t="str">
        <f>IFERROR(__xludf.DUMMYFUNCTION("""COMPUTED_VALUE"""),"Kosovo-Europe")</f>
        <v>Kosovo-Europe</v>
      </c>
      <c r="N1285" s="14" t="str">
        <f>IFERROR(__xludf.DUMMYFUNCTION("""COMPUTED_VALUE"""),"2009")</f>
        <v>2009</v>
      </c>
      <c r="O1285" s="14"/>
      <c r="P1285" s="15">
        <f>IFERROR(__xludf.DUMMYFUNCTION("ARRAYFORMULA(VLOOKUP(A1285,IMPORTRANGE(""https://docs.google.com/spreadsheets/d/1BuTWp7qHGjWhqrnf-OmePP568O4A5Am9ttzvVdP67zw/edit#gid=771602874"" ,""HUMAN RESOURCES!$A$2:$M$2692""), {2,3,4,5,6,7,8,9,10,11,12,13},0))"),0.019)</f>
        <v>0.019</v>
      </c>
      <c r="Q1285" s="14"/>
      <c r="R1285" s="14">
        <f>IFERROR(__xludf.DUMMYFUNCTION("""COMPUTED_VALUE"""),72.0)</f>
        <v>72</v>
      </c>
      <c r="S1285" s="14">
        <f>IFERROR(__xludf.DUMMYFUNCTION("""COMPUTED_VALUE"""),68.0)</f>
        <v>68</v>
      </c>
      <c r="T1285" s="14"/>
      <c r="U1285" s="14"/>
      <c r="V1285" s="14"/>
      <c r="W1285" s="14">
        <f>IFERROR(__xludf.DUMMYFUNCTION("""COMPUTED_VALUE"""),1761474.0)</f>
        <v>1761474</v>
      </c>
      <c r="X1285" s="14"/>
      <c r="Y1285" s="14" t="str">
        <f>IFERROR(__xludf.DUMMYFUNCTION("""COMPUTED_VALUE"""),"Kosovo-Europe")</f>
        <v>Kosovo-Europe</v>
      </c>
      <c r="Z1285" s="14" t="str">
        <f>IFERROR(__xludf.DUMMYFUNCTION("""COMPUTED_VALUE"""),"Europe")</f>
        <v>Europe</v>
      </c>
      <c r="AA1285" s="14" t="str">
        <f>IFERROR(__xludf.DUMMYFUNCTION("""COMPUTED_VALUE"""),"2009")</f>
        <v>2009</v>
      </c>
      <c r="AB1285" s="15" t="str">
        <f>IFERROR(__xludf.DUMMYFUNCTION("ARRAYFORMULA(VLOOKUP(A1285,IMPORTRANGE(""https://docs.google.com/spreadsheets/d/1BuTWp7qHGjWhqrnf-OmePP568O4A5Am9ttzvVdP67zw/edit#gid=1931367683"" ,""ENERGY!$A$2:$F$2692""), {2,3,4,5,6},0))"),"Europe")</f>
        <v>Europe</v>
      </c>
      <c r="AC1285" s="14" t="str">
        <f>IFERROR(__xludf.DUMMYFUNCTION("""COMPUTED_VALUE"""),"Kosovo-Europe")</f>
        <v>Kosovo-Europe</v>
      </c>
      <c r="AD1285" s="14" t="str">
        <f>IFERROR(__xludf.DUMMYFUNCTION("""COMPUTED_VALUE"""),"2010")</f>
        <v>2010</v>
      </c>
      <c r="AE1285" s="14">
        <f>IFERROR(__xludf.DUMMYFUNCTION("""COMPUTED_VALUE"""),1994.0)</f>
        <v>1994</v>
      </c>
      <c r="AF1285" s="14"/>
    </row>
    <row r="1286">
      <c r="A1286" s="12">
        <v>1285.0</v>
      </c>
      <c r="B1286" s="12" t="s">
        <v>177</v>
      </c>
      <c r="C1286" s="5" t="s">
        <v>75</v>
      </c>
      <c r="D1286" s="11">
        <v>0.165</v>
      </c>
      <c r="E1286" s="11">
        <v>58.0</v>
      </c>
      <c r="F1286" s="8"/>
      <c r="G1286" s="11">
        <v>163.0</v>
      </c>
      <c r="H1286" s="8"/>
      <c r="I1286" s="8"/>
      <c r="J1286" s="9" t="s">
        <v>71</v>
      </c>
      <c r="K1286" s="14" t="str">
        <f>IFERROR(__xludf.DUMMYFUNCTION("ARRAYFORMULA(VLOOKUP(A1286,IMPORTRANGE(""https://docs.google.com/spreadsheets/d/1BuTWp7qHGjWhqrnf-OmePP568O4A5Am9ttzvVdP67zw/edit#gid=1603210130"", ""TOURISM!$A$2:$F$2692""), {2,3,4,5,6},0))"),"Europe")</f>
        <v>Europe</v>
      </c>
      <c r="L1286" s="14"/>
      <c r="M1286" s="14" t="str">
        <f>IFERROR(__xludf.DUMMYFUNCTION("""COMPUTED_VALUE"""),"Kosovo-Europe")</f>
        <v>Kosovo-Europe</v>
      </c>
      <c r="N1286" s="14" t="str">
        <f>IFERROR(__xludf.DUMMYFUNCTION("""COMPUTED_VALUE"""),"2010")</f>
        <v>2010</v>
      </c>
      <c r="O1286" s="14"/>
      <c r="P1286" s="15">
        <f>IFERROR(__xludf.DUMMYFUNCTION("ARRAYFORMULA(VLOOKUP(A1286,IMPORTRANGE(""https://docs.google.com/spreadsheets/d/1BuTWp7qHGjWhqrnf-OmePP568O4A5Am9ttzvVdP67zw/edit#gid=771602874"" ,""HUMAN RESOURCES!$A$2:$M$2692""), {2,3,4,5,6,7,8,9,10,11,12,13},0))"),0.019)</f>
        <v>0.019</v>
      </c>
      <c r="Q1286" s="14"/>
      <c r="R1286" s="14">
        <f>IFERROR(__xludf.DUMMYFUNCTION("""COMPUTED_VALUE"""),72.0)</f>
        <v>72</v>
      </c>
      <c r="S1286" s="14">
        <f>IFERROR(__xludf.DUMMYFUNCTION("""COMPUTED_VALUE"""),68.0)</f>
        <v>68</v>
      </c>
      <c r="T1286" s="14">
        <f>IFERROR(__xludf.DUMMYFUNCTION("""COMPUTED_VALUE"""),0.275)</f>
        <v>0.275</v>
      </c>
      <c r="U1286" s="14">
        <f>IFERROR(__xludf.DUMMYFUNCTION("""COMPUTED_VALUE"""),0.659)</f>
        <v>0.659</v>
      </c>
      <c r="V1286" s="14">
        <f>IFERROR(__xludf.DUMMYFUNCTION("""COMPUTED_VALUE"""),0.067)</f>
        <v>0.067</v>
      </c>
      <c r="W1286" s="14">
        <f>IFERROR(__xludf.DUMMYFUNCTION("""COMPUTED_VALUE"""),1775680.0)</f>
        <v>1775680</v>
      </c>
      <c r="X1286" s="14"/>
      <c r="Y1286" s="14" t="str">
        <f>IFERROR(__xludf.DUMMYFUNCTION("""COMPUTED_VALUE"""),"Kosovo-Europe")</f>
        <v>Kosovo-Europe</v>
      </c>
      <c r="Z1286" s="14" t="str">
        <f>IFERROR(__xludf.DUMMYFUNCTION("""COMPUTED_VALUE"""),"Europe")</f>
        <v>Europe</v>
      </c>
      <c r="AA1286" s="14" t="str">
        <f>IFERROR(__xludf.DUMMYFUNCTION("""COMPUTED_VALUE"""),"2010")</f>
        <v>2010</v>
      </c>
      <c r="AB1286" s="15" t="str">
        <f>IFERROR(__xludf.DUMMYFUNCTION("ARRAYFORMULA(VLOOKUP(A1286,IMPORTRANGE(""https://docs.google.com/spreadsheets/d/1BuTWp7qHGjWhqrnf-OmePP568O4A5Am9ttzvVdP67zw/edit#gid=1931367683"" ,""ENERGY!$A$2:$F$2692""), {2,3,4,5,6},0))"),"Europe")</f>
        <v>Europe</v>
      </c>
      <c r="AC1286" s="14" t="str">
        <f>IFERROR(__xludf.DUMMYFUNCTION("""COMPUTED_VALUE"""),"Kosovo-Europe")</f>
        <v>Kosovo-Europe</v>
      </c>
      <c r="AD1286" s="14" t="str">
        <f>IFERROR(__xludf.DUMMYFUNCTION("""COMPUTED_VALUE"""),"2011")</f>
        <v>2011</v>
      </c>
      <c r="AE1286" s="14">
        <f>IFERROR(__xludf.DUMMYFUNCTION("""COMPUTED_VALUE"""),1894.0)</f>
        <v>1894</v>
      </c>
      <c r="AF1286" s="14"/>
    </row>
    <row r="1287">
      <c r="A1287" s="12">
        <v>1286.0</v>
      </c>
      <c r="B1287" s="12" t="s">
        <v>177</v>
      </c>
      <c r="C1287" s="5" t="s">
        <v>75</v>
      </c>
      <c r="D1287" s="11">
        <v>0.154</v>
      </c>
      <c r="E1287" s="11">
        <v>58.0</v>
      </c>
      <c r="F1287" s="8"/>
      <c r="G1287" s="11">
        <v>164.0</v>
      </c>
      <c r="H1287" s="8"/>
      <c r="I1287" s="8"/>
      <c r="J1287" s="9" t="s">
        <v>72</v>
      </c>
      <c r="K1287" s="14" t="str">
        <f>IFERROR(__xludf.DUMMYFUNCTION("ARRAYFORMULA(VLOOKUP(A1287,IMPORTRANGE(""https://docs.google.com/spreadsheets/d/1BuTWp7qHGjWhqrnf-OmePP568O4A5Am9ttzvVdP67zw/edit#gid=1603210130"", ""TOURISM!$A$2:$F$2692""), {2,3,4,5,6},0))"),"Europe")</f>
        <v>Europe</v>
      </c>
      <c r="L1287" s="14"/>
      <c r="M1287" s="14" t="str">
        <f>IFERROR(__xludf.DUMMYFUNCTION("""COMPUTED_VALUE"""),"Kosovo-Europe")</f>
        <v>Kosovo-Europe</v>
      </c>
      <c r="N1287" s="14" t="str">
        <f>IFERROR(__xludf.DUMMYFUNCTION("""COMPUTED_VALUE"""),"2011")</f>
        <v>2011</v>
      </c>
      <c r="O1287" s="14"/>
      <c r="P1287" s="15">
        <f>IFERROR(__xludf.DUMMYFUNCTION("ARRAYFORMULA(VLOOKUP(A1287,IMPORTRANGE(""https://docs.google.com/spreadsheets/d/1BuTWp7qHGjWhqrnf-OmePP568O4A5Am9ttzvVdP67zw/edit#gid=771602874"" ,""HUMAN RESOURCES!$A$2:$M$2692""), {2,3,4,5,6,7,8,9,10,11,12,13},0))"),0.018)</f>
        <v>0.018</v>
      </c>
      <c r="Q1287" s="14"/>
      <c r="R1287" s="14">
        <f>IFERROR(__xludf.DUMMYFUNCTION("""COMPUTED_VALUE"""),72.0)</f>
        <v>72</v>
      </c>
      <c r="S1287" s="14">
        <f>IFERROR(__xludf.DUMMYFUNCTION("""COMPUTED_VALUE"""),68.0)</f>
        <v>68</v>
      </c>
      <c r="T1287" s="14"/>
      <c r="U1287" s="14"/>
      <c r="V1287" s="14"/>
      <c r="W1287" s="14">
        <f>IFERROR(__xludf.DUMMYFUNCTION("""COMPUTED_VALUE"""),1790957.0)</f>
        <v>1790957</v>
      </c>
      <c r="X1287" s="14"/>
      <c r="Y1287" s="14" t="str">
        <f>IFERROR(__xludf.DUMMYFUNCTION("""COMPUTED_VALUE"""),"Kosovo-Europe")</f>
        <v>Kosovo-Europe</v>
      </c>
      <c r="Z1287" s="14" t="str">
        <f>IFERROR(__xludf.DUMMYFUNCTION("""COMPUTED_VALUE"""),"Europe")</f>
        <v>Europe</v>
      </c>
      <c r="AA1287" s="14" t="str">
        <f>IFERROR(__xludf.DUMMYFUNCTION("""COMPUTED_VALUE"""),"2011")</f>
        <v>2011</v>
      </c>
      <c r="AB1287" s="15" t="str">
        <f>IFERROR(__xludf.DUMMYFUNCTION("ARRAYFORMULA(VLOOKUP(A1287,IMPORTRANGE(""https://docs.google.com/spreadsheets/d/1BuTWp7qHGjWhqrnf-OmePP568O4A5Am9ttzvVdP67zw/edit#gid=1931367683"" ,""ENERGY!$A$2:$F$2692""), {2,3,4,5,6},0))"),"Europe")</f>
        <v>Europe</v>
      </c>
      <c r="AC1287" s="14" t="str">
        <f>IFERROR(__xludf.DUMMYFUNCTION("""COMPUTED_VALUE"""),"Kosovo-Europe")</f>
        <v>Kosovo-Europe</v>
      </c>
      <c r="AD1287" s="14" t="str">
        <f>IFERROR(__xludf.DUMMYFUNCTION("""COMPUTED_VALUE"""),"2005")</f>
        <v>2005</v>
      </c>
      <c r="AE1287" s="14">
        <f>IFERROR(__xludf.DUMMYFUNCTION("""COMPUTED_VALUE"""),1902.0)</f>
        <v>1902</v>
      </c>
      <c r="AF1287" s="14"/>
    </row>
    <row r="1288">
      <c r="A1288" s="12">
        <v>1287.0</v>
      </c>
      <c r="B1288" s="12" t="s">
        <v>177</v>
      </c>
      <c r="C1288" s="5" t="s">
        <v>75</v>
      </c>
      <c r="D1288" s="11">
        <v>0.154</v>
      </c>
      <c r="E1288" s="11">
        <v>52.0</v>
      </c>
      <c r="F1288" s="11">
        <v>96.0</v>
      </c>
      <c r="G1288" s="11">
        <v>164.0</v>
      </c>
      <c r="H1288" s="8"/>
      <c r="I1288" s="8"/>
      <c r="J1288" s="9" t="s">
        <v>73</v>
      </c>
      <c r="K1288" s="14" t="str">
        <f>IFERROR(__xludf.DUMMYFUNCTION("ARRAYFORMULA(VLOOKUP(A1288,IMPORTRANGE(""https://docs.google.com/spreadsheets/d/1BuTWp7qHGjWhqrnf-OmePP568O4A5Am9ttzvVdP67zw/edit#gid=1603210130"", ""TOURISM!$A$2:$F$2692""), {2,3,4,5,6},0))"),"Europe")</f>
        <v>Europe</v>
      </c>
      <c r="L1288" s="14"/>
      <c r="M1288" s="14" t="str">
        <f>IFERROR(__xludf.DUMMYFUNCTION("""COMPUTED_VALUE"""),"Kosovo-Europe")</f>
        <v>Kosovo-Europe</v>
      </c>
      <c r="N1288" s="14" t="str">
        <f>IFERROR(__xludf.DUMMYFUNCTION("""COMPUTED_VALUE"""),"2012")</f>
        <v>2012</v>
      </c>
      <c r="O1288" s="14"/>
      <c r="P1288" s="15">
        <f>IFERROR(__xludf.DUMMYFUNCTION("ARRAYFORMULA(VLOOKUP(A1288,IMPORTRANGE(""https://docs.google.com/spreadsheets/d/1BuTWp7qHGjWhqrnf-OmePP568O4A5Am9ttzvVdP67zw/edit#gid=771602874"" ,""HUMAN RESOURCES!$A$2:$M$2692""), {2,3,4,5,6,7,8,9,10,11,12,13},0))"),0.018)</f>
        <v>0.018</v>
      </c>
      <c r="Q1288" s="14"/>
      <c r="R1288" s="14">
        <f>IFERROR(__xludf.DUMMYFUNCTION("""COMPUTED_VALUE"""),73.0)</f>
        <v>73</v>
      </c>
      <c r="S1288" s="14">
        <f>IFERROR(__xludf.DUMMYFUNCTION("""COMPUTED_VALUE"""),68.0)</f>
        <v>68</v>
      </c>
      <c r="T1288" s="14"/>
      <c r="U1288" s="14"/>
      <c r="V1288" s="14"/>
      <c r="W1288" s="14">
        <f>IFERROR(__xludf.DUMMYFUNCTION("""COMPUTED_VALUE"""),1807106.0)</f>
        <v>1807106</v>
      </c>
      <c r="X1288" s="14"/>
      <c r="Y1288" s="14" t="str">
        <f>IFERROR(__xludf.DUMMYFUNCTION("""COMPUTED_VALUE"""),"Kosovo-Europe")</f>
        <v>Kosovo-Europe</v>
      </c>
      <c r="Z1288" s="14" t="str">
        <f>IFERROR(__xludf.DUMMYFUNCTION("""COMPUTED_VALUE"""),"Europe")</f>
        <v>Europe</v>
      </c>
      <c r="AA1288" s="14" t="str">
        <f>IFERROR(__xludf.DUMMYFUNCTION("""COMPUTED_VALUE"""),"2012")</f>
        <v>2012</v>
      </c>
      <c r="AB1288" s="15" t="str">
        <f>IFERROR(__xludf.DUMMYFUNCTION("ARRAYFORMULA(VLOOKUP(A1288,IMPORTRANGE(""https://docs.google.com/spreadsheets/d/1BuTWp7qHGjWhqrnf-OmePP568O4A5Am9ttzvVdP67zw/edit#gid=1931367683"" ,""ENERGY!$A$2:$F$2692""), {2,3,4,5,6},0))"),"Europe")</f>
        <v>Europe</v>
      </c>
      <c r="AC1288" s="14" t="str">
        <f>IFERROR(__xludf.DUMMYFUNCTION("""COMPUTED_VALUE"""),"Kosovo-Europe")</f>
        <v>Kosovo-Europe</v>
      </c>
      <c r="AD1288" s="14" t="str">
        <f>IFERROR(__xludf.DUMMYFUNCTION("""COMPUTED_VALUE"""),"2010")</f>
        <v>2010</v>
      </c>
      <c r="AE1288" s="14">
        <f>IFERROR(__xludf.DUMMYFUNCTION("""COMPUTED_VALUE"""),1545.0)</f>
        <v>1545</v>
      </c>
      <c r="AF1288" s="14"/>
    </row>
    <row r="1289">
      <c r="A1289" s="12">
        <v>1288.0</v>
      </c>
      <c r="B1289" s="12" t="s">
        <v>178</v>
      </c>
      <c r="C1289" s="5" t="s">
        <v>93</v>
      </c>
      <c r="D1289" s="8"/>
      <c r="E1289" s="8"/>
      <c r="F1289" s="8"/>
      <c r="G1289" s="8"/>
      <c r="H1289" s="11">
        <v>0.067</v>
      </c>
      <c r="I1289" s="11">
        <v>0.25</v>
      </c>
      <c r="J1289" s="9" t="s">
        <v>60</v>
      </c>
      <c r="K1289" s="14" t="str">
        <f>IFERROR(__xludf.DUMMYFUNCTION("ARRAYFORMULA(VLOOKUP(A1289,IMPORTRANGE(""https://docs.google.com/spreadsheets/d/1BuTWp7qHGjWhqrnf-OmePP568O4A5Am9ttzvVdP67zw/edit#gid=1603210130"", ""TOURISM!$A$2:$F$2692""), {2,3,4,5,6},0))"),"Middle East")</f>
        <v>Middle East</v>
      </c>
      <c r="L1289" s="14">
        <f>IFERROR(__xludf.DUMMYFUNCTION("""COMPUTED_VALUE"""),3.94E8)</f>
        <v>394000000</v>
      </c>
      <c r="M1289" s="14" t="str">
        <f>IFERROR(__xludf.DUMMYFUNCTION("""COMPUTED_VALUE"""),"Kuwait-Middle East")</f>
        <v>Kuwait-Middle East</v>
      </c>
      <c r="N1289" s="14" t="str">
        <f>IFERROR(__xludf.DUMMYFUNCTION("""COMPUTED_VALUE"""),"2000")</f>
        <v>2000</v>
      </c>
      <c r="O1289" s="14">
        <f>IFERROR(__xludf.DUMMYFUNCTION("""COMPUTED_VALUE"""),2.852E9)</f>
        <v>2852000000</v>
      </c>
      <c r="P1289" s="15">
        <f>IFERROR(__xludf.DUMMYFUNCTION("ARRAYFORMULA(VLOOKUP(A1289,IMPORTRANGE(""https://docs.google.com/spreadsheets/d/1BuTWp7qHGjWhqrnf-OmePP568O4A5Am9ttzvVdP67zw/edit#gid=771602874"" ,""HUMAN RESOURCES!$A$2:$M$2692""), {2,3,4,5,6,7,8,9,10,11,12,13},0))"),0.024)</f>
        <v>0.024</v>
      </c>
      <c r="Q1289" s="14">
        <f>IFERROR(__xludf.DUMMYFUNCTION("""COMPUTED_VALUE"""),0.011)</f>
        <v>0.011</v>
      </c>
      <c r="R1289" s="14">
        <f>IFERROR(__xludf.DUMMYFUNCTION("""COMPUTED_VALUE"""),74.0)</f>
        <v>74</v>
      </c>
      <c r="S1289" s="14">
        <f>IFERROR(__xludf.DUMMYFUNCTION("""COMPUTED_VALUE"""),72.0)</f>
        <v>72</v>
      </c>
      <c r="T1289" s="14">
        <f>IFERROR(__xludf.DUMMYFUNCTION("""COMPUTED_VALUE"""),0.257)</f>
        <v>0.257</v>
      </c>
      <c r="U1289" s="14">
        <f>IFERROR(__xludf.DUMMYFUNCTION("""COMPUTED_VALUE"""),0.712)</f>
        <v>0.712</v>
      </c>
      <c r="V1289" s="14">
        <f>IFERROR(__xludf.DUMMYFUNCTION("""COMPUTED_VALUE"""),0.031)</f>
        <v>0.031</v>
      </c>
      <c r="W1289" s="14">
        <f>IFERROR(__xludf.DUMMYFUNCTION("""COMPUTED_VALUE"""),1906231.0)</f>
        <v>1906231</v>
      </c>
      <c r="X1289" s="14">
        <f>IFERROR(__xludf.DUMMYFUNCTION("""COMPUTED_VALUE"""),0.981)</f>
        <v>0.981</v>
      </c>
      <c r="Y1289" s="14" t="str">
        <f>IFERROR(__xludf.DUMMYFUNCTION("""COMPUTED_VALUE"""),"Kuwait-Middle East")</f>
        <v>Kuwait-Middle East</v>
      </c>
      <c r="Z1289" s="14" t="str">
        <f>IFERROR(__xludf.DUMMYFUNCTION("""COMPUTED_VALUE"""),"Middle East")</f>
        <v>Middle East</v>
      </c>
      <c r="AA1289" s="14" t="str">
        <f>IFERROR(__xludf.DUMMYFUNCTION("""COMPUTED_VALUE"""),"2000")</f>
        <v>2000</v>
      </c>
      <c r="AB1289" s="15" t="str">
        <f>IFERROR(__xludf.DUMMYFUNCTION("ARRAYFORMULA(VLOOKUP(A1289,IMPORTRANGE(""https://docs.google.com/spreadsheets/d/1BuTWp7qHGjWhqrnf-OmePP568O4A5Am9ttzvVdP67zw/edit#gid=1931367683"" ,""ENERGY!$A$2:$F$2692""), {2,3,4,5,6},0))"),"Middle East")</f>
        <v>Middle East</v>
      </c>
      <c r="AC1289" s="14" t="str">
        <f>IFERROR(__xludf.DUMMYFUNCTION("""COMPUTED_VALUE"""),"Kuwait-Middle East")</f>
        <v>Kuwait-Middle East</v>
      </c>
      <c r="AD1289" s="14" t="str">
        <f>IFERROR(__xludf.DUMMYFUNCTION("""COMPUTED_VALUE"""),"2000")</f>
        <v>2000</v>
      </c>
      <c r="AE1289" s="14"/>
      <c r="AF1289" s="14"/>
    </row>
    <row r="1290">
      <c r="A1290" s="12">
        <v>1289.0</v>
      </c>
      <c r="B1290" s="12" t="s">
        <v>178</v>
      </c>
      <c r="C1290" s="5" t="s">
        <v>93</v>
      </c>
      <c r="D1290" s="8"/>
      <c r="E1290" s="8"/>
      <c r="F1290" s="8"/>
      <c r="G1290" s="8"/>
      <c r="H1290" s="11">
        <v>0.086</v>
      </c>
      <c r="I1290" s="11">
        <v>0.443</v>
      </c>
      <c r="J1290" s="9" t="s">
        <v>62</v>
      </c>
      <c r="K1290" s="14" t="str">
        <f>IFERROR(__xludf.DUMMYFUNCTION("ARRAYFORMULA(VLOOKUP(A1290,IMPORTRANGE(""https://docs.google.com/spreadsheets/d/1BuTWp7qHGjWhqrnf-OmePP568O4A5Am9ttzvVdP67zw/edit#gid=1603210130"", ""TOURISM!$A$2:$F$2692""), {2,3,4,5,6},0))"),"Middle East")</f>
        <v>Middle East</v>
      </c>
      <c r="L1290" s="14">
        <f>IFERROR(__xludf.DUMMYFUNCTION("""COMPUTED_VALUE"""),2.86E8)</f>
        <v>286000000</v>
      </c>
      <c r="M1290" s="14" t="str">
        <f>IFERROR(__xludf.DUMMYFUNCTION("""COMPUTED_VALUE"""),"Kuwait-Middle East")</f>
        <v>Kuwait-Middle East</v>
      </c>
      <c r="N1290" s="14" t="str">
        <f>IFERROR(__xludf.DUMMYFUNCTION("""COMPUTED_VALUE"""),"2001")</f>
        <v>2001</v>
      </c>
      <c r="O1290" s="14">
        <f>IFERROR(__xludf.DUMMYFUNCTION("""COMPUTED_VALUE"""),3.207E9)</f>
        <v>3207000000</v>
      </c>
      <c r="P1290" s="15">
        <f>IFERROR(__xludf.DUMMYFUNCTION("ARRAYFORMULA(VLOOKUP(A1290,IMPORTRANGE(""https://docs.google.com/spreadsheets/d/1BuTWp7qHGjWhqrnf-OmePP568O4A5Am9ttzvVdP67zw/edit#gid=771602874"" ,""HUMAN RESOURCES!$A$2:$M$2692""), {2,3,4,5,6,7,8,9,10,11,12,13},0))"),0.023)</f>
        <v>0.023</v>
      </c>
      <c r="Q1290" s="14">
        <f>IFERROR(__xludf.DUMMYFUNCTION("""COMPUTED_VALUE"""),0.011)</f>
        <v>0.011</v>
      </c>
      <c r="R1290" s="14">
        <f>IFERROR(__xludf.DUMMYFUNCTION("""COMPUTED_VALUE"""),74.0)</f>
        <v>74</v>
      </c>
      <c r="S1290" s="14">
        <f>IFERROR(__xludf.DUMMYFUNCTION("""COMPUTED_VALUE"""),73.0)</f>
        <v>73</v>
      </c>
      <c r="T1290" s="14">
        <f>IFERROR(__xludf.DUMMYFUNCTION("""COMPUTED_VALUE"""),0.257)</f>
        <v>0.257</v>
      </c>
      <c r="U1290" s="14">
        <f>IFERROR(__xludf.DUMMYFUNCTION("""COMPUTED_VALUE"""),0.711)</f>
        <v>0.711</v>
      </c>
      <c r="V1290" s="14">
        <f>IFERROR(__xludf.DUMMYFUNCTION("""COMPUTED_VALUE"""),0.033)</f>
        <v>0.033</v>
      </c>
      <c r="W1290" s="14">
        <f>IFERROR(__xludf.DUMMYFUNCTION("""COMPUTED_VALUE"""),1980604.0)</f>
        <v>1980604</v>
      </c>
      <c r="X1290" s="14">
        <f>IFERROR(__xludf.DUMMYFUNCTION("""COMPUTED_VALUE"""),0.981)</f>
        <v>0.981</v>
      </c>
      <c r="Y1290" s="14" t="str">
        <f>IFERROR(__xludf.DUMMYFUNCTION("""COMPUTED_VALUE"""),"Kuwait-Middle East")</f>
        <v>Kuwait-Middle East</v>
      </c>
      <c r="Z1290" s="14" t="str">
        <f>IFERROR(__xludf.DUMMYFUNCTION("""COMPUTED_VALUE"""),"Middle East")</f>
        <v>Middle East</v>
      </c>
      <c r="AA1290" s="14" t="str">
        <f>IFERROR(__xludf.DUMMYFUNCTION("""COMPUTED_VALUE"""),"2001")</f>
        <v>2001</v>
      </c>
      <c r="AB1290" s="15" t="str">
        <f>IFERROR(__xludf.DUMMYFUNCTION("ARRAYFORMULA(VLOOKUP(A1290,IMPORTRANGE(""https://docs.google.com/spreadsheets/d/1BuTWp7qHGjWhqrnf-OmePP568O4A5Am9ttzvVdP67zw/edit#gid=1931367683"" ,""ENERGY!$A$2:$F$2692""), {2,3,4,5,6},0))"),"Middle East")</f>
        <v>Middle East</v>
      </c>
      <c r="AC1290" s="14" t="str">
        <f>IFERROR(__xludf.DUMMYFUNCTION("""COMPUTED_VALUE"""),"Kuwait-Middle East")</f>
        <v>Kuwait-Middle East</v>
      </c>
      <c r="AD1290" s="14" t="str">
        <f>IFERROR(__xludf.DUMMYFUNCTION("""COMPUTED_VALUE"""),"2001")</f>
        <v>2001</v>
      </c>
      <c r="AE1290" s="14">
        <f>IFERROR(__xludf.DUMMYFUNCTION("""COMPUTED_VALUE"""),32523.0)</f>
        <v>32523</v>
      </c>
      <c r="AF1290" s="14"/>
    </row>
    <row r="1291">
      <c r="A1291" s="12">
        <v>1290.0</v>
      </c>
      <c r="B1291" s="12" t="s">
        <v>178</v>
      </c>
      <c r="C1291" s="5" t="s">
        <v>93</v>
      </c>
      <c r="D1291" s="8"/>
      <c r="E1291" s="8"/>
      <c r="F1291" s="8"/>
      <c r="G1291" s="8"/>
      <c r="H1291" s="11">
        <v>0.102</v>
      </c>
      <c r="I1291" s="11">
        <v>0.599</v>
      </c>
      <c r="J1291" s="9" t="s">
        <v>63</v>
      </c>
      <c r="K1291" s="14" t="str">
        <f>IFERROR(__xludf.DUMMYFUNCTION("ARRAYFORMULA(VLOOKUP(A1291,IMPORTRANGE(""https://docs.google.com/spreadsheets/d/1BuTWp7qHGjWhqrnf-OmePP568O4A5Am9ttzvVdP67zw/edit#gid=1603210130"", ""TOURISM!$A$2:$F$2692""), {2,3,4,5,6},0))"),"Middle East")</f>
        <v>Middle East</v>
      </c>
      <c r="L1291" s="14">
        <f>IFERROR(__xludf.DUMMYFUNCTION("""COMPUTED_VALUE"""),3.2E8)</f>
        <v>320000000</v>
      </c>
      <c r="M1291" s="14" t="str">
        <f>IFERROR(__xludf.DUMMYFUNCTION("""COMPUTED_VALUE"""),"Kuwait-Middle East")</f>
        <v>Kuwait-Middle East</v>
      </c>
      <c r="N1291" s="14" t="str">
        <f>IFERROR(__xludf.DUMMYFUNCTION("""COMPUTED_VALUE"""),"2002")</f>
        <v>2002</v>
      </c>
      <c r="O1291" s="14">
        <f>IFERROR(__xludf.DUMMYFUNCTION("""COMPUTED_VALUE"""),3.412E9)</f>
        <v>3412000000</v>
      </c>
      <c r="P1291" s="15">
        <f>IFERROR(__xludf.DUMMYFUNCTION("ARRAYFORMULA(VLOOKUP(A1291,IMPORTRANGE(""https://docs.google.com/spreadsheets/d/1BuTWp7qHGjWhqrnf-OmePP568O4A5Am9ttzvVdP67zw/edit#gid=771602874"" ,""HUMAN RESOURCES!$A$2:$M$2692""), {2,3,4,5,6,7,8,9,10,11,12,13},0))"),0.022)</f>
        <v>0.022</v>
      </c>
      <c r="Q1291" s="14">
        <f>IFERROR(__xludf.DUMMYFUNCTION("""COMPUTED_VALUE"""),0.011)</f>
        <v>0.011</v>
      </c>
      <c r="R1291" s="14">
        <f>IFERROR(__xludf.DUMMYFUNCTION("""COMPUTED_VALUE"""),74.0)</f>
        <v>74</v>
      </c>
      <c r="S1291" s="14">
        <f>IFERROR(__xludf.DUMMYFUNCTION("""COMPUTED_VALUE"""),73.0)</f>
        <v>73</v>
      </c>
      <c r="T1291" s="14">
        <f>IFERROR(__xludf.DUMMYFUNCTION("""COMPUTED_VALUE"""),0.256)</f>
        <v>0.256</v>
      </c>
      <c r="U1291" s="14">
        <f>IFERROR(__xludf.DUMMYFUNCTION("""COMPUTED_VALUE"""),0.71)</f>
        <v>0.71</v>
      </c>
      <c r="V1291" s="14">
        <f>IFERROR(__xludf.DUMMYFUNCTION("""COMPUTED_VALUE"""),0.034)</f>
        <v>0.034</v>
      </c>
      <c r="W1291" s="14">
        <f>IFERROR(__xludf.DUMMYFUNCTION("""COMPUTED_VALUE"""),2048232.0)</f>
        <v>2048232</v>
      </c>
      <c r="X1291" s="14">
        <f>IFERROR(__xludf.DUMMYFUNCTION("""COMPUTED_VALUE"""),0.981)</f>
        <v>0.981</v>
      </c>
      <c r="Y1291" s="14" t="str">
        <f>IFERROR(__xludf.DUMMYFUNCTION("""COMPUTED_VALUE"""),"Kuwait-Middle East")</f>
        <v>Kuwait-Middle East</v>
      </c>
      <c r="Z1291" s="14" t="str">
        <f>IFERROR(__xludf.DUMMYFUNCTION("""COMPUTED_VALUE"""),"Middle East")</f>
        <v>Middle East</v>
      </c>
      <c r="AA1291" s="14" t="str">
        <f>IFERROR(__xludf.DUMMYFUNCTION("""COMPUTED_VALUE"""),"2002")</f>
        <v>2002</v>
      </c>
      <c r="AB1291" s="15" t="str">
        <f>IFERROR(__xludf.DUMMYFUNCTION("ARRAYFORMULA(VLOOKUP(A1291,IMPORTRANGE(""https://docs.google.com/spreadsheets/d/1BuTWp7qHGjWhqrnf-OmePP568O4A5Am9ttzvVdP67zw/edit#gid=1931367683"" ,""ENERGY!$A$2:$F$2692""), {2,3,4,5,6},0))"),"Middle East")</f>
        <v>Middle East</v>
      </c>
      <c r="AC1291" s="14" t="str">
        <f>IFERROR(__xludf.DUMMYFUNCTION("""COMPUTED_VALUE"""),"Kuwait-Middle East")</f>
        <v>Kuwait-Middle East</v>
      </c>
      <c r="AD1291" s="14" t="str">
        <f>IFERROR(__xludf.DUMMYFUNCTION("""COMPUTED_VALUE"""),"2002")</f>
        <v>2002</v>
      </c>
      <c r="AE1291" s="14">
        <f>IFERROR(__xludf.DUMMYFUNCTION("""COMPUTED_VALUE"""),32586.0)</f>
        <v>32586</v>
      </c>
      <c r="AF1291" s="14">
        <f>IFERROR(__xludf.DUMMYFUNCTION("""COMPUTED_VALUE"""),93696.0)</f>
        <v>93696</v>
      </c>
    </row>
    <row r="1292">
      <c r="A1292" s="12">
        <v>1291.0</v>
      </c>
      <c r="B1292" s="12" t="s">
        <v>178</v>
      </c>
      <c r="C1292" s="5" t="s">
        <v>93</v>
      </c>
      <c r="D1292" s="8"/>
      <c r="E1292" s="11">
        <v>35.0</v>
      </c>
      <c r="F1292" s="8"/>
      <c r="G1292" s="8"/>
      <c r="H1292" s="11">
        <v>0.224</v>
      </c>
      <c r="I1292" s="11">
        <v>0.671</v>
      </c>
      <c r="J1292" s="9" t="s">
        <v>64</v>
      </c>
      <c r="K1292" s="14" t="str">
        <f>IFERROR(__xludf.DUMMYFUNCTION("ARRAYFORMULA(VLOOKUP(A1292,IMPORTRANGE(""https://docs.google.com/spreadsheets/d/1BuTWp7qHGjWhqrnf-OmePP568O4A5Am9ttzvVdP67zw/edit#gid=1603210130"", ""TOURISM!$A$2:$F$2692""), {2,3,4,5,6},0))"),"Middle East")</f>
        <v>Middle East</v>
      </c>
      <c r="L1292" s="14">
        <f>IFERROR(__xludf.DUMMYFUNCTION("""COMPUTED_VALUE"""),3.28E8)</f>
        <v>328000000</v>
      </c>
      <c r="M1292" s="14" t="str">
        <f>IFERROR(__xludf.DUMMYFUNCTION("""COMPUTED_VALUE"""),"Kuwait-Middle East")</f>
        <v>Kuwait-Middle East</v>
      </c>
      <c r="N1292" s="14" t="str">
        <f>IFERROR(__xludf.DUMMYFUNCTION("""COMPUTED_VALUE"""),"2003")</f>
        <v>2003</v>
      </c>
      <c r="O1292" s="14">
        <f>IFERROR(__xludf.DUMMYFUNCTION("""COMPUTED_VALUE"""),3.75E9)</f>
        <v>3750000000</v>
      </c>
      <c r="P1292" s="15">
        <f>IFERROR(__xludf.DUMMYFUNCTION("ARRAYFORMULA(VLOOKUP(A1292,IMPORTRANGE(""https://docs.google.com/spreadsheets/d/1BuTWp7qHGjWhqrnf-OmePP568O4A5Am9ttzvVdP67zw/edit#gid=771602874"" ,""HUMAN RESOURCES!$A$2:$M$2692""), {2,3,4,5,6,7,8,9,10,11,12,13},0))"),0.022)</f>
        <v>0.022</v>
      </c>
      <c r="Q1292" s="14">
        <f>IFERROR(__xludf.DUMMYFUNCTION("""COMPUTED_VALUE"""),0.01)</f>
        <v>0.01</v>
      </c>
      <c r="R1292" s="14">
        <f>IFERROR(__xludf.DUMMYFUNCTION("""COMPUTED_VALUE"""),75.0)</f>
        <v>75</v>
      </c>
      <c r="S1292" s="14">
        <f>IFERROR(__xludf.DUMMYFUNCTION("""COMPUTED_VALUE"""),73.0)</f>
        <v>73</v>
      </c>
      <c r="T1292" s="14">
        <f>IFERROR(__xludf.DUMMYFUNCTION("""COMPUTED_VALUE"""),0.256)</f>
        <v>0.256</v>
      </c>
      <c r="U1292" s="14">
        <f>IFERROR(__xludf.DUMMYFUNCTION("""COMPUTED_VALUE"""),0.71)</f>
        <v>0.71</v>
      </c>
      <c r="V1292" s="14">
        <f>IFERROR(__xludf.DUMMYFUNCTION("""COMPUTED_VALUE"""),0.034)</f>
        <v>0.034</v>
      </c>
      <c r="W1292" s="14">
        <f>IFERROR(__xludf.DUMMYFUNCTION("""COMPUTED_VALUE"""),2116353.0)</f>
        <v>2116353</v>
      </c>
      <c r="X1292" s="14">
        <f>IFERROR(__xludf.DUMMYFUNCTION("""COMPUTED_VALUE"""),0.982)</f>
        <v>0.982</v>
      </c>
      <c r="Y1292" s="14" t="str">
        <f>IFERROR(__xludf.DUMMYFUNCTION("""COMPUTED_VALUE"""),"Kuwait-Middle East")</f>
        <v>Kuwait-Middle East</v>
      </c>
      <c r="Z1292" s="14" t="str">
        <f>IFERROR(__xludf.DUMMYFUNCTION("""COMPUTED_VALUE"""),"Middle East")</f>
        <v>Middle East</v>
      </c>
      <c r="AA1292" s="14" t="str">
        <f>IFERROR(__xludf.DUMMYFUNCTION("""COMPUTED_VALUE"""),"2003")</f>
        <v>2003</v>
      </c>
      <c r="AB1292" s="15" t="str">
        <f>IFERROR(__xludf.DUMMYFUNCTION("ARRAYFORMULA(VLOOKUP(A1292,IMPORTRANGE(""https://docs.google.com/spreadsheets/d/1BuTWp7qHGjWhqrnf-OmePP568O4A5Am9ttzvVdP67zw/edit#gid=1931367683"" ,""ENERGY!$A$2:$F$2692""), {2,3,4,5,6},0))"),"Middle East")</f>
        <v>Middle East</v>
      </c>
      <c r="AC1292" s="14" t="str">
        <f>IFERROR(__xludf.DUMMYFUNCTION("""COMPUTED_VALUE"""),"Kuwait-Middle East")</f>
        <v>Kuwait-Middle East</v>
      </c>
      <c r="AD1292" s="14" t="str">
        <f>IFERROR(__xludf.DUMMYFUNCTION("""COMPUTED_VALUE"""),"2003")</f>
        <v>2003</v>
      </c>
      <c r="AE1292" s="14">
        <f>IFERROR(__xludf.DUMMYFUNCTION("""COMPUTED_VALUE"""),30815.0)</f>
        <v>30815</v>
      </c>
      <c r="AF1292" s="14">
        <f>IFERROR(__xludf.DUMMYFUNCTION("""COMPUTED_VALUE"""),81869.0)</f>
        <v>81869</v>
      </c>
    </row>
    <row r="1293">
      <c r="A1293" s="12">
        <v>1292.0</v>
      </c>
      <c r="B1293" s="12" t="s">
        <v>178</v>
      </c>
      <c r="C1293" s="5" t="s">
        <v>93</v>
      </c>
      <c r="D1293" s="8"/>
      <c r="E1293" s="11">
        <v>35.0</v>
      </c>
      <c r="F1293" s="8"/>
      <c r="G1293" s="8"/>
      <c r="H1293" s="11">
        <v>0.229</v>
      </c>
      <c r="I1293" s="11">
        <v>0.808</v>
      </c>
      <c r="J1293" s="9" t="s">
        <v>65</v>
      </c>
      <c r="K1293" s="14" t="str">
        <f>IFERROR(__xludf.DUMMYFUNCTION("ARRAYFORMULA(VLOOKUP(A1293,IMPORTRANGE(""https://docs.google.com/spreadsheets/d/1BuTWp7qHGjWhqrnf-OmePP568O4A5Am9ttzvVdP67zw/edit#gid=1603210130"", ""TOURISM!$A$2:$F$2692""), {2,3,4,5,6},0))"),"Middle East")</f>
        <v>Middle East</v>
      </c>
      <c r="L1293" s="14">
        <f>IFERROR(__xludf.DUMMYFUNCTION("""COMPUTED_VALUE"""),3.98E8)</f>
        <v>398000000</v>
      </c>
      <c r="M1293" s="14" t="str">
        <f>IFERROR(__xludf.DUMMYFUNCTION("""COMPUTED_VALUE"""),"Kuwait-Middle East")</f>
        <v>Kuwait-Middle East</v>
      </c>
      <c r="N1293" s="14" t="str">
        <f>IFERROR(__xludf.DUMMYFUNCTION("""COMPUTED_VALUE"""),"2004")</f>
        <v>2004</v>
      </c>
      <c r="O1293" s="14">
        <f>IFERROR(__xludf.DUMMYFUNCTION("""COMPUTED_VALUE"""),4.147E9)</f>
        <v>4147000000</v>
      </c>
      <c r="P1293" s="15">
        <f>IFERROR(__xludf.DUMMYFUNCTION("ARRAYFORMULA(VLOOKUP(A1293,IMPORTRANGE(""https://docs.google.com/spreadsheets/d/1BuTWp7qHGjWhqrnf-OmePP568O4A5Am9ttzvVdP67zw/edit#gid=771602874"" ,""HUMAN RESOURCES!$A$2:$M$2692""), {2,3,4,5,6,7,8,9,10,11,12,13},0))"),0.021)</f>
        <v>0.021</v>
      </c>
      <c r="Q1293" s="14">
        <f>IFERROR(__xludf.DUMMYFUNCTION("""COMPUTED_VALUE"""),0.01)</f>
        <v>0.01</v>
      </c>
      <c r="R1293" s="14">
        <f>IFERROR(__xludf.DUMMYFUNCTION("""COMPUTED_VALUE"""),75.0)</f>
        <v>75</v>
      </c>
      <c r="S1293" s="14">
        <f>IFERROR(__xludf.DUMMYFUNCTION("""COMPUTED_VALUE"""),73.0)</f>
        <v>73</v>
      </c>
      <c r="T1293" s="14">
        <f>IFERROR(__xludf.DUMMYFUNCTION("""COMPUTED_VALUE"""),0.255)</f>
        <v>0.255</v>
      </c>
      <c r="U1293" s="14">
        <f>IFERROR(__xludf.DUMMYFUNCTION("""COMPUTED_VALUE"""),0.711)</f>
        <v>0.711</v>
      </c>
      <c r="V1293" s="14">
        <f>IFERROR(__xludf.DUMMYFUNCTION("""COMPUTED_VALUE"""),0.034)</f>
        <v>0.034</v>
      </c>
      <c r="W1293" s="14">
        <f>IFERROR(__xludf.DUMMYFUNCTION("""COMPUTED_VALUE"""),2196466.0)</f>
        <v>2196466</v>
      </c>
      <c r="X1293" s="14">
        <f>IFERROR(__xludf.DUMMYFUNCTION("""COMPUTED_VALUE"""),0.982)</f>
        <v>0.982</v>
      </c>
      <c r="Y1293" s="14" t="str">
        <f>IFERROR(__xludf.DUMMYFUNCTION("""COMPUTED_VALUE"""),"Kuwait-Middle East")</f>
        <v>Kuwait-Middle East</v>
      </c>
      <c r="Z1293" s="14" t="str">
        <f>IFERROR(__xludf.DUMMYFUNCTION("""COMPUTED_VALUE"""),"Middle East")</f>
        <v>Middle East</v>
      </c>
      <c r="AA1293" s="14" t="str">
        <f>IFERROR(__xludf.DUMMYFUNCTION("""COMPUTED_VALUE"""),"2004")</f>
        <v>2004</v>
      </c>
      <c r="AB1293" s="15" t="str">
        <f>IFERROR(__xludf.DUMMYFUNCTION("ARRAYFORMULA(VLOOKUP(A1293,IMPORTRANGE(""https://docs.google.com/spreadsheets/d/1BuTWp7qHGjWhqrnf-OmePP568O4A5Am9ttzvVdP67zw/edit#gid=1931367683"" ,""ENERGY!$A$2:$F$2692""), {2,3,4,5,6},0))"),"Middle East")</f>
        <v>Middle East</v>
      </c>
      <c r="AC1293" s="14" t="str">
        <f>IFERROR(__xludf.DUMMYFUNCTION("""COMPUTED_VALUE"""),"Kuwait-Middle East")</f>
        <v>Kuwait-Middle East</v>
      </c>
      <c r="AD1293" s="14" t="str">
        <f>IFERROR(__xludf.DUMMYFUNCTION("""COMPUTED_VALUE"""),"2004")</f>
        <v>2004</v>
      </c>
      <c r="AE1293" s="14">
        <f>IFERROR(__xludf.DUMMYFUNCTION("""COMPUTED_VALUE"""),28843.0)</f>
        <v>28843</v>
      </c>
      <c r="AF1293" s="14">
        <f>IFERROR(__xludf.DUMMYFUNCTION("""COMPUTED_VALUE"""),79959.0)</f>
        <v>79959</v>
      </c>
    </row>
    <row r="1294">
      <c r="A1294" s="12">
        <v>1293.0</v>
      </c>
      <c r="B1294" s="12" t="s">
        <v>178</v>
      </c>
      <c r="C1294" s="5" t="s">
        <v>93</v>
      </c>
      <c r="D1294" s="11">
        <v>0.107</v>
      </c>
      <c r="E1294" s="11">
        <v>35.0</v>
      </c>
      <c r="F1294" s="8"/>
      <c r="G1294" s="11">
        <v>98.0</v>
      </c>
      <c r="H1294" s="11">
        <v>0.259</v>
      </c>
      <c r="I1294" s="11">
        <v>0.602</v>
      </c>
      <c r="J1294" s="9" t="s">
        <v>66</v>
      </c>
      <c r="K1294" s="14" t="str">
        <f>IFERROR(__xludf.DUMMYFUNCTION("ARRAYFORMULA(VLOOKUP(A1294,IMPORTRANGE(""https://docs.google.com/spreadsheets/d/1BuTWp7qHGjWhqrnf-OmePP568O4A5Am9ttzvVdP67zw/edit#gid=1603210130"", ""TOURISM!$A$2:$F$2692""), {2,3,4,5,6},0))"),"Middle East")</f>
        <v>Middle East</v>
      </c>
      <c r="L1294" s="14">
        <f>IFERROR(__xludf.DUMMYFUNCTION("""COMPUTED_VALUE"""),4.13E8)</f>
        <v>413000000</v>
      </c>
      <c r="M1294" s="14" t="str">
        <f>IFERROR(__xludf.DUMMYFUNCTION("""COMPUTED_VALUE"""),"Kuwait-Middle East")</f>
        <v>Kuwait-Middle East</v>
      </c>
      <c r="N1294" s="14" t="str">
        <f>IFERROR(__xludf.DUMMYFUNCTION("""COMPUTED_VALUE"""),"2005")</f>
        <v>2005</v>
      </c>
      <c r="O1294" s="14">
        <f>IFERROR(__xludf.DUMMYFUNCTION("""COMPUTED_VALUE"""),4.997E9)</f>
        <v>4997000000</v>
      </c>
      <c r="P1294" s="15">
        <f>IFERROR(__xludf.DUMMYFUNCTION("ARRAYFORMULA(VLOOKUP(A1294,IMPORTRANGE(""https://docs.google.com/spreadsheets/d/1BuTWp7qHGjWhqrnf-OmePP568O4A5Am9ttzvVdP67zw/edit#gid=771602874"" ,""HUMAN RESOURCES!$A$2:$M$2692""), {2,3,4,5,6,7,8,9,10,11,12,13},0))"),0.021)</f>
        <v>0.021</v>
      </c>
      <c r="Q1294" s="14">
        <f>IFERROR(__xludf.DUMMYFUNCTION("""COMPUTED_VALUE"""),0.01)</f>
        <v>0.01</v>
      </c>
      <c r="R1294" s="14">
        <f>IFERROR(__xludf.DUMMYFUNCTION("""COMPUTED_VALUE"""),75.0)</f>
        <v>75</v>
      </c>
      <c r="S1294" s="14">
        <f>IFERROR(__xludf.DUMMYFUNCTION("""COMPUTED_VALUE"""),73.0)</f>
        <v>73</v>
      </c>
      <c r="T1294" s="14">
        <f>IFERROR(__xludf.DUMMYFUNCTION("""COMPUTED_VALUE"""),0.255)</f>
        <v>0.255</v>
      </c>
      <c r="U1294" s="14">
        <f>IFERROR(__xludf.DUMMYFUNCTION("""COMPUTED_VALUE"""),0.712)</f>
        <v>0.712</v>
      </c>
      <c r="V1294" s="14">
        <f>IFERROR(__xludf.DUMMYFUNCTION("""COMPUTED_VALUE"""),0.033)</f>
        <v>0.033</v>
      </c>
      <c r="W1294" s="14">
        <f>IFERROR(__xludf.DUMMYFUNCTION("""COMPUTED_VALUE"""),2296314.0)</f>
        <v>2296314</v>
      </c>
      <c r="X1294" s="14">
        <f>IFERROR(__xludf.DUMMYFUNCTION("""COMPUTED_VALUE"""),0.982)</f>
        <v>0.982</v>
      </c>
      <c r="Y1294" s="14" t="str">
        <f>IFERROR(__xludf.DUMMYFUNCTION("""COMPUTED_VALUE"""),"Kuwait-Middle East")</f>
        <v>Kuwait-Middle East</v>
      </c>
      <c r="Z1294" s="14" t="str">
        <f>IFERROR(__xludf.DUMMYFUNCTION("""COMPUTED_VALUE"""),"Middle East")</f>
        <v>Middle East</v>
      </c>
      <c r="AA1294" s="14" t="str">
        <f>IFERROR(__xludf.DUMMYFUNCTION("""COMPUTED_VALUE"""),"2005")</f>
        <v>2005</v>
      </c>
      <c r="AB1294" s="15" t="str">
        <f>IFERROR(__xludf.DUMMYFUNCTION("ARRAYFORMULA(VLOOKUP(A1294,IMPORTRANGE(""https://docs.google.com/spreadsheets/d/1BuTWp7qHGjWhqrnf-OmePP568O4A5Am9ttzvVdP67zw/edit#gid=1931367683"" ,""ENERGY!$A$2:$F$2692""), {2,3,4,5,6},0))"),"Middle East")</f>
        <v>Middle East</v>
      </c>
      <c r="AC1294" s="14" t="str">
        <f>IFERROR(__xludf.DUMMYFUNCTION("""COMPUTED_VALUE"""),"Kuwait-Middle East")</f>
        <v>Kuwait-Middle East</v>
      </c>
      <c r="AD1294" s="14" t="str">
        <f>IFERROR(__xludf.DUMMYFUNCTION("""COMPUTED_VALUE"""),"2007")</f>
        <v>2007</v>
      </c>
      <c r="AE1294" s="14">
        <f>IFERROR(__xludf.DUMMYFUNCTION("""COMPUTED_VALUE"""),26389.0)</f>
        <v>26389</v>
      </c>
      <c r="AF1294" s="14">
        <f>IFERROR(__xludf.DUMMYFUNCTION("""COMPUTED_VALUE"""),75236.0)</f>
        <v>75236</v>
      </c>
    </row>
    <row r="1295">
      <c r="A1295" s="12">
        <v>1294.0</v>
      </c>
      <c r="B1295" s="12" t="s">
        <v>178</v>
      </c>
      <c r="C1295" s="5" t="s">
        <v>93</v>
      </c>
      <c r="D1295" s="11">
        <v>0.107</v>
      </c>
      <c r="E1295" s="11">
        <v>35.0</v>
      </c>
      <c r="F1295" s="8"/>
      <c r="G1295" s="11">
        <v>98.0</v>
      </c>
      <c r="H1295" s="11">
        <v>0.288</v>
      </c>
      <c r="I1295" s="11">
        <v>0.488</v>
      </c>
      <c r="J1295" s="9" t="s">
        <v>67</v>
      </c>
      <c r="K1295" s="14" t="str">
        <f>IFERROR(__xludf.DUMMYFUNCTION("ARRAYFORMULA(VLOOKUP(A1295,IMPORTRANGE(""https://docs.google.com/spreadsheets/d/1BuTWp7qHGjWhqrnf-OmePP568O4A5Am9ttzvVdP67zw/edit#gid=1603210130"", ""TOURISM!$A$2:$F$2692""), {2,3,4,5,6},0))"),"Middle East")</f>
        <v>Middle East</v>
      </c>
      <c r="L1295" s="14">
        <f>IFERROR(__xludf.DUMMYFUNCTION("""COMPUTED_VALUE"""),5.08E8)</f>
        <v>508000000</v>
      </c>
      <c r="M1295" s="14" t="str">
        <f>IFERROR(__xludf.DUMMYFUNCTION("""COMPUTED_VALUE"""),"Kuwait-Middle East")</f>
        <v>Kuwait-Middle East</v>
      </c>
      <c r="N1295" s="14" t="str">
        <f>IFERROR(__xludf.DUMMYFUNCTION("""COMPUTED_VALUE"""),"2006")</f>
        <v>2006</v>
      </c>
      <c r="O1295" s="14">
        <f>IFERROR(__xludf.DUMMYFUNCTION("""COMPUTED_VALUE"""),6.074E9)</f>
        <v>6074000000</v>
      </c>
      <c r="P1295" s="15">
        <f>IFERROR(__xludf.DUMMYFUNCTION("ARRAYFORMULA(VLOOKUP(A1295,IMPORTRANGE(""https://docs.google.com/spreadsheets/d/1BuTWp7qHGjWhqrnf-OmePP568O4A5Am9ttzvVdP67zw/edit#gid=771602874"" ,""HUMAN RESOURCES!$A$2:$M$2692""), {2,3,4,5,6,7,8,9,10,11,12,13},0))"),0.021)</f>
        <v>0.021</v>
      </c>
      <c r="Q1295" s="14">
        <f>IFERROR(__xludf.DUMMYFUNCTION("""COMPUTED_VALUE"""),0.01)</f>
        <v>0.01</v>
      </c>
      <c r="R1295" s="14">
        <f>IFERROR(__xludf.DUMMYFUNCTION("""COMPUTED_VALUE"""),75.0)</f>
        <v>75</v>
      </c>
      <c r="S1295" s="14">
        <f>IFERROR(__xludf.DUMMYFUNCTION("""COMPUTED_VALUE"""),73.0)</f>
        <v>73</v>
      </c>
      <c r="T1295" s="14">
        <f>IFERROR(__xludf.DUMMYFUNCTION("""COMPUTED_VALUE"""),0.255)</f>
        <v>0.255</v>
      </c>
      <c r="U1295" s="14">
        <f>IFERROR(__xludf.DUMMYFUNCTION("""COMPUTED_VALUE"""),0.715)</f>
        <v>0.715</v>
      </c>
      <c r="V1295" s="14">
        <f>IFERROR(__xludf.DUMMYFUNCTION("""COMPUTED_VALUE"""),0.031)</f>
        <v>0.031</v>
      </c>
      <c r="W1295" s="14">
        <f>IFERROR(__xludf.DUMMYFUNCTION("""COMPUTED_VALUE"""),2417445.0)</f>
        <v>2417445</v>
      </c>
      <c r="X1295" s="14">
        <f>IFERROR(__xludf.DUMMYFUNCTION("""COMPUTED_VALUE"""),0.982)</f>
        <v>0.982</v>
      </c>
      <c r="Y1295" s="14" t="str">
        <f>IFERROR(__xludf.DUMMYFUNCTION("""COMPUTED_VALUE"""),"Kuwait-Middle East")</f>
        <v>Kuwait-Middle East</v>
      </c>
      <c r="Z1295" s="14" t="str">
        <f>IFERROR(__xludf.DUMMYFUNCTION("""COMPUTED_VALUE"""),"Middle East")</f>
        <v>Middle East</v>
      </c>
      <c r="AA1295" s="14" t="str">
        <f>IFERROR(__xludf.DUMMYFUNCTION("""COMPUTED_VALUE"""),"2006")</f>
        <v>2006</v>
      </c>
      <c r="AB1295" s="15" t="str">
        <f>IFERROR(__xludf.DUMMYFUNCTION("ARRAYFORMULA(VLOOKUP(A1295,IMPORTRANGE(""https://docs.google.com/spreadsheets/d/1BuTWp7qHGjWhqrnf-OmePP568O4A5Am9ttzvVdP67zw/edit#gid=1931367683"" ,""ENERGY!$A$2:$F$2692""), {2,3,4,5,6},0))"),"Middle East")</f>
        <v>Middle East</v>
      </c>
      <c r="AC1295" s="14" t="str">
        <f>IFERROR(__xludf.DUMMYFUNCTION("""COMPUTED_VALUE"""),"Kuwait-Middle East")</f>
        <v>Kuwait-Middle East</v>
      </c>
      <c r="AD1295" s="14" t="str">
        <f>IFERROR(__xludf.DUMMYFUNCTION("""COMPUTED_VALUE"""),"2011")</f>
        <v>2011</v>
      </c>
      <c r="AE1295" s="14">
        <f>IFERROR(__xludf.DUMMYFUNCTION("""COMPUTED_VALUE"""),25780.0)</f>
        <v>25780</v>
      </c>
      <c r="AF1295" s="14">
        <f>IFERROR(__xludf.DUMMYFUNCTION("""COMPUTED_VALUE"""),73769.0)</f>
        <v>73769</v>
      </c>
    </row>
    <row r="1296">
      <c r="A1296" s="12">
        <v>1295.0</v>
      </c>
      <c r="B1296" s="12" t="s">
        <v>178</v>
      </c>
      <c r="C1296" s="5" t="s">
        <v>93</v>
      </c>
      <c r="D1296" s="11">
        <v>0.107</v>
      </c>
      <c r="E1296" s="11">
        <v>35.0</v>
      </c>
      <c r="F1296" s="8"/>
      <c r="G1296" s="11">
        <v>98.0</v>
      </c>
      <c r="H1296" s="11">
        <v>0.348</v>
      </c>
      <c r="I1296" s="11">
        <v>0.558</v>
      </c>
      <c r="J1296" s="9" t="s">
        <v>68</v>
      </c>
      <c r="K1296" s="14" t="str">
        <f>IFERROR(__xludf.DUMMYFUNCTION("ARRAYFORMULA(VLOOKUP(A1296,IMPORTRANGE(""https://docs.google.com/spreadsheets/d/1BuTWp7qHGjWhqrnf-OmePP568O4A5Am9ttzvVdP67zw/edit#gid=1603210130"", ""TOURISM!$A$2:$F$2692""), {2,3,4,5,6},0))"),"Middle East")</f>
        <v>Middle East</v>
      </c>
      <c r="L1296" s="14">
        <f>IFERROR(__xludf.DUMMYFUNCTION("""COMPUTED_VALUE"""),5.3E8)</f>
        <v>530000000</v>
      </c>
      <c r="M1296" s="14" t="str">
        <f>IFERROR(__xludf.DUMMYFUNCTION("""COMPUTED_VALUE"""),"Kuwait-Middle East")</f>
        <v>Kuwait-Middle East</v>
      </c>
      <c r="N1296" s="14" t="str">
        <f>IFERROR(__xludf.DUMMYFUNCTION("""COMPUTED_VALUE"""),"2007")</f>
        <v>2007</v>
      </c>
      <c r="O1296" s="14">
        <f>IFERROR(__xludf.DUMMYFUNCTION("""COMPUTED_VALUE"""),7.267E9)</f>
        <v>7267000000</v>
      </c>
      <c r="P1296" s="15">
        <f>IFERROR(__xludf.DUMMYFUNCTION("ARRAYFORMULA(VLOOKUP(A1296,IMPORTRANGE(""https://docs.google.com/spreadsheets/d/1BuTWp7qHGjWhqrnf-OmePP568O4A5Am9ttzvVdP67zw/edit#gid=771602874"" ,""HUMAN RESOURCES!$A$2:$M$2692""), {2,3,4,5,6,7,8,9,10,11,12,13},0))"),0.021)</f>
        <v>0.021</v>
      </c>
      <c r="Q1296" s="14">
        <f>IFERROR(__xludf.DUMMYFUNCTION("""COMPUTED_VALUE"""),0.01)</f>
        <v>0.01</v>
      </c>
      <c r="R1296" s="14">
        <f>IFERROR(__xludf.DUMMYFUNCTION("""COMPUTED_VALUE"""),75.0)</f>
        <v>75</v>
      </c>
      <c r="S1296" s="14">
        <f>IFERROR(__xludf.DUMMYFUNCTION("""COMPUTED_VALUE"""),73.0)</f>
        <v>73</v>
      </c>
      <c r="T1296" s="14">
        <f>IFERROR(__xludf.DUMMYFUNCTION("""COMPUTED_VALUE"""),0.254)</f>
        <v>0.254</v>
      </c>
      <c r="U1296" s="14">
        <f>IFERROR(__xludf.DUMMYFUNCTION("""COMPUTED_VALUE"""),0.718)</f>
        <v>0.718</v>
      </c>
      <c r="V1296" s="14">
        <f>IFERROR(__xludf.DUMMYFUNCTION("""COMPUTED_VALUE"""),0.028)</f>
        <v>0.028</v>
      </c>
      <c r="W1296" s="14">
        <f>IFERROR(__xludf.DUMMYFUNCTION("""COMPUTED_VALUE"""),2554920.0)</f>
        <v>2554920</v>
      </c>
      <c r="X1296" s="14">
        <f>IFERROR(__xludf.DUMMYFUNCTION("""COMPUTED_VALUE"""),0.982)</f>
        <v>0.982</v>
      </c>
      <c r="Y1296" s="14" t="str">
        <f>IFERROR(__xludf.DUMMYFUNCTION("""COMPUTED_VALUE"""),"Kuwait-Middle East")</f>
        <v>Kuwait-Middle East</v>
      </c>
      <c r="Z1296" s="14" t="str">
        <f>IFERROR(__xludf.DUMMYFUNCTION("""COMPUTED_VALUE"""),"Middle East")</f>
        <v>Middle East</v>
      </c>
      <c r="AA1296" s="14" t="str">
        <f>IFERROR(__xludf.DUMMYFUNCTION("""COMPUTED_VALUE"""),"2007")</f>
        <v>2007</v>
      </c>
      <c r="AB1296" s="15" t="str">
        <f>IFERROR(__xludf.DUMMYFUNCTION("ARRAYFORMULA(VLOOKUP(A1296,IMPORTRANGE(""https://docs.google.com/spreadsheets/d/1BuTWp7qHGjWhqrnf-OmePP568O4A5Am9ttzvVdP67zw/edit#gid=1931367683"" ,""ENERGY!$A$2:$F$2692""), {2,3,4,5,6},0))"),"Middle East")</f>
        <v>Middle East</v>
      </c>
      <c r="AC1296" s="14" t="str">
        <f>IFERROR(__xludf.DUMMYFUNCTION("""COMPUTED_VALUE"""),"Kuwait-Middle East")</f>
        <v>Kuwait-Middle East</v>
      </c>
      <c r="AD1296" s="14" t="str">
        <f>IFERROR(__xludf.DUMMYFUNCTION("""COMPUTED_VALUE"""),"2008")</f>
        <v>2008</v>
      </c>
      <c r="AE1296" s="14">
        <f>IFERROR(__xludf.DUMMYFUNCTION("""COMPUTED_VALUE"""),26399.0)</f>
        <v>26399</v>
      </c>
      <c r="AF1296" s="14">
        <f>IFERROR(__xludf.DUMMYFUNCTION("""COMPUTED_VALUE"""),71547.0)</f>
        <v>71547</v>
      </c>
    </row>
    <row r="1297">
      <c r="A1297" s="12">
        <v>1296.0</v>
      </c>
      <c r="B1297" s="12" t="s">
        <v>178</v>
      </c>
      <c r="C1297" s="5" t="s">
        <v>93</v>
      </c>
      <c r="D1297" s="11">
        <v>0.107</v>
      </c>
      <c r="E1297" s="11">
        <v>35.0</v>
      </c>
      <c r="F1297" s="8"/>
      <c r="G1297" s="11">
        <v>98.0</v>
      </c>
      <c r="H1297" s="11">
        <v>0.42</v>
      </c>
      <c r="I1297" s="11">
        <v>0.555</v>
      </c>
      <c r="J1297" s="9" t="s">
        <v>69</v>
      </c>
      <c r="K1297" s="14" t="str">
        <f>IFERROR(__xludf.DUMMYFUNCTION("ARRAYFORMULA(VLOOKUP(A1297,IMPORTRANGE(""https://docs.google.com/spreadsheets/d/1BuTWp7qHGjWhqrnf-OmePP568O4A5Am9ttzvVdP67zw/edit#gid=1603210130"", ""TOURISM!$A$2:$F$2692""), {2,3,4,5,6},0))"),"Middle East")</f>
        <v>Middle East</v>
      </c>
      <c r="L1297" s="14">
        <f>IFERROR(__xludf.DUMMYFUNCTION("""COMPUTED_VALUE"""),6.1E8)</f>
        <v>610000000</v>
      </c>
      <c r="M1297" s="14" t="str">
        <f>IFERROR(__xludf.DUMMYFUNCTION("""COMPUTED_VALUE"""),"Kuwait-Middle East")</f>
        <v>Kuwait-Middle East</v>
      </c>
      <c r="N1297" s="14" t="str">
        <f>IFERROR(__xludf.DUMMYFUNCTION("""COMPUTED_VALUE"""),"2008")</f>
        <v>2008</v>
      </c>
      <c r="O1297" s="14">
        <f>IFERROR(__xludf.DUMMYFUNCTION("""COMPUTED_VALUE"""),8.341E9)</f>
        <v>8341000000</v>
      </c>
      <c r="P1297" s="15">
        <f>IFERROR(__xludf.DUMMYFUNCTION("ARRAYFORMULA(VLOOKUP(A1297,IMPORTRANGE(""https://docs.google.com/spreadsheets/d/1BuTWp7qHGjWhqrnf-OmePP568O4A5Am9ttzvVdP67zw/edit#gid=771602874"" ,""HUMAN RESOURCES!$A$2:$M$2692""), {2,3,4,5,6,7,8,9,10,11,12,13},0))"),0.021)</f>
        <v>0.021</v>
      </c>
      <c r="Q1297" s="14">
        <f>IFERROR(__xludf.DUMMYFUNCTION("""COMPUTED_VALUE"""),0.01)</f>
        <v>0.01</v>
      </c>
      <c r="R1297" s="14">
        <f>IFERROR(__xludf.DUMMYFUNCTION("""COMPUTED_VALUE"""),75.0)</f>
        <v>75</v>
      </c>
      <c r="S1297" s="14">
        <f>IFERROR(__xludf.DUMMYFUNCTION("""COMPUTED_VALUE"""),73.0)</f>
        <v>73</v>
      </c>
      <c r="T1297" s="14">
        <f>IFERROR(__xludf.DUMMYFUNCTION("""COMPUTED_VALUE"""),0.254)</f>
        <v>0.254</v>
      </c>
      <c r="U1297" s="14">
        <f>IFERROR(__xludf.DUMMYFUNCTION("""COMPUTED_VALUE"""),0.721)</f>
        <v>0.721</v>
      </c>
      <c r="V1297" s="14">
        <f>IFERROR(__xludf.DUMMYFUNCTION("""COMPUTED_VALUE"""),0.025)</f>
        <v>0.025</v>
      </c>
      <c r="W1297" s="14">
        <f>IFERROR(__xludf.DUMMYFUNCTION("""COMPUTED_VALUE"""),2702221.0)</f>
        <v>2702221</v>
      </c>
      <c r="X1297" s="14">
        <f>IFERROR(__xludf.DUMMYFUNCTION("""COMPUTED_VALUE"""),0.982)</f>
        <v>0.982</v>
      </c>
      <c r="Y1297" s="14" t="str">
        <f>IFERROR(__xludf.DUMMYFUNCTION("""COMPUTED_VALUE"""),"Kuwait-Middle East")</f>
        <v>Kuwait-Middle East</v>
      </c>
      <c r="Z1297" s="14" t="str">
        <f>IFERROR(__xludf.DUMMYFUNCTION("""COMPUTED_VALUE"""),"Middle East")</f>
        <v>Middle East</v>
      </c>
      <c r="AA1297" s="14" t="str">
        <f>IFERROR(__xludf.DUMMYFUNCTION("""COMPUTED_VALUE"""),"2008")</f>
        <v>2008</v>
      </c>
      <c r="AB1297" s="15" t="str">
        <f>IFERROR(__xludf.DUMMYFUNCTION("ARRAYFORMULA(VLOOKUP(A1297,IMPORTRANGE(""https://docs.google.com/spreadsheets/d/1BuTWp7qHGjWhqrnf-OmePP568O4A5Am9ttzvVdP67zw/edit#gid=1931367683"" ,""ENERGY!$A$2:$F$2692""), {2,3,4,5,6},0))"),"Middle East")</f>
        <v>Middle East</v>
      </c>
      <c r="AC1297" s="14" t="str">
        <f>IFERROR(__xludf.DUMMYFUNCTION("""COMPUTED_VALUE"""),"Kuwait-Middle East")</f>
        <v>Kuwait-Middle East</v>
      </c>
      <c r="AD1297" s="14" t="str">
        <f>IFERROR(__xludf.DUMMYFUNCTION("""COMPUTED_VALUE"""),"2006")</f>
        <v>2006</v>
      </c>
      <c r="AE1297" s="14">
        <f>IFERROR(__xludf.DUMMYFUNCTION("""COMPUTED_VALUE"""),23469.0)</f>
        <v>23469</v>
      </c>
      <c r="AF1297" s="14">
        <f>IFERROR(__xludf.DUMMYFUNCTION("""COMPUTED_VALUE"""),63534.0)</f>
        <v>63534</v>
      </c>
    </row>
    <row r="1298">
      <c r="A1298" s="12">
        <v>1297.0</v>
      </c>
      <c r="B1298" s="12" t="s">
        <v>178</v>
      </c>
      <c r="C1298" s="5" t="s">
        <v>93</v>
      </c>
      <c r="D1298" s="11">
        <v>0.107</v>
      </c>
      <c r="E1298" s="11">
        <v>35.0</v>
      </c>
      <c r="F1298" s="8"/>
      <c r="G1298" s="11">
        <v>98.0</v>
      </c>
      <c r="H1298" s="11">
        <v>0.508</v>
      </c>
      <c r="I1298" s="11">
        <v>0.919</v>
      </c>
      <c r="J1298" s="9" t="s">
        <v>70</v>
      </c>
      <c r="K1298" s="14" t="str">
        <f>IFERROR(__xludf.DUMMYFUNCTION("ARRAYFORMULA(VLOOKUP(A1298,IMPORTRANGE(""https://docs.google.com/spreadsheets/d/1BuTWp7qHGjWhqrnf-OmePP568O4A5Am9ttzvVdP67zw/edit#gid=1603210130"", ""TOURISM!$A$2:$F$2692""), {2,3,4,5,6},0))"),"Middle East")</f>
        <v>Middle East</v>
      </c>
      <c r="L1298" s="14">
        <f>IFERROR(__xludf.DUMMYFUNCTION("""COMPUTED_VALUE"""),6.6E8)</f>
        <v>660000000</v>
      </c>
      <c r="M1298" s="14" t="str">
        <f>IFERROR(__xludf.DUMMYFUNCTION("""COMPUTED_VALUE"""),"Kuwait-Middle East")</f>
        <v>Kuwait-Middle East</v>
      </c>
      <c r="N1298" s="14" t="str">
        <f>IFERROR(__xludf.DUMMYFUNCTION("""COMPUTED_VALUE"""),"2009")</f>
        <v>2009</v>
      </c>
      <c r="O1298" s="14">
        <f>IFERROR(__xludf.DUMMYFUNCTION("""COMPUTED_VALUE"""),6.799E9)</f>
        <v>6799000000</v>
      </c>
      <c r="P1298" s="15">
        <f>IFERROR(__xludf.DUMMYFUNCTION("ARRAYFORMULA(VLOOKUP(A1298,IMPORTRANGE(""https://docs.google.com/spreadsheets/d/1BuTWp7qHGjWhqrnf-OmePP568O4A5Am9ttzvVdP67zw/edit#gid=771602874"" ,""HUMAN RESOURCES!$A$2:$M$2692""), {2,3,4,5,6,7,8,9,10,11,12,13},0))"),0.021)</f>
        <v>0.021</v>
      </c>
      <c r="Q1298" s="14">
        <f>IFERROR(__xludf.DUMMYFUNCTION("""COMPUTED_VALUE"""),0.01)</f>
        <v>0.01</v>
      </c>
      <c r="R1298" s="14">
        <f>IFERROR(__xludf.DUMMYFUNCTION("""COMPUTED_VALUE"""),75.0)</f>
        <v>75</v>
      </c>
      <c r="S1298" s="14">
        <f>IFERROR(__xludf.DUMMYFUNCTION("""COMPUTED_VALUE"""),73.0)</f>
        <v>73</v>
      </c>
      <c r="T1298" s="14">
        <f>IFERROR(__xludf.DUMMYFUNCTION("""COMPUTED_VALUE"""),0.253)</f>
        <v>0.253</v>
      </c>
      <c r="U1298" s="14">
        <f>IFERROR(__xludf.DUMMYFUNCTION("""COMPUTED_VALUE"""),0.724)</f>
        <v>0.724</v>
      </c>
      <c r="V1298" s="14">
        <f>IFERROR(__xludf.DUMMYFUNCTION("""COMPUTED_VALUE"""),0.023)</f>
        <v>0.023</v>
      </c>
      <c r="W1298" s="14">
        <f>IFERROR(__xludf.DUMMYFUNCTION("""COMPUTED_VALUE"""),2850102.0)</f>
        <v>2850102</v>
      </c>
      <c r="X1298" s="14">
        <f>IFERROR(__xludf.DUMMYFUNCTION("""COMPUTED_VALUE"""),0.982)</f>
        <v>0.982</v>
      </c>
      <c r="Y1298" s="14" t="str">
        <f>IFERROR(__xludf.DUMMYFUNCTION("""COMPUTED_VALUE"""),"Kuwait-Middle East")</f>
        <v>Kuwait-Middle East</v>
      </c>
      <c r="Z1298" s="14" t="str">
        <f>IFERROR(__xludf.DUMMYFUNCTION("""COMPUTED_VALUE"""),"Middle East")</f>
        <v>Middle East</v>
      </c>
      <c r="AA1298" s="14" t="str">
        <f>IFERROR(__xludf.DUMMYFUNCTION("""COMPUTED_VALUE"""),"2009")</f>
        <v>2009</v>
      </c>
      <c r="AB1298" s="15" t="str">
        <f>IFERROR(__xludf.DUMMYFUNCTION("ARRAYFORMULA(VLOOKUP(A1298,IMPORTRANGE(""https://docs.google.com/spreadsheets/d/1BuTWp7qHGjWhqrnf-OmePP568O4A5Am9ttzvVdP67zw/edit#gid=1931367683"" ,""ENERGY!$A$2:$F$2692""), {2,3,4,5,6},0))"),"Middle East")</f>
        <v>Middle East</v>
      </c>
      <c r="AC1298" s="14" t="str">
        <f>IFERROR(__xludf.DUMMYFUNCTION("""COMPUTED_VALUE"""),"Kuwait-Middle East")</f>
        <v>Kuwait-Middle East</v>
      </c>
      <c r="AD1298" s="14" t="str">
        <f>IFERROR(__xludf.DUMMYFUNCTION("""COMPUTED_VALUE"""),"2010")</f>
        <v>2010</v>
      </c>
      <c r="AE1298" s="14">
        <f>IFERROR(__xludf.DUMMYFUNCTION("""COMPUTED_VALUE"""),22001.0)</f>
        <v>22001</v>
      </c>
      <c r="AF1298" s="14">
        <f>IFERROR(__xludf.DUMMYFUNCTION("""COMPUTED_VALUE"""),61657.0)</f>
        <v>61657</v>
      </c>
    </row>
    <row r="1299">
      <c r="A1299" s="12">
        <v>1298.0</v>
      </c>
      <c r="B1299" s="12" t="s">
        <v>178</v>
      </c>
      <c r="C1299" s="5" t="s">
        <v>93</v>
      </c>
      <c r="D1299" s="11">
        <v>0.107</v>
      </c>
      <c r="E1299" s="11">
        <v>35.0</v>
      </c>
      <c r="F1299" s="8"/>
      <c r="G1299" s="11">
        <v>98.0</v>
      </c>
      <c r="H1299" s="11">
        <v>0.614</v>
      </c>
      <c r="I1299" s="11">
        <v>1.33</v>
      </c>
      <c r="J1299" s="9" t="s">
        <v>71</v>
      </c>
      <c r="K1299" s="14" t="str">
        <f>IFERROR(__xludf.DUMMYFUNCTION("ARRAYFORMULA(VLOOKUP(A1299,IMPORTRANGE(""https://docs.google.com/spreadsheets/d/1BuTWp7qHGjWhqrnf-OmePP568O4A5Am9ttzvVdP67zw/edit#gid=1603210130"", ""TOURISM!$A$2:$F$2692""), {2,3,4,5,6},0))"),"Middle East")</f>
        <v>Middle East</v>
      </c>
      <c r="L1299" s="14">
        <f>IFERROR(__xludf.DUMMYFUNCTION("""COMPUTED_VALUE"""),5.74E8)</f>
        <v>574000000</v>
      </c>
      <c r="M1299" s="14" t="str">
        <f>IFERROR(__xludf.DUMMYFUNCTION("""COMPUTED_VALUE"""),"Kuwait-Middle East")</f>
        <v>Kuwait-Middle East</v>
      </c>
      <c r="N1299" s="14" t="str">
        <f>IFERROR(__xludf.DUMMYFUNCTION("""COMPUTED_VALUE"""),"2010")</f>
        <v>2010</v>
      </c>
      <c r="O1299" s="14">
        <f>IFERROR(__xludf.DUMMYFUNCTION("""COMPUTED_VALUE"""),7.106E9)</f>
        <v>7106000000</v>
      </c>
      <c r="P1299" s="15">
        <f>IFERROR(__xludf.DUMMYFUNCTION("ARRAYFORMULA(VLOOKUP(A1299,IMPORTRANGE(""https://docs.google.com/spreadsheets/d/1BuTWp7qHGjWhqrnf-OmePP568O4A5Am9ttzvVdP67zw/edit#gid=771602874"" ,""HUMAN RESOURCES!$A$2:$M$2692""), {2,3,4,5,6,7,8,9,10,11,12,13},0))"),0.021)</f>
        <v>0.021</v>
      </c>
      <c r="Q1299" s="14">
        <f>IFERROR(__xludf.DUMMYFUNCTION("""COMPUTED_VALUE"""),0.009)</f>
        <v>0.009</v>
      </c>
      <c r="R1299" s="14">
        <f>IFERROR(__xludf.DUMMYFUNCTION("""COMPUTED_VALUE"""),75.0)</f>
        <v>75</v>
      </c>
      <c r="S1299" s="14">
        <f>IFERROR(__xludf.DUMMYFUNCTION("""COMPUTED_VALUE"""),73.0)</f>
        <v>73</v>
      </c>
      <c r="T1299" s="14">
        <f>IFERROR(__xludf.DUMMYFUNCTION("""COMPUTED_VALUE"""),0.252)</f>
        <v>0.252</v>
      </c>
      <c r="U1299" s="14">
        <f>IFERROR(__xludf.DUMMYFUNCTION("""COMPUTED_VALUE"""),0.726)</f>
        <v>0.726</v>
      </c>
      <c r="V1299" s="14">
        <f>IFERROR(__xludf.DUMMYFUNCTION("""COMPUTED_VALUE"""),0.021)</f>
        <v>0.021</v>
      </c>
      <c r="W1299" s="14">
        <f>IFERROR(__xludf.DUMMYFUNCTION("""COMPUTED_VALUE"""),2991580.0)</f>
        <v>2991580</v>
      </c>
      <c r="X1299" s="14">
        <f>IFERROR(__xludf.DUMMYFUNCTION("""COMPUTED_VALUE"""),0.983)</f>
        <v>0.983</v>
      </c>
      <c r="Y1299" s="14" t="str">
        <f>IFERROR(__xludf.DUMMYFUNCTION("""COMPUTED_VALUE"""),"Kuwait-Middle East")</f>
        <v>Kuwait-Middle East</v>
      </c>
      <c r="Z1299" s="14" t="str">
        <f>IFERROR(__xludf.DUMMYFUNCTION("""COMPUTED_VALUE"""),"Middle East")</f>
        <v>Middle East</v>
      </c>
      <c r="AA1299" s="14" t="str">
        <f>IFERROR(__xludf.DUMMYFUNCTION("""COMPUTED_VALUE"""),"2010")</f>
        <v>2010</v>
      </c>
      <c r="AB1299" s="15" t="str">
        <f>IFERROR(__xludf.DUMMYFUNCTION("ARRAYFORMULA(VLOOKUP(A1299,IMPORTRANGE(""https://docs.google.com/spreadsheets/d/1BuTWp7qHGjWhqrnf-OmePP568O4A5Am9ttzvVdP67zw/edit#gid=1931367683"" ,""ENERGY!$A$2:$F$2692""), {2,3,4,5,6},0))"),"Middle East")</f>
        <v>Middle East</v>
      </c>
      <c r="AC1299" s="14" t="str">
        <f>IFERROR(__xludf.DUMMYFUNCTION("""COMPUTED_VALUE"""),"Kuwait-Middle East")</f>
        <v>Kuwait-Middle East</v>
      </c>
      <c r="AD1299" s="14" t="str">
        <f>IFERROR(__xludf.DUMMYFUNCTION("""COMPUTED_VALUE"""),"2011")</f>
        <v>2011</v>
      </c>
      <c r="AE1299" s="14">
        <f>IFERROR(__xludf.DUMMYFUNCTION("""COMPUTED_VALUE"""),20639.0)</f>
        <v>20639</v>
      </c>
      <c r="AF1299" s="14">
        <f>IFERROR(__xludf.DUMMYFUNCTION("""COMPUTED_VALUE"""),52753.0)</f>
        <v>52753</v>
      </c>
    </row>
    <row r="1300">
      <c r="A1300" s="12">
        <v>1299.0</v>
      </c>
      <c r="B1300" s="12" t="s">
        <v>178</v>
      </c>
      <c r="C1300" s="5" t="s">
        <v>93</v>
      </c>
      <c r="D1300" s="11">
        <v>0.107</v>
      </c>
      <c r="E1300" s="11">
        <v>32.0</v>
      </c>
      <c r="F1300" s="8"/>
      <c r="G1300" s="11">
        <v>98.0</v>
      </c>
      <c r="H1300" s="11">
        <v>0.658</v>
      </c>
      <c r="I1300" s="11">
        <v>1.579</v>
      </c>
      <c r="J1300" s="9" t="s">
        <v>72</v>
      </c>
      <c r="K1300" s="14" t="str">
        <f>IFERROR(__xludf.DUMMYFUNCTION("ARRAYFORMULA(VLOOKUP(A1300,IMPORTRANGE(""https://docs.google.com/spreadsheets/d/1BuTWp7qHGjWhqrnf-OmePP568O4A5Am9ttzvVdP67zw/edit#gid=1603210130"", ""TOURISM!$A$2:$F$2692""), {2,3,4,5,6},0))"),"Middle East")</f>
        <v>Middle East</v>
      </c>
      <c r="L1300" s="14">
        <f>IFERROR(__xludf.DUMMYFUNCTION("""COMPUTED_VALUE"""),6.44E8)</f>
        <v>644000000</v>
      </c>
      <c r="M1300" s="14" t="str">
        <f>IFERROR(__xludf.DUMMYFUNCTION("""COMPUTED_VALUE"""),"Kuwait-Middle East")</f>
        <v>Kuwait-Middle East</v>
      </c>
      <c r="N1300" s="14" t="str">
        <f>IFERROR(__xludf.DUMMYFUNCTION("""COMPUTED_VALUE"""),"2011")</f>
        <v>2011</v>
      </c>
      <c r="O1300" s="14">
        <f>IFERROR(__xludf.DUMMYFUNCTION("""COMPUTED_VALUE"""),9.179E9)</f>
        <v>9179000000</v>
      </c>
      <c r="P1300" s="15">
        <f>IFERROR(__xludf.DUMMYFUNCTION("ARRAYFORMULA(VLOOKUP(A1300,IMPORTRANGE(""https://docs.google.com/spreadsheets/d/1BuTWp7qHGjWhqrnf-OmePP568O4A5Am9ttzvVdP67zw/edit#gid=771602874"" ,""HUMAN RESOURCES!$A$2:$M$2692""), {2,3,4,5,6,7,8,9,10,11,12,13},0))"),0.021)</f>
        <v>0.021</v>
      </c>
      <c r="Q1300" s="14">
        <f>IFERROR(__xludf.DUMMYFUNCTION("""COMPUTED_VALUE"""),0.009)</f>
        <v>0.009</v>
      </c>
      <c r="R1300" s="14">
        <f>IFERROR(__xludf.DUMMYFUNCTION("""COMPUTED_VALUE"""),75.0)</f>
        <v>75</v>
      </c>
      <c r="S1300" s="14">
        <f>IFERROR(__xludf.DUMMYFUNCTION("""COMPUTED_VALUE"""),73.0)</f>
        <v>73</v>
      </c>
      <c r="T1300" s="14">
        <f>IFERROR(__xludf.DUMMYFUNCTION("""COMPUTED_VALUE"""),0.251)</f>
        <v>0.251</v>
      </c>
      <c r="U1300" s="14">
        <f>IFERROR(__xludf.DUMMYFUNCTION("""COMPUTED_VALUE"""),0.728)</f>
        <v>0.728</v>
      </c>
      <c r="V1300" s="14">
        <f>IFERROR(__xludf.DUMMYFUNCTION("""COMPUTED_VALUE"""),0.021)</f>
        <v>0.021</v>
      </c>
      <c r="W1300" s="14">
        <f>IFERROR(__xludf.DUMMYFUNCTION("""COMPUTED_VALUE"""),3124705.0)</f>
        <v>3124705</v>
      </c>
      <c r="X1300" s="14">
        <f>IFERROR(__xludf.DUMMYFUNCTION("""COMPUTED_VALUE"""),0.983)</f>
        <v>0.983</v>
      </c>
      <c r="Y1300" s="14" t="str">
        <f>IFERROR(__xludf.DUMMYFUNCTION("""COMPUTED_VALUE"""),"Kuwait-Middle East")</f>
        <v>Kuwait-Middle East</v>
      </c>
      <c r="Z1300" s="14" t="str">
        <f>IFERROR(__xludf.DUMMYFUNCTION("""COMPUTED_VALUE"""),"Middle East")</f>
        <v>Middle East</v>
      </c>
      <c r="AA1300" s="14" t="str">
        <f>IFERROR(__xludf.DUMMYFUNCTION("""COMPUTED_VALUE"""),"2011")</f>
        <v>2011</v>
      </c>
      <c r="AB1300" s="15" t="str">
        <f>IFERROR(__xludf.DUMMYFUNCTION("ARRAYFORMULA(VLOOKUP(A1300,IMPORTRANGE(""https://docs.google.com/spreadsheets/d/1BuTWp7qHGjWhqrnf-OmePP568O4A5Am9ttzvVdP67zw/edit#gid=1931367683"" ,""ENERGY!$A$2:$F$2692""), {2,3,4,5,6},0))"),"Middle East")</f>
        <v>Middle East</v>
      </c>
      <c r="AC1300" s="14" t="str">
        <f>IFERROR(__xludf.DUMMYFUNCTION("""COMPUTED_VALUE"""),"Kuwait-Middle East")</f>
        <v>Kuwait-Middle East</v>
      </c>
      <c r="AD1300" s="14" t="str">
        <f>IFERROR(__xludf.DUMMYFUNCTION("""COMPUTED_VALUE"""),"2005")</f>
        <v>2005</v>
      </c>
      <c r="AE1300" s="14">
        <f>IFERROR(__xludf.DUMMYFUNCTION("""COMPUTED_VALUE"""),20067.0)</f>
        <v>20067</v>
      </c>
      <c r="AF1300" s="14">
        <f>IFERROR(__xludf.DUMMYFUNCTION("""COMPUTED_VALUE"""),55122.0)</f>
        <v>55122</v>
      </c>
    </row>
    <row r="1301">
      <c r="A1301" s="12">
        <v>1300.0</v>
      </c>
      <c r="B1301" s="12" t="s">
        <v>178</v>
      </c>
      <c r="C1301" s="5" t="s">
        <v>93</v>
      </c>
      <c r="D1301" s="11">
        <v>0.124</v>
      </c>
      <c r="E1301" s="11">
        <v>32.0</v>
      </c>
      <c r="F1301" s="11">
        <v>101.0</v>
      </c>
      <c r="G1301" s="11">
        <v>98.0</v>
      </c>
      <c r="H1301" s="11">
        <v>0.705</v>
      </c>
      <c r="I1301" s="11">
        <v>1.569</v>
      </c>
      <c r="J1301" s="9" t="s">
        <v>73</v>
      </c>
      <c r="K1301" s="14" t="str">
        <f>IFERROR(__xludf.DUMMYFUNCTION("ARRAYFORMULA(VLOOKUP(A1301,IMPORTRANGE(""https://docs.google.com/spreadsheets/d/1BuTWp7qHGjWhqrnf-OmePP568O4A5Am9ttzvVdP67zw/edit#gid=1603210130"", ""TOURISM!$A$2:$F$2692""), {2,3,4,5,6},0))"),"Middle East")</f>
        <v>Middle East</v>
      </c>
      <c r="L1301" s="14">
        <f>IFERROR(__xludf.DUMMYFUNCTION("""COMPUTED_VALUE"""),7.8E8)</f>
        <v>780000000</v>
      </c>
      <c r="M1301" s="14" t="str">
        <f>IFERROR(__xludf.DUMMYFUNCTION("""COMPUTED_VALUE"""),"Kuwait-Middle East")</f>
        <v>Kuwait-Middle East</v>
      </c>
      <c r="N1301" s="14" t="str">
        <f>IFERROR(__xludf.DUMMYFUNCTION("""COMPUTED_VALUE"""),"2012")</f>
        <v>2012</v>
      </c>
      <c r="O1301" s="14">
        <f>IFERROR(__xludf.DUMMYFUNCTION("""COMPUTED_VALUE"""),9.821E9)</f>
        <v>9821000000</v>
      </c>
      <c r="P1301" s="15">
        <f>IFERROR(__xludf.DUMMYFUNCTION("ARRAYFORMULA(VLOOKUP(A1301,IMPORTRANGE(""https://docs.google.com/spreadsheets/d/1BuTWp7qHGjWhqrnf-OmePP568O4A5Am9ttzvVdP67zw/edit#gid=771602874"" ,""HUMAN RESOURCES!$A$2:$M$2692""), {2,3,4,5,6,7,8,9,10,11,12,13},0))"),0.021)</f>
        <v>0.021</v>
      </c>
      <c r="Q1301" s="14">
        <f>IFERROR(__xludf.DUMMYFUNCTION("""COMPUTED_VALUE"""),0.009)</f>
        <v>0.009</v>
      </c>
      <c r="R1301" s="14">
        <f>IFERROR(__xludf.DUMMYFUNCTION("""COMPUTED_VALUE"""),75.0)</f>
        <v>75</v>
      </c>
      <c r="S1301" s="14">
        <f>IFERROR(__xludf.DUMMYFUNCTION("""COMPUTED_VALUE"""),73.0)</f>
        <v>73</v>
      </c>
      <c r="T1301" s="14">
        <f>IFERROR(__xludf.DUMMYFUNCTION("""COMPUTED_VALUE"""),0.249)</f>
        <v>0.249</v>
      </c>
      <c r="U1301" s="14">
        <f>IFERROR(__xludf.DUMMYFUNCTION("""COMPUTED_VALUE"""),0.729)</f>
        <v>0.729</v>
      </c>
      <c r="V1301" s="14">
        <f>IFERROR(__xludf.DUMMYFUNCTION("""COMPUTED_VALUE"""),0.022)</f>
        <v>0.022</v>
      </c>
      <c r="W1301" s="14">
        <f>IFERROR(__xludf.DUMMYFUNCTION("""COMPUTED_VALUE"""),3250496.0)</f>
        <v>3250496</v>
      </c>
      <c r="X1301" s="14">
        <f>IFERROR(__xludf.DUMMYFUNCTION("""COMPUTED_VALUE"""),0.983)</f>
        <v>0.983</v>
      </c>
      <c r="Y1301" s="14" t="str">
        <f>IFERROR(__xludf.DUMMYFUNCTION("""COMPUTED_VALUE"""),"Kuwait-Middle East")</f>
        <v>Kuwait-Middle East</v>
      </c>
      <c r="Z1301" s="14" t="str">
        <f>IFERROR(__xludf.DUMMYFUNCTION("""COMPUTED_VALUE"""),"Middle East")</f>
        <v>Middle East</v>
      </c>
      <c r="AA1301" s="14" t="str">
        <f>IFERROR(__xludf.DUMMYFUNCTION("""COMPUTED_VALUE"""),"2012")</f>
        <v>2012</v>
      </c>
      <c r="AB1301" s="15" t="str">
        <f>IFERROR(__xludf.DUMMYFUNCTION("ARRAYFORMULA(VLOOKUP(A1301,IMPORTRANGE(""https://docs.google.com/spreadsheets/d/1BuTWp7qHGjWhqrnf-OmePP568O4A5Am9ttzvVdP67zw/edit#gid=1931367683"" ,""ENERGY!$A$2:$F$2692""), {2,3,4,5,6},0))"),"Middle East")</f>
        <v>Middle East</v>
      </c>
      <c r="AC1301" s="14" t="str">
        <f>IFERROR(__xludf.DUMMYFUNCTION("""COMPUTED_VALUE"""),"Kuwait-Middle East")</f>
        <v>Kuwait-Middle East</v>
      </c>
      <c r="AD1301" s="14" t="str">
        <f>IFERROR(__xludf.DUMMYFUNCTION("""COMPUTED_VALUE"""),"2010")</f>
        <v>2010</v>
      </c>
      <c r="AE1301" s="14">
        <f>IFERROR(__xludf.DUMMYFUNCTION("""COMPUTED_VALUE"""),18805.0)</f>
        <v>18805</v>
      </c>
      <c r="AF1301" s="14">
        <f>IFERROR(__xludf.DUMMYFUNCTION("""COMPUTED_VALUE"""),55181.0)</f>
        <v>55181</v>
      </c>
    </row>
    <row r="1302">
      <c r="A1302" s="12">
        <v>1301.0</v>
      </c>
      <c r="B1302" s="12" t="s">
        <v>179</v>
      </c>
      <c r="C1302" s="5" t="s">
        <v>61</v>
      </c>
      <c r="D1302" s="8"/>
      <c r="E1302" s="8"/>
      <c r="F1302" s="8"/>
      <c r="G1302" s="8"/>
      <c r="H1302" s="11">
        <v>0.01</v>
      </c>
      <c r="I1302" s="11">
        <v>0.002</v>
      </c>
      <c r="J1302" s="9" t="s">
        <v>60</v>
      </c>
      <c r="K1302" s="14" t="str">
        <f>IFERROR(__xludf.DUMMYFUNCTION("ARRAYFORMULA(VLOOKUP(A1302,IMPORTRANGE(""https://docs.google.com/spreadsheets/d/1BuTWp7qHGjWhqrnf-OmePP568O4A5Am9ttzvVdP67zw/edit#gid=1603210130"", ""TOURISM!$A$2:$F$2692""), {2,3,4,5,6},0))"),"Asia")</f>
        <v>Asia</v>
      </c>
      <c r="L1302" s="14">
        <f>IFERROR(__xludf.DUMMYFUNCTION("""COMPUTED_VALUE"""),2.0E7)</f>
        <v>20000000</v>
      </c>
      <c r="M1302" s="14" t="str">
        <f>IFERROR(__xludf.DUMMYFUNCTION("""COMPUTED_VALUE"""),"Kyrgyzstan-Asia")</f>
        <v>Kyrgyzstan-Asia</v>
      </c>
      <c r="N1302" s="14" t="str">
        <f>IFERROR(__xludf.DUMMYFUNCTION("""COMPUTED_VALUE"""),"2000")</f>
        <v>2000</v>
      </c>
      <c r="O1302" s="14">
        <f>IFERROR(__xludf.DUMMYFUNCTION("""COMPUTED_VALUE"""),2.8E7)</f>
        <v>28000000</v>
      </c>
      <c r="P1302" s="15">
        <f>IFERROR(__xludf.DUMMYFUNCTION("ARRAYFORMULA(VLOOKUP(A1302,IMPORTRANGE(""https://docs.google.com/spreadsheets/d/1BuTWp7qHGjWhqrnf-OmePP568O4A5Am9ttzvVdP67zw/edit#gid=771602874"" ,""HUMAN RESOURCES!$A$2:$M$2692""), {2,3,4,5,6,7,8,9,10,11,12,13},0))"),0.02)</f>
        <v>0.02</v>
      </c>
      <c r="Q1302" s="14">
        <f>IFERROR(__xludf.DUMMYFUNCTION("""COMPUTED_VALUE"""),0.042)</f>
        <v>0.042</v>
      </c>
      <c r="R1302" s="14">
        <f>IFERROR(__xludf.DUMMYFUNCTION("""COMPUTED_VALUE"""),72.0)</f>
        <v>72</v>
      </c>
      <c r="S1302" s="14">
        <f>IFERROR(__xludf.DUMMYFUNCTION("""COMPUTED_VALUE"""),65.0)</f>
        <v>65</v>
      </c>
      <c r="T1302" s="14">
        <f>IFERROR(__xludf.DUMMYFUNCTION("""COMPUTED_VALUE"""),0.35)</f>
        <v>0.35</v>
      </c>
      <c r="U1302" s="14">
        <f>IFERROR(__xludf.DUMMYFUNCTION("""COMPUTED_VALUE"""),0.596)</f>
        <v>0.596</v>
      </c>
      <c r="V1302" s="14">
        <f>IFERROR(__xludf.DUMMYFUNCTION("""COMPUTED_VALUE"""),0.055)</f>
        <v>0.055</v>
      </c>
      <c r="W1302" s="14">
        <f>IFERROR(__xludf.DUMMYFUNCTION("""COMPUTED_VALUE"""),4898400.0)</f>
        <v>4898400</v>
      </c>
      <c r="X1302" s="14">
        <f>IFERROR(__xludf.DUMMYFUNCTION("""COMPUTED_VALUE"""),0.353)</f>
        <v>0.353</v>
      </c>
      <c r="Y1302" s="14" t="str">
        <f>IFERROR(__xludf.DUMMYFUNCTION("""COMPUTED_VALUE"""),"Kyrgyzstan-Asia")</f>
        <v>Kyrgyzstan-Asia</v>
      </c>
      <c r="Z1302" s="14" t="str">
        <f>IFERROR(__xludf.DUMMYFUNCTION("""COMPUTED_VALUE"""),"Asia")</f>
        <v>Asia</v>
      </c>
      <c r="AA1302" s="14" t="str">
        <f>IFERROR(__xludf.DUMMYFUNCTION("""COMPUTED_VALUE"""),"2000")</f>
        <v>2000</v>
      </c>
      <c r="AB1302" s="15" t="str">
        <f>IFERROR(__xludf.DUMMYFUNCTION("ARRAYFORMULA(VLOOKUP(A1302,IMPORTRANGE(""https://docs.google.com/spreadsheets/d/1BuTWp7qHGjWhqrnf-OmePP568O4A5Am9ttzvVdP67zw/edit#gid=1931367683"" ,""ENERGY!$A$2:$F$2692""), {2,3,4,5,6},0))"),"Asia")</f>
        <v>Asia</v>
      </c>
      <c r="AC1302" s="14" t="str">
        <f>IFERROR(__xludf.DUMMYFUNCTION("""COMPUTED_VALUE"""),"Kyrgyzstan-Asia")</f>
        <v>Kyrgyzstan-Asia</v>
      </c>
      <c r="AD1302" s="14" t="str">
        <f>IFERROR(__xludf.DUMMYFUNCTION("""COMPUTED_VALUE"""),"2000")</f>
        <v>2000</v>
      </c>
      <c r="AE1302" s="14"/>
      <c r="AF1302" s="14"/>
    </row>
    <row r="1303">
      <c r="A1303" s="12">
        <v>1302.0</v>
      </c>
      <c r="B1303" s="12" t="s">
        <v>179</v>
      </c>
      <c r="C1303" s="5" t="s">
        <v>61</v>
      </c>
      <c r="D1303" s="8"/>
      <c r="E1303" s="8"/>
      <c r="F1303" s="8"/>
      <c r="G1303" s="8"/>
      <c r="H1303" s="11">
        <v>0.03</v>
      </c>
      <c r="I1303" s="11">
        <v>0.005</v>
      </c>
      <c r="J1303" s="9" t="s">
        <v>62</v>
      </c>
      <c r="K1303" s="14" t="str">
        <f>IFERROR(__xludf.DUMMYFUNCTION("ARRAYFORMULA(VLOOKUP(A1303,IMPORTRANGE(""https://docs.google.com/spreadsheets/d/1BuTWp7qHGjWhqrnf-OmePP568O4A5Am9ttzvVdP67zw/edit#gid=1603210130"", ""TOURISM!$A$2:$F$2692""), {2,3,4,5,6},0))"),"Asia")</f>
        <v>Asia</v>
      </c>
      <c r="L1303" s="14">
        <f>IFERROR(__xludf.DUMMYFUNCTION("""COMPUTED_VALUE"""),3.2E7)</f>
        <v>32000000</v>
      </c>
      <c r="M1303" s="14" t="str">
        <f>IFERROR(__xludf.DUMMYFUNCTION("""COMPUTED_VALUE"""),"Kyrgyzstan-Asia")</f>
        <v>Kyrgyzstan-Asia</v>
      </c>
      <c r="N1303" s="14" t="str">
        <f>IFERROR(__xludf.DUMMYFUNCTION("""COMPUTED_VALUE"""),"2001")</f>
        <v>2001</v>
      </c>
      <c r="O1303" s="14">
        <f>IFERROR(__xludf.DUMMYFUNCTION("""COMPUTED_VALUE"""),2.1E7)</f>
        <v>21000000</v>
      </c>
      <c r="P1303" s="15">
        <f>IFERROR(__xludf.DUMMYFUNCTION("ARRAYFORMULA(VLOOKUP(A1303,IMPORTRANGE(""https://docs.google.com/spreadsheets/d/1BuTWp7qHGjWhqrnf-OmePP568O4A5Am9ttzvVdP67zw/edit#gid=771602874"" ,""HUMAN RESOURCES!$A$2:$M$2692""), {2,3,4,5,6,7,8,9,10,11,12,13},0))"),0.02)</f>
        <v>0.02</v>
      </c>
      <c r="Q1303" s="14">
        <f>IFERROR(__xludf.DUMMYFUNCTION("""COMPUTED_VALUE"""),0.04)</f>
        <v>0.04</v>
      </c>
      <c r="R1303" s="14">
        <f>IFERROR(__xludf.DUMMYFUNCTION("""COMPUTED_VALUE"""),73.0)</f>
        <v>73</v>
      </c>
      <c r="S1303" s="14">
        <f>IFERROR(__xludf.DUMMYFUNCTION("""COMPUTED_VALUE"""),65.0)</f>
        <v>65</v>
      </c>
      <c r="T1303" s="14">
        <f>IFERROR(__xludf.DUMMYFUNCTION("""COMPUTED_VALUE"""),0.342)</f>
        <v>0.342</v>
      </c>
      <c r="U1303" s="14">
        <f>IFERROR(__xludf.DUMMYFUNCTION("""COMPUTED_VALUE"""),0.602)</f>
        <v>0.602</v>
      </c>
      <c r="V1303" s="14">
        <f>IFERROR(__xludf.DUMMYFUNCTION("""COMPUTED_VALUE"""),0.055)</f>
        <v>0.055</v>
      </c>
      <c r="W1303" s="14">
        <f>IFERROR(__xludf.DUMMYFUNCTION("""COMPUTED_VALUE"""),4945100.0)</f>
        <v>4945100</v>
      </c>
      <c r="X1303" s="14">
        <f>IFERROR(__xludf.DUMMYFUNCTION("""COMPUTED_VALUE"""),0.353)</f>
        <v>0.353</v>
      </c>
      <c r="Y1303" s="14" t="str">
        <f>IFERROR(__xludf.DUMMYFUNCTION("""COMPUTED_VALUE"""),"Kyrgyzstan-Asia")</f>
        <v>Kyrgyzstan-Asia</v>
      </c>
      <c r="Z1303" s="14" t="str">
        <f>IFERROR(__xludf.DUMMYFUNCTION("""COMPUTED_VALUE"""),"Asia")</f>
        <v>Asia</v>
      </c>
      <c r="AA1303" s="14" t="str">
        <f>IFERROR(__xludf.DUMMYFUNCTION("""COMPUTED_VALUE"""),"2001")</f>
        <v>2001</v>
      </c>
      <c r="AB1303" s="15" t="str">
        <f>IFERROR(__xludf.DUMMYFUNCTION("ARRAYFORMULA(VLOOKUP(A1303,IMPORTRANGE(""https://docs.google.com/spreadsheets/d/1BuTWp7qHGjWhqrnf-OmePP568O4A5Am9ttzvVdP67zw/edit#gid=1931367683"" ,""ENERGY!$A$2:$F$2692""), {2,3,4,5,6},0))"),"Asia")</f>
        <v>Asia</v>
      </c>
      <c r="AC1303" s="14" t="str">
        <f>IFERROR(__xludf.DUMMYFUNCTION("""COMPUTED_VALUE"""),"Kyrgyzstan-Asia")</f>
        <v>Kyrgyzstan-Asia</v>
      </c>
      <c r="AD1303" s="14" t="str">
        <f>IFERROR(__xludf.DUMMYFUNCTION("""COMPUTED_VALUE"""),"2001")</f>
        <v>2001</v>
      </c>
      <c r="AE1303" s="14">
        <f>IFERROR(__xludf.DUMMYFUNCTION("""COMPUTED_VALUE"""),3097.0)</f>
        <v>3097</v>
      </c>
      <c r="AF1303" s="14"/>
    </row>
    <row r="1304">
      <c r="A1304" s="12">
        <v>1303.0</v>
      </c>
      <c r="B1304" s="12" t="s">
        <v>179</v>
      </c>
      <c r="C1304" s="5" t="s">
        <v>61</v>
      </c>
      <c r="D1304" s="8"/>
      <c r="E1304" s="8"/>
      <c r="F1304" s="8"/>
      <c r="G1304" s="8"/>
      <c r="H1304" s="11">
        <v>0.03</v>
      </c>
      <c r="I1304" s="11">
        <v>0.011</v>
      </c>
      <c r="J1304" s="9" t="s">
        <v>63</v>
      </c>
      <c r="K1304" s="14" t="str">
        <f>IFERROR(__xludf.DUMMYFUNCTION("ARRAYFORMULA(VLOOKUP(A1304,IMPORTRANGE(""https://docs.google.com/spreadsheets/d/1BuTWp7qHGjWhqrnf-OmePP568O4A5Am9ttzvVdP67zw/edit#gid=1603210130"", ""TOURISM!$A$2:$F$2692""), {2,3,4,5,6},0))"),"Asia")</f>
        <v>Asia</v>
      </c>
      <c r="L1304" s="14">
        <f>IFERROR(__xludf.DUMMYFUNCTION("""COMPUTED_VALUE"""),4.8E7)</f>
        <v>48000000</v>
      </c>
      <c r="M1304" s="14" t="str">
        <f>IFERROR(__xludf.DUMMYFUNCTION("""COMPUTED_VALUE"""),"Kyrgyzstan-Asia")</f>
        <v>Kyrgyzstan-Asia</v>
      </c>
      <c r="N1304" s="14" t="str">
        <f>IFERROR(__xludf.DUMMYFUNCTION("""COMPUTED_VALUE"""),"2002")</f>
        <v>2002</v>
      </c>
      <c r="O1304" s="14">
        <f>IFERROR(__xludf.DUMMYFUNCTION("""COMPUTED_VALUE"""),2.7E7)</f>
        <v>27000000</v>
      </c>
      <c r="P1304" s="15">
        <f>IFERROR(__xludf.DUMMYFUNCTION("ARRAYFORMULA(VLOOKUP(A1304,IMPORTRANGE(""https://docs.google.com/spreadsheets/d/1BuTWp7qHGjWhqrnf-OmePP568O4A5Am9ttzvVdP67zw/edit#gid=771602874"" ,""HUMAN RESOURCES!$A$2:$M$2692""), {2,3,4,5,6,7,8,9,10,11,12,13},0))"),0.019)</f>
        <v>0.019</v>
      </c>
      <c r="Q1304" s="14">
        <f>IFERROR(__xludf.DUMMYFUNCTION("""COMPUTED_VALUE"""),0.039)</f>
        <v>0.039</v>
      </c>
      <c r="R1304" s="14">
        <f>IFERROR(__xludf.DUMMYFUNCTION("""COMPUTED_VALUE"""),72.0)</f>
        <v>72</v>
      </c>
      <c r="S1304" s="14">
        <f>IFERROR(__xludf.DUMMYFUNCTION("""COMPUTED_VALUE"""),64.0)</f>
        <v>64</v>
      </c>
      <c r="T1304" s="14">
        <f>IFERROR(__xludf.DUMMYFUNCTION("""COMPUTED_VALUE"""),0.335)</f>
        <v>0.335</v>
      </c>
      <c r="U1304" s="14">
        <f>IFERROR(__xludf.DUMMYFUNCTION("""COMPUTED_VALUE"""),0.609)</f>
        <v>0.609</v>
      </c>
      <c r="V1304" s="14">
        <f>IFERROR(__xludf.DUMMYFUNCTION("""COMPUTED_VALUE"""),0.056)</f>
        <v>0.056</v>
      </c>
      <c r="W1304" s="14">
        <f>IFERROR(__xludf.DUMMYFUNCTION("""COMPUTED_VALUE"""),4990700.0)</f>
        <v>4990700</v>
      </c>
      <c r="X1304" s="14">
        <f>IFERROR(__xludf.DUMMYFUNCTION("""COMPUTED_VALUE"""),0.353)</f>
        <v>0.353</v>
      </c>
      <c r="Y1304" s="14" t="str">
        <f>IFERROR(__xludf.DUMMYFUNCTION("""COMPUTED_VALUE"""),"Kyrgyzstan-Asia")</f>
        <v>Kyrgyzstan-Asia</v>
      </c>
      <c r="Z1304" s="14" t="str">
        <f>IFERROR(__xludf.DUMMYFUNCTION("""COMPUTED_VALUE"""),"Asia")</f>
        <v>Asia</v>
      </c>
      <c r="AA1304" s="14" t="str">
        <f>IFERROR(__xludf.DUMMYFUNCTION("""COMPUTED_VALUE"""),"2002")</f>
        <v>2002</v>
      </c>
      <c r="AB1304" s="15" t="str">
        <f>IFERROR(__xludf.DUMMYFUNCTION("ARRAYFORMULA(VLOOKUP(A1304,IMPORTRANGE(""https://docs.google.com/spreadsheets/d/1BuTWp7qHGjWhqrnf-OmePP568O4A5Am9ttzvVdP67zw/edit#gid=1931367683"" ,""ENERGY!$A$2:$F$2692""), {2,3,4,5,6},0))"),"Asia")</f>
        <v>Asia</v>
      </c>
      <c r="AC1304" s="14" t="str">
        <f>IFERROR(__xludf.DUMMYFUNCTION("""COMPUTED_VALUE"""),"Kyrgyzstan-Asia")</f>
        <v>Kyrgyzstan-Asia</v>
      </c>
      <c r="AD1304" s="14" t="str">
        <f>IFERROR(__xludf.DUMMYFUNCTION("""COMPUTED_VALUE"""),"2002")</f>
        <v>2002</v>
      </c>
      <c r="AE1304" s="14">
        <f>IFERROR(__xludf.DUMMYFUNCTION("""COMPUTED_VALUE"""),2805.0)</f>
        <v>2805</v>
      </c>
      <c r="AF1304" s="14">
        <f>IFERROR(__xludf.DUMMYFUNCTION("""COMPUTED_VALUE"""),6399.0)</f>
        <v>6399</v>
      </c>
    </row>
    <row r="1305">
      <c r="A1305" s="12">
        <v>1304.0</v>
      </c>
      <c r="B1305" s="12" t="s">
        <v>179</v>
      </c>
      <c r="C1305" s="5" t="s">
        <v>61</v>
      </c>
      <c r="D1305" s="8"/>
      <c r="E1305" s="11">
        <v>21.0</v>
      </c>
      <c r="F1305" s="8"/>
      <c r="G1305" s="8"/>
      <c r="H1305" s="11">
        <v>0.039</v>
      </c>
      <c r="I1305" s="11">
        <v>0.028</v>
      </c>
      <c r="J1305" s="9" t="s">
        <v>64</v>
      </c>
      <c r="K1305" s="14" t="str">
        <f>IFERROR(__xludf.DUMMYFUNCTION("ARRAYFORMULA(VLOOKUP(A1305,IMPORTRANGE(""https://docs.google.com/spreadsheets/d/1BuTWp7qHGjWhqrnf-OmePP568O4A5Am9ttzvVdP67zw/edit#gid=1603210130"", ""TOURISM!$A$2:$F$2692""), {2,3,4,5,6},0))"),"Asia")</f>
        <v>Asia</v>
      </c>
      <c r="L1305" s="14">
        <f>IFERROR(__xludf.DUMMYFUNCTION("""COMPUTED_VALUE"""),6.2E7)</f>
        <v>62000000</v>
      </c>
      <c r="M1305" s="14" t="str">
        <f>IFERROR(__xludf.DUMMYFUNCTION("""COMPUTED_VALUE"""),"Kyrgyzstan-Asia")</f>
        <v>Kyrgyzstan-Asia</v>
      </c>
      <c r="N1305" s="14" t="str">
        <f>IFERROR(__xludf.DUMMYFUNCTION("""COMPUTED_VALUE"""),"2003")</f>
        <v>2003</v>
      </c>
      <c r="O1305" s="14">
        <f>IFERROR(__xludf.DUMMYFUNCTION("""COMPUTED_VALUE"""),3.5E7)</f>
        <v>35000000</v>
      </c>
      <c r="P1305" s="15">
        <f>IFERROR(__xludf.DUMMYFUNCTION("ARRAYFORMULA(VLOOKUP(A1305,IMPORTRANGE(""https://docs.google.com/spreadsheets/d/1BuTWp7qHGjWhqrnf-OmePP568O4A5Am9ttzvVdP67zw/edit#gid=771602874"" ,""HUMAN RESOURCES!$A$2:$M$2692""), {2,3,4,5,6,7,8,9,10,11,12,13},0))"),0.021)</f>
        <v>0.021</v>
      </c>
      <c r="Q1305" s="14">
        <f>IFERROR(__xludf.DUMMYFUNCTION("""COMPUTED_VALUE"""),0.037)</f>
        <v>0.037</v>
      </c>
      <c r="R1305" s="14">
        <f>IFERROR(__xludf.DUMMYFUNCTION("""COMPUTED_VALUE"""),72.0)</f>
        <v>72</v>
      </c>
      <c r="S1305" s="14">
        <f>IFERROR(__xludf.DUMMYFUNCTION("""COMPUTED_VALUE"""),65.0)</f>
        <v>65</v>
      </c>
      <c r="T1305" s="14">
        <f>IFERROR(__xludf.DUMMYFUNCTION("""COMPUTED_VALUE"""),0.326)</f>
        <v>0.326</v>
      </c>
      <c r="U1305" s="14">
        <f>IFERROR(__xludf.DUMMYFUNCTION("""COMPUTED_VALUE"""),0.617)</f>
        <v>0.617</v>
      </c>
      <c r="V1305" s="14">
        <f>IFERROR(__xludf.DUMMYFUNCTION("""COMPUTED_VALUE"""),0.057)</f>
        <v>0.057</v>
      </c>
      <c r="W1305" s="14">
        <f>IFERROR(__xludf.DUMMYFUNCTION("""COMPUTED_VALUE"""),5043300.0)</f>
        <v>5043300</v>
      </c>
      <c r="X1305" s="14">
        <f>IFERROR(__xludf.DUMMYFUNCTION("""COMPUTED_VALUE"""),0.353)</f>
        <v>0.353</v>
      </c>
      <c r="Y1305" s="14" t="str">
        <f>IFERROR(__xludf.DUMMYFUNCTION("""COMPUTED_VALUE"""),"Kyrgyzstan-Asia")</f>
        <v>Kyrgyzstan-Asia</v>
      </c>
      <c r="Z1305" s="14" t="str">
        <f>IFERROR(__xludf.DUMMYFUNCTION("""COMPUTED_VALUE"""),"Asia")</f>
        <v>Asia</v>
      </c>
      <c r="AA1305" s="14" t="str">
        <f>IFERROR(__xludf.DUMMYFUNCTION("""COMPUTED_VALUE"""),"2003")</f>
        <v>2003</v>
      </c>
      <c r="AB1305" s="15" t="str">
        <f>IFERROR(__xludf.DUMMYFUNCTION("ARRAYFORMULA(VLOOKUP(A1305,IMPORTRANGE(""https://docs.google.com/spreadsheets/d/1BuTWp7qHGjWhqrnf-OmePP568O4A5Am9ttzvVdP67zw/edit#gid=1931367683"" ,""ENERGY!$A$2:$F$2692""), {2,3,4,5,6},0))"),"Asia")</f>
        <v>Asia</v>
      </c>
      <c r="AC1305" s="14" t="str">
        <f>IFERROR(__xludf.DUMMYFUNCTION("""COMPUTED_VALUE"""),"Kyrgyzstan-Asia")</f>
        <v>Kyrgyzstan-Asia</v>
      </c>
      <c r="AD1305" s="14" t="str">
        <f>IFERROR(__xludf.DUMMYFUNCTION("""COMPUTED_VALUE"""),"2003")</f>
        <v>2003</v>
      </c>
      <c r="AE1305" s="14">
        <f>IFERROR(__xludf.DUMMYFUNCTION("""COMPUTED_VALUE"""),2484.0)</f>
        <v>2484</v>
      </c>
      <c r="AF1305" s="14">
        <f>IFERROR(__xludf.DUMMYFUNCTION("""COMPUTED_VALUE"""),6480.0)</f>
        <v>6480</v>
      </c>
    </row>
    <row r="1306">
      <c r="A1306" s="12">
        <v>1305.0</v>
      </c>
      <c r="B1306" s="12" t="s">
        <v>179</v>
      </c>
      <c r="C1306" s="5" t="s">
        <v>61</v>
      </c>
      <c r="D1306" s="8"/>
      <c r="E1306" s="11">
        <v>21.0</v>
      </c>
      <c r="F1306" s="8"/>
      <c r="G1306" s="8"/>
      <c r="H1306" s="11">
        <v>0.051</v>
      </c>
      <c r="I1306" s="11">
        <v>0.052</v>
      </c>
      <c r="J1306" s="9" t="s">
        <v>65</v>
      </c>
      <c r="K1306" s="14" t="str">
        <f>IFERROR(__xludf.DUMMYFUNCTION("ARRAYFORMULA(VLOOKUP(A1306,IMPORTRANGE(""https://docs.google.com/spreadsheets/d/1BuTWp7qHGjWhqrnf-OmePP568O4A5Am9ttzvVdP67zw/edit#gid=1603210130"", ""TOURISM!$A$2:$F$2692""), {2,3,4,5,6},0))"),"Asia")</f>
        <v>Asia</v>
      </c>
      <c r="L1306" s="14">
        <f>IFERROR(__xludf.DUMMYFUNCTION("""COMPUTED_VALUE"""),9.2E7)</f>
        <v>92000000</v>
      </c>
      <c r="M1306" s="14" t="str">
        <f>IFERROR(__xludf.DUMMYFUNCTION("""COMPUTED_VALUE"""),"Kyrgyzstan-Asia")</f>
        <v>Kyrgyzstan-Asia</v>
      </c>
      <c r="N1306" s="14" t="str">
        <f>IFERROR(__xludf.DUMMYFUNCTION("""COMPUTED_VALUE"""),"2004")</f>
        <v>2004</v>
      </c>
      <c r="O1306" s="14">
        <f>IFERROR(__xludf.DUMMYFUNCTION("""COMPUTED_VALUE"""),7.3E7)</f>
        <v>73000000</v>
      </c>
      <c r="P1306" s="15">
        <f>IFERROR(__xludf.DUMMYFUNCTION("ARRAYFORMULA(VLOOKUP(A1306,IMPORTRANGE(""https://docs.google.com/spreadsheets/d/1BuTWp7qHGjWhqrnf-OmePP568O4A5Am9ttzvVdP67zw/edit#gid=771602874"" ,""HUMAN RESOURCES!$A$2:$M$2692""), {2,3,4,5,6,7,8,9,10,11,12,13},0))"),0.022)</f>
        <v>0.022</v>
      </c>
      <c r="Q1306" s="14">
        <f>IFERROR(__xludf.DUMMYFUNCTION("""COMPUTED_VALUE"""),0.036)</f>
        <v>0.036</v>
      </c>
      <c r="R1306" s="14">
        <f>IFERROR(__xludf.DUMMYFUNCTION("""COMPUTED_VALUE"""),72.0)</f>
        <v>72</v>
      </c>
      <c r="S1306" s="14">
        <f>IFERROR(__xludf.DUMMYFUNCTION("""COMPUTED_VALUE"""),64.0)</f>
        <v>64</v>
      </c>
      <c r="T1306" s="14">
        <f>IFERROR(__xludf.DUMMYFUNCTION("""COMPUTED_VALUE"""),0.319)</f>
        <v>0.319</v>
      </c>
      <c r="U1306" s="14">
        <f>IFERROR(__xludf.DUMMYFUNCTION("""COMPUTED_VALUE"""),0.624)</f>
        <v>0.624</v>
      </c>
      <c r="V1306" s="14">
        <f>IFERROR(__xludf.DUMMYFUNCTION("""COMPUTED_VALUE"""),0.057)</f>
        <v>0.057</v>
      </c>
      <c r="W1306" s="14">
        <f>IFERROR(__xludf.DUMMYFUNCTION("""COMPUTED_VALUE"""),5104700.0)</f>
        <v>5104700</v>
      </c>
      <c r="X1306" s="14">
        <f>IFERROR(__xludf.DUMMYFUNCTION("""COMPUTED_VALUE"""),0.353)</f>
        <v>0.353</v>
      </c>
      <c r="Y1306" s="14" t="str">
        <f>IFERROR(__xludf.DUMMYFUNCTION("""COMPUTED_VALUE"""),"Kyrgyzstan-Asia")</f>
        <v>Kyrgyzstan-Asia</v>
      </c>
      <c r="Z1306" s="14" t="str">
        <f>IFERROR(__xludf.DUMMYFUNCTION("""COMPUTED_VALUE"""),"Asia")</f>
        <v>Asia</v>
      </c>
      <c r="AA1306" s="14" t="str">
        <f>IFERROR(__xludf.DUMMYFUNCTION("""COMPUTED_VALUE"""),"2004")</f>
        <v>2004</v>
      </c>
      <c r="AB1306" s="15" t="str">
        <f>IFERROR(__xludf.DUMMYFUNCTION("ARRAYFORMULA(VLOOKUP(A1306,IMPORTRANGE(""https://docs.google.com/spreadsheets/d/1BuTWp7qHGjWhqrnf-OmePP568O4A5Am9ttzvVdP67zw/edit#gid=1931367683"" ,""ENERGY!$A$2:$F$2692""), {2,3,4,5,6},0))"),"Asia")</f>
        <v>Asia</v>
      </c>
      <c r="AC1306" s="14" t="str">
        <f>IFERROR(__xludf.DUMMYFUNCTION("""COMPUTED_VALUE"""),"Kyrgyzstan-Asia")</f>
        <v>Kyrgyzstan-Asia</v>
      </c>
      <c r="AD1306" s="14" t="str">
        <f>IFERROR(__xludf.DUMMYFUNCTION("""COMPUTED_VALUE"""),"2004")</f>
        <v>2004</v>
      </c>
      <c r="AE1306" s="14">
        <f>IFERROR(__xludf.DUMMYFUNCTION("""COMPUTED_VALUE"""),2846.0)</f>
        <v>2846</v>
      </c>
      <c r="AF1306" s="14">
        <f>IFERROR(__xludf.DUMMYFUNCTION("""COMPUTED_VALUE"""),5680.0)</f>
        <v>5680</v>
      </c>
    </row>
    <row r="1307">
      <c r="A1307" s="12">
        <v>1306.0</v>
      </c>
      <c r="B1307" s="12" t="s">
        <v>179</v>
      </c>
      <c r="C1307" s="5" t="s">
        <v>61</v>
      </c>
      <c r="D1307" s="11">
        <v>0.681</v>
      </c>
      <c r="E1307" s="11">
        <v>21.0</v>
      </c>
      <c r="F1307" s="8"/>
      <c r="G1307" s="11">
        <v>202.0</v>
      </c>
      <c r="H1307" s="11">
        <v>0.105</v>
      </c>
      <c r="I1307" s="11">
        <v>0.107</v>
      </c>
      <c r="J1307" s="9" t="s">
        <v>66</v>
      </c>
      <c r="K1307" s="14" t="str">
        <f>IFERROR(__xludf.DUMMYFUNCTION("ARRAYFORMULA(VLOOKUP(A1307,IMPORTRANGE(""https://docs.google.com/spreadsheets/d/1BuTWp7qHGjWhqrnf-OmePP568O4A5Am9ttzvVdP67zw/edit#gid=1603210130"", ""TOURISM!$A$2:$F$2692""), {2,3,4,5,6},0))"),"Asia")</f>
        <v>Asia</v>
      </c>
      <c r="L1307" s="14">
        <f>IFERROR(__xludf.DUMMYFUNCTION("""COMPUTED_VALUE"""),9.4E7)</f>
        <v>94000000</v>
      </c>
      <c r="M1307" s="14" t="str">
        <f>IFERROR(__xludf.DUMMYFUNCTION("""COMPUTED_VALUE"""),"Kyrgyzstan-Asia")</f>
        <v>Kyrgyzstan-Asia</v>
      </c>
      <c r="N1307" s="14" t="str">
        <f>IFERROR(__xludf.DUMMYFUNCTION("""COMPUTED_VALUE"""),"2005")</f>
        <v>2005</v>
      </c>
      <c r="O1307" s="14">
        <f>IFERROR(__xludf.DUMMYFUNCTION("""COMPUTED_VALUE"""),9.4E7)</f>
        <v>94000000</v>
      </c>
      <c r="P1307" s="15">
        <f>IFERROR(__xludf.DUMMYFUNCTION("ARRAYFORMULA(VLOOKUP(A1307,IMPORTRANGE(""https://docs.google.com/spreadsheets/d/1BuTWp7qHGjWhqrnf-OmePP568O4A5Am9ttzvVdP67zw/edit#gid=771602874"" ,""HUMAN RESOURCES!$A$2:$M$2692""), {2,3,4,5,6,7,8,9,10,11,12,13},0))"),0.021)</f>
        <v>0.021</v>
      </c>
      <c r="Q1307" s="14">
        <f>IFERROR(__xludf.DUMMYFUNCTION("""COMPUTED_VALUE"""),0.034)</f>
        <v>0.034</v>
      </c>
      <c r="R1307" s="14">
        <f>IFERROR(__xludf.DUMMYFUNCTION("""COMPUTED_VALUE"""),72.0)</f>
        <v>72</v>
      </c>
      <c r="S1307" s="14">
        <f>IFERROR(__xludf.DUMMYFUNCTION("""COMPUTED_VALUE"""),64.0)</f>
        <v>64</v>
      </c>
      <c r="T1307" s="14">
        <f>IFERROR(__xludf.DUMMYFUNCTION("""COMPUTED_VALUE"""),0.313)</f>
        <v>0.313</v>
      </c>
      <c r="U1307" s="14">
        <f>IFERROR(__xludf.DUMMYFUNCTION("""COMPUTED_VALUE"""),0.631)</f>
        <v>0.631</v>
      </c>
      <c r="V1307" s="14">
        <f>IFERROR(__xludf.DUMMYFUNCTION("""COMPUTED_VALUE"""),0.056)</f>
        <v>0.056</v>
      </c>
      <c r="W1307" s="14">
        <f>IFERROR(__xludf.DUMMYFUNCTION("""COMPUTED_VALUE"""),5162600.0)</f>
        <v>5162600</v>
      </c>
      <c r="X1307" s="14">
        <f>IFERROR(__xludf.DUMMYFUNCTION("""COMPUTED_VALUE"""),0.353)</f>
        <v>0.353</v>
      </c>
      <c r="Y1307" s="14" t="str">
        <f>IFERROR(__xludf.DUMMYFUNCTION("""COMPUTED_VALUE"""),"Kyrgyzstan-Asia")</f>
        <v>Kyrgyzstan-Asia</v>
      </c>
      <c r="Z1307" s="14" t="str">
        <f>IFERROR(__xludf.DUMMYFUNCTION("""COMPUTED_VALUE"""),"Asia")</f>
        <v>Asia</v>
      </c>
      <c r="AA1307" s="14" t="str">
        <f>IFERROR(__xludf.DUMMYFUNCTION("""COMPUTED_VALUE"""),"2005")</f>
        <v>2005</v>
      </c>
      <c r="AB1307" s="15" t="str">
        <f>IFERROR(__xludf.DUMMYFUNCTION("ARRAYFORMULA(VLOOKUP(A1307,IMPORTRANGE(""https://docs.google.com/spreadsheets/d/1BuTWp7qHGjWhqrnf-OmePP568O4A5Am9ttzvVdP67zw/edit#gid=1931367683"" ,""ENERGY!$A$2:$F$2692""), {2,3,4,5,6},0))"),"Asia")</f>
        <v>Asia</v>
      </c>
      <c r="AC1307" s="14" t="str">
        <f>IFERROR(__xludf.DUMMYFUNCTION("""COMPUTED_VALUE"""),"Kyrgyzstan-Asia")</f>
        <v>Kyrgyzstan-Asia</v>
      </c>
      <c r="AD1307" s="14" t="str">
        <f>IFERROR(__xludf.DUMMYFUNCTION("""COMPUTED_VALUE"""),"2007")</f>
        <v>2007</v>
      </c>
      <c r="AE1307" s="14">
        <f>IFERROR(__xludf.DUMMYFUNCTION("""COMPUTED_VALUE"""),2726.0)</f>
        <v>2726</v>
      </c>
      <c r="AF1307" s="14">
        <f>IFERROR(__xludf.DUMMYFUNCTION("""COMPUTED_VALUE"""),5871.0)</f>
        <v>5871</v>
      </c>
    </row>
    <row r="1308">
      <c r="A1308" s="12">
        <v>1307.0</v>
      </c>
      <c r="B1308" s="12" t="s">
        <v>179</v>
      </c>
      <c r="C1308" s="5" t="s">
        <v>61</v>
      </c>
      <c r="D1308" s="11">
        <v>0.672</v>
      </c>
      <c r="E1308" s="11">
        <v>21.0</v>
      </c>
      <c r="F1308" s="8"/>
      <c r="G1308" s="11">
        <v>202.0</v>
      </c>
      <c r="H1308" s="11">
        <v>0.123</v>
      </c>
      <c r="I1308" s="11">
        <v>0.248</v>
      </c>
      <c r="J1308" s="9" t="s">
        <v>67</v>
      </c>
      <c r="K1308" s="14" t="str">
        <f>IFERROR(__xludf.DUMMYFUNCTION("ARRAYFORMULA(VLOOKUP(A1308,IMPORTRANGE(""https://docs.google.com/spreadsheets/d/1BuTWp7qHGjWhqrnf-OmePP568O4A5Am9ttzvVdP67zw/edit#gid=1603210130"", ""TOURISM!$A$2:$F$2692""), {2,3,4,5,6},0))"),"Asia")</f>
        <v>Asia</v>
      </c>
      <c r="L1308" s="14">
        <f>IFERROR(__xludf.DUMMYFUNCTION("""COMPUTED_VALUE"""),1.89E8)</f>
        <v>189000000</v>
      </c>
      <c r="M1308" s="14" t="str">
        <f>IFERROR(__xludf.DUMMYFUNCTION("""COMPUTED_VALUE"""),"Kyrgyzstan-Asia")</f>
        <v>Kyrgyzstan-Asia</v>
      </c>
      <c r="N1308" s="14" t="str">
        <f>IFERROR(__xludf.DUMMYFUNCTION("""COMPUTED_VALUE"""),"2006")</f>
        <v>2006</v>
      </c>
      <c r="O1308" s="14">
        <f>IFERROR(__xludf.DUMMYFUNCTION("""COMPUTED_VALUE"""),1.42E8)</f>
        <v>142000000</v>
      </c>
      <c r="P1308" s="15">
        <f>IFERROR(__xludf.DUMMYFUNCTION("ARRAYFORMULA(VLOOKUP(A1308,IMPORTRANGE(""https://docs.google.com/spreadsheets/d/1BuTWp7qHGjWhqrnf-OmePP568O4A5Am9ttzvVdP67zw/edit#gid=771602874"" ,""HUMAN RESOURCES!$A$2:$M$2692""), {2,3,4,5,6,7,8,9,10,11,12,13},0))"),0.023)</f>
        <v>0.023</v>
      </c>
      <c r="Q1308" s="14">
        <f>IFERROR(__xludf.DUMMYFUNCTION("""COMPUTED_VALUE"""),0.033)</f>
        <v>0.033</v>
      </c>
      <c r="R1308" s="14">
        <f>IFERROR(__xludf.DUMMYFUNCTION("""COMPUTED_VALUE"""),72.0)</f>
        <v>72</v>
      </c>
      <c r="S1308" s="14">
        <f>IFERROR(__xludf.DUMMYFUNCTION("""COMPUTED_VALUE"""),64.0)</f>
        <v>64</v>
      </c>
      <c r="T1308" s="14">
        <f>IFERROR(__xludf.DUMMYFUNCTION("""COMPUTED_VALUE"""),0.308)</f>
        <v>0.308</v>
      </c>
      <c r="U1308" s="14">
        <f>IFERROR(__xludf.DUMMYFUNCTION("""COMPUTED_VALUE"""),0.638)</f>
        <v>0.638</v>
      </c>
      <c r="V1308" s="14">
        <f>IFERROR(__xludf.DUMMYFUNCTION("""COMPUTED_VALUE"""),0.054)</f>
        <v>0.054</v>
      </c>
      <c r="W1308" s="14">
        <f>IFERROR(__xludf.DUMMYFUNCTION("""COMPUTED_VALUE"""),5218400.0)</f>
        <v>5218400</v>
      </c>
      <c r="X1308" s="14">
        <f>IFERROR(__xludf.DUMMYFUNCTION("""COMPUTED_VALUE"""),0.353)</f>
        <v>0.353</v>
      </c>
      <c r="Y1308" s="14" t="str">
        <f>IFERROR(__xludf.DUMMYFUNCTION("""COMPUTED_VALUE"""),"Kyrgyzstan-Asia")</f>
        <v>Kyrgyzstan-Asia</v>
      </c>
      <c r="Z1308" s="14" t="str">
        <f>IFERROR(__xludf.DUMMYFUNCTION("""COMPUTED_VALUE"""),"Asia")</f>
        <v>Asia</v>
      </c>
      <c r="AA1308" s="14" t="str">
        <f>IFERROR(__xludf.DUMMYFUNCTION("""COMPUTED_VALUE"""),"2006")</f>
        <v>2006</v>
      </c>
      <c r="AB1308" s="15" t="str">
        <f>IFERROR(__xludf.DUMMYFUNCTION("ARRAYFORMULA(VLOOKUP(A1308,IMPORTRANGE(""https://docs.google.com/spreadsheets/d/1BuTWp7qHGjWhqrnf-OmePP568O4A5Am9ttzvVdP67zw/edit#gid=1931367683"" ,""ENERGY!$A$2:$F$2692""), {2,3,4,5,6},0))"),"Asia")</f>
        <v>Asia</v>
      </c>
      <c r="AC1308" s="14" t="str">
        <f>IFERROR(__xludf.DUMMYFUNCTION("""COMPUTED_VALUE"""),"Kyrgyzstan-Asia")</f>
        <v>Kyrgyzstan-Asia</v>
      </c>
      <c r="AD1308" s="14" t="str">
        <f>IFERROR(__xludf.DUMMYFUNCTION("""COMPUTED_VALUE"""),"2011")</f>
        <v>2011</v>
      </c>
      <c r="AE1308" s="14">
        <f>IFERROR(__xludf.DUMMYFUNCTION("""COMPUTED_VALUE"""),2450.0)</f>
        <v>2450</v>
      </c>
      <c r="AF1308" s="14">
        <f>IFERROR(__xludf.DUMMYFUNCTION("""COMPUTED_VALUE"""),5145.0)</f>
        <v>5145</v>
      </c>
    </row>
    <row r="1309">
      <c r="A1309" s="12">
        <v>1308.0</v>
      </c>
      <c r="B1309" s="12" t="s">
        <v>179</v>
      </c>
      <c r="C1309" s="5" t="s">
        <v>61</v>
      </c>
      <c r="D1309" s="11">
        <v>0.614</v>
      </c>
      <c r="E1309" s="11">
        <v>21.0</v>
      </c>
      <c r="F1309" s="8"/>
      <c r="G1309" s="11">
        <v>202.0</v>
      </c>
      <c r="H1309" s="11">
        <v>0.14</v>
      </c>
      <c r="I1309" s="11">
        <v>0.422</v>
      </c>
      <c r="J1309" s="9" t="s">
        <v>68</v>
      </c>
      <c r="K1309" s="14" t="str">
        <f>IFERROR(__xludf.DUMMYFUNCTION("ARRAYFORMULA(VLOOKUP(A1309,IMPORTRANGE(""https://docs.google.com/spreadsheets/d/1BuTWp7qHGjWhqrnf-OmePP568O4A5Am9ttzvVdP67zw/edit#gid=1603210130"", ""TOURISM!$A$2:$F$2692""), {2,3,4,5,6},0))"),"Asia")</f>
        <v>Asia</v>
      </c>
      <c r="L1309" s="14">
        <f>IFERROR(__xludf.DUMMYFUNCTION("""COMPUTED_VALUE"""),3.92E8)</f>
        <v>392000000</v>
      </c>
      <c r="M1309" s="14" t="str">
        <f>IFERROR(__xludf.DUMMYFUNCTION("""COMPUTED_VALUE"""),"Kyrgyzstan-Asia")</f>
        <v>Kyrgyzstan-Asia</v>
      </c>
      <c r="N1309" s="14" t="str">
        <f>IFERROR(__xludf.DUMMYFUNCTION("""COMPUTED_VALUE"""),"2007")</f>
        <v>2007</v>
      </c>
      <c r="O1309" s="14">
        <f>IFERROR(__xludf.DUMMYFUNCTION("""COMPUTED_VALUE"""),2.15E8)</f>
        <v>215000000</v>
      </c>
      <c r="P1309" s="15">
        <f>IFERROR(__xludf.DUMMYFUNCTION("ARRAYFORMULA(VLOOKUP(A1309,IMPORTRANGE(""https://docs.google.com/spreadsheets/d/1BuTWp7qHGjWhqrnf-OmePP568O4A5Am9ttzvVdP67zw/edit#gid=771602874"" ,""HUMAN RESOURCES!$A$2:$M$2692""), {2,3,4,5,6,7,8,9,10,11,12,13},0))"),0.023)</f>
        <v>0.023</v>
      </c>
      <c r="Q1309" s="14">
        <f>IFERROR(__xludf.DUMMYFUNCTION("""COMPUTED_VALUE"""),0.032)</f>
        <v>0.032</v>
      </c>
      <c r="R1309" s="14">
        <f>IFERROR(__xludf.DUMMYFUNCTION("""COMPUTED_VALUE"""),72.0)</f>
        <v>72</v>
      </c>
      <c r="S1309" s="14">
        <f>IFERROR(__xludf.DUMMYFUNCTION("""COMPUTED_VALUE"""),64.0)</f>
        <v>64</v>
      </c>
      <c r="T1309" s="14">
        <f>IFERROR(__xludf.DUMMYFUNCTION("""COMPUTED_VALUE"""),0.304)</f>
        <v>0.304</v>
      </c>
      <c r="U1309" s="14">
        <f>IFERROR(__xludf.DUMMYFUNCTION("""COMPUTED_VALUE"""),0.644)</f>
        <v>0.644</v>
      </c>
      <c r="V1309" s="14">
        <f>IFERROR(__xludf.DUMMYFUNCTION("""COMPUTED_VALUE"""),0.052)</f>
        <v>0.052</v>
      </c>
      <c r="W1309" s="14">
        <f>IFERROR(__xludf.DUMMYFUNCTION("""COMPUTED_VALUE"""),5268400.0)</f>
        <v>5268400</v>
      </c>
      <c r="X1309" s="14">
        <f>IFERROR(__xludf.DUMMYFUNCTION("""COMPUTED_VALUE"""),0.353)</f>
        <v>0.353</v>
      </c>
      <c r="Y1309" s="14" t="str">
        <f>IFERROR(__xludf.DUMMYFUNCTION("""COMPUTED_VALUE"""),"Kyrgyzstan-Asia")</f>
        <v>Kyrgyzstan-Asia</v>
      </c>
      <c r="Z1309" s="14" t="str">
        <f>IFERROR(__xludf.DUMMYFUNCTION("""COMPUTED_VALUE"""),"Asia")</f>
        <v>Asia</v>
      </c>
      <c r="AA1309" s="14" t="str">
        <f>IFERROR(__xludf.DUMMYFUNCTION("""COMPUTED_VALUE"""),"2007")</f>
        <v>2007</v>
      </c>
      <c r="AB1309" s="15" t="str">
        <f>IFERROR(__xludf.DUMMYFUNCTION("ARRAYFORMULA(VLOOKUP(A1309,IMPORTRANGE(""https://docs.google.com/spreadsheets/d/1BuTWp7qHGjWhqrnf-OmePP568O4A5Am9ttzvVdP67zw/edit#gid=1931367683"" ,""ENERGY!$A$2:$F$2692""), {2,3,4,5,6},0))"),"Asia")</f>
        <v>Asia</v>
      </c>
      <c r="AC1309" s="14" t="str">
        <f>IFERROR(__xludf.DUMMYFUNCTION("""COMPUTED_VALUE"""),"Kyrgyzstan-Asia")</f>
        <v>Kyrgyzstan-Asia</v>
      </c>
      <c r="AD1309" s="14" t="str">
        <f>IFERROR(__xludf.DUMMYFUNCTION("""COMPUTED_VALUE"""),"2008")</f>
        <v>2008</v>
      </c>
      <c r="AE1309" s="14">
        <f>IFERROR(__xludf.DUMMYFUNCTION("""COMPUTED_VALUE"""),2497.0)</f>
        <v>2497</v>
      </c>
      <c r="AF1309" s="14">
        <f>IFERROR(__xludf.DUMMYFUNCTION("""COMPUTED_VALUE"""),5233.0)</f>
        <v>5233</v>
      </c>
    </row>
    <row r="1310">
      <c r="A1310" s="12">
        <v>1309.0</v>
      </c>
      <c r="B1310" s="12" t="s">
        <v>179</v>
      </c>
      <c r="C1310" s="5" t="s">
        <v>61</v>
      </c>
      <c r="D1310" s="11">
        <v>0.614</v>
      </c>
      <c r="E1310" s="11">
        <v>15.0</v>
      </c>
      <c r="F1310" s="8"/>
      <c r="G1310" s="11">
        <v>202.0</v>
      </c>
      <c r="H1310" s="11">
        <v>0.157</v>
      </c>
      <c r="I1310" s="11">
        <v>0.653</v>
      </c>
      <c r="J1310" s="9" t="s">
        <v>69</v>
      </c>
      <c r="K1310" s="14" t="str">
        <f>IFERROR(__xludf.DUMMYFUNCTION("ARRAYFORMULA(VLOOKUP(A1310,IMPORTRANGE(""https://docs.google.com/spreadsheets/d/1BuTWp7qHGjWhqrnf-OmePP568O4A5Am9ttzvVdP67zw/edit#gid=1603210130"", ""TOURISM!$A$2:$F$2692""), {2,3,4,5,6},0))"),"Asia")</f>
        <v>Asia</v>
      </c>
      <c r="L1310" s="14">
        <f>IFERROR(__xludf.DUMMYFUNCTION("""COMPUTED_VALUE"""),5.69E8)</f>
        <v>569000000</v>
      </c>
      <c r="M1310" s="14" t="str">
        <f>IFERROR(__xludf.DUMMYFUNCTION("""COMPUTED_VALUE"""),"Kyrgyzstan-Asia")</f>
        <v>Kyrgyzstan-Asia</v>
      </c>
      <c r="N1310" s="14" t="str">
        <f>IFERROR(__xludf.DUMMYFUNCTION("""COMPUTED_VALUE"""),"2008")</f>
        <v>2008</v>
      </c>
      <c r="O1310" s="14">
        <f>IFERROR(__xludf.DUMMYFUNCTION("""COMPUTED_VALUE"""),4.51E8)</f>
        <v>451000000</v>
      </c>
      <c r="P1310" s="15">
        <f>IFERROR(__xludf.DUMMYFUNCTION("ARRAYFORMULA(VLOOKUP(A1310,IMPORTRANGE(""https://docs.google.com/spreadsheets/d/1BuTWp7qHGjWhqrnf-OmePP568O4A5Am9ttzvVdP67zw/edit#gid=771602874"" ,""HUMAN RESOURCES!$A$2:$M$2692""), {2,3,4,5,6,7,8,9,10,11,12,13},0))"),0.024)</f>
        <v>0.024</v>
      </c>
      <c r="Q1310" s="14">
        <f>IFERROR(__xludf.DUMMYFUNCTION("""COMPUTED_VALUE"""),0.03)</f>
        <v>0.03</v>
      </c>
      <c r="R1310" s="14">
        <f>IFERROR(__xludf.DUMMYFUNCTION("""COMPUTED_VALUE"""),73.0)</f>
        <v>73</v>
      </c>
      <c r="S1310" s="14">
        <f>IFERROR(__xludf.DUMMYFUNCTION("""COMPUTED_VALUE"""),65.0)</f>
        <v>65</v>
      </c>
      <c r="T1310" s="14">
        <f>IFERROR(__xludf.DUMMYFUNCTION("""COMPUTED_VALUE"""),0.302)</f>
        <v>0.302</v>
      </c>
      <c r="U1310" s="14">
        <f>IFERROR(__xludf.DUMMYFUNCTION("""COMPUTED_VALUE"""),0.649)</f>
        <v>0.649</v>
      </c>
      <c r="V1310" s="14">
        <f>IFERROR(__xludf.DUMMYFUNCTION("""COMPUTED_VALUE"""),0.049)</f>
        <v>0.049</v>
      </c>
      <c r="W1310" s="14">
        <f>IFERROR(__xludf.DUMMYFUNCTION("""COMPUTED_VALUE"""),5318700.0)</f>
        <v>5318700</v>
      </c>
      <c r="X1310" s="14">
        <f>IFERROR(__xludf.DUMMYFUNCTION("""COMPUTED_VALUE"""),0.353)</f>
        <v>0.353</v>
      </c>
      <c r="Y1310" s="14" t="str">
        <f>IFERROR(__xludf.DUMMYFUNCTION("""COMPUTED_VALUE"""),"Kyrgyzstan-Asia")</f>
        <v>Kyrgyzstan-Asia</v>
      </c>
      <c r="Z1310" s="14" t="str">
        <f>IFERROR(__xludf.DUMMYFUNCTION("""COMPUTED_VALUE"""),"Asia")</f>
        <v>Asia</v>
      </c>
      <c r="AA1310" s="14" t="str">
        <f>IFERROR(__xludf.DUMMYFUNCTION("""COMPUTED_VALUE"""),"2008")</f>
        <v>2008</v>
      </c>
      <c r="AB1310" s="15" t="str">
        <f>IFERROR(__xludf.DUMMYFUNCTION("ARRAYFORMULA(VLOOKUP(A1310,IMPORTRANGE(""https://docs.google.com/spreadsheets/d/1BuTWp7qHGjWhqrnf-OmePP568O4A5Am9ttzvVdP67zw/edit#gid=1931367683"" ,""ENERGY!$A$2:$F$2692""), {2,3,4,5,6},0))"),"Asia")</f>
        <v>Asia</v>
      </c>
      <c r="AC1310" s="14" t="str">
        <f>IFERROR(__xludf.DUMMYFUNCTION("""COMPUTED_VALUE"""),"Kyrgyzstan-Asia")</f>
        <v>Kyrgyzstan-Asia</v>
      </c>
      <c r="AD1310" s="14" t="str">
        <f>IFERROR(__xludf.DUMMYFUNCTION("""COMPUTED_VALUE"""),"2006")</f>
        <v>2006</v>
      </c>
      <c r="AE1310" s="14">
        <f>IFERROR(__xludf.DUMMYFUNCTION("""COMPUTED_VALUE"""),2542.0)</f>
        <v>2542</v>
      </c>
      <c r="AF1310" s="14">
        <f>IFERROR(__xludf.DUMMYFUNCTION("""COMPUTED_VALUE"""),5699.0)</f>
        <v>5699</v>
      </c>
    </row>
    <row r="1311">
      <c r="A1311" s="12">
        <v>1310.0</v>
      </c>
      <c r="B1311" s="12" t="s">
        <v>179</v>
      </c>
      <c r="C1311" s="5" t="s">
        <v>61</v>
      </c>
      <c r="D1311" s="11">
        <v>0.594</v>
      </c>
      <c r="E1311" s="11">
        <v>11.0</v>
      </c>
      <c r="F1311" s="8"/>
      <c r="G1311" s="11">
        <v>202.0</v>
      </c>
      <c r="H1311" s="11">
        <v>0.17</v>
      </c>
      <c r="I1311" s="11">
        <v>0.852</v>
      </c>
      <c r="J1311" s="9" t="s">
        <v>70</v>
      </c>
      <c r="K1311" s="14" t="str">
        <f>IFERROR(__xludf.DUMMYFUNCTION("ARRAYFORMULA(VLOOKUP(A1311,IMPORTRANGE(""https://docs.google.com/spreadsheets/d/1BuTWp7qHGjWhqrnf-OmePP568O4A5Am9ttzvVdP67zw/edit#gid=1603210130"", ""TOURISM!$A$2:$F$2692""), {2,3,4,5,6},0))"),"Asia")</f>
        <v>Asia</v>
      </c>
      <c r="L1311" s="14">
        <f>IFERROR(__xludf.DUMMYFUNCTION("""COMPUTED_VALUE"""),5.06E8)</f>
        <v>506000000</v>
      </c>
      <c r="M1311" s="14" t="str">
        <f>IFERROR(__xludf.DUMMYFUNCTION("""COMPUTED_VALUE"""),"Kyrgyzstan-Asia")</f>
        <v>Kyrgyzstan-Asia</v>
      </c>
      <c r="N1311" s="14" t="str">
        <f>IFERROR(__xludf.DUMMYFUNCTION("""COMPUTED_VALUE"""),"2009")</f>
        <v>2009</v>
      </c>
      <c r="O1311" s="14">
        <f>IFERROR(__xludf.DUMMYFUNCTION("""COMPUTED_VALUE"""),3.93E8)</f>
        <v>393000000</v>
      </c>
      <c r="P1311" s="15">
        <f>IFERROR(__xludf.DUMMYFUNCTION("ARRAYFORMULA(VLOOKUP(A1311,IMPORTRANGE(""https://docs.google.com/spreadsheets/d/1BuTWp7qHGjWhqrnf-OmePP568O4A5Am9ttzvVdP67zw/edit#gid=771602874"" ,""HUMAN RESOURCES!$A$2:$M$2692""), {2,3,4,5,6,7,8,9,10,11,12,13},0))"),0.025)</f>
        <v>0.025</v>
      </c>
      <c r="Q1311" s="14">
        <f>IFERROR(__xludf.DUMMYFUNCTION("""COMPUTED_VALUE"""),0.029)</f>
        <v>0.029</v>
      </c>
      <c r="R1311" s="14">
        <f>IFERROR(__xludf.DUMMYFUNCTION("""COMPUTED_VALUE"""),73.0)</f>
        <v>73</v>
      </c>
      <c r="S1311" s="14">
        <f>IFERROR(__xludf.DUMMYFUNCTION("""COMPUTED_VALUE"""),65.0)</f>
        <v>65</v>
      </c>
      <c r="T1311" s="14">
        <f>IFERROR(__xludf.DUMMYFUNCTION("""COMPUTED_VALUE"""),0.301)</f>
        <v>0.301</v>
      </c>
      <c r="U1311" s="14">
        <f>IFERROR(__xludf.DUMMYFUNCTION("""COMPUTED_VALUE"""),0.653)</f>
        <v>0.653</v>
      </c>
      <c r="V1311" s="14">
        <f>IFERROR(__xludf.DUMMYFUNCTION("""COMPUTED_VALUE"""),0.046)</f>
        <v>0.046</v>
      </c>
      <c r="W1311" s="14">
        <f>IFERROR(__xludf.DUMMYFUNCTION("""COMPUTED_VALUE"""),5383300.0)</f>
        <v>5383300</v>
      </c>
      <c r="X1311" s="14">
        <f>IFERROR(__xludf.DUMMYFUNCTION("""COMPUTED_VALUE"""),0.353)</f>
        <v>0.353</v>
      </c>
      <c r="Y1311" s="14" t="str">
        <f>IFERROR(__xludf.DUMMYFUNCTION("""COMPUTED_VALUE"""),"Kyrgyzstan-Asia")</f>
        <v>Kyrgyzstan-Asia</v>
      </c>
      <c r="Z1311" s="14" t="str">
        <f>IFERROR(__xludf.DUMMYFUNCTION("""COMPUTED_VALUE"""),"Asia")</f>
        <v>Asia</v>
      </c>
      <c r="AA1311" s="14" t="str">
        <f>IFERROR(__xludf.DUMMYFUNCTION("""COMPUTED_VALUE"""),"2009")</f>
        <v>2009</v>
      </c>
      <c r="AB1311" s="15" t="str">
        <f>IFERROR(__xludf.DUMMYFUNCTION("ARRAYFORMULA(VLOOKUP(A1311,IMPORTRANGE(""https://docs.google.com/spreadsheets/d/1BuTWp7qHGjWhqrnf-OmePP568O4A5Am9ttzvVdP67zw/edit#gid=1931367683"" ,""ENERGY!$A$2:$F$2692""), {2,3,4,5,6},0))"),"Asia")</f>
        <v>Asia</v>
      </c>
      <c r="AC1311" s="14" t="str">
        <f>IFERROR(__xludf.DUMMYFUNCTION("""COMPUTED_VALUE"""),"Kyrgyzstan-Asia")</f>
        <v>Kyrgyzstan-Asia</v>
      </c>
      <c r="AD1311" s="14" t="str">
        <f>IFERROR(__xludf.DUMMYFUNCTION("""COMPUTED_VALUE"""),"2010")</f>
        <v>2010</v>
      </c>
      <c r="AE1311" s="14">
        <f>IFERROR(__xludf.DUMMYFUNCTION("""COMPUTED_VALUE"""),2584.0)</f>
        <v>2584</v>
      </c>
      <c r="AF1311" s="14">
        <f>IFERROR(__xludf.DUMMYFUNCTION("""COMPUTED_VALUE"""),5328.0)</f>
        <v>5328</v>
      </c>
    </row>
    <row r="1312">
      <c r="A1312" s="12">
        <v>1311.0</v>
      </c>
      <c r="B1312" s="12" t="s">
        <v>179</v>
      </c>
      <c r="C1312" s="5" t="s">
        <v>61</v>
      </c>
      <c r="D1312" s="11">
        <v>0.306</v>
      </c>
      <c r="E1312" s="11">
        <v>10.0</v>
      </c>
      <c r="F1312" s="8"/>
      <c r="G1312" s="11">
        <v>202.0</v>
      </c>
      <c r="H1312" s="11">
        <v>0.184</v>
      </c>
      <c r="I1312" s="11">
        <v>0.989</v>
      </c>
      <c r="J1312" s="9" t="s">
        <v>71</v>
      </c>
      <c r="K1312" s="14" t="str">
        <f>IFERROR(__xludf.DUMMYFUNCTION("ARRAYFORMULA(VLOOKUP(A1312,IMPORTRANGE(""https://docs.google.com/spreadsheets/d/1BuTWp7qHGjWhqrnf-OmePP568O4A5Am9ttzvVdP67zw/edit#gid=1603210130"", ""TOURISM!$A$2:$F$2692""), {2,3,4,5,6},0))"),"Asia")</f>
        <v>Asia</v>
      </c>
      <c r="L1312" s="14">
        <f>IFERROR(__xludf.DUMMYFUNCTION("""COMPUTED_VALUE"""),3.36E8)</f>
        <v>336000000</v>
      </c>
      <c r="M1312" s="14" t="str">
        <f>IFERROR(__xludf.DUMMYFUNCTION("""COMPUTED_VALUE"""),"Kyrgyzstan-Asia")</f>
        <v>Kyrgyzstan-Asia</v>
      </c>
      <c r="N1312" s="14" t="str">
        <f>IFERROR(__xludf.DUMMYFUNCTION("""COMPUTED_VALUE"""),"2010")</f>
        <v>2010</v>
      </c>
      <c r="O1312" s="14">
        <f>IFERROR(__xludf.DUMMYFUNCTION("""COMPUTED_VALUE"""),3.98E8)</f>
        <v>398000000</v>
      </c>
      <c r="P1312" s="15">
        <f>IFERROR(__xludf.DUMMYFUNCTION("ARRAYFORMULA(VLOOKUP(A1312,IMPORTRANGE(""https://docs.google.com/spreadsheets/d/1BuTWp7qHGjWhqrnf-OmePP568O4A5Am9ttzvVdP67zw/edit#gid=771602874"" ,""HUMAN RESOURCES!$A$2:$M$2692""), {2,3,4,5,6,7,8,9,10,11,12,13},0))"),0.027)</f>
        <v>0.027</v>
      </c>
      <c r="Q1312" s="14">
        <f>IFERROR(__xludf.DUMMYFUNCTION("""COMPUTED_VALUE"""),0.027)</f>
        <v>0.027</v>
      </c>
      <c r="R1312" s="14">
        <f>IFERROR(__xludf.DUMMYFUNCTION("""COMPUTED_VALUE"""),74.0)</f>
        <v>74</v>
      </c>
      <c r="S1312" s="14">
        <f>IFERROR(__xludf.DUMMYFUNCTION("""COMPUTED_VALUE"""),65.0)</f>
        <v>65</v>
      </c>
      <c r="T1312" s="14">
        <f>IFERROR(__xludf.DUMMYFUNCTION("""COMPUTED_VALUE"""),0.3)</f>
        <v>0.3</v>
      </c>
      <c r="U1312" s="14">
        <f>IFERROR(__xludf.DUMMYFUNCTION("""COMPUTED_VALUE"""),0.655)</f>
        <v>0.655</v>
      </c>
      <c r="V1312" s="14">
        <f>IFERROR(__xludf.DUMMYFUNCTION("""COMPUTED_VALUE"""),0.044)</f>
        <v>0.044</v>
      </c>
      <c r="W1312" s="14">
        <f>IFERROR(__xludf.DUMMYFUNCTION("""COMPUTED_VALUE"""),5447900.0)</f>
        <v>5447900</v>
      </c>
      <c r="X1312" s="14">
        <f>IFERROR(__xludf.DUMMYFUNCTION("""COMPUTED_VALUE"""),0.353)</f>
        <v>0.353</v>
      </c>
      <c r="Y1312" s="14" t="str">
        <f>IFERROR(__xludf.DUMMYFUNCTION("""COMPUTED_VALUE"""),"Kyrgyzstan-Asia")</f>
        <v>Kyrgyzstan-Asia</v>
      </c>
      <c r="Z1312" s="14" t="str">
        <f>IFERROR(__xludf.DUMMYFUNCTION("""COMPUTED_VALUE"""),"Asia")</f>
        <v>Asia</v>
      </c>
      <c r="AA1312" s="14" t="str">
        <f>IFERROR(__xludf.DUMMYFUNCTION("""COMPUTED_VALUE"""),"2010")</f>
        <v>2010</v>
      </c>
      <c r="AB1312" s="15" t="str">
        <f>IFERROR(__xludf.DUMMYFUNCTION("ARRAYFORMULA(VLOOKUP(A1312,IMPORTRANGE(""https://docs.google.com/spreadsheets/d/1BuTWp7qHGjWhqrnf-OmePP568O4A5Am9ttzvVdP67zw/edit#gid=1931367683"" ,""ENERGY!$A$2:$F$2692""), {2,3,4,5,6},0))"),"Asia")</f>
        <v>Asia</v>
      </c>
      <c r="AC1312" s="14" t="str">
        <f>IFERROR(__xludf.DUMMYFUNCTION("""COMPUTED_VALUE"""),"Kyrgyzstan-Asia")</f>
        <v>Kyrgyzstan-Asia</v>
      </c>
      <c r="AD1312" s="14" t="str">
        <f>IFERROR(__xludf.DUMMYFUNCTION("""COMPUTED_VALUE"""),"2011")</f>
        <v>2011</v>
      </c>
      <c r="AE1312" s="14">
        <f>IFERROR(__xludf.DUMMYFUNCTION("""COMPUTED_VALUE"""),2422.0)</f>
        <v>2422</v>
      </c>
      <c r="AF1312" s="14">
        <f>IFERROR(__xludf.DUMMYFUNCTION("""COMPUTED_VALUE"""),4848.0)</f>
        <v>4848</v>
      </c>
    </row>
    <row r="1313">
      <c r="A1313" s="12">
        <v>1312.0</v>
      </c>
      <c r="B1313" s="12" t="s">
        <v>179</v>
      </c>
      <c r="C1313" s="5" t="s">
        <v>61</v>
      </c>
      <c r="D1313" s="11">
        <v>0.334</v>
      </c>
      <c r="E1313" s="11">
        <v>10.0</v>
      </c>
      <c r="F1313" s="8"/>
      <c r="G1313" s="11">
        <v>210.0</v>
      </c>
      <c r="H1313" s="11">
        <v>0.2</v>
      </c>
      <c r="I1313" s="11">
        <v>1.162</v>
      </c>
      <c r="J1313" s="9" t="s">
        <v>72</v>
      </c>
      <c r="K1313" s="14" t="str">
        <f>IFERROR(__xludf.DUMMYFUNCTION("ARRAYFORMULA(VLOOKUP(A1313,IMPORTRANGE(""https://docs.google.com/spreadsheets/d/1BuTWp7qHGjWhqrnf-OmePP568O4A5Am9ttzvVdP67zw/edit#gid=1603210130"", ""TOURISM!$A$2:$F$2692""), {2,3,4,5,6},0))"),"Asia")</f>
        <v>Asia</v>
      </c>
      <c r="L1313" s="14">
        <f>IFERROR(__xludf.DUMMYFUNCTION("""COMPUTED_VALUE"""),6.89E8)</f>
        <v>689000000</v>
      </c>
      <c r="M1313" s="14" t="str">
        <f>IFERROR(__xludf.DUMMYFUNCTION("""COMPUTED_VALUE"""),"Kyrgyzstan-Asia")</f>
        <v>Kyrgyzstan-Asia</v>
      </c>
      <c r="N1313" s="14" t="str">
        <f>IFERROR(__xludf.DUMMYFUNCTION("""COMPUTED_VALUE"""),"2011")</f>
        <v>2011</v>
      </c>
      <c r="O1313" s="14">
        <f>IFERROR(__xludf.DUMMYFUNCTION("""COMPUTED_VALUE"""),5.66E8)</f>
        <v>566000000</v>
      </c>
      <c r="P1313" s="15">
        <f>IFERROR(__xludf.DUMMYFUNCTION("ARRAYFORMULA(VLOOKUP(A1313,IMPORTRANGE(""https://docs.google.com/spreadsheets/d/1BuTWp7qHGjWhqrnf-OmePP568O4A5Am9ttzvVdP67zw/edit#gid=771602874"" ,""HUMAN RESOURCES!$A$2:$M$2692""), {2,3,4,5,6,7,8,9,10,11,12,13},0))"),0.027)</f>
        <v>0.027</v>
      </c>
      <c r="Q1313" s="14">
        <f>IFERROR(__xludf.DUMMYFUNCTION("""COMPUTED_VALUE"""),0.025)</f>
        <v>0.025</v>
      </c>
      <c r="R1313" s="14">
        <f>IFERROR(__xludf.DUMMYFUNCTION("""COMPUTED_VALUE"""),74.0)</f>
        <v>74</v>
      </c>
      <c r="S1313" s="14">
        <f>IFERROR(__xludf.DUMMYFUNCTION("""COMPUTED_VALUE"""),66.0)</f>
        <v>66</v>
      </c>
      <c r="T1313" s="14">
        <f>IFERROR(__xludf.DUMMYFUNCTION("""COMPUTED_VALUE"""),0.301)</f>
        <v>0.301</v>
      </c>
      <c r="U1313" s="14">
        <f>IFERROR(__xludf.DUMMYFUNCTION("""COMPUTED_VALUE"""),0.656)</f>
        <v>0.656</v>
      </c>
      <c r="V1313" s="14">
        <f>IFERROR(__xludf.DUMMYFUNCTION("""COMPUTED_VALUE"""),0.043)</f>
        <v>0.043</v>
      </c>
      <c r="W1313" s="14">
        <f>IFERROR(__xludf.DUMMYFUNCTION("""COMPUTED_VALUE"""),5514600.0)</f>
        <v>5514600</v>
      </c>
      <c r="X1313" s="14">
        <f>IFERROR(__xludf.DUMMYFUNCTION("""COMPUTED_VALUE"""),0.353)</f>
        <v>0.353</v>
      </c>
      <c r="Y1313" s="14" t="str">
        <f>IFERROR(__xludf.DUMMYFUNCTION("""COMPUTED_VALUE"""),"Kyrgyzstan-Asia")</f>
        <v>Kyrgyzstan-Asia</v>
      </c>
      <c r="Z1313" s="14" t="str">
        <f>IFERROR(__xludf.DUMMYFUNCTION("""COMPUTED_VALUE"""),"Asia")</f>
        <v>Asia</v>
      </c>
      <c r="AA1313" s="14" t="str">
        <f>IFERROR(__xludf.DUMMYFUNCTION("""COMPUTED_VALUE"""),"2011")</f>
        <v>2011</v>
      </c>
      <c r="AB1313" s="15" t="str">
        <f>IFERROR(__xludf.DUMMYFUNCTION("ARRAYFORMULA(VLOOKUP(A1313,IMPORTRANGE(""https://docs.google.com/spreadsheets/d/1BuTWp7qHGjWhqrnf-OmePP568O4A5Am9ttzvVdP67zw/edit#gid=1931367683"" ,""ENERGY!$A$2:$F$2692""), {2,3,4,5,6},0))"),"Asia")</f>
        <v>Asia</v>
      </c>
      <c r="AC1313" s="14" t="str">
        <f>IFERROR(__xludf.DUMMYFUNCTION("""COMPUTED_VALUE"""),"Kyrgyzstan-Asia")</f>
        <v>Kyrgyzstan-Asia</v>
      </c>
      <c r="AD1313" s="14" t="str">
        <f>IFERROR(__xludf.DUMMYFUNCTION("""COMPUTED_VALUE"""),"2005")</f>
        <v>2005</v>
      </c>
      <c r="AE1313" s="14">
        <f>IFERROR(__xludf.DUMMYFUNCTION("""COMPUTED_VALUE"""),2151.0)</f>
        <v>2151</v>
      </c>
      <c r="AF1313" s="14">
        <f>IFERROR(__xludf.DUMMYFUNCTION("""COMPUTED_VALUE"""),3781.0)</f>
        <v>3781</v>
      </c>
    </row>
    <row r="1314">
      <c r="A1314" s="12">
        <v>1313.0</v>
      </c>
      <c r="B1314" s="12" t="s">
        <v>179</v>
      </c>
      <c r="C1314" s="5" t="s">
        <v>61</v>
      </c>
      <c r="D1314" s="11">
        <v>0.334</v>
      </c>
      <c r="E1314" s="11">
        <v>10.0</v>
      </c>
      <c r="F1314" s="11">
        <v>70.0</v>
      </c>
      <c r="G1314" s="11">
        <v>210.0</v>
      </c>
      <c r="H1314" s="11">
        <v>0.217</v>
      </c>
      <c r="I1314" s="11">
        <v>1.242</v>
      </c>
      <c r="J1314" s="9" t="s">
        <v>73</v>
      </c>
      <c r="K1314" s="14" t="str">
        <f>IFERROR(__xludf.DUMMYFUNCTION("ARRAYFORMULA(VLOOKUP(A1314,IMPORTRANGE(""https://docs.google.com/spreadsheets/d/1BuTWp7qHGjWhqrnf-OmePP568O4A5Am9ttzvVdP67zw/edit#gid=1603210130"", ""TOURISM!$A$2:$F$2692""), {2,3,4,5,6},0))"),"Asia")</f>
        <v>Asia</v>
      </c>
      <c r="L1314" s="14">
        <f>IFERROR(__xludf.DUMMYFUNCTION("""COMPUTED_VALUE"""),7.5E8)</f>
        <v>750000000</v>
      </c>
      <c r="M1314" s="14" t="str">
        <f>IFERROR(__xludf.DUMMYFUNCTION("""COMPUTED_VALUE"""),"Kyrgyzstan-Asia")</f>
        <v>Kyrgyzstan-Asia</v>
      </c>
      <c r="N1314" s="14" t="str">
        <f>IFERROR(__xludf.DUMMYFUNCTION("""COMPUTED_VALUE"""),"2012")</f>
        <v>2012</v>
      </c>
      <c r="O1314" s="14">
        <f>IFERROR(__xludf.DUMMYFUNCTION("""COMPUTED_VALUE"""),7.38E8)</f>
        <v>738000000</v>
      </c>
      <c r="P1314" s="15">
        <f>IFERROR(__xludf.DUMMYFUNCTION("ARRAYFORMULA(VLOOKUP(A1314,IMPORTRANGE(""https://docs.google.com/spreadsheets/d/1BuTWp7qHGjWhqrnf-OmePP568O4A5Am9ttzvVdP67zw/edit#gid=771602874"" ,""HUMAN RESOURCES!$A$2:$M$2692""), {2,3,4,5,6,7,8,9,10,11,12,13},0))"),0.028)</f>
        <v>0.028</v>
      </c>
      <c r="Q1314" s="14">
        <f>IFERROR(__xludf.DUMMYFUNCTION("""COMPUTED_VALUE"""),0.023)</f>
        <v>0.023</v>
      </c>
      <c r="R1314" s="14">
        <f>IFERROR(__xludf.DUMMYFUNCTION("""COMPUTED_VALUE"""),74.0)</f>
        <v>74</v>
      </c>
      <c r="S1314" s="14">
        <f>IFERROR(__xludf.DUMMYFUNCTION("""COMPUTED_VALUE"""),66.0)</f>
        <v>66</v>
      </c>
      <c r="T1314" s="14">
        <f>IFERROR(__xludf.DUMMYFUNCTION("""COMPUTED_VALUE"""),0.302)</f>
        <v>0.302</v>
      </c>
      <c r="U1314" s="14">
        <f>IFERROR(__xludf.DUMMYFUNCTION("""COMPUTED_VALUE"""),0.656)</f>
        <v>0.656</v>
      </c>
      <c r="V1314" s="14">
        <f>IFERROR(__xludf.DUMMYFUNCTION("""COMPUTED_VALUE"""),0.042)</f>
        <v>0.042</v>
      </c>
      <c r="W1314" s="14">
        <f>IFERROR(__xludf.DUMMYFUNCTION("""COMPUTED_VALUE"""),5607200.0)</f>
        <v>5607200</v>
      </c>
      <c r="X1314" s="14">
        <f>IFERROR(__xludf.DUMMYFUNCTION("""COMPUTED_VALUE"""),0.354)</f>
        <v>0.354</v>
      </c>
      <c r="Y1314" s="14" t="str">
        <f>IFERROR(__xludf.DUMMYFUNCTION("""COMPUTED_VALUE"""),"Kyrgyzstan-Asia")</f>
        <v>Kyrgyzstan-Asia</v>
      </c>
      <c r="Z1314" s="14" t="str">
        <f>IFERROR(__xludf.DUMMYFUNCTION("""COMPUTED_VALUE"""),"Asia")</f>
        <v>Asia</v>
      </c>
      <c r="AA1314" s="14" t="str">
        <f>IFERROR(__xludf.DUMMYFUNCTION("""COMPUTED_VALUE"""),"2012")</f>
        <v>2012</v>
      </c>
      <c r="AB1314" s="15" t="str">
        <f>IFERROR(__xludf.DUMMYFUNCTION("ARRAYFORMULA(VLOOKUP(A1314,IMPORTRANGE(""https://docs.google.com/spreadsheets/d/1BuTWp7qHGjWhqrnf-OmePP568O4A5Am9ttzvVdP67zw/edit#gid=1931367683"" ,""ENERGY!$A$2:$F$2692""), {2,3,4,5,6},0))"),"Asia")</f>
        <v>Asia</v>
      </c>
      <c r="AC1314" s="14" t="str">
        <f>IFERROR(__xludf.DUMMYFUNCTION("""COMPUTED_VALUE"""),"Kyrgyzstan-Asia")</f>
        <v>Kyrgyzstan-Asia</v>
      </c>
      <c r="AD1314" s="14" t="str">
        <f>IFERROR(__xludf.DUMMYFUNCTION("""COMPUTED_VALUE"""),"2010")</f>
        <v>2010</v>
      </c>
      <c r="AE1314" s="14">
        <f>IFERROR(__xludf.DUMMYFUNCTION("""COMPUTED_VALUE"""),2317.0)</f>
        <v>2317</v>
      </c>
      <c r="AF1314" s="14">
        <f>IFERROR(__xludf.DUMMYFUNCTION("""COMPUTED_VALUE"""),4529.0)</f>
        <v>4529</v>
      </c>
    </row>
    <row r="1315">
      <c r="A1315" s="12">
        <v>1314.0</v>
      </c>
      <c r="B1315" s="12" t="s">
        <v>180</v>
      </c>
      <c r="C1315" s="5" t="s">
        <v>61</v>
      </c>
      <c r="D1315" s="8"/>
      <c r="E1315" s="8"/>
      <c r="F1315" s="8"/>
      <c r="G1315" s="8"/>
      <c r="H1315" s="11">
        <v>0.001</v>
      </c>
      <c r="I1315" s="11">
        <v>0.002</v>
      </c>
      <c r="J1315" s="9" t="s">
        <v>60</v>
      </c>
      <c r="K1315" s="14" t="str">
        <f>IFERROR(__xludf.DUMMYFUNCTION("ARRAYFORMULA(VLOOKUP(A1315,IMPORTRANGE(""https://docs.google.com/spreadsheets/d/1BuTWp7qHGjWhqrnf-OmePP568O4A5Am9ttzvVdP67zw/edit#gid=1603210130"", ""TOURISM!$A$2:$F$2692""), {2,3,4,5,6},0))"),"Asia")</f>
        <v>Asia</v>
      </c>
      <c r="L1315" s="14">
        <f>IFERROR(__xludf.DUMMYFUNCTION("""COMPUTED_VALUE"""),1.14E8)</f>
        <v>114000000</v>
      </c>
      <c r="M1315" s="14" t="str">
        <f>IFERROR(__xludf.DUMMYFUNCTION("""COMPUTED_VALUE"""),"Laos-Asia")</f>
        <v>Laos-Asia</v>
      </c>
      <c r="N1315" s="14" t="str">
        <f>IFERROR(__xludf.DUMMYFUNCTION("""COMPUTED_VALUE"""),"2000")</f>
        <v>2000</v>
      </c>
      <c r="O1315" s="14">
        <f>IFERROR(__xludf.DUMMYFUNCTION("""COMPUTED_VALUE"""),8000000.0)</f>
        <v>8000000</v>
      </c>
      <c r="P1315" s="15">
        <f>IFERROR(__xludf.DUMMYFUNCTION("ARRAYFORMULA(VLOOKUP(A1315,IMPORTRANGE(""https://docs.google.com/spreadsheets/d/1BuTWp7qHGjWhqrnf-OmePP568O4A5Am9ttzvVdP67zw/edit#gid=771602874"" ,""HUMAN RESOURCES!$A$2:$M$2692""), {2,3,4,5,6,7,8,9,10,11,12,13},0))"),0.031)</f>
        <v>0.031</v>
      </c>
      <c r="Q1315" s="14">
        <f>IFERROR(__xludf.DUMMYFUNCTION("""COMPUTED_VALUE"""),0.083)</f>
        <v>0.083</v>
      </c>
      <c r="R1315" s="14">
        <f>IFERROR(__xludf.DUMMYFUNCTION("""COMPUTED_VALUE"""),63.0)</f>
        <v>63</v>
      </c>
      <c r="S1315" s="14">
        <f>IFERROR(__xludf.DUMMYFUNCTION("""COMPUTED_VALUE"""),60.0)</f>
        <v>60</v>
      </c>
      <c r="T1315" s="14">
        <f>IFERROR(__xludf.DUMMYFUNCTION("""COMPUTED_VALUE"""),0.435)</f>
        <v>0.435</v>
      </c>
      <c r="U1315" s="14">
        <f>IFERROR(__xludf.DUMMYFUNCTION("""COMPUTED_VALUE"""),0.529)</f>
        <v>0.529</v>
      </c>
      <c r="V1315" s="14">
        <f>IFERROR(__xludf.DUMMYFUNCTION("""COMPUTED_VALUE"""),0.036)</f>
        <v>0.036</v>
      </c>
      <c r="W1315" s="14">
        <f>IFERROR(__xludf.DUMMYFUNCTION("""COMPUTED_VALUE"""),5388281.0)</f>
        <v>5388281</v>
      </c>
      <c r="X1315" s="14">
        <f>IFERROR(__xludf.DUMMYFUNCTION("""COMPUTED_VALUE"""),0.22)</f>
        <v>0.22</v>
      </c>
      <c r="Y1315" s="14" t="str">
        <f>IFERROR(__xludf.DUMMYFUNCTION("""COMPUTED_VALUE"""),"Laos-Asia")</f>
        <v>Laos-Asia</v>
      </c>
      <c r="Z1315" s="14" t="str">
        <f>IFERROR(__xludf.DUMMYFUNCTION("""COMPUTED_VALUE"""),"Asia")</f>
        <v>Asia</v>
      </c>
      <c r="AA1315" s="14" t="str">
        <f>IFERROR(__xludf.DUMMYFUNCTION("""COMPUTED_VALUE"""),"2000")</f>
        <v>2000</v>
      </c>
      <c r="AB1315" s="15" t="str">
        <f>IFERROR(__xludf.DUMMYFUNCTION("ARRAYFORMULA(VLOOKUP(A1315,IMPORTRANGE(""https://docs.google.com/spreadsheets/d/1BuTWp7qHGjWhqrnf-OmePP568O4A5Am9ttzvVdP67zw/edit#gid=1931367683"" ,""ENERGY!$A$2:$F$2692""), {2,3,4,5,6},0))"),"Asia")</f>
        <v>Asia</v>
      </c>
      <c r="AC1315" s="14" t="str">
        <f>IFERROR(__xludf.DUMMYFUNCTION("""COMPUTED_VALUE"""),"Laos-Asia")</f>
        <v>Laos-Asia</v>
      </c>
      <c r="AD1315" s="14" t="str">
        <f>IFERROR(__xludf.DUMMYFUNCTION("""COMPUTED_VALUE"""),"2000")</f>
        <v>2000</v>
      </c>
      <c r="AE1315" s="14"/>
      <c r="AF1315" s="14"/>
    </row>
    <row r="1316">
      <c r="A1316" s="12">
        <v>1315.0</v>
      </c>
      <c r="B1316" s="12" t="s">
        <v>180</v>
      </c>
      <c r="C1316" s="5" t="s">
        <v>61</v>
      </c>
      <c r="D1316" s="8"/>
      <c r="E1316" s="8"/>
      <c r="F1316" s="8"/>
      <c r="G1316" s="8"/>
      <c r="H1316" s="11">
        <v>0.002</v>
      </c>
      <c r="I1316" s="11">
        <v>0.005</v>
      </c>
      <c r="J1316" s="9" t="s">
        <v>62</v>
      </c>
      <c r="K1316" s="14" t="str">
        <f>IFERROR(__xludf.DUMMYFUNCTION("ARRAYFORMULA(VLOOKUP(A1316,IMPORTRANGE(""https://docs.google.com/spreadsheets/d/1BuTWp7qHGjWhqrnf-OmePP568O4A5Am9ttzvVdP67zw/edit#gid=1603210130"", ""TOURISM!$A$2:$F$2692""), {2,3,4,5,6},0))"),"Asia")</f>
        <v>Asia</v>
      </c>
      <c r="L1316" s="14">
        <f>IFERROR(__xludf.DUMMYFUNCTION("""COMPUTED_VALUE"""),1.08E8)</f>
        <v>108000000</v>
      </c>
      <c r="M1316" s="14" t="str">
        <f>IFERROR(__xludf.DUMMYFUNCTION("""COMPUTED_VALUE"""),"Laos-Asia")</f>
        <v>Laos-Asia</v>
      </c>
      <c r="N1316" s="14" t="str">
        <f>IFERROR(__xludf.DUMMYFUNCTION("""COMPUTED_VALUE"""),"2001")</f>
        <v>2001</v>
      </c>
      <c r="O1316" s="14">
        <f>IFERROR(__xludf.DUMMYFUNCTION("""COMPUTED_VALUE"""),4000000.0)</f>
        <v>4000000</v>
      </c>
      <c r="P1316" s="15">
        <f>IFERROR(__xludf.DUMMYFUNCTION("ARRAYFORMULA(VLOOKUP(A1316,IMPORTRANGE(""https://docs.google.com/spreadsheets/d/1BuTWp7qHGjWhqrnf-OmePP568O4A5Am9ttzvVdP67zw/edit#gid=771602874"" ,""HUMAN RESOURCES!$A$2:$M$2692""), {2,3,4,5,6,7,8,9,10,11,12,13},0))"),0.03)</f>
        <v>0.03</v>
      </c>
      <c r="Q1316" s="14">
        <f>IFERROR(__xludf.DUMMYFUNCTION("""COMPUTED_VALUE"""),0.08)</f>
        <v>0.08</v>
      </c>
      <c r="R1316" s="14">
        <f>IFERROR(__xludf.DUMMYFUNCTION("""COMPUTED_VALUE"""),64.0)</f>
        <v>64</v>
      </c>
      <c r="S1316" s="14">
        <f>IFERROR(__xludf.DUMMYFUNCTION("""COMPUTED_VALUE"""),61.0)</f>
        <v>61</v>
      </c>
      <c r="T1316" s="14">
        <f>IFERROR(__xludf.DUMMYFUNCTION("""COMPUTED_VALUE"""),0.43)</f>
        <v>0.43</v>
      </c>
      <c r="U1316" s="14">
        <f>IFERROR(__xludf.DUMMYFUNCTION("""COMPUTED_VALUE"""),0.533)</f>
        <v>0.533</v>
      </c>
      <c r="V1316" s="14">
        <f>IFERROR(__xludf.DUMMYFUNCTION("""COMPUTED_VALUE"""),0.036)</f>
        <v>0.036</v>
      </c>
      <c r="W1316" s="14">
        <f>IFERROR(__xludf.DUMMYFUNCTION("""COMPUTED_VALUE"""),5470169.0)</f>
        <v>5470169</v>
      </c>
      <c r="X1316" s="14">
        <f>IFERROR(__xludf.DUMMYFUNCTION("""COMPUTED_VALUE"""),0.23)</f>
        <v>0.23</v>
      </c>
      <c r="Y1316" s="14" t="str">
        <f>IFERROR(__xludf.DUMMYFUNCTION("""COMPUTED_VALUE"""),"Laos-Asia")</f>
        <v>Laos-Asia</v>
      </c>
      <c r="Z1316" s="14" t="str">
        <f>IFERROR(__xludf.DUMMYFUNCTION("""COMPUTED_VALUE"""),"Asia")</f>
        <v>Asia</v>
      </c>
      <c r="AA1316" s="14" t="str">
        <f>IFERROR(__xludf.DUMMYFUNCTION("""COMPUTED_VALUE"""),"2001")</f>
        <v>2001</v>
      </c>
      <c r="AB1316" s="15" t="str">
        <f>IFERROR(__xludf.DUMMYFUNCTION("ARRAYFORMULA(VLOOKUP(A1316,IMPORTRANGE(""https://docs.google.com/spreadsheets/d/1BuTWp7qHGjWhqrnf-OmePP568O4A5Am9ttzvVdP67zw/edit#gid=1931367683"" ,""ENERGY!$A$2:$F$2692""), {2,3,4,5,6},0))"),"Asia")</f>
        <v>Asia</v>
      </c>
      <c r="AC1316" s="14" t="str">
        <f>IFERROR(__xludf.DUMMYFUNCTION("""COMPUTED_VALUE"""),"Laos-Asia")</f>
        <v>Laos-Asia</v>
      </c>
      <c r="AD1316" s="14" t="str">
        <f>IFERROR(__xludf.DUMMYFUNCTION("""COMPUTED_VALUE"""),"2001")</f>
        <v>2001</v>
      </c>
      <c r="AE1316" s="14"/>
      <c r="AF1316" s="14"/>
    </row>
    <row r="1317">
      <c r="A1317" s="12">
        <v>1316.0</v>
      </c>
      <c r="B1317" s="12" t="s">
        <v>180</v>
      </c>
      <c r="C1317" s="5" t="s">
        <v>61</v>
      </c>
      <c r="D1317" s="8"/>
      <c r="E1317" s="8"/>
      <c r="F1317" s="8"/>
      <c r="G1317" s="8"/>
      <c r="H1317" s="11">
        <v>0.003</v>
      </c>
      <c r="I1317" s="11">
        <v>0.01</v>
      </c>
      <c r="J1317" s="9" t="s">
        <v>63</v>
      </c>
      <c r="K1317" s="14" t="str">
        <f>IFERROR(__xludf.DUMMYFUNCTION("ARRAYFORMULA(VLOOKUP(A1317,IMPORTRANGE(""https://docs.google.com/spreadsheets/d/1BuTWp7qHGjWhqrnf-OmePP568O4A5Am9ttzvVdP67zw/edit#gid=1603210130"", ""TOURISM!$A$2:$F$2692""), {2,3,4,5,6},0))"),"Asia")</f>
        <v>Asia</v>
      </c>
      <c r="L1317" s="14">
        <f>IFERROR(__xludf.DUMMYFUNCTION("""COMPUTED_VALUE"""),1.1E8)</f>
        <v>110000000</v>
      </c>
      <c r="M1317" s="14" t="str">
        <f>IFERROR(__xludf.DUMMYFUNCTION("""COMPUTED_VALUE"""),"Laos-Asia")</f>
        <v>Laos-Asia</v>
      </c>
      <c r="N1317" s="14" t="str">
        <f>IFERROR(__xludf.DUMMYFUNCTION("""COMPUTED_VALUE"""),"2002")</f>
        <v>2002</v>
      </c>
      <c r="O1317" s="14">
        <f>IFERROR(__xludf.DUMMYFUNCTION("""COMPUTED_VALUE"""),4000000.0)</f>
        <v>4000000</v>
      </c>
      <c r="P1317" s="15">
        <f>IFERROR(__xludf.DUMMYFUNCTION("ARRAYFORMULA(VLOOKUP(A1317,IMPORTRANGE(""https://docs.google.com/spreadsheets/d/1BuTWp7qHGjWhqrnf-OmePP568O4A5Am9ttzvVdP67zw/edit#gid=771602874"" ,""HUMAN RESOURCES!$A$2:$M$2692""), {2,3,4,5,6,7,8,9,10,11,12,13},0))"),0.029)</f>
        <v>0.029</v>
      </c>
      <c r="Q1317" s="14">
        <f>IFERROR(__xludf.DUMMYFUNCTION("""COMPUTED_VALUE"""),0.078)</f>
        <v>0.078</v>
      </c>
      <c r="R1317" s="14">
        <f>IFERROR(__xludf.DUMMYFUNCTION("""COMPUTED_VALUE"""),64.0)</f>
        <v>64</v>
      </c>
      <c r="S1317" s="14">
        <f>IFERROR(__xludf.DUMMYFUNCTION("""COMPUTED_VALUE"""),62.0)</f>
        <v>62</v>
      </c>
      <c r="T1317" s="14">
        <f>IFERROR(__xludf.DUMMYFUNCTION("""COMPUTED_VALUE"""),0.425)</f>
        <v>0.425</v>
      </c>
      <c r="U1317" s="14">
        <f>IFERROR(__xludf.DUMMYFUNCTION("""COMPUTED_VALUE"""),0.539)</f>
        <v>0.539</v>
      </c>
      <c r="V1317" s="14">
        <f>IFERROR(__xludf.DUMMYFUNCTION("""COMPUTED_VALUE"""),0.037)</f>
        <v>0.037</v>
      </c>
      <c r="W1317" s="14">
        <f>IFERROR(__xludf.DUMMYFUNCTION("""COMPUTED_VALUE"""),5545245.0)</f>
        <v>5545245</v>
      </c>
      <c r="X1317" s="14">
        <f>IFERROR(__xludf.DUMMYFUNCTION("""COMPUTED_VALUE"""),0.24)</f>
        <v>0.24</v>
      </c>
      <c r="Y1317" s="14" t="str">
        <f>IFERROR(__xludf.DUMMYFUNCTION("""COMPUTED_VALUE"""),"Laos-Asia")</f>
        <v>Laos-Asia</v>
      </c>
      <c r="Z1317" s="14" t="str">
        <f>IFERROR(__xludf.DUMMYFUNCTION("""COMPUTED_VALUE"""),"Asia")</f>
        <v>Asia</v>
      </c>
      <c r="AA1317" s="14" t="str">
        <f>IFERROR(__xludf.DUMMYFUNCTION("""COMPUTED_VALUE"""),"2002")</f>
        <v>2002</v>
      </c>
      <c r="AB1317" s="15" t="str">
        <f>IFERROR(__xludf.DUMMYFUNCTION("ARRAYFORMULA(VLOOKUP(A1317,IMPORTRANGE(""https://docs.google.com/spreadsheets/d/1BuTWp7qHGjWhqrnf-OmePP568O4A5Am9ttzvVdP67zw/edit#gid=1931367683"" ,""ENERGY!$A$2:$F$2692""), {2,3,4,5,6},0))"),"Asia")</f>
        <v>Asia</v>
      </c>
      <c r="AC1317" s="14" t="str">
        <f>IFERROR(__xludf.DUMMYFUNCTION("""COMPUTED_VALUE"""),"Laos-Asia")</f>
        <v>Laos-Asia</v>
      </c>
      <c r="AD1317" s="14" t="str">
        <f>IFERROR(__xludf.DUMMYFUNCTION("""COMPUTED_VALUE"""),"2002")</f>
        <v>2002</v>
      </c>
      <c r="AE1317" s="14"/>
      <c r="AF1317" s="14">
        <f>IFERROR(__xludf.DUMMYFUNCTION("""COMPUTED_VALUE"""),1874.0)</f>
        <v>1874</v>
      </c>
    </row>
    <row r="1318">
      <c r="A1318" s="12">
        <v>1317.0</v>
      </c>
      <c r="B1318" s="12" t="s">
        <v>180</v>
      </c>
      <c r="C1318" s="5" t="s">
        <v>61</v>
      </c>
      <c r="D1318" s="8"/>
      <c r="E1318" s="11">
        <v>153.0</v>
      </c>
      <c r="F1318" s="8"/>
      <c r="G1318" s="8"/>
      <c r="H1318" s="11">
        <v>0.003</v>
      </c>
      <c r="I1318" s="11">
        <v>0.02</v>
      </c>
      <c r="J1318" s="9" t="s">
        <v>64</v>
      </c>
      <c r="K1318" s="14" t="str">
        <f>IFERROR(__xludf.DUMMYFUNCTION("ARRAYFORMULA(VLOOKUP(A1318,IMPORTRANGE(""https://docs.google.com/spreadsheets/d/1BuTWp7qHGjWhqrnf-OmePP568O4A5Am9ttzvVdP67zw/edit#gid=1603210130"", ""TOURISM!$A$2:$F$2692""), {2,3,4,5,6},0))"),"Asia")</f>
        <v>Asia</v>
      </c>
      <c r="L1318" s="14">
        <f>IFERROR(__xludf.DUMMYFUNCTION("""COMPUTED_VALUE"""),7.7E7)</f>
        <v>77000000</v>
      </c>
      <c r="M1318" s="14" t="str">
        <f>IFERROR(__xludf.DUMMYFUNCTION("""COMPUTED_VALUE"""),"Laos-Asia")</f>
        <v>Laos-Asia</v>
      </c>
      <c r="N1318" s="14" t="str">
        <f>IFERROR(__xludf.DUMMYFUNCTION("""COMPUTED_VALUE"""),"2003")</f>
        <v>2003</v>
      </c>
      <c r="O1318" s="14">
        <f>IFERROR(__xludf.DUMMYFUNCTION("""COMPUTED_VALUE"""),5000000.0)</f>
        <v>5000000</v>
      </c>
      <c r="P1318" s="15">
        <f>IFERROR(__xludf.DUMMYFUNCTION("ARRAYFORMULA(VLOOKUP(A1318,IMPORTRANGE(""https://docs.google.com/spreadsheets/d/1BuTWp7qHGjWhqrnf-OmePP568O4A5Am9ttzvVdP67zw/edit#gid=771602874"" ,""HUMAN RESOURCES!$A$2:$M$2692""), {2,3,4,5,6,7,8,9,10,11,12,13},0))"),0.029)</f>
        <v>0.029</v>
      </c>
      <c r="Q1318" s="14">
        <f>IFERROR(__xludf.DUMMYFUNCTION("""COMPUTED_VALUE"""),0.075)</f>
        <v>0.075</v>
      </c>
      <c r="R1318" s="14">
        <f>IFERROR(__xludf.DUMMYFUNCTION("""COMPUTED_VALUE"""),65.0)</f>
        <v>65</v>
      </c>
      <c r="S1318" s="14">
        <f>IFERROR(__xludf.DUMMYFUNCTION("""COMPUTED_VALUE"""),62.0)</f>
        <v>62</v>
      </c>
      <c r="T1318" s="14">
        <f>IFERROR(__xludf.DUMMYFUNCTION("""COMPUTED_VALUE"""),0.418)</f>
        <v>0.418</v>
      </c>
      <c r="U1318" s="14">
        <f>IFERROR(__xludf.DUMMYFUNCTION("""COMPUTED_VALUE"""),0.545)</f>
        <v>0.545</v>
      </c>
      <c r="V1318" s="14">
        <f>IFERROR(__xludf.DUMMYFUNCTION("""COMPUTED_VALUE"""),0.037)</f>
        <v>0.037</v>
      </c>
      <c r="W1318" s="14">
        <f>IFERROR(__xludf.DUMMYFUNCTION("""COMPUTED_VALUE"""),5619069.0)</f>
        <v>5619069</v>
      </c>
      <c r="X1318" s="14">
        <f>IFERROR(__xludf.DUMMYFUNCTION("""COMPUTED_VALUE"""),0.251)</f>
        <v>0.251</v>
      </c>
      <c r="Y1318" s="14" t="str">
        <f>IFERROR(__xludf.DUMMYFUNCTION("""COMPUTED_VALUE"""),"Laos-Asia")</f>
        <v>Laos-Asia</v>
      </c>
      <c r="Z1318" s="14" t="str">
        <f>IFERROR(__xludf.DUMMYFUNCTION("""COMPUTED_VALUE"""),"Asia")</f>
        <v>Asia</v>
      </c>
      <c r="AA1318" s="14" t="str">
        <f>IFERROR(__xludf.DUMMYFUNCTION("""COMPUTED_VALUE"""),"2003")</f>
        <v>2003</v>
      </c>
      <c r="AB1318" s="15" t="str">
        <f>IFERROR(__xludf.DUMMYFUNCTION("ARRAYFORMULA(VLOOKUP(A1318,IMPORTRANGE(""https://docs.google.com/spreadsheets/d/1BuTWp7qHGjWhqrnf-OmePP568O4A5Am9ttzvVdP67zw/edit#gid=1931367683"" ,""ENERGY!$A$2:$F$2692""), {2,3,4,5,6},0))"),"Asia")</f>
        <v>Asia</v>
      </c>
      <c r="AC1318" s="14" t="str">
        <f>IFERROR(__xludf.DUMMYFUNCTION("""COMPUTED_VALUE"""),"Laos-Asia")</f>
        <v>Laos-Asia</v>
      </c>
      <c r="AD1318" s="14" t="str">
        <f>IFERROR(__xludf.DUMMYFUNCTION("""COMPUTED_VALUE"""),"2003")</f>
        <v>2003</v>
      </c>
      <c r="AE1318" s="14"/>
      <c r="AF1318" s="14">
        <f>IFERROR(__xludf.DUMMYFUNCTION("""COMPUTED_VALUE"""),1811.0)</f>
        <v>1811</v>
      </c>
    </row>
    <row r="1319">
      <c r="A1319" s="12">
        <v>1318.0</v>
      </c>
      <c r="B1319" s="12" t="s">
        <v>180</v>
      </c>
      <c r="C1319" s="5" t="s">
        <v>61</v>
      </c>
      <c r="D1319" s="8"/>
      <c r="E1319" s="11">
        <v>153.0</v>
      </c>
      <c r="F1319" s="8"/>
      <c r="G1319" s="8"/>
      <c r="H1319" s="11">
        <v>0.004</v>
      </c>
      <c r="I1319" s="11">
        <v>0.036</v>
      </c>
      <c r="J1319" s="9" t="s">
        <v>65</v>
      </c>
      <c r="K1319" s="14" t="str">
        <f>IFERROR(__xludf.DUMMYFUNCTION("ARRAYFORMULA(VLOOKUP(A1319,IMPORTRANGE(""https://docs.google.com/spreadsheets/d/1BuTWp7qHGjWhqrnf-OmePP568O4A5Am9ttzvVdP67zw/edit#gid=1603210130"", ""TOURISM!$A$2:$F$2692""), {2,3,4,5,6},0))"),"Asia")</f>
        <v>Asia</v>
      </c>
      <c r="L1319" s="14">
        <f>IFERROR(__xludf.DUMMYFUNCTION("""COMPUTED_VALUE"""),1.22E8)</f>
        <v>122000000</v>
      </c>
      <c r="M1319" s="14" t="str">
        <f>IFERROR(__xludf.DUMMYFUNCTION("""COMPUTED_VALUE"""),"Laos-Asia")</f>
        <v>Laos-Asia</v>
      </c>
      <c r="N1319" s="14" t="str">
        <f>IFERROR(__xludf.DUMMYFUNCTION("""COMPUTED_VALUE"""),"2004")</f>
        <v>2004</v>
      </c>
      <c r="O1319" s="14">
        <f>IFERROR(__xludf.DUMMYFUNCTION("""COMPUTED_VALUE"""),8000000.0)</f>
        <v>8000000</v>
      </c>
      <c r="P1319" s="15">
        <f>IFERROR(__xludf.DUMMYFUNCTION("ARRAYFORMULA(VLOOKUP(A1319,IMPORTRANGE(""https://docs.google.com/spreadsheets/d/1BuTWp7qHGjWhqrnf-OmePP568O4A5Am9ttzvVdP67zw/edit#gid=771602874"" ,""HUMAN RESOURCES!$A$2:$M$2692""), {2,3,4,5,6,7,8,9,10,11,12,13},0))"),0.028)</f>
        <v>0.028</v>
      </c>
      <c r="Q1319" s="14">
        <f>IFERROR(__xludf.DUMMYFUNCTION("""COMPUTED_VALUE"""),0.073)</f>
        <v>0.073</v>
      </c>
      <c r="R1319" s="14">
        <f>IFERROR(__xludf.DUMMYFUNCTION("""COMPUTED_VALUE"""),65.0)</f>
        <v>65</v>
      </c>
      <c r="S1319" s="14">
        <f>IFERROR(__xludf.DUMMYFUNCTION("""COMPUTED_VALUE"""),63.0)</f>
        <v>63</v>
      </c>
      <c r="T1319" s="14">
        <f>IFERROR(__xludf.DUMMYFUNCTION("""COMPUTED_VALUE"""),0.411)</f>
        <v>0.411</v>
      </c>
      <c r="U1319" s="14">
        <f>IFERROR(__xludf.DUMMYFUNCTION("""COMPUTED_VALUE"""),0.552)</f>
        <v>0.552</v>
      </c>
      <c r="V1319" s="14">
        <f>IFERROR(__xludf.DUMMYFUNCTION("""COMPUTED_VALUE"""),0.037)</f>
        <v>0.037</v>
      </c>
      <c r="W1319" s="14">
        <f>IFERROR(__xludf.DUMMYFUNCTION("""COMPUTED_VALUE"""),5699112.0)</f>
        <v>5699112</v>
      </c>
      <c r="X1319" s="14">
        <f>IFERROR(__xludf.DUMMYFUNCTION("""COMPUTED_VALUE"""),0.262)</f>
        <v>0.262</v>
      </c>
      <c r="Y1319" s="14" t="str">
        <f>IFERROR(__xludf.DUMMYFUNCTION("""COMPUTED_VALUE"""),"Laos-Asia")</f>
        <v>Laos-Asia</v>
      </c>
      <c r="Z1319" s="14" t="str">
        <f>IFERROR(__xludf.DUMMYFUNCTION("""COMPUTED_VALUE"""),"Asia")</f>
        <v>Asia</v>
      </c>
      <c r="AA1319" s="14" t="str">
        <f>IFERROR(__xludf.DUMMYFUNCTION("""COMPUTED_VALUE"""),"2004")</f>
        <v>2004</v>
      </c>
      <c r="AB1319" s="15" t="str">
        <f>IFERROR(__xludf.DUMMYFUNCTION("ARRAYFORMULA(VLOOKUP(A1319,IMPORTRANGE(""https://docs.google.com/spreadsheets/d/1BuTWp7qHGjWhqrnf-OmePP568O4A5Am9ttzvVdP67zw/edit#gid=1931367683"" ,""ENERGY!$A$2:$F$2692""), {2,3,4,5,6},0))"),"Asia")</f>
        <v>Asia</v>
      </c>
      <c r="AC1319" s="14" t="str">
        <f>IFERROR(__xludf.DUMMYFUNCTION("""COMPUTED_VALUE"""),"Laos-Asia")</f>
        <v>Laos-Asia</v>
      </c>
      <c r="AD1319" s="14" t="str">
        <f>IFERROR(__xludf.DUMMYFUNCTION("""COMPUTED_VALUE"""),"2004")</f>
        <v>2004</v>
      </c>
      <c r="AE1319" s="14"/>
      <c r="AF1319" s="14">
        <f>IFERROR(__xludf.DUMMYFUNCTION("""COMPUTED_VALUE"""),1742.0)</f>
        <v>1742</v>
      </c>
    </row>
    <row r="1320">
      <c r="A1320" s="12">
        <v>1319.0</v>
      </c>
      <c r="B1320" s="12" t="s">
        <v>180</v>
      </c>
      <c r="C1320" s="5" t="s">
        <v>61</v>
      </c>
      <c r="D1320" s="11">
        <v>0.352</v>
      </c>
      <c r="E1320" s="11">
        <v>153.0</v>
      </c>
      <c r="F1320" s="8"/>
      <c r="G1320" s="11">
        <v>672.0</v>
      </c>
      <c r="H1320" s="11">
        <v>0.009</v>
      </c>
      <c r="I1320" s="11">
        <v>0.114</v>
      </c>
      <c r="J1320" s="9" t="s">
        <v>66</v>
      </c>
      <c r="K1320" s="14" t="str">
        <f>IFERROR(__xludf.DUMMYFUNCTION("ARRAYFORMULA(VLOOKUP(A1320,IMPORTRANGE(""https://docs.google.com/spreadsheets/d/1BuTWp7qHGjWhqrnf-OmePP568O4A5Am9ttzvVdP67zw/edit#gid=1603210130"", ""TOURISM!$A$2:$F$2692""), {2,3,4,5,6},0))"),"Asia")</f>
        <v>Asia</v>
      </c>
      <c r="L1320" s="14">
        <f>IFERROR(__xludf.DUMMYFUNCTION("""COMPUTED_VALUE"""),1.43E8)</f>
        <v>143000000</v>
      </c>
      <c r="M1320" s="14" t="str">
        <f>IFERROR(__xludf.DUMMYFUNCTION("""COMPUTED_VALUE"""),"Laos-Asia")</f>
        <v>Laos-Asia</v>
      </c>
      <c r="N1320" s="14" t="str">
        <f>IFERROR(__xludf.DUMMYFUNCTION("""COMPUTED_VALUE"""),"2005")</f>
        <v>2005</v>
      </c>
      <c r="O1320" s="14">
        <f>IFERROR(__xludf.DUMMYFUNCTION("""COMPUTED_VALUE"""),1.0E7)</f>
        <v>10000000</v>
      </c>
      <c r="P1320" s="15">
        <f>IFERROR(__xludf.DUMMYFUNCTION("ARRAYFORMULA(VLOOKUP(A1320,IMPORTRANGE(""https://docs.google.com/spreadsheets/d/1BuTWp7qHGjWhqrnf-OmePP568O4A5Am9ttzvVdP67zw/edit#gid=771602874"" ,""HUMAN RESOURCES!$A$2:$M$2692""), {2,3,4,5,6,7,8,9,10,11,12,13},0))"),0.028)</f>
        <v>0.028</v>
      </c>
      <c r="Q1320" s="14">
        <f>IFERROR(__xludf.DUMMYFUNCTION("""COMPUTED_VALUE"""),0.07)</f>
        <v>0.07</v>
      </c>
      <c r="R1320" s="14">
        <f>IFERROR(__xludf.DUMMYFUNCTION("""COMPUTED_VALUE"""),66.0)</f>
        <v>66</v>
      </c>
      <c r="S1320" s="14">
        <f>IFERROR(__xludf.DUMMYFUNCTION("""COMPUTED_VALUE"""),63.0)</f>
        <v>63</v>
      </c>
      <c r="T1320" s="14">
        <f>IFERROR(__xludf.DUMMYFUNCTION("""COMPUTED_VALUE"""),0.404)</f>
        <v>0.404</v>
      </c>
      <c r="U1320" s="14">
        <f>IFERROR(__xludf.DUMMYFUNCTION("""COMPUTED_VALUE"""),0.559)</f>
        <v>0.559</v>
      </c>
      <c r="V1320" s="14">
        <f>IFERROR(__xludf.DUMMYFUNCTION("""COMPUTED_VALUE"""),0.037)</f>
        <v>0.037</v>
      </c>
      <c r="W1320" s="14">
        <f>IFERROR(__xludf.DUMMYFUNCTION("""COMPUTED_VALUE"""),5790646.0)</f>
        <v>5790646</v>
      </c>
      <c r="X1320" s="14">
        <f>IFERROR(__xludf.DUMMYFUNCTION("""COMPUTED_VALUE"""),0.274)</f>
        <v>0.274</v>
      </c>
      <c r="Y1320" s="14" t="str">
        <f>IFERROR(__xludf.DUMMYFUNCTION("""COMPUTED_VALUE"""),"Laos-Asia")</f>
        <v>Laos-Asia</v>
      </c>
      <c r="Z1320" s="14" t="str">
        <f>IFERROR(__xludf.DUMMYFUNCTION("""COMPUTED_VALUE"""),"Asia")</f>
        <v>Asia</v>
      </c>
      <c r="AA1320" s="14" t="str">
        <f>IFERROR(__xludf.DUMMYFUNCTION("""COMPUTED_VALUE"""),"2005")</f>
        <v>2005</v>
      </c>
      <c r="AB1320" s="15" t="str">
        <f>IFERROR(__xludf.DUMMYFUNCTION("ARRAYFORMULA(VLOOKUP(A1320,IMPORTRANGE(""https://docs.google.com/spreadsheets/d/1BuTWp7qHGjWhqrnf-OmePP568O4A5Am9ttzvVdP67zw/edit#gid=1931367683"" ,""ENERGY!$A$2:$F$2692""), {2,3,4,5,6},0))"),"Asia")</f>
        <v>Asia</v>
      </c>
      <c r="AC1320" s="14" t="str">
        <f>IFERROR(__xludf.DUMMYFUNCTION("""COMPUTED_VALUE"""),"Laos-Asia")</f>
        <v>Laos-Asia</v>
      </c>
      <c r="AD1320" s="14" t="str">
        <f>IFERROR(__xludf.DUMMYFUNCTION("""COMPUTED_VALUE"""),"2007")</f>
        <v>2007</v>
      </c>
      <c r="AE1320" s="14"/>
      <c r="AF1320" s="14">
        <f>IFERROR(__xludf.DUMMYFUNCTION("""COMPUTED_VALUE"""),1668.0)</f>
        <v>1668</v>
      </c>
    </row>
    <row r="1321">
      <c r="A1321" s="12">
        <v>1320.0</v>
      </c>
      <c r="B1321" s="12" t="s">
        <v>180</v>
      </c>
      <c r="C1321" s="5" t="s">
        <v>61</v>
      </c>
      <c r="D1321" s="11">
        <v>0.352</v>
      </c>
      <c r="E1321" s="11">
        <v>123.0</v>
      </c>
      <c r="F1321" s="8"/>
      <c r="G1321" s="11">
        <v>672.0</v>
      </c>
      <c r="H1321" s="11">
        <v>0.012</v>
      </c>
      <c r="I1321" s="11">
        <v>0.171</v>
      </c>
      <c r="J1321" s="9" t="s">
        <v>67</v>
      </c>
      <c r="K1321" s="14" t="str">
        <f>IFERROR(__xludf.DUMMYFUNCTION("ARRAYFORMULA(VLOOKUP(A1321,IMPORTRANGE(""https://docs.google.com/spreadsheets/d/1BuTWp7qHGjWhqrnf-OmePP568O4A5Am9ttzvVdP67zw/edit#gid=1603210130"", ""TOURISM!$A$2:$F$2692""), {2,3,4,5,6},0))"),"Asia")</f>
        <v>Asia</v>
      </c>
      <c r="L1321" s="14">
        <f>IFERROR(__xludf.DUMMYFUNCTION("""COMPUTED_VALUE"""),1.6E8)</f>
        <v>160000000</v>
      </c>
      <c r="M1321" s="14" t="str">
        <f>IFERROR(__xludf.DUMMYFUNCTION("""COMPUTED_VALUE"""),"Laos-Asia")</f>
        <v>Laos-Asia</v>
      </c>
      <c r="N1321" s="14" t="str">
        <f>IFERROR(__xludf.DUMMYFUNCTION("""COMPUTED_VALUE"""),"2006")</f>
        <v>2006</v>
      </c>
      <c r="O1321" s="14">
        <f>IFERROR(__xludf.DUMMYFUNCTION("""COMPUTED_VALUE"""),1.5E7)</f>
        <v>15000000</v>
      </c>
      <c r="P1321" s="15">
        <f>IFERROR(__xludf.DUMMYFUNCTION("ARRAYFORMULA(VLOOKUP(A1321,IMPORTRANGE(""https://docs.google.com/spreadsheets/d/1BuTWp7qHGjWhqrnf-OmePP568O4A5Am9ttzvVdP67zw/edit#gid=771602874"" ,""HUMAN RESOURCES!$A$2:$M$2692""), {2,3,4,5,6,7,8,9,10,11,12,13},0))"),0.029)</f>
        <v>0.029</v>
      </c>
      <c r="Q1321" s="14">
        <f>IFERROR(__xludf.DUMMYFUNCTION("""COMPUTED_VALUE"""),0.068)</f>
        <v>0.068</v>
      </c>
      <c r="R1321" s="14">
        <f>IFERROR(__xludf.DUMMYFUNCTION("""COMPUTED_VALUE"""),66.0)</f>
        <v>66</v>
      </c>
      <c r="S1321" s="14">
        <f>IFERROR(__xludf.DUMMYFUNCTION("""COMPUTED_VALUE"""),64.0)</f>
        <v>64</v>
      </c>
      <c r="T1321" s="14">
        <f>IFERROR(__xludf.DUMMYFUNCTION("""COMPUTED_VALUE"""),0.396)</f>
        <v>0.396</v>
      </c>
      <c r="U1321" s="14">
        <f>IFERROR(__xludf.DUMMYFUNCTION("""COMPUTED_VALUE"""),0.566)</f>
        <v>0.566</v>
      </c>
      <c r="V1321" s="14">
        <f>IFERROR(__xludf.DUMMYFUNCTION("""COMPUTED_VALUE"""),0.038)</f>
        <v>0.038</v>
      </c>
      <c r="W1321" s="14">
        <f>IFERROR(__xludf.DUMMYFUNCTION("""COMPUTED_VALUE"""),5895930.0)</f>
        <v>5895930</v>
      </c>
      <c r="X1321" s="14">
        <f>IFERROR(__xludf.DUMMYFUNCTION("""COMPUTED_VALUE"""),0.285)</f>
        <v>0.285</v>
      </c>
      <c r="Y1321" s="14" t="str">
        <f>IFERROR(__xludf.DUMMYFUNCTION("""COMPUTED_VALUE"""),"Laos-Asia")</f>
        <v>Laos-Asia</v>
      </c>
      <c r="Z1321" s="14" t="str">
        <f>IFERROR(__xludf.DUMMYFUNCTION("""COMPUTED_VALUE"""),"Asia")</f>
        <v>Asia</v>
      </c>
      <c r="AA1321" s="14" t="str">
        <f>IFERROR(__xludf.DUMMYFUNCTION("""COMPUTED_VALUE"""),"2006")</f>
        <v>2006</v>
      </c>
      <c r="AB1321" s="15" t="str">
        <f>IFERROR(__xludf.DUMMYFUNCTION("ARRAYFORMULA(VLOOKUP(A1321,IMPORTRANGE(""https://docs.google.com/spreadsheets/d/1BuTWp7qHGjWhqrnf-OmePP568O4A5Am9ttzvVdP67zw/edit#gid=1931367683"" ,""ENERGY!$A$2:$F$2692""), {2,3,4,5,6},0))"),"Asia")</f>
        <v>Asia</v>
      </c>
      <c r="AC1321" s="14" t="str">
        <f>IFERROR(__xludf.DUMMYFUNCTION("""COMPUTED_VALUE"""),"Laos-Asia")</f>
        <v>Laos-Asia</v>
      </c>
      <c r="AD1321" s="14" t="str">
        <f>IFERROR(__xludf.DUMMYFUNCTION("""COMPUTED_VALUE"""),"2011")</f>
        <v>2011</v>
      </c>
      <c r="AE1321" s="14"/>
      <c r="AF1321" s="14">
        <f>IFERROR(__xludf.DUMMYFUNCTION("""COMPUTED_VALUE"""),1580.0)</f>
        <v>1580</v>
      </c>
    </row>
    <row r="1322">
      <c r="A1322" s="12">
        <v>1321.0</v>
      </c>
      <c r="B1322" s="12" t="s">
        <v>180</v>
      </c>
      <c r="C1322" s="5" t="s">
        <v>61</v>
      </c>
      <c r="D1322" s="11">
        <v>0.352</v>
      </c>
      <c r="E1322" s="11">
        <v>93.0</v>
      </c>
      <c r="F1322" s="8"/>
      <c r="G1322" s="11">
        <v>672.0</v>
      </c>
      <c r="H1322" s="11">
        <v>0.016</v>
      </c>
      <c r="I1322" s="11">
        <v>0.246</v>
      </c>
      <c r="J1322" s="9" t="s">
        <v>68</v>
      </c>
      <c r="K1322" s="14" t="str">
        <f>IFERROR(__xludf.DUMMYFUNCTION("ARRAYFORMULA(VLOOKUP(A1322,IMPORTRANGE(""https://docs.google.com/spreadsheets/d/1BuTWp7qHGjWhqrnf-OmePP568O4A5Am9ttzvVdP67zw/edit#gid=1603210130"", ""TOURISM!$A$2:$F$2692""), {2,3,4,5,6},0))"),"Asia")</f>
        <v>Asia</v>
      </c>
      <c r="L1322" s="14">
        <f>IFERROR(__xludf.DUMMYFUNCTION("""COMPUTED_VALUE"""),1.9E8)</f>
        <v>190000000</v>
      </c>
      <c r="M1322" s="14" t="str">
        <f>IFERROR(__xludf.DUMMYFUNCTION("""COMPUTED_VALUE"""),"Laos-Asia")</f>
        <v>Laos-Asia</v>
      </c>
      <c r="N1322" s="14" t="str">
        <f>IFERROR(__xludf.DUMMYFUNCTION("""COMPUTED_VALUE"""),"2007")</f>
        <v>2007</v>
      </c>
      <c r="O1322" s="14">
        <f>IFERROR(__xludf.DUMMYFUNCTION("""COMPUTED_VALUE"""),1.4E7)</f>
        <v>14000000</v>
      </c>
      <c r="P1322" s="15">
        <f>IFERROR(__xludf.DUMMYFUNCTION("ARRAYFORMULA(VLOOKUP(A1322,IMPORTRANGE(""https://docs.google.com/spreadsheets/d/1BuTWp7qHGjWhqrnf-OmePP568O4A5Am9ttzvVdP67zw/edit#gid=771602874"" ,""HUMAN RESOURCES!$A$2:$M$2692""), {2,3,4,5,6,7,8,9,10,11,12,13},0))"),0.029)</f>
        <v>0.029</v>
      </c>
      <c r="Q1322" s="14">
        <f>IFERROR(__xludf.DUMMYFUNCTION("""COMPUTED_VALUE"""),0.065)</f>
        <v>0.065</v>
      </c>
      <c r="R1322" s="14">
        <f>IFERROR(__xludf.DUMMYFUNCTION("""COMPUTED_VALUE"""),67.0)</f>
        <v>67</v>
      </c>
      <c r="S1322" s="14">
        <f>IFERROR(__xludf.DUMMYFUNCTION("""COMPUTED_VALUE"""),64.0)</f>
        <v>64</v>
      </c>
      <c r="T1322" s="14">
        <f>IFERROR(__xludf.DUMMYFUNCTION("""COMPUTED_VALUE"""),0.389)</f>
        <v>0.389</v>
      </c>
      <c r="U1322" s="14">
        <f>IFERROR(__xludf.DUMMYFUNCTION("""COMPUTED_VALUE"""),0.574)</f>
        <v>0.574</v>
      </c>
      <c r="V1322" s="14">
        <f>IFERROR(__xludf.DUMMYFUNCTION("""COMPUTED_VALUE"""),0.037)</f>
        <v>0.037</v>
      </c>
      <c r="W1322" s="14">
        <f>IFERROR(__xludf.DUMMYFUNCTION("""COMPUTED_VALUE"""),6013278.0)</f>
        <v>6013278</v>
      </c>
      <c r="X1322" s="14">
        <f>IFERROR(__xludf.DUMMYFUNCTION("""COMPUTED_VALUE"""),0.297)</f>
        <v>0.297</v>
      </c>
      <c r="Y1322" s="14" t="str">
        <f>IFERROR(__xludf.DUMMYFUNCTION("""COMPUTED_VALUE"""),"Laos-Asia")</f>
        <v>Laos-Asia</v>
      </c>
      <c r="Z1322" s="14" t="str">
        <f>IFERROR(__xludf.DUMMYFUNCTION("""COMPUTED_VALUE"""),"Asia")</f>
        <v>Asia</v>
      </c>
      <c r="AA1322" s="14" t="str">
        <f>IFERROR(__xludf.DUMMYFUNCTION("""COMPUTED_VALUE"""),"2007")</f>
        <v>2007</v>
      </c>
      <c r="AB1322" s="15" t="str">
        <f>IFERROR(__xludf.DUMMYFUNCTION("ARRAYFORMULA(VLOOKUP(A1322,IMPORTRANGE(""https://docs.google.com/spreadsheets/d/1BuTWp7qHGjWhqrnf-OmePP568O4A5Am9ttzvVdP67zw/edit#gid=1931367683"" ,""ENERGY!$A$2:$F$2692""), {2,3,4,5,6},0))"),"Asia")</f>
        <v>Asia</v>
      </c>
      <c r="AC1322" s="14" t="str">
        <f>IFERROR(__xludf.DUMMYFUNCTION("""COMPUTED_VALUE"""),"Laos-Asia")</f>
        <v>Laos-Asia</v>
      </c>
      <c r="AD1322" s="14" t="str">
        <f>IFERROR(__xludf.DUMMYFUNCTION("""COMPUTED_VALUE"""),"2008")</f>
        <v>2008</v>
      </c>
      <c r="AE1322" s="14"/>
      <c r="AF1322" s="14">
        <f>IFERROR(__xludf.DUMMYFUNCTION("""COMPUTED_VALUE"""),1434.0)</f>
        <v>1434</v>
      </c>
    </row>
    <row r="1323">
      <c r="A1323" s="12">
        <v>1322.0</v>
      </c>
      <c r="B1323" s="12" t="s">
        <v>180</v>
      </c>
      <c r="C1323" s="5" t="s">
        <v>61</v>
      </c>
      <c r="D1323" s="11">
        <v>0.334</v>
      </c>
      <c r="E1323" s="11">
        <v>93.0</v>
      </c>
      <c r="F1323" s="8"/>
      <c r="G1323" s="11">
        <v>560.0</v>
      </c>
      <c r="H1323" s="11">
        <v>0.036</v>
      </c>
      <c r="I1323" s="11">
        <v>0.329</v>
      </c>
      <c r="J1323" s="9" t="s">
        <v>69</v>
      </c>
      <c r="K1323" s="14" t="str">
        <f>IFERROR(__xludf.DUMMYFUNCTION("ARRAYFORMULA(VLOOKUP(A1323,IMPORTRANGE(""https://docs.google.com/spreadsheets/d/1BuTWp7qHGjWhqrnf-OmePP568O4A5Am9ttzvVdP67zw/edit#gid=1603210130"", ""TOURISM!$A$2:$F$2692""), {2,3,4,5,6},0))"),"Asia")</f>
        <v>Asia</v>
      </c>
      <c r="L1323" s="14">
        <f>IFERROR(__xludf.DUMMYFUNCTION("""COMPUTED_VALUE"""),2.8E8)</f>
        <v>280000000</v>
      </c>
      <c r="M1323" s="14" t="str">
        <f>IFERROR(__xludf.DUMMYFUNCTION("""COMPUTED_VALUE"""),"Laos-Asia")</f>
        <v>Laos-Asia</v>
      </c>
      <c r="N1323" s="14" t="str">
        <f>IFERROR(__xludf.DUMMYFUNCTION("""COMPUTED_VALUE"""),"2008")</f>
        <v>2008</v>
      </c>
      <c r="O1323" s="14">
        <f>IFERROR(__xludf.DUMMYFUNCTION("""COMPUTED_VALUE"""),5.1E7)</f>
        <v>51000000</v>
      </c>
      <c r="P1323" s="15">
        <f>IFERROR(__xludf.DUMMYFUNCTION("ARRAYFORMULA(VLOOKUP(A1323,IMPORTRANGE(""https://docs.google.com/spreadsheets/d/1BuTWp7qHGjWhqrnf-OmePP568O4A5Am9ttzvVdP67zw/edit#gid=771602874"" ,""HUMAN RESOURCES!$A$2:$M$2692""), {2,3,4,5,6,7,8,9,10,11,12,13},0))"),0.029)</f>
        <v>0.029</v>
      </c>
      <c r="Q1323" s="14">
        <f>IFERROR(__xludf.DUMMYFUNCTION("""COMPUTED_VALUE"""),0.063)</f>
        <v>0.063</v>
      </c>
      <c r="R1323" s="14">
        <f>IFERROR(__xludf.DUMMYFUNCTION("""COMPUTED_VALUE"""),67.0)</f>
        <v>67</v>
      </c>
      <c r="S1323" s="14">
        <f>IFERROR(__xludf.DUMMYFUNCTION("""COMPUTED_VALUE"""),65.0)</f>
        <v>65</v>
      </c>
      <c r="T1323" s="14">
        <f>IFERROR(__xludf.DUMMYFUNCTION("""COMPUTED_VALUE"""),0.381)</f>
        <v>0.381</v>
      </c>
      <c r="U1323" s="14">
        <f>IFERROR(__xludf.DUMMYFUNCTION("""COMPUTED_VALUE"""),0.581)</f>
        <v>0.581</v>
      </c>
      <c r="V1323" s="14">
        <f>IFERROR(__xludf.DUMMYFUNCTION("""COMPUTED_VALUE"""),0.037)</f>
        <v>0.037</v>
      </c>
      <c r="W1323" s="14">
        <f>IFERROR(__xludf.DUMMYFUNCTION("""COMPUTED_VALUE"""),6139127.0)</f>
        <v>6139127</v>
      </c>
      <c r="X1323" s="14">
        <f>IFERROR(__xludf.DUMMYFUNCTION("""COMPUTED_VALUE"""),0.308)</f>
        <v>0.308</v>
      </c>
      <c r="Y1323" s="14" t="str">
        <f>IFERROR(__xludf.DUMMYFUNCTION("""COMPUTED_VALUE"""),"Laos-Asia")</f>
        <v>Laos-Asia</v>
      </c>
      <c r="Z1323" s="14" t="str">
        <f>IFERROR(__xludf.DUMMYFUNCTION("""COMPUTED_VALUE"""),"Asia")</f>
        <v>Asia</v>
      </c>
      <c r="AA1323" s="14" t="str">
        <f>IFERROR(__xludf.DUMMYFUNCTION("""COMPUTED_VALUE"""),"2008")</f>
        <v>2008</v>
      </c>
      <c r="AB1323" s="15" t="str">
        <f>IFERROR(__xludf.DUMMYFUNCTION("ARRAYFORMULA(VLOOKUP(A1323,IMPORTRANGE(""https://docs.google.com/spreadsheets/d/1BuTWp7qHGjWhqrnf-OmePP568O4A5Am9ttzvVdP67zw/edit#gid=1931367683"" ,""ENERGY!$A$2:$F$2692""), {2,3,4,5,6},0))"),"Asia")</f>
        <v>Asia</v>
      </c>
      <c r="AC1323" s="14" t="str">
        <f>IFERROR(__xludf.DUMMYFUNCTION("""COMPUTED_VALUE"""),"Laos-Asia")</f>
        <v>Laos-Asia</v>
      </c>
      <c r="AD1323" s="14" t="str">
        <f>IFERROR(__xludf.DUMMYFUNCTION("""COMPUTED_VALUE"""),"2006")</f>
        <v>2006</v>
      </c>
      <c r="AE1323" s="14"/>
      <c r="AF1323" s="14">
        <f>IFERROR(__xludf.DUMMYFUNCTION("""COMPUTED_VALUE"""),1423.0)</f>
        <v>1423</v>
      </c>
    </row>
    <row r="1324">
      <c r="A1324" s="12">
        <v>1323.0</v>
      </c>
      <c r="B1324" s="12" t="s">
        <v>180</v>
      </c>
      <c r="C1324" s="5" t="s">
        <v>61</v>
      </c>
      <c r="D1324" s="11">
        <v>0.323</v>
      </c>
      <c r="E1324" s="11">
        <v>93.0</v>
      </c>
      <c r="F1324" s="8"/>
      <c r="G1324" s="11">
        <v>362.0</v>
      </c>
      <c r="H1324" s="11">
        <v>0.06</v>
      </c>
      <c r="I1324" s="11">
        <v>0.516</v>
      </c>
      <c r="J1324" s="9" t="s">
        <v>70</v>
      </c>
      <c r="K1324" s="14" t="str">
        <f>IFERROR(__xludf.DUMMYFUNCTION("ARRAYFORMULA(VLOOKUP(A1324,IMPORTRANGE(""https://docs.google.com/spreadsheets/d/1BuTWp7qHGjWhqrnf-OmePP568O4A5Am9ttzvVdP67zw/edit#gid=1603210130"", ""TOURISM!$A$2:$F$2692""), {2,3,4,5,6},0))"),"Asia")</f>
        <v>Asia</v>
      </c>
      <c r="L1324" s="14">
        <f>IFERROR(__xludf.DUMMYFUNCTION("""COMPUTED_VALUE"""),2.71E8)</f>
        <v>271000000</v>
      </c>
      <c r="M1324" s="14" t="str">
        <f>IFERROR(__xludf.DUMMYFUNCTION("""COMPUTED_VALUE"""),"Laos-Asia")</f>
        <v>Laos-Asia</v>
      </c>
      <c r="N1324" s="14" t="str">
        <f>IFERROR(__xludf.DUMMYFUNCTION("""COMPUTED_VALUE"""),"2009")</f>
        <v>2009</v>
      </c>
      <c r="O1324" s="14">
        <f>IFERROR(__xludf.DUMMYFUNCTION("""COMPUTED_VALUE"""),9.1E7)</f>
        <v>91000000</v>
      </c>
      <c r="P1324" s="15">
        <f>IFERROR(__xludf.DUMMYFUNCTION("ARRAYFORMULA(VLOOKUP(A1324,IMPORTRANGE(""https://docs.google.com/spreadsheets/d/1BuTWp7qHGjWhqrnf-OmePP568O4A5Am9ttzvVdP67zw/edit#gid=771602874"" ,""HUMAN RESOURCES!$A$2:$M$2692""), {2,3,4,5,6,7,8,9,10,11,12,13},0))"),0.029)</f>
        <v>0.029</v>
      </c>
      <c r="Q1324" s="14">
        <f>IFERROR(__xludf.DUMMYFUNCTION("""COMPUTED_VALUE"""),0.061)</f>
        <v>0.061</v>
      </c>
      <c r="R1324" s="14">
        <f>IFERROR(__xludf.DUMMYFUNCTION("""COMPUTED_VALUE"""),68.0)</f>
        <v>68</v>
      </c>
      <c r="S1324" s="14">
        <f>IFERROR(__xludf.DUMMYFUNCTION("""COMPUTED_VALUE"""),65.0)</f>
        <v>65</v>
      </c>
      <c r="T1324" s="14">
        <f>IFERROR(__xludf.DUMMYFUNCTION("""COMPUTED_VALUE"""),0.374)</f>
        <v>0.374</v>
      </c>
      <c r="U1324" s="14">
        <f>IFERROR(__xludf.DUMMYFUNCTION("""COMPUTED_VALUE"""),0.588)</f>
        <v>0.588</v>
      </c>
      <c r="V1324" s="14">
        <f>IFERROR(__xludf.DUMMYFUNCTION("""COMPUTED_VALUE"""),0.037)</f>
        <v>0.037</v>
      </c>
      <c r="W1324" s="14">
        <f>IFERROR(__xludf.DUMMYFUNCTION("""COMPUTED_VALUE"""),6267968.0)</f>
        <v>6267968</v>
      </c>
      <c r="X1324" s="14">
        <f>IFERROR(__xludf.DUMMYFUNCTION("""COMPUTED_VALUE"""),0.32)</f>
        <v>0.32</v>
      </c>
      <c r="Y1324" s="14" t="str">
        <f>IFERROR(__xludf.DUMMYFUNCTION("""COMPUTED_VALUE"""),"Laos-Asia")</f>
        <v>Laos-Asia</v>
      </c>
      <c r="Z1324" s="14" t="str">
        <f>IFERROR(__xludf.DUMMYFUNCTION("""COMPUTED_VALUE"""),"Asia")</f>
        <v>Asia</v>
      </c>
      <c r="AA1324" s="14" t="str">
        <f>IFERROR(__xludf.DUMMYFUNCTION("""COMPUTED_VALUE"""),"2009")</f>
        <v>2009</v>
      </c>
      <c r="AB1324" s="15" t="str">
        <f>IFERROR(__xludf.DUMMYFUNCTION("ARRAYFORMULA(VLOOKUP(A1324,IMPORTRANGE(""https://docs.google.com/spreadsheets/d/1BuTWp7qHGjWhqrnf-OmePP568O4A5Am9ttzvVdP67zw/edit#gid=1931367683"" ,""ENERGY!$A$2:$F$2692""), {2,3,4,5,6},0))"),"Asia")</f>
        <v>Asia</v>
      </c>
      <c r="AC1324" s="14" t="str">
        <f>IFERROR(__xludf.DUMMYFUNCTION("""COMPUTED_VALUE"""),"Laos-Asia")</f>
        <v>Laos-Asia</v>
      </c>
      <c r="AD1324" s="14" t="str">
        <f>IFERROR(__xludf.DUMMYFUNCTION("""COMPUTED_VALUE"""),"2010")</f>
        <v>2010</v>
      </c>
      <c r="AE1324" s="14"/>
      <c r="AF1324" s="14">
        <f>IFERROR(__xludf.DUMMYFUNCTION("""COMPUTED_VALUE"""),1129.0)</f>
        <v>1129</v>
      </c>
    </row>
    <row r="1325">
      <c r="A1325" s="12">
        <v>1324.0</v>
      </c>
      <c r="B1325" s="12" t="s">
        <v>180</v>
      </c>
      <c r="C1325" s="5" t="s">
        <v>61</v>
      </c>
      <c r="D1325" s="11">
        <v>0.323</v>
      </c>
      <c r="E1325" s="11">
        <v>93.0</v>
      </c>
      <c r="F1325" s="8"/>
      <c r="G1325" s="11">
        <v>362.0</v>
      </c>
      <c r="H1325" s="11">
        <v>0.07</v>
      </c>
      <c r="I1325" s="11">
        <v>0.626</v>
      </c>
      <c r="J1325" s="9" t="s">
        <v>71</v>
      </c>
      <c r="K1325" s="14" t="str">
        <f>IFERROR(__xludf.DUMMYFUNCTION("ARRAYFORMULA(VLOOKUP(A1325,IMPORTRANGE(""https://docs.google.com/spreadsheets/d/1BuTWp7qHGjWhqrnf-OmePP568O4A5Am9ttzvVdP67zw/edit#gid=1603210130"", ""TOURISM!$A$2:$F$2692""), {2,3,4,5,6},0))"),"Asia")</f>
        <v>Asia</v>
      </c>
      <c r="L1325" s="14">
        <f>IFERROR(__xludf.DUMMYFUNCTION("""COMPUTED_VALUE"""),3.85E8)</f>
        <v>385000000</v>
      </c>
      <c r="M1325" s="14" t="str">
        <f>IFERROR(__xludf.DUMMYFUNCTION("""COMPUTED_VALUE"""),"Laos-Asia")</f>
        <v>Laos-Asia</v>
      </c>
      <c r="N1325" s="14" t="str">
        <f>IFERROR(__xludf.DUMMYFUNCTION("""COMPUTED_VALUE"""),"2010")</f>
        <v>2010</v>
      </c>
      <c r="O1325" s="14">
        <f>IFERROR(__xludf.DUMMYFUNCTION("""COMPUTED_VALUE"""),2.15E8)</f>
        <v>215000000</v>
      </c>
      <c r="P1325" s="15">
        <f>IFERROR(__xludf.DUMMYFUNCTION("ARRAYFORMULA(VLOOKUP(A1325,IMPORTRANGE(""https://docs.google.com/spreadsheets/d/1BuTWp7qHGjWhqrnf-OmePP568O4A5Am9ttzvVdP67zw/edit#gid=771602874"" ,""HUMAN RESOURCES!$A$2:$M$2692""), {2,3,4,5,6,7,8,9,10,11,12,13},0))"),0.028)</f>
        <v>0.028</v>
      </c>
      <c r="Q1325" s="14">
        <f>IFERROR(__xludf.DUMMYFUNCTION("""COMPUTED_VALUE"""),0.059)</f>
        <v>0.059</v>
      </c>
      <c r="R1325" s="14">
        <f>IFERROR(__xludf.DUMMYFUNCTION("""COMPUTED_VALUE"""),68.0)</f>
        <v>68</v>
      </c>
      <c r="S1325" s="14">
        <f>IFERROR(__xludf.DUMMYFUNCTION("""COMPUTED_VALUE"""),66.0)</f>
        <v>66</v>
      </c>
      <c r="T1325" s="14">
        <f>IFERROR(__xludf.DUMMYFUNCTION("""COMPUTED_VALUE"""),0.368)</f>
        <v>0.368</v>
      </c>
      <c r="U1325" s="14">
        <f>IFERROR(__xludf.DUMMYFUNCTION("""COMPUTED_VALUE"""),0.595)</f>
        <v>0.595</v>
      </c>
      <c r="V1325" s="14">
        <f>IFERROR(__xludf.DUMMYFUNCTION("""COMPUTED_VALUE"""),0.037)</f>
        <v>0.037</v>
      </c>
      <c r="W1325" s="14">
        <f>IFERROR(__xludf.DUMMYFUNCTION("""COMPUTED_VALUE"""),6395713.0)</f>
        <v>6395713</v>
      </c>
      <c r="X1325" s="14">
        <f>IFERROR(__xludf.DUMMYFUNCTION("""COMPUTED_VALUE"""),0.331)</f>
        <v>0.331</v>
      </c>
      <c r="Y1325" s="14" t="str">
        <f>IFERROR(__xludf.DUMMYFUNCTION("""COMPUTED_VALUE"""),"Laos-Asia")</f>
        <v>Laos-Asia</v>
      </c>
      <c r="Z1325" s="14" t="str">
        <f>IFERROR(__xludf.DUMMYFUNCTION("""COMPUTED_VALUE"""),"Asia")</f>
        <v>Asia</v>
      </c>
      <c r="AA1325" s="14" t="str">
        <f>IFERROR(__xludf.DUMMYFUNCTION("""COMPUTED_VALUE"""),"2010")</f>
        <v>2010</v>
      </c>
      <c r="AB1325" s="15" t="str">
        <f>IFERROR(__xludf.DUMMYFUNCTION("ARRAYFORMULA(VLOOKUP(A1325,IMPORTRANGE(""https://docs.google.com/spreadsheets/d/1BuTWp7qHGjWhqrnf-OmePP568O4A5Am9ttzvVdP67zw/edit#gid=1931367683"" ,""ENERGY!$A$2:$F$2692""), {2,3,4,5,6},0))"),"Asia")</f>
        <v>Asia</v>
      </c>
      <c r="AC1325" s="14" t="str">
        <f>IFERROR(__xludf.DUMMYFUNCTION("""COMPUTED_VALUE"""),"Laos-Asia")</f>
        <v>Laos-Asia</v>
      </c>
      <c r="AD1325" s="14" t="str">
        <f>IFERROR(__xludf.DUMMYFUNCTION("""COMPUTED_VALUE"""),"2012")</f>
        <v>2012</v>
      </c>
      <c r="AE1325" s="14"/>
      <c r="AF1325" s="14">
        <f>IFERROR(__xludf.DUMMYFUNCTION("""COMPUTED_VALUE"""),1177.0)</f>
        <v>1177</v>
      </c>
    </row>
    <row r="1326">
      <c r="A1326" s="12">
        <v>1325.0</v>
      </c>
      <c r="B1326" s="12" t="s">
        <v>180</v>
      </c>
      <c r="C1326" s="5" t="s">
        <v>61</v>
      </c>
      <c r="D1326" s="11">
        <v>0.319</v>
      </c>
      <c r="E1326" s="11">
        <v>93.0</v>
      </c>
      <c r="F1326" s="8"/>
      <c r="G1326" s="11">
        <v>362.0</v>
      </c>
      <c r="H1326" s="11">
        <v>0.09</v>
      </c>
      <c r="I1326" s="11">
        <v>0.84</v>
      </c>
      <c r="J1326" s="9" t="s">
        <v>72</v>
      </c>
      <c r="K1326" s="14" t="str">
        <f>IFERROR(__xludf.DUMMYFUNCTION("ARRAYFORMULA(VLOOKUP(A1326,IMPORTRANGE(""https://docs.google.com/spreadsheets/d/1BuTWp7qHGjWhqrnf-OmePP568O4A5Am9ttzvVdP67zw/edit#gid=1603210130"", ""TOURISM!$A$2:$F$2692""), {2,3,4,5,6},0))"),"Asia")</f>
        <v>Asia</v>
      </c>
      <c r="L1326" s="14">
        <f>IFERROR(__xludf.DUMMYFUNCTION("""COMPUTED_VALUE"""),4.13E8)</f>
        <v>413000000</v>
      </c>
      <c r="M1326" s="14" t="str">
        <f>IFERROR(__xludf.DUMMYFUNCTION("""COMPUTED_VALUE"""),"Laos-Asia")</f>
        <v>Laos-Asia</v>
      </c>
      <c r="N1326" s="14" t="str">
        <f>IFERROR(__xludf.DUMMYFUNCTION("""COMPUTED_VALUE"""),"2011")</f>
        <v>2011</v>
      </c>
      <c r="O1326" s="14">
        <f>IFERROR(__xludf.DUMMYFUNCTION("""COMPUTED_VALUE"""),2.48E8)</f>
        <v>248000000</v>
      </c>
      <c r="P1326" s="15">
        <f>IFERROR(__xludf.DUMMYFUNCTION("ARRAYFORMULA(VLOOKUP(A1326,IMPORTRANGE(""https://docs.google.com/spreadsheets/d/1BuTWp7qHGjWhqrnf-OmePP568O4A5Am9ttzvVdP67zw/edit#gid=771602874"" ,""HUMAN RESOURCES!$A$2:$M$2692""), {2,3,4,5,6,7,8,9,10,11,12,13},0))"),0.028)</f>
        <v>0.028</v>
      </c>
      <c r="Q1326" s="14">
        <f>IFERROR(__xludf.DUMMYFUNCTION("""COMPUTED_VALUE"""),0.057)</f>
        <v>0.057</v>
      </c>
      <c r="R1326" s="14">
        <f>IFERROR(__xludf.DUMMYFUNCTION("""COMPUTED_VALUE"""),69.0)</f>
        <v>69</v>
      </c>
      <c r="S1326" s="14">
        <f>IFERROR(__xludf.DUMMYFUNCTION("""COMPUTED_VALUE"""),66.0)</f>
        <v>66</v>
      </c>
      <c r="T1326" s="14">
        <f>IFERROR(__xludf.DUMMYFUNCTION("""COMPUTED_VALUE"""),0.362)</f>
        <v>0.362</v>
      </c>
      <c r="U1326" s="14">
        <f>IFERROR(__xludf.DUMMYFUNCTION("""COMPUTED_VALUE"""),0.601)</f>
        <v>0.601</v>
      </c>
      <c r="V1326" s="14">
        <f>IFERROR(__xludf.DUMMYFUNCTION("""COMPUTED_VALUE"""),0.037)</f>
        <v>0.037</v>
      </c>
      <c r="W1326" s="14">
        <f>IFERROR(__xludf.DUMMYFUNCTION("""COMPUTED_VALUE"""),6521314.0)</f>
        <v>6521314</v>
      </c>
      <c r="X1326" s="14">
        <f>IFERROR(__xludf.DUMMYFUNCTION("""COMPUTED_VALUE"""),0.343)</f>
        <v>0.343</v>
      </c>
      <c r="Y1326" s="14" t="str">
        <f>IFERROR(__xludf.DUMMYFUNCTION("""COMPUTED_VALUE"""),"Laos-Asia")</f>
        <v>Laos-Asia</v>
      </c>
      <c r="Z1326" s="14" t="str">
        <f>IFERROR(__xludf.DUMMYFUNCTION("""COMPUTED_VALUE"""),"Asia")</f>
        <v>Asia</v>
      </c>
      <c r="AA1326" s="14" t="str">
        <f>IFERROR(__xludf.DUMMYFUNCTION("""COMPUTED_VALUE"""),"2011")</f>
        <v>2011</v>
      </c>
      <c r="AB1326" s="15" t="str">
        <f>IFERROR(__xludf.DUMMYFUNCTION("ARRAYFORMULA(VLOOKUP(A1326,IMPORTRANGE(""https://docs.google.com/spreadsheets/d/1BuTWp7qHGjWhqrnf-OmePP568O4A5Am9ttzvVdP67zw/edit#gid=1931367683"" ,""ENERGY!$A$2:$F$2692""), {2,3,4,5,6},0))"),"Asia")</f>
        <v>Asia</v>
      </c>
      <c r="AC1326" s="14" t="str">
        <f>IFERROR(__xludf.DUMMYFUNCTION("""COMPUTED_VALUE"""),"Laos-Asia")</f>
        <v>Laos-Asia</v>
      </c>
      <c r="AD1326" s="14" t="str">
        <f>IFERROR(__xludf.DUMMYFUNCTION("""COMPUTED_VALUE"""),"2005")</f>
        <v>2005</v>
      </c>
      <c r="AE1326" s="14"/>
      <c r="AF1326" s="14">
        <f>IFERROR(__xludf.DUMMYFUNCTION("""COMPUTED_VALUE"""),902.0)</f>
        <v>902</v>
      </c>
    </row>
    <row r="1327">
      <c r="A1327" s="12">
        <v>1326.0</v>
      </c>
      <c r="B1327" s="12" t="s">
        <v>180</v>
      </c>
      <c r="C1327" s="5" t="s">
        <v>61</v>
      </c>
      <c r="D1327" s="11">
        <v>0.319</v>
      </c>
      <c r="E1327" s="11">
        <v>92.0</v>
      </c>
      <c r="F1327" s="11">
        <v>163.0</v>
      </c>
      <c r="G1327" s="11">
        <v>362.0</v>
      </c>
      <c r="H1327" s="11">
        <v>0.107</v>
      </c>
      <c r="I1327" s="11">
        <v>0.647</v>
      </c>
      <c r="J1327" s="9" t="s">
        <v>73</v>
      </c>
      <c r="K1327" s="14" t="str">
        <f>IFERROR(__xludf.DUMMYFUNCTION("ARRAYFORMULA(VLOOKUP(A1327,IMPORTRANGE(""https://docs.google.com/spreadsheets/d/1BuTWp7qHGjWhqrnf-OmePP568O4A5Am9ttzvVdP67zw/edit#gid=1603210130"", ""TOURISM!$A$2:$F$2692""), {2,3,4,5,6},0))"),"Asia")</f>
        <v>Asia</v>
      </c>
      <c r="L1327" s="14">
        <f>IFERROR(__xludf.DUMMYFUNCTION("""COMPUTED_VALUE"""),4.61E8)</f>
        <v>461000000</v>
      </c>
      <c r="M1327" s="14" t="str">
        <f>IFERROR(__xludf.DUMMYFUNCTION("""COMPUTED_VALUE"""),"Laos-Asia")</f>
        <v>Laos-Asia</v>
      </c>
      <c r="N1327" s="14" t="str">
        <f>IFERROR(__xludf.DUMMYFUNCTION("""COMPUTED_VALUE"""),"2012")</f>
        <v>2012</v>
      </c>
      <c r="O1327" s="14">
        <f>IFERROR(__xludf.DUMMYFUNCTION("""COMPUTED_VALUE"""),2.41E8)</f>
        <v>241000000</v>
      </c>
      <c r="P1327" s="15">
        <f>IFERROR(__xludf.DUMMYFUNCTION("ARRAYFORMULA(VLOOKUP(A1327,IMPORTRANGE(""https://docs.google.com/spreadsheets/d/1BuTWp7qHGjWhqrnf-OmePP568O4A5Am9ttzvVdP67zw/edit#gid=771602874"" ,""HUMAN RESOURCES!$A$2:$M$2692""), {2,3,4,5,6,7,8,9,10,11,12,13},0))"),0.027)</f>
        <v>0.027</v>
      </c>
      <c r="Q1327" s="14">
        <f>IFERROR(__xludf.DUMMYFUNCTION("""COMPUTED_VALUE"""),0.055)</f>
        <v>0.055</v>
      </c>
      <c r="R1327" s="14">
        <f>IFERROR(__xludf.DUMMYFUNCTION("""COMPUTED_VALUE"""),69.0)</f>
        <v>69</v>
      </c>
      <c r="S1327" s="14">
        <f>IFERROR(__xludf.DUMMYFUNCTION("""COMPUTED_VALUE"""),66.0)</f>
        <v>66</v>
      </c>
      <c r="T1327" s="14">
        <f>IFERROR(__xludf.DUMMYFUNCTION("""COMPUTED_VALUE"""),0.356)</f>
        <v>0.356</v>
      </c>
      <c r="U1327" s="14">
        <f>IFERROR(__xludf.DUMMYFUNCTION("""COMPUTED_VALUE"""),0.606)</f>
        <v>0.606</v>
      </c>
      <c r="V1327" s="14">
        <f>IFERROR(__xludf.DUMMYFUNCTION("""COMPUTED_VALUE"""),0.038)</f>
        <v>0.038</v>
      </c>
      <c r="W1327" s="14">
        <f>IFERROR(__xludf.DUMMYFUNCTION("""COMPUTED_VALUE"""),6645827.0)</f>
        <v>6645827</v>
      </c>
      <c r="X1327" s="14">
        <f>IFERROR(__xludf.DUMMYFUNCTION("""COMPUTED_VALUE"""),0.354)</f>
        <v>0.354</v>
      </c>
      <c r="Y1327" s="14" t="str">
        <f>IFERROR(__xludf.DUMMYFUNCTION("""COMPUTED_VALUE"""),"Laos-Asia")</f>
        <v>Laos-Asia</v>
      </c>
      <c r="Z1327" s="14" t="str">
        <f>IFERROR(__xludf.DUMMYFUNCTION("""COMPUTED_VALUE"""),"Asia")</f>
        <v>Asia</v>
      </c>
      <c r="AA1327" s="14" t="str">
        <f>IFERROR(__xludf.DUMMYFUNCTION("""COMPUTED_VALUE"""),"2012")</f>
        <v>2012</v>
      </c>
      <c r="AB1327" s="15" t="str">
        <f>IFERROR(__xludf.DUMMYFUNCTION("ARRAYFORMULA(VLOOKUP(A1327,IMPORTRANGE(""https://docs.google.com/spreadsheets/d/1BuTWp7qHGjWhqrnf-OmePP568O4A5Am9ttzvVdP67zw/edit#gid=1931367683"" ,""ENERGY!$A$2:$F$2692""), {2,3,4,5,6},0))"),"Asia")</f>
        <v>Asia</v>
      </c>
      <c r="AC1327" s="14" t="str">
        <f>IFERROR(__xludf.DUMMYFUNCTION("""COMPUTED_VALUE"""),"Laos-Asia")</f>
        <v>Laos-Asia</v>
      </c>
      <c r="AD1327" s="14" t="str">
        <f>IFERROR(__xludf.DUMMYFUNCTION("""COMPUTED_VALUE"""),"2010")</f>
        <v>2010</v>
      </c>
      <c r="AE1327" s="14"/>
      <c r="AF1327" s="14">
        <f>IFERROR(__xludf.DUMMYFUNCTION("""COMPUTED_VALUE"""),972.0)</f>
        <v>972</v>
      </c>
    </row>
    <row r="1328">
      <c r="A1328" s="12">
        <v>1327.0</v>
      </c>
      <c r="B1328" s="12" t="s">
        <v>181</v>
      </c>
      <c r="C1328" s="5" t="s">
        <v>75</v>
      </c>
      <c r="D1328" s="8"/>
      <c r="E1328" s="8"/>
      <c r="F1328" s="8"/>
      <c r="G1328" s="8"/>
      <c r="H1328" s="11">
        <v>0.063</v>
      </c>
      <c r="I1328" s="11">
        <v>0.169</v>
      </c>
      <c r="J1328" s="9" t="s">
        <v>60</v>
      </c>
      <c r="K1328" s="14" t="str">
        <f>IFERROR(__xludf.DUMMYFUNCTION("ARRAYFORMULA(VLOOKUP(A1328,IMPORTRANGE(""https://docs.google.com/spreadsheets/d/1BuTWp7qHGjWhqrnf-OmePP568O4A5Am9ttzvVdP67zw/edit#gid=1603210130"", ""TOURISM!$A$2:$F$2692""), {2,3,4,5,6},0))"),"Europe")</f>
        <v>Europe</v>
      </c>
      <c r="L1328" s="14">
        <f>IFERROR(__xludf.DUMMYFUNCTION("""COMPUTED_VALUE"""),1.72E8)</f>
        <v>172000000</v>
      </c>
      <c r="M1328" s="14" t="str">
        <f>IFERROR(__xludf.DUMMYFUNCTION("""COMPUTED_VALUE"""),"Latvia-Europe")</f>
        <v>Latvia-Europe</v>
      </c>
      <c r="N1328" s="14" t="str">
        <f>IFERROR(__xludf.DUMMYFUNCTION("""COMPUTED_VALUE"""),"2000")</f>
        <v>2000</v>
      </c>
      <c r="O1328" s="14">
        <f>IFERROR(__xludf.DUMMYFUNCTION("""COMPUTED_VALUE"""),2.81E8)</f>
        <v>281000000</v>
      </c>
      <c r="P1328" s="15">
        <f>IFERROR(__xludf.DUMMYFUNCTION("ARRAYFORMULA(VLOOKUP(A1328,IMPORTRANGE(""https://docs.google.com/spreadsheets/d/1BuTWp7qHGjWhqrnf-OmePP568O4A5Am9ttzvVdP67zw/edit#gid=771602874"" ,""HUMAN RESOURCES!$A$2:$M$2692""), {2,3,4,5,6,7,8,9,10,11,12,13},0))"),0.009)</f>
        <v>0.009</v>
      </c>
      <c r="Q1328" s="14">
        <f>IFERROR(__xludf.DUMMYFUNCTION("""COMPUTED_VALUE"""),0.015)</f>
        <v>0.015</v>
      </c>
      <c r="R1328" s="14">
        <f>IFERROR(__xludf.DUMMYFUNCTION("""COMPUTED_VALUE"""),76.0)</f>
        <v>76</v>
      </c>
      <c r="S1328" s="14">
        <f>IFERROR(__xludf.DUMMYFUNCTION("""COMPUTED_VALUE"""),65.0)</f>
        <v>65</v>
      </c>
      <c r="T1328" s="14">
        <f>IFERROR(__xludf.DUMMYFUNCTION("""COMPUTED_VALUE"""),0.179)</f>
        <v>0.179</v>
      </c>
      <c r="U1328" s="14">
        <f>IFERROR(__xludf.DUMMYFUNCTION("""COMPUTED_VALUE"""),0.671)</f>
        <v>0.671</v>
      </c>
      <c r="V1328" s="14">
        <f>IFERROR(__xludf.DUMMYFUNCTION("""COMPUTED_VALUE"""),0.15)</f>
        <v>0.15</v>
      </c>
      <c r="W1328" s="14">
        <f>IFERROR(__xludf.DUMMYFUNCTION("""COMPUTED_VALUE"""),2367550.0)</f>
        <v>2367550</v>
      </c>
      <c r="X1328" s="14">
        <f>IFERROR(__xludf.DUMMYFUNCTION("""COMPUTED_VALUE"""),0.681)</f>
        <v>0.681</v>
      </c>
      <c r="Y1328" s="14" t="str">
        <f>IFERROR(__xludf.DUMMYFUNCTION("""COMPUTED_VALUE"""),"Latvia-Europe")</f>
        <v>Latvia-Europe</v>
      </c>
      <c r="Z1328" s="14" t="str">
        <f>IFERROR(__xludf.DUMMYFUNCTION("""COMPUTED_VALUE"""),"Europe")</f>
        <v>Europe</v>
      </c>
      <c r="AA1328" s="14" t="str">
        <f>IFERROR(__xludf.DUMMYFUNCTION("""COMPUTED_VALUE"""),"2000")</f>
        <v>2000</v>
      </c>
      <c r="AB1328" s="15" t="str">
        <f>IFERROR(__xludf.DUMMYFUNCTION("ARRAYFORMULA(VLOOKUP(A1328,IMPORTRANGE(""https://docs.google.com/spreadsheets/d/1BuTWp7qHGjWhqrnf-OmePP568O4A5Am9ttzvVdP67zw/edit#gid=1931367683"" ,""ENERGY!$A$2:$F$2692""), {2,3,4,5,6},0))"),"Europe")</f>
        <v>Europe</v>
      </c>
      <c r="AC1328" s="14" t="str">
        <f>IFERROR(__xludf.DUMMYFUNCTION("""COMPUTED_VALUE"""),"Latvia-Europe")</f>
        <v>Latvia-Europe</v>
      </c>
      <c r="AD1328" s="14" t="str">
        <f>IFERROR(__xludf.DUMMYFUNCTION("""COMPUTED_VALUE"""),"2000")</f>
        <v>2000</v>
      </c>
      <c r="AE1328" s="14"/>
      <c r="AF1328" s="14"/>
    </row>
    <row r="1329">
      <c r="A1329" s="12">
        <v>1328.0</v>
      </c>
      <c r="B1329" s="12" t="s">
        <v>181</v>
      </c>
      <c r="C1329" s="5" t="s">
        <v>75</v>
      </c>
      <c r="D1329" s="8"/>
      <c r="E1329" s="8"/>
      <c r="F1329" s="8"/>
      <c r="G1329" s="8"/>
      <c r="H1329" s="11">
        <v>0.072</v>
      </c>
      <c r="I1329" s="11">
        <v>0.28</v>
      </c>
      <c r="J1329" s="9" t="s">
        <v>62</v>
      </c>
      <c r="K1329" s="14" t="str">
        <f>IFERROR(__xludf.DUMMYFUNCTION("ARRAYFORMULA(VLOOKUP(A1329,IMPORTRANGE(""https://docs.google.com/spreadsheets/d/1BuTWp7qHGjWhqrnf-OmePP568O4A5Am9ttzvVdP67zw/edit#gid=1603210130"", ""TOURISM!$A$2:$F$2692""), {2,3,4,5,6},0))"),"Europe")</f>
        <v>Europe</v>
      </c>
      <c r="L1329" s="14">
        <f>IFERROR(__xludf.DUMMYFUNCTION("""COMPUTED_VALUE"""),1.53E8)</f>
        <v>153000000</v>
      </c>
      <c r="M1329" s="14" t="str">
        <f>IFERROR(__xludf.DUMMYFUNCTION("""COMPUTED_VALUE"""),"Latvia-Europe")</f>
        <v>Latvia-Europe</v>
      </c>
      <c r="N1329" s="14" t="str">
        <f>IFERROR(__xludf.DUMMYFUNCTION("""COMPUTED_VALUE"""),"2001")</f>
        <v>2001</v>
      </c>
      <c r="O1329" s="14">
        <f>IFERROR(__xludf.DUMMYFUNCTION("""COMPUTED_VALUE"""),2.55E8)</f>
        <v>255000000</v>
      </c>
      <c r="P1329" s="15">
        <f>IFERROR(__xludf.DUMMYFUNCTION("ARRAYFORMULA(VLOOKUP(A1329,IMPORTRANGE(""https://docs.google.com/spreadsheets/d/1BuTWp7qHGjWhqrnf-OmePP568O4A5Am9ttzvVdP67zw/edit#gid=771602874"" ,""HUMAN RESOURCES!$A$2:$M$2692""), {2,3,4,5,6,7,8,9,10,11,12,13},0))"),0.008)</f>
        <v>0.008</v>
      </c>
      <c r="Q1329" s="14">
        <f>IFERROR(__xludf.DUMMYFUNCTION("""COMPUTED_VALUE"""),0.014)</f>
        <v>0.014</v>
      </c>
      <c r="R1329" s="14">
        <f>IFERROR(__xludf.DUMMYFUNCTION("""COMPUTED_VALUE"""),77.0)</f>
        <v>77</v>
      </c>
      <c r="S1329" s="14">
        <f>IFERROR(__xludf.DUMMYFUNCTION("""COMPUTED_VALUE"""),65.0)</f>
        <v>65</v>
      </c>
      <c r="T1329" s="14">
        <f>IFERROR(__xludf.DUMMYFUNCTION("""COMPUTED_VALUE"""),0.172)</f>
        <v>0.172</v>
      </c>
      <c r="U1329" s="14">
        <f>IFERROR(__xludf.DUMMYFUNCTION("""COMPUTED_VALUE"""),0.674)</f>
        <v>0.674</v>
      </c>
      <c r="V1329" s="14">
        <f>IFERROR(__xludf.DUMMYFUNCTION("""COMPUTED_VALUE"""),0.154)</f>
        <v>0.154</v>
      </c>
      <c r="W1329" s="14">
        <f>IFERROR(__xludf.DUMMYFUNCTION("""COMPUTED_VALUE"""),2337170.0)</f>
        <v>2337170</v>
      </c>
      <c r="X1329" s="14">
        <f>IFERROR(__xludf.DUMMYFUNCTION("""COMPUTED_VALUE"""),0.68)</f>
        <v>0.68</v>
      </c>
      <c r="Y1329" s="14" t="str">
        <f>IFERROR(__xludf.DUMMYFUNCTION("""COMPUTED_VALUE"""),"Latvia-Europe")</f>
        <v>Latvia-Europe</v>
      </c>
      <c r="Z1329" s="14" t="str">
        <f>IFERROR(__xludf.DUMMYFUNCTION("""COMPUTED_VALUE"""),"Europe")</f>
        <v>Europe</v>
      </c>
      <c r="AA1329" s="14" t="str">
        <f>IFERROR(__xludf.DUMMYFUNCTION("""COMPUTED_VALUE"""),"2001")</f>
        <v>2001</v>
      </c>
      <c r="AB1329" s="15" t="str">
        <f>IFERROR(__xludf.DUMMYFUNCTION("ARRAYFORMULA(VLOOKUP(A1329,IMPORTRANGE(""https://docs.google.com/spreadsheets/d/1BuTWp7qHGjWhqrnf-OmePP568O4A5Am9ttzvVdP67zw/edit#gid=1931367683"" ,""ENERGY!$A$2:$F$2692""), {2,3,4,5,6},0))"),"Europe")</f>
        <v>Europe</v>
      </c>
      <c r="AC1329" s="14" t="str">
        <f>IFERROR(__xludf.DUMMYFUNCTION("""COMPUTED_VALUE"""),"Latvia-Europe")</f>
        <v>Latvia-Europe</v>
      </c>
      <c r="AD1329" s="14" t="str">
        <f>IFERROR(__xludf.DUMMYFUNCTION("""COMPUTED_VALUE"""),"2001")</f>
        <v>2001</v>
      </c>
      <c r="AE1329" s="14">
        <f>IFERROR(__xludf.DUMMYFUNCTION("""COMPUTED_VALUE"""),4371.0)</f>
        <v>4371</v>
      </c>
      <c r="AF1329" s="14"/>
    </row>
    <row r="1330">
      <c r="A1330" s="12">
        <v>1329.0</v>
      </c>
      <c r="B1330" s="12" t="s">
        <v>181</v>
      </c>
      <c r="C1330" s="5" t="s">
        <v>75</v>
      </c>
      <c r="D1330" s="8"/>
      <c r="E1330" s="8"/>
      <c r="F1330" s="8"/>
      <c r="G1330" s="8"/>
      <c r="H1330" s="11">
        <v>0.219</v>
      </c>
      <c r="I1330" s="11">
        <v>0.396</v>
      </c>
      <c r="J1330" s="9" t="s">
        <v>63</v>
      </c>
      <c r="K1330" s="14" t="str">
        <f>IFERROR(__xludf.DUMMYFUNCTION("ARRAYFORMULA(VLOOKUP(A1330,IMPORTRANGE(""https://docs.google.com/spreadsheets/d/1BuTWp7qHGjWhqrnf-OmePP568O4A5Am9ttzvVdP67zw/edit#gid=1603210130"", ""TOURISM!$A$2:$F$2692""), {2,3,4,5,6},0))"),"Europe")</f>
        <v>Europe</v>
      </c>
      <c r="L1330" s="14">
        <f>IFERROR(__xludf.DUMMYFUNCTION("""COMPUTED_VALUE"""),2.01E8)</f>
        <v>201000000</v>
      </c>
      <c r="M1330" s="14" t="str">
        <f>IFERROR(__xludf.DUMMYFUNCTION("""COMPUTED_VALUE"""),"Latvia-Europe")</f>
        <v>Latvia-Europe</v>
      </c>
      <c r="N1330" s="14" t="str">
        <f>IFERROR(__xludf.DUMMYFUNCTION("""COMPUTED_VALUE"""),"2002")</f>
        <v>2002</v>
      </c>
      <c r="O1330" s="14">
        <f>IFERROR(__xludf.DUMMYFUNCTION("""COMPUTED_VALUE"""),2.67E8)</f>
        <v>267000000</v>
      </c>
      <c r="P1330" s="15">
        <f>IFERROR(__xludf.DUMMYFUNCTION("ARRAYFORMULA(VLOOKUP(A1330,IMPORTRANGE(""https://docs.google.com/spreadsheets/d/1BuTWp7qHGjWhqrnf-OmePP568O4A5Am9ttzvVdP67zw/edit#gid=771602874"" ,""HUMAN RESOURCES!$A$2:$M$2692""), {2,3,4,5,6,7,8,9,10,11,12,13},0))"),0.009)</f>
        <v>0.009</v>
      </c>
      <c r="Q1330" s="14">
        <f>IFERROR(__xludf.DUMMYFUNCTION("""COMPUTED_VALUE"""),0.013)</f>
        <v>0.013</v>
      </c>
      <c r="R1330" s="14">
        <f>IFERROR(__xludf.DUMMYFUNCTION("""COMPUTED_VALUE"""),77.0)</f>
        <v>77</v>
      </c>
      <c r="S1330" s="14">
        <f>IFERROR(__xludf.DUMMYFUNCTION("""COMPUTED_VALUE"""),65.0)</f>
        <v>65</v>
      </c>
      <c r="T1330" s="14">
        <f>IFERROR(__xludf.DUMMYFUNCTION("""COMPUTED_VALUE"""),0.165)</f>
        <v>0.165</v>
      </c>
      <c r="U1330" s="14">
        <f>IFERROR(__xludf.DUMMYFUNCTION("""COMPUTED_VALUE"""),0.677)</f>
        <v>0.677</v>
      </c>
      <c r="V1330" s="14">
        <f>IFERROR(__xludf.DUMMYFUNCTION("""COMPUTED_VALUE"""),0.158)</f>
        <v>0.158</v>
      </c>
      <c r="W1330" s="14">
        <f>IFERROR(__xludf.DUMMYFUNCTION("""COMPUTED_VALUE"""),2310173.0)</f>
        <v>2310173</v>
      </c>
      <c r="X1330" s="14">
        <f>IFERROR(__xludf.DUMMYFUNCTION("""COMPUTED_VALUE"""),0.679)</f>
        <v>0.679</v>
      </c>
      <c r="Y1330" s="14" t="str">
        <f>IFERROR(__xludf.DUMMYFUNCTION("""COMPUTED_VALUE"""),"Latvia-Europe")</f>
        <v>Latvia-Europe</v>
      </c>
      <c r="Z1330" s="14" t="str">
        <f>IFERROR(__xludf.DUMMYFUNCTION("""COMPUTED_VALUE"""),"Europe")</f>
        <v>Europe</v>
      </c>
      <c r="AA1330" s="14" t="str">
        <f>IFERROR(__xludf.DUMMYFUNCTION("""COMPUTED_VALUE"""),"2002")</f>
        <v>2002</v>
      </c>
      <c r="AB1330" s="15" t="str">
        <f>IFERROR(__xludf.DUMMYFUNCTION("ARRAYFORMULA(VLOOKUP(A1330,IMPORTRANGE(""https://docs.google.com/spreadsheets/d/1BuTWp7qHGjWhqrnf-OmePP568O4A5Am9ttzvVdP67zw/edit#gid=1931367683"" ,""ENERGY!$A$2:$F$2692""), {2,3,4,5,6},0))"),"Europe")</f>
        <v>Europe</v>
      </c>
      <c r="AC1330" s="14" t="str">
        <f>IFERROR(__xludf.DUMMYFUNCTION("""COMPUTED_VALUE"""),"Latvia-Europe")</f>
        <v>Latvia-Europe</v>
      </c>
      <c r="AD1330" s="14" t="str">
        <f>IFERROR(__xludf.DUMMYFUNCTION("""COMPUTED_VALUE"""),"2002")</f>
        <v>2002</v>
      </c>
      <c r="AE1330" s="14">
        <f>IFERROR(__xludf.DUMMYFUNCTION("""COMPUTED_VALUE"""),4644.0)</f>
        <v>4644</v>
      </c>
      <c r="AF1330" s="14">
        <f>IFERROR(__xludf.DUMMYFUNCTION("""COMPUTED_VALUE"""),7616.0)</f>
        <v>7616</v>
      </c>
    </row>
    <row r="1331">
      <c r="A1331" s="12">
        <v>1330.0</v>
      </c>
      <c r="B1331" s="12" t="s">
        <v>181</v>
      </c>
      <c r="C1331" s="5" t="s">
        <v>75</v>
      </c>
      <c r="D1331" s="8"/>
      <c r="E1331" s="11">
        <v>16.0</v>
      </c>
      <c r="F1331" s="8"/>
      <c r="G1331" s="8"/>
      <c r="H1331" s="11">
        <v>0.27</v>
      </c>
      <c r="I1331" s="11">
        <v>0.533</v>
      </c>
      <c r="J1331" s="9" t="s">
        <v>64</v>
      </c>
      <c r="K1331" s="14" t="str">
        <f>IFERROR(__xludf.DUMMYFUNCTION("ARRAYFORMULA(VLOOKUP(A1331,IMPORTRANGE(""https://docs.google.com/spreadsheets/d/1BuTWp7qHGjWhqrnf-OmePP568O4A5Am9ttzvVdP67zw/edit#gid=1603210130"", ""TOURISM!$A$2:$F$2692""), {2,3,4,5,6},0))"),"Europe")</f>
        <v>Europe</v>
      </c>
      <c r="L1331" s="14">
        <f>IFERROR(__xludf.DUMMYFUNCTION("""COMPUTED_VALUE"""),2.71E8)</f>
        <v>271000000</v>
      </c>
      <c r="M1331" s="14" t="str">
        <f>IFERROR(__xludf.DUMMYFUNCTION("""COMPUTED_VALUE"""),"Latvia-Europe")</f>
        <v>Latvia-Europe</v>
      </c>
      <c r="N1331" s="14" t="str">
        <f>IFERROR(__xludf.DUMMYFUNCTION("""COMPUTED_VALUE"""),"2003")</f>
        <v>2003</v>
      </c>
      <c r="O1331" s="14">
        <f>IFERROR(__xludf.DUMMYFUNCTION("""COMPUTED_VALUE"""),3.65E8)</f>
        <v>365000000</v>
      </c>
      <c r="P1331" s="15">
        <f>IFERROR(__xludf.DUMMYFUNCTION("ARRAYFORMULA(VLOOKUP(A1331,IMPORTRANGE(""https://docs.google.com/spreadsheets/d/1BuTWp7qHGjWhqrnf-OmePP568O4A5Am9ttzvVdP67zw/edit#gid=771602874"" ,""HUMAN RESOURCES!$A$2:$M$2692""), {2,3,4,5,6,7,8,9,10,11,12,13},0))"),0.009)</f>
        <v>0.009</v>
      </c>
      <c r="Q1331" s="14">
        <f>IFERROR(__xludf.DUMMYFUNCTION("""COMPUTED_VALUE"""),0.012)</f>
        <v>0.012</v>
      </c>
      <c r="R1331" s="14">
        <f>IFERROR(__xludf.DUMMYFUNCTION("""COMPUTED_VALUE"""),77.0)</f>
        <v>77</v>
      </c>
      <c r="S1331" s="14">
        <f>IFERROR(__xludf.DUMMYFUNCTION("""COMPUTED_VALUE"""),66.0)</f>
        <v>66</v>
      </c>
      <c r="T1331" s="14">
        <f>IFERROR(__xludf.DUMMYFUNCTION("""COMPUTED_VALUE"""),0.158)</f>
        <v>0.158</v>
      </c>
      <c r="U1331" s="14">
        <f>IFERROR(__xludf.DUMMYFUNCTION("""COMPUTED_VALUE"""),0.679)</f>
        <v>0.679</v>
      </c>
      <c r="V1331" s="14">
        <f>IFERROR(__xludf.DUMMYFUNCTION("""COMPUTED_VALUE"""),0.163)</f>
        <v>0.163</v>
      </c>
      <c r="W1331" s="14">
        <f>IFERROR(__xludf.DUMMYFUNCTION("""COMPUTED_VALUE"""),2287955.0)</f>
        <v>2287955</v>
      </c>
      <c r="X1331" s="14">
        <f>IFERROR(__xludf.DUMMYFUNCTION("""COMPUTED_VALUE"""),0.678)</f>
        <v>0.678</v>
      </c>
      <c r="Y1331" s="14" t="str">
        <f>IFERROR(__xludf.DUMMYFUNCTION("""COMPUTED_VALUE"""),"Latvia-Europe")</f>
        <v>Latvia-Europe</v>
      </c>
      <c r="Z1331" s="14" t="str">
        <f>IFERROR(__xludf.DUMMYFUNCTION("""COMPUTED_VALUE"""),"Europe")</f>
        <v>Europe</v>
      </c>
      <c r="AA1331" s="14" t="str">
        <f>IFERROR(__xludf.DUMMYFUNCTION("""COMPUTED_VALUE"""),"2003")</f>
        <v>2003</v>
      </c>
      <c r="AB1331" s="15" t="str">
        <f>IFERROR(__xludf.DUMMYFUNCTION("ARRAYFORMULA(VLOOKUP(A1331,IMPORTRANGE(""https://docs.google.com/spreadsheets/d/1BuTWp7qHGjWhqrnf-OmePP568O4A5Am9ttzvVdP67zw/edit#gid=1931367683"" ,""ENERGY!$A$2:$F$2692""), {2,3,4,5,6},0))"),"Europe")</f>
        <v>Europe</v>
      </c>
      <c r="AC1331" s="14" t="str">
        <f>IFERROR(__xludf.DUMMYFUNCTION("""COMPUTED_VALUE"""),"Latvia-Europe")</f>
        <v>Latvia-Europe</v>
      </c>
      <c r="AD1331" s="14" t="str">
        <f>IFERROR(__xludf.DUMMYFUNCTION("""COMPUTED_VALUE"""),"2003")</f>
        <v>2003</v>
      </c>
      <c r="AE1331" s="14">
        <f>IFERROR(__xludf.DUMMYFUNCTION("""COMPUTED_VALUE"""),4403.0)</f>
        <v>4403</v>
      </c>
      <c r="AF1331" s="14">
        <f>IFERROR(__xludf.DUMMYFUNCTION("""COMPUTED_VALUE"""),6824.0)</f>
        <v>6824</v>
      </c>
    </row>
    <row r="1332">
      <c r="A1332" s="12">
        <v>1331.0</v>
      </c>
      <c r="B1332" s="12" t="s">
        <v>181</v>
      </c>
      <c r="C1332" s="5" t="s">
        <v>75</v>
      </c>
      <c r="D1332" s="8"/>
      <c r="E1332" s="11">
        <v>16.0</v>
      </c>
      <c r="F1332" s="8"/>
      <c r="G1332" s="8"/>
      <c r="H1332" s="11">
        <v>0.386</v>
      </c>
      <c r="I1332" s="11">
        <v>0.681</v>
      </c>
      <c r="J1332" s="9" t="s">
        <v>65</v>
      </c>
      <c r="K1332" s="14" t="str">
        <f>IFERROR(__xludf.DUMMYFUNCTION("ARRAYFORMULA(VLOOKUP(A1332,IMPORTRANGE(""https://docs.google.com/spreadsheets/d/1BuTWp7qHGjWhqrnf-OmePP568O4A5Am9ttzvVdP67zw/edit#gid=1603210130"", ""TOURISM!$A$2:$F$2692""), {2,3,4,5,6},0))"),"Europe")</f>
        <v>Europe</v>
      </c>
      <c r="L1332" s="14">
        <f>IFERROR(__xludf.DUMMYFUNCTION("""COMPUTED_VALUE"""),3.43E8)</f>
        <v>343000000</v>
      </c>
      <c r="M1332" s="14" t="str">
        <f>IFERROR(__xludf.DUMMYFUNCTION("""COMPUTED_VALUE"""),"Latvia-Europe")</f>
        <v>Latvia-Europe</v>
      </c>
      <c r="N1332" s="14" t="str">
        <f>IFERROR(__xludf.DUMMYFUNCTION("""COMPUTED_VALUE"""),"2004")</f>
        <v>2004</v>
      </c>
      <c r="O1332" s="14">
        <f>IFERROR(__xludf.DUMMYFUNCTION("""COMPUTED_VALUE"""),4.28E8)</f>
        <v>428000000</v>
      </c>
      <c r="P1332" s="15">
        <f>IFERROR(__xludf.DUMMYFUNCTION("ARRAYFORMULA(VLOOKUP(A1332,IMPORTRANGE(""https://docs.google.com/spreadsheets/d/1BuTWp7qHGjWhqrnf-OmePP568O4A5Am9ttzvVdP67zw/edit#gid=771602874"" ,""HUMAN RESOURCES!$A$2:$M$2692""), {2,3,4,5,6,7,8,9,10,11,12,13},0))"),0.009)</f>
        <v>0.009</v>
      </c>
      <c r="Q1332" s="14">
        <f>IFERROR(__xludf.DUMMYFUNCTION("""COMPUTED_VALUE"""),0.012)</f>
        <v>0.012</v>
      </c>
      <c r="R1332" s="14">
        <f>IFERROR(__xludf.DUMMYFUNCTION("""COMPUTED_VALUE"""),77.0)</f>
        <v>77</v>
      </c>
      <c r="S1332" s="14">
        <f>IFERROR(__xludf.DUMMYFUNCTION("""COMPUTED_VALUE"""),67.0)</f>
        <v>67</v>
      </c>
      <c r="T1332" s="14">
        <f>IFERROR(__xludf.DUMMYFUNCTION("""COMPUTED_VALUE"""),0.152)</f>
        <v>0.152</v>
      </c>
      <c r="U1332" s="14">
        <f>IFERROR(__xludf.DUMMYFUNCTION("""COMPUTED_VALUE"""),0.68)</f>
        <v>0.68</v>
      </c>
      <c r="V1332" s="14">
        <f>IFERROR(__xludf.DUMMYFUNCTION("""COMPUTED_VALUE"""),0.168)</f>
        <v>0.168</v>
      </c>
      <c r="W1332" s="14">
        <f>IFERROR(__xludf.DUMMYFUNCTION("""COMPUTED_VALUE"""),2263122.0)</f>
        <v>2263122</v>
      </c>
      <c r="X1332" s="14">
        <f>IFERROR(__xludf.DUMMYFUNCTION("""COMPUTED_VALUE"""),0.679)</f>
        <v>0.679</v>
      </c>
      <c r="Y1332" s="14" t="str">
        <f>IFERROR(__xludf.DUMMYFUNCTION("""COMPUTED_VALUE"""),"Latvia-Europe")</f>
        <v>Latvia-Europe</v>
      </c>
      <c r="Z1332" s="14" t="str">
        <f>IFERROR(__xludf.DUMMYFUNCTION("""COMPUTED_VALUE"""),"Europe")</f>
        <v>Europe</v>
      </c>
      <c r="AA1332" s="14" t="str">
        <f>IFERROR(__xludf.DUMMYFUNCTION("""COMPUTED_VALUE"""),"2004")</f>
        <v>2004</v>
      </c>
      <c r="AB1332" s="15" t="str">
        <f>IFERROR(__xludf.DUMMYFUNCTION("ARRAYFORMULA(VLOOKUP(A1332,IMPORTRANGE(""https://docs.google.com/spreadsheets/d/1BuTWp7qHGjWhqrnf-OmePP568O4A5Am9ttzvVdP67zw/edit#gid=1931367683"" ,""ENERGY!$A$2:$F$2692""), {2,3,4,5,6},0))"),"Europe")</f>
        <v>Europe</v>
      </c>
      <c r="AC1332" s="14" t="str">
        <f>IFERROR(__xludf.DUMMYFUNCTION("""COMPUTED_VALUE"""),"Latvia-Europe")</f>
        <v>Latvia-Europe</v>
      </c>
      <c r="AD1332" s="14" t="str">
        <f>IFERROR(__xludf.DUMMYFUNCTION("""COMPUTED_VALUE"""),"2004")</f>
        <v>2004</v>
      </c>
      <c r="AE1332" s="14">
        <f>IFERROR(__xludf.DUMMYFUNCTION("""COMPUTED_VALUE"""),4586.0)</f>
        <v>4586</v>
      </c>
      <c r="AF1332" s="14">
        <f>IFERROR(__xludf.DUMMYFUNCTION("""COMPUTED_VALUE"""),7591.0)</f>
        <v>7591</v>
      </c>
    </row>
    <row r="1333">
      <c r="A1333" s="12">
        <v>1332.0</v>
      </c>
      <c r="B1333" s="12" t="s">
        <v>181</v>
      </c>
      <c r="C1333" s="5" t="s">
        <v>75</v>
      </c>
      <c r="D1333" s="11">
        <v>0.364</v>
      </c>
      <c r="E1333" s="11">
        <v>16.0</v>
      </c>
      <c r="F1333" s="8"/>
      <c r="G1333" s="11">
        <v>320.0</v>
      </c>
      <c r="H1333" s="11">
        <v>0.46</v>
      </c>
      <c r="I1333" s="11">
        <v>0.84</v>
      </c>
      <c r="J1333" s="9" t="s">
        <v>66</v>
      </c>
      <c r="K1333" s="14" t="str">
        <f>IFERROR(__xludf.DUMMYFUNCTION("ARRAYFORMULA(VLOOKUP(A1333,IMPORTRANGE(""https://docs.google.com/spreadsheets/d/1BuTWp7qHGjWhqrnf-OmePP568O4A5Am9ttzvVdP67zw/edit#gid=1603210130"", ""TOURISM!$A$2:$F$2692""), {2,3,4,5,6},0))"),"Europe")</f>
        <v>Europe</v>
      </c>
      <c r="L1333" s="14">
        <f>IFERROR(__xludf.DUMMYFUNCTION("""COMPUTED_VALUE"""),4.46E8)</f>
        <v>446000000</v>
      </c>
      <c r="M1333" s="14" t="str">
        <f>IFERROR(__xludf.DUMMYFUNCTION("""COMPUTED_VALUE"""),"Latvia-Europe")</f>
        <v>Latvia-Europe</v>
      </c>
      <c r="N1333" s="14" t="str">
        <f>IFERROR(__xludf.DUMMYFUNCTION("""COMPUTED_VALUE"""),"2005")</f>
        <v>2005</v>
      </c>
      <c r="O1333" s="14">
        <f>IFERROR(__xludf.DUMMYFUNCTION("""COMPUTED_VALUE"""),6.55E8)</f>
        <v>655000000</v>
      </c>
      <c r="P1333" s="15">
        <f>IFERROR(__xludf.DUMMYFUNCTION("ARRAYFORMULA(VLOOKUP(A1333,IMPORTRANGE(""https://docs.google.com/spreadsheets/d/1BuTWp7qHGjWhqrnf-OmePP568O4A5Am9ttzvVdP67zw/edit#gid=771602874"" ,""HUMAN RESOURCES!$A$2:$M$2692""), {2,3,4,5,6,7,8,9,10,11,12,13},0))"),0.01)</f>
        <v>0.01</v>
      </c>
      <c r="Q1333" s="14">
        <f>IFERROR(__xludf.DUMMYFUNCTION("""COMPUTED_VALUE"""),0.011)</f>
        <v>0.011</v>
      </c>
      <c r="R1333" s="14">
        <f>IFERROR(__xludf.DUMMYFUNCTION("""COMPUTED_VALUE"""),77.0)</f>
        <v>77</v>
      </c>
      <c r="S1333" s="14">
        <f>IFERROR(__xludf.DUMMYFUNCTION("""COMPUTED_VALUE"""),66.0)</f>
        <v>66</v>
      </c>
      <c r="T1333" s="14">
        <f>IFERROR(__xludf.DUMMYFUNCTION("""COMPUTED_VALUE"""),0.148)</f>
        <v>0.148</v>
      </c>
      <c r="U1333" s="14">
        <f>IFERROR(__xludf.DUMMYFUNCTION("""COMPUTED_VALUE"""),0.681)</f>
        <v>0.681</v>
      </c>
      <c r="V1333" s="14">
        <f>IFERROR(__xludf.DUMMYFUNCTION("""COMPUTED_VALUE"""),0.172)</f>
        <v>0.172</v>
      </c>
      <c r="W1333" s="14">
        <f>IFERROR(__xludf.DUMMYFUNCTION("""COMPUTED_VALUE"""),2238799.0)</f>
        <v>2238799</v>
      </c>
      <c r="X1333" s="14">
        <f>IFERROR(__xludf.DUMMYFUNCTION("""COMPUTED_VALUE"""),0.68)</f>
        <v>0.68</v>
      </c>
      <c r="Y1333" s="14" t="str">
        <f>IFERROR(__xludf.DUMMYFUNCTION("""COMPUTED_VALUE"""),"Latvia-Europe")</f>
        <v>Latvia-Europe</v>
      </c>
      <c r="Z1333" s="14" t="str">
        <f>IFERROR(__xludf.DUMMYFUNCTION("""COMPUTED_VALUE"""),"Europe")</f>
        <v>Europe</v>
      </c>
      <c r="AA1333" s="14" t="str">
        <f>IFERROR(__xludf.DUMMYFUNCTION("""COMPUTED_VALUE"""),"2005")</f>
        <v>2005</v>
      </c>
      <c r="AB1333" s="15" t="str">
        <f>IFERROR(__xludf.DUMMYFUNCTION("ARRAYFORMULA(VLOOKUP(A1333,IMPORTRANGE(""https://docs.google.com/spreadsheets/d/1BuTWp7qHGjWhqrnf-OmePP568O4A5Am9ttzvVdP67zw/edit#gid=1931367683"" ,""ENERGY!$A$2:$F$2692""), {2,3,4,5,6},0))"),"Europe")</f>
        <v>Europe</v>
      </c>
      <c r="AC1333" s="14" t="str">
        <f>IFERROR(__xludf.DUMMYFUNCTION("""COMPUTED_VALUE"""),"Latvia-Europe")</f>
        <v>Latvia-Europe</v>
      </c>
      <c r="AD1333" s="14" t="str">
        <f>IFERROR(__xludf.DUMMYFUNCTION("""COMPUTED_VALUE"""),"2007")</f>
        <v>2007</v>
      </c>
      <c r="AE1333" s="14">
        <f>IFERROR(__xludf.DUMMYFUNCTION("""COMPUTED_VALUE"""),4796.0)</f>
        <v>4796</v>
      </c>
      <c r="AF1333" s="14">
        <f>IFERROR(__xludf.DUMMYFUNCTION("""COMPUTED_VALUE"""),7928.0)</f>
        <v>7928</v>
      </c>
    </row>
    <row r="1334">
      <c r="A1334" s="12">
        <v>1333.0</v>
      </c>
      <c r="B1334" s="12" t="s">
        <v>181</v>
      </c>
      <c r="C1334" s="5" t="s">
        <v>75</v>
      </c>
      <c r="D1334" s="11">
        <v>0.364</v>
      </c>
      <c r="E1334" s="11">
        <v>16.0</v>
      </c>
      <c r="F1334" s="8"/>
      <c r="G1334" s="11">
        <v>320.0</v>
      </c>
      <c r="H1334" s="11">
        <v>0.536</v>
      </c>
      <c r="I1334" s="11">
        <v>0.994</v>
      </c>
      <c r="J1334" s="9" t="s">
        <v>67</v>
      </c>
      <c r="K1334" s="14" t="str">
        <f>IFERROR(__xludf.DUMMYFUNCTION("ARRAYFORMULA(VLOOKUP(A1334,IMPORTRANGE(""https://docs.google.com/spreadsheets/d/1BuTWp7qHGjWhqrnf-OmePP568O4A5Am9ttzvVdP67zw/edit#gid=1603210130"", ""TOURISM!$A$2:$F$2692""), {2,3,4,5,6},0))"),"Europe")</f>
        <v>Europe</v>
      </c>
      <c r="L1334" s="14">
        <f>IFERROR(__xludf.DUMMYFUNCTION("""COMPUTED_VALUE"""),6.22E8)</f>
        <v>622000000</v>
      </c>
      <c r="M1334" s="14" t="str">
        <f>IFERROR(__xludf.DUMMYFUNCTION("""COMPUTED_VALUE"""),"Latvia-Europe")</f>
        <v>Latvia-Europe</v>
      </c>
      <c r="N1334" s="14" t="str">
        <f>IFERROR(__xludf.DUMMYFUNCTION("""COMPUTED_VALUE"""),"2006")</f>
        <v>2006</v>
      </c>
      <c r="O1334" s="14">
        <f>IFERROR(__xludf.DUMMYFUNCTION("""COMPUTED_VALUE"""),7.88E8)</f>
        <v>788000000</v>
      </c>
      <c r="P1334" s="15">
        <f>IFERROR(__xludf.DUMMYFUNCTION("ARRAYFORMULA(VLOOKUP(A1334,IMPORTRANGE(""https://docs.google.com/spreadsheets/d/1BuTWp7qHGjWhqrnf-OmePP568O4A5Am9ttzvVdP67zw/edit#gid=771602874"" ,""HUMAN RESOURCES!$A$2:$M$2692""), {2,3,4,5,6,7,8,9,10,11,12,13},0))"),0.01)</f>
        <v>0.01</v>
      </c>
      <c r="Q1334" s="14">
        <f>IFERROR(__xludf.DUMMYFUNCTION("""COMPUTED_VALUE"""),0.01)</f>
        <v>0.01</v>
      </c>
      <c r="R1334" s="14">
        <f>IFERROR(__xludf.DUMMYFUNCTION("""COMPUTED_VALUE"""),77.0)</f>
        <v>77</v>
      </c>
      <c r="S1334" s="14">
        <f>IFERROR(__xludf.DUMMYFUNCTION("""COMPUTED_VALUE"""),66.0)</f>
        <v>66</v>
      </c>
      <c r="T1334" s="14">
        <f>IFERROR(__xludf.DUMMYFUNCTION("""COMPUTED_VALUE"""),0.144)</f>
        <v>0.144</v>
      </c>
      <c r="U1334" s="14">
        <f>IFERROR(__xludf.DUMMYFUNCTION("""COMPUTED_VALUE"""),0.681)</f>
        <v>0.681</v>
      </c>
      <c r="V1334" s="14">
        <f>IFERROR(__xludf.DUMMYFUNCTION("""COMPUTED_VALUE"""),0.175)</f>
        <v>0.175</v>
      </c>
      <c r="W1334" s="14">
        <f>IFERROR(__xludf.DUMMYFUNCTION("""COMPUTED_VALUE"""),2218357.0)</f>
        <v>2218357</v>
      </c>
      <c r="X1334" s="14">
        <f>IFERROR(__xludf.DUMMYFUNCTION("""COMPUTED_VALUE"""),0.68)</f>
        <v>0.68</v>
      </c>
      <c r="Y1334" s="14" t="str">
        <f>IFERROR(__xludf.DUMMYFUNCTION("""COMPUTED_VALUE"""),"Latvia-Europe")</f>
        <v>Latvia-Europe</v>
      </c>
      <c r="Z1334" s="14" t="str">
        <f>IFERROR(__xludf.DUMMYFUNCTION("""COMPUTED_VALUE"""),"Europe")</f>
        <v>Europe</v>
      </c>
      <c r="AA1334" s="14" t="str">
        <f>IFERROR(__xludf.DUMMYFUNCTION("""COMPUTED_VALUE"""),"2006")</f>
        <v>2006</v>
      </c>
      <c r="AB1334" s="15" t="str">
        <f>IFERROR(__xludf.DUMMYFUNCTION("ARRAYFORMULA(VLOOKUP(A1334,IMPORTRANGE(""https://docs.google.com/spreadsheets/d/1BuTWp7qHGjWhqrnf-OmePP568O4A5Am9ttzvVdP67zw/edit#gid=1931367683"" ,""ENERGY!$A$2:$F$2692""), {2,3,4,5,6},0))"),"Europe")</f>
        <v>Europe</v>
      </c>
      <c r="AC1334" s="14" t="str">
        <f>IFERROR(__xludf.DUMMYFUNCTION("""COMPUTED_VALUE"""),"Latvia-Europe")</f>
        <v>Latvia-Europe</v>
      </c>
      <c r="AD1334" s="14" t="str">
        <f>IFERROR(__xludf.DUMMYFUNCTION("""COMPUTED_VALUE"""),"2011")</f>
        <v>2011</v>
      </c>
      <c r="AE1334" s="14">
        <f>IFERROR(__xludf.DUMMYFUNCTION("""COMPUTED_VALUE"""),4688.0)</f>
        <v>4688</v>
      </c>
      <c r="AF1334" s="14">
        <f>IFERROR(__xludf.DUMMYFUNCTION("""COMPUTED_VALUE"""),7583.0)</f>
        <v>7583</v>
      </c>
    </row>
    <row r="1335">
      <c r="A1335" s="12">
        <v>1334.0</v>
      </c>
      <c r="B1335" s="12" t="s">
        <v>181</v>
      </c>
      <c r="C1335" s="5" t="s">
        <v>75</v>
      </c>
      <c r="D1335" s="11">
        <v>0.364</v>
      </c>
      <c r="E1335" s="11">
        <v>16.0</v>
      </c>
      <c r="F1335" s="8"/>
      <c r="G1335" s="11">
        <v>279.0</v>
      </c>
      <c r="H1335" s="11">
        <v>0.592</v>
      </c>
      <c r="I1335" s="11">
        <v>1.023</v>
      </c>
      <c r="J1335" s="9" t="s">
        <v>68</v>
      </c>
      <c r="K1335" s="14" t="str">
        <f>IFERROR(__xludf.DUMMYFUNCTION("ARRAYFORMULA(VLOOKUP(A1335,IMPORTRANGE(""https://docs.google.com/spreadsheets/d/1BuTWp7qHGjWhqrnf-OmePP568O4A5Am9ttzvVdP67zw/edit#gid=1603210130"", ""TOURISM!$A$2:$F$2692""), {2,3,4,5,6},0))"),"Europe")</f>
        <v>Europe</v>
      </c>
      <c r="L1335" s="14">
        <f>IFERROR(__xludf.DUMMYFUNCTION("""COMPUTED_VALUE"""),8.81E8)</f>
        <v>881000000</v>
      </c>
      <c r="M1335" s="14" t="str">
        <f>IFERROR(__xludf.DUMMYFUNCTION("""COMPUTED_VALUE"""),"Latvia-Europe")</f>
        <v>Latvia-Europe</v>
      </c>
      <c r="N1335" s="14" t="str">
        <f>IFERROR(__xludf.DUMMYFUNCTION("""COMPUTED_VALUE"""),"2007")</f>
        <v>2007</v>
      </c>
      <c r="O1335" s="14">
        <f>IFERROR(__xludf.DUMMYFUNCTION("""COMPUTED_VALUE"""),1.021E9)</f>
        <v>1021000000</v>
      </c>
      <c r="P1335" s="15">
        <f>IFERROR(__xludf.DUMMYFUNCTION("ARRAYFORMULA(VLOOKUP(A1335,IMPORTRANGE(""https://docs.google.com/spreadsheets/d/1BuTWp7qHGjWhqrnf-OmePP568O4A5Am9ttzvVdP67zw/edit#gid=771602874"" ,""HUMAN RESOURCES!$A$2:$M$2692""), {2,3,4,5,6,7,8,9,10,11,12,13},0))"),0.011)</f>
        <v>0.011</v>
      </c>
      <c r="Q1335" s="14">
        <f>IFERROR(__xludf.DUMMYFUNCTION("""COMPUTED_VALUE"""),0.01)</f>
        <v>0.01</v>
      </c>
      <c r="R1335" s="14">
        <f>IFERROR(__xludf.DUMMYFUNCTION("""COMPUTED_VALUE"""),77.0)</f>
        <v>77</v>
      </c>
      <c r="S1335" s="14">
        <f>IFERROR(__xludf.DUMMYFUNCTION("""COMPUTED_VALUE"""),66.0)</f>
        <v>66</v>
      </c>
      <c r="T1335" s="14">
        <f>IFERROR(__xludf.DUMMYFUNCTION("""COMPUTED_VALUE"""),0.142)</f>
        <v>0.142</v>
      </c>
      <c r="U1335" s="14">
        <f>IFERROR(__xludf.DUMMYFUNCTION("""COMPUTED_VALUE"""),0.68)</f>
        <v>0.68</v>
      </c>
      <c r="V1335" s="14">
        <f>IFERROR(__xludf.DUMMYFUNCTION("""COMPUTED_VALUE"""),0.178)</f>
        <v>0.178</v>
      </c>
      <c r="W1335" s="14">
        <f>IFERROR(__xludf.DUMMYFUNCTION("""COMPUTED_VALUE"""),2200325.0)</f>
        <v>2200325</v>
      </c>
      <c r="X1335" s="14">
        <f>IFERROR(__xludf.DUMMYFUNCTION("""COMPUTED_VALUE"""),0.679)</f>
        <v>0.679</v>
      </c>
      <c r="Y1335" s="14" t="str">
        <f>IFERROR(__xludf.DUMMYFUNCTION("""COMPUTED_VALUE"""),"Latvia-Europe")</f>
        <v>Latvia-Europe</v>
      </c>
      <c r="Z1335" s="14" t="str">
        <f>IFERROR(__xludf.DUMMYFUNCTION("""COMPUTED_VALUE"""),"Europe")</f>
        <v>Europe</v>
      </c>
      <c r="AA1335" s="14" t="str">
        <f>IFERROR(__xludf.DUMMYFUNCTION("""COMPUTED_VALUE"""),"2007")</f>
        <v>2007</v>
      </c>
      <c r="AB1335" s="15" t="str">
        <f>IFERROR(__xludf.DUMMYFUNCTION("ARRAYFORMULA(VLOOKUP(A1335,IMPORTRANGE(""https://docs.google.com/spreadsheets/d/1BuTWp7qHGjWhqrnf-OmePP568O4A5Am9ttzvVdP67zw/edit#gid=1931367683"" ,""ENERGY!$A$2:$F$2692""), {2,3,4,5,6},0))"),"Europe")</f>
        <v>Europe</v>
      </c>
      <c r="AC1335" s="14" t="str">
        <f>IFERROR(__xludf.DUMMYFUNCTION("""COMPUTED_VALUE"""),"Latvia-Europe")</f>
        <v>Latvia-Europe</v>
      </c>
      <c r="AD1335" s="14" t="str">
        <f>IFERROR(__xludf.DUMMYFUNCTION("""COMPUTED_VALUE"""),"2008")</f>
        <v>2008</v>
      </c>
      <c r="AE1335" s="14">
        <f>IFERROR(__xludf.DUMMYFUNCTION("""COMPUTED_VALUE"""),4528.0)</f>
        <v>4528</v>
      </c>
      <c r="AF1335" s="14">
        <f>IFERROR(__xludf.DUMMYFUNCTION("""COMPUTED_VALUE"""),7176.0)</f>
        <v>7176</v>
      </c>
    </row>
    <row r="1336">
      <c r="A1336" s="12">
        <v>1335.0</v>
      </c>
      <c r="B1336" s="12" t="s">
        <v>181</v>
      </c>
      <c r="C1336" s="5" t="s">
        <v>75</v>
      </c>
      <c r="D1336" s="11">
        <v>0.368</v>
      </c>
      <c r="E1336" s="11">
        <v>16.0</v>
      </c>
      <c r="F1336" s="8"/>
      <c r="G1336" s="11">
        <v>279.0</v>
      </c>
      <c r="H1336" s="11">
        <v>0.634</v>
      </c>
      <c r="I1336" s="11">
        <v>1.075</v>
      </c>
      <c r="J1336" s="9" t="s">
        <v>69</v>
      </c>
      <c r="K1336" s="14" t="str">
        <f>IFERROR(__xludf.DUMMYFUNCTION("ARRAYFORMULA(VLOOKUP(A1336,IMPORTRANGE(""https://docs.google.com/spreadsheets/d/1BuTWp7qHGjWhqrnf-OmePP568O4A5Am9ttzvVdP67zw/edit#gid=1603210130"", ""TOURISM!$A$2:$F$2692""), {2,3,4,5,6},0))"),"Europe")</f>
        <v>Europe</v>
      </c>
      <c r="L1336" s="14">
        <f>IFERROR(__xludf.DUMMYFUNCTION("""COMPUTED_VALUE"""),1.134E9)</f>
        <v>1134000000</v>
      </c>
      <c r="M1336" s="14" t="str">
        <f>IFERROR(__xludf.DUMMYFUNCTION("""COMPUTED_VALUE"""),"Latvia-Europe")</f>
        <v>Latvia-Europe</v>
      </c>
      <c r="N1336" s="14" t="str">
        <f>IFERROR(__xludf.DUMMYFUNCTION("""COMPUTED_VALUE"""),"2008")</f>
        <v>2008</v>
      </c>
      <c r="O1336" s="14">
        <f>IFERROR(__xludf.DUMMYFUNCTION("""COMPUTED_VALUE"""),1.25E9)</f>
        <v>1250000000</v>
      </c>
      <c r="P1336" s="15">
        <f>IFERROR(__xludf.DUMMYFUNCTION("ARRAYFORMULA(VLOOKUP(A1336,IMPORTRANGE(""https://docs.google.com/spreadsheets/d/1BuTWp7qHGjWhqrnf-OmePP568O4A5Am9ttzvVdP67zw/edit#gid=771602874"" ,""HUMAN RESOURCES!$A$2:$M$2692""), {2,3,4,5,6,7,8,9,10,11,12,13},0))"),0.011)</f>
        <v>0.011</v>
      </c>
      <c r="Q1336" s="14">
        <f>IFERROR(__xludf.DUMMYFUNCTION("""COMPUTED_VALUE"""),0.009)</f>
        <v>0.009</v>
      </c>
      <c r="R1336" s="14">
        <f>IFERROR(__xludf.DUMMYFUNCTION("""COMPUTED_VALUE"""),78.0)</f>
        <v>78</v>
      </c>
      <c r="S1336" s="14">
        <f>IFERROR(__xludf.DUMMYFUNCTION("""COMPUTED_VALUE"""),67.0)</f>
        <v>67</v>
      </c>
      <c r="T1336" s="14">
        <f>IFERROR(__xludf.DUMMYFUNCTION("""COMPUTED_VALUE"""),0.141)</f>
        <v>0.141</v>
      </c>
      <c r="U1336" s="14">
        <f>IFERROR(__xludf.DUMMYFUNCTION("""COMPUTED_VALUE"""),0.679)</f>
        <v>0.679</v>
      </c>
      <c r="V1336" s="14">
        <f>IFERROR(__xludf.DUMMYFUNCTION("""COMPUTED_VALUE"""),0.18)</f>
        <v>0.18</v>
      </c>
      <c r="W1336" s="14">
        <f>IFERROR(__xludf.DUMMYFUNCTION("""COMPUTED_VALUE"""),2177322.0)</f>
        <v>2177322</v>
      </c>
      <c r="X1336" s="14">
        <f>IFERROR(__xludf.DUMMYFUNCTION("""COMPUTED_VALUE"""),0.678)</f>
        <v>0.678</v>
      </c>
      <c r="Y1336" s="14" t="str">
        <f>IFERROR(__xludf.DUMMYFUNCTION("""COMPUTED_VALUE"""),"Latvia-Europe")</f>
        <v>Latvia-Europe</v>
      </c>
      <c r="Z1336" s="14" t="str">
        <f>IFERROR(__xludf.DUMMYFUNCTION("""COMPUTED_VALUE"""),"Europe")</f>
        <v>Europe</v>
      </c>
      <c r="AA1336" s="14" t="str">
        <f>IFERROR(__xludf.DUMMYFUNCTION("""COMPUTED_VALUE"""),"2008")</f>
        <v>2008</v>
      </c>
      <c r="AB1336" s="15" t="str">
        <f>IFERROR(__xludf.DUMMYFUNCTION("ARRAYFORMULA(VLOOKUP(A1336,IMPORTRANGE(""https://docs.google.com/spreadsheets/d/1BuTWp7qHGjWhqrnf-OmePP568O4A5Am9ttzvVdP67zw/edit#gid=1931367683"" ,""ENERGY!$A$2:$F$2692""), {2,3,4,5,6},0))"),"Europe")</f>
        <v>Europe</v>
      </c>
      <c r="AC1336" s="14" t="str">
        <f>IFERROR(__xludf.DUMMYFUNCTION("""COMPUTED_VALUE"""),"Latvia-Europe")</f>
        <v>Latvia-Europe</v>
      </c>
      <c r="AD1336" s="14" t="str">
        <f>IFERROR(__xludf.DUMMYFUNCTION("""COMPUTED_VALUE"""),"2006")</f>
        <v>2006</v>
      </c>
      <c r="AE1336" s="14">
        <f>IFERROR(__xludf.DUMMYFUNCTION("""COMPUTED_VALUE"""),4438.0)</f>
        <v>4438</v>
      </c>
      <c r="AF1336" s="14">
        <f>IFERROR(__xludf.DUMMYFUNCTION("""COMPUTED_VALUE"""),7132.0)</f>
        <v>7132</v>
      </c>
    </row>
    <row r="1337">
      <c r="A1337" s="12">
        <v>1336.0</v>
      </c>
      <c r="B1337" s="12" t="s">
        <v>181</v>
      </c>
      <c r="C1337" s="5" t="s">
        <v>75</v>
      </c>
      <c r="D1337" s="11">
        <v>0.377</v>
      </c>
      <c r="E1337" s="11">
        <v>16.0</v>
      </c>
      <c r="F1337" s="8"/>
      <c r="G1337" s="11">
        <v>279.0</v>
      </c>
      <c r="H1337" s="11">
        <v>0.668</v>
      </c>
      <c r="I1337" s="11">
        <v>1.091</v>
      </c>
      <c r="J1337" s="9" t="s">
        <v>70</v>
      </c>
      <c r="K1337" s="14" t="str">
        <f>IFERROR(__xludf.DUMMYFUNCTION("ARRAYFORMULA(VLOOKUP(A1337,IMPORTRANGE(""https://docs.google.com/spreadsheets/d/1BuTWp7qHGjWhqrnf-OmePP568O4A5Am9ttzvVdP67zw/edit#gid=1603210130"", ""TOURISM!$A$2:$F$2692""), {2,3,4,5,6},0))"),"Europe")</f>
        <v>Europe</v>
      </c>
      <c r="L1337" s="14">
        <f>IFERROR(__xludf.DUMMYFUNCTION("""COMPUTED_VALUE"""),1.013E9)</f>
        <v>1013000000</v>
      </c>
      <c r="M1337" s="14" t="str">
        <f>IFERROR(__xludf.DUMMYFUNCTION("""COMPUTED_VALUE"""),"Latvia-Europe")</f>
        <v>Latvia-Europe</v>
      </c>
      <c r="N1337" s="14" t="str">
        <f>IFERROR(__xludf.DUMMYFUNCTION("""COMPUTED_VALUE"""),"2009")</f>
        <v>2009</v>
      </c>
      <c r="O1337" s="14">
        <f>IFERROR(__xludf.DUMMYFUNCTION("""COMPUTED_VALUE"""),9.06E8)</f>
        <v>906000000</v>
      </c>
      <c r="P1337" s="15">
        <f>IFERROR(__xludf.DUMMYFUNCTION("ARRAYFORMULA(VLOOKUP(A1337,IMPORTRANGE(""https://docs.google.com/spreadsheets/d/1BuTWp7qHGjWhqrnf-OmePP568O4A5Am9ttzvVdP67zw/edit#gid=771602874"" ,""HUMAN RESOURCES!$A$2:$M$2692""), {2,3,4,5,6,7,8,9,10,11,12,13},0))"),0.01)</f>
        <v>0.01</v>
      </c>
      <c r="Q1337" s="14">
        <f>IFERROR(__xludf.DUMMYFUNCTION("""COMPUTED_VALUE"""),0.009)</f>
        <v>0.009</v>
      </c>
      <c r="R1337" s="14">
        <f>IFERROR(__xludf.DUMMYFUNCTION("""COMPUTED_VALUE"""),78.0)</f>
        <v>78</v>
      </c>
      <c r="S1337" s="14">
        <f>IFERROR(__xludf.DUMMYFUNCTION("""COMPUTED_VALUE"""),68.0)</f>
        <v>68</v>
      </c>
      <c r="T1337" s="14">
        <f>IFERROR(__xludf.DUMMYFUNCTION("""COMPUTED_VALUE"""),0.141)</f>
        <v>0.141</v>
      </c>
      <c r="U1337" s="14">
        <f>IFERROR(__xludf.DUMMYFUNCTION("""COMPUTED_VALUE"""),0.677)</f>
        <v>0.677</v>
      </c>
      <c r="V1337" s="14">
        <f>IFERROR(__xludf.DUMMYFUNCTION("""COMPUTED_VALUE"""),0.182)</f>
        <v>0.182</v>
      </c>
      <c r="W1337" s="14">
        <f>IFERROR(__xludf.DUMMYFUNCTION("""COMPUTED_VALUE"""),2141669.0)</f>
        <v>2141669</v>
      </c>
      <c r="X1337" s="14">
        <f>IFERROR(__xludf.DUMMYFUNCTION("""COMPUTED_VALUE"""),0.678)</f>
        <v>0.678</v>
      </c>
      <c r="Y1337" s="14" t="str">
        <f>IFERROR(__xludf.DUMMYFUNCTION("""COMPUTED_VALUE"""),"Latvia-Europe")</f>
        <v>Latvia-Europe</v>
      </c>
      <c r="Z1337" s="14" t="str">
        <f>IFERROR(__xludf.DUMMYFUNCTION("""COMPUTED_VALUE"""),"Europe")</f>
        <v>Europe</v>
      </c>
      <c r="AA1337" s="14" t="str">
        <f>IFERROR(__xludf.DUMMYFUNCTION("""COMPUTED_VALUE"""),"2009")</f>
        <v>2009</v>
      </c>
      <c r="AB1337" s="15" t="str">
        <f>IFERROR(__xludf.DUMMYFUNCTION("ARRAYFORMULA(VLOOKUP(A1337,IMPORTRANGE(""https://docs.google.com/spreadsheets/d/1BuTWp7qHGjWhqrnf-OmePP568O4A5Am9ttzvVdP67zw/edit#gid=1931367683"" ,""ENERGY!$A$2:$F$2692""), {2,3,4,5,6},0))"),"Europe")</f>
        <v>Europe</v>
      </c>
      <c r="AC1337" s="14" t="str">
        <f>IFERROR(__xludf.DUMMYFUNCTION("""COMPUTED_VALUE"""),"Latvia-Europe")</f>
        <v>Latvia-Europe</v>
      </c>
      <c r="AD1337" s="14" t="str">
        <f>IFERROR(__xludf.DUMMYFUNCTION("""COMPUTED_VALUE"""),"2010")</f>
        <v>2010</v>
      </c>
      <c r="AE1337" s="14">
        <f>IFERROR(__xludf.DUMMYFUNCTION("""COMPUTED_VALUE"""),4324.0)</f>
        <v>4324</v>
      </c>
      <c r="AF1337" s="14">
        <f>IFERROR(__xludf.DUMMYFUNCTION("""COMPUTED_VALUE"""),7088.0)</f>
        <v>7088</v>
      </c>
    </row>
    <row r="1338">
      <c r="A1338" s="12">
        <v>1337.0</v>
      </c>
      <c r="B1338" s="12" t="s">
        <v>181</v>
      </c>
      <c r="C1338" s="5" t="s">
        <v>75</v>
      </c>
      <c r="D1338" s="11">
        <v>0.376</v>
      </c>
      <c r="E1338" s="11">
        <v>16.0</v>
      </c>
      <c r="F1338" s="8"/>
      <c r="G1338" s="11">
        <v>293.0</v>
      </c>
      <c r="H1338" s="11">
        <v>0.684</v>
      </c>
      <c r="I1338" s="11">
        <v>1.103</v>
      </c>
      <c r="J1338" s="9" t="s">
        <v>71</v>
      </c>
      <c r="K1338" s="14" t="str">
        <f>IFERROR(__xludf.DUMMYFUNCTION("ARRAYFORMULA(VLOOKUP(A1338,IMPORTRANGE(""https://docs.google.com/spreadsheets/d/1BuTWp7qHGjWhqrnf-OmePP568O4A5Am9ttzvVdP67zw/edit#gid=1603210130"", ""TOURISM!$A$2:$F$2692""), {2,3,4,5,6},0))"),"Europe")</f>
        <v>Europe</v>
      </c>
      <c r="L1338" s="14">
        <f>IFERROR(__xludf.DUMMYFUNCTION("""COMPUTED_VALUE"""),9.63E8)</f>
        <v>963000000</v>
      </c>
      <c r="M1338" s="14" t="str">
        <f>IFERROR(__xludf.DUMMYFUNCTION("""COMPUTED_VALUE"""),"Latvia-Europe")</f>
        <v>Latvia-Europe</v>
      </c>
      <c r="N1338" s="14" t="str">
        <f>IFERROR(__xludf.DUMMYFUNCTION("""COMPUTED_VALUE"""),"2010")</f>
        <v>2010</v>
      </c>
      <c r="O1338" s="14">
        <f>IFERROR(__xludf.DUMMYFUNCTION("""COMPUTED_VALUE"""),7.71E8)</f>
        <v>771000000</v>
      </c>
      <c r="P1338" s="15">
        <f>IFERROR(__xludf.DUMMYFUNCTION("ARRAYFORMULA(VLOOKUP(A1338,IMPORTRANGE(""https://docs.google.com/spreadsheets/d/1BuTWp7qHGjWhqrnf-OmePP568O4A5Am9ttzvVdP67zw/edit#gid=771602874"" ,""HUMAN RESOURCES!$A$2:$M$2692""), {2,3,4,5,6,7,8,9,10,11,12,13},0))"),0.009)</f>
        <v>0.009</v>
      </c>
      <c r="Q1338" s="14">
        <f>IFERROR(__xludf.DUMMYFUNCTION("""COMPUTED_VALUE"""),0.008)</f>
        <v>0.008</v>
      </c>
      <c r="R1338" s="14">
        <f>IFERROR(__xludf.DUMMYFUNCTION("""COMPUTED_VALUE"""),78.0)</f>
        <v>78</v>
      </c>
      <c r="S1338" s="14">
        <f>IFERROR(__xludf.DUMMYFUNCTION("""COMPUTED_VALUE"""),69.0)</f>
        <v>69</v>
      </c>
      <c r="T1338" s="14">
        <f>IFERROR(__xludf.DUMMYFUNCTION("""COMPUTED_VALUE"""),0.142)</f>
        <v>0.142</v>
      </c>
      <c r="U1338" s="14">
        <f>IFERROR(__xludf.DUMMYFUNCTION("""COMPUTED_VALUE"""),0.675)</f>
        <v>0.675</v>
      </c>
      <c r="V1338" s="14">
        <f>IFERROR(__xludf.DUMMYFUNCTION("""COMPUTED_VALUE"""),0.184)</f>
        <v>0.184</v>
      </c>
      <c r="W1338" s="14">
        <f>IFERROR(__xludf.DUMMYFUNCTION("""COMPUTED_VALUE"""),2097555.0)</f>
        <v>2097555</v>
      </c>
      <c r="X1338" s="14">
        <f>IFERROR(__xludf.DUMMYFUNCTION("""COMPUTED_VALUE"""),0.677)</f>
        <v>0.677</v>
      </c>
      <c r="Y1338" s="14" t="str">
        <f>IFERROR(__xludf.DUMMYFUNCTION("""COMPUTED_VALUE"""),"Latvia-Europe")</f>
        <v>Latvia-Europe</v>
      </c>
      <c r="Z1338" s="14" t="str">
        <f>IFERROR(__xludf.DUMMYFUNCTION("""COMPUTED_VALUE"""),"Europe")</f>
        <v>Europe</v>
      </c>
      <c r="AA1338" s="14" t="str">
        <f>IFERROR(__xludf.DUMMYFUNCTION("""COMPUTED_VALUE"""),"2010")</f>
        <v>2010</v>
      </c>
      <c r="AB1338" s="15" t="str">
        <f>IFERROR(__xludf.DUMMYFUNCTION("ARRAYFORMULA(VLOOKUP(A1338,IMPORTRANGE(""https://docs.google.com/spreadsheets/d/1BuTWp7qHGjWhqrnf-OmePP568O4A5Am9ttzvVdP67zw/edit#gid=1931367683"" ,""ENERGY!$A$2:$F$2692""), {2,3,4,5,6},0))"),"Europe")</f>
        <v>Europe</v>
      </c>
      <c r="AC1338" s="14" t="str">
        <f>IFERROR(__xludf.DUMMYFUNCTION("""COMPUTED_VALUE"""),"Latvia-Europe")</f>
        <v>Latvia-Europe</v>
      </c>
      <c r="AD1338" s="14" t="str">
        <f>IFERROR(__xludf.DUMMYFUNCTION("""COMPUTED_VALUE"""),"2012")</f>
        <v>2012</v>
      </c>
      <c r="AE1338" s="14">
        <f>IFERROR(__xludf.DUMMYFUNCTION("""COMPUTED_VALUE"""),4073.0)</f>
        <v>4073</v>
      </c>
      <c r="AF1338" s="14">
        <f>IFERROR(__xludf.DUMMYFUNCTION("""COMPUTED_VALUE"""),6652.0)</f>
        <v>6652</v>
      </c>
    </row>
    <row r="1339">
      <c r="A1339" s="12">
        <v>1338.0</v>
      </c>
      <c r="B1339" s="12" t="s">
        <v>181</v>
      </c>
      <c r="C1339" s="5" t="s">
        <v>75</v>
      </c>
      <c r="D1339" s="11">
        <v>0.371</v>
      </c>
      <c r="E1339" s="11">
        <v>16.0</v>
      </c>
      <c r="F1339" s="8"/>
      <c r="G1339" s="11">
        <v>290.0</v>
      </c>
      <c r="H1339" s="11">
        <v>0.697</v>
      </c>
      <c r="I1339" s="11">
        <v>1.114</v>
      </c>
      <c r="J1339" s="9" t="s">
        <v>72</v>
      </c>
      <c r="K1339" s="14" t="str">
        <f>IFERROR(__xludf.DUMMYFUNCTION("ARRAYFORMULA(VLOOKUP(A1339,IMPORTRANGE(""https://docs.google.com/spreadsheets/d/1BuTWp7qHGjWhqrnf-OmePP568O4A5Am9ttzvVdP67zw/edit#gid=1603210130"", ""TOURISM!$A$2:$F$2692""), {2,3,4,5,6},0))"),"Europe")</f>
        <v>Europe</v>
      </c>
      <c r="L1339" s="14">
        <f>IFERROR(__xludf.DUMMYFUNCTION("""COMPUTED_VALUE"""),1.102E9)</f>
        <v>1102000000</v>
      </c>
      <c r="M1339" s="14" t="str">
        <f>IFERROR(__xludf.DUMMYFUNCTION("""COMPUTED_VALUE"""),"Latvia-Europe")</f>
        <v>Latvia-Europe</v>
      </c>
      <c r="N1339" s="14" t="str">
        <f>IFERROR(__xludf.DUMMYFUNCTION("""COMPUTED_VALUE"""),"2011")</f>
        <v>2011</v>
      </c>
      <c r="O1339" s="14">
        <f>IFERROR(__xludf.DUMMYFUNCTION("""COMPUTED_VALUE"""),9.2E8)</f>
        <v>920000000</v>
      </c>
      <c r="P1339" s="15">
        <f>IFERROR(__xludf.DUMMYFUNCTION("ARRAYFORMULA(VLOOKUP(A1339,IMPORTRANGE(""https://docs.google.com/spreadsheets/d/1BuTWp7qHGjWhqrnf-OmePP568O4A5Am9ttzvVdP67zw/edit#gid=771602874"" ,""HUMAN RESOURCES!$A$2:$M$2692""), {2,3,4,5,6,7,8,9,10,11,12,13},0))"),0.009)</f>
        <v>0.009</v>
      </c>
      <c r="Q1339" s="14">
        <f>IFERROR(__xludf.DUMMYFUNCTION("""COMPUTED_VALUE"""),0.008)</f>
        <v>0.008</v>
      </c>
      <c r="R1339" s="14">
        <f>IFERROR(__xludf.DUMMYFUNCTION("""COMPUTED_VALUE"""),79.0)</f>
        <v>79</v>
      </c>
      <c r="S1339" s="14">
        <f>IFERROR(__xludf.DUMMYFUNCTION("""COMPUTED_VALUE"""),69.0)</f>
        <v>69</v>
      </c>
      <c r="T1339" s="14">
        <f>IFERROR(__xludf.DUMMYFUNCTION("""COMPUTED_VALUE"""),0.143)</f>
        <v>0.143</v>
      </c>
      <c r="U1339" s="14">
        <f>IFERROR(__xludf.DUMMYFUNCTION("""COMPUTED_VALUE"""),0.672)</f>
        <v>0.672</v>
      </c>
      <c r="V1339" s="14">
        <f>IFERROR(__xludf.DUMMYFUNCTION("""COMPUTED_VALUE"""),0.185)</f>
        <v>0.185</v>
      </c>
      <c r="W1339" s="14">
        <f>IFERROR(__xludf.DUMMYFUNCTION("""COMPUTED_VALUE"""),2059709.0)</f>
        <v>2059709</v>
      </c>
      <c r="X1339" s="14">
        <f>IFERROR(__xludf.DUMMYFUNCTION("""COMPUTED_VALUE"""),0.676)</f>
        <v>0.676</v>
      </c>
      <c r="Y1339" s="14" t="str">
        <f>IFERROR(__xludf.DUMMYFUNCTION("""COMPUTED_VALUE"""),"Latvia-Europe")</f>
        <v>Latvia-Europe</v>
      </c>
      <c r="Z1339" s="14" t="str">
        <f>IFERROR(__xludf.DUMMYFUNCTION("""COMPUTED_VALUE"""),"Europe")</f>
        <v>Europe</v>
      </c>
      <c r="AA1339" s="14" t="str">
        <f>IFERROR(__xludf.DUMMYFUNCTION("""COMPUTED_VALUE"""),"2011")</f>
        <v>2011</v>
      </c>
      <c r="AB1339" s="15" t="str">
        <f>IFERROR(__xludf.DUMMYFUNCTION("ARRAYFORMULA(VLOOKUP(A1339,IMPORTRANGE(""https://docs.google.com/spreadsheets/d/1BuTWp7qHGjWhqrnf-OmePP568O4A5Am9ttzvVdP67zw/edit#gid=1931367683"" ,""ENERGY!$A$2:$F$2692""), {2,3,4,5,6},0))"),"Europe")</f>
        <v>Europe</v>
      </c>
      <c r="AC1339" s="14" t="str">
        <f>IFERROR(__xludf.DUMMYFUNCTION("""COMPUTED_VALUE"""),"Latvia-Europe")</f>
        <v>Latvia-Europe</v>
      </c>
      <c r="AD1339" s="14" t="str">
        <f>IFERROR(__xludf.DUMMYFUNCTION("""COMPUTED_VALUE"""),"2005")</f>
        <v>2005</v>
      </c>
      <c r="AE1339" s="14">
        <f>IFERROR(__xludf.DUMMYFUNCTION("""COMPUTED_VALUE"""),4111.0)</f>
        <v>4111</v>
      </c>
      <c r="AF1339" s="14">
        <f>IFERROR(__xludf.DUMMYFUNCTION("""COMPUTED_VALUE"""),6854.0)</f>
        <v>6854</v>
      </c>
    </row>
    <row r="1340">
      <c r="A1340" s="12">
        <v>1339.0</v>
      </c>
      <c r="B1340" s="12" t="s">
        <v>181</v>
      </c>
      <c r="C1340" s="5" t="s">
        <v>75</v>
      </c>
      <c r="D1340" s="11">
        <v>0.359</v>
      </c>
      <c r="E1340" s="11">
        <v>16.0</v>
      </c>
      <c r="F1340" s="11">
        <v>24.0</v>
      </c>
      <c r="G1340" s="11">
        <v>264.0</v>
      </c>
      <c r="H1340" s="11">
        <v>0.731</v>
      </c>
      <c r="I1340" s="11">
        <v>1.121</v>
      </c>
      <c r="J1340" s="9" t="s">
        <v>73</v>
      </c>
      <c r="K1340" s="14" t="str">
        <f>IFERROR(__xludf.DUMMYFUNCTION("ARRAYFORMULA(VLOOKUP(A1340,IMPORTRANGE(""https://docs.google.com/spreadsheets/d/1BuTWp7qHGjWhqrnf-OmePP568O4A5Am9ttzvVdP67zw/edit#gid=1603210130"", ""TOURISM!$A$2:$F$2692""), {2,3,4,5,6},0))"),"Europe")</f>
        <v>Europe</v>
      </c>
      <c r="L1340" s="14">
        <f>IFERROR(__xludf.DUMMYFUNCTION("""COMPUTED_VALUE"""),1.068E9)</f>
        <v>1068000000</v>
      </c>
      <c r="M1340" s="14" t="str">
        <f>IFERROR(__xludf.DUMMYFUNCTION("""COMPUTED_VALUE"""),"Latvia-Europe")</f>
        <v>Latvia-Europe</v>
      </c>
      <c r="N1340" s="14" t="str">
        <f>IFERROR(__xludf.DUMMYFUNCTION("""COMPUTED_VALUE"""),"2012")</f>
        <v>2012</v>
      </c>
      <c r="O1340" s="14">
        <f>IFERROR(__xludf.DUMMYFUNCTION("""COMPUTED_VALUE"""),8.63E8)</f>
        <v>863000000</v>
      </c>
      <c r="P1340" s="15">
        <f>IFERROR(__xludf.DUMMYFUNCTION("ARRAYFORMULA(VLOOKUP(A1340,IMPORTRANGE(""https://docs.google.com/spreadsheets/d/1BuTWp7qHGjWhqrnf-OmePP568O4A5Am9ttzvVdP67zw/edit#gid=771602874"" ,""HUMAN RESOURCES!$A$2:$M$2692""), {2,3,4,5,6,7,8,9,10,11,12,13},0))"),0.01)</f>
        <v>0.01</v>
      </c>
      <c r="Q1340" s="14">
        <f>IFERROR(__xludf.DUMMYFUNCTION("""COMPUTED_VALUE"""),0.008)</f>
        <v>0.008</v>
      </c>
      <c r="R1340" s="14">
        <f>IFERROR(__xludf.DUMMYFUNCTION("""COMPUTED_VALUE"""),79.0)</f>
        <v>79</v>
      </c>
      <c r="S1340" s="14">
        <f>IFERROR(__xludf.DUMMYFUNCTION("""COMPUTED_VALUE"""),69.0)</f>
        <v>69</v>
      </c>
      <c r="T1340" s="14">
        <f>IFERROR(__xludf.DUMMYFUNCTION("""COMPUTED_VALUE"""),0.146)</f>
        <v>0.146</v>
      </c>
      <c r="U1340" s="14">
        <f>IFERROR(__xludf.DUMMYFUNCTION("""COMPUTED_VALUE"""),0.669)</f>
        <v>0.669</v>
      </c>
      <c r="V1340" s="14">
        <f>IFERROR(__xludf.DUMMYFUNCTION("""COMPUTED_VALUE"""),0.185)</f>
        <v>0.185</v>
      </c>
      <c r="W1340" s="14">
        <f>IFERROR(__xludf.DUMMYFUNCTION("""COMPUTED_VALUE"""),2034319.0)</f>
        <v>2034319</v>
      </c>
      <c r="X1340" s="14">
        <f>IFERROR(__xludf.DUMMYFUNCTION("""COMPUTED_VALUE"""),0.675)</f>
        <v>0.675</v>
      </c>
      <c r="Y1340" s="14" t="str">
        <f>IFERROR(__xludf.DUMMYFUNCTION("""COMPUTED_VALUE"""),"Latvia-Europe")</f>
        <v>Latvia-Europe</v>
      </c>
      <c r="Z1340" s="14" t="str">
        <f>IFERROR(__xludf.DUMMYFUNCTION("""COMPUTED_VALUE"""),"Europe")</f>
        <v>Europe</v>
      </c>
      <c r="AA1340" s="14" t="str">
        <f>IFERROR(__xludf.DUMMYFUNCTION("""COMPUTED_VALUE"""),"2012")</f>
        <v>2012</v>
      </c>
      <c r="AB1340" s="15" t="str">
        <f>IFERROR(__xludf.DUMMYFUNCTION("ARRAYFORMULA(VLOOKUP(A1340,IMPORTRANGE(""https://docs.google.com/spreadsheets/d/1BuTWp7qHGjWhqrnf-OmePP568O4A5Am9ttzvVdP67zw/edit#gid=1931367683"" ,""ENERGY!$A$2:$F$2692""), {2,3,4,5,6},0))"),"Europe")</f>
        <v>Europe</v>
      </c>
      <c r="AC1340" s="14" t="str">
        <f>IFERROR(__xludf.DUMMYFUNCTION("""COMPUTED_VALUE"""),"Latvia-Europe")</f>
        <v>Latvia-Europe</v>
      </c>
      <c r="AD1340" s="14" t="str">
        <f>IFERROR(__xludf.DUMMYFUNCTION("""COMPUTED_VALUE"""),"2010")</f>
        <v>2010</v>
      </c>
      <c r="AE1340" s="14">
        <f>IFERROR(__xludf.DUMMYFUNCTION("""COMPUTED_VALUE"""),3832.0)</f>
        <v>3832</v>
      </c>
      <c r="AF1340" s="14">
        <f>IFERROR(__xludf.DUMMYFUNCTION("""COMPUTED_VALUE"""),6241.0)</f>
        <v>6241</v>
      </c>
    </row>
    <row r="1341">
      <c r="A1341" s="12">
        <v>1340.0</v>
      </c>
      <c r="B1341" s="12" t="s">
        <v>182</v>
      </c>
      <c r="C1341" s="5" t="s">
        <v>93</v>
      </c>
      <c r="D1341" s="8"/>
      <c r="E1341" s="8"/>
      <c r="F1341" s="8"/>
      <c r="G1341" s="8"/>
      <c r="H1341" s="11">
        <v>0.08</v>
      </c>
      <c r="I1341" s="11">
        <v>0.23</v>
      </c>
      <c r="J1341" s="9" t="s">
        <v>60</v>
      </c>
      <c r="K1341" s="14" t="str">
        <f>IFERROR(__xludf.DUMMYFUNCTION("ARRAYFORMULA(VLOOKUP(A1341,IMPORTRANGE(""https://docs.google.com/spreadsheets/d/1BuTWp7qHGjWhqrnf-OmePP568O4A5Am9ttzvVdP67zw/edit#gid=1603210130"", ""TOURISM!$A$2:$F$2692""), {2,3,4,5,6},0))"),"Middle East")</f>
        <v>Middle East</v>
      </c>
      <c r="L1341" s="14">
        <f>IFERROR(__xludf.DUMMYFUNCTION("""COMPUTED_VALUE"""),7.42E8)</f>
        <v>742000000</v>
      </c>
      <c r="M1341" s="14" t="str">
        <f>IFERROR(__xludf.DUMMYFUNCTION("""COMPUTED_VALUE"""),"Lebanon-Middle East")</f>
        <v>Lebanon-Middle East</v>
      </c>
      <c r="N1341" s="14" t="str">
        <f>IFERROR(__xludf.DUMMYFUNCTION("""COMPUTED_VALUE"""),"2000")</f>
        <v>2000</v>
      </c>
      <c r="O1341" s="14"/>
      <c r="P1341" s="15">
        <f>IFERROR(__xludf.DUMMYFUNCTION("ARRAYFORMULA(VLOOKUP(A1341,IMPORTRANGE(""https://docs.google.com/spreadsheets/d/1BuTWp7qHGjWhqrnf-OmePP568O4A5Am9ttzvVdP67zw/edit#gid=771602874"" ,""HUMAN RESOURCES!$A$2:$M$2692""), {2,3,4,5,6,7,8,9,10,11,12,13},0))"),0.019)</f>
        <v>0.019</v>
      </c>
      <c r="Q1341" s="14">
        <f>IFERROR(__xludf.DUMMYFUNCTION("""COMPUTED_VALUE"""),0.017)</f>
        <v>0.017</v>
      </c>
      <c r="R1341" s="14">
        <f>IFERROR(__xludf.DUMMYFUNCTION("""COMPUTED_VALUE"""),76.0)</f>
        <v>76</v>
      </c>
      <c r="S1341" s="14">
        <f>IFERROR(__xludf.DUMMYFUNCTION("""COMPUTED_VALUE"""),73.0)</f>
        <v>73</v>
      </c>
      <c r="T1341" s="14">
        <f>IFERROR(__xludf.DUMMYFUNCTION("""COMPUTED_VALUE"""),0.286)</f>
        <v>0.286</v>
      </c>
      <c r="U1341" s="14">
        <f>IFERROR(__xludf.DUMMYFUNCTION("""COMPUTED_VALUE"""),0.643)</f>
        <v>0.643</v>
      </c>
      <c r="V1341" s="14">
        <f>IFERROR(__xludf.DUMMYFUNCTION("""COMPUTED_VALUE"""),0.071)</f>
        <v>0.071</v>
      </c>
      <c r="W1341" s="14">
        <f>IFERROR(__xludf.DUMMYFUNCTION("""COMPUTED_VALUE"""),3235380.0)</f>
        <v>3235380</v>
      </c>
      <c r="X1341" s="14">
        <f>IFERROR(__xludf.DUMMYFUNCTION("""COMPUTED_VALUE"""),0.86)</f>
        <v>0.86</v>
      </c>
      <c r="Y1341" s="14" t="str">
        <f>IFERROR(__xludf.DUMMYFUNCTION("""COMPUTED_VALUE"""),"Lebanon-Middle East")</f>
        <v>Lebanon-Middle East</v>
      </c>
      <c r="Z1341" s="14" t="str">
        <f>IFERROR(__xludf.DUMMYFUNCTION("""COMPUTED_VALUE"""),"Middle East")</f>
        <v>Middle East</v>
      </c>
      <c r="AA1341" s="14" t="str">
        <f>IFERROR(__xludf.DUMMYFUNCTION("""COMPUTED_VALUE"""),"2000")</f>
        <v>2000</v>
      </c>
      <c r="AB1341" s="15" t="str">
        <f>IFERROR(__xludf.DUMMYFUNCTION("ARRAYFORMULA(VLOOKUP(A1341,IMPORTRANGE(""https://docs.google.com/spreadsheets/d/1BuTWp7qHGjWhqrnf-OmePP568O4A5Am9ttzvVdP67zw/edit#gid=1931367683"" ,""ENERGY!$A$2:$F$2692""), {2,3,4,5,6},0))"),"Middle East")</f>
        <v>Middle East</v>
      </c>
      <c r="AC1341" s="14" t="str">
        <f>IFERROR(__xludf.DUMMYFUNCTION("""COMPUTED_VALUE"""),"Lebanon-Middle East")</f>
        <v>Lebanon-Middle East</v>
      </c>
      <c r="AD1341" s="14" t="str">
        <f>IFERROR(__xludf.DUMMYFUNCTION("""COMPUTED_VALUE"""),"2000")</f>
        <v>2000</v>
      </c>
      <c r="AE1341" s="14"/>
      <c r="AF1341" s="14"/>
    </row>
    <row r="1342">
      <c r="A1342" s="12">
        <v>1341.0</v>
      </c>
      <c r="B1342" s="12" t="s">
        <v>182</v>
      </c>
      <c r="C1342" s="5" t="s">
        <v>93</v>
      </c>
      <c r="D1342" s="8"/>
      <c r="E1342" s="8"/>
      <c r="F1342" s="8"/>
      <c r="G1342" s="8"/>
      <c r="H1342" s="11">
        <v>0.068</v>
      </c>
      <c r="I1342" s="11">
        <v>0.228</v>
      </c>
      <c r="J1342" s="9" t="s">
        <v>62</v>
      </c>
      <c r="K1342" s="14" t="str">
        <f>IFERROR(__xludf.DUMMYFUNCTION("ARRAYFORMULA(VLOOKUP(A1342,IMPORTRANGE(""https://docs.google.com/spreadsheets/d/1BuTWp7qHGjWhqrnf-OmePP568O4A5Am9ttzvVdP67zw/edit#gid=1603210130"", ""TOURISM!$A$2:$F$2692""), {2,3,4,5,6},0))"),"Middle East")</f>
        <v>Middle East</v>
      </c>
      <c r="L1342" s="14">
        <f>IFERROR(__xludf.DUMMYFUNCTION("""COMPUTED_VALUE"""),8.37E8)</f>
        <v>837000000</v>
      </c>
      <c r="M1342" s="14" t="str">
        <f>IFERROR(__xludf.DUMMYFUNCTION("""COMPUTED_VALUE"""),"Lebanon-Middle East")</f>
        <v>Lebanon-Middle East</v>
      </c>
      <c r="N1342" s="14" t="str">
        <f>IFERROR(__xludf.DUMMYFUNCTION("""COMPUTED_VALUE"""),"2001")</f>
        <v>2001</v>
      </c>
      <c r="O1342" s="14"/>
      <c r="P1342" s="15">
        <f>IFERROR(__xludf.DUMMYFUNCTION("ARRAYFORMULA(VLOOKUP(A1342,IMPORTRANGE(""https://docs.google.com/spreadsheets/d/1BuTWp7qHGjWhqrnf-OmePP568O4A5Am9ttzvVdP67zw/edit#gid=771602874"" ,""HUMAN RESOURCES!$A$2:$M$2692""), {2,3,4,5,6,7,8,9,10,11,12,13},0))"),0.018)</f>
        <v>0.018</v>
      </c>
      <c r="Q1342" s="14">
        <f>IFERROR(__xludf.DUMMYFUNCTION("""COMPUTED_VALUE"""),0.016)</f>
        <v>0.016</v>
      </c>
      <c r="R1342" s="14">
        <f>IFERROR(__xludf.DUMMYFUNCTION("""COMPUTED_VALUE"""),77.0)</f>
        <v>77</v>
      </c>
      <c r="S1342" s="14">
        <f>IFERROR(__xludf.DUMMYFUNCTION("""COMPUTED_VALUE"""),73.0)</f>
        <v>73</v>
      </c>
      <c r="T1342" s="14">
        <f>IFERROR(__xludf.DUMMYFUNCTION("""COMPUTED_VALUE"""),0.285)</f>
        <v>0.285</v>
      </c>
      <c r="U1342" s="14">
        <f>IFERROR(__xludf.DUMMYFUNCTION("""COMPUTED_VALUE"""),0.644)</f>
        <v>0.644</v>
      </c>
      <c r="V1342" s="14">
        <f>IFERROR(__xludf.DUMMYFUNCTION("""COMPUTED_VALUE"""),0.072)</f>
        <v>0.072</v>
      </c>
      <c r="W1342" s="14">
        <f>IFERROR(__xludf.DUMMYFUNCTION("""COMPUTED_VALUE"""),3357600.0)</f>
        <v>3357600</v>
      </c>
      <c r="X1342" s="14">
        <f>IFERROR(__xludf.DUMMYFUNCTION("""COMPUTED_VALUE"""),0.861)</f>
        <v>0.861</v>
      </c>
      <c r="Y1342" s="14" t="str">
        <f>IFERROR(__xludf.DUMMYFUNCTION("""COMPUTED_VALUE"""),"Lebanon-Middle East")</f>
        <v>Lebanon-Middle East</v>
      </c>
      <c r="Z1342" s="14" t="str">
        <f>IFERROR(__xludf.DUMMYFUNCTION("""COMPUTED_VALUE"""),"Middle East")</f>
        <v>Middle East</v>
      </c>
      <c r="AA1342" s="14" t="str">
        <f>IFERROR(__xludf.DUMMYFUNCTION("""COMPUTED_VALUE"""),"2001")</f>
        <v>2001</v>
      </c>
      <c r="AB1342" s="15" t="str">
        <f>IFERROR(__xludf.DUMMYFUNCTION("ARRAYFORMULA(VLOOKUP(A1342,IMPORTRANGE(""https://docs.google.com/spreadsheets/d/1BuTWp7qHGjWhqrnf-OmePP568O4A5Am9ttzvVdP67zw/edit#gid=1931367683"" ,""ENERGY!$A$2:$F$2692""), {2,3,4,5,6},0))"),"Middle East")</f>
        <v>Middle East</v>
      </c>
      <c r="AC1342" s="14" t="str">
        <f>IFERROR(__xludf.DUMMYFUNCTION("""COMPUTED_VALUE"""),"Lebanon-Middle East")</f>
        <v>Lebanon-Middle East</v>
      </c>
      <c r="AD1342" s="14" t="str">
        <f>IFERROR(__xludf.DUMMYFUNCTION("""COMPUTED_VALUE"""),"2001")</f>
        <v>2001</v>
      </c>
      <c r="AE1342" s="14">
        <f>IFERROR(__xludf.DUMMYFUNCTION("""COMPUTED_VALUE"""),6349.0)</f>
        <v>6349</v>
      </c>
      <c r="AF1342" s="14"/>
    </row>
    <row r="1343">
      <c r="A1343" s="12">
        <v>1342.0</v>
      </c>
      <c r="B1343" s="12" t="s">
        <v>182</v>
      </c>
      <c r="C1343" s="5" t="s">
        <v>93</v>
      </c>
      <c r="D1343" s="8"/>
      <c r="E1343" s="8"/>
      <c r="F1343" s="8"/>
      <c r="G1343" s="8"/>
      <c r="H1343" s="11">
        <v>0.07</v>
      </c>
      <c r="I1343" s="11">
        <v>0.22</v>
      </c>
      <c r="J1343" s="9" t="s">
        <v>63</v>
      </c>
      <c r="K1343" s="14" t="str">
        <f>IFERROR(__xludf.DUMMYFUNCTION("ARRAYFORMULA(VLOOKUP(A1343,IMPORTRANGE(""https://docs.google.com/spreadsheets/d/1BuTWp7qHGjWhqrnf-OmePP568O4A5Am9ttzvVdP67zw/edit#gid=1603210130"", ""TOURISM!$A$2:$F$2692""), {2,3,4,5,6},0))"),"Middle East")</f>
        <v>Middle East</v>
      </c>
      <c r="L1343" s="14">
        <f>IFERROR(__xludf.DUMMYFUNCTION("""COMPUTED_VALUE"""),4.284E9)</f>
        <v>4284000000</v>
      </c>
      <c r="M1343" s="14" t="str">
        <f>IFERROR(__xludf.DUMMYFUNCTION("""COMPUTED_VALUE"""),"Lebanon-Middle East")</f>
        <v>Lebanon-Middle East</v>
      </c>
      <c r="N1343" s="14" t="str">
        <f>IFERROR(__xludf.DUMMYFUNCTION("""COMPUTED_VALUE"""),"2002")</f>
        <v>2002</v>
      </c>
      <c r="O1343" s="14">
        <f>IFERROR(__xludf.DUMMYFUNCTION("""COMPUTED_VALUE"""),2.683E9)</f>
        <v>2683000000</v>
      </c>
      <c r="P1343" s="15">
        <f>IFERROR(__xludf.DUMMYFUNCTION("ARRAYFORMULA(VLOOKUP(A1343,IMPORTRANGE(""https://docs.google.com/spreadsheets/d/1BuTWp7qHGjWhqrnf-OmePP568O4A5Am9ttzvVdP67zw/edit#gid=771602874"" ,""HUMAN RESOURCES!$A$2:$M$2692""), {2,3,4,5,6,7,8,9,10,11,12,13},0))"),0.017)</f>
        <v>0.017</v>
      </c>
      <c r="Q1343" s="14">
        <f>IFERROR(__xludf.DUMMYFUNCTION("""COMPUTED_VALUE"""),0.015)</f>
        <v>0.015</v>
      </c>
      <c r="R1343" s="14">
        <f>IFERROR(__xludf.DUMMYFUNCTION("""COMPUTED_VALUE"""),77.0)</f>
        <v>77</v>
      </c>
      <c r="S1343" s="14">
        <f>IFERROR(__xludf.DUMMYFUNCTION("""COMPUTED_VALUE"""),74.0)</f>
        <v>74</v>
      </c>
      <c r="T1343" s="14">
        <f>IFERROR(__xludf.DUMMYFUNCTION("""COMPUTED_VALUE"""),0.284)</f>
        <v>0.284</v>
      </c>
      <c r="U1343" s="14">
        <f>IFERROR(__xludf.DUMMYFUNCTION("""COMPUTED_VALUE"""),0.643)</f>
        <v>0.643</v>
      </c>
      <c r="V1343" s="14">
        <f>IFERROR(__xludf.DUMMYFUNCTION("""COMPUTED_VALUE"""),0.072)</f>
        <v>0.072</v>
      </c>
      <c r="W1343" s="14">
        <f>IFERROR(__xludf.DUMMYFUNCTION("""COMPUTED_VALUE"""),3515604.0)</f>
        <v>3515604</v>
      </c>
      <c r="X1343" s="14">
        <f>IFERROR(__xludf.DUMMYFUNCTION("""COMPUTED_VALUE"""),0.862)</f>
        <v>0.862</v>
      </c>
      <c r="Y1343" s="14" t="str">
        <f>IFERROR(__xludf.DUMMYFUNCTION("""COMPUTED_VALUE"""),"Lebanon-Middle East")</f>
        <v>Lebanon-Middle East</v>
      </c>
      <c r="Z1343" s="14" t="str">
        <f>IFERROR(__xludf.DUMMYFUNCTION("""COMPUTED_VALUE"""),"Middle East")</f>
        <v>Middle East</v>
      </c>
      <c r="AA1343" s="14" t="str">
        <f>IFERROR(__xludf.DUMMYFUNCTION("""COMPUTED_VALUE"""),"2002")</f>
        <v>2002</v>
      </c>
      <c r="AB1343" s="15" t="str">
        <f>IFERROR(__xludf.DUMMYFUNCTION("ARRAYFORMULA(VLOOKUP(A1343,IMPORTRANGE(""https://docs.google.com/spreadsheets/d/1BuTWp7qHGjWhqrnf-OmePP568O4A5Am9ttzvVdP67zw/edit#gid=1931367683"" ,""ENERGY!$A$2:$F$2692""), {2,3,4,5,6},0))"),"Middle East")</f>
        <v>Middle East</v>
      </c>
      <c r="AC1343" s="14" t="str">
        <f>IFERROR(__xludf.DUMMYFUNCTION("""COMPUTED_VALUE"""),"Lebanon-Middle East")</f>
        <v>Lebanon-Middle East</v>
      </c>
      <c r="AD1343" s="14" t="str">
        <f>IFERROR(__xludf.DUMMYFUNCTION("""COMPUTED_VALUE"""),"2002")</f>
        <v>2002</v>
      </c>
      <c r="AE1343" s="14">
        <f>IFERROR(__xludf.DUMMYFUNCTION("""COMPUTED_VALUE"""),6382.0)</f>
        <v>6382</v>
      </c>
      <c r="AF1343" s="14">
        <f>IFERROR(__xludf.DUMMYFUNCTION("""COMPUTED_VALUE"""),20403.0)</f>
        <v>20403</v>
      </c>
    </row>
    <row r="1344">
      <c r="A1344" s="12">
        <v>1343.0</v>
      </c>
      <c r="B1344" s="12" t="s">
        <v>182</v>
      </c>
      <c r="C1344" s="5" t="s">
        <v>93</v>
      </c>
      <c r="D1344" s="8"/>
      <c r="E1344" s="11">
        <v>46.0</v>
      </c>
      <c r="F1344" s="8"/>
      <c r="G1344" s="8"/>
      <c r="H1344" s="11">
        <v>0.08</v>
      </c>
      <c r="I1344" s="11">
        <v>0.216</v>
      </c>
      <c r="J1344" s="9" t="s">
        <v>64</v>
      </c>
      <c r="K1344" s="14" t="str">
        <f>IFERROR(__xludf.DUMMYFUNCTION("ARRAYFORMULA(VLOOKUP(A1344,IMPORTRANGE(""https://docs.google.com/spreadsheets/d/1BuTWp7qHGjWhqrnf-OmePP568O4A5Am9ttzvVdP67zw/edit#gid=1603210130"", ""TOURISM!$A$2:$F$2692""), {2,3,4,5,6},0))"),"Middle East")</f>
        <v>Middle East</v>
      </c>
      <c r="L1344" s="14">
        <f>IFERROR(__xludf.DUMMYFUNCTION("""COMPUTED_VALUE"""),6.782E9)</f>
        <v>6782000000</v>
      </c>
      <c r="M1344" s="14" t="str">
        <f>IFERROR(__xludf.DUMMYFUNCTION("""COMPUTED_VALUE"""),"Lebanon-Middle East")</f>
        <v>Lebanon-Middle East</v>
      </c>
      <c r="N1344" s="14" t="str">
        <f>IFERROR(__xludf.DUMMYFUNCTION("""COMPUTED_VALUE"""),"2003")</f>
        <v>2003</v>
      </c>
      <c r="O1344" s="14">
        <f>IFERROR(__xludf.DUMMYFUNCTION("""COMPUTED_VALUE"""),3.319E9)</f>
        <v>3319000000</v>
      </c>
      <c r="P1344" s="15">
        <f>IFERROR(__xludf.DUMMYFUNCTION("ARRAYFORMULA(VLOOKUP(A1344,IMPORTRANGE(""https://docs.google.com/spreadsheets/d/1BuTWp7qHGjWhqrnf-OmePP568O4A5Am9ttzvVdP67zw/edit#gid=771602874"" ,""HUMAN RESOURCES!$A$2:$M$2692""), {2,3,4,5,6,7,8,9,10,11,12,13},0))"),0.016)</f>
        <v>0.016</v>
      </c>
      <c r="Q1344" s="14">
        <f>IFERROR(__xludf.DUMMYFUNCTION("""COMPUTED_VALUE"""),0.014)</f>
        <v>0.014</v>
      </c>
      <c r="R1344" s="14">
        <f>IFERROR(__xludf.DUMMYFUNCTION("""COMPUTED_VALUE"""),78.0)</f>
        <v>78</v>
      </c>
      <c r="S1344" s="14">
        <f>IFERROR(__xludf.DUMMYFUNCTION("""COMPUTED_VALUE"""),74.0)</f>
        <v>74</v>
      </c>
      <c r="T1344" s="14">
        <f>IFERROR(__xludf.DUMMYFUNCTION("""COMPUTED_VALUE"""),0.284)</f>
        <v>0.284</v>
      </c>
      <c r="U1344" s="14">
        <f>IFERROR(__xludf.DUMMYFUNCTION("""COMPUTED_VALUE"""),0.643)</f>
        <v>0.643</v>
      </c>
      <c r="V1344" s="14">
        <f>IFERROR(__xludf.DUMMYFUNCTION("""COMPUTED_VALUE"""),0.073)</f>
        <v>0.073</v>
      </c>
      <c r="W1344" s="14">
        <f>IFERROR(__xludf.DUMMYFUNCTION("""COMPUTED_VALUE"""),3690110.0)</f>
        <v>3690110</v>
      </c>
      <c r="X1344" s="14">
        <f>IFERROR(__xludf.DUMMYFUNCTION("""COMPUTED_VALUE"""),0.863)</f>
        <v>0.863</v>
      </c>
      <c r="Y1344" s="14" t="str">
        <f>IFERROR(__xludf.DUMMYFUNCTION("""COMPUTED_VALUE"""),"Lebanon-Middle East")</f>
        <v>Lebanon-Middle East</v>
      </c>
      <c r="Z1344" s="14" t="str">
        <f>IFERROR(__xludf.DUMMYFUNCTION("""COMPUTED_VALUE"""),"Middle East")</f>
        <v>Middle East</v>
      </c>
      <c r="AA1344" s="14" t="str">
        <f>IFERROR(__xludf.DUMMYFUNCTION("""COMPUTED_VALUE"""),"2003")</f>
        <v>2003</v>
      </c>
      <c r="AB1344" s="15" t="str">
        <f>IFERROR(__xludf.DUMMYFUNCTION("ARRAYFORMULA(VLOOKUP(A1344,IMPORTRANGE(""https://docs.google.com/spreadsheets/d/1BuTWp7qHGjWhqrnf-OmePP568O4A5Am9ttzvVdP67zw/edit#gid=1931367683"" ,""ENERGY!$A$2:$F$2692""), {2,3,4,5,6},0))"),"Middle East")</f>
        <v>Middle East</v>
      </c>
      <c r="AC1344" s="14" t="str">
        <f>IFERROR(__xludf.DUMMYFUNCTION("""COMPUTED_VALUE"""),"Lebanon-Middle East")</f>
        <v>Lebanon-Middle East</v>
      </c>
      <c r="AD1344" s="14" t="str">
        <f>IFERROR(__xludf.DUMMYFUNCTION("""COMPUTED_VALUE"""),"2003")</f>
        <v>2003</v>
      </c>
      <c r="AE1344" s="14">
        <f>IFERROR(__xludf.DUMMYFUNCTION("""COMPUTED_VALUE"""),6652.0)</f>
        <v>6652</v>
      </c>
      <c r="AF1344" s="14">
        <f>IFERROR(__xludf.DUMMYFUNCTION("""COMPUTED_VALUE"""),20917.0)</f>
        <v>20917</v>
      </c>
    </row>
    <row r="1345">
      <c r="A1345" s="12">
        <v>1344.0</v>
      </c>
      <c r="B1345" s="12" t="s">
        <v>182</v>
      </c>
      <c r="C1345" s="5" t="s">
        <v>93</v>
      </c>
      <c r="D1345" s="8"/>
      <c r="E1345" s="11">
        <v>46.0</v>
      </c>
      <c r="F1345" s="8"/>
      <c r="G1345" s="8"/>
      <c r="H1345" s="11">
        <v>0.09</v>
      </c>
      <c r="I1345" s="11">
        <v>0.23</v>
      </c>
      <c r="J1345" s="9" t="s">
        <v>65</v>
      </c>
      <c r="K1345" s="14" t="str">
        <f>IFERROR(__xludf.DUMMYFUNCTION("ARRAYFORMULA(VLOOKUP(A1345,IMPORTRANGE(""https://docs.google.com/spreadsheets/d/1BuTWp7qHGjWhqrnf-OmePP568O4A5Am9ttzvVdP67zw/edit#gid=1603210130"", ""TOURISM!$A$2:$F$2692""), {2,3,4,5,6},0))"),"Middle East")</f>
        <v>Middle East</v>
      </c>
      <c r="L1345" s="14">
        <f>IFERROR(__xludf.DUMMYFUNCTION("""COMPUTED_VALUE"""),5.931E9)</f>
        <v>5931000000</v>
      </c>
      <c r="M1345" s="14" t="str">
        <f>IFERROR(__xludf.DUMMYFUNCTION("""COMPUTED_VALUE"""),"Lebanon-Middle East")</f>
        <v>Lebanon-Middle East</v>
      </c>
      <c r="N1345" s="14" t="str">
        <f>IFERROR(__xludf.DUMMYFUNCTION("""COMPUTED_VALUE"""),"2004")</f>
        <v>2004</v>
      </c>
      <c r="O1345" s="14">
        <f>IFERROR(__xludf.DUMMYFUNCTION("""COMPUTED_VALUE"""),3.719E9)</f>
        <v>3719000000</v>
      </c>
      <c r="P1345" s="15">
        <f>IFERROR(__xludf.DUMMYFUNCTION("ARRAYFORMULA(VLOOKUP(A1345,IMPORTRANGE(""https://docs.google.com/spreadsheets/d/1BuTWp7qHGjWhqrnf-OmePP568O4A5Am9ttzvVdP67zw/edit#gid=771602874"" ,""HUMAN RESOURCES!$A$2:$M$2692""), {2,3,4,5,6,7,8,9,10,11,12,13},0))"),0.015)</f>
        <v>0.015</v>
      </c>
      <c r="Q1345" s="14">
        <f>IFERROR(__xludf.DUMMYFUNCTION("""COMPUTED_VALUE"""),0.013)</f>
        <v>0.013</v>
      </c>
      <c r="R1345" s="14">
        <f>IFERROR(__xludf.DUMMYFUNCTION("""COMPUTED_VALUE"""),78.0)</f>
        <v>78</v>
      </c>
      <c r="S1345" s="14">
        <f>IFERROR(__xludf.DUMMYFUNCTION("""COMPUTED_VALUE"""),75.0)</f>
        <v>75</v>
      </c>
      <c r="T1345" s="14">
        <f>IFERROR(__xludf.DUMMYFUNCTION("""COMPUTED_VALUE"""),0.283)</f>
        <v>0.283</v>
      </c>
      <c r="U1345" s="14">
        <f>IFERROR(__xludf.DUMMYFUNCTION("""COMPUTED_VALUE"""),0.644)</f>
        <v>0.644</v>
      </c>
      <c r="V1345" s="14">
        <f>IFERROR(__xludf.DUMMYFUNCTION("""COMPUTED_VALUE"""),0.074)</f>
        <v>0.074</v>
      </c>
      <c r="W1345" s="14">
        <f>IFERROR(__xludf.DUMMYFUNCTION("""COMPUTED_VALUE"""),3853582.0)</f>
        <v>3853582</v>
      </c>
      <c r="X1345" s="14">
        <f>IFERROR(__xludf.DUMMYFUNCTION("""COMPUTED_VALUE"""),0.865)</f>
        <v>0.865</v>
      </c>
      <c r="Y1345" s="14" t="str">
        <f>IFERROR(__xludf.DUMMYFUNCTION("""COMPUTED_VALUE"""),"Lebanon-Middle East")</f>
        <v>Lebanon-Middle East</v>
      </c>
      <c r="Z1345" s="14" t="str">
        <f>IFERROR(__xludf.DUMMYFUNCTION("""COMPUTED_VALUE"""),"Middle East")</f>
        <v>Middle East</v>
      </c>
      <c r="AA1345" s="14" t="str">
        <f>IFERROR(__xludf.DUMMYFUNCTION("""COMPUTED_VALUE"""),"2004")</f>
        <v>2004</v>
      </c>
      <c r="AB1345" s="15" t="str">
        <f>IFERROR(__xludf.DUMMYFUNCTION("ARRAYFORMULA(VLOOKUP(A1345,IMPORTRANGE(""https://docs.google.com/spreadsheets/d/1BuTWp7qHGjWhqrnf-OmePP568O4A5Am9ttzvVdP67zw/edit#gid=1931367683"" ,""ENERGY!$A$2:$F$2692""), {2,3,4,5,6},0))"),"Middle East")</f>
        <v>Middle East</v>
      </c>
      <c r="AC1345" s="14" t="str">
        <f>IFERROR(__xludf.DUMMYFUNCTION("""COMPUTED_VALUE"""),"Lebanon-Middle East")</f>
        <v>Lebanon-Middle East</v>
      </c>
      <c r="AD1345" s="14" t="str">
        <f>IFERROR(__xludf.DUMMYFUNCTION("""COMPUTED_VALUE"""),"2004")</f>
        <v>2004</v>
      </c>
      <c r="AE1345" s="14">
        <f>IFERROR(__xludf.DUMMYFUNCTION("""COMPUTED_VALUE"""),5426.0)</f>
        <v>5426</v>
      </c>
      <c r="AF1345" s="14">
        <f>IFERROR(__xludf.DUMMYFUNCTION("""COMPUTED_VALUE"""),16656.0)</f>
        <v>16656</v>
      </c>
    </row>
    <row r="1346">
      <c r="A1346" s="12">
        <v>1345.0</v>
      </c>
      <c r="B1346" s="12" t="s">
        <v>182</v>
      </c>
      <c r="C1346" s="5" t="s">
        <v>93</v>
      </c>
      <c r="D1346" s="11">
        <v>0.354</v>
      </c>
      <c r="E1346" s="11">
        <v>46.0</v>
      </c>
      <c r="F1346" s="8"/>
      <c r="G1346" s="11">
        <v>180.0</v>
      </c>
      <c r="H1346" s="11">
        <v>0.101</v>
      </c>
      <c r="I1346" s="11">
        <v>0.249</v>
      </c>
      <c r="J1346" s="9" t="s">
        <v>66</v>
      </c>
      <c r="K1346" s="14" t="str">
        <f>IFERROR(__xludf.DUMMYFUNCTION("ARRAYFORMULA(VLOOKUP(A1346,IMPORTRANGE(""https://docs.google.com/spreadsheets/d/1BuTWp7qHGjWhqrnf-OmePP568O4A5Am9ttzvVdP67zw/edit#gid=1603210130"", ""TOURISM!$A$2:$F$2692""), {2,3,4,5,6},0))"),"Middle East")</f>
        <v>Middle East</v>
      </c>
      <c r="L1346" s="14">
        <f>IFERROR(__xludf.DUMMYFUNCTION("""COMPUTED_VALUE"""),5.969E9)</f>
        <v>5969000000</v>
      </c>
      <c r="M1346" s="14" t="str">
        <f>IFERROR(__xludf.DUMMYFUNCTION("""COMPUTED_VALUE"""),"Lebanon-Middle East")</f>
        <v>Lebanon-Middle East</v>
      </c>
      <c r="N1346" s="14" t="str">
        <f>IFERROR(__xludf.DUMMYFUNCTION("""COMPUTED_VALUE"""),"2005")</f>
        <v>2005</v>
      </c>
      <c r="O1346" s="14">
        <f>IFERROR(__xludf.DUMMYFUNCTION("""COMPUTED_VALUE"""),3.565E9)</f>
        <v>3565000000</v>
      </c>
      <c r="P1346" s="15">
        <f>IFERROR(__xludf.DUMMYFUNCTION("ARRAYFORMULA(VLOOKUP(A1346,IMPORTRANGE(""https://docs.google.com/spreadsheets/d/1BuTWp7qHGjWhqrnf-OmePP568O4A5Am9ttzvVdP67zw/edit#gid=771602874"" ,""HUMAN RESOURCES!$A$2:$M$2692""), {2,3,4,5,6,7,8,9,10,11,12,13},0))"),0.014)</f>
        <v>0.014</v>
      </c>
      <c r="Q1346" s="14">
        <f>IFERROR(__xludf.DUMMYFUNCTION("""COMPUTED_VALUE"""),0.012)</f>
        <v>0.012</v>
      </c>
      <c r="R1346" s="14">
        <f>IFERROR(__xludf.DUMMYFUNCTION("""COMPUTED_VALUE"""),79.0)</f>
        <v>79</v>
      </c>
      <c r="S1346" s="14">
        <f>IFERROR(__xludf.DUMMYFUNCTION("""COMPUTED_VALUE"""),75.0)</f>
        <v>75</v>
      </c>
      <c r="T1346" s="14">
        <f>IFERROR(__xludf.DUMMYFUNCTION("""COMPUTED_VALUE"""),0.279)</f>
        <v>0.279</v>
      </c>
      <c r="U1346" s="14">
        <f>IFERROR(__xludf.DUMMYFUNCTION("""COMPUTED_VALUE"""),0.646)</f>
        <v>0.646</v>
      </c>
      <c r="V1346" s="14">
        <f>IFERROR(__xludf.DUMMYFUNCTION("""COMPUTED_VALUE"""),0.075)</f>
        <v>0.075</v>
      </c>
      <c r="W1346" s="14">
        <f>IFERROR(__xludf.DUMMYFUNCTION("""COMPUTED_VALUE"""),3986865.0)</f>
        <v>3986865</v>
      </c>
      <c r="X1346" s="14">
        <f>IFERROR(__xludf.DUMMYFUNCTION("""COMPUTED_VALUE"""),0.866)</f>
        <v>0.866</v>
      </c>
      <c r="Y1346" s="14" t="str">
        <f>IFERROR(__xludf.DUMMYFUNCTION("""COMPUTED_VALUE"""),"Lebanon-Middle East")</f>
        <v>Lebanon-Middle East</v>
      </c>
      <c r="Z1346" s="14" t="str">
        <f>IFERROR(__xludf.DUMMYFUNCTION("""COMPUTED_VALUE"""),"Middle East")</f>
        <v>Middle East</v>
      </c>
      <c r="AA1346" s="14" t="str">
        <f>IFERROR(__xludf.DUMMYFUNCTION("""COMPUTED_VALUE"""),"2005")</f>
        <v>2005</v>
      </c>
      <c r="AB1346" s="15" t="str">
        <f>IFERROR(__xludf.DUMMYFUNCTION("ARRAYFORMULA(VLOOKUP(A1346,IMPORTRANGE(""https://docs.google.com/spreadsheets/d/1BuTWp7qHGjWhqrnf-OmePP568O4A5Am9ttzvVdP67zw/edit#gid=1931367683"" ,""ENERGY!$A$2:$F$2692""), {2,3,4,5,6},0))"),"Middle East")</f>
        <v>Middle East</v>
      </c>
      <c r="AC1346" s="14" t="str">
        <f>IFERROR(__xludf.DUMMYFUNCTION("""COMPUTED_VALUE"""),"Lebanon-Middle East")</f>
        <v>Lebanon-Middle East</v>
      </c>
      <c r="AD1346" s="14" t="str">
        <f>IFERROR(__xludf.DUMMYFUNCTION("""COMPUTED_VALUE"""),"2007")</f>
        <v>2007</v>
      </c>
      <c r="AE1346" s="14">
        <f>IFERROR(__xludf.DUMMYFUNCTION("""COMPUTED_VALUE"""),4206.0)</f>
        <v>4206</v>
      </c>
      <c r="AF1346" s="14">
        <f>IFERROR(__xludf.DUMMYFUNCTION("""COMPUTED_VALUE"""),14972.0)</f>
        <v>14972</v>
      </c>
    </row>
    <row r="1347">
      <c r="A1347" s="12">
        <v>1346.0</v>
      </c>
      <c r="B1347" s="12" t="s">
        <v>182</v>
      </c>
      <c r="C1347" s="5" t="s">
        <v>93</v>
      </c>
      <c r="D1347" s="11">
        <v>0.354</v>
      </c>
      <c r="E1347" s="11">
        <v>46.0</v>
      </c>
      <c r="F1347" s="8"/>
      <c r="G1347" s="11">
        <v>180.0</v>
      </c>
      <c r="H1347" s="11">
        <v>0.15</v>
      </c>
      <c r="I1347" s="11">
        <v>0.271</v>
      </c>
      <c r="J1347" s="9" t="s">
        <v>67</v>
      </c>
      <c r="K1347" s="14" t="str">
        <f>IFERROR(__xludf.DUMMYFUNCTION("ARRAYFORMULA(VLOOKUP(A1347,IMPORTRANGE(""https://docs.google.com/spreadsheets/d/1BuTWp7qHGjWhqrnf-OmePP568O4A5Am9ttzvVdP67zw/edit#gid=1603210130"", ""TOURISM!$A$2:$F$2692""), {2,3,4,5,6},0))"),"Middle East")</f>
        <v>Middle East</v>
      </c>
      <c r="L1347" s="14">
        <f>IFERROR(__xludf.DUMMYFUNCTION("""COMPUTED_VALUE"""),5.457E9)</f>
        <v>5457000000</v>
      </c>
      <c r="M1347" s="14" t="str">
        <f>IFERROR(__xludf.DUMMYFUNCTION("""COMPUTED_VALUE"""),"Lebanon-Middle East")</f>
        <v>Lebanon-Middle East</v>
      </c>
      <c r="N1347" s="14" t="str">
        <f>IFERROR(__xludf.DUMMYFUNCTION("""COMPUTED_VALUE"""),"2006")</f>
        <v>2006</v>
      </c>
      <c r="O1347" s="14">
        <f>IFERROR(__xludf.DUMMYFUNCTION("""COMPUTED_VALUE"""),3.783E9)</f>
        <v>3783000000</v>
      </c>
      <c r="P1347" s="15">
        <f>IFERROR(__xludf.DUMMYFUNCTION("ARRAYFORMULA(VLOOKUP(A1347,IMPORTRANGE(""https://docs.google.com/spreadsheets/d/1BuTWp7qHGjWhqrnf-OmePP568O4A5Am9ttzvVdP67zw/edit#gid=771602874"" ,""HUMAN RESOURCES!$A$2:$M$2692""), {2,3,4,5,6,7,8,9,10,11,12,13},0))"),0.014)</f>
        <v>0.014</v>
      </c>
      <c r="Q1347" s="14">
        <f>IFERROR(__xludf.DUMMYFUNCTION("""COMPUTED_VALUE"""),0.011)</f>
        <v>0.011</v>
      </c>
      <c r="R1347" s="14">
        <f>IFERROR(__xludf.DUMMYFUNCTION("""COMPUTED_VALUE"""),80.0)</f>
        <v>80</v>
      </c>
      <c r="S1347" s="14">
        <f>IFERROR(__xludf.DUMMYFUNCTION("""COMPUTED_VALUE"""),76.0)</f>
        <v>76</v>
      </c>
      <c r="T1347" s="14">
        <f>IFERROR(__xludf.DUMMYFUNCTION("""COMPUTED_VALUE"""),0.274)</f>
        <v>0.274</v>
      </c>
      <c r="U1347" s="14">
        <f>IFERROR(__xludf.DUMMYFUNCTION("""COMPUTED_VALUE"""),0.65)</f>
        <v>0.65</v>
      </c>
      <c r="V1347" s="14">
        <f>IFERROR(__xludf.DUMMYFUNCTION("""COMPUTED_VALUE"""),0.076)</f>
        <v>0.076</v>
      </c>
      <c r="W1347" s="14">
        <f>IFERROR(__xludf.DUMMYFUNCTION("""COMPUTED_VALUE"""),4079823.0)</f>
        <v>4079823</v>
      </c>
      <c r="X1347" s="14">
        <f>IFERROR(__xludf.DUMMYFUNCTION("""COMPUTED_VALUE"""),0.867)</f>
        <v>0.867</v>
      </c>
      <c r="Y1347" s="14" t="str">
        <f>IFERROR(__xludf.DUMMYFUNCTION("""COMPUTED_VALUE"""),"Lebanon-Middle East")</f>
        <v>Lebanon-Middle East</v>
      </c>
      <c r="Z1347" s="14" t="str">
        <f>IFERROR(__xludf.DUMMYFUNCTION("""COMPUTED_VALUE"""),"Middle East")</f>
        <v>Middle East</v>
      </c>
      <c r="AA1347" s="14" t="str">
        <f>IFERROR(__xludf.DUMMYFUNCTION("""COMPUTED_VALUE"""),"2006")</f>
        <v>2006</v>
      </c>
      <c r="AB1347" s="15" t="str">
        <f>IFERROR(__xludf.DUMMYFUNCTION("ARRAYFORMULA(VLOOKUP(A1347,IMPORTRANGE(""https://docs.google.com/spreadsheets/d/1BuTWp7qHGjWhqrnf-OmePP568O4A5Am9ttzvVdP67zw/edit#gid=1931367683"" ,""ENERGY!$A$2:$F$2692""), {2,3,4,5,6},0))"),"Middle East")</f>
        <v>Middle East</v>
      </c>
      <c r="AC1347" s="14" t="str">
        <f>IFERROR(__xludf.DUMMYFUNCTION("""COMPUTED_VALUE"""),"Lebanon-Middle East")</f>
        <v>Lebanon-Middle East</v>
      </c>
      <c r="AD1347" s="14" t="str">
        <f>IFERROR(__xludf.DUMMYFUNCTION("""COMPUTED_VALUE"""),"2011")</f>
        <v>2011</v>
      </c>
      <c r="AE1347" s="14">
        <f>IFERROR(__xludf.DUMMYFUNCTION("""COMPUTED_VALUE"""),4774.0)</f>
        <v>4774</v>
      </c>
      <c r="AF1347" s="14">
        <f>IFERROR(__xludf.DUMMYFUNCTION("""COMPUTED_VALUE"""),14499.0)</f>
        <v>14499</v>
      </c>
    </row>
    <row r="1348">
      <c r="A1348" s="12">
        <v>1347.0</v>
      </c>
      <c r="B1348" s="12" t="s">
        <v>182</v>
      </c>
      <c r="C1348" s="5" t="s">
        <v>93</v>
      </c>
      <c r="D1348" s="11">
        <v>0.354</v>
      </c>
      <c r="E1348" s="11">
        <v>46.0</v>
      </c>
      <c r="F1348" s="8"/>
      <c r="G1348" s="11">
        <v>180.0</v>
      </c>
      <c r="H1348" s="11">
        <v>0.187</v>
      </c>
      <c r="I1348" s="11">
        <v>0.304</v>
      </c>
      <c r="J1348" s="9" t="s">
        <v>68</v>
      </c>
      <c r="K1348" s="14" t="str">
        <f>IFERROR(__xludf.DUMMYFUNCTION("ARRAYFORMULA(VLOOKUP(A1348,IMPORTRANGE(""https://docs.google.com/spreadsheets/d/1BuTWp7qHGjWhqrnf-OmePP568O4A5Am9ttzvVdP67zw/edit#gid=1603210130"", ""TOURISM!$A$2:$F$2692""), {2,3,4,5,6},0))"),"Middle East")</f>
        <v>Middle East</v>
      </c>
      <c r="L1348" s="14">
        <f>IFERROR(__xludf.DUMMYFUNCTION("""COMPUTED_VALUE"""),5.796E9)</f>
        <v>5796000000</v>
      </c>
      <c r="M1348" s="14" t="str">
        <f>IFERROR(__xludf.DUMMYFUNCTION("""COMPUTED_VALUE"""),"Lebanon-Middle East")</f>
        <v>Lebanon-Middle East</v>
      </c>
      <c r="N1348" s="14" t="str">
        <f>IFERROR(__xludf.DUMMYFUNCTION("""COMPUTED_VALUE"""),"2007")</f>
        <v>2007</v>
      </c>
      <c r="O1348" s="14">
        <f>IFERROR(__xludf.DUMMYFUNCTION("""COMPUTED_VALUE"""),3.914E9)</f>
        <v>3914000000</v>
      </c>
      <c r="P1348" s="15">
        <f>IFERROR(__xludf.DUMMYFUNCTION("ARRAYFORMULA(VLOOKUP(A1348,IMPORTRANGE(""https://docs.google.com/spreadsheets/d/1BuTWp7qHGjWhqrnf-OmePP568O4A5Am9ttzvVdP67zw/edit#gid=771602874"" ,""HUMAN RESOURCES!$A$2:$M$2692""), {2,3,4,5,6,7,8,9,10,11,12,13},0))"),0.013)</f>
        <v>0.013</v>
      </c>
      <c r="Q1348" s="14">
        <f>IFERROR(__xludf.DUMMYFUNCTION("""COMPUTED_VALUE"""),0.011)</f>
        <v>0.011</v>
      </c>
      <c r="R1348" s="14">
        <f>IFERROR(__xludf.DUMMYFUNCTION("""COMPUTED_VALUE"""),80.0)</f>
        <v>80</v>
      </c>
      <c r="S1348" s="14">
        <f>IFERROR(__xludf.DUMMYFUNCTION("""COMPUTED_VALUE"""),76.0)</f>
        <v>76</v>
      </c>
      <c r="T1348" s="14">
        <f>IFERROR(__xludf.DUMMYFUNCTION("""COMPUTED_VALUE"""),0.266)</f>
        <v>0.266</v>
      </c>
      <c r="U1348" s="14">
        <f>IFERROR(__xludf.DUMMYFUNCTION("""COMPUTED_VALUE"""),0.655)</f>
        <v>0.655</v>
      </c>
      <c r="V1348" s="14">
        <f>IFERROR(__xludf.DUMMYFUNCTION("""COMPUTED_VALUE"""),0.078)</f>
        <v>0.078</v>
      </c>
      <c r="W1348" s="14">
        <f>IFERROR(__xludf.DUMMYFUNCTION("""COMPUTED_VALUE"""),4139813.0)</f>
        <v>4139813</v>
      </c>
      <c r="X1348" s="14">
        <f>IFERROR(__xludf.DUMMYFUNCTION("""COMPUTED_VALUE"""),0.868)</f>
        <v>0.868</v>
      </c>
      <c r="Y1348" s="14" t="str">
        <f>IFERROR(__xludf.DUMMYFUNCTION("""COMPUTED_VALUE"""),"Lebanon-Middle East")</f>
        <v>Lebanon-Middle East</v>
      </c>
      <c r="Z1348" s="14" t="str">
        <f>IFERROR(__xludf.DUMMYFUNCTION("""COMPUTED_VALUE"""),"Middle East")</f>
        <v>Middle East</v>
      </c>
      <c r="AA1348" s="14" t="str">
        <f>IFERROR(__xludf.DUMMYFUNCTION("""COMPUTED_VALUE"""),"2007")</f>
        <v>2007</v>
      </c>
      <c r="AB1348" s="15" t="str">
        <f>IFERROR(__xludf.DUMMYFUNCTION("ARRAYFORMULA(VLOOKUP(A1348,IMPORTRANGE(""https://docs.google.com/spreadsheets/d/1BuTWp7qHGjWhqrnf-OmePP568O4A5Am9ttzvVdP67zw/edit#gid=1931367683"" ,""ENERGY!$A$2:$F$2692""), {2,3,4,5,6},0))"),"Middle East")</f>
        <v>Middle East</v>
      </c>
      <c r="AC1348" s="14" t="str">
        <f>IFERROR(__xludf.DUMMYFUNCTION("""COMPUTED_VALUE"""),"Lebanon-Middle East")</f>
        <v>Lebanon-Middle East</v>
      </c>
      <c r="AD1348" s="14" t="str">
        <f>IFERROR(__xludf.DUMMYFUNCTION("""COMPUTED_VALUE"""),"2008")</f>
        <v>2008</v>
      </c>
      <c r="AE1348" s="14">
        <f>IFERROR(__xludf.DUMMYFUNCTION("""COMPUTED_VALUE"""),5023.0)</f>
        <v>5023</v>
      </c>
      <c r="AF1348" s="14">
        <f>IFERROR(__xludf.DUMMYFUNCTION("""COMPUTED_VALUE"""),16245.0)</f>
        <v>16245</v>
      </c>
    </row>
    <row r="1349">
      <c r="A1349" s="12">
        <v>1348.0</v>
      </c>
      <c r="B1349" s="12" t="s">
        <v>182</v>
      </c>
      <c r="C1349" s="5" t="s">
        <v>93</v>
      </c>
      <c r="D1349" s="11">
        <v>0.36</v>
      </c>
      <c r="E1349" s="11">
        <v>11.0</v>
      </c>
      <c r="F1349" s="8"/>
      <c r="G1349" s="11">
        <v>180.0</v>
      </c>
      <c r="H1349" s="11">
        <v>0.225</v>
      </c>
      <c r="I1349" s="11">
        <v>0.341</v>
      </c>
      <c r="J1349" s="9" t="s">
        <v>69</v>
      </c>
      <c r="K1349" s="14" t="str">
        <f>IFERROR(__xludf.DUMMYFUNCTION("ARRAYFORMULA(VLOOKUP(A1349,IMPORTRANGE(""https://docs.google.com/spreadsheets/d/1BuTWp7qHGjWhqrnf-OmePP568O4A5Am9ttzvVdP67zw/edit#gid=1603210130"", ""TOURISM!$A$2:$F$2692""), {2,3,4,5,6},0))"),"Middle East")</f>
        <v>Middle East</v>
      </c>
      <c r="L1349" s="14">
        <f>IFERROR(__xludf.DUMMYFUNCTION("""COMPUTED_VALUE"""),6.317E9)</f>
        <v>6317000000</v>
      </c>
      <c r="M1349" s="14" t="str">
        <f>IFERROR(__xludf.DUMMYFUNCTION("""COMPUTED_VALUE"""),"Lebanon-Middle East")</f>
        <v>Lebanon-Middle East</v>
      </c>
      <c r="N1349" s="14" t="str">
        <f>IFERROR(__xludf.DUMMYFUNCTION("""COMPUTED_VALUE"""),"2008")</f>
        <v>2008</v>
      </c>
      <c r="O1349" s="14">
        <f>IFERROR(__xludf.DUMMYFUNCTION("""COMPUTED_VALUE"""),4.297E9)</f>
        <v>4297000000</v>
      </c>
      <c r="P1349" s="15">
        <f>IFERROR(__xludf.DUMMYFUNCTION("ARRAYFORMULA(VLOOKUP(A1349,IMPORTRANGE(""https://docs.google.com/spreadsheets/d/1BuTWp7qHGjWhqrnf-OmePP568O4A5Am9ttzvVdP67zw/edit#gid=771602874"" ,""HUMAN RESOURCES!$A$2:$M$2692""), {2,3,4,5,6,7,8,9,10,11,12,13},0))"),0.013)</f>
        <v>0.013</v>
      </c>
      <c r="Q1349" s="14">
        <f>IFERROR(__xludf.DUMMYFUNCTION("""COMPUTED_VALUE"""),0.01)</f>
        <v>0.01</v>
      </c>
      <c r="R1349" s="14">
        <f>IFERROR(__xludf.DUMMYFUNCTION("""COMPUTED_VALUE"""),81.0)</f>
        <v>81</v>
      </c>
      <c r="S1349" s="14">
        <f>IFERROR(__xludf.DUMMYFUNCTION("""COMPUTED_VALUE"""),76.0)</f>
        <v>76</v>
      </c>
      <c r="T1349" s="14">
        <f>IFERROR(__xludf.DUMMYFUNCTION("""COMPUTED_VALUE"""),0.257)</f>
        <v>0.257</v>
      </c>
      <c r="U1349" s="14">
        <f>IFERROR(__xludf.DUMMYFUNCTION("""COMPUTED_VALUE"""),0.662)</f>
        <v>0.662</v>
      </c>
      <c r="V1349" s="14">
        <f>IFERROR(__xludf.DUMMYFUNCTION("""COMPUTED_VALUE"""),0.081)</f>
        <v>0.081</v>
      </c>
      <c r="W1349" s="14">
        <f>IFERROR(__xludf.DUMMYFUNCTION("""COMPUTED_VALUE"""),4186088.0)</f>
        <v>4186088</v>
      </c>
      <c r="X1349" s="14">
        <f>IFERROR(__xludf.DUMMYFUNCTION("""COMPUTED_VALUE"""),0.869)</f>
        <v>0.869</v>
      </c>
      <c r="Y1349" s="14" t="str">
        <f>IFERROR(__xludf.DUMMYFUNCTION("""COMPUTED_VALUE"""),"Lebanon-Middle East")</f>
        <v>Lebanon-Middle East</v>
      </c>
      <c r="Z1349" s="14" t="str">
        <f>IFERROR(__xludf.DUMMYFUNCTION("""COMPUTED_VALUE"""),"Middle East")</f>
        <v>Middle East</v>
      </c>
      <c r="AA1349" s="14" t="str">
        <f>IFERROR(__xludf.DUMMYFUNCTION("""COMPUTED_VALUE"""),"2008")</f>
        <v>2008</v>
      </c>
      <c r="AB1349" s="15" t="str">
        <f>IFERROR(__xludf.DUMMYFUNCTION("ARRAYFORMULA(VLOOKUP(A1349,IMPORTRANGE(""https://docs.google.com/spreadsheets/d/1BuTWp7qHGjWhqrnf-OmePP568O4A5Am9ttzvVdP67zw/edit#gid=1931367683"" ,""ENERGY!$A$2:$F$2692""), {2,3,4,5,6},0))"),"Middle East")</f>
        <v>Middle East</v>
      </c>
      <c r="AC1349" s="14" t="str">
        <f>IFERROR(__xludf.DUMMYFUNCTION("""COMPUTED_VALUE"""),"Lebanon-Middle East")</f>
        <v>Lebanon-Middle East</v>
      </c>
      <c r="AD1349" s="14" t="str">
        <f>IFERROR(__xludf.DUMMYFUNCTION("""COMPUTED_VALUE"""),"2006")</f>
        <v>2006</v>
      </c>
      <c r="AE1349" s="14">
        <f>IFERROR(__xludf.DUMMYFUNCTION("""COMPUTED_VALUE"""),5271.0)</f>
        <v>5271</v>
      </c>
      <c r="AF1349" s="14">
        <f>IFERROR(__xludf.DUMMYFUNCTION("""COMPUTED_VALUE"""),16835.0)</f>
        <v>16835</v>
      </c>
    </row>
    <row r="1350">
      <c r="A1350" s="12">
        <v>1349.0</v>
      </c>
      <c r="B1350" s="12" t="s">
        <v>182</v>
      </c>
      <c r="C1350" s="5" t="s">
        <v>93</v>
      </c>
      <c r="D1350" s="11">
        <v>0.302</v>
      </c>
      <c r="E1350" s="11">
        <v>9.0</v>
      </c>
      <c r="F1350" s="8"/>
      <c r="G1350" s="11">
        <v>180.0</v>
      </c>
      <c r="H1350" s="11">
        <v>0.301</v>
      </c>
      <c r="I1350" s="11">
        <v>0.563</v>
      </c>
      <c r="J1350" s="9" t="s">
        <v>70</v>
      </c>
      <c r="K1350" s="14" t="str">
        <f>IFERROR(__xludf.DUMMYFUNCTION("ARRAYFORMULA(VLOOKUP(A1350,IMPORTRANGE(""https://docs.google.com/spreadsheets/d/1BuTWp7qHGjWhqrnf-OmePP568O4A5Am9ttzvVdP67zw/edit#gid=1603210130"", ""TOURISM!$A$2:$F$2692""), {2,3,4,5,6},0))"),"Middle East")</f>
        <v>Middle East</v>
      </c>
      <c r="L1350" s="14">
        <f>IFERROR(__xludf.DUMMYFUNCTION("""COMPUTED_VALUE"""),7.157E9)</f>
        <v>7157000000</v>
      </c>
      <c r="M1350" s="14" t="str">
        <f>IFERROR(__xludf.DUMMYFUNCTION("""COMPUTED_VALUE"""),"Lebanon-Middle East")</f>
        <v>Lebanon-Middle East</v>
      </c>
      <c r="N1350" s="14" t="str">
        <f>IFERROR(__xludf.DUMMYFUNCTION("""COMPUTED_VALUE"""),"2009")</f>
        <v>2009</v>
      </c>
      <c r="O1350" s="14">
        <f>IFERROR(__xludf.DUMMYFUNCTION("""COMPUTED_VALUE"""),4.928E9)</f>
        <v>4928000000</v>
      </c>
      <c r="P1350" s="15">
        <f>IFERROR(__xludf.DUMMYFUNCTION("ARRAYFORMULA(VLOOKUP(A1350,IMPORTRANGE(""https://docs.google.com/spreadsheets/d/1BuTWp7qHGjWhqrnf-OmePP568O4A5Am9ttzvVdP67zw/edit#gid=771602874"" ,""HUMAN RESOURCES!$A$2:$M$2692""), {2,3,4,5,6,7,8,9,10,11,12,13},0))"),0.013)</f>
        <v>0.013</v>
      </c>
      <c r="Q1350" s="14">
        <f>IFERROR(__xludf.DUMMYFUNCTION("""COMPUTED_VALUE"""),0.009)</f>
        <v>0.009</v>
      </c>
      <c r="R1350" s="14">
        <f>IFERROR(__xludf.DUMMYFUNCTION("""COMPUTED_VALUE"""),81.0)</f>
        <v>81</v>
      </c>
      <c r="S1350" s="14">
        <f>IFERROR(__xludf.DUMMYFUNCTION("""COMPUTED_VALUE"""),77.0)</f>
        <v>77</v>
      </c>
      <c r="T1350" s="14">
        <f>IFERROR(__xludf.DUMMYFUNCTION("""COMPUTED_VALUE"""),0.247)</f>
        <v>0.247</v>
      </c>
      <c r="U1350" s="14">
        <f>IFERROR(__xludf.DUMMYFUNCTION("""COMPUTED_VALUE"""),0.67)</f>
        <v>0.67</v>
      </c>
      <c r="V1350" s="14">
        <f>IFERROR(__xludf.DUMMYFUNCTION("""COMPUTED_VALUE"""),0.083)</f>
        <v>0.083</v>
      </c>
      <c r="W1350" s="14">
        <f>IFERROR(__xludf.DUMMYFUNCTION("""COMPUTED_VALUE"""),4246924.0)</f>
        <v>4246924</v>
      </c>
      <c r="X1350" s="14">
        <f>IFERROR(__xludf.DUMMYFUNCTION("""COMPUTED_VALUE"""),0.871)</f>
        <v>0.871</v>
      </c>
      <c r="Y1350" s="14" t="str">
        <f>IFERROR(__xludf.DUMMYFUNCTION("""COMPUTED_VALUE"""),"Lebanon-Middle East")</f>
        <v>Lebanon-Middle East</v>
      </c>
      <c r="Z1350" s="14" t="str">
        <f>IFERROR(__xludf.DUMMYFUNCTION("""COMPUTED_VALUE"""),"Middle East")</f>
        <v>Middle East</v>
      </c>
      <c r="AA1350" s="14" t="str">
        <f>IFERROR(__xludf.DUMMYFUNCTION("""COMPUTED_VALUE"""),"2009")</f>
        <v>2009</v>
      </c>
      <c r="AB1350" s="15" t="str">
        <f>IFERROR(__xludf.DUMMYFUNCTION("ARRAYFORMULA(VLOOKUP(A1350,IMPORTRANGE(""https://docs.google.com/spreadsheets/d/1BuTWp7qHGjWhqrnf-OmePP568O4A5Am9ttzvVdP67zw/edit#gid=1931367683"" ,""ENERGY!$A$2:$F$2692""), {2,3,4,5,6},0))"),"Middle East")</f>
        <v>Middle East</v>
      </c>
      <c r="AC1350" s="14" t="str">
        <f>IFERROR(__xludf.DUMMYFUNCTION("""COMPUTED_VALUE"""),"Lebanon-Middle East")</f>
        <v>Lebanon-Middle East</v>
      </c>
      <c r="AD1350" s="14" t="str">
        <f>IFERROR(__xludf.DUMMYFUNCTION("""COMPUTED_VALUE"""),"2010")</f>
        <v>2010</v>
      </c>
      <c r="AE1350" s="14">
        <f>IFERROR(__xludf.DUMMYFUNCTION("""COMPUTED_VALUE"""),5220.0)</f>
        <v>5220</v>
      </c>
      <c r="AF1350" s="14">
        <f>IFERROR(__xludf.DUMMYFUNCTION("""COMPUTED_VALUE"""),18221.0)</f>
        <v>18221</v>
      </c>
    </row>
    <row r="1351">
      <c r="A1351" s="12">
        <v>1350.0</v>
      </c>
      <c r="B1351" s="12" t="s">
        <v>182</v>
      </c>
      <c r="C1351" s="5" t="s">
        <v>93</v>
      </c>
      <c r="D1351" s="11">
        <v>0.302</v>
      </c>
      <c r="E1351" s="11">
        <v>9.0</v>
      </c>
      <c r="F1351" s="8"/>
      <c r="G1351" s="11">
        <v>180.0</v>
      </c>
      <c r="H1351" s="11">
        <v>0.437</v>
      </c>
      <c r="I1351" s="11">
        <v>0.66</v>
      </c>
      <c r="J1351" s="9" t="s">
        <v>71</v>
      </c>
      <c r="K1351" s="14" t="str">
        <f>IFERROR(__xludf.DUMMYFUNCTION("ARRAYFORMULA(VLOOKUP(A1351,IMPORTRANGE(""https://docs.google.com/spreadsheets/d/1BuTWp7qHGjWhqrnf-OmePP568O4A5Am9ttzvVdP67zw/edit#gid=1603210130"", ""TOURISM!$A$2:$F$2692""), {2,3,4,5,6},0))"),"Middle East")</f>
        <v>Middle East</v>
      </c>
      <c r="L1351" s="14">
        <f>IFERROR(__xludf.DUMMYFUNCTION("""COMPUTED_VALUE"""),8.026E9)</f>
        <v>8026000000</v>
      </c>
      <c r="M1351" s="14" t="str">
        <f>IFERROR(__xludf.DUMMYFUNCTION("""COMPUTED_VALUE"""),"Lebanon-Middle East")</f>
        <v>Lebanon-Middle East</v>
      </c>
      <c r="N1351" s="14" t="str">
        <f>IFERROR(__xludf.DUMMYFUNCTION("""COMPUTED_VALUE"""),"2010")</f>
        <v>2010</v>
      </c>
      <c r="O1351" s="14">
        <f>IFERROR(__xludf.DUMMYFUNCTION("""COMPUTED_VALUE"""),4.868E9)</f>
        <v>4868000000</v>
      </c>
      <c r="P1351" s="15">
        <f>IFERROR(__xludf.DUMMYFUNCTION("ARRAYFORMULA(VLOOKUP(A1351,IMPORTRANGE(""https://docs.google.com/spreadsheets/d/1BuTWp7qHGjWhqrnf-OmePP568O4A5Am9ttzvVdP67zw/edit#gid=771602874"" ,""HUMAN RESOURCES!$A$2:$M$2692""), {2,3,4,5,6,7,8,9,10,11,12,13},0))"),0.013)</f>
        <v>0.013</v>
      </c>
      <c r="Q1351" s="14">
        <f>IFERROR(__xludf.DUMMYFUNCTION("""COMPUTED_VALUE"""),0.009)</f>
        <v>0.009</v>
      </c>
      <c r="R1351" s="14">
        <f>IFERROR(__xludf.DUMMYFUNCTION("""COMPUTED_VALUE"""),81.0)</f>
        <v>81</v>
      </c>
      <c r="S1351" s="14">
        <f>IFERROR(__xludf.DUMMYFUNCTION("""COMPUTED_VALUE"""),77.0)</f>
        <v>77</v>
      </c>
      <c r="T1351" s="14">
        <f>IFERROR(__xludf.DUMMYFUNCTION("""COMPUTED_VALUE"""),0.237)</f>
        <v>0.237</v>
      </c>
      <c r="U1351" s="14">
        <f>IFERROR(__xludf.DUMMYFUNCTION("""COMPUTED_VALUE"""),0.678)</f>
        <v>0.678</v>
      </c>
      <c r="V1351" s="14">
        <f>IFERROR(__xludf.DUMMYFUNCTION("""COMPUTED_VALUE"""),0.084)</f>
        <v>0.084</v>
      </c>
      <c r="W1351" s="14">
        <f>IFERROR(__xludf.DUMMYFUNCTION("""COMPUTED_VALUE"""),4341092.0)</f>
        <v>4341092</v>
      </c>
      <c r="X1351" s="14">
        <f>IFERROR(__xludf.DUMMYFUNCTION("""COMPUTED_VALUE"""),0.872)</f>
        <v>0.872</v>
      </c>
      <c r="Y1351" s="14" t="str">
        <f>IFERROR(__xludf.DUMMYFUNCTION("""COMPUTED_VALUE"""),"Lebanon-Middle East")</f>
        <v>Lebanon-Middle East</v>
      </c>
      <c r="Z1351" s="14" t="str">
        <f>IFERROR(__xludf.DUMMYFUNCTION("""COMPUTED_VALUE"""),"Middle East")</f>
        <v>Middle East</v>
      </c>
      <c r="AA1351" s="14" t="str">
        <f>IFERROR(__xludf.DUMMYFUNCTION("""COMPUTED_VALUE"""),"2010")</f>
        <v>2010</v>
      </c>
      <c r="AB1351" s="15" t="str">
        <f>IFERROR(__xludf.DUMMYFUNCTION("ARRAYFORMULA(VLOOKUP(A1351,IMPORTRANGE(""https://docs.google.com/spreadsheets/d/1BuTWp7qHGjWhqrnf-OmePP568O4A5Am9ttzvVdP67zw/edit#gid=1931367683"" ,""ENERGY!$A$2:$F$2692""), {2,3,4,5,6},0))"),"Middle East")</f>
        <v>Middle East</v>
      </c>
      <c r="AC1351" s="14" t="str">
        <f>IFERROR(__xludf.DUMMYFUNCTION("""COMPUTED_VALUE"""),"Lebanon-Middle East")</f>
        <v>Lebanon-Middle East</v>
      </c>
      <c r="AD1351" s="14" t="str">
        <f>IFERROR(__xludf.DUMMYFUNCTION("""COMPUTED_VALUE"""),"2012")</f>
        <v>2012</v>
      </c>
      <c r="AE1351" s="14">
        <f>IFERROR(__xludf.DUMMYFUNCTION("""COMPUTED_VALUE"""),5220.0)</f>
        <v>5220</v>
      </c>
      <c r="AF1351" s="14">
        <f>IFERROR(__xludf.DUMMYFUNCTION("""COMPUTED_VALUE"""),16039.0)</f>
        <v>16039</v>
      </c>
    </row>
    <row r="1352">
      <c r="A1352" s="12">
        <v>1351.0</v>
      </c>
      <c r="B1352" s="12" t="s">
        <v>182</v>
      </c>
      <c r="C1352" s="5" t="s">
        <v>93</v>
      </c>
      <c r="D1352" s="11">
        <v>0.302</v>
      </c>
      <c r="E1352" s="11">
        <v>9.0</v>
      </c>
      <c r="F1352" s="8"/>
      <c r="G1352" s="11">
        <v>180.0</v>
      </c>
      <c r="H1352" s="11">
        <v>0.52</v>
      </c>
      <c r="I1352" s="11">
        <v>0.772</v>
      </c>
      <c r="J1352" s="9" t="s">
        <v>72</v>
      </c>
      <c r="K1352" s="14" t="str">
        <f>IFERROR(__xludf.DUMMYFUNCTION("ARRAYFORMULA(VLOOKUP(A1352,IMPORTRANGE(""https://docs.google.com/spreadsheets/d/1BuTWp7qHGjWhqrnf-OmePP568O4A5Am9ttzvVdP67zw/edit#gid=1603210130"", ""TOURISM!$A$2:$F$2692""), {2,3,4,5,6},0))"),"Middle East")</f>
        <v>Middle East</v>
      </c>
      <c r="L1352" s="14">
        <f>IFERROR(__xludf.DUMMYFUNCTION("""COMPUTED_VALUE"""),6.797E9)</f>
        <v>6797000000</v>
      </c>
      <c r="M1352" s="14" t="str">
        <f>IFERROR(__xludf.DUMMYFUNCTION("""COMPUTED_VALUE"""),"Lebanon-Middle East")</f>
        <v>Lebanon-Middle East</v>
      </c>
      <c r="N1352" s="14" t="str">
        <f>IFERROR(__xludf.DUMMYFUNCTION("""COMPUTED_VALUE"""),"2011")</f>
        <v>2011</v>
      </c>
      <c r="O1352" s="14">
        <f>IFERROR(__xludf.DUMMYFUNCTION("""COMPUTED_VALUE"""),4.44E9)</f>
        <v>4440000000</v>
      </c>
      <c r="P1352" s="15">
        <f>IFERROR(__xludf.DUMMYFUNCTION("ARRAYFORMULA(VLOOKUP(A1352,IMPORTRANGE(""https://docs.google.com/spreadsheets/d/1BuTWp7qHGjWhqrnf-OmePP568O4A5Am9ttzvVdP67zw/edit#gid=771602874"" ,""HUMAN RESOURCES!$A$2:$M$2692""), {2,3,4,5,6,7,8,9,10,11,12,13},0))"),0.013)</f>
        <v>0.013</v>
      </c>
      <c r="Q1352" s="14">
        <f>IFERROR(__xludf.DUMMYFUNCTION("""COMPUTED_VALUE"""),0.009)</f>
        <v>0.009</v>
      </c>
      <c r="R1352" s="14">
        <f>IFERROR(__xludf.DUMMYFUNCTION("""COMPUTED_VALUE"""),82.0)</f>
        <v>82</v>
      </c>
      <c r="S1352" s="14">
        <f>IFERROR(__xludf.DUMMYFUNCTION("""COMPUTED_VALUE"""),77.0)</f>
        <v>77</v>
      </c>
      <c r="T1352" s="14">
        <f>IFERROR(__xludf.DUMMYFUNCTION("""COMPUTED_VALUE"""),0.227)</f>
        <v>0.227</v>
      </c>
      <c r="U1352" s="14">
        <f>IFERROR(__xludf.DUMMYFUNCTION("""COMPUTED_VALUE"""),0.688)</f>
        <v>0.688</v>
      </c>
      <c r="V1352" s="14">
        <f>IFERROR(__xludf.DUMMYFUNCTION("""COMPUTED_VALUE"""),0.085)</f>
        <v>0.085</v>
      </c>
      <c r="W1352" s="14">
        <f>IFERROR(__xludf.DUMMYFUNCTION("""COMPUTED_VALUE"""),4382790.0)</f>
        <v>4382790</v>
      </c>
      <c r="X1352" s="14">
        <f>IFERROR(__xludf.DUMMYFUNCTION("""COMPUTED_VALUE"""),0.873)</f>
        <v>0.873</v>
      </c>
      <c r="Y1352" s="14" t="str">
        <f>IFERROR(__xludf.DUMMYFUNCTION("""COMPUTED_VALUE"""),"Lebanon-Middle East")</f>
        <v>Lebanon-Middle East</v>
      </c>
      <c r="Z1352" s="14" t="str">
        <f>IFERROR(__xludf.DUMMYFUNCTION("""COMPUTED_VALUE"""),"Middle East")</f>
        <v>Middle East</v>
      </c>
      <c r="AA1352" s="14" t="str">
        <f>IFERROR(__xludf.DUMMYFUNCTION("""COMPUTED_VALUE"""),"2011")</f>
        <v>2011</v>
      </c>
      <c r="AB1352" s="15" t="str">
        <f>IFERROR(__xludf.DUMMYFUNCTION("ARRAYFORMULA(VLOOKUP(A1352,IMPORTRANGE(""https://docs.google.com/spreadsheets/d/1BuTWp7qHGjWhqrnf-OmePP568O4A5Am9ttzvVdP67zw/edit#gid=1931367683"" ,""ENERGY!$A$2:$F$2692""), {2,3,4,5,6},0))"),"Middle East")</f>
        <v>Middle East</v>
      </c>
      <c r="AC1352" s="14" t="str">
        <f>IFERROR(__xludf.DUMMYFUNCTION("""COMPUTED_VALUE"""),"Lebanon-Middle East")</f>
        <v>Lebanon-Middle East</v>
      </c>
      <c r="AD1352" s="14" t="str">
        <f>IFERROR(__xludf.DUMMYFUNCTION("""COMPUTED_VALUE"""),"2005")</f>
        <v>2005</v>
      </c>
      <c r="AE1352" s="14">
        <f>IFERROR(__xludf.DUMMYFUNCTION("""COMPUTED_VALUE"""),5258.0)</f>
        <v>5258</v>
      </c>
      <c r="AF1352" s="14">
        <f>IFERROR(__xludf.DUMMYFUNCTION("""COMPUTED_VALUE"""),16208.0)</f>
        <v>16208</v>
      </c>
    </row>
    <row r="1353">
      <c r="A1353" s="12">
        <v>1352.0</v>
      </c>
      <c r="B1353" s="12" t="s">
        <v>182</v>
      </c>
      <c r="C1353" s="5" t="s">
        <v>93</v>
      </c>
      <c r="D1353" s="11">
        <v>0.302</v>
      </c>
      <c r="E1353" s="11">
        <v>9.0</v>
      </c>
      <c r="F1353" s="11">
        <v>105.0</v>
      </c>
      <c r="G1353" s="11">
        <v>180.0</v>
      </c>
      <c r="H1353" s="11">
        <v>0.612</v>
      </c>
      <c r="I1353" s="11">
        <v>0.808</v>
      </c>
      <c r="J1353" s="9" t="s">
        <v>73</v>
      </c>
      <c r="K1353" s="14" t="str">
        <f>IFERROR(__xludf.DUMMYFUNCTION("ARRAYFORMULA(VLOOKUP(A1353,IMPORTRANGE(""https://docs.google.com/spreadsheets/d/1BuTWp7qHGjWhqrnf-OmePP568O4A5Am9ttzvVdP67zw/edit#gid=1603210130"", ""TOURISM!$A$2:$F$2692""), {2,3,4,5,6},0))"),"Middle East")</f>
        <v>Middle East</v>
      </c>
      <c r="L1353" s="14">
        <f>IFERROR(__xludf.DUMMYFUNCTION("""COMPUTED_VALUE"""),6.298E9)</f>
        <v>6298000000</v>
      </c>
      <c r="M1353" s="14" t="str">
        <f>IFERROR(__xludf.DUMMYFUNCTION("""COMPUTED_VALUE"""),"Lebanon-Middle East")</f>
        <v>Lebanon-Middle East</v>
      </c>
      <c r="N1353" s="14" t="str">
        <f>IFERROR(__xludf.DUMMYFUNCTION("""COMPUTED_VALUE"""),"2012")</f>
        <v>2012</v>
      </c>
      <c r="O1353" s="14">
        <f>IFERROR(__xludf.DUMMYFUNCTION("""COMPUTED_VALUE"""),4.125E9)</f>
        <v>4125000000</v>
      </c>
      <c r="P1353" s="15">
        <f>IFERROR(__xludf.DUMMYFUNCTION("ARRAYFORMULA(VLOOKUP(A1353,IMPORTRANGE(""https://docs.google.com/spreadsheets/d/1BuTWp7qHGjWhqrnf-OmePP568O4A5Am9ttzvVdP67zw/edit#gid=771602874"" ,""HUMAN RESOURCES!$A$2:$M$2692""), {2,3,4,5,6,7,8,9,10,11,12,13},0))"),0.013)</f>
        <v>0.013</v>
      </c>
      <c r="Q1353" s="14">
        <f>IFERROR(__xludf.DUMMYFUNCTION("""COMPUTED_VALUE"""),0.008)</f>
        <v>0.008</v>
      </c>
      <c r="R1353" s="14">
        <f>IFERROR(__xludf.DUMMYFUNCTION("""COMPUTED_VALUE"""),82.0)</f>
        <v>82</v>
      </c>
      <c r="S1353" s="14">
        <f>IFERROR(__xludf.DUMMYFUNCTION("""COMPUTED_VALUE"""),78.0)</f>
        <v>78</v>
      </c>
      <c r="T1353" s="14">
        <f>IFERROR(__xludf.DUMMYFUNCTION("""COMPUTED_VALUE"""),0.216)</f>
        <v>0.216</v>
      </c>
      <c r="U1353" s="14">
        <f>IFERROR(__xludf.DUMMYFUNCTION("""COMPUTED_VALUE"""),0.698)</f>
        <v>0.698</v>
      </c>
      <c r="V1353" s="14">
        <f>IFERROR(__xludf.DUMMYFUNCTION("""COMPUTED_VALUE"""),0.086)</f>
        <v>0.086</v>
      </c>
      <c r="W1353" s="14">
        <f>IFERROR(__xludf.DUMMYFUNCTION("""COMPUTED_VALUE"""),4424888.0)</f>
        <v>4424888</v>
      </c>
      <c r="X1353" s="14">
        <f>IFERROR(__xludf.DUMMYFUNCTION("""COMPUTED_VALUE"""),0.874)</f>
        <v>0.874</v>
      </c>
      <c r="Y1353" s="14" t="str">
        <f>IFERROR(__xludf.DUMMYFUNCTION("""COMPUTED_VALUE"""),"Lebanon-Middle East")</f>
        <v>Lebanon-Middle East</v>
      </c>
      <c r="Z1353" s="14" t="str">
        <f>IFERROR(__xludf.DUMMYFUNCTION("""COMPUTED_VALUE"""),"Middle East")</f>
        <v>Middle East</v>
      </c>
      <c r="AA1353" s="14" t="str">
        <f>IFERROR(__xludf.DUMMYFUNCTION("""COMPUTED_VALUE"""),"2012")</f>
        <v>2012</v>
      </c>
      <c r="AB1353" s="15" t="str">
        <f>IFERROR(__xludf.DUMMYFUNCTION("ARRAYFORMULA(VLOOKUP(A1353,IMPORTRANGE(""https://docs.google.com/spreadsheets/d/1BuTWp7qHGjWhqrnf-OmePP568O4A5Am9ttzvVdP67zw/edit#gid=1931367683"" ,""ENERGY!$A$2:$F$2692""), {2,3,4,5,6},0))"),"Middle East")</f>
        <v>Middle East</v>
      </c>
      <c r="AC1353" s="14" t="str">
        <f>IFERROR(__xludf.DUMMYFUNCTION("""COMPUTED_VALUE"""),"Lebanon-Middle East")</f>
        <v>Lebanon-Middle East</v>
      </c>
      <c r="AD1353" s="14" t="str">
        <f>IFERROR(__xludf.DUMMYFUNCTION("""COMPUTED_VALUE"""),"2010")</f>
        <v>2010</v>
      </c>
      <c r="AE1353" s="14">
        <f>IFERROR(__xludf.DUMMYFUNCTION("""COMPUTED_VALUE"""),4907.0)</f>
        <v>4907</v>
      </c>
      <c r="AF1353" s="14">
        <f>IFERROR(__xludf.DUMMYFUNCTION("""COMPUTED_VALUE"""),15354.0)</f>
        <v>15354</v>
      </c>
    </row>
    <row r="1354">
      <c r="A1354" s="12">
        <v>1353.0</v>
      </c>
      <c r="B1354" s="12" t="s">
        <v>183</v>
      </c>
      <c r="C1354" s="5" t="s">
        <v>77</v>
      </c>
      <c r="D1354" s="8"/>
      <c r="E1354" s="8"/>
      <c r="F1354" s="8"/>
      <c r="G1354" s="8"/>
      <c r="H1354" s="11">
        <v>0.002</v>
      </c>
      <c r="I1354" s="11">
        <v>0.012</v>
      </c>
      <c r="J1354" s="9" t="s">
        <v>60</v>
      </c>
      <c r="K1354" s="14" t="str">
        <f>IFERROR(__xludf.DUMMYFUNCTION("ARRAYFORMULA(VLOOKUP(A1354,IMPORTRANGE(""https://docs.google.com/spreadsheets/d/1BuTWp7qHGjWhqrnf-OmePP568O4A5Am9ttzvVdP67zw/edit#gid=1603210130"", ""TOURISM!$A$2:$F$2692""), {2,3,4,5,6},0))"),"Africa")</f>
        <v>Africa</v>
      </c>
      <c r="L1354" s="14">
        <f>IFERROR(__xludf.DUMMYFUNCTION("""COMPUTED_VALUE"""),1.8E7)</f>
        <v>18000000</v>
      </c>
      <c r="M1354" s="14" t="str">
        <f>IFERROR(__xludf.DUMMYFUNCTION("""COMPUTED_VALUE"""),"Lesotho-Africa")</f>
        <v>Lesotho-Africa</v>
      </c>
      <c r="N1354" s="14" t="str">
        <f>IFERROR(__xludf.DUMMYFUNCTION("""COMPUTED_VALUE"""),"2000")</f>
        <v>2000</v>
      </c>
      <c r="O1354" s="14">
        <f>IFERROR(__xludf.DUMMYFUNCTION("""COMPUTED_VALUE"""),1.95E8)</f>
        <v>195000000</v>
      </c>
      <c r="P1354" s="15">
        <f>IFERROR(__xludf.DUMMYFUNCTION("ARRAYFORMULA(VLOOKUP(A1354,IMPORTRANGE(""https://docs.google.com/spreadsheets/d/1BuTWp7qHGjWhqrnf-OmePP568O4A5Am9ttzvVdP67zw/edit#gid=771602874"" ,""HUMAN RESOURCES!$A$2:$M$2692""), {2,3,4,5,6,7,8,9,10,11,12,13},0))"),0.031)</f>
        <v>0.031</v>
      </c>
      <c r="Q1354" s="14">
        <f>IFERROR(__xludf.DUMMYFUNCTION("""COMPUTED_VALUE"""),0.081)</f>
        <v>0.081</v>
      </c>
      <c r="R1354" s="14">
        <f>IFERROR(__xludf.DUMMYFUNCTION("""COMPUTED_VALUE"""),48.0)</f>
        <v>48</v>
      </c>
      <c r="S1354" s="14">
        <f>IFERROR(__xludf.DUMMYFUNCTION("""COMPUTED_VALUE"""),47.0)</f>
        <v>47</v>
      </c>
      <c r="T1354" s="14">
        <f>IFERROR(__xludf.DUMMYFUNCTION("""COMPUTED_VALUE"""),0.412)</f>
        <v>0.412</v>
      </c>
      <c r="U1354" s="14">
        <f>IFERROR(__xludf.DUMMYFUNCTION("""COMPUTED_VALUE"""),0.543)</f>
        <v>0.543</v>
      </c>
      <c r="V1354" s="14">
        <f>IFERROR(__xludf.DUMMYFUNCTION("""COMPUTED_VALUE"""),0.045)</f>
        <v>0.045</v>
      </c>
      <c r="W1354" s="14">
        <f>IFERROR(__xludf.DUMMYFUNCTION("""COMPUTED_VALUE"""),1856225.0)</f>
        <v>1856225</v>
      </c>
      <c r="X1354" s="14">
        <f>IFERROR(__xludf.DUMMYFUNCTION("""COMPUTED_VALUE"""),0.195)</f>
        <v>0.195</v>
      </c>
      <c r="Y1354" s="14" t="str">
        <f>IFERROR(__xludf.DUMMYFUNCTION("""COMPUTED_VALUE"""),"Lesotho-Africa")</f>
        <v>Lesotho-Africa</v>
      </c>
      <c r="Z1354" s="14" t="str">
        <f>IFERROR(__xludf.DUMMYFUNCTION("""COMPUTED_VALUE"""),"Africa")</f>
        <v>Africa</v>
      </c>
      <c r="AA1354" s="14" t="str">
        <f>IFERROR(__xludf.DUMMYFUNCTION("""COMPUTED_VALUE"""),"2000")</f>
        <v>2000</v>
      </c>
      <c r="AB1354" s="15" t="str">
        <f>IFERROR(__xludf.DUMMYFUNCTION("ARRAYFORMULA(VLOOKUP(A1354,IMPORTRANGE(""https://docs.google.com/spreadsheets/d/1BuTWp7qHGjWhqrnf-OmePP568O4A5Am9ttzvVdP67zw/edit#gid=1931367683"" ,""ENERGY!$A$2:$F$2692""), {2,3,4,5,6},0))"),"Africa")</f>
        <v>Africa</v>
      </c>
      <c r="AC1354" s="14" t="str">
        <f>IFERROR(__xludf.DUMMYFUNCTION("""COMPUTED_VALUE"""),"Lesotho-Africa")</f>
        <v>Lesotho-Africa</v>
      </c>
      <c r="AD1354" s="14" t="str">
        <f>IFERROR(__xludf.DUMMYFUNCTION("""COMPUTED_VALUE"""),"2000")</f>
        <v>2000</v>
      </c>
      <c r="AE1354" s="14"/>
      <c r="AF1354" s="14"/>
    </row>
    <row r="1355">
      <c r="A1355" s="12">
        <v>1354.0</v>
      </c>
      <c r="B1355" s="12" t="s">
        <v>183</v>
      </c>
      <c r="C1355" s="5" t="s">
        <v>77</v>
      </c>
      <c r="D1355" s="8"/>
      <c r="E1355" s="8"/>
      <c r="F1355" s="8"/>
      <c r="G1355" s="8"/>
      <c r="H1355" s="11">
        <v>0.003</v>
      </c>
      <c r="I1355" s="11">
        <v>0.03</v>
      </c>
      <c r="J1355" s="9" t="s">
        <v>62</v>
      </c>
      <c r="K1355" s="14" t="str">
        <f>IFERROR(__xludf.DUMMYFUNCTION("ARRAYFORMULA(VLOOKUP(A1355,IMPORTRANGE(""https://docs.google.com/spreadsheets/d/1BuTWp7qHGjWhqrnf-OmePP568O4A5Am9ttzvVdP67zw/edit#gid=1603210130"", ""TOURISM!$A$2:$F$2692""), {2,3,4,5,6},0))"),"Africa")</f>
        <v>Africa</v>
      </c>
      <c r="L1355" s="14">
        <f>IFERROR(__xludf.DUMMYFUNCTION("""COMPUTED_VALUE"""),1.6E7)</f>
        <v>16000000</v>
      </c>
      <c r="M1355" s="14" t="str">
        <f>IFERROR(__xludf.DUMMYFUNCTION("""COMPUTED_VALUE"""),"Lesotho-Africa")</f>
        <v>Lesotho-Africa</v>
      </c>
      <c r="N1355" s="14" t="str">
        <f>IFERROR(__xludf.DUMMYFUNCTION("""COMPUTED_VALUE"""),"2001")</f>
        <v>2001</v>
      </c>
      <c r="O1355" s="14">
        <f>IFERROR(__xludf.DUMMYFUNCTION("""COMPUTED_VALUE"""),1.66E8)</f>
        <v>166000000</v>
      </c>
      <c r="P1355" s="15">
        <f>IFERROR(__xludf.DUMMYFUNCTION("ARRAYFORMULA(VLOOKUP(A1355,IMPORTRANGE(""https://docs.google.com/spreadsheets/d/1BuTWp7qHGjWhqrnf-OmePP568O4A5Am9ttzvVdP67zw/edit#gid=771602874"" ,""HUMAN RESOURCES!$A$2:$M$2692""), {2,3,4,5,6,7,8,9,10,11,12,13},0))"),0.031)</f>
        <v>0.031</v>
      </c>
      <c r="Q1355" s="14">
        <f>IFERROR(__xludf.DUMMYFUNCTION("""COMPUTED_VALUE"""),0.082)</f>
        <v>0.082</v>
      </c>
      <c r="R1355" s="14">
        <f>IFERROR(__xludf.DUMMYFUNCTION("""COMPUTED_VALUE"""),46.0)</f>
        <v>46</v>
      </c>
      <c r="S1355" s="14">
        <f>IFERROR(__xludf.DUMMYFUNCTION("""COMPUTED_VALUE"""),45.0)</f>
        <v>45</v>
      </c>
      <c r="T1355" s="14">
        <f>IFERROR(__xludf.DUMMYFUNCTION("""COMPUTED_VALUE"""),0.41)</f>
        <v>0.41</v>
      </c>
      <c r="U1355" s="14">
        <f>IFERROR(__xludf.DUMMYFUNCTION("""COMPUTED_VALUE"""),0.545)</f>
        <v>0.545</v>
      </c>
      <c r="V1355" s="14">
        <f>IFERROR(__xludf.DUMMYFUNCTION("""COMPUTED_VALUE"""),0.046)</f>
        <v>0.046</v>
      </c>
      <c r="W1355" s="14">
        <f>IFERROR(__xludf.DUMMYFUNCTION("""COMPUTED_VALUE"""),1871500.0)</f>
        <v>1871500</v>
      </c>
      <c r="X1355" s="14">
        <f>IFERROR(__xludf.DUMMYFUNCTION("""COMPUTED_VALUE"""),0.201)</f>
        <v>0.201</v>
      </c>
      <c r="Y1355" s="14" t="str">
        <f>IFERROR(__xludf.DUMMYFUNCTION("""COMPUTED_VALUE"""),"Lesotho-Africa")</f>
        <v>Lesotho-Africa</v>
      </c>
      <c r="Z1355" s="14" t="str">
        <f>IFERROR(__xludf.DUMMYFUNCTION("""COMPUTED_VALUE"""),"Africa")</f>
        <v>Africa</v>
      </c>
      <c r="AA1355" s="14" t="str">
        <f>IFERROR(__xludf.DUMMYFUNCTION("""COMPUTED_VALUE"""),"2001")</f>
        <v>2001</v>
      </c>
      <c r="AB1355" s="15" t="str">
        <f>IFERROR(__xludf.DUMMYFUNCTION("ARRAYFORMULA(VLOOKUP(A1355,IMPORTRANGE(""https://docs.google.com/spreadsheets/d/1BuTWp7qHGjWhqrnf-OmePP568O4A5Am9ttzvVdP67zw/edit#gid=1931367683"" ,""ENERGY!$A$2:$F$2692""), {2,3,4,5,6},0))"),"Africa")</f>
        <v>Africa</v>
      </c>
      <c r="AC1355" s="14" t="str">
        <f>IFERROR(__xludf.DUMMYFUNCTION("""COMPUTED_VALUE"""),"Lesotho-Africa")</f>
        <v>Lesotho-Africa</v>
      </c>
      <c r="AD1355" s="14" t="str">
        <f>IFERROR(__xludf.DUMMYFUNCTION("""COMPUTED_VALUE"""),"2001")</f>
        <v>2001</v>
      </c>
      <c r="AE1355" s="14"/>
      <c r="AF1355" s="14"/>
    </row>
    <row r="1356">
      <c r="A1356" s="12">
        <v>1355.0</v>
      </c>
      <c r="B1356" s="12" t="s">
        <v>183</v>
      </c>
      <c r="C1356" s="5" t="s">
        <v>77</v>
      </c>
      <c r="D1356" s="8"/>
      <c r="E1356" s="8"/>
      <c r="F1356" s="8"/>
      <c r="G1356" s="8"/>
      <c r="H1356" s="11">
        <v>0.011</v>
      </c>
      <c r="I1356" s="11">
        <v>0.073</v>
      </c>
      <c r="J1356" s="9" t="s">
        <v>63</v>
      </c>
      <c r="K1356" s="14" t="str">
        <f>IFERROR(__xludf.DUMMYFUNCTION("ARRAYFORMULA(VLOOKUP(A1356,IMPORTRANGE(""https://docs.google.com/spreadsheets/d/1BuTWp7qHGjWhqrnf-OmePP568O4A5Am9ttzvVdP67zw/edit#gid=1603210130"", ""TOURISM!$A$2:$F$2692""), {2,3,4,5,6},0))"),"Africa")</f>
        <v>Africa</v>
      </c>
      <c r="L1356" s="14">
        <f>IFERROR(__xludf.DUMMYFUNCTION("""COMPUTED_VALUE"""),1.4E7)</f>
        <v>14000000</v>
      </c>
      <c r="M1356" s="14" t="str">
        <f>IFERROR(__xludf.DUMMYFUNCTION("""COMPUTED_VALUE"""),"Lesotho-Africa")</f>
        <v>Lesotho-Africa</v>
      </c>
      <c r="N1356" s="14" t="str">
        <f>IFERROR(__xludf.DUMMYFUNCTION("""COMPUTED_VALUE"""),"2002")</f>
        <v>2002</v>
      </c>
      <c r="O1356" s="14">
        <f>IFERROR(__xludf.DUMMYFUNCTION("""COMPUTED_VALUE"""),1.64E8)</f>
        <v>164000000</v>
      </c>
      <c r="P1356" s="15">
        <f>IFERROR(__xludf.DUMMYFUNCTION("ARRAYFORMULA(VLOOKUP(A1356,IMPORTRANGE(""https://docs.google.com/spreadsheets/d/1BuTWp7qHGjWhqrnf-OmePP568O4A5Am9ttzvVdP67zw/edit#gid=771602874"" ,""HUMAN RESOURCES!$A$2:$M$2692""), {2,3,4,5,6,7,8,9,10,11,12,13},0))"),0.03)</f>
        <v>0.03</v>
      </c>
      <c r="Q1356" s="14">
        <f>IFERROR(__xludf.DUMMYFUNCTION("""COMPUTED_VALUE"""),0.082)</f>
        <v>0.082</v>
      </c>
      <c r="R1356" s="14">
        <f>IFERROR(__xludf.DUMMYFUNCTION("""COMPUTED_VALUE"""),45.0)</f>
        <v>45</v>
      </c>
      <c r="S1356" s="14">
        <f>IFERROR(__xludf.DUMMYFUNCTION("""COMPUTED_VALUE"""),44.0)</f>
        <v>44</v>
      </c>
      <c r="T1356" s="14">
        <f>IFERROR(__xludf.DUMMYFUNCTION("""COMPUTED_VALUE"""),0.407)</f>
        <v>0.407</v>
      </c>
      <c r="U1356" s="14">
        <f>IFERROR(__xludf.DUMMYFUNCTION("""COMPUTED_VALUE"""),0.547)</f>
        <v>0.547</v>
      </c>
      <c r="V1356" s="14">
        <f>IFERROR(__xludf.DUMMYFUNCTION("""COMPUTED_VALUE"""),0.046)</f>
        <v>0.046</v>
      </c>
      <c r="W1356" s="14">
        <f>IFERROR(__xludf.DUMMYFUNCTION("""COMPUTED_VALUE"""),1885487.0)</f>
        <v>1885487</v>
      </c>
      <c r="X1356" s="14">
        <f>IFERROR(__xludf.DUMMYFUNCTION("""COMPUTED_VALUE"""),0.206)</f>
        <v>0.206</v>
      </c>
      <c r="Y1356" s="14" t="str">
        <f>IFERROR(__xludf.DUMMYFUNCTION("""COMPUTED_VALUE"""),"Lesotho-Africa")</f>
        <v>Lesotho-Africa</v>
      </c>
      <c r="Z1356" s="14" t="str">
        <f>IFERROR(__xludf.DUMMYFUNCTION("""COMPUTED_VALUE"""),"Africa")</f>
        <v>Africa</v>
      </c>
      <c r="AA1356" s="14" t="str">
        <f>IFERROR(__xludf.DUMMYFUNCTION("""COMPUTED_VALUE"""),"2002")</f>
        <v>2002</v>
      </c>
      <c r="AB1356" s="15" t="str">
        <f>IFERROR(__xludf.DUMMYFUNCTION("ARRAYFORMULA(VLOOKUP(A1356,IMPORTRANGE(""https://docs.google.com/spreadsheets/d/1BuTWp7qHGjWhqrnf-OmePP568O4A5Am9ttzvVdP67zw/edit#gid=1931367683"" ,""ENERGY!$A$2:$F$2692""), {2,3,4,5,6},0))"),"Africa")</f>
        <v>Africa</v>
      </c>
      <c r="AC1356" s="14" t="str">
        <f>IFERROR(__xludf.DUMMYFUNCTION("""COMPUTED_VALUE"""),"Lesotho-Africa")</f>
        <v>Lesotho-Africa</v>
      </c>
      <c r="AD1356" s="14" t="str">
        <f>IFERROR(__xludf.DUMMYFUNCTION("""COMPUTED_VALUE"""),"2002")</f>
        <v>2002</v>
      </c>
      <c r="AE1356" s="14"/>
      <c r="AF1356" s="14">
        <f>IFERROR(__xludf.DUMMYFUNCTION("""COMPUTED_VALUE"""),18.0)</f>
        <v>18</v>
      </c>
    </row>
    <row r="1357">
      <c r="A1357" s="12">
        <v>1356.0</v>
      </c>
      <c r="B1357" s="12" t="s">
        <v>183</v>
      </c>
      <c r="C1357" s="5" t="s">
        <v>77</v>
      </c>
      <c r="D1357" s="8"/>
      <c r="E1357" s="11">
        <v>93.0</v>
      </c>
      <c r="F1357" s="8"/>
      <c r="G1357" s="8"/>
      <c r="H1357" s="11">
        <v>0.015</v>
      </c>
      <c r="I1357" s="11">
        <v>0.066</v>
      </c>
      <c r="J1357" s="9" t="s">
        <v>64</v>
      </c>
      <c r="K1357" s="14" t="str">
        <f>IFERROR(__xludf.DUMMYFUNCTION("ARRAYFORMULA(VLOOKUP(A1357,IMPORTRANGE(""https://docs.google.com/spreadsheets/d/1BuTWp7qHGjWhqrnf-OmePP568O4A5Am9ttzvVdP67zw/edit#gid=1603210130"", ""TOURISM!$A$2:$F$2692""), {2,3,4,5,6},0))"),"Africa")</f>
        <v>Africa</v>
      </c>
      <c r="L1357" s="14">
        <f>IFERROR(__xludf.DUMMYFUNCTION("""COMPUTED_VALUE"""),2.1E7)</f>
        <v>21000000</v>
      </c>
      <c r="M1357" s="14" t="str">
        <f>IFERROR(__xludf.DUMMYFUNCTION("""COMPUTED_VALUE"""),"Lesotho-Africa")</f>
        <v>Lesotho-Africa</v>
      </c>
      <c r="N1357" s="14" t="str">
        <f>IFERROR(__xludf.DUMMYFUNCTION("""COMPUTED_VALUE"""),"2003")</f>
        <v>2003</v>
      </c>
      <c r="O1357" s="14">
        <f>IFERROR(__xludf.DUMMYFUNCTION("""COMPUTED_VALUE"""),2.42E8)</f>
        <v>242000000</v>
      </c>
      <c r="P1357" s="15">
        <f>IFERROR(__xludf.DUMMYFUNCTION("ARRAYFORMULA(VLOOKUP(A1357,IMPORTRANGE(""https://docs.google.com/spreadsheets/d/1BuTWp7qHGjWhqrnf-OmePP568O4A5Am9ttzvVdP67zw/edit#gid=771602874"" ,""HUMAN RESOURCES!$A$2:$M$2692""), {2,3,4,5,6,7,8,9,10,11,12,13},0))"),0.03)</f>
        <v>0.03</v>
      </c>
      <c r="Q1357" s="14">
        <f>IFERROR(__xludf.DUMMYFUNCTION("""COMPUTED_VALUE"""),0.083)</f>
        <v>0.083</v>
      </c>
      <c r="R1357" s="14">
        <f>IFERROR(__xludf.DUMMYFUNCTION("""COMPUTED_VALUE"""),44.0)</f>
        <v>44</v>
      </c>
      <c r="S1357" s="14">
        <f>IFERROR(__xludf.DUMMYFUNCTION("""COMPUTED_VALUE"""),44.0)</f>
        <v>44</v>
      </c>
      <c r="T1357" s="14">
        <f>IFERROR(__xludf.DUMMYFUNCTION("""COMPUTED_VALUE"""),0.404)</f>
        <v>0.404</v>
      </c>
      <c r="U1357" s="14">
        <f>IFERROR(__xludf.DUMMYFUNCTION("""COMPUTED_VALUE"""),0.55)</f>
        <v>0.55</v>
      </c>
      <c r="V1357" s="14">
        <f>IFERROR(__xludf.DUMMYFUNCTION("""COMPUTED_VALUE"""),0.046)</f>
        <v>0.046</v>
      </c>
      <c r="W1357" s="14">
        <f>IFERROR(__xludf.DUMMYFUNCTION("""COMPUTED_VALUE"""),1898757.0)</f>
        <v>1898757</v>
      </c>
      <c r="X1357" s="14">
        <f>IFERROR(__xludf.DUMMYFUNCTION("""COMPUTED_VALUE"""),0.211)</f>
        <v>0.211</v>
      </c>
      <c r="Y1357" s="14" t="str">
        <f>IFERROR(__xludf.DUMMYFUNCTION("""COMPUTED_VALUE"""),"Lesotho-Africa")</f>
        <v>Lesotho-Africa</v>
      </c>
      <c r="Z1357" s="14" t="str">
        <f>IFERROR(__xludf.DUMMYFUNCTION("""COMPUTED_VALUE"""),"Africa")</f>
        <v>Africa</v>
      </c>
      <c r="AA1357" s="14" t="str">
        <f>IFERROR(__xludf.DUMMYFUNCTION("""COMPUTED_VALUE"""),"2003")</f>
        <v>2003</v>
      </c>
      <c r="AB1357" s="15" t="str">
        <f>IFERROR(__xludf.DUMMYFUNCTION("ARRAYFORMULA(VLOOKUP(A1357,IMPORTRANGE(""https://docs.google.com/spreadsheets/d/1BuTWp7qHGjWhqrnf-OmePP568O4A5Am9ttzvVdP67zw/edit#gid=1931367683"" ,""ENERGY!$A$2:$F$2692""), {2,3,4,5,6},0))"),"Africa")</f>
        <v>Africa</v>
      </c>
      <c r="AC1357" s="14" t="str">
        <f>IFERROR(__xludf.DUMMYFUNCTION("""COMPUTED_VALUE"""),"Lesotho-Africa")</f>
        <v>Lesotho-Africa</v>
      </c>
      <c r="AD1357" s="14" t="str">
        <f>IFERROR(__xludf.DUMMYFUNCTION("""COMPUTED_VALUE"""),"2003")</f>
        <v>2003</v>
      </c>
      <c r="AE1357" s="14"/>
      <c r="AF1357" s="14">
        <f>IFERROR(__xludf.DUMMYFUNCTION("""COMPUTED_VALUE"""),26.0)</f>
        <v>26</v>
      </c>
    </row>
    <row r="1358">
      <c r="A1358" s="12">
        <v>1357.0</v>
      </c>
      <c r="B1358" s="12" t="s">
        <v>183</v>
      </c>
      <c r="C1358" s="5" t="s">
        <v>77</v>
      </c>
      <c r="D1358" s="8"/>
      <c r="E1358" s="11">
        <v>93.0</v>
      </c>
      <c r="F1358" s="8"/>
      <c r="G1358" s="8"/>
      <c r="H1358" s="11">
        <v>0.022</v>
      </c>
      <c r="I1358" s="11">
        <v>0.103</v>
      </c>
      <c r="J1358" s="9" t="s">
        <v>65</v>
      </c>
      <c r="K1358" s="14" t="str">
        <f>IFERROR(__xludf.DUMMYFUNCTION("ARRAYFORMULA(VLOOKUP(A1358,IMPORTRANGE(""https://docs.google.com/spreadsheets/d/1BuTWp7qHGjWhqrnf-OmePP568O4A5Am9ttzvVdP67zw/edit#gid=1603210130"", ""TOURISM!$A$2:$F$2692""), {2,3,4,5,6},0))"),"Africa")</f>
        <v>Africa</v>
      </c>
      <c r="L1358" s="14">
        <f>IFERROR(__xludf.DUMMYFUNCTION("""COMPUTED_VALUE"""),2.6E7)</f>
        <v>26000000</v>
      </c>
      <c r="M1358" s="14" t="str">
        <f>IFERROR(__xludf.DUMMYFUNCTION("""COMPUTED_VALUE"""),"Lesotho-Africa")</f>
        <v>Lesotho-Africa</v>
      </c>
      <c r="N1358" s="14" t="str">
        <f>IFERROR(__xludf.DUMMYFUNCTION("""COMPUTED_VALUE"""),"2004")</f>
        <v>2004</v>
      </c>
      <c r="O1358" s="14">
        <f>IFERROR(__xludf.DUMMYFUNCTION("""COMPUTED_VALUE"""),2.78E8)</f>
        <v>278000000</v>
      </c>
      <c r="P1358" s="15">
        <f>IFERROR(__xludf.DUMMYFUNCTION("ARRAYFORMULA(VLOOKUP(A1358,IMPORTRANGE(""https://docs.google.com/spreadsheets/d/1BuTWp7qHGjWhqrnf-OmePP568O4A5Am9ttzvVdP67zw/edit#gid=771602874"" ,""HUMAN RESOURCES!$A$2:$M$2692""), {2,3,4,5,6,7,8,9,10,11,12,13},0))"),0.029)</f>
        <v>0.029</v>
      </c>
      <c r="Q1358" s="14">
        <f>IFERROR(__xludf.DUMMYFUNCTION("""COMPUTED_VALUE"""),0.084)</f>
        <v>0.084</v>
      </c>
      <c r="R1358" s="14">
        <f>IFERROR(__xludf.DUMMYFUNCTION("""COMPUTED_VALUE"""),44.0)</f>
        <v>44</v>
      </c>
      <c r="S1358" s="14">
        <f>IFERROR(__xludf.DUMMYFUNCTION("""COMPUTED_VALUE"""),43.0)</f>
        <v>43</v>
      </c>
      <c r="T1358" s="14">
        <f>IFERROR(__xludf.DUMMYFUNCTION("""COMPUTED_VALUE"""),0.4)</f>
        <v>0.4</v>
      </c>
      <c r="U1358" s="14">
        <f>IFERROR(__xludf.DUMMYFUNCTION("""COMPUTED_VALUE"""),0.553)</f>
        <v>0.553</v>
      </c>
      <c r="V1358" s="14">
        <f>IFERROR(__xludf.DUMMYFUNCTION("""COMPUTED_VALUE"""),0.046)</f>
        <v>0.046</v>
      </c>
      <c r="W1358" s="14">
        <f>IFERROR(__xludf.DUMMYFUNCTION("""COMPUTED_VALUE"""),1912022.0)</f>
        <v>1912022</v>
      </c>
      <c r="X1358" s="14">
        <f>IFERROR(__xludf.DUMMYFUNCTION("""COMPUTED_VALUE"""),0.217)</f>
        <v>0.217</v>
      </c>
      <c r="Y1358" s="14" t="str">
        <f>IFERROR(__xludf.DUMMYFUNCTION("""COMPUTED_VALUE"""),"Lesotho-Africa")</f>
        <v>Lesotho-Africa</v>
      </c>
      <c r="Z1358" s="14" t="str">
        <f>IFERROR(__xludf.DUMMYFUNCTION("""COMPUTED_VALUE"""),"Africa")</f>
        <v>Africa</v>
      </c>
      <c r="AA1358" s="14" t="str">
        <f>IFERROR(__xludf.DUMMYFUNCTION("""COMPUTED_VALUE"""),"2004")</f>
        <v>2004</v>
      </c>
      <c r="AB1358" s="15" t="str">
        <f>IFERROR(__xludf.DUMMYFUNCTION("ARRAYFORMULA(VLOOKUP(A1358,IMPORTRANGE(""https://docs.google.com/spreadsheets/d/1BuTWp7qHGjWhqrnf-OmePP568O4A5Am9ttzvVdP67zw/edit#gid=1931367683"" ,""ENERGY!$A$2:$F$2692""), {2,3,4,5,6},0))"),"Africa")</f>
        <v>Africa</v>
      </c>
      <c r="AC1358" s="14" t="str">
        <f>IFERROR(__xludf.DUMMYFUNCTION("""COMPUTED_VALUE"""),"Lesotho-Africa")</f>
        <v>Lesotho-Africa</v>
      </c>
      <c r="AD1358" s="14" t="str">
        <f>IFERROR(__xludf.DUMMYFUNCTION("""COMPUTED_VALUE"""),"2004")</f>
        <v>2004</v>
      </c>
      <c r="AE1358" s="14"/>
      <c r="AF1358" s="14">
        <f>IFERROR(__xludf.DUMMYFUNCTION("""COMPUTED_VALUE"""),18.0)</f>
        <v>18</v>
      </c>
    </row>
    <row r="1359">
      <c r="A1359" s="12">
        <v>1358.0</v>
      </c>
      <c r="B1359" s="12" t="s">
        <v>183</v>
      </c>
      <c r="C1359" s="5" t="s">
        <v>77</v>
      </c>
      <c r="D1359" s="11">
        <v>0.288</v>
      </c>
      <c r="E1359" s="11">
        <v>93.0</v>
      </c>
      <c r="F1359" s="8"/>
      <c r="G1359" s="11">
        <v>564.0</v>
      </c>
      <c r="H1359" s="11">
        <v>0.026</v>
      </c>
      <c r="I1359" s="11">
        <v>0.13</v>
      </c>
      <c r="J1359" s="9" t="s">
        <v>66</v>
      </c>
      <c r="K1359" s="14" t="str">
        <f>IFERROR(__xludf.DUMMYFUNCTION("ARRAYFORMULA(VLOOKUP(A1359,IMPORTRANGE(""https://docs.google.com/spreadsheets/d/1BuTWp7qHGjWhqrnf-OmePP568O4A5Am9ttzvVdP67zw/edit#gid=1603210130"", ""TOURISM!$A$2:$F$2692""), {2,3,4,5,6},0))"),"Africa")</f>
        <v>Africa</v>
      </c>
      <c r="L1359" s="14">
        <f>IFERROR(__xludf.DUMMYFUNCTION("""COMPUTED_VALUE"""),2.7E7)</f>
        <v>27000000</v>
      </c>
      <c r="M1359" s="14" t="str">
        <f>IFERROR(__xludf.DUMMYFUNCTION("""COMPUTED_VALUE"""),"Lesotho-Africa")</f>
        <v>Lesotho-Africa</v>
      </c>
      <c r="N1359" s="14" t="str">
        <f>IFERROR(__xludf.DUMMYFUNCTION("""COMPUTED_VALUE"""),"2005")</f>
        <v>2005</v>
      </c>
      <c r="O1359" s="14">
        <f>IFERROR(__xludf.DUMMYFUNCTION("""COMPUTED_VALUE"""),2.71E8)</f>
        <v>271000000</v>
      </c>
      <c r="P1359" s="15">
        <f>IFERROR(__xludf.DUMMYFUNCTION("ARRAYFORMULA(VLOOKUP(A1359,IMPORTRANGE(""https://docs.google.com/spreadsheets/d/1BuTWp7qHGjWhqrnf-OmePP568O4A5Am9ttzvVdP67zw/edit#gid=771602874"" ,""HUMAN RESOURCES!$A$2:$M$2692""), {2,3,4,5,6,7,8,9,10,11,12,13},0))"),0.029)</f>
        <v>0.029</v>
      </c>
      <c r="Q1359" s="14">
        <f>IFERROR(__xludf.DUMMYFUNCTION("""COMPUTED_VALUE"""),0.085)</f>
        <v>0.085</v>
      </c>
      <c r="R1359" s="14">
        <f>IFERROR(__xludf.DUMMYFUNCTION("""COMPUTED_VALUE"""),44.0)</f>
        <v>44</v>
      </c>
      <c r="S1359" s="14">
        <f>IFERROR(__xludf.DUMMYFUNCTION("""COMPUTED_VALUE"""),44.0)</f>
        <v>44</v>
      </c>
      <c r="T1359" s="14">
        <f>IFERROR(__xludf.DUMMYFUNCTION("""COMPUTED_VALUE"""),0.397)</f>
        <v>0.397</v>
      </c>
      <c r="U1359" s="14">
        <f>IFERROR(__xludf.DUMMYFUNCTION("""COMPUTED_VALUE"""),0.557)</f>
        <v>0.557</v>
      </c>
      <c r="V1359" s="14">
        <f>IFERROR(__xludf.DUMMYFUNCTION("""COMPUTED_VALUE"""),0.046)</f>
        <v>0.046</v>
      </c>
      <c r="W1359" s="14">
        <f>IFERROR(__xludf.DUMMYFUNCTION("""COMPUTED_VALUE"""),1925844.0)</f>
        <v>1925844</v>
      </c>
      <c r="X1359" s="14">
        <f>IFERROR(__xludf.DUMMYFUNCTION("""COMPUTED_VALUE"""),0.222)</f>
        <v>0.222</v>
      </c>
      <c r="Y1359" s="14" t="str">
        <f>IFERROR(__xludf.DUMMYFUNCTION("""COMPUTED_VALUE"""),"Lesotho-Africa")</f>
        <v>Lesotho-Africa</v>
      </c>
      <c r="Z1359" s="14" t="str">
        <f>IFERROR(__xludf.DUMMYFUNCTION("""COMPUTED_VALUE"""),"Africa")</f>
        <v>Africa</v>
      </c>
      <c r="AA1359" s="14" t="str">
        <f>IFERROR(__xludf.DUMMYFUNCTION("""COMPUTED_VALUE"""),"2005")</f>
        <v>2005</v>
      </c>
      <c r="AB1359" s="15" t="str">
        <f>IFERROR(__xludf.DUMMYFUNCTION("ARRAYFORMULA(VLOOKUP(A1359,IMPORTRANGE(""https://docs.google.com/spreadsheets/d/1BuTWp7qHGjWhqrnf-OmePP568O4A5Am9ttzvVdP67zw/edit#gid=1931367683"" ,""ENERGY!$A$2:$F$2692""), {2,3,4,5,6},0))"),"Africa")</f>
        <v>Africa</v>
      </c>
      <c r="AC1359" s="14" t="str">
        <f>IFERROR(__xludf.DUMMYFUNCTION("""COMPUTED_VALUE"""),"Lesotho-Africa")</f>
        <v>Lesotho-Africa</v>
      </c>
      <c r="AD1359" s="14" t="str">
        <f>IFERROR(__xludf.DUMMYFUNCTION("""COMPUTED_VALUE"""),"2007")</f>
        <v>2007</v>
      </c>
      <c r="AE1359" s="14">
        <f>IFERROR(__xludf.DUMMYFUNCTION("""COMPUTED_VALUE"""),19.0)</f>
        <v>19</v>
      </c>
      <c r="AF1359" s="14">
        <f>IFERROR(__xludf.DUMMYFUNCTION("""COMPUTED_VALUE"""),7.0)</f>
        <v>7</v>
      </c>
    </row>
    <row r="1360">
      <c r="A1360" s="12">
        <v>1359.0</v>
      </c>
      <c r="B1360" s="12" t="s">
        <v>183</v>
      </c>
      <c r="C1360" s="5" t="s">
        <v>77</v>
      </c>
      <c r="D1360" s="11">
        <v>0.288</v>
      </c>
      <c r="E1360" s="11">
        <v>73.0</v>
      </c>
      <c r="F1360" s="8"/>
      <c r="G1360" s="11">
        <v>564.0</v>
      </c>
      <c r="H1360" s="11">
        <v>0.03</v>
      </c>
      <c r="I1360" s="11">
        <v>0.184</v>
      </c>
      <c r="J1360" s="9" t="s">
        <v>67</v>
      </c>
      <c r="K1360" s="14" t="str">
        <f>IFERROR(__xludf.DUMMYFUNCTION("ARRAYFORMULA(VLOOKUP(A1360,IMPORTRANGE(""https://docs.google.com/spreadsheets/d/1BuTWp7qHGjWhqrnf-OmePP568O4A5Am9ttzvVdP67zw/edit#gid=1603210130"", ""TOURISM!$A$2:$F$2692""), {2,3,4,5,6},0))"),"Africa")</f>
        <v>Africa</v>
      </c>
      <c r="L1360" s="14">
        <f>IFERROR(__xludf.DUMMYFUNCTION("""COMPUTED_VALUE"""),2.9E7)</f>
        <v>29000000</v>
      </c>
      <c r="M1360" s="14" t="str">
        <f>IFERROR(__xludf.DUMMYFUNCTION("""COMPUTED_VALUE"""),"Lesotho-Africa")</f>
        <v>Lesotho-Africa</v>
      </c>
      <c r="N1360" s="14" t="str">
        <f>IFERROR(__xludf.DUMMYFUNCTION("""COMPUTED_VALUE"""),"2006")</f>
        <v>2006</v>
      </c>
      <c r="O1360" s="14">
        <f>IFERROR(__xludf.DUMMYFUNCTION("""COMPUTED_VALUE"""),2.63E8)</f>
        <v>263000000</v>
      </c>
      <c r="P1360" s="15">
        <f>IFERROR(__xludf.DUMMYFUNCTION("ARRAYFORMULA(VLOOKUP(A1360,IMPORTRANGE(""https://docs.google.com/spreadsheets/d/1BuTWp7qHGjWhqrnf-OmePP568O4A5Am9ttzvVdP67zw/edit#gid=771602874"" ,""HUMAN RESOURCES!$A$2:$M$2692""), {2,3,4,5,6,7,8,9,10,11,12,13},0))"),0.029)</f>
        <v>0.029</v>
      </c>
      <c r="Q1360" s="14">
        <f>IFERROR(__xludf.DUMMYFUNCTION("""COMPUTED_VALUE"""),0.084)</f>
        <v>0.084</v>
      </c>
      <c r="R1360" s="14">
        <f>IFERROR(__xludf.DUMMYFUNCTION("""COMPUTED_VALUE"""),44.0)</f>
        <v>44</v>
      </c>
      <c r="S1360" s="14">
        <f>IFERROR(__xludf.DUMMYFUNCTION("""COMPUTED_VALUE"""),44.0)</f>
        <v>44</v>
      </c>
      <c r="T1360" s="14">
        <f>IFERROR(__xludf.DUMMYFUNCTION("""COMPUTED_VALUE"""),0.393)</f>
        <v>0.393</v>
      </c>
      <c r="U1360" s="14">
        <f>IFERROR(__xludf.DUMMYFUNCTION("""COMPUTED_VALUE"""),0.561)</f>
        <v>0.561</v>
      </c>
      <c r="V1360" s="14">
        <f>IFERROR(__xludf.DUMMYFUNCTION("""COMPUTED_VALUE"""),0.046)</f>
        <v>0.046</v>
      </c>
      <c r="W1360" s="14">
        <f>IFERROR(__xludf.DUMMYFUNCTION("""COMPUTED_VALUE"""),1940413.0)</f>
        <v>1940413</v>
      </c>
      <c r="X1360" s="14">
        <f>IFERROR(__xludf.DUMMYFUNCTION("""COMPUTED_VALUE"""),0.228)</f>
        <v>0.228</v>
      </c>
      <c r="Y1360" s="14" t="str">
        <f>IFERROR(__xludf.DUMMYFUNCTION("""COMPUTED_VALUE"""),"Lesotho-Africa")</f>
        <v>Lesotho-Africa</v>
      </c>
      <c r="Z1360" s="14" t="str">
        <f>IFERROR(__xludf.DUMMYFUNCTION("""COMPUTED_VALUE"""),"Africa")</f>
        <v>Africa</v>
      </c>
      <c r="AA1360" s="14" t="str">
        <f>IFERROR(__xludf.DUMMYFUNCTION("""COMPUTED_VALUE"""),"2006")</f>
        <v>2006</v>
      </c>
      <c r="AB1360" s="15" t="str">
        <f>IFERROR(__xludf.DUMMYFUNCTION("ARRAYFORMULA(VLOOKUP(A1360,IMPORTRANGE(""https://docs.google.com/spreadsheets/d/1BuTWp7qHGjWhqrnf-OmePP568O4A5Am9ttzvVdP67zw/edit#gid=1931367683"" ,""ENERGY!$A$2:$F$2692""), {2,3,4,5,6},0))"),"Africa")</f>
        <v>Africa</v>
      </c>
      <c r="AC1360" s="14" t="str">
        <f>IFERROR(__xludf.DUMMYFUNCTION("""COMPUTED_VALUE"""),"Lesotho-Africa")</f>
        <v>Lesotho-Africa</v>
      </c>
      <c r="AD1360" s="14" t="str">
        <f>IFERROR(__xludf.DUMMYFUNCTION("""COMPUTED_VALUE"""),"2011")</f>
        <v>2011</v>
      </c>
      <c r="AE1360" s="14">
        <f>IFERROR(__xludf.DUMMYFUNCTION("""COMPUTED_VALUE"""),19.0)</f>
        <v>19</v>
      </c>
      <c r="AF1360" s="14"/>
    </row>
    <row r="1361">
      <c r="A1361" s="12">
        <v>1360.0</v>
      </c>
      <c r="B1361" s="12" t="s">
        <v>183</v>
      </c>
      <c r="C1361" s="5" t="s">
        <v>77</v>
      </c>
      <c r="D1361" s="11">
        <v>0.224</v>
      </c>
      <c r="E1361" s="11">
        <v>73.0</v>
      </c>
      <c r="F1361" s="8"/>
      <c r="G1361" s="11">
        <v>342.0</v>
      </c>
      <c r="H1361" s="11">
        <v>0.034</v>
      </c>
      <c r="I1361" s="11">
        <v>0.247</v>
      </c>
      <c r="J1361" s="9" t="s">
        <v>68</v>
      </c>
      <c r="K1361" s="14" t="str">
        <f>IFERROR(__xludf.DUMMYFUNCTION("ARRAYFORMULA(VLOOKUP(A1361,IMPORTRANGE(""https://docs.google.com/spreadsheets/d/1BuTWp7qHGjWhqrnf-OmePP568O4A5Am9ttzvVdP67zw/edit#gid=1603210130"", ""TOURISM!$A$2:$F$2692""), {2,3,4,5,6},0))"),"Africa")</f>
        <v>Africa</v>
      </c>
      <c r="L1361" s="14">
        <f>IFERROR(__xludf.DUMMYFUNCTION("""COMPUTED_VALUE"""),3.1E7)</f>
        <v>31000000</v>
      </c>
      <c r="M1361" s="14" t="str">
        <f>IFERROR(__xludf.DUMMYFUNCTION("""COMPUTED_VALUE"""),"Lesotho-Africa")</f>
        <v>Lesotho-Africa</v>
      </c>
      <c r="N1361" s="14" t="str">
        <f>IFERROR(__xludf.DUMMYFUNCTION("""COMPUTED_VALUE"""),"2007")</f>
        <v>2007</v>
      </c>
      <c r="O1361" s="14">
        <f>IFERROR(__xludf.DUMMYFUNCTION("""COMPUTED_VALUE"""),2.76E8)</f>
        <v>276000000</v>
      </c>
      <c r="P1361" s="15">
        <f>IFERROR(__xludf.DUMMYFUNCTION("ARRAYFORMULA(VLOOKUP(A1361,IMPORTRANGE(""https://docs.google.com/spreadsheets/d/1BuTWp7qHGjWhqrnf-OmePP568O4A5Am9ttzvVdP67zw/edit#gid=771602874"" ,""HUMAN RESOURCES!$A$2:$M$2692""), {2,3,4,5,6,7,8,9,10,11,12,13},0))"),0.028)</f>
        <v>0.028</v>
      </c>
      <c r="Q1361" s="14">
        <f>IFERROR(__xludf.DUMMYFUNCTION("""COMPUTED_VALUE"""),0.082)</f>
        <v>0.082</v>
      </c>
      <c r="R1361" s="14">
        <f>IFERROR(__xludf.DUMMYFUNCTION("""COMPUTED_VALUE"""),45.0)</f>
        <v>45</v>
      </c>
      <c r="S1361" s="14">
        <f>IFERROR(__xludf.DUMMYFUNCTION("""COMPUTED_VALUE"""),45.0)</f>
        <v>45</v>
      </c>
      <c r="T1361" s="14">
        <f>IFERROR(__xludf.DUMMYFUNCTION("""COMPUTED_VALUE"""),0.389)</f>
        <v>0.389</v>
      </c>
      <c r="U1361" s="14">
        <f>IFERROR(__xludf.DUMMYFUNCTION("""COMPUTED_VALUE"""),0.566)</f>
        <v>0.566</v>
      </c>
      <c r="V1361" s="14">
        <f>IFERROR(__xludf.DUMMYFUNCTION("""COMPUTED_VALUE"""),0.045)</f>
        <v>0.045</v>
      </c>
      <c r="W1361" s="14">
        <f>IFERROR(__xludf.DUMMYFUNCTION("""COMPUTED_VALUE"""),1955784.0)</f>
        <v>1955784</v>
      </c>
      <c r="X1361" s="14">
        <f>IFERROR(__xludf.DUMMYFUNCTION("""COMPUTED_VALUE"""),0.233)</f>
        <v>0.233</v>
      </c>
      <c r="Y1361" s="14" t="str">
        <f>IFERROR(__xludf.DUMMYFUNCTION("""COMPUTED_VALUE"""),"Lesotho-Africa")</f>
        <v>Lesotho-Africa</v>
      </c>
      <c r="Z1361" s="14" t="str">
        <f>IFERROR(__xludf.DUMMYFUNCTION("""COMPUTED_VALUE"""),"Africa")</f>
        <v>Africa</v>
      </c>
      <c r="AA1361" s="14" t="str">
        <f>IFERROR(__xludf.DUMMYFUNCTION("""COMPUTED_VALUE"""),"2007")</f>
        <v>2007</v>
      </c>
      <c r="AB1361" s="15" t="str">
        <f>IFERROR(__xludf.DUMMYFUNCTION("ARRAYFORMULA(VLOOKUP(A1361,IMPORTRANGE(""https://docs.google.com/spreadsheets/d/1BuTWp7qHGjWhqrnf-OmePP568O4A5Am9ttzvVdP67zw/edit#gid=1931367683"" ,""ENERGY!$A$2:$F$2692""), {2,3,4,5,6},0))"),"Africa")</f>
        <v>Africa</v>
      </c>
      <c r="AC1361" s="14" t="str">
        <f>IFERROR(__xludf.DUMMYFUNCTION("""COMPUTED_VALUE"""),"Lesotho-Africa")</f>
        <v>Lesotho-Africa</v>
      </c>
      <c r="AD1361" s="14" t="str">
        <f>IFERROR(__xludf.DUMMYFUNCTION("""COMPUTED_VALUE"""),"2008")</f>
        <v>2008</v>
      </c>
      <c r="AE1361" s="14">
        <f>IFERROR(__xludf.DUMMYFUNCTION("""COMPUTED_VALUE"""),33.0)</f>
        <v>33</v>
      </c>
      <c r="AF1361" s="14"/>
    </row>
    <row r="1362">
      <c r="A1362" s="12">
        <v>1361.0</v>
      </c>
      <c r="B1362" s="12" t="s">
        <v>183</v>
      </c>
      <c r="C1362" s="5" t="s">
        <v>77</v>
      </c>
      <c r="D1362" s="11">
        <v>0.196</v>
      </c>
      <c r="E1362" s="11">
        <v>40.0</v>
      </c>
      <c r="F1362" s="8"/>
      <c r="G1362" s="11">
        <v>324.0</v>
      </c>
      <c r="H1362" s="11">
        <v>0.036</v>
      </c>
      <c r="I1362" s="11">
        <v>0.301</v>
      </c>
      <c r="J1362" s="9" t="s">
        <v>69</v>
      </c>
      <c r="K1362" s="14" t="str">
        <f>IFERROR(__xludf.DUMMYFUNCTION("ARRAYFORMULA(VLOOKUP(A1362,IMPORTRANGE(""https://docs.google.com/spreadsheets/d/1BuTWp7qHGjWhqrnf-OmePP568O4A5Am9ttzvVdP67zw/edit#gid=1603210130"", ""TOURISM!$A$2:$F$2692""), {2,3,4,5,6},0))"),"Africa")</f>
        <v>Africa</v>
      </c>
      <c r="L1362" s="14">
        <f>IFERROR(__xludf.DUMMYFUNCTION("""COMPUTED_VALUE"""),3.0E7)</f>
        <v>30000000</v>
      </c>
      <c r="M1362" s="14" t="str">
        <f>IFERROR(__xludf.DUMMYFUNCTION("""COMPUTED_VALUE"""),"Lesotho-Africa")</f>
        <v>Lesotho-Africa</v>
      </c>
      <c r="N1362" s="14" t="str">
        <f>IFERROR(__xludf.DUMMYFUNCTION("""COMPUTED_VALUE"""),"2008")</f>
        <v>2008</v>
      </c>
      <c r="O1362" s="14">
        <f>IFERROR(__xludf.DUMMYFUNCTION("""COMPUTED_VALUE"""),2.48E8)</f>
        <v>248000000</v>
      </c>
      <c r="P1362" s="15">
        <f>IFERROR(__xludf.DUMMYFUNCTION("ARRAYFORMULA(VLOOKUP(A1362,IMPORTRANGE(""https://docs.google.com/spreadsheets/d/1BuTWp7qHGjWhqrnf-OmePP568O4A5Am9ttzvVdP67zw/edit#gid=771602874"" ,""HUMAN RESOURCES!$A$2:$M$2692""), {2,3,4,5,6,7,8,9,10,11,12,13},0))"),0.028)</f>
        <v>0.028</v>
      </c>
      <c r="Q1362" s="14">
        <f>IFERROR(__xludf.DUMMYFUNCTION("""COMPUTED_VALUE"""),0.082)</f>
        <v>0.082</v>
      </c>
      <c r="R1362" s="14">
        <f>IFERROR(__xludf.DUMMYFUNCTION("""COMPUTED_VALUE"""),46.0)</f>
        <v>46</v>
      </c>
      <c r="S1362" s="14">
        <f>IFERROR(__xludf.DUMMYFUNCTION("""COMPUTED_VALUE"""),46.0)</f>
        <v>46</v>
      </c>
      <c r="T1362" s="14">
        <f>IFERROR(__xludf.DUMMYFUNCTION("""COMPUTED_VALUE"""),0.385)</f>
        <v>0.385</v>
      </c>
      <c r="U1362" s="14">
        <f>IFERROR(__xludf.DUMMYFUNCTION("""COMPUTED_VALUE"""),0.571)</f>
        <v>0.571</v>
      </c>
      <c r="V1362" s="14">
        <f>IFERROR(__xludf.DUMMYFUNCTION("""COMPUTED_VALUE"""),0.044)</f>
        <v>0.044</v>
      </c>
      <c r="W1362" s="14">
        <f>IFERROR(__xludf.DUMMYFUNCTION("""COMPUTED_VALUE"""),1972199.0)</f>
        <v>1972199</v>
      </c>
      <c r="X1362" s="14">
        <f>IFERROR(__xludf.DUMMYFUNCTION("""COMPUTED_VALUE"""),0.238)</f>
        <v>0.238</v>
      </c>
      <c r="Y1362" s="14" t="str">
        <f>IFERROR(__xludf.DUMMYFUNCTION("""COMPUTED_VALUE"""),"Lesotho-Africa")</f>
        <v>Lesotho-Africa</v>
      </c>
      <c r="Z1362" s="14" t="str">
        <f>IFERROR(__xludf.DUMMYFUNCTION("""COMPUTED_VALUE"""),"Africa")</f>
        <v>Africa</v>
      </c>
      <c r="AA1362" s="14" t="str">
        <f>IFERROR(__xludf.DUMMYFUNCTION("""COMPUTED_VALUE"""),"2008")</f>
        <v>2008</v>
      </c>
      <c r="AB1362" s="15" t="str">
        <f>IFERROR(__xludf.DUMMYFUNCTION("ARRAYFORMULA(VLOOKUP(A1362,IMPORTRANGE(""https://docs.google.com/spreadsheets/d/1BuTWp7qHGjWhqrnf-OmePP568O4A5Am9ttzvVdP67zw/edit#gid=1931367683"" ,""ENERGY!$A$2:$F$2692""), {2,3,4,5,6},0))"),"Africa")</f>
        <v>Africa</v>
      </c>
      <c r="AC1362" s="14" t="str">
        <f>IFERROR(__xludf.DUMMYFUNCTION("""COMPUTED_VALUE"""),"Lesotho-Africa")</f>
        <v>Lesotho-Africa</v>
      </c>
      <c r="AD1362" s="14" t="str">
        <f>IFERROR(__xludf.DUMMYFUNCTION("""COMPUTED_VALUE"""),"2006")</f>
        <v>2006</v>
      </c>
      <c r="AE1362" s="14">
        <f>IFERROR(__xludf.DUMMYFUNCTION("""COMPUTED_VALUE"""),28.0)</f>
        <v>28</v>
      </c>
      <c r="AF1362" s="14"/>
    </row>
    <row r="1363">
      <c r="A1363" s="12">
        <v>1362.0</v>
      </c>
      <c r="B1363" s="12" t="s">
        <v>183</v>
      </c>
      <c r="C1363" s="5" t="s">
        <v>77</v>
      </c>
      <c r="D1363" s="11">
        <v>0.199</v>
      </c>
      <c r="E1363" s="11">
        <v>40.0</v>
      </c>
      <c r="F1363" s="8"/>
      <c r="G1363" s="11">
        <v>324.0</v>
      </c>
      <c r="H1363" s="11">
        <v>0.037</v>
      </c>
      <c r="I1363" s="11">
        <v>0.332</v>
      </c>
      <c r="J1363" s="9" t="s">
        <v>70</v>
      </c>
      <c r="K1363" s="14" t="str">
        <f>IFERROR(__xludf.DUMMYFUNCTION("ARRAYFORMULA(VLOOKUP(A1363,IMPORTRANGE(""https://docs.google.com/spreadsheets/d/1BuTWp7qHGjWhqrnf-OmePP568O4A5Am9ttzvVdP67zw/edit#gid=1603210130"", ""TOURISM!$A$2:$F$2692""), {2,3,4,5,6},0))"),"Africa")</f>
        <v>Africa</v>
      </c>
      <c r="L1363" s="14">
        <f>IFERROR(__xludf.DUMMYFUNCTION("""COMPUTED_VALUE"""),3.0E7)</f>
        <v>30000000</v>
      </c>
      <c r="M1363" s="14" t="str">
        <f>IFERROR(__xludf.DUMMYFUNCTION("""COMPUTED_VALUE"""),"Lesotho-Africa")</f>
        <v>Lesotho-Africa</v>
      </c>
      <c r="N1363" s="14" t="str">
        <f>IFERROR(__xludf.DUMMYFUNCTION("""COMPUTED_VALUE"""),"2009")</f>
        <v>2009</v>
      </c>
      <c r="O1363" s="14">
        <f>IFERROR(__xludf.DUMMYFUNCTION("""COMPUTED_VALUE"""),2.47E8)</f>
        <v>247000000</v>
      </c>
      <c r="P1363" s="15">
        <f>IFERROR(__xludf.DUMMYFUNCTION("ARRAYFORMULA(VLOOKUP(A1363,IMPORTRANGE(""https://docs.google.com/spreadsheets/d/1BuTWp7qHGjWhqrnf-OmePP568O4A5Am9ttzvVdP67zw/edit#gid=771602874"" ,""HUMAN RESOURCES!$A$2:$M$2692""), {2,3,4,5,6,7,8,9,10,11,12,13},0))"),0.028)</f>
        <v>0.028</v>
      </c>
      <c r="Q1363" s="14">
        <f>IFERROR(__xludf.DUMMYFUNCTION("""COMPUTED_VALUE"""),0.08)</f>
        <v>0.08</v>
      </c>
      <c r="R1363" s="14">
        <f>IFERROR(__xludf.DUMMYFUNCTION("""COMPUTED_VALUE"""),47.0)</f>
        <v>47</v>
      </c>
      <c r="S1363" s="14">
        <f>IFERROR(__xludf.DUMMYFUNCTION("""COMPUTED_VALUE"""),46.0)</f>
        <v>46</v>
      </c>
      <c r="T1363" s="14">
        <f>IFERROR(__xludf.DUMMYFUNCTION("""COMPUTED_VALUE"""),0.381)</f>
        <v>0.381</v>
      </c>
      <c r="U1363" s="14">
        <f>IFERROR(__xludf.DUMMYFUNCTION("""COMPUTED_VALUE"""),0.576)</f>
        <v>0.576</v>
      </c>
      <c r="V1363" s="14">
        <f>IFERROR(__xludf.DUMMYFUNCTION("""COMPUTED_VALUE"""),0.043)</f>
        <v>0.043</v>
      </c>
      <c r="W1363" s="14">
        <f>IFERROR(__xludf.DUMMYFUNCTION("""COMPUTED_VALUE"""),1989873.0)</f>
        <v>1989873</v>
      </c>
      <c r="X1363" s="14">
        <f>IFERROR(__xludf.DUMMYFUNCTION("""COMPUTED_VALUE"""),0.243)</f>
        <v>0.243</v>
      </c>
      <c r="Y1363" s="14" t="str">
        <f>IFERROR(__xludf.DUMMYFUNCTION("""COMPUTED_VALUE"""),"Lesotho-Africa")</f>
        <v>Lesotho-Africa</v>
      </c>
      <c r="Z1363" s="14" t="str">
        <f>IFERROR(__xludf.DUMMYFUNCTION("""COMPUTED_VALUE"""),"Africa")</f>
        <v>Africa</v>
      </c>
      <c r="AA1363" s="14" t="str">
        <f>IFERROR(__xludf.DUMMYFUNCTION("""COMPUTED_VALUE"""),"2009")</f>
        <v>2009</v>
      </c>
      <c r="AB1363" s="15" t="str">
        <f>IFERROR(__xludf.DUMMYFUNCTION("ARRAYFORMULA(VLOOKUP(A1363,IMPORTRANGE(""https://docs.google.com/spreadsheets/d/1BuTWp7qHGjWhqrnf-OmePP568O4A5Am9ttzvVdP67zw/edit#gid=1931367683"" ,""ENERGY!$A$2:$F$2692""), {2,3,4,5,6},0))"),"Africa")</f>
        <v>Africa</v>
      </c>
      <c r="AC1363" s="14" t="str">
        <f>IFERROR(__xludf.DUMMYFUNCTION("""COMPUTED_VALUE"""),"Lesotho-Africa")</f>
        <v>Lesotho-Africa</v>
      </c>
      <c r="AD1363" s="14" t="str">
        <f>IFERROR(__xludf.DUMMYFUNCTION("""COMPUTED_VALUE"""),"2010")</f>
        <v>2010</v>
      </c>
      <c r="AE1363" s="14"/>
      <c r="AF1363" s="14"/>
    </row>
    <row r="1364">
      <c r="A1364" s="12">
        <v>1363.0</v>
      </c>
      <c r="B1364" s="12" t="s">
        <v>183</v>
      </c>
      <c r="C1364" s="5" t="s">
        <v>77</v>
      </c>
      <c r="D1364" s="11">
        <v>0.196</v>
      </c>
      <c r="E1364" s="11">
        <v>40.0</v>
      </c>
      <c r="F1364" s="8"/>
      <c r="G1364" s="11">
        <v>324.0</v>
      </c>
      <c r="H1364" s="11">
        <v>0.039</v>
      </c>
      <c r="I1364" s="11">
        <v>0.492</v>
      </c>
      <c r="J1364" s="9" t="s">
        <v>71</v>
      </c>
      <c r="K1364" s="14" t="str">
        <f>IFERROR(__xludf.DUMMYFUNCTION("ARRAYFORMULA(VLOOKUP(A1364,IMPORTRANGE(""https://docs.google.com/spreadsheets/d/1BuTWp7qHGjWhqrnf-OmePP568O4A5Am9ttzvVdP67zw/edit#gid=1603210130"", ""TOURISM!$A$2:$F$2692""), {2,3,4,5,6},0))"),"Africa")</f>
        <v>Africa</v>
      </c>
      <c r="L1364" s="14">
        <f>IFERROR(__xludf.DUMMYFUNCTION("""COMPUTED_VALUE"""),2.5E7)</f>
        <v>25000000</v>
      </c>
      <c r="M1364" s="14" t="str">
        <f>IFERROR(__xludf.DUMMYFUNCTION("""COMPUTED_VALUE"""),"Lesotho-Africa")</f>
        <v>Lesotho-Africa</v>
      </c>
      <c r="N1364" s="14" t="str">
        <f>IFERROR(__xludf.DUMMYFUNCTION("""COMPUTED_VALUE"""),"2010")</f>
        <v>2010</v>
      </c>
      <c r="O1364" s="14">
        <f>IFERROR(__xludf.DUMMYFUNCTION("""COMPUTED_VALUE"""),2.78E8)</f>
        <v>278000000</v>
      </c>
      <c r="P1364" s="15">
        <f>IFERROR(__xludf.DUMMYFUNCTION("ARRAYFORMULA(VLOOKUP(A1364,IMPORTRANGE(""https://docs.google.com/spreadsheets/d/1BuTWp7qHGjWhqrnf-OmePP568O4A5Am9ttzvVdP67zw/edit#gid=771602874"" ,""HUMAN RESOURCES!$A$2:$M$2692""), {2,3,4,5,6,7,8,9,10,11,12,13},0))"),0.028)</f>
        <v>0.028</v>
      </c>
      <c r="Q1364" s="14">
        <f>IFERROR(__xludf.DUMMYFUNCTION("""COMPUTED_VALUE"""),0.077)</f>
        <v>0.077</v>
      </c>
      <c r="R1364" s="14">
        <f>IFERROR(__xludf.DUMMYFUNCTION("""COMPUTED_VALUE"""),48.0)</f>
        <v>48</v>
      </c>
      <c r="S1364" s="14">
        <f>IFERROR(__xludf.DUMMYFUNCTION("""COMPUTED_VALUE"""),47.0)</f>
        <v>47</v>
      </c>
      <c r="T1364" s="14">
        <f>IFERROR(__xludf.DUMMYFUNCTION("""COMPUTED_VALUE"""),0.376)</f>
        <v>0.376</v>
      </c>
      <c r="U1364" s="14">
        <f>IFERROR(__xludf.DUMMYFUNCTION("""COMPUTED_VALUE"""),0.581)</f>
        <v>0.581</v>
      </c>
      <c r="V1364" s="14">
        <f>IFERROR(__xludf.DUMMYFUNCTION("""COMPUTED_VALUE"""),0.043)</f>
        <v>0.043</v>
      </c>
      <c r="W1364" s="14">
        <f>IFERROR(__xludf.DUMMYFUNCTION("""COMPUTED_VALUE"""),2008921.0)</f>
        <v>2008921</v>
      </c>
      <c r="X1364" s="14">
        <f>IFERROR(__xludf.DUMMYFUNCTION("""COMPUTED_VALUE"""),0.248)</f>
        <v>0.248</v>
      </c>
      <c r="Y1364" s="14" t="str">
        <f>IFERROR(__xludf.DUMMYFUNCTION("""COMPUTED_VALUE"""),"Lesotho-Africa")</f>
        <v>Lesotho-Africa</v>
      </c>
      <c r="Z1364" s="14" t="str">
        <f>IFERROR(__xludf.DUMMYFUNCTION("""COMPUTED_VALUE"""),"Africa")</f>
        <v>Africa</v>
      </c>
      <c r="AA1364" s="14" t="str">
        <f>IFERROR(__xludf.DUMMYFUNCTION("""COMPUTED_VALUE"""),"2010")</f>
        <v>2010</v>
      </c>
      <c r="AB1364" s="15" t="str">
        <f>IFERROR(__xludf.DUMMYFUNCTION("ARRAYFORMULA(VLOOKUP(A1364,IMPORTRANGE(""https://docs.google.com/spreadsheets/d/1BuTWp7qHGjWhqrnf-OmePP568O4A5Am9ttzvVdP67zw/edit#gid=1931367683"" ,""ENERGY!$A$2:$F$2692""), {2,3,4,5,6},0))"),"Africa")</f>
        <v>Africa</v>
      </c>
      <c r="AC1364" s="14" t="str">
        <f>IFERROR(__xludf.DUMMYFUNCTION("""COMPUTED_VALUE"""),"Lesotho-Africa")</f>
        <v>Lesotho-Africa</v>
      </c>
      <c r="AD1364" s="14" t="str">
        <f>IFERROR(__xludf.DUMMYFUNCTION("""COMPUTED_VALUE"""),"2012")</f>
        <v>2012</v>
      </c>
      <c r="AE1364" s="14"/>
      <c r="AF1364" s="14"/>
    </row>
    <row r="1365">
      <c r="A1365" s="12">
        <v>1364.0</v>
      </c>
      <c r="B1365" s="12" t="s">
        <v>183</v>
      </c>
      <c r="C1365" s="5" t="s">
        <v>77</v>
      </c>
      <c r="D1365" s="11">
        <v>0.16</v>
      </c>
      <c r="E1365" s="11">
        <v>40.0</v>
      </c>
      <c r="F1365" s="8"/>
      <c r="G1365" s="11">
        <v>324.0</v>
      </c>
      <c r="H1365" s="11">
        <v>0.042</v>
      </c>
      <c r="I1365" s="11">
        <v>0.607</v>
      </c>
      <c r="J1365" s="9" t="s">
        <v>72</v>
      </c>
      <c r="K1365" s="14" t="str">
        <f>IFERROR(__xludf.DUMMYFUNCTION("ARRAYFORMULA(VLOOKUP(A1365,IMPORTRANGE(""https://docs.google.com/spreadsheets/d/1BuTWp7qHGjWhqrnf-OmePP568O4A5Am9ttzvVdP67zw/edit#gid=1603210130"", ""TOURISM!$A$2:$F$2692""), {2,3,4,5,6},0))"),"Africa")</f>
        <v>Africa</v>
      </c>
      <c r="L1365" s="14">
        <f>IFERROR(__xludf.DUMMYFUNCTION("""COMPUTED_VALUE"""),2.9E7)</f>
        <v>29000000</v>
      </c>
      <c r="M1365" s="14" t="str">
        <f>IFERROR(__xludf.DUMMYFUNCTION("""COMPUTED_VALUE"""),"Lesotho-Africa")</f>
        <v>Lesotho-Africa</v>
      </c>
      <c r="N1365" s="14" t="str">
        <f>IFERROR(__xludf.DUMMYFUNCTION("""COMPUTED_VALUE"""),"2011")</f>
        <v>2011</v>
      </c>
      <c r="O1365" s="14">
        <f>IFERROR(__xludf.DUMMYFUNCTION("""COMPUTED_VALUE"""),3.0E8)</f>
        <v>300000000</v>
      </c>
      <c r="P1365" s="15">
        <f>IFERROR(__xludf.DUMMYFUNCTION("ARRAYFORMULA(VLOOKUP(A1365,IMPORTRANGE(""https://docs.google.com/spreadsheets/d/1BuTWp7qHGjWhqrnf-OmePP568O4A5Am9ttzvVdP67zw/edit#gid=771602874"" ,""HUMAN RESOURCES!$A$2:$M$2692""), {2,3,4,5,6,7,8,9,10,11,12,13},0))"),0.028)</f>
        <v>0.028</v>
      </c>
      <c r="Q1365" s="14">
        <f>IFERROR(__xludf.DUMMYFUNCTION("""COMPUTED_VALUE"""),0.073)</f>
        <v>0.073</v>
      </c>
      <c r="R1365" s="14">
        <f>IFERROR(__xludf.DUMMYFUNCTION("""COMPUTED_VALUE"""),48.0)</f>
        <v>48</v>
      </c>
      <c r="S1365" s="14">
        <f>IFERROR(__xludf.DUMMYFUNCTION("""COMPUTED_VALUE"""),48.0)</f>
        <v>48</v>
      </c>
      <c r="T1365" s="14">
        <f>IFERROR(__xludf.DUMMYFUNCTION("""COMPUTED_VALUE"""),0.372)</f>
        <v>0.372</v>
      </c>
      <c r="U1365" s="14">
        <f>IFERROR(__xludf.DUMMYFUNCTION("""COMPUTED_VALUE"""),0.586)</f>
        <v>0.586</v>
      </c>
      <c r="V1365" s="14">
        <f>IFERROR(__xludf.DUMMYFUNCTION("""COMPUTED_VALUE"""),0.042)</f>
        <v>0.042</v>
      </c>
      <c r="W1365" s="14">
        <f>IFERROR(__xludf.DUMMYFUNCTION("""COMPUTED_VALUE"""),2029516.0)</f>
        <v>2029516</v>
      </c>
      <c r="X1365" s="14">
        <f>IFERROR(__xludf.DUMMYFUNCTION("""COMPUTED_VALUE"""),0.253)</f>
        <v>0.253</v>
      </c>
      <c r="Y1365" s="14" t="str">
        <f>IFERROR(__xludf.DUMMYFUNCTION("""COMPUTED_VALUE"""),"Lesotho-Africa")</f>
        <v>Lesotho-Africa</v>
      </c>
      <c r="Z1365" s="14" t="str">
        <f>IFERROR(__xludf.DUMMYFUNCTION("""COMPUTED_VALUE"""),"Africa")</f>
        <v>Africa</v>
      </c>
      <c r="AA1365" s="14" t="str">
        <f>IFERROR(__xludf.DUMMYFUNCTION("""COMPUTED_VALUE"""),"2011")</f>
        <v>2011</v>
      </c>
      <c r="AB1365" s="15" t="str">
        <f>IFERROR(__xludf.DUMMYFUNCTION("ARRAYFORMULA(VLOOKUP(A1365,IMPORTRANGE(""https://docs.google.com/spreadsheets/d/1BuTWp7qHGjWhqrnf-OmePP568O4A5Am9ttzvVdP67zw/edit#gid=1931367683"" ,""ENERGY!$A$2:$F$2692""), {2,3,4,5,6},0))"),"Africa")</f>
        <v>Africa</v>
      </c>
      <c r="AC1365" s="14" t="str">
        <f>IFERROR(__xludf.DUMMYFUNCTION("""COMPUTED_VALUE"""),"Lesotho-Africa")</f>
        <v>Lesotho-Africa</v>
      </c>
      <c r="AD1365" s="14" t="str">
        <f>IFERROR(__xludf.DUMMYFUNCTION("""COMPUTED_VALUE"""),"2005")</f>
        <v>2005</v>
      </c>
      <c r="AE1365" s="14"/>
      <c r="AF1365" s="14"/>
    </row>
    <row r="1366">
      <c r="A1366" s="12">
        <v>1365.0</v>
      </c>
      <c r="B1366" s="12" t="s">
        <v>183</v>
      </c>
      <c r="C1366" s="5" t="s">
        <v>77</v>
      </c>
      <c r="D1366" s="11">
        <v>0.16</v>
      </c>
      <c r="E1366" s="11">
        <v>29.0</v>
      </c>
      <c r="F1366" s="11">
        <v>139.0</v>
      </c>
      <c r="G1366" s="11">
        <v>324.0</v>
      </c>
      <c r="H1366" s="11">
        <v>0.046</v>
      </c>
      <c r="I1366" s="11">
        <v>0.753</v>
      </c>
      <c r="J1366" s="9" t="s">
        <v>73</v>
      </c>
      <c r="K1366" s="14" t="str">
        <f>IFERROR(__xludf.DUMMYFUNCTION("ARRAYFORMULA(VLOOKUP(A1366,IMPORTRANGE(""https://docs.google.com/spreadsheets/d/1BuTWp7qHGjWhqrnf-OmePP568O4A5Am9ttzvVdP67zw/edit#gid=1603210130"", ""TOURISM!$A$2:$F$2692""), {2,3,4,5,6},0))"),"Africa")</f>
        <v>Africa</v>
      </c>
      <c r="L1366" s="14">
        <f>IFERROR(__xludf.DUMMYFUNCTION("""COMPUTED_VALUE"""),4.6E7)</f>
        <v>46000000</v>
      </c>
      <c r="M1366" s="14" t="str">
        <f>IFERROR(__xludf.DUMMYFUNCTION("""COMPUTED_VALUE"""),"Lesotho-Africa")</f>
        <v>Lesotho-Africa</v>
      </c>
      <c r="N1366" s="14" t="str">
        <f>IFERROR(__xludf.DUMMYFUNCTION("""COMPUTED_VALUE"""),"2012")</f>
        <v>2012</v>
      </c>
      <c r="O1366" s="14">
        <f>IFERROR(__xludf.DUMMYFUNCTION("""COMPUTED_VALUE"""),2.56E8)</f>
        <v>256000000</v>
      </c>
      <c r="P1366" s="15">
        <f>IFERROR(__xludf.DUMMYFUNCTION("ARRAYFORMULA(VLOOKUP(A1366,IMPORTRANGE(""https://docs.google.com/spreadsheets/d/1BuTWp7qHGjWhqrnf-OmePP568O4A5Am9ttzvVdP67zw/edit#gid=771602874"" ,""HUMAN RESOURCES!$A$2:$M$2692""), {2,3,4,5,6,7,8,9,10,11,12,13},0))"),0.028)</f>
        <v>0.028</v>
      </c>
      <c r="Q1366" s="14">
        <f>IFERROR(__xludf.DUMMYFUNCTION("""COMPUTED_VALUE"""),0.074)</f>
        <v>0.074</v>
      </c>
      <c r="R1366" s="14">
        <f>IFERROR(__xludf.DUMMYFUNCTION("""COMPUTED_VALUE"""),49.0)</f>
        <v>49</v>
      </c>
      <c r="S1366" s="14">
        <f>IFERROR(__xludf.DUMMYFUNCTION("""COMPUTED_VALUE"""),49.0)</f>
        <v>49</v>
      </c>
      <c r="T1366" s="14">
        <f>IFERROR(__xludf.DUMMYFUNCTION("""COMPUTED_VALUE"""),0.368)</f>
        <v>0.368</v>
      </c>
      <c r="U1366" s="14">
        <f>IFERROR(__xludf.DUMMYFUNCTION("""COMPUTED_VALUE"""),0.591)</f>
        <v>0.591</v>
      </c>
      <c r="V1366" s="14">
        <f>IFERROR(__xludf.DUMMYFUNCTION("""COMPUTED_VALUE"""),0.042)</f>
        <v>0.042</v>
      </c>
      <c r="W1366" s="14">
        <f>IFERROR(__xludf.DUMMYFUNCTION("""COMPUTED_VALUE"""),2051545.0)</f>
        <v>2051545</v>
      </c>
      <c r="X1366" s="14">
        <f>IFERROR(__xludf.DUMMYFUNCTION("""COMPUTED_VALUE"""),0.258)</f>
        <v>0.258</v>
      </c>
      <c r="Y1366" s="14" t="str">
        <f>IFERROR(__xludf.DUMMYFUNCTION("""COMPUTED_VALUE"""),"Lesotho-Africa")</f>
        <v>Lesotho-Africa</v>
      </c>
      <c r="Z1366" s="14" t="str">
        <f>IFERROR(__xludf.DUMMYFUNCTION("""COMPUTED_VALUE"""),"Africa")</f>
        <v>Africa</v>
      </c>
      <c r="AA1366" s="14" t="str">
        <f>IFERROR(__xludf.DUMMYFUNCTION("""COMPUTED_VALUE"""),"2012")</f>
        <v>2012</v>
      </c>
      <c r="AB1366" s="15" t="str">
        <f>IFERROR(__xludf.DUMMYFUNCTION("ARRAYFORMULA(VLOOKUP(A1366,IMPORTRANGE(""https://docs.google.com/spreadsheets/d/1BuTWp7qHGjWhqrnf-OmePP568O4A5Am9ttzvVdP67zw/edit#gid=1931367683"" ,""ENERGY!$A$2:$F$2692""), {2,3,4,5,6},0))"),"Africa")</f>
        <v>Africa</v>
      </c>
      <c r="AC1366" s="14" t="str">
        <f>IFERROR(__xludf.DUMMYFUNCTION("""COMPUTED_VALUE"""),"Lesotho-Africa")</f>
        <v>Lesotho-Africa</v>
      </c>
      <c r="AD1366" s="14" t="str">
        <f>IFERROR(__xludf.DUMMYFUNCTION("""COMPUTED_VALUE"""),"2010")</f>
        <v>2010</v>
      </c>
      <c r="AE1366" s="14"/>
      <c r="AF1366" s="14"/>
    </row>
    <row r="1367">
      <c r="A1367" s="12">
        <v>1366.0</v>
      </c>
      <c r="B1367" s="12" t="s">
        <v>184</v>
      </c>
      <c r="C1367" s="5" t="s">
        <v>77</v>
      </c>
      <c r="D1367" s="8"/>
      <c r="E1367" s="8"/>
      <c r="F1367" s="8"/>
      <c r="G1367" s="8"/>
      <c r="H1367" s="11">
        <v>0.0</v>
      </c>
      <c r="I1367" s="11">
        <v>0.001</v>
      </c>
      <c r="J1367" s="9" t="s">
        <v>60</v>
      </c>
      <c r="K1367" s="14" t="str">
        <f>IFERROR(__xludf.DUMMYFUNCTION("ARRAYFORMULA(VLOOKUP(A1367,IMPORTRANGE(""https://docs.google.com/spreadsheets/d/1BuTWp7qHGjWhqrnf-OmePP568O4A5Am9ttzvVdP67zw/edit#gid=1603210130"", ""TOURISM!$A$2:$F$2692""), {2,3,4,5,6},0))"),"Africa")</f>
        <v>Africa</v>
      </c>
      <c r="L1367" s="14"/>
      <c r="M1367" s="14" t="str">
        <f>IFERROR(__xludf.DUMMYFUNCTION("""COMPUTED_VALUE"""),"Liberia-Africa")</f>
        <v>Liberia-Africa</v>
      </c>
      <c r="N1367" s="14" t="str">
        <f>IFERROR(__xludf.DUMMYFUNCTION("""COMPUTED_VALUE"""),"2000")</f>
        <v>2000</v>
      </c>
      <c r="O1367" s="14"/>
      <c r="P1367" s="15">
        <f>IFERROR(__xludf.DUMMYFUNCTION("ARRAYFORMULA(VLOOKUP(A1367,IMPORTRANGE(""https://docs.google.com/spreadsheets/d/1BuTWp7qHGjWhqrnf-OmePP568O4A5Am9ttzvVdP67zw/edit#gid=771602874"" ,""HUMAN RESOURCES!$A$2:$M$2692""), {2,3,4,5,6,7,8,9,10,11,12,13},0))"),0.043)</f>
        <v>0.043</v>
      </c>
      <c r="Q1367" s="14">
        <f>IFERROR(__xludf.DUMMYFUNCTION("""COMPUTED_VALUE"""),0.119)</f>
        <v>0.119</v>
      </c>
      <c r="R1367" s="14">
        <f>IFERROR(__xludf.DUMMYFUNCTION("""COMPUTED_VALUE"""),53.0)</f>
        <v>53</v>
      </c>
      <c r="S1367" s="14">
        <f>IFERROR(__xludf.DUMMYFUNCTION("""COMPUTED_VALUE"""),52.0)</f>
        <v>52</v>
      </c>
      <c r="T1367" s="14">
        <f>IFERROR(__xludf.DUMMYFUNCTION("""COMPUTED_VALUE"""),0.432)</f>
        <v>0.432</v>
      </c>
      <c r="U1367" s="14">
        <f>IFERROR(__xludf.DUMMYFUNCTION("""COMPUTED_VALUE"""),0.537)</f>
        <v>0.537</v>
      </c>
      <c r="V1367" s="14">
        <f>IFERROR(__xludf.DUMMYFUNCTION("""COMPUTED_VALUE"""),0.031)</f>
        <v>0.031</v>
      </c>
      <c r="W1367" s="14">
        <f>IFERROR(__xludf.DUMMYFUNCTION("""COMPUTED_VALUE"""),2891968.0)</f>
        <v>2891968</v>
      </c>
      <c r="X1367" s="14">
        <f>IFERROR(__xludf.DUMMYFUNCTION("""COMPUTED_VALUE"""),0.443)</f>
        <v>0.443</v>
      </c>
      <c r="Y1367" s="14" t="str">
        <f>IFERROR(__xludf.DUMMYFUNCTION("""COMPUTED_VALUE"""),"Liberia-Africa")</f>
        <v>Liberia-Africa</v>
      </c>
      <c r="Z1367" s="14" t="str">
        <f>IFERROR(__xludf.DUMMYFUNCTION("""COMPUTED_VALUE"""),"Africa")</f>
        <v>Africa</v>
      </c>
      <c r="AA1367" s="14" t="str">
        <f>IFERROR(__xludf.DUMMYFUNCTION("""COMPUTED_VALUE"""),"2000")</f>
        <v>2000</v>
      </c>
      <c r="AB1367" s="15" t="str">
        <f>IFERROR(__xludf.DUMMYFUNCTION("ARRAYFORMULA(VLOOKUP(A1367,IMPORTRANGE(""https://docs.google.com/spreadsheets/d/1BuTWp7qHGjWhqrnf-OmePP568O4A5Am9ttzvVdP67zw/edit#gid=1931367683"" ,""ENERGY!$A$2:$F$2692""), {2,3,4,5,6},0))"),"Africa")</f>
        <v>Africa</v>
      </c>
      <c r="AC1367" s="14" t="str">
        <f>IFERROR(__xludf.DUMMYFUNCTION("""COMPUTED_VALUE"""),"Liberia-Africa")</f>
        <v>Liberia-Africa</v>
      </c>
      <c r="AD1367" s="14" t="str">
        <f>IFERROR(__xludf.DUMMYFUNCTION("""COMPUTED_VALUE"""),"2000")</f>
        <v>2000</v>
      </c>
      <c r="AE1367" s="14"/>
      <c r="AF1367" s="14"/>
    </row>
    <row r="1368">
      <c r="A1368" s="12">
        <v>1367.0</v>
      </c>
      <c r="B1368" s="12" t="s">
        <v>184</v>
      </c>
      <c r="C1368" s="5" t="s">
        <v>77</v>
      </c>
      <c r="D1368" s="8"/>
      <c r="E1368" s="8"/>
      <c r="F1368" s="8"/>
      <c r="G1368" s="8"/>
      <c r="H1368" s="11">
        <v>0.0</v>
      </c>
      <c r="I1368" s="11">
        <v>0.001</v>
      </c>
      <c r="J1368" s="9" t="s">
        <v>62</v>
      </c>
      <c r="K1368" s="14" t="str">
        <f>IFERROR(__xludf.DUMMYFUNCTION("ARRAYFORMULA(VLOOKUP(A1368,IMPORTRANGE(""https://docs.google.com/spreadsheets/d/1BuTWp7qHGjWhqrnf-OmePP568O4A5Am9ttzvVdP67zw/edit#gid=1603210130"", ""TOURISM!$A$2:$F$2692""), {2,3,4,5,6},0))"),"Africa")</f>
        <v>Africa</v>
      </c>
      <c r="L1368" s="14"/>
      <c r="M1368" s="14" t="str">
        <f>IFERROR(__xludf.DUMMYFUNCTION("""COMPUTED_VALUE"""),"Liberia-Africa")</f>
        <v>Liberia-Africa</v>
      </c>
      <c r="N1368" s="14" t="str">
        <f>IFERROR(__xludf.DUMMYFUNCTION("""COMPUTED_VALUE"""),"2001")</f>
        <v>2001</v>
      </c>
      <c r="O1368" s="14"/>
      <c r="P1368" s="15">
        <f>IFERROR(__xludf.DUMMYFUNCTION("ARRAYFORMULA(VLOOKUP(A1368,IMPORTRANGE(""https://docs.google.com/spreadsheets/d/1BuTWp7qHGjWhqrnf-OmePP568O4A5Am9ttzvVdP67zw/edit#gid=771602874"" ,""HUMAN RESOURCES!$A$2:$M$2692""), {2,3,4,5,6,7,8,9,10,11,12,13},0))"),0.042)</f>
        <v>0.042</v>
      </c>
      <c r="Q1368" s="14">
        <f>IFERROR(__xludf.DUMMYFUNCTION("""COMPUTED_VALUE"""),0.112)</f>
        <v>0.112</v>
      </c>
      <c r="R1368" s="14">
        <f>IFERROR(__xludf.DUMMYFUNCTION("""COMPUTED_VALUE"""),53.0)</f>
        <v>53</v>
      </c>
      <c r="S1368" s="14">
        <f>IFERROR(__xludf.DUMMYFUNCTION("""COMPUTED_VALUE"""),52.0)</f>
        <v>52</v>
      </c>
      <c r="T1368" s="14">
        <f>IFERROR(__xludf.DUMMYFUNCTION("""COMPUTED_VALUE"""),0.432)</f>
        <v>0.432</v>
      </c>
      <c r="U1368" s="14">
        <f>IFERROR(__xludf.DUMMYFUNCTION("""COMPUTED_VALUE"""),0.537)</f>
        <v>0.537</v>
      </c>
      <c r="V1368" s="14">
        <f>IFERROR(__xludf.DUMMYFUNCTION("""COMPUTED_VALUE"""),0.031)</f>
        <v>0.031</v>
      </c>
      <c r="W1368" s="14">
        <f>IFERROR(__xludf.DUMMYFUNCTION("""COMPUTED_VALUE"""),2998770.0)</f>
        <v>2998770</v>
      </c>
      <c r="X1368" s="14">
        <f>IFERROR(__xludf.DUMMYFUNCTION("""COMPUTED_VALUE"""),0.447)</f>
        <v>0.447</v>
      </c>
      <c r="Y1368" s="14" t="str">
        <f>IFERROR(__xludf.DUMMYFUNCTION("""COMPUTED_VALUE"""),"Liberia-Africa")</f>
        <v>Liberia-Africa</v>
      </c>
      <c r="Z1368" s="14" t="str">
        <f>IFERROR(__xludf.DUMMYFUNCTION("""COMPUTED_VALUE"""),"Africa")</f>
        <v>Africa</v>
      </c>
      <c r="AA1368" s="14" t="str">
        <f>IFERROR(__xludf.DUMMYFUNCTION("""COMPUTED_VALUE"""),"2001")</f>
        <v>2001</v>
      </c>
      <c r="AB1368" s="15" t="str">
        <f>IFERROR(__xludf.DUMMYFUNCTION("ARRAYFORMULA(VLOOKUP(A1368,IMPORTRANGE(""https://docs.google.com/spreadsheets/d/1BuTWp7qHGjWhqrnf-OmePP568O4A5Am9ttzvVdP67zw/edit#gid=1931367683"" ,""ENERGY!$A$2:$F$2692""), {2,3,4,5,6},0))"),"Africa")</f>
        <v>Africa</v>
      </c>
      <c r="AC1368" s="14" t="str">
        <f>IFERROR(__xludf.DUMMYFUNCTION("""COMPUTED_VALUE"""),"Liberia-Africa")</f>
        <v>Liberia-Africa</v>
      </c>
      <c r="AD1368" s="14" t="str">
        <f>IFERROR(__xludf.DUMMYFUNCTION("""COMPUTED_VALUE"""),"2001")</f>
        <v>2001</v>
      </c>
      <c r="AE1368" s="14"/>
      <c r="AF1368" s="14"/>
    </row>
    <row r="1369">
      <c r="A1369" s="12">
        <v>1368.0</v>
      </c>
      <c r="B1369" s="12" t="s">
        <v>184</v>
      </c>
      <c r="C1369" s="5" t="s">
        <v>77</v>
      </c>
      <c r="D1369" s="8"/>
      <c r="E1369" s="8"/>
      <c r="F1369" s="8"/>
      <c r="G1369" s="8"/>
      <c r="H1369" s="11">
        <v>0.0</v>
      </c>
      <c r="I1369" s="11">
        <v>0.002</v>
      </c>
      <c r="J1369" s="9" t="s">
        <v>63</v>
      </c>
      <c r="K1369" s="14" t="str">
        <f>IFERROR(__xludf.DUMMYFUNCTION("ARRAYFORMULA(VLOOKUP(A1369,IMPORTRANGE(""https://docs.google.com/spreadsheets/d/1BuTWp7qHGjWhqrnf-OmePP568O4A5Am9ttzvVdP67zw/edit#gid=1603210130"", ""TOURISM!$A$2:$F$2692""), {2,3,4,5,6},0))"),"Africa")</f>
        <v>Africa</v>
      </c>
      <c r="L1369" s="14"/>
      <c r="M1369" s="14" t="str">
        <f>IFERROR(__xludf.DUMMYFUNCTION("""COMPUTED_VALUE"""),"Liberia-Africa")</f>
        <v>Liberia-Africa</v>
      </c>
      <c r="N1369" s="14" t="str">
        <f>IFERROR(__xludf.DUMMYFUNCTION("""COMPUTED_VALUE"""),"2002")</f>
        <v>2002</v>
      </c>
      <c r="O1369" s="14"/>
      <c r="P1369" s="15">
        <f>IFERROR(__xludf.DUMMYFUNCTION("ARRAYFORMULA(VLOOKUP(A1369,IMPORTRANGE(""https://docs.google.com/spreadsheets/d/1BuTWp7qHGjWhqrnf-OmePP568O4A5Am9ttzvVdP67zw/edit#gid=771602874"" ,""HUMAN RESOURCES!$A$2:$M$2692""), {2,3,4,5,6,7,8,9,10,11,12,13},0))"),0.042)</f>
        <v>0.042</v>
      </c>
      <c r="Q1369" s="14">
        <f>IFERROR(__xludf.DUMMYFUNCTION("""COMPUTED_VALUE"""),0.104)</f>
        <v>0.104</v>
      </c>
      <c r="R1369" s="14">
        <f>IFERROR(__xludf.DUMMYFUNCTION("""COMPUTED_VALUE"""),54.0)</f>
        <v>54</v>
      </c>
      <c r="S1369" s="14">
        <f>IFERROR(__xludf.DUMMYFUNCTION("""COMPUTED_VALUE"""),52.0)</f>
        <v>52</v>
      </c>
      <c r="T1369" s="14">
        <f>IFERROR(__xludf.DUMMYFUNCTION("""COMPUTED_VALUE"""),0.432)</f>
        <v>0.432</v>
      </c>
      <c r="U1369" s="14">
        <f>IFERROR(__xludf.DUMMYFUNCTION("""COMPUTED_VALUE"""),0.537)</f>
        <v>0.537</v>
      </c>
      <c r="V1369" s="14">
        <f>IFERROR(__xludf.DUMMYFUNCTION("""COMPUTED_VALUE"""),0.031)</f>
        <v>0.031</v>
      </c>
      <c r="W1369" s="14">
        <f>IFERROR(__xludf.DUMMYFUNCTION("""COMPUTED_VALUE"""),3070673.0)</f>
        <v>3070673</v>
      </c>
      <c r="X1369" s="14">
        <f>IFERROR(__xludf.DUMMYFUNCTION("""COMPUTED_VALUE"""),0.45)</f>
        <v>0.45</v>
      </c>
      <c r="Y1369" s="14" t="str">
        <f>IFERROR(__xludf.DUMMYFUNCTION("""COMPUTED_VALUE"""),"Liberia-Africa")</f>
        <v>Liberia-Africa</v>
      </c>
      <c r="Z1369" s="14" t="str">
        <f>IFERROR(__xludf.DUMMYFUNCTION("""COMPUTED_VALUE"""),"Africa")</f>
        <v>Africa</v>
      </c>
      <c r="AA1369" s="14" t="str">
        <f>IFERROR(__xludf.DUMMYFUNCTION("""COMPUTED_VALUE"""),"2002")</f>
        <v>2002</v>
      </c>
      <c r="AB1369" s="15" t="str">
        <f>IFERROR(__xludf.DUMMYFUNCTION("ARRAYFORMULA(VLOOKUP(A1369,IMPORTRANGE(""https://docs.google.com/spreadsheets/d/1BuTWp7qHGjWhqrnf-OmePP568O4A5Am9ttzvVdP67zw/edit#gid=1931367683"" ,""ENERGY!$A$2:$F$2692""), {2,3,4,5,6},0))"),"Africa")</f>
        <v>Africa</v>
      </c>
      <c r="AC1369" s="14" t="str">
        <f>IFERROR(__xludf.DUMMYFUNCTION("""COMPUTED_VALUE"""),"Liberia-Africa")</f>
        <v>Liberia-Africa</v>
      </c>
      <c r="AD1369" s="14" t="str">
        <f>IFERROR(__xludf.DUMMYFUNCTION("""COMPUTED_VALUE"""),"2002")</f>
        <v>2002</v>
      </c>
      <c r="AE1369" s="14"/>
      <c r="AF1369" s="14">
        <f>IFERROR(__xludf.DUMMYFUNCTION("""COMPUTED_VALUE"""),799.0)</f>
        <v>799</v>
      </c>
    </row>
    <row r="1370">
      <c r="A1370" s="12">
        <v>1369.0</v>
      </c>
      <c r="B1370" s="12" t="s">
        <v>184</v>
      </c>
      <c r="C1370" s="5" t="s">
        <v>77</v>
      </c>
      <c r="D1370" s="8"/>
      <c r="E1370" s="8"/>
      <c r="F1370" s="8"/>
      <c r="G1370" s="8"/>
      <c r="H1370" s="11">
        <v>0.0</v>
      </c>
      <c r="I1370" s="11">
        <v>0.015</v>
      </c>
      <c r="J1370" s="9" t="s">
        <v>64</v>
      </c>
      <c r="K1370" s="14" t="str">
        <f>IFERROR(__xludf.DUMMYFUNCTION("ARRAYFORMULA(VLOOKUP(A1370,IMPORTRANGE(""https://docs.google.com/spreadsheets/d/1BuTWp7qHGjWhqrnf-OmePP568O4A5Am9ttzvVdP67zw/edit#gid=1603210130"", ""TOURISM!$A$2:$F$2692""), {2,3,4,5,6},0))"),"Africa")</f>
        <v>Africa</v>
      </c>
      <c r="L1370" s="14"/>
      <c r="M1370" s="14" t="str">
        <f>IFERROR(__xludf.DUMMYFUNCTION("""COMPUTED_VALUE"""),"Liberia-Africa")</f>
        <v>Liberia-Africa</v>
      </c>
      <c r="N1370" s="14" t="str">
        <f>IFERROR(__xludf.DUMMYFUNCTION("""COMPUTED_VALUE"""),"2003")</f>
        <v>2003</v>
      </c>
      <c r="O1370" s="14"/>
      <c r="P1370" s="15">
        <f>IFERROR(__xludf.DUMMYFUNCTION("ARRAYFORMULA(VLOOKUP(A1370,IMPORTRANGE(""https://docs.google.com/spreadsheets/d/1BuTWp7qHGjWhqrnf-OmePP568O4A5Am9ttzvVdP67zw/edit#gid=771602874"" ,""HUMAN RESOURCES!$A$2:$M$2692""), {2,3,4,5,6,7,8,9,10,11,12,13},0))"),0.041)</f>
        <v>0.041</v>
      </c>
      <c r="Q1370" s="14">
        <f>IFERROR(__xludf.DUMMYFUNCTION("""COMPUTED_VALUE"""),0.097)</f>
        <v>0.097</v>
      </c>
      <c r="R1370" s="14">
        <f>IFERROR(__xludf.DUMMYFUNCTION("""COMPUTED_VALUE"""),54.0)</f>
        <v>54</v>
      </c>
      <c r="S1370" s="14">
        <f>IFERROR(__xludf.DUMMYFUNCTION("""COMPUTED_VALUE"""),53.0)</f>
        <v>53</v>
      </c>
      <c r="T1370" s="14">
        <f>IFERROR(__xludf.DUMMYFUNCTION("""COMPUTED_VALUE"""),0.432)</f>
        <v>0.432</v>
      </c>
      <c r="U1370" s="14">
        <f>IFERROR(__xludf.DUMMYFUNCTION("""COMPUTED_VALUE"""),0.537)</f>
        <v>0.537</v>
      </c>
      <c r="V1370" s="14">
        <f>IFERROR(__xludf.DUMMYFUNCTION("""COMPUTED_VALUE"""),0.03)</f>
        <v>0.03</v>
      </c>
      <c r="W1370" s="14">
        <f>IFERROR(__xludf.DUMMYFUNCTION("""COMPUTED_VALUE"""),3124222.0)</f>
        <v>3124222</v>
      </c>
      <c r="X1370" s="14">
        <f>IFERROR(__xludf.DUMMYFUNCTION("""COMPUTED_VALUE"""),0.454)</f>
        <v>0.454</v>
      </c>
      <c r="Y1370" s="14" t="str">
        <f>IFERROR(__xludf.DUMMYFUNCTION("""COMPUTED_VALUE"""),"Liberia-Africa")</f>
        <v>Liberia-Africa</v>
      </c>
      <c r="Z1370" s="14" t="str">
        <f>IFERROR(__xludf.DUMMYFUNCTION("""COMPUTED_VALUE"""),"Africa")</f>
        <v>Africa</v>
      </c>
      <c r="AA1370" s="14" t="str">
        <f>IFERROR(__xludf.DUMMYFUNCTION("""COMPUTED_VALUE"""),"2003")</f>
        <v>2003</v>
      </c>
      <c r="AB1370" s="15" t="str">
        <f>IFERROR(__xludf.DUMMYFUNCTION("ARRAYFORMULA(VLOOKUP(A1370,IMPORTRANGE(""https://docs.google.com/spreadsheets/d/1BuTWp7qHGjWhqrnf-OmePP568O4A5Am9ttzvVdP67zw/edit#gid=1931367683"" ,""ENERGY!$A$2:$F$2692""), {2,3,4,5,6},0))"),"Africa")</f>
        <v>Africa</v>
      </c>
      <c r="AC1370" s="14" t="str">
        <f>IFERROR(__xludf.DUMMYFUNCTION("""COMPUTED_VALUE"""),"Liberia-Africa")</f>
        <v>Liberia-Africa</v>
      </c>
      <c r="AD1370" s="14" t="str">
        <f>IFERROR(__xludf.DUMMYFUNCTION("""COMPUTED_VALUE"""),"2003")</f>
        <v>2003</v>
      </c>
      <c r="AE1370" s="14"/>
      <c r="AF1370" s="14">
        <f>IFERROR(__xludf.DUMMYFUNCTION("""COMPUTED_VALUE"""),528.0)</f>
        <v>528</v>
      </c>
    </row>
    <row r="1371">
      <c r="A1371" s="12">
        <v>1370.0</v>
      </c>
      <c r="B1371" s="12" t="s">
        <v>184</v>
      </c>
      <c r="C1371" s="5" t="s">
        <v>77</v>
      </c>
      <c r="D1371" s="8"/>
      <c r="E1371" s="8"/>
      <c r="F1371" s="8"/>
      <c r="G1371" s="8"/>
      <c r="H1371" s="11">
        <v>0.0</v>
      </c>
      <c r="I1371" s="11">
        <v>0.03</v>
      </c>
      <c r="J1371" s="9" t="s">
        <v>65</v>
      </c>
      <c r="K1371" s="14" t="str">
        <f>IFERROR(__xludf.DUMMYFUNCTION("ARRAYFORMULA(VLOOKUP(A1371,IMPORTRANGE(""https://docs.google.com/spreadsheets/d/1BuTWp7qHGjWhqrnf-OmePP568O4A5Am9ttzvVdP67zw/edit#gid=1603210130"", ""TOURISM!$A$2:$F$2692""), {2,3,4,5,6},0))"),"Africa")</f>
        <v>Africa</v>
      </c>
      <c r="L1371" s="14">
        <f>IFERROR(__xludf.DUMMYFUNCTION("""COMPUTED_VALUE"""),5.9E7)</f>
        <v>59000000</v>
      </c>
      <c r="M1371" s="14" t="str">
        <f>IFERROR(__xludf.DUMMYFUNCTION("""COMPUTED_VALUE"""),"Liberia-Africa")</f>
        <v>Liberia-Africa</v>
      </c>
      <c r="N1371" s="14" t="str">
        <f>IFERROR(__xludf.DUMMYFUNCTION("""COMPUTED_VALUE"""),"2004")</f>
        <v>2004</v>
      </c>
      <c r="O1371" s="14">
        <f>IFERROR(__xludf.DUMMYFUNCTION("""COMPUTED_VALUE"""),2.9E7)</f>
        <v>29000000</v>
      </c>
      <c r="P1371" s="15">
        <f>IFERROR(__xludf.DUMMYFUNCTION("ARRAYFORMULA(VLOOKUP(A1371,IMPORTRANGE(""https://docs.google.com/spreadsheets/d/1BuTWp7qHGjWhqrnf-OmePP568O4A5Am9ttzvVdP67zw/edit#gid=771602874"" ,""HUMAN RESOURCES!$A$2:$M$2692""), {2,3,4,5,6,7,8,9,10,11,12,13},0))"),0.041)</f>
        <v>0.041</v>
      </c>
      <c r="Q1371" s="14">
        <f>IFERROR(__xludf.DUMMYFUNCTION("""COMPUTED_VALUE"""),0.09)</f>
        <v>0.09</v>
      </c>
      <c r="R1371" s="14">
        <f>IFERROR(__xludf.DUMMYFUNCTION("""COMPUTED_VALUE"""),55.0)</f>
        <v>55</v>
      </c>
      <c r="S1371" s="14">
        <f>IFERROR(__xludf.DUMMYFUNCTION("""COMPUTED_VALUE"""),53.0)</f>
        <v>53</v>
      </c>
      <c r="T1371" s="14">
        <f>IFERROR(__xludf.DUMMYFUNCTION("""COMPUTED_VALUE"""),0.433)</f>
        <v>0.433</v>
      </c>
      <c r="U1371" s="14">
        <f>IFERROR(__xludf.DUMMYFUNCTION("""COMPUTED_VALUE"""),0.537)</f>
        <v>0.537</v>
      </c>
      <c r="V1371" s="14">
        <f>IFERROR(__xludf.DUMMYFUNCTION("""COMPUTED_VALUE"""),0.03)</f>
        <v>0.03</v>
      </c>
      <c r="W1371" s="14">
        <f>IFERROR(__xludf.DUMMYFUNCTION("""COMPUTED_VALUE"""),3184643.0)</f>
        <v>3184643</v>
      </c>
      <c r="X1371" s="14">
        <f>IFERROR(__xludf.DUMMYFUNCTION("""COMPUTED_VALUE"""),0.457)</f>
        <v>0.457</v>
      </c>
      <c r="Y1371" s="14" t="str">
        <f>IFERROR(__xludf.DUMMYFUNCTION("""COMPUTED_VALUE"""),"Liberia-Africa")</f>
        <v>Liberia-Africa</v>
      </c>
      <c r="Z1371" s="14" t="str">
        <f>IFERROR(__xludf.DUMMYFUNCTION("""COMPUTED_VALUE"""),"Africa")</f>
        <v>Africa</v>
      </c>
      <c r="AA1371" s="14" t="str">
        <f>IFERROR(__xludf.DUMMYFUNCTION("""COMPUTED_VALUE"""),"2004")</f>
        <v>2004</v>
      </c>
      <c r="AB1371" s="15" t="str">
        <f>IFERROR(__xludf.DUMMYFUNCTION("ARRAYFORMULA(VLOOKUP(A1371,IMPORTRANGE(""https://docs.google.com/spreadsheets/d/1BuTWp7qHGjWhqrnf-OmePP568O4A5Am9ttzvVdP67zw/edit#gid=1931367683"" ,""ENERGY!$A$2:$F$2692""), {2,3,4,5,6},0))"),"Africa")</f>
        <v>Africa</v>
      </c>
      <c r="AC1371" s="14" t="str">
        <f>IFERROR(__xludf.DUMMYFUNCTION("""COMPUTED_VALUE"""),"Liberia-Africa")</f>
        <v>Liberia-Africa</v>
      </c>
      <c r="AD1371" s="14" t="str">
        <f>IFERROR(__xludf.DUMMYFUNCTION("""COMPUTED_VALUE"""),"2004")</f>
        <v>2004</v>
      </c>
      <c r="AE1371" s="14"/>
      <c r="AF1371" s="14">
        <f>IFERROR(__xludf.DUMMYFUNCTION("""COMPUTED_VALUE"""),576.0)</f>
        <v>576</v>
      </c>
    </row>
    <row r="1372">
      <c r="A1372" s="12">
        <v>1371.0</v>
      </c>
      <c r="B1372" s="12" t="s">
        <v>184</v>
      </c>
      <c r="C1372" s="5" t="s">
        <v>77</v>
      </c>
      <c r="D1372" s="8"/>
      <c r="E1372" s="8"/>
      <c r="F1372" s="8"/>
      <c r="G1372" s="8"/>
      <c r="H1372" s="8"/>
      <c r="I1372" s="11">
        <v>0.049</v>
      </c>
      <c r="J1372" s="9" t="s">
        <v>66</v>
      </c>
      <c r="K1372" s="14" t="str">
        <f>IFERROR(__xludf.DUMMYFUNCTION("ARRAYFORMULA(VLOOKUP(A1372,IMPORTRANGE(""https://docs.google.com/spreadsheets/d/1BuTWp7qHGjWhqrnf-OmePP568O4A5Am9ttzvVdP67zw/edit#gid=1603210130"", ""TOURISM!$A$2:$F$2692""), {2,3,4,5,6},0))"),"Africa")</f>
        <v>Africa</v>
      </c>
      <c r="L1372" s="14">
        <f>IFERROR(__xludf.DUMMYFUNCTION("""COMPUTED_VALUE"""),6.7E7)</f>
        <v>67000000</v>
      </c>
      <c r="M1372" s="14" t="str">
        <f>IFERROR(__xludf.DUMMYFUNCTION("""COMPUTED_VALUE"""),"Liberia-Africa")</f>
        <v>Liberia-Africa</v>
      </c>
      <c r="N1372" s="14" t="str">
        <f>IFERROR(__xludf.DUMMYFUNCTION("""COMPUTED_VALUE"""),"2005")</f>
        <v>2005</v>
      </c>
      <c r="O1372" s="14">
        <f>IFERROR(__xludf.DUMMYFUNCTION("""COMPUTED_VALUE"""),3.3E7)</f>
        <v>33000000</v>
      </c>
      <c r="P1372" s="15">
        <f>IFERROR(__xludf.DUMMYFUNCTION("ARRAYFORMULA(VLOOKUP(A1372,IMPORTRANGE(""https://docs.google.com/spreadsheets/d/1BuTWp7qHGjWhqrnf-OmePP568O4A5Am9ttzvVdP67zw/edit#gid=771602874"" ,""HUMAN RESOURCES!$A$2:$M$2692""), {2,3,4,5,6,7,8,9,10,11,12,13},0))"),0.04)</f>
        <v>0.04</v>
      </c>
      <c r="Q1372" s="14">
        <f>IFERROR(__xludf.DUMMYFUNCTION("""COMPUTED_VALUE"""),0.083)</f>
        <v>0.083</v>
      </c>
      <c r="R1372" s="14">
        <f>IFERROR(__xludf.DUMMYFUNCTION("""COMPUTED_VALUE"""),56.0)</f>
        <v>56</v>
      </c>
      <c r="S1372" s="14">
        <f>IFERROR(__xludf.DUMMYFUNCTION("""COMPUTED_VALUE"""),54.0)</f>
        <v>54</v>
      </c>
      <c r="T1372" s="14">
        <f>IFERROR(__xludf.DUMMYFUNCTION("""COMPUTED_VALUE"""),0.433)</f>
        <v>0.433</v>
      </c>
      <c r="U1372" s="14">
        <f>IFERROR(__xludf.DUMMYFUNCTION("""COMPUTED_VALUE"""),0.537)</f>
        <v>0.537</v>
      </c>
      <c r="V1372" s="14">
        <f>IFERROR(__xludf.DUMMYFUNCTION("""COMPUTED_VALUE"""),0.03)</f>
        <v>0.03</v>
      </c>
      <c r="W1372" s="14">
        <f>IFERROR(__xludf.DUMMYFUNCTION("""COMPUTED_VALUE"""),3269786.0)</f>
        <v>3269786</v>
      </c>
      <c r="X1372" s="14">
        <f>IFERROR(__xludf.DUMMYFUNCTION("""COMPUTED_VALUE"""),0.461)</f>
        <v>0.461</v>
      </c>
      <c r="Y1372" s="14" t="str">
        <f>IFERROR(__xludf.DUMMYFUNCTION("""COMPUTED_VALUE"""),"Liberia-Africa")</f>
        <v>Liberia-Africa</v>
      </c>
      <c r="Z1372" s="14" t="str">
        <f>IFERROR(__xludf.DUMMYFUNCTION("""COMPUTED_VALUE"""),"Africa")</f>
        <v>Africa</v>
      </c>
      <c r="AA1372" s="14" t="str">
        <f>IFERROR(__xludf.DUMMYFUNCTION("""COMPUTED_VALUE"""),"2005")</f>
        <v>2005</v>
      </c>
      <c r="AB1372" s="15" t="str">
        <f>IFERROR(__xludf.DUMMYFUNCTION("ARRAYFORMULA(VLOOKUP(A1372,IMPORTRANGE(""https://docs.google.com/spreadsheets/d/1BuTWp7qHGjWhqrnf-OmePP568O4A5Am9ttzvVdP67zw/edit#gid=1931367683"" ,""ENERGY!$A$2:$F$2692""), {2,3,4,5,6},0))"),"Africa")</f>
        <v>Africa</v>
      </c>
      <c r="AC1372" s="14" t="str">
        <f>IFERROR(__xludf.DUMMYFUNCTION("""COMPUTED_VALUE"""),"Liberia-Africa")</f>
        <v>Liberia-Africa</v>
      </c>
      <c r="AD1372" s="14" t="str">
        <f>IFERROR(__xludf.DUMMYFUNCTION("""COMPUTED_VALUE"""),"2007")</f>
        <v>2007</v>
      </c>
      <c r="AE1372" s="14"/>
      <c r="AF1372" s="14">
        <f>IFERROR(__xludf.DUMMYFUNCTION("""COMPUTED_VALUE"""),678.0)</f>
        <v>678</v>
      </c>
    </row>
    <row r="1373">
      <c r="A1373" s="12">
        <v>1372.0</v>
      </c>
      <c r="B1373" s="12" t="s">
        <v>184</v>
      </c>
      <c r="C1373" s="5" t="s">
        <v>77</v>
      </c>
      <c r="D1373" s="11">
        <v>0.429</v>
      </c>
      <c r="E1373" s="11">
        <v>68.0</v>
      </c>
      <c r="F1373" s="8"/>
      <c r="G1373" s="11">
        <v>158.0</v>
      </c>
      <c r="H1373" s="8"/>
      <c r="I1373" s="11">
        <v>0.083</v>
      </c>
      <c r="J1373" s="9" t="s">
        <v>67</v>
      </c>
      <c r="K1373" s="14" t="str">
        <f>IFERROR(__xludf.DUMMYFUNCTION("ARRAYFORMULA(VLOOKUP(A1373,IMPORTRANGE(""https://docs.google.com/spreadsheets/d/1BuTWp7qHGjWhqrnf-OmePP568O4A5Am9ttzvVdP67zw/edit#gid=1603210130"", ""TOURISM!$A$2:$F$2692""), {2,3,4,5,6},0))"),"Africa")</f>
        <v>Africa</v>
      </c>
      <c r="L1373" s="14">
        <f>IFERROR(__xludf.DUMMYFUNCTION("""COMPUTED_VALUE"""),1.24E8)</f>
        <v>124000000</v>
      </c>
      <c r="M1373" s="14" t="str">
        <f>IFERROR(__xludf.DUMMYFUNCTION("""COMPUTED_VALUE"""),"Liberia-Africa")</f>
        <v>Liberia-Africa</v>
      </c>
      <c r="N1373" s="14" t="str">
        <f>IFERROR(__xludf.DUMMYFUNCTION("""COMPUTED_VALUE"""),"2006")</f>
        <v>2006</v>
      </c>
      <c r="O1373" s="14">
        <f>IFERROR(__xludf.DUMMYFUNCTION("""COMPUTED_VALUE"""),4.1E7)</f>
        <v>41000000</v>
      </c>
      <c r="P1373" s="15">
        <f>IFERROR(__xludf.DUMMYFUNCTION("ARRAYFORMULA(VLOOKUP(A1373,IMPORTRANGE(""https://docs.google.com/spreadsheets/d/1BuTWp7qHGjWhqrnf-OmePP568O4A5Am9ttzvVdP67zw/edit#gid=771602874"" ,""HUMAN RESOURCES!$A$2:$M$2692""), {2,3,4,5,6,7,8,9,10,11,12,13},0))"),0.04)</f>
        <v>0.04</v>
      </c>
      <c r="Q1373" s="14">
        <f>IFERROR(__xludf.DUMMYFUNCTION("""COMPUTED_VALUE"""),0.077)</f>
        <v>0.077</v>
      </c>
      <c r="R1373" s="14">
        <f>IFERROR(__xludf.DUMMYFUNCTION("""COMPUTED_VALUE"""),57.0)</f>
        <v>57</v>
      </c>
      <c r="S1373" s="14">
        <f>IFERROR(__xludf.DUMMYFUNCTION("""COMPUTED_VALUE"""),55.0)</f>
        <v>55</v>
      </c>
      <c r="T1373" s="14">
        <f>IFERROR(__xludf.DUMMYFUNCTION("""COMPUTED_VALUE"""),0.434)</f>
        <v>0.434</v>
      </c>
      <c r="U1373" s="14">
        <f>IFERROR(__xludf.DUMMYFUNCTION("""COMPUTED_VALUE"""),0.536)</f>
        <v>0.536</v>
      </c>
      <c r="V1373" s="14">
        <f>IFERROR(__xludf.DUMMYFUNCTION("""COMPUTED_VALUE"""),0.03)</f>
        <v>0.03</v>
      </c>
      <c r="W1373" s="14">
        <f>IFERROR(__xludf.DUMMYFUNCTION("""COMPUTED_VALUE"""),3384791.0)</f>
        <v>3384791</v>
      </c>
      <c r="X1373" s="14">
        <f>IFERROR(__xludf.DUMMYFUNCTION("""COMPUTED_VALUE"""),0.464)</f>
        <v>0.464</v>
      </c>
      <c r="Y1373" s="14" t="str">
        <f>IFERROR(__xludf.DUMMYFUNCTION("""COMPUTED_VALUE"""),"Liberia-Africa")</f>
        <v>Liberia-Africa</v>
      </c>
      <c r="Z1373" s="14" t="str">
        <f>IFERROR(__xludf.DUMMYFUNCTION("""COMPUTED_VALUE"""),"Africa")</f>
        <v>Africa</v>
      </c>
      <c r="AA1373" s="14" t="str">
        <f>IFERROR(__xludf.DUMMYFUNCTION("""COMPUTED_VALUE"""),"2006")</f>
        <v>2006</v>
      </c>
      <c r="AB1373" s="15" t="str">
        <f>IFERROR(__xludf.DUMMYFUNCTION("ARRAYFORMULA(VLOOKUP(A1373,IMPORTRANGE(""https://docs.google.com/spreadsheets/d/1BuTWp7qHGjWhqrnf-OmePP568O4A5Am9ttzvVdP67zw/edit#gid=1931367683"" ,""ENERGY!$A$2:$F$2692""), {2,3,4,5,6},0))"),"Africa")</f>
        <v>Africa</v>
      </c>
      <c r="AC1373" s="14" t="str">
        <f>IFERROR(__xludf.DUMMYFUNCTION("""COMPUTED_VALUE"""),"Liberia-Africa")</f>
        <v>Liberia-Africa</v>
      </c>
      <c r="AD1373" s="14" t="str">
        <f>IFERROR(__xludf.DUMMYFUNCTION("""COMPUTED_VALUE"""),"2011")</f>
        <v>2011</v>
      </c>
      <c r="AE1373" s="14"/>
      <c r="AF1373" s="14">
        <f>IFERROR(__xludf.DUMMYFUNCTION("""COMPUTED_VALUE"""),759.0)</f>
        <v>759</v>
      </c>
    </row>
    <row r="1374">
      <c r="A1374" s="12">
        <v>1373.0</v>
      </c>
      <c r="B1374" s="12" t="s">
        <v>184</v>
      </c>
      <c r="C1374" s="5" t="s">
        <v>77</v>
      </c>
      <c r="D1374" s="11">
        <v>0.429</v>
      </c>
      <c r="E1374" s="11">
        <v>68.0</v>
      </c>
      <c r="F1374" s="8"/>
      <c r="G1374" s="11">
        <v>158.0</v>
      </c>
      <c r="H1374" s="11">
        <v>0.006</v>
      </c>
      <c r="I1374" s="11">
        <v>0.16</v>
      </c>
      <c r="J1374" s="9" t="s">
        <v>68</v>
      </c>
      <c r="K1374" s="14" t="str">
        <f>IFERROR(__xludf.DUMMYFUNCTION("ARRAYFORMULA(VLOOKUP(A1374,IMPORTRANGE(""https://docs.google.com/spreadsheets/d/1BuTWp7qHGjWhqrnf-OmePP568O4A5Am9ttzvVdP67zw/edit#gid=1603210130"", ""TOURISM!$A$2:$F$2692""), {2,3,4,5,6},0))"),"Africa")</f>
        <v>Africa</v>
      </c>
      <c r="L1374" s="14">
        <f>IFERROR(__xludf.DUMMYFUNCTION("""COMPUTED_VALUE"""),1.31E8)</f>
        <v>131000000</v>
      </c>
      <c r="M1374" s="14" t="str">
        <f>IFERROR(__xludf.DUMMYFUNCTION("""COMPUTED_VALUE"""),"Liberia-Africa")</f>
        <v>Liberia-Africa</v>
      </c>
      <c r="N1374" s="14" t="str">
        <f>IFERROR(__xludf.DUMMYFUNCTION("""COMPUTED_VALUE"""),"2007")</f>
        <v>2007</v>
      </c>
      <c r="O1374" s="14">
        <f>IFERROR(__xludf.DUMMYFUNCTION("""COMPUTED_VALUE"""),4.8E7)</f>
        <v>48000000</v>
      </c>
      <c r="P1374" s="15">
        <f>IFERROR(__xludf.DUMMYFUNCTION("ARRAYFORMULA(VLOOKUP(A1374,IMPORTRANGE(""https://docs.google.com/spreadsheets/d/1BuTWp7qHGjWhqrnf-OmePP568O4A5Am9ttzvVdP67zw/edit#gid=771602874"" ,""HUMAN RESOURCES!$A$2:$M$2692""), {2,3,4,5,6,7,8,9,10,11,12,13},0))"),0.039)</f>
        <v>0.039</v>
      </c>
      <c r="Q1374" s="14">
        <f>IFERROR(__xludf.DUMMYFUNCTION("""COMPUTED_VALUE"""),0.072)</f>
        <v>0.072</v>
      </c>
      <c r="R1374" s="14">
        <f>IFERROR(__xludf.DUMMYFUNCTION("""COMPUTED_VALUE"""),58.0)</f>
        <v>58</v>
      </c>
      <c r="S1374" s="14">
        <f>IFERROR(__xludf.DUMMYFUNCTION("""COMPUTED_VALUE"""),56.0)</f>
        <v>56</v>
      </c>
      <c r="T1374" s="14">
        <f>IFERROR(__xludf.DUMMYFUNCTION("""COMPUTED_VALUE"""),0.434)</f>
        <v>0.434</v>
      </c>
      <c r="U1374" s="14">
        <f>IFERROR(__xludf.DUMMYFUNCTION("""COMPUTED_VALUE"""),0.535)</f>
        <v>0.535</v>
      </c>
      <c r="V1374" s="14">
        <f>IFERROR(__xludf.DUMMYFUNCTION("""COMPUTED_VALUE"""),0.03)</f>
        <v>0.03</v>
      </c>
      <c r="W1374" s="14">
        <f>IFERROR(__xludf.DUMMYFUNCTION("""COMPUTED_VALUE"""),3522294.0)</f>
        <v>3522294</v>
      </c>
      <c r="X1374" s="14">
        <f>IFERROR(__xludf.DUMMYFUNCTION("""COMPUTED_VALUE"""),0.467)</f>
        <v>0.467</v>
      </c>
      <c r="Y1374" s="14" t="str">
        <f>IFERROR(__xludf.DUMMYFUNCTION("""COMPUTED_VALUE"""),"Liberia-Africa")</f>
        <v>Liberia-Africa</v>
      </c>
      <c r="Z1374" s="14" t="str">
        <f>IFERROR(__xludf.DUMMYFUNCTION("""COMPUTED_VALUE"""),"Africa")</f>
        <v>Africa</v>
      </c>
      <c r="AA1374" s="14" t="str">
        <f>IFERROR(__xludf.DUMMYFUNCTION("""COMPUTED_VALUE"""),"2007")</f>
        <v>2007</v>
      </c>
      <c r="AB1374" s="15" t="str">
        <f>IFERROR(__xludf.DUMMYFUNCTION("ARRAYFORMULA(VLOOKUP(A1374,IMPORTRANGE(""https://docs.google.com/spreadsheets/d/1BuTWp7qHGjWhqrnf-OmePP568O4A5Am9ttzvVdP67zw/edit#gid=1931367683"" ,""ENERGY!$A$2:$F$2692""), {2,3,4,5,6},0))"),"Africa")</f>
        <v>Africa</v>
      </c>
      <c r="AC1374" s="14" t="str">
        <f>IFERROR(__xludf.DUMMYFUNCTION("""COMPUTED_VALUE"""),"Liberia-Africa")</f>
        <v>Liberia-Africa</v>
      </c>
      <c r="AD1374" s="14" t="str">
        <f>IFERROR(__xludf.DUMMYFUNCTION("""COMPUTED_VALUE"""),"2008")</f>
        <v>2008</v>
      </c>
      <c r="AE1374" s="14"/>
      <c r="AF1374" s="14">
        <f>IFERROR(__xludf.DUMMYFUNCTION("""COMPUTED_VALUE"""),741.0)</f>
        <v>741</v>
      </c>
    </row>
    <row r="1375">
      <c r="A1375" s="12">
        <v>1374.0</v>
      </c>
      <c r="B1375" s="12" t="s">
        <v>184</v>
      </c>
      <c r="C1375" s="5" t="s">
        <v>77</v>
      </c>
      <c r="D1375" s="11">
        <v>0.429</v>
      </c>
      <c r="E1375" s="11">
        <v>31.0</v>
      </c>
      <c r="F1375" s="8"/>
      <c r="G1375" s="11">
        <v>158.0</v>
      </c>
      <c r="H1375" s="11">
        <v>0.005</v>
      </c>
      <c r="I1375" s="11">
        <v>0.233</v>
      </c>
      <c r="J1375" s="9" t="s">
        <v>69</v>
      </c>
      <c r="K1375" s="14" t="str">
        <f>IFERROR(__xludf.DUMMYFUNCTION("ARRAYFORMULA(VLOOKUP(A1375,IMPORTRANGE(""https://docs.google.com/spreadsheets/d/1BuTWp7qHGjWhqrnf-OmePP568O4A5Am9ttzvVdP67zw/edit#gid=1603210130"", ""TOURISM!$A$2:$F$2692""), {2,3,4,5,6},0))"),"Africa")</f>
        <v>Africa</v>
      </c>
      <c r="L1375" s="14">
        <f>IFERROR(__xludf.DUMMYFUNCTION("""COMPUTED_VALUE"""),1.58E8)</f>
        <v>158000000</v>
      </c>
      <c r="M1375" s="14" t="str">
        <f>IFERROR(__xludf.DUMMYFUNCTION("""COMPUTED_VALUE"""),"Liberia-Africa")</f>
        <v>Liberia-Africa</v>
      </c>
      <c r="N1375" s="14" t="str">
        <f>IFERROR(__xludf.DUMMYFUNCTION("""COMPUTED_VALUE"""),"2008")</f>
        <v>2008</v>
      </c>
      <c r="O1375" s="14">
        <f>IFERROR(__xludf.DUMMYFUNCTION("""COMPUTED_VALUE"""),5.8E7)</f>
        <v>58000000</v>
      </c>
      <c r="P1375" s="15">
        <f>IFERROR(__xludf.DUMMYFUNCTION("ARRAYFORMULA(VLOOKUP(A1375,IMPORTRANGE(""https://docs.google.com/spreadsheets/d/1BuTWp7qHGjWhqrnf-OmePP568O4A5Am9ttzvVdP67zw/edit#gid=771602874"" ,""HUMAN RESOURCES!$A$2:$M$2692""), {2,3,4,5,6,7,8,9,10,11,12,13},0))"),0.038)</f>
        <v>0.038</v>
      </c>
      <c r="Q1375" s="14">
        <f>IFERROR(__xludf.DUMMYFUNCTION("""COMPUTED_VALUE"""),0.067)</f>
        <v>0.067</v>
      </c>
      <c r="R1375" s="14">
        <f>IFERROR(__xludf.DUMMYFUNCTION("""COMPUTED_VALUE"""),59.0)</f>
        <v>59</v>
      </c>
      <c r="S1375" s="14">
        <f>IFERROR(__xludf.DUMMYFUNCTION("""COMPUTED_VALUE"""),57.0)</f>
        <v>57</v>
      </c>
      <c r="T1375" s="14">
        <f>IFERROR(__xludf.DUMMYFUNCTION("""COMPUTED_VALUE"""),0.434)</f>
        <v>0.434</v>
      </c>
      <c r="U1375" s="14">
        <f>IFERROR(__xludf.DUMMYFUNCTION("""COMPUTED_VALUE"""),0.535)</f>
        <v>0.535</v>
      </c>
      <c r="V1375" s="14">
        <f>IFERROR(__xludf.DUMMYFUNCTION("""COMPUTED_VALUE"""),0.031)</f>
        <v>0.031</v>
      </c>
      <c r="W1375" s="14">
        <f>IFERROR(__xludf.DUMMYFUNCTION("""COMPUTED_VALUE"""),3672714.0)</f>
        <v>3672714</v>
      </c>
      <c r="X1375" s="14">
        <f>IFERROR(__xludf.DUMMYFUNCTION("""COMPUTED_VALUE"""),0.471)</f>
        <v>0.471</v>
      </c>
      <c r="Y1375" s="14" t="str">
        <f>IFERROR(__xludf.DUMMYFUNCTION("""COMPUTED_VALUE"""),"Liberia-Africa")</f>
        <v>Liberia-Africa</v>
      </c>
      <c r="Z1375" s="14" t="str">
        <f>IFERROR(__xludf.DUMMYFUNCTION("""COMPUTED_VALUE"""),"Africa")</f>
        <v>Africa</v>
      </c>
      <c r="AA1375" s="14" t="str">
        <f>IFERROR(__xludf.DUMMYFUNCTION("""COMPUTED_VALUE"""),"2008")</f>
        <v>2008</v>
      </c>
      <c r="AB1375" s="15" t="str">
        <f>IFERROR(__xludf.DUMMYFUNCTION("ARRAYFORMULA(VLOOKUP(A1375,IMPORTRANGE(""https://docs.google.com/spreadsheets/d/1BuTWp7qHGjWhqrnf-OmePP568O4A5Am9ttzvVdP67zw/edit#gid=1931367683"" ,""ENERGY!$A$2:$F$2692""), {2,3,4,5,6},0))"),"Africa")</f>
        <v>Africa</v>
      </c>
      <c r="AC1375" s="14" t="str">
        <f>IFERROR(__xludf.DUMMYFUNCTION("""COMPUTED_VALUE"""),"Liberia-Africa")</f>
        <v>Liberia-Africa</v>
      </c>
      <c r="AD1375" s="14" t="str">
        <f>IFERROR(__xludf.DUMMYFUNCTION("""COMPUTED_VALUE"""),"2006")</f>
        <v>2006</v>
      </c>
      <c r="AE1375" s="14"/>
      <c r="AF1375" s="14">
        <f>IFERROR(__xludf.DUMMYFUNCTION("""COMPUTED_VALUE"""),627.0)</f>
        <v>627</v>
      </c>
    </row>
    <row r="1376">
      <c r="A1376" s="12">
        <v>1375.0</v>
      </c>
      <c r="B1376" s="12" t="s">
        <v>184</v>
      </c>
      <c r="C1376" s="5" t="s">
        <v>77</v>
      </c>
      <c r="D1376" s="11">
        <v>0.429</v>
      </c>
      <c r="E1376" s="11">
        <v>20.0</v>
      </c>
      <c r="F1376" s="8"/>
      <c r="G1376" s="11">
        <v>158.0</v>
      </c>
      <c r="H1376" s="11">
        <v>0.005</v>
      </c>
      <c r="I1376" s="11">
        <v>0.284</v>
      </c>
      <c r="J1376" s="9" t="s">
        <v>70</v>
      </c>
      <c r="K1376" s="14" t="str">
        <f>IFERROR(__xludf.DUMMYFUNCTION("ARRAYFORMULA(VLOOKUP(A1376,IMPORTRANGE(""https://docs.google.com/spreadsheets/d/1BuTWp7qHGjWhqrnf-OmePP568O4A5Am9ttzvVdP67zw/edit#gid=1603210130"", ""TOURISM!$A$2:$F$2692""), {2,3,4,5,6},0))"),"Africa")</f>
        <v>Africa</v>
      </c>
      <c r="L1376" s="14">
        <f>IFERROR(__xludf.DUMMYFUNCTION("""COMPUTED_VALUE"""),1.23E8)</f>
        <v>123000000</v>
      </c>
      <c r="M1376" s="14" t="str">
        <f>IFERROR(__xludf.DUMMYFUNCTION("""COMPUTED_VALUE"""),"Liberia-Africa")</f>
        <v>Liberia-Africa</v>
      </c>
      <c r="N1376" s="14" t="str">
        <f>IFERROR(__xludf.DUMMYFUNCTION("""COMPUTED_VALUE"""),"2009")</f>
        <v>2009</v>
      </c>
      <c r="O1376" s="14">
        <f>IFERROR(__xludf.DUMMYFUNCTION("""COMPUTED_VALUE"""),5.1E7)</f>
        <v>51000000</v>
      </c>
      <c r="P1376" s="15">
        <f>IFERROR(__xludf.DUMMYFUNCTION("ARRAYFORMULA(VLOOKUP(A1376,IMPORTRANGE(""https://docs.google.com/spreadsheets/d/1BuTWp7qHGjWhqrnf-OmePP568O4A5Am9ttzvVdP67zw/edit#gid=771602874"" ,""HUMAN RESOURCES!$A$2:$M$2692""), {2,3,4,5,6,7,8,9,10,11,12,13},0))"),0.038)</f>
        <v>0.038</v>
      </c>
      <c r="Q1376" s="14">
        <f>IFERROR(__xludf.DUMMYFUNCTION("""COMPUTED_VALUE"""),0.064)</f>
        <v>0.064</v>
      </c>
      <c r="R1376" s="14">
        <f>IFERROR(__xludf.DUMMYFUNCTION("""COMPUTED_VALUE"""),60.0)</f>
        <v>60</v>
      </c>
      <c r="S1376" s="14">
        <f>IFERROR(__xludf.DUMMYFUNCTION("""COMPUTED_VALUE"""),58.0)</f>
        <v>58</v>
      </c>
      <c r="T1376" s="14">
        <f>IFERROR(__xludf.DUMMYFUNCTION("""COMPUTED_VALUE"""),0.434)</f>
        <v>0.434</v>
      </c>
      <c r="U1376" s="14">
        <f>IFERROR(__xludf.DUMMYFUNCTION("""COMPUTED_VALUE"""),0.535)</f>
        <v>0.535</v>
      </c>
      <c r="V1376" s="14">
        <f>IFERROR(__xludf.DUMMYFUNCTION("""COMPUTED_VALUE"""),0.031)</f>
        <v>0.031</v>
      </c>
      <c r="W1376" s="14">
        <f>IFERROR(__xludf.DUMMYFUNCTION("""COMPUTED_VALUE"""),3821440.0)</f>
        <v>3821440</v>
      </c>
      <c r="X1376" s="14">
        <f>IFERROR(__xludf.DUMMYFUNCTION("""COMPUTED_VALUE"""),0.474)</f>
        <v>0.474</v>
      </c>
      <c r="Y1376" s="14" t="str">
        <f>IFERROR(__xludf.DUMMYFUNCTION("""COMPUTED_VALUE"""),"Liberia-Africa")</f>
        <v>Liberia-Africa</v>
      </c>
      <c r="Z1376" s="14" t="str">
        <f>IFERROR(__xludf.DUMMYFUNCTION("""COMPUTED_VALUE"""),"Africa")</f>
        <v>Africa</v>
      </c>
      <c r="AA1376" s="14" t="str">
        <f>IFERROR(__xludf.DUMMYFUNCTION("""COMPUTED_VALUE"""),"2009")</f>
        <v>2009</v>
      </c>
      <c r="AB1376" s="15" t="str">
        <f>IFERROR(__xludf.DUMMYFUNCTION("ARRAYFORMULA(VLOOKUP(A1376,IMPORTRANGE(""https://docs.google.com/spreadsheets/d/1BuTWp7qHGjWhqrnf-OmePP568O4A5Am9ttzvVdP67zw/edit#gid=1931367683"" ,""ENERGY!$A$2:$F$2692""), {2,3,4,5,6},0))"),"Africa")</f>
        <v>Africa</v>
      </c>
      <c r="AC1376" s="14" t="str">
        <f>IFERROR(__xludf.DUMMYFUNCTION("""COMPUTED_VALUE"""),"Liberia-Africa")</f>
        <v>Liberia-Africa</v>
      </c>
      <c r="AD1376" s="14" t="str">
        <f>IFERROR(__xludf.DUMMYFUNCTION("""COMPUTED_VALUE"""),"2010")</f>
        <v>2010</v>
      </c>
      <c r="AE1376" s="14"/>
      <c r="AF1376" s="14">
        <f>IFERROR(__xludf.DUMMYFUNCTION("""COMPUTED_VALUE"""),532.0)</f>
        <v>532</v>
      </c>
    </row>
    <row r="1377">
      <c r="A1377" s="12">
        <v>1376.0</v>
      </c>
      <c r="B1377" s="12" t="s">
        <v>184</v>
      </c>
      <c r="C1377" s="5" t="s">
        <v>77</v>
      </c>
      <c r="D1377" s="11">
        <v>0.429</v>
      </c>
      <c r="E1377" s="11">
        <v>20.0</v>
      </c>
      <c r="F1377" s="8"/>
      <c r="G1377" s="11">
        <v>141.0</v>
      </c>
      <c r="H1377" s="11">
        <v>0.023</v>
      </c>
      <c r="I1377" s="11">
        <v>0.397</v>
      </c>
      <c r="J1377" s="9" t="s">
        <v>71</v>
      </c>
      <c r="K1377" s="14" t="str">
        <f>IFERROR(__xludf.DUMMYFUNCTION("ARRAYFORMULA(VLOOKUP(A1377,IMPORTRANGE(""https://docs.google.com/spreadsheets/d/1BuTWp7qHGjWhqrnf-OmePP568O4A5Am9ttzvVdP67zw/edit#gid=1603210130"", ""TOURISM!$A$2:$F$2692""), {2,3,4,5,6},0))"),"Africa")</f>
        <v>Africa</v>
      </c>
      <c r="L1377" s="14">
        <f>IFERROR(__xludf.DUMMYFUNCTION("""COMPUTED_VALUE"""),1.2E7)</f>
        <v>12000000</v>
      </c>
      <c r="M1377" s="14" t="str">
        <f>IFERROR(__xludf.DUMMYFUNCTION("""COMPUTED_VALUE"""),"Liberia-Africa")</f>
        <v>Liberia-Africa</v>
      </c>
      <c r="N1377" s="14" t="str">
        <f>IFERROR(__xludf.DUMMYFUNCTION("""COMPUTED_VALUE"""),"2010")</f>
        <v>2010</v>
      </c>
      <c r="O1377" s="14">
        <f>IFERROR(__xludf.DUMMYFUNCTION("""COMPUTED_VALUE"""),1.34E8)</f>
        <v>134000000</v>
      </c>
      <c r="P1377" s="15">
        <f>IFERROR(__xludf.DUMMYFUNCTION("ARRAYFORMULA(VLOOKUP(A1377,IMPORTRANGE(""https://docs.google.com/spreadsheets/d/1BuTWp7qHGjWhqrnf-OmePP568O4A5Am9ttzvVdP67zw/edit#gid=771602874"" ,""HUMAN RESOURCES!$A$2:$M$2692""), {2,3,4,5,6,7,8,9,10,11,12,13},0))"),0.037)</f>
        <v>0.037</v>
      </c>
      <c r="Q1377" s="14">
        <f>IFERROR(__xludf.DUMMYFUNCTION("""COMPUTED_VALUE"""),0.06)</f>
        <v>0.06</v>
      </c>
      <c r="R1377" s="14">
        <f>IFERROR(__xludf.DUMMYFUNCTION("""COMPUTED_VALUE"""),60.0)</f>
        <v>60</v>
      </c>
      <c r="S1377" s="14">
        <f>IFERROR(__xludf.DUMMYFUNCTION("""COMPUTED_VALUE"""),59.0)</f>
        <v>59</v>
      </c>
      <c r="T1377" s="14">
        <f>IFERROR(__xludf.DUMMYFUNCTION("""COMPUTED_VALUE"""),0.433)</f>
        <v>0.433</v>
      </c>
      <c r="U1377" s="14">
        <f>IFERROR(__xludf.DUMMYFUNCTION("""COMPUTED_VALUE"""),0.536)</f>
        <v>0.536</v>
      </c>
      <c r="V1377" s="14">
        <f>IFERROR(__xludf.DUMMYFUNCTION("""COMPUTED_VALUE"""),0.031)</f>
        <v>0.031</v>
      </c>
      <c r="W1377" s="14">
        <f>IFERROR(__xludf.DUMMYFUNCTION("""COMPUTED_VALUE"""),3957990.0)</f>
        <v>3957990</v>
      </c>
      <c r="X1377" s="14">
        <f>IFERROR(__xludf.DUMMYFUNCTION("""COMPUTED_VALUE"""),0.478)</f>
        <v>0.478</v>
      </c>
      <c r="Y1377" s="14" t="str">
        <f>IFERROR(__xludf.DUMMYFUNCTION("""COMPUTED_VALUE"""),"Liberia-Africa")</f>
        <v>Liberia-Africa</v>
      </c>
      <c r="Z1377" s="14" t="str">
        <f>IFERROR(__xludf.DUMMYFUNCTION("""COMPUTED_VALUE"""),"Africa")</f>
        <v>Africa</v>
      </c>
      <c r="AA1377" s="14" t="str">
        <f>IFERROR(__xludf.DUMMYFUNCTION("""COMPUTED_VALUE"""),"2010")</f>
        <v>2010</v>
      </c>
      <c r="AB1377" s="15" t="str">
        <f>IFERROR(__xludf.DUMMYFUNCTION("ARRAYFORMULA(VLOOKUP(A1377,IMPORTRANGE(""https://docs.google.com/spreadsheets/d/1BuTWp7qHGjWhqrnf-OmePP568O4A5Am9ttzvVdP67zw/edit#gid=1931367683"" ,""ENERGY!$A$2:$F$2692""), {2,3,4,5,6},0))"),"Africa")</f>
        <v>Africa</v>
      </c>
      <c r="AC1377" s="14" t="str">
        <f>IFERROR(__xludf.DUMMYFUNCTION("""COMPUTED_VALUE"""),"Liberia-Africa")</f>
        <v>Liberia-Africa</v>
      </c>
      <c r="AD1377" s="14" t="str">
        <f>IFERROR(__xludf.DUMMYFUNCTION("""COMPUTED_VALUE"""),"2012")</f>
        <v>2012</v>
      </c>
      <c r="AE1377" s="14"/>
      <c r="AF1377" s="14">
        <f>IFERROR(__xludf.DUMMYFUNCTION("""COMPUTED_VALUE"""),502.0)</f>
        <v>502</v>
      </c>
    </row>
    <row r="1378">
      <c r="A1378" s="12">
        <v>1377.0</v>
      </c>
      <c r="B1378" s="12" t="s">
        <v>184</v>
      </c>
      <c r="C1378" s="5" t="s">
        <v>77</v>
      </c>
      <c r="D1378" s="11">
        <v>0.429</v>
      </c>
      <c r="E1378" s="11">
        <v>6.0</v>
      </c>
      <c r="F1378" s="8"/>
      <c r="G1378" s="11">
        <v>158.0</v>
      </c>
      <c r="H1378" s="11">
        <v>0.03</v>
      </c>
      <c r="I1378" s="11">
        <v>0.498</v>
      </c>
      <c r="J1378" s="9" t="s">
        <v>72</v>
      </c>
      <c r="K1378" s="14" t="str">
        <f>IFERROR(__xludf.DUMMYFUNCTION("ARRAYFORMULA(VLOOKUP(A1378,IMPORTRANGE(""https://docs.google.com/spreadsheets/d/1BuTWp7qHGjWhqrnf-OmePP568O4A5Am9ttzvVdP67zw/edit#gid=1603210130"", ""TOURISM!$A$2:$F$2692""), {2,3,4,5,6},0))"),"Africa")</f>
        <v>Africa</v>
      </c>
      <c r="L1378" s="14">
        <f>IFERROR(__xludf.DUMMYFUNCTION("""COMPUTED_VALUE"""),2.32E8)</f>
        <v>232000000</v>
      </c>
      <c r="M1378" s="14" t="str">
        <f>IFERROR(__xludf.DUMMYFUNCTION("""COMPUTED_VALUE"""),"Liberia-Africa")</f>
        <v>Liberia-Africa</v>
      </c>
      <c r="N1378" s="14" t="str">
        <f>IFERROR(__xludf.DUMMYFUNCTION("""COMPUTED_VALUE"""),"2011")</f>
        <v>2011</v>
      </c>
      <c r="O1378" s="14">
        <f>IFERROR(__xludf.DUMMYFUNCTION("""COMPUTED_VALUE"""),1.32E8)</f>
        <v>132000000</v>
      </c>
      <c r="P1378" s="15">
        <f>IFERROR(__xludf.DUMMYFUNCTION("ARRAYFORMULA(VLOOKUP(A1378,IMPORTRANGE(""https://docs.google.com/spreadsheets/d/1BuTWp7qHGjWhqrnf-OmePP568O4A5Am9ttzvVdP67zw/edit#gid=771602874"" ,""HUMAN RESOURCES!$A$2:$M$2692""), {2,3,4,5,6,7,8,9,10,11,12,13},0))"),0.037)</f>
        <v>0.037</v>
      </c>
      <c r="Q1378" s="14">
        <f>IFERROR(__xludf.DUMMYFUNCTION("""COMPUTED_VALUE"""),0.058)</f>
        <v>0.058</v>
      </c>
      <c r="R1378" s="14">
        <f>IFERROR(__xludf.DUMMYFUNCTION("""COMPUTED_VALUE"""),61.0)</f>
        <v>61</v>
      </c>
      <c r="S1378" s="14">
        <f>IFERROR(__xludf.DUMMYFUNCTION("""COMPUTED_VALUE"""),59.0)</f>
        <v>59</v>
      </c>
      <c r="T1378" s="14">
        <f>IFERROR(__xludf.DUMMYFUNCTION("""COMPUTED_VALUE"""),0.432)</f>
        <v>0.432</v>
      </c>
      <c r="U1378" s="14">
        <f>IFERROR(__xludf.DUMMYFUNCTION("""COMPUTED_VALUE"""),0.537)</f>
        <v>0.537</v>
      </c>
      <c r="V1378" s="14">
        <f>IFERROR(__xludf.DUMMYFUNCTION("""COMPUTED_VALUE"""),0.031)</f>
        <v>0.031</v>
      </c>
      <c r="W1378" s="14">
        <f>IFERROR(__xludf.DUMMYFUNCTION("""COMPUTED_VALUE"""),4079697.0)</f>
        <v>4079697</v>
      </c>
      <c r="X1378" s="14">
        <f>IFERROR(__xludf.DUMMYFUNCTION("""COMPUTED_VALUE"""),0.482)</f>
        <v>0.482</v>
      </c>
      <c r="Y1378" s="14" t="str">
        <f>IFERROR(__xludf.DUMMYFUNCTION("""COMPUTED_VALUE"""),"Liberia-Africa")</f>
        <v>Liberia-Africa</v>
      </c>
      <c r="Z1378" s="14" t="str">
        <f>IFERROR(__xludf.DUMMYFUNCTION("""COMPUTED_VALUE"""),"Africa")</f>
        <v>Africa</v>
      </c>
      <c r="AA1378" s="14" t="str">
        <f>IFERROR(__xludf.DUMMYFUNCTION("""COMPUTED_VALUE"""),"2011")</f>
        <v>2011</v>
      </c>
      <c r="AB1378" s="15" t="str">
        <f>IFERROR(__xludf.DUMMYFUNCTION("ARRAYFORMULA(VLOOKUP(A1378,IMPORTRANGE(""https://docs.google.com/spreadsheets/d/1BuTWp7qHGjWhqrnf-OmePP568O4A5Am9ttzvVdP67zw/edit#gid=1931367683"" ,""ENERGY!$A$2:$F$2692""), {2,3,4,5,6},0))"),"Africa")</f>
        <v>Africa</v>
      </c>
      <c r="AC1378" s="14" t="str">
        <f>IFERROR(__xludf.DUMMYFUNCTION("""COMPUTED_VALUE"""),"Liberia-Africa")</f>
        <v>Liberia-Africa</v>
      </c>
      <c r="AD1378" s="14" t="str">
        <f>IFERROR(__xludf.DUMMYFUNCTION("""COMPUTED_VALUE"""),"2005")</f>
        <v>2005</v>
      </c>
      <c r="AE1378" s="14"/>
      <c r="AF1378" s="14">
        <f>IFERROR(__xludf.DUMMYFUNCTION("""COMPUTED_VALUE"""),502.0)</f>
        <v>502</v>
      </c>
    </row>
    <row r="1379">
      <c r="A1379" s="12">
        <v>1378.0</v>
      </c>
      <c r="B1379" s="12" t="s">
        <v>184</v>
      </c>
      <c r="C1379" s="5" t="s">
        <v>77</v>
      </c>
      <c r="D1379" s="11">
        <v>0.266</v>
      </c>
      <c r="E1379" s="11">
        <v>6.0</v>
      </c>
      <c r="F1379" s="11">
        <v>149.0</v>
      </c>
      <c r="G1379" s="11">
        <v>158.0</v>
      </c>
      <c r="H1379" s="11">
        <v>0.038</v>
      </c>
      <c r="I1379" s="11">
        <v>0.571</v>
      </c>
      <c r="J1379" s="9" t="s">
        <v>73</v>
      </c>
      <c r="K1379" s="14" t="str">
        <f>IFERROR(__xludf.DUMMYFUNCTION("ARRAYFORMULA(VLOOKUP(A1379,IMPORTRANGE(""https://docs.google.com/spreadsheets/d/1BuTWp7qHGjWhqrnf-OmePP568O4A5Am9ttzvVdP67zw/edit#gid=1603210130"", ""TOURISM!$A$2:$F$2692""), {2,3,4,5,6},0))"),"Africa")</f>
        <v>Africa</v>
      </c>
      <c r="L1379" s="14"/>
      <c r="M1379" s="14" t="str">
        <f>IFERROR(__xludf.DUMMYFUNCTION("""COMPUTED_VALUE"""),"Liberia-Africa")</f>
        <v>Liberia-Africa</v>
      </c>
      <c r="N1379" s="14" t="str">
        <f>IFERROR(__xludf.DUMMYFUNCTION("""COMPUTED_VALUE"""),"2012")</f>
        <v>2012</v>
      </c>
      <c r="O1379" s="14"/>
      <c r="P1379" s="15">
        <f>IFERROR(__xludf.DUMMYFUNCTION("ARRAYFORMULA(VLOOKUP(A1379,IMPORTRANGE(""https://docs.google.com/spreadsheets/d/1BuTWp7qHGjWhqrnf-OmePP568O4A5Am9ttzvVdP67zw/edit#gid=771602874"" ,""HUMAN RESOURCES!$A$2:$M$2692""), {2,3,4,5,6,7,8,9,10,11,12,13},0))"),0.036)</f>
        <v>0.036</v>
      </c>
      <c r="Q1379" s="14">
        <f>IFERROR(__xludf.DUMMYFUNCTION("""COMPUTED_VALUE"""),0.056)</f>
        <v>0.056</v>
      </c>
      <c r="R1379" s="14">
        <f>IFERROR(__xludf.DUMMYFUNCTION("""COMPUTED_VALUE"""),61.0)</f>
        <v>61</v>
      </c>
      <c r="S1379" s="14">
        <f>IFERROR(__xludf.DUMMYFUNCTION("""COMPUTED_VALUE"""),59.0)</f>
        <v>59</v>
      </c>
      <c r="T1379" s="14">
        <f>IFERROR(__xludf.DUMMYFUNCTION("""COMPUTED_VALUE"""),0.431)</f>
        <v>0.431</v>
      </c>
      <c r="U1379" s="14">
        <f>IFERROR(__xludf.DUMMYFUNCTION("""COMPUTED_VALUE"""),0.539)</f>
        <v>0.539</v>
      </c>
      <c r="V1379" s="14">
        <f>IFERROR(__xludf.DUMMYFUNCTION("""COMPUTED_VALUE"""),0.03)</f>
        <v>0.03</v>
      </c>
      <c r="W1379" s="14">
        <f>IFERROR(__xludf.DUMMYFUNCTION("""COMPUTED_VALUE"""),4190435.0)</f>
        <v>4190435</v>
      </c>
      <c r="X1379" s="14">
        <f>IFERROR(__xludf.DUMMYFUNCTION("""COMPUTED_VALUE"""),0.485)</f>
        <v>0.485</v>
      </c>
      <c r="Y1379" s="14" t="str">
        <f>IFERROR(__xludf.DUMMYFUNCTION("""COMPUTED_VALUE"""),"Liberia-Africa")</f>
        <v>Liberia-Africa</v>
      </c>
      <c r="Z1379" s="14" t="str">
        <f>IFERROR(__xludf.DUMMYFUNCTION("""COMPUTED_VALUE"""),"Africa")</f>
        <v>Africa</v>
      </c>
      <c r="AA1379" s="14" t="str">
        <f>IFERROR(__xludf.DUMMYFUNCTION("""COMPUTED_VALUE"""),"2012")</f>
        <v>2012</v>
      </c>
      <c r="AB1379" s="15" t="str">
        <f>IFERROR(__xludf.DUMMYFUNCTION("ARRAYFORMULA(VLOOKUP(A1379,IMPORTRANGE(""https://docs.google.com/spreadsheets/d/1BuTWp7qHGjWhqrnf-OmePP568O4A5Am9ttzvVdP67zw/edit#gid=1931367683"" ,""ENERGY!$A$2:$F$2692""), {2,3,4,5,6},0))"),"Africa")</f>
        <v>Africa</v>
      </c>
      <c r="AC1379" s="14" t="str">
        <f>IFERROR(__xludf.DUMMYFUNCTION("""COMPUTED_VALUE"""),"Liberia-Africa")</f>
        <v>Liberia-Africa</v>
      </c>
      <c r="AD1379" s="14" t="str">
        <f>IFERROR(__xludf.DUMMYFUNCTION("""COMPUTED_VALUE"""),"2010")</f>
        <v>2010</v>
      </c>
      <c r="AE1379" s="14"/>
      <c r="AF1379" s="14">
        <f>IFERROR(__xludf.DUMMYFUNCTION("""COMPUTED_VALUE"""),436.0)</f>
        <v>436</v>
      </c>
    </row>
    <row r="1380">
      <c r="A1380" s="12">
        <v>1379.0</v>
      </c>
      <c r="B1380" s="12" t="s">
        <v>185</v>
      </c>
      <c r="C1380" s="5" t="s">
        <v>77</v>
      </c>
      <c r="D1380" s="8"/>
      <c r="E1380" s="8"/>
      <c r="F1380" s="8"/>
      <c r="G1380" s="8"/>
      <c r="H1380" s="11">
        <v>0.002</v>
      </c>
      <c r="I1380" s="11">
        <v>0.008</v>
      </c>
      <c r="J1380" s="9" t="s">
        <v>60</v>
      </c>
      <c r="K1380" s="14" t="str">
        <f>IFERROR(__xludf.DUMMYFUNCTION("ARRAYFORMULA(VLOOKUP(A1380,IMPORTRANGE(""https://docs.google.com/spreadsheets/d/1BuTWp7qHGjWhqrnf-OmePP568O4A5Am9ttzvVdP67zw/edit#gid=1603210130"", ""TOURISM!$A$2:$F$2692""), {2,3,4,5,6},0))"),"Africa")</f>
        <v>Africa</v>
      </c>
      <c r="L1380" s="14">
        <f>IFERROR(__xludf.DUMMYFUNCTION("""COMPUTED_VALUE"""),8.4E7)</f>
        <v>84000000</v>
      </c>
      <c r="M1380" s="14" t="str">
        <f>IFERROR(__xludf.DUMMYFUNCTION("""COMPUTED_VALUE"""),"Libya-Africa")</f>
        <v>Libya-Africa</v>
      </c>
      <c r="N1380" s="14" t="str">
        <f>IFERROR(__xludf.DUMMYFUNCTION("""COMPUTED_VALUE"""),"2000")</f>
        <v>2000</v>
      </c>
      <c r="O1380" s="14">
        <f>IFERROR(__xludf.DUMMYFUNCTION("""COMPUTED_VALUE"""),4.95E8)</f>
        <v>495000000</v>
      </c>
      <c r="P1380" s="15">
        <f>IFERROR(__xludf.DUMMYFUNCTION("ARRAYFORMULA(VLOOKUP(A1380,IMPORTRANGE(""https://docs.google.com/spreadsheets/d/1BuTWp7qHGjWhqrnf-OmePP568O4A5Am9ttzvVdP67zw/edit#gid=771602874"" ,""HUMAN RESOURCES!$A$2:$M$2692""), {2,3,4,5,6,7,8,9,10,11,12,13},0))"),0.022)</f>
        <v>0.022</v>
      </c>
      <c r="Q1380" s="14">
        <f>IFERROR(__xludf.DUMMYFUNCTION("""COMPUTED_VALUE"""),0.024)</f>
        <v>0.024</v>
      </c>
      <c r="R1380" s="14">
        <f>IFERROR(__xludf.DUMMYFUNCTION("""COMPUTED_VALUE"""),74.0)</f>
        <v>74</v>
      </c>
      <c r="S1380" s="14">
        <f>IFERROR(__xludf.DUMMYFUNCTION("""COMPUTED_VALUE"""),70.0)</f>
        <v>70</v>
      </c>
      <c r="T1380" s="14">
        <f>IFERROR(__xludf.DUMMYFUNCTION("""COMPUTED_VALUE"""),0.333)</f>
        <v>0.333</v>
      </c>
      <c r="U1380" s="14">
        <f>IFERROR(__xludf.DUMMYFUNCTION("""COMPUTED_VALUE"""),0.628)</f>
        <v>0.628</v>
      </c>
      <c r="V1380" s="14">
        <f>IFERROR(__xludf.DUMMYFUNCTION("""COMPUTED_VALUE"""),0.039)</f>
        <v>0.039</v>
      </c>
      <c r="W1380" s="14">
        <f>IFERROR(__xludf.DUMMYFUNCTION("""COMPUTED_VALUE"""),5176185.0)</f>
        <v>5176185</v>
      </c>
      <c r="X1380" s="14">
        <f>IFERROR(__xludf.DUMMYFUNCTION("""COMPUTED_VALUE"""),0.763)</f>
        <v>0.763</v>
      </c>
      <c r="Y1380" s="14" t="str">
        <f>IFERROR(__xludf.DUMMYFUNCTION("""COMPUTED_VALUE"""),"Libya-Africa")</f>
        <v>Libya-Africa</v>
      </c>
      <c r="Z1380" s="14" t="str">
        <f>IFERROR(__xludf.DUMMYFUNCTION("""COMPUTED_VALUE"""),"Africa")</f>
        <v>Africa</v>
      </c>
      <c r="AA1380" s="14" t="str">
        <f>IFERROR(__xludf.DUMMYFUNCTION("""COMPUTED_VALUE"""),"2000")</f>
        <v>2000</v>
      </c>
      <c r="AB1380" s="15" t="str">
        <f>IFERROR(__xludf.DUMMYFUNCTION("ARRAYFORMULA(VLOOKUP(A1380,IMPORTRANGE(""https://docs.google.com/spreadsheets/d/1BuTWp7qHGjWhqrnf-OmePP568O4A5Am9ttzvVdP67zw/edit#gid=1931367683"" ,""ENERGY!$A$2:$F$2692""), {2,3,4,5,6},0))"),"Africa")</f>
        <v>Africa</v>
      </c>
      <c r="AC1380" s="14" t="str">
        <f>IFERROR(__xludf.DUMMYFUNCTION("""COMPUTED_VALUE"""),"Libya-Africa")</f>
        <v>Libya-Africa</v>
      </c>
      <c r="AD1380" s="14" t="str">
        <f>IFERROR(__xludf.DUMMYFUNCTION("""COMPUTED_VALUE"""),"2000")</f>
        <v>2000</v>
      </c>
      <c r="AE1380" s="14"/>
      <c r="AF1380" s="14"/>
    </row>
    <row r="1381">
      <c r="A1381" s="12">
        <v>1380.0</v>
      </c>
      <c r="B1381" s="12" t="s">
        <v>185</v>
      </c>
      <c r="C1381" s="5" t="s">
        <v>77</v>
      </c>
      <c r="D1381" s="8"/>
      <c r="E1381" s="8"/>
      <c r="F1381" s="8"/>
      <c r="G1381" s="8"/>
      <c r="H1381" s="11">
        <v>0.004</v>
      </c>
      <c r="I1381" s="11">
        <v>0.01</v>
      </c>
      <c r="J1381" s="9" t="s">
        <v>62</v>
      </c>
      <c r="K1381" s="14" t="str">
        <f>IFERROR(__xludf.DUMMYFUNCTION("ARRAYFORMULA(VLOOKUP(A1381,IMPORTRANGE(""https://docs.google.com/spreadsheets/d/1BuTWp7qHGjWhqrnf-OmePP568O4A5Am9ttzvVdP67zw/edit#gid=1603210130"", ""TOURISM!$A$2:$F$2692""), {2,3,4,5,6},0))"),"Africa")</f>
        <v>Africa</v>
      </c>
      <c r="L1381" s="14">
        <f>IFERROR(__xludf.DUMMYFUNCTION("""COMPUTED_VALUE"""),9.0E7)</f>
        <v>90000000</v>
      </c>
      <c r="M1381" s="14" t="str">
        <f>IFERROR(__xludf.DUMMYFUNCTION("""COMPUTED_VALUE"""),"Libya-Africa")</f>
        <v>Libya-Africa</v>
      </c>
      <c r="N1381" s="14" t="str">
        <f>IFERROR(__xludf.DUMMYFUNCTION("""COMPUTED_VALUE"""),"2001")</f>
        <v>2001</v>
      </c>
      <c r="O1381" s="14">
        <f>IFERROR(__xludf.DUMMYFUNCTION("""COMPUTED_VALUE"""),5.72E8)</f>
        <v>572000000</v>
      </c>
      <c r="P1381" s="15">
        <f>IFERROR(__xludf.DUMMYFUNCTION("ARRAYFORMULA(VLOOKUP(A1381,IMPORTRANGE(""https://docs.google.com/spreadsheets/d/1BuTWp7qHGjWhqrnf-OmePP568O4A5Am9ttzvVdP67zw/edit#gid=771602874"" ,""HUMAN RESOURCES!$A$2:$M$2692""), {2,3,4,5,6,7,8,9,10,11,12,13},0))"),0.022)</f>
        <v>0.022</v>
      </c>
      <c r="Q1381" s="14">
        <f>IFERROR(__xludf.DUMMYFUNCTION("""COMPUTED_VALUE"""),0.024)</f>
        <v>0.024</v>
      </c>
      <c r="R1381" s="14">
        <f>IFERROR(__xludf.DUMMYFUNCTION("""COMPUTED_VALUE"""),74.0)</f>
        <v>74</v>
      </c>
      <c r="S1381" s="14">
        <f>IFERROR(__xludf.DUMMYFUNCTION("""COMPUTED_VALUE"""),71.0)</f>
        <v>71</v>
      </c>
      <c r="T1381" s="14">
        <f>IFERROR(__xludf.DUMMYFUNCTION("""COMPUTED_VALUE"""),0.326)</f>
        <v>0.326</v>
      </c>
      <c r="U1381" s="14">
        <f>IFERROR(__xludf.DUMMYFUNCTION("""COMPUTED_VALUE"""),0.634)</f>
        <v>0.634</v>
      </c>
      <c r="V1381" s="14">
        <f>IFERROR(__xludf.DUMMYFUNCTION("""COMPUTED_VALUE"""),0.04)</f>
        <v>0.04</v>
      </c>
      <c r="W1381" s="14">
        <f>IFERROR(__xludf.DUMMYFUNCTION("""COMPUTED_VALUE"""),5258677.0)</f>
        <v>5258677</v>
      </c>
      <c r="X1381" s="14">
        <f>IFERROR(__xludf.DUMMYFUNCTION("""COMPUTED_VALUE"""),0.764)</f>
        <v>0.764</v>
      </c>
      <c r="Y1381" s="14" t="str">
        <f>IFERROR(__xludf.DUMMYFUNCTION("""COMPUTED_VALUE"""),"Libya-Africa")</f>
        <v>Libya-Africa</v>
      </c>
      <c r="Z1381" s="14" t="str">
        <f>IFERROR(__xludf.DUMMYFUNCTION("""COMPUTED_VALUE"""),"Africa")</f>
        <v>Africa</v>
      </c>
      <c r="AA1381" s="14" t="str">
        <f>IFERROR(__xludf.DUMMYFUNCTION("""COMPUTED_VALUE"""),"2001")</f>
        <v>2001</v>
      </c>
      <c r="AB1381" s="15" t="str">
        <f>IFERROR(__xludf.DUMMYFUNCTION("ARRAYFORMULA(VLOOKUP(A1381,IMPORTRANGE(""https://docs.google.com/spreadsheets/d/1BuTWp7qHGjWhqrnf-OmePP568O4A5Am9ttzvVdP67zw/edit#gid=1931367683"" ,""ENERGY!$A$2:$F$2692""), {2,3,4,5,6},0))"),"Africa")</f>
        <v>Africa</v>
      </c>
      <c r="AC1381" s="14" t="str">
        <f>IFERROR(__xludf.DUMMYFUNCTION("""COMPUTED_VALUE"""),"Libya-Africa")</f>
        <v>Libya-Africa</v>
      </c>
      <c r="AD1381" s="14" t="str">
        <f>IFERROR(__xludf.DUMMYFUNCTION("""COMPUTED_VALUE"""),"2001")</f>
        <v>2001</v>
      </c>
      <c r="AE1381" s="14">
        <f>IFERROR(__xludf.DUMMYFUNCTION("""COMPUTED_VALUE"""),13342.0)</f>
        <v>13342</v>
      </c>
      <c r="AF1381" s="14"/>
    </row>
    <row r="1382">
      <c r="A1382" s="12">
        <v>1381.0</v>
      </c>
      <c r="B1382" s="12" t="s">
        <v>185</v>
      </c>
      <c r="C1382" s="5" t="s">
        <v>77</v>
      </c>
      <c r="D1382" s="8"/>
      <c r="E1382" s="8"/>
      <c r="F1382" s="8"/>
      <c r="G1382" s="8"/>
      <c r="H1382" s="11">
        <v>0.022</v>
      </c>
      <c r="I1382" s="11">
        <v>0.013</v>
      </c>
      <c r="J1382" s="9" t="s">
        <v>63</v>
      </c>
      <c r="K1382" s="14" t="str">
        <f>IFERROR(__xludf.DUMMYFUNCTION("ARRAYFORMULA(VLOOKUP(A1382,IMPORTRANGE(""https://docs.google.com/spreadsheets/d/1BuTWp7qHGjWhqrnf-OmePP568O4A5Am9ttzvVdP67zw/edit#gid=1603210130"", ""TOURISM!$A$2:$F$2692""), {2,3,4,5,6},0))"),"Africa")</f>
        <v>Africa</v>
      </c>
      <c r="L1382" s="14">
        <f>IFERROR(__xludf.DUMMYFUNCTION("""COMPUTED_VALUE"""),2.02E8)</f>
        <v>202000000</v>
      </c>
      <c r="M1382" s="14" t="str">
        <f>IFERROR(__xludf.DUMMYFUNCTION("""COMPUTED_VALUE"""),"Libya-Africa")</f>
        <v>Libya-Africa</v>
      </c>
      <c r="N1382" s="14" t="str">
        <f>IFERROR(__xludf.DUMMYFUNCTION("""COMPUTED_VALUE"""),"2002")</f>
        <v>2002</v>
      </c>
      <c r="O1382" s="14">
        <f>IFERROR(__xludf.DUMMYFUNCTION("""COMPUTED_VALUE"""),6.54E8)</f>
        <v>654000000</v>
      </c>
      <c r="P1382" s="15">
        <f>IFERROR(__xludf.DUMMYFUNCTION("ARRAYFORMULA(VLOOKUP(A1382,IMPORTRANGE(""https://docs.google.com/spreadsheets/d/1BuTWp7qHGjWhqrnf-OmePP568O4A5Am9ttzvVdP67zw/edit#gid=771602874"" ,""HUMAN RESOURCES!$A$2:$M$2692""), {2,3,4,5,6,7,8,9,10,11,12,13},0))"),0.023)</f>
        <v>0.023</v>
      </c>
      <c r="Q1382" s="14">
        <f>IFERROR(__xludf.DUMMYFUNCTION("""COMPUTED_VALUE"""),0.023)</f>
        <v>0.023</v>
      </c>
      <c r="R1382" s="14">
        <f>IFERROR(__xludf.DUMMYFUNCTION("""COMPUTED_VALUE"""),74.0)</f>
        <v>74</v>
      </c>
      <c r="S1382" s="14">
        <f>IFERROR(__xludf.DUMMYFUNCTION("""COMPUTED_VALUE"""),71.0)</f>
        <v>71</v>
      </c>
      <c r="T1382" s="14">
        <f>IFERROR(__xludf.DUMMYFUNCTION("""COMPUTED_VALUE"""),0.32)</f>
        <v>0.32</v>
      </c>
      <c r="U1382" s="14">
        <f>IFERROR(__xludf.DUMMYFUNCTION("""COMPUTED_VALUE"""),0.64)</f>
        <v>0.64</v>
      </c>
      <c r="V1382" s="14">
        <f>IFERROR(__xludf.DUMMYFUNCTION("""COMPUTED_VALUE"""),0.041)</f>
        <v>0.041</v>
      </c>
      <c r="W1382" s="14">
        <f>IFERROR(__xludf.DUMMYFUNCTION("""COMPUTED_VALUE"""),5340389.0)</f>
        <v>5340389</v>
      </c>
      <c r="X1382" s="14">
        <f>IFERROR(__xludf.DUMMYFUNCTION("""COMPUTED_VALUE"""),0.765)</f>
        <v>0.765</v>
      </c>
      <c r="Y1382" s="14" t="str">
        <f>IFERROR(__xludf.DUMMYFUNCTION("""COMPUTED_VALUE"""),"Libya-Africa")</f>
        <v>Libya-Africa</v>
      </c>
      <c r="Z1382" s="14" t="str">
        <f>IFERROR(__xludf.DUMMYFUNCTION("""COMPUTED_VALUE"""),"Africa")</f>
        <v>Africa</v>
      </c>
      <c r="AA1382" s="14" t="str">
        <f>IFERROR(__xludf.DUMMYFUNCTION("""COMPUTED_VALUE"""),"2002")</f>
        <v>2002</v>
      </c>
      <c r="AB1382" s="15" t="str">
        <f>IFERROR(__xludf.DUMMYFUNCTION("ARRAYFORMULA(VLOOKUP(A1382,IMPORTRANGE(""https://docs.google.com/spreadsheets/d/1BuTWp7qHGjWhqrnf-OmePP568O4A5Am9ttzvVdP67zw/edit#gid=1931367683"" ,""ENERGY!$A$2:$F$2692""), {2,3,4,5,6},0))"),"Africa")</f>
        <v>Africa</v>
      </c>
      <c r="AC1382" s="14" t="str">
        <f>IFERROR(__xludf.DUMMYFUNCTION("""COMPUTED_VALUE"""),"Libya-Africa")</f>
        <v>Libya-Africa</v>
      </c>
      <c r="AD1382" s="14" t="str">
        <f>IFERROR(__xludf.DUMMYFUNCTION("""COMPUTED_VALUE"""),"2002")</f>
        <v>2002</v>
      </c>
      <c r="AE1382" s="14">
        <f>IFERROR(__xludf.DUMMYFUNCTION("""COMPUTED_VALUE"""),21611.0)</f>
        <v>21611</v>
      </c>
      <c r="AF1382" s="14">
        <f>IFERROR(__xludf.DUMMYFUNCTION("""COMPUTED_VALUE"""),59035.0)</f>
        <v>59035</v>
      </c>
    </row>
    <row r="1383">
      <c r="A1383" s="12">
        <v>1382.0</v>
      </c>
      <c r="B1383" s="12" t="s">
        <v>185</v>
      </c>
      <c r="C1383" s="5" t="s">
        <v>77</v>
      </c>
      <c r="D1383" s="8"/>
      <c r="E1383" s="8"/>
      <c r="F1383" s="8"/>
      <c r="G1383" s="8"/>
      <c r="H1383" s="11">
        <v>0.028</v>
      </c>
      <c r="I1383" s="11">
        <v>0.023</v>
      </c>
      <c r="J1383" s="9" t="s">
        <v>64</v>
      </c>
      <c r="K1383" s="14" t="str">
        <f>IFERROR(__xludf.DUMMYFUNCTION("ARRAYFORMULA(VLOOKUP(A1383,IMPORTRANGE(""https://docs.google.com/spreadsheets/d/1BuTWp7qHGjWhqrnf-OmePP568O4A5Am9ttzvVdP67zw/edit#gid=1603210130"", ""TOURISM!$A$2:$F$2692""), {2,3,4,5,6},0))"),"Africa")</f>
        <v>Africa</v>
      </c>
      <c r="L1383" s="14">
        <f>IFERROR(__xludf.DUMMYFUNCTION("""COMPUTED_VALUE"""),2.43E8)</f>
        <v>243000000</v>
      </c>
      <c r="M1383" s="14" t="str">
        <f>IFERROR(__xludf.DUMMYFUNCTION("""COMPUTED_VALUE"""),"Libya-Africa")</f>
        <v>Libya-Africa</v>
      </c>
      <c r="N1383" s="14" t="str">
        <f>IFERROR(__xludf.DUMMYFUNCTION("""COMPUTED_VALUE"""),"2003")</f>
        <v>2003</v>
      </c>
      <c r="O1383" s="14">
        <f>IFERROR(__xludf.DUMMYFUNCTION("""COMPUTED_VALUE"""),6.89E8)</f>
        <v>689000000</v>
      </c>
      <c r="P1383" s="15">
        <f>IFERROR(__xludf.DUMMYFUNCTION("ARRAYFORMULA(VLOOKUP(A1383,IMPORTRANGE(""https://docs.google.com/spreadsheets/d/1BuTWp7qHGjWhqrnf-OmePP568O4A5Am9ttzvVdP67zw/edit#gid=771602874"" ,""HUMAN RESOURCES!$A$2:$M$2692""), {2,3,4,5,6,7,8,9,10,11,12,13},0))"),0.023)</f>
        <v>0.023</v>
      </c>
      <c r="Q1383" s="14">
        <f>IFERROR(__xludf.DUMMYFUNCTION("""COMPUTED_VALUE"""),0.022)</f>
        <v>0.022</v>
      </c>
      <c r="R1383" s="14">
        <f>IFERROR(__xludf.DUMMYFUNCTION("""COMPUTED_VALUE"""),75.0)</f>
        <v>75</v>
      </c>
      <c r="S1383" s="14">
        <f>IFERROR(__xludf.DUMMYFUNCTION("""COMPUTED_VALUE"""),71.0)</f>
        <v>71</v>
      </c>
      <c r="T1383" s="14">
        <f>IFERROR(__xludf.DUMMYFUNCTION("""COMPUTED_VALUE"""),0.315)</f>
        <v>0.315</v>
      </c>
      <c r="U1383" s="14">
        <f>IFERROR(__xludf.DUMMYFUNCTION("""COMPUTED_VALUE"""),0.644)</f>
        <v>0.644</v>
      </c>
      <c r="V1383" s="14">
        <f>IFERROR(__xludf.DUMMYFUNCTION("""COMPUTED_VALUE"""),0.041)</f>
        <v>0.041</v>
      </c>
      <c r="W1383" s="14">
        <f>IFERROR(__xludf.DUMMYFUNCTION("""COMPUTED_VALUE"""),5422612.0)</f>
        <v>5422612</v>
      </c>
      <c r="X1383" s="14">
        <f>IFERROR(__xludf.DUMMYFUNCTION("""COMPUTED_VALUE"""),0.767)</f>
        <v>0.767</v>
      </c>
      <c r="Y1383" s="14" t="str">
        <f>IFERROR(__xludf.DUMMYFUNCTION("""COMPUTED_VALUE"""),"Libya-Africa")</f>
        <v>Libya-Africa</v>
      </c>
      <c r="Z1383" s="14" t="str">
        <f>IFERROR(__xludf.DUMMYFUNCTION("""COMPUTED_VALUE"""),"Africa")</f>
        <v>Africa</v>
      </c>
      <c r="AA1383" s="14" t="str">
        <f>IFERROR(__xludf.DUMMYFUNCTION("""COMPUTED_VALUE"""),"2003")</f>
        <v>2003</v>
      </c>
      <c r="AB1383" s="15" t="str">
        <f>IFERROR(__xludf.DUMMYFUNCTION("ARRAYFORMULA(VLOOKUP(A1383,IMPORTRANGE(""https://docs.google.com/spreadsheets/d/1BuTWp7qHGjWhqrnf-OmePP568O4A5Am9ttzvVdP67zw/edit#gid=1931367683"" ,""ENERGY!$A$2:$F$2692""), {2,3,4,5,6},0))"),"Africa")</f>
        <v>Africa</v>
      </c>
      <c r="AC1383" s="14" t="str">
        <f>IFERROR(__xludf.DUMMYFUNCTION("""COMPUTED_VALUE"""),"Libya-Africa")</f>
        <v>Libya-Africa</v>
      </c>
      <c r="AD1383" s="14" t="str">
        <f>IFERROR(__xludf.DUMMYFUNCTION("""COMPUTED_VALUE"""),"2003")</f>
        <v>2003</v>
      </c>
      <c r="AE1383" s="14">
        <f>IFERROR(__xludf.DUMMYFUNCTION("""COMPUTED_VALUE"""),20286.0)</f>
        <v>20286</v>
      </c>
      <c r="AF1383" s="14">
        <f>IFERROR(__xludf.DUMMYFUNCTION("""COMPUTED_VALUE"""),67674.0)</f>
        <v>67674</v>
      </c>
    </row>
    <row r="1384">
      <c r="A1384" s="12">
        <v>1383.0</v>
      </c>
      <c r="B1384" s="12" t="s">
        <v>185</v>
      </c>
      <c r="C1384" s="5" t="s">
        <v>77</v>
      </c>
      <c r="D1384" s="8"/>
      <c r="E1384" s="8"/>
      <c r="F1384" s="8"/>
      <c r="G1384" s="8"/>
      <c r="H1384" s="11">
        <v>0.035</v>
      </c>
      <c r="I1384" s="11">
        <v>0.091</v>
      </c>
      <c r="J1384" s="9" t="s">
        <v>65</v>
      </c>
      <c r="K1384" s="14" t="str">
        <f>IFERROR(__xludf.DUMMYFUNCTION("ARRAYFORMULA(VLOOKUP(A1384,IMPORTRANGE(""https://docs.google.com/spreadsheets/d/1BuTWp7qHGjWhqrnf-OmePP568O4A5Am9ttzvVdP67zw/edit#gid=1603210130"", ""TOURISM!$A$2:$F$2692""), {2,3,4,5,6},0))"),"Africa")</f>
        <v>Africa</v>
      </c>
      <c r="L1384" s="14">
        <f>IFERROR(__xludf.DUMMYFUNCTION("""COMPUTED_VALUE"""),2.61E8)</f>
        <v>261000000</v>
      </c>
      <c r="M1384" s="14" t="str">
        <f>IFERROR(__xludf.DUMMYFUNCTION("""COMPUTED_VALUE"""),"Libya-Africa")</f>
        <v>Libya-Africa</v>
      </c>
      <c r="N1384" s="14" t="str">
        <f>IFERROR(__xludf.DUMMYFUNCTION("""COMPUTED_VALUE"""),"2004")</f>
        <v>2004</v>
      </c>
      <c r="O1384" s="14">
        <f>IFERROR(__xludf.DUMMYFUNCTION("""COMPUTED_VALUE"""),7.89E8)</f>
        <v>789000000</v>
      </c>
      <c r="P1384" s="15">
        <f>IFERROR(__xludf.DUMMYFUNCTION("ARRAYFORMULA(VLOOKUP(A1384,IMPORTRANGE(""https://docs.google.com/spreadsheets/d/1BuTWp7qHGjWhqrnf-OmePP568O4A5Am9ttzvVdP67zw/edit#gid=771602874"" ,""HUMAN RESOURCES!$A$2:$M$2692""), {2,3,4,5,6,7,8,9,10,11,12,13},0))"),0.023)</f>
        <v>0.023</v>
      </c>
      <c r="Q1384" s="14">
        <f>IFERROR(__xludf.DUMMYFUNCTION("""COMPUTED_VALUE"""),0.021)</f>
        <v>0.021</v>
      </c>
      <c r="R1384" s="14">
        <f>IFERROR(__xludf.DUMMYFUNCTION("""COMPUTED_VALUE"""),75.0)</f>
        <v>75</v>
      </c>
      <c r="S1384" s="14">
        <f>IFERROR(__xludf.DUMMYFUNCTION("""COMPUTED_VALUE"""),72.0)</f>
        <v>72</v>
      </c>
      <c r="T1384" s="14">
        <f>IFERROR(__xludf.DUMMYFUNCTION("""COMPUTED_VALUE"""),0.31)</f>
        <v>0.31</v>
      </c>
      <c r="U1384" s="14">
        <f>IFERROR(__xludf.DUMMYFUNCTION("""COMPUTED_VALUE"""),0.648)</f>
        <v>0.648</v>
      </c>
      <c r="V1384" s="14">
        <f>IFERROR(__xludf.DUMMYFUNCTION("""COMPUTED_VALUE"""),0.042)</f>
        <v>0.042</v>
      </c>
      <c r="W1384" s="14">
        <f>IFERROR(__xludf.DUMMYFUNCTION("""COMPUTED_VALUE"""),5507000.0)</f>
        <v>5507000</v>
      </c>
      <c r="X1384" s="14">
        <f>IFERROR(__xludf.DUMMYFUNCTION("""COMPUTED_VALUE"""),0.768)</f>
        <v>0.768</v>
      </c>
      <c r="Y1384" s="14" t="str">
        <f>IFERROR(__xludf.DUMMYFUNCTION("""COMPUTED_VALUE"""),"Libya-Africa")</f>
        <v>Libya-Africa</v>
      </c>
      <c r="Z1384" s="14" t="str">
        <f>IFERROR(__xludf.DUMMYFUNCTION("""COMPUTED_VALUE"""),"Africa")</f>
        <v>Africa</v>
      </c>
      <c r="AA1384" s="14" t="str">
        <f>IFERROR(__xludf.DUMMYFUNCTION("""COMPUTED_VALUE"""),"2004")</f>
        <v>2004</v>
      </c>
      <c r="AB1384" s="15" t="str">
        <f>IFERROR(__xludf.DUMMYFUNCTION("ARRAYFORMULA(VLOOKUP(A1384,IMPORTRANGE(""https://docs.google.com/spreadsheets/d/1BuTWp7qHGjWhqrnf-OmePP568O4A5Am9ttzvVdP67zw/edit#gid=1931367683"" ,""ENERGY!$A$2:$F$2692""), {2,3,4,5,6},0))"),"Africa")</f>
        <v>Africa</v>
      </c>
      <c r="AC1384" s="14" t="str">
        <f>IFERROR(__xludf.DUMMYFUNCTION("""COMPUTED_VALUE"""),"Libya-Africa")</f>
        <v>Libya-Africa</v>
      </c>
      <c r="AD1384" s="14" t="str">
        <f>IFERROR(__xludf.DUMMYFUNCTION("""COMPUTED_VALUE"""),"2004")</f>
        <v>2004</v>
      </c>
      <c r="AE1384" s="14">
        <f>IFERROR(__xludf.DUMMYFUNCTION("""COMPUTED_VALUE"""),17738.0)</f>
        <v>17738</v>
      </c>
      <c r="AF1384" s="14">
        <f>IFERROR(__xludf.DUMMYFUNCTION("""COMPUTED_VALUE"""),60392.0)</f>
        <v>60392</v>
      </c>
    </row>
    <row r="1385">
      <c r="A1385" s="12">
        <v>1384.0</v>
      </c>
      <c r="B1385" s="12" t="s">
        <v>185</v>
      </c>
      <c r="C1385" s="5" t="s">
        <v>77</v>
      </c>
      <c r="D1385" s="8"/>
      <c r="E1385" s="8"/>
      <c r="F1385" s="8"/>
      <c r="G1385" s="8"/>
      <c r="H1385" s="11">
        <v>0.039</v>
      </c>
      <c r="I1385" s="11">
        <v>0.357</v>
      </c>
      <c r="J1385" s="9" t="s">
        <v>66</v>
      </c>
      <c r="K1385" s="14" t="str">
        <f>IFERROR(__xludf.DUMMYFUNCTION("ARRAYFORMULA(VLOOKUP(A1385,IMPORTRANGE(""https://docs.google.com/spreadsheets/d/1BuTWp7qHGjWhqrnf-OmePP568O4A5Am9ttzvVdP67zw/edit#gid=1603210130"", ""TOURISM!$A$2:$F$2692""), {2,3,4,5,6},0))"),"Africa")</f>
        <v>Africa</v>
      </c>
      <c r="L1385" s="14">
        <f>IFERROR(__xludf.DUMMYFUNCTION("""COMPUTED_VALUE"""),3.01E8)</f>
        <v>301000000</v>
      </c>
      <c r="M1385" s="14" t="str">
        <f>IFERROR(__xludf.DUMMYFUNCTION("""COMPUTED_VALUE"""),"Libya-Africa")</f>
        <v>Libya-Africa</v>
      </c>
      <c r="N1385" s="14" t="str">
        <f>IFERROR(__xludf.DUMMYFUNCTION("""COMPUTED_VALUE"""),"2005")</f>
        <v>2005</v>
      </c>
      <c r="O1385" s="14">
        <f>IFERROR(__xludf.DUMMYFUNCTION("""COMPUTED_VALUE"""),9.2E8)</f>
        <v>920000000</v>
      </c>
      <c r="P1385" s="15">
        <f>IFERROR(__xludf.DUMMYFUNCTION("ARRAYFORMULA(VLOOKUP(A1385,IMPORTRANGE(""https://docs.google.com/spreadsheets/d/1BuTWp7qHGjWhqrnf-OmePP568O4A5Am9ttzvVdP67zw/edit#gid=771602874"" ,""HUMAN RESOURCES!$A$2:$M$2692""), {2,3,4,5,6,7,8,9,10,11,12,13},0))"),0.023)</f>
        <v>0.023</v>
      </c>
      <c r="Q1385" s="14">
        <f>IFERROR(__xludf.DUMMYFUNCTION("""COMPUTED_VALUE"""),0.02)</f>
        <v>0.02</v>
      </c>
      <c r="R1385" s="14">
        <f>IFERROR(__xludf.DUMMYFUNCTION("""COMPUTED_VALUE"""),75.0)</f>
        <v>75</v>
      </c>
      <c r="S1385" s="14">
        <f>IFERROR(__xludf.DUMMYFUNCTION("""COMPUTED_VALUE"""),72.0)</f>
        <v>72</v>
      </c>
      <c r="T1385" s="14">
        <f>IFERROR(__xludf.DUMMYFUNCTION("""COMPUTED_VALUE"""),0.306)</f>
        <v>0.306</v>
      </c>
      <c r="U1385" s="14">
        <f>IFERROR(__xludf.DUMMYFUNCTION("""COMPUTED_VALUE"""),0.651)</f>
        <v>0.651</v>
      </c>
      <c r="V1385" s="14">
        <f>IFERROR(__xludf.DUMMYFUNCTION("""COMPUTED_VALUE"""),0.043)</f>
        <v>0.043</v>
      </c>
      <c r="W1385" s="14">
        <f>IFERROR(__xludf.DUMMYFUNCTION("""COMPUTED_VALUE"""),5594450.0)</f>
        <v>5594450</v>
      </c>
      <c r="X1385" s="14">
        <f>IFERROR(__xludf.DUMMYFUNCTION("""COMPUTED_VALUE"""),0.769)</f>
        <v>0.769</v>
      </c>
      <c r="Y1385" s="14" t="str">
        <f>IFERROR(__xludf.DUMMYFUNCTION("""COMPUTED_VALUE"""),"Libya-Africa")</f>
        <v>Libya-Africa</v>
      </c>
      <c r="Z1385" s="14" t="str">
        <f>IFERROR(__xludf.DUMMYFUNCTION("""COMPUTED_VALUE"""),"Africa")</f>
        <v>Africa</v>
      </c>
      <c r="AA1385" s="14" t="str">
        <f>IFERROR(__xludf.DUMMYFUNCTION("""COMPUTED_VALUE"""),"2005")</f>
        <v>2005</v>
      </c>
      <c r="AB1385" s="15" t="str">
        <f>IFERROR(__xludf.DUMMYFUNCTION("ARRAYFORMULA(VLOOKUP(A1385,IMPORTRANGE(""https://docs.google.com/spreadsheets/d/1BuTWp7qHGjWhqrnf-OmePP568O4A5Am9ttzvVdP67zw/edit#gid=1931367683"" ,""ENERGY!$A$2:$F$2692""), {2,3,4,5,6},0))"),"Africa")</f>
        <v>Africa</v>
      </c>
      <c r="AC1385" s="14" t="str">
        <f>IFERROR(__xludf.DUMMYFUNCTION("""COMPUTED_VALUE"""),"Libya-Africa")</f>
        <v>Libya-Africa</v>
      </c>
      <c r="AD1385" s="14" t="str">
        <f>IFERROR(__xludf.DUMMYFUNCTION("""COMPUTED_VALUE"""),"2007")</f>
        <v>2007</v>
      </c>
      <c r="AE1385" s="14">
        <f>IFERROR(__xludf.DUMMYFUNCTION("""COMPUTED_VALUE"""),17525.0)</f>
        <v>17525</v>
      </c>
      <c r="AF1385" s="14">
        <f>IFERROR(__xludf.DUMMYFUNCTION("""COMPUTED_VALUE"""),54209.0)</f>
        <v>54209</v>
      </c>
    </row>
    <row r="1386">
      <c r="A1386" s="12">
        <v>1385.0</v>
      </c>
      <c r="B1386" s="12" t="s">
        <v>185</v>
      </c>
      <c r="C1386" s="5" t="s">
        <v>77</v>
      </c>
      <c r="D1386" s="8"/>
      <c r="E1386" s="8"/>
      <c r="F1386" s="8"/>
      <c r="G1386" s="8"/>
      <c r="H1386" s="11">
        <v>0.043</v>
      </c>
      <c r="I1386" s="11">
        <v>0.691</v>
      </c>
      <c r="J1386" s="9" t="s">
        <v>67</v>
      </c>
      <c r="K1386" s="14" t="str">
        <f>IFERROR(__xludf.DUMMYFUNCTION("ARRAYFORMULA(VLOOKUP(A1386,IMPORTRANGE(""https://docs.google.com/spreadsheets/d/1BuTWp7qHGjWhqrnf-OmePP568O4A5Am9ttzvVdP67zw/edit#gid=1603210130"", ""TOURISM!$A$2:$F$2692""), {2,3,4,5,6},0))"),"Africa")</f>
        <v>Africa</v>
      </c>
      <c r="L1386" s="14">
        <f>IFERROR(__xludf.DUMMYFUNCTION("""COMPUTED_VALUE"""),2.44E8)</f>
        <v>244000000</v>
      </c>
      <c r="M1386" s="14" t="str">
        <f>IFERROR(__xludf.DUMMYFUNCTION("""COMPUTED_VALUE"""),"Libya-Africa")</f>
        <v>Libya-Africa</v>
      </c>
      <c r="N1386" s="14" t="str">
        <f>IFERROR(__xludf.DUMMYFUNCTION("""COMPUTED_VALUE"""),"2006")</f>
        <v>2006</v>
      </c>
      <c r="O1386" s="14">
        <f>IFERROR(__xludf.DUMMYFUNCTION("""COMPUTED_VALUE"""),9.15E8)</f>
        <v>915000000</v>
      </c>
      <c r="P1386" s="15">
        <f>IFERROR(__xludf.DUMMYFUNCTION("ARRAYFORMULA(VLOOKUP(A1386,IMPORTRANGE(""https://docs.google.com/spreadsheets/d/1BuTWp7qHGjWhqrnf-OmePP568O4A5Am9ttzvVdP67zw/edit#gid=771602874"" ,""HUMAN RESOURCES!$A$2:$M$2692""), {2,3,4,5,6,7,8,9,10,11,12,13},0))"),0.023)</f>
        <v>0.023</v>
      </c>
      <c r="Q1386" s="14">
        <f>IFERROR(__xludf.DUMMYFUNCTION("""COMPUTED_VALUE"""),0.019)</f>
        <v>0.019</v>
      </c>
      <c r="R1386" s="14">
        <f>IFERROR(__xludf.DUMMYFUNCTION("""COMPUTED_VALUE"""),76.0)</f>
        <v>76</v>
      </c>
      <c r="S1386" s="14">
        <f>IFERROR(__xludf.DUMMYFUNCTION("""COMPUTED_VALUE"""),72.0)</f>
        <v>72</v>
      </c>
      <c r="T1386" s="14">
        <f>IFERROR(__xludf.DUMMYFUNCTION("""COMPUTED_VALUE"""),0.303)</f>
        <v>0.303</v>
      </c>
      <c r="U1386" s="14">
        <f>IFERROR(__xludf.DUMMYFUNCTION("""COMPUTED_VALUE"""),0.654)</f>
        <v>0.654</v>
      </c>
      <c r="V1386" s="14">
        <f>IFERROR(__xludf.DUMMYFUNCTION("""COMPUTED_VALUE"""),0.043)</f>
        <v>0.043</v>
      </c>
      <c r="W1386" s="14">
        <f>IFERROR(__xludf.DUMMYFUNCTION("""COMPUTED_VALUE"""),5686475.0)</f>
        <v>5686475</v>
      </c>
      <c r="X1386" s="14">
        <f>IFERROR(__xludf.DUMMYFUNCTION("""COMPUTED_VALUE"""),0.77)</f>
        <v>0.77</v>
      </c>
      <c r="Y1386" s="14" t="str">
        <f>IFERROR(__xludf.DUMMYFUNCTION("""COMPUTED_VALUE"""),"Libya-Africa")</f>
        <v>Libya-Africa</v>
      </c>
      <c r="Z1386" s="14" t="str">
        <f>IFERROR(__xludf.DUMMYFUNCTION("""COMPUTED_VALUE"""),"Africa")</f>
        <v>Africa</v>
      </c>
      <c r="AA1386" s="14" t="str">
        <f>IFERROR(__xludf.DUMMYFUNCTION("""COMPUTED_VALUE"""),"2006")</f>
        <v>2006</v>
      </c>
      <c r="AB1386" s="15" t="str">
        <f>IFERROR(__xludf.DUMMYFUNCTION("ARRAYFORMULA(VLOOKUP(A1386,IMPORTRANGE(""https://docs.google.com/spreadsheets/d/1BuTWp7qHGjWhqrnf-OmePP568O4A5Am9ttzvVdP67zw/edit#gid=1931367683"" ,""ENERGY!$A$2:$F$2692""), {2,3,4,5,6},0))"),"Africa")</f>
        <v>Africa</v>
      </c>
      <c r="AC1386" s="14" t="str">
        <f>IFERROR(__xludf.DUMMYFUNCTION("""COMPUTED_VALUE"""),"Libya-Africa")</f>
        <v>Libya-Africa</v>
      </c>
      <c r="AD1386" s="14" t="str">
        <f>IFERROR(__xludf.DUMMYFUNCTION("""COMPUTED_VALUE"""),"2011")</f>
        <v>2011</v>
      </c>
      <c r="AE1386" s="14">
        <f>IFERROR(__xludf.DUMMYFUNCTION("""COMPUTED_VALUE"""),17899.0)</f>
        <v>17899</v>
      </c>
      <c r="AF1386" s="14">
        <f>IFERROR(__xludf.DUMMYFUNCTION("""COMPUTED_VALUE"""),53788.0)</f>
        <v>53788</v>
      </c>
    </row>
    <row r="1387">
      <c r="A1387" s="12">
        <v>1386.0</v>
      </c>
      <c r="B1387" s="12" t="s">
        <v>185</v>
      </c>
      <c r="C1387" s="5" t="s">
        <v>77</v>
      </c>
      <c r="D1387" s="8"/>
      <c r="E1387" s="8"/>
      <c r="F1387" s="8"/>
      <c r="G1387" s="8"/>
      <c r="H1387" s="11">
        <v>0.047</v>
      </c>
      <c r="I1387" s="11">
        <v>0.778</v>
      </c>
      <c r="J1387" s="9" t="s">
        <v>68</v>
      </c>
      <c r="K1387" s="14" t="str">
        <f>IFERROR(__xludf.DUMMYFUNCTION("ARRAYFORMULA(VLOOKUP(A1387,IMPORTRANGE(""https://docs.google.com/spreadsheets/d/1BuTWp7qHGjWhqrnf-OmePP568O4A5Am9ttzvVdP67zw/edit#gid=1603210130"", ""TOURISM!$A$2:$F$2692""), {2,3,4,5,6},0))"),"Africa")</f>
        <v>Africa</v>
      </c>
      <c r="L1387" s="14">
        <f>IFERROR(__xludf.DUMMYFUNCTION("""COMPUTED_VALUE"""),9.9E7)</f>
        <v>99000000</v>
      </c>
      <c r="M1387" s="14" t="str">
        <f>IFERROR(__xludf.DUMMYFUNCTION("""COMPUTED_VALUE"""),"Libya-Africa")</f>
        <v>Libya-Africa</v>
      </c>
      <c r="N1387" s="14" t="str">
        <f>IFERROR(__xludf.DUMMYFUNCTION("""COMPUTED_VALUE"""),"2007")</f>
        <v>2007</v>
      </c>
      <c r="O1387" s="14">
        <f>IFERROR(__xludf.DUMMYFUNCTION("""COMPUTED_VALUE"""),1.01E9)</f>
        <v>1010000000</v>
      </c>
      <c r="P1387" s="15">
        <f>IFERROR(__xludf.DUMMYFUNCTION("ARRAYFORMULA(VLOOKUP(A1387,IMPORTRANGE(""https://docs.google.com/spreadsheets/d/1BuTWp7qHGjWhqrnf-OmePP568O4A5Am9ttzvVdP67zw/edit#gid=771602874"" ,""HUMAN RESOURCES!$A$2:$M$2692""), {2,3,4,5,6,7,8,9,10,11,12,13},0))"),0.023)</f>
        <v>0.023</v>
      </c>
      <c r="Q1387" s="14">
        <f>IFERROR(__xludf.DUMMYFUNCTION("""COMPUTED_VALUE"""),0.017)</f>
        <v>0.017</v>
      </c>
      <c r="R1387" s="14">
        <f>IFERROR(__xludf.DUMMYFUNCTION("""COMPUTED_VALUE"""),76.0)</f>
        <v>76</v>
      </c>
      <c r="S1387" s="14">
        <f>IFERROR(__xludf.DUMMYFUNCTION("""COMPUTED_VALUE"""),72.0)</f>
        <v>72</v>
      </c>
      <c r="T1387" s="14">
        <f>IFERROR(__xludf.DUMMYFUNCTION("""COMPUTED_VALUE"""),0.3)</f>
        <v>0.3</v>
      </c>
      <c r="U1387" s="14">
        <f>IFERROR(__xludf.DUMMYFUNCTION("""COMPUTED_VALUE"""),0.656)</f>
        <v>0.656</v>
      </c>
      <c r="V1387" s="14">
        <f>IFERROR(__xludf.DUMMYFUNCTION("""COMPUTED_VALUE"""),0.044)</f>
        <v>0.044</v>
      </c>
      <c r="W1387" s="14">
        <f>IFERROR(__xludf.DUMMYFUNCTION("""COMPUTED_VALUE"""),5782108.0)</f>
        <v>5782108</v>
      </c>
      <c r="X1387" s="14">
        <f>IFERROR(__xludf.DUMMYFUNCTION("""COMPUTED_VALUE"""),0.772)</f>
        <v>0.772</v>
      </c>
      <c r="Y1387" s="14" t="str">
        <f>IFERROR(__xludf.DUMMYFUNCTION("""COMPUTED_VALUE"""),"Libya-Africa")</f>
        <v>Libya-Africa</v>
      </c>
      <c r="Z1387" s="14" t="str">
        <f>IFERROR(__xludf.DUMMYFUNCTION("""COMPUTED_VALUE"""),"Africa")</f>
        <v>Africa</v>
      </c>
      <c r="AA1387" s="14" t="str">
        <f>IFERROR(__xludf.DUMMYFUNCTION("""COMPUTED_VALUE"""),"2007")</f>
        <v>2007</v>
      </c>
      <c r="AB1387" s="15" t="str">
        <f>IFERROR(__xludf.DUMMYFUNCTION("ARRAYFORMULA(VLOOKUP(A1387,IMPORTRANGE(""https://docs.google.com/spreadsheets/d/1BuTWp7qHGjWhqrnf-OmePP568O4A5Am9ttzvVdP67zw/edit#gid=1931367683"" ,""ENERGY!$A$2:$F$2692""), {2,3,4,5,6},0))"),"Africa")</f>
        <v>Africa</v>
      </c>
      <c r="AC1387" s="14" t="str">
        <f>IFERROR(__xludf.DUMMYFUNCTION("""COMPUTED_VALUE"""),"Libya-Africa")</f>
        <v>Libya-Africa</v>
      </c>
      <c r="AD1387" s="14" t="str">
        <f>IFERROR(__xludf.DUMMYFUNCTION("""COMPUTED_VALUE"""),"2008")</f>
        <v>2008</v>
      </c>
      <c r="AE1387" s="14">
        <f>IFERROR(__xludf.DUMMYFUNCTION("""COMPUTED_VALUE"""),17670.0)</f>
        <v>17670</v>
      </c>
      <c r="AF1387" s="14">
        <f>IFERROR(__xludf.DUMMYFUNCTION("""COMPUTED_VALUE"""),52108.0)</f>
        <v>52108</v>
      </c>
    </row>
    <row r="1388">
      <c r="A1388" s="12">
        <v>1387.0</v>
      </c>
      <c r="B1388" s="12" t="s">
        <v>185</v>
      </c>
      <c r="C1388" s="5" t="s">
        <v>77</v>
      </c>
      <c r="D1388" s="8"/>
      <c r="E1388" s="8"/>
      <c r="F1388" s="8"/>
      <c r="G1388" s="8"/>
      <c r="H1388" s="11">
        <v>0.09</v>
      </c>
      <c r="I1388" s="11">
        <v>1.256</v>
      </c>
      <c r="J1388" s="9" t="s">
        <v>69</v>
      </c>
      <c r="K1388" s="14" t="str">
        <f>IFERROR(__xludf.DUMMYFUNCTION("ARRAYFORMULA(VLOOKUP(A1388,IMPORTRANGE(""https://docs.google.com/spreadsheets/d/1BuTWp7qHGjWhqrnf-OmePP568O4A5Am9ttzvVdP67zw/edit#gid=1603210130"", ""TOURISM!$A$2:$F$2692""), {2,3,4,5,6},0))"),"Africa")</f>
        <v>Africa</v>
      </c>
      <c r="L1388" s="14">
        <f>IFERROR(__xludf.DUMMYFUNCTION("""COMPUTED_VALUE"""),9.9E7)</f>
        <v>99000000</v>
      </c>
      <c r="M1388" s="14" t="str">
        <f>IFERROR(__xludf.DUMMYFUNCTION("""COMPUTED_VALUE"""),"Libya-Africa")</f>
        <v>Libya-Africa</v>
      </c>
      <c r="N1388" s="14" t="str">
        <f>IFERROR(__xludf.DUMMYFUNCTION("""COMPUTED_VALUE"""),"2008")</f>
        <v>2008</v>
      </c>
      <c r="O1388" s="14">
        <f>IFERROR(__xludf.DUMMYFUNCTION("""COMPUTED_VALUE"""),1.339E9)</f>
        <v>1339000000</v>
      </c>
      <c r="P1388" s="15">
        <f>IFERROR(__xludf.DUMMYFUNCTION("ARRAYFORMULA(VLOOKUP(A1388,IMPORTRANGE(""https://docs.google.com/spreadsheets/d/1BuTWp7qHGjWhqrnf-OmePP568O4A5Am9ttzvVdP67zw/edit#gid=771602874"" ,""HUMAN RESOURCES!$A$2:$M$2692""), {2,3,4,5,6,7,8,9,10,11,12,13},0))"),0.022)</f>
        <v>0.022</v>
      </c>
      <c r="Q1388" s="14">
        <f>IFERROR(__xludf.DUMMYFUNCTION("""COMPUTED_VALUE"""),0.016)</f>
        <v>0.016</v>
      </c>
      <c r="R1388" s="14">
        <f>IFERROR(__xludf.DUMMYFUNCTION("""COMPUTED_VALUE"""),76.0)</f>
        <v>76</v>
      </c>
      <c r="S1388" s="14">
        <f>IFERROR(__xludf.DUMMYFUNCTION("""COMPUTED_VALUE"""),73.0)</f>
        <v>73</v>
      </c>
      <c r="T1388" s="14">
        <f>IFERROR(__xludf.DUMMYFUNCTION("""COMPUTED_VALUE"""),0.297)</f>
        <v>0.297</v>
      </c>
      <c r="U1388" s="14">
        <f>IFERROR(__xludf.DUMMYFUNCTION("""COMPUTED_VALUE"""),0.658)</f>
        <v>0.658</v>
      </c>
      <c r="V1388" s="14">
        <f>IFERROR(__xludf.DUMMYFUNCTION("""COMPUTED_VALUE"""),0.044)</f>
        <v>0.044</v>
      </c>
      <c r="W1388" s="14">
        <f>IFERROR(__xludf.DUMMYFUNCTION("""COMPUTED_VALUE"""),5876805.0)</f>
        <v>5876805</v>
      </c>
      <c r="X1388" s="14">
        <f>IFERROR(__xludf.DUMMYFUNCTION("""COMPUTED_VALUE"""),0.773)</f>
        <v>0.773</v>
      </c>
      <c r="Y1388" s="14" t="str">
        <f>IFERROR(__xludf.DUMMYFUNCTION("""COMPUTED_VALUE"""),"Libya-Africa")</f>
        <v>Libya-Africa</v>
      </c>
      <c r="Z1388" s="14" t="str">
        <f>IFERROR(__xludf.DUMMYFUNCTION("""COMPUTED_VALUE"""),"Africa")</f>
        <v>Africa</v>
      </c>
      <c r="AA1388" s="14" t="str">
        <f>IFERROR(__xludf.DUMMYFUNCTION("""COMPUTED_VALUE"""),"2008")</f>
        <v>2008</v>
      </c>
      <c r="AB1388" s="15" t="str">
        <f>IFERROR(__xludf.DUMMYFUNCTION("ARRAYFORMULA(VLOOKUP(A1388,IMPORTRANGE(""https://docs.google.com/spreadsheets/d/1BuTWp7qHGjWhqrnf-OmePP568O4A5Am9ttzvVdP67zw/edit#gid=1931367683"" ,""ENERGY!$A$2:$F$2692""), {2,3,4,5,6},0))"),"Africa")</f>
        <v>Africa</v>
      </c>
      <c r="AC1388" s="14" t="str">
        <f>IFERROR(__xludf.DUMMYFUNCTION("""COMPUTED_VALUE"""),"Libya-Africa")</f>
        <v>Libya-Africa</v>
      </c>
      <c r="AD1388" s="14" t="str">
        <f>IFERROR(__xludf.DUMMYFUNCTION("""COMPUTED_VALUE"""),"2006")</f>
        <v>2006</v>
      </c>
      <c r="AE1388" s="14">
        <f>IFERROR(__xludf.DUMMYFUNCTION("""COMPUTED_VALUE"""),17796.0)</f>
        <v>17796</v>
      </c>
      <c r="AF1388" s="14">
        <f>IFERROR(__xludf.DUMMYFUNCTION("""COMPUTED_VALUE"""),50359.0)</f>
        <v>50359</v>
      </c>
    </row>
    <row r="1389">
      <c r="A1389" s="12">
        <v>1388.0</v>
      </c>
      <c r="B1389" s="12" t="s">
        <v>185</v>
      </c>
      <c r="C1389" s="5" t="s">
        <v>77</v>
      </c>
      <c r="D1389" s="8"/>
      <c r="E1389" s="8"/>
      <c r="F1389" s="8"/>
      <c r="G1389" s="8"/>
      <c r="H1389" s="11">
        <v>0.108</v>
      </c>
      <c r="I1389" s="11">
        <v>1.599</v>
      </c>
      <c r="J1389" s="9" t="s">
        <v>70</v>
      </c>
      <c r="K1389" s="14" t="str">
        <f>IFERROR(__xludf.DUMMYFUNCTION("ARRAYFORMULA(VLOOKUP(A1389,IMPORTRANGE(""https://docs.google.com/spreadsheets/d/1BuTWp7qHGjWhqrnf-OmePP568O4A5Am9ttzvVdP67zw/edit#gid=1603210130"", ""TOURISM!$A$2:$F$2692""), {2,3,4,5,6},0))"),"Africa")</f>
        <v>Africa</v>
      </c>
      <c r="L1389" s="14">
        <f>IFERROR(__xludf.DUMMYFUNCTION("""COMPUTED_VALUE"""),1.59E8)</f>
        <v>159000000</v>
      </c>
      <c r="M1389" s="14" t="str">
        <f>IFERROR(__xludf.DUMMYFUNCTION("""COMPUTED_VALUE"""),"Libya-Africa")</f>
        <v>Libya-Africa</v>
      </c>
      <c r="N1389" s="14" t="str">
        <f>IFERROR(__xludf.DUMMYFUNCTION("""COMPUTED_VALUE"""),"2009")</f>
        <v>2009</v>
      </c>
      <c r="O1389" s="14">
        <f>IFERROR(__xludf.DUMMYFUNCTION("""COMPUTED_VALUE"""),1.683E9)</f>
        <v>1683000000</v>
      </c>
      <c r="P1389" s="15">
        <f>IFERROR(__xludf.DUMMYFUNCTION("ARRAYFORMULA(VLOOKUP(A1389,IMPORTRANGE(""https://docs.google.com/spreadsheets/d/1BuTWp7qHGjWhqrnf-OmePP568O4A5Am9ttzvVdP67zw/edit#gid=771602874"" ,""HUMAN RESOURCES!$A$2:$M$2692""), {2,3,4,5,6,7,8,9,10,11,12,13},0))"),0.022)</f>
        <v>0.022</v>
      </c>
      <c r="Q1389" s="14">
        <f>IFERROR(__xludf.DUMMYFUNCTION("""COMPUTED_VALUE"""),0.015)</f>
        <v>0.015</v>
      </c>
      <c r="R1389" s="14">
        <f>IFERROR(__xludf.DUMMYFUNCTION("""COMPUTED_VALUE"""),77.0)</f>
        <v>77</v>
      </c>
      <c r="S1389" s="14">
        <f>IFERROR(__xludf.DUMMYFUNCTION("""COMPUTED_VALUE"""),73.0)</f>
        <v>73</v>
      </c>
      <c r="T1389" s="14">
        <f>IFERROR(__xludf.DUMMYFUNCTION("""COMPUTED_VALUE"""),0.295)</f>
        <v>0.295</v>
      </c>
      <c r="U1389" s="14">
        <f>IFERROR(__xludf.DUMMYFUNCTION("""COMPUTED_VALUE"""),0.659)</f>
        <v>0.659</v>
      </c>
      <c r="V1389" s="14">
        <f>IFERROR(__xludf.DUMMYFUNCTION("""COMPUTED_VALUE"""),0.045)</f>
        <v>0.045</v>
      </c>
      <c r="W1389" s="14">
        <f>IFERROR(__xludf.DUMMYFUNCTION("""COMPUTED_VALUE"""),5964325.0)</f>
        <v>5964325</v>
      </c>
      <c r="X1389" s="14">
        <f>IFERROR(__xludf.DUMMYFUNCTION("""COMPUTED_VALUE"""),0.775)</f>
        <v>0.775</v>
      </c>
      <c r="Y1389" s="14" t="str">
        <f>IFERROR(__xludf.DUMMYFUNCTION("""COMPUTED_VALUE"""),"Libya-Africa")</f>
        <v>Libya-Africa</v>
      </c>
      <c r="Z1389" s="14" t="str">
        <f>IFERROR(__xludf.DUMMYFUNCTION("""COMPUTED_VALUE"""),"Africa")</f>
        <v>Africa</v>
      </c>
      <c r="AA1389" s="14" t="str">
        <f>IFERROR(__xludf.DUMMYFUNCTION("""COMPUTED_VALUE"""),"2009")</f>
        <v>2009</v>
      </c>
      <c r="AB1389" s="15" t="str">
        <f>IFERROR(__xludf.DUMMYFUNCTION("ARRAYFORMULA(VLOOKUP(A1389,IMPORTRANGE(""https://docs.google.com/spreadsheets/d/1BuTWp7qHGjWhqrnf-OmePP568O4A5Am9ttzvVdP67zw/edit#gid=1931367683"" ,""ENERGY!$A$2:$F$2692""), {2,3,4,5,6},0))"),"Africa")</f>
        <v>Africa</v>
      </c>
      <c r="AC1389" s="14" t="str">
        <f>IFERROR(__xludf.DUMMYFUNCTION("""COMPUTED_VALUE"""),"Libya-Africa")</f>
        <v>Libya-Africa</v>
      </c>
      <c r="AD1389" s="14" t="str">
        <f>IFERROR(__xludf.DUMMYFUNCTION("""COMPUTED_VALUE"""),"2010")</f>
        <v>2010</v>
      </c>
      <c r="AE1389" s="14">
        <f>IFERROR(__xludf.DUMMYFUNCTION("""COMPUTED_VALUE"""),17441.0)</f>
        <v>17441</v>
      </c>
      <c r="AF1389" s="14">
        <f>IFERROR(__xludf.DUMMYFUNCTION("""COMPUTED_VALUE"""),49167.0)</f>
        <v>49167</v>
      </c>
    </row>
    <row r="1390">
      <c r="A1390" s="12">
        <v>1389.0</v>
      </c>
      <c r="B1390" s="12" t="s">
        <v>185</v>
      </c>
      <c r="C1390" s="5" t="s">
        <v>77</v>
      </c>
      <c r="D1390" s="8"/>
      <c r="E1390" s="8"/>
      <c r="F1390" s="8"/>
      <c r="G1390" s="8"/>
      <c r="H1390" s="11">
        <v>0.14</v>
      </c>
      <c r="I1390" s="11">
        <v>1.804</v>
      </c>
      <c r="J1390" s="9" t="s">
        <v>71</v>
      </c>
      <c r="K1390" s="14" t="str">
        <f>IFERROR(__xludf.DUMMYFUNCTION("ARRAYFORMULA(VLOOKUP(A1390,IMPORTRANGE(""https://docs.google.com/spreadsheets/d/1BuTWp7qHGjWhqrnf-OmePP568O4A5Am9ttzvVdP67zw/edit#gid=1603210130"", ""TOURISM!$A$2:$F$2692""), {2,3,4,5,6},0))"),"Africa")</f>
        <v>Africa</v>
      </c>
      <c r="L1390" s="14">
        <f>IFERROR(__xludf.DUMMYFUNCTION("""COMPUTED_VALUE"""),1.7E8)</f>
        <v>170000000</v>
      </c>
      <c r="M1390" s="14" t="str">
        <f>IFERROR(__xludf.DUMMYFUNCTION("""COMPUTED_VALUE"""),"Libya-Africa")</f>
        <v>Libya-Africa</v>
      </c>
      <c r="N1390" s="14" t="str">
        <f>IFERROR(__xludf.DUMMYFUNCTION("""COMPUTED_VALUE"""),"2010")</f>
        <v>2010</v>
      </c>
      <c r="O1390" s="14">
        <f>IFERROR(__xludf.DUMMYFUNCTION("""COMPUTED_VALUE"""),2.184E9)</f>
        <v>2184000000</v>
      </c>
      <c r="P1390" s="15">
        <f>IFERROR(__xludf.DUMMYFUNCTION("ARRAYFORMULA(VLOOKUP(A1390,IMPORTRANGE(""https://docs.google.com/spreadsheets/d/1BuTWp7qHGjWhqrnf-OmePP568O4A5Am9ttzvVdP67zw/edit#gid=771602874"" ,""HUMAN RESOURCES!$A$2:$M$2692""), {2,3,4,5,6,7,8,9,10,11,12,13},0))"),0.022)</f>
        <v>0.022</v>
      </c>
      <c r="Q1390" s="14">
        <f>IFERROR(__xludf.DUMMYFUNCTION("""COMPUTED_VALUE"""),0.014)</f>
        <v>0.014</v>
      </c>
      <c r="R1390" s="14">
        <f>IFERROR(__xludf.DUMMYFUNCTION("""COMPUTED_VALUE"""),77.0)</f>
        <v>77</v>
      </c>
      <c r="S1390" s="14">
        <f>IFERROR(__xludf.DUMMYFUNCTION("""COMPUTED_VALUE"""),73.0)</f>
        <v>73</v>
      </c>
      <c r="T1390" s="14">
        <f>IFERROR(__xludf.DUMMYFUNCTION("""COMPUTED_VALUE"""),0.294)</f>
        <v>0.294</v>
      </c>
      <c r="U1390" s="14">
        <f>IFERROR(__xludf.DUMMYFUNCTION("""COMPUTED_VALUE"""),0.66)</f>
        <v>0.66</v>
      </c>
      <c r="V1390" s="14">
        <f>IFERROR(__xludf.DUMMYFUNCTION("""COMPUTED_VALUE"""),0.046)</f>
        <v>0.046</v>
      </c>
      <c r="W1390" s="14">
        <f>IFERROR(__xludf.DUMMYFUNCTION("""COMPUTED_VALUE"""),6040612.0)</f>
        <v>6040612</v>
      </c>
      <c r="X1390" s="14">
        <f>IFERROR(__xludf.DUMMYFUNCTION("""COMPUTED_VALUE"""),0.776)</f>
        <v>0.776</v>
      </c>
      <c r="Y1390" s="14" t="str">
        <f>IFERROR(__xludf.DUMMYFUNCTION("""COMPUTED_VALUE"""),"Libya-Africa")</f>
        <v>Libya-Africa</v>
      </c>
      <c r="Z1390" s="14" t="str">
        <f>IFERROR(__xludf.DUMMYFUNCTION("""COMPUTED_VALUE"""),"Africa")</f>
        <v>Africa</v>
      </c>
      <c r="AA1390" s="14" t="str">
        <f>IFERROR(__xludf.DUMMYFUNCTION("""COMPUTED_VALUE"""),"2010")</f>
        <v>2010</v>
      </c>
      <c r="AB1390" s="15" t="str">
        <f>IFERROR(__xludf.DUMMYFUNCTION("ARRAYFORMULA(VLOOKUP(A1390,IMPORTRANGE(""https://docs.google.com/spreadsheets/d/1BuTWp7qHGjWhqrnf-OmePP568O4A5Am9ttzvVdP67zw/edit#gid=1931367683"" ,""ENERGY!$A$2:$F$2692""), {2,3,4,5,6},0))"),"Africa")</f>
        <v>Africa</v>
      </c>
      <c r="AC1390" s="14" t="str">
        <f>IFERROR(__xludf.DUMMYFUNCTION("""COMPUTED_VALUE"""),"Libya-Africa")</f>
        <v>Libya-Africa</v>
      </c>
      <c r="AD1390" s="14" t="str">
        <f>IFERROR(__xludf.DUMMYFUNCTION("""COMPUTED_VALUE"""),"2012")</f>
        <v>2012</v>
      </c>
      <c r="AE1390" s="14">
        <f>IFERROR(__xludf.DUMMYFUNCTION("""COMPUTED_VALUE"""),16951.0)</f>
        <v>16951</v>
      </c>
      <c r="AF1390" s="14">
        <f>IFERROR(__xludf.DUMMYFUNCTION("""COMPUTED_VALUE"""),47832.0)</f>
        <v>47832</v>
      </c>
    </row>
    <row r="1391">
      <c r="A1391" s="12">
        <v>1390.0</v>
      </c>
      <c r="B1391" s="12" t="s">
        <v>185</v>
      </c>
      <c r="C1391" s="5" t="s">
        <v>77</v>
      </c>
      <c r="D1391" s="8"/>
      <c r="E1391" s="8"/>
      <c r="F1391" s="8"/>
      <c r="G1391" s="8"/>
      <c r="H1391" s="11">
        <v>0.14</v>
      </c>
      <c r="I1391" s="11">
        <v>1.638</v>
      </c>
      <c r="J1391" s="9" t="s">
        <v>72</v>
      </c>
      <c r="K1391" s="14" t="str">
        <f>IFERROR(__xludf.DUMMYFUNCTION("ARRAYFORMULA(VLOOKUP(A1391,IMPORTRANGE(""https://docs.google.com/spreadsheets/d/1BuTWp7qHGjWhqrnf-OmePP568O4A5Am9ttzvVdP67zw/edit#gid=1603210130"", ""TOURISM!$A$2:$F$2692""), {2,3,4,5,6},0))"),"Africa")</f>
        <v>Africa</v>
      </c>
      <c r="L1391" s="14"/>
      <c r="M1391" s="14" t="str">
        <f>IFERROR(__xludf.DUMMYFUNCTION("""COMPUTED_VALUE"""),"Libya-Africa")</f>
        <v>Libya-Africa</v>
      </c>
      <c r="N1391" s="14" t="str">
        <f>IFERROR(__xludf.DUMMYFUNCTION("""COMPUTED_VALUE"""),"2011")</f>
        <v>2011</v>
      </c>
      <c r="O1391" s="14"/>
      <c r="P1391" s="15">
        <f>IFERROR(__xludf.DUMMYFUNCTION("ARRAYFORMULA(VLOOKUP(A1391,IMPORTRANGE(""https://docs.google.com/spreadsheets/d/1BuTWp7qHGjWhqrnf-OmePP568O4A5Am9ttzvVdP67zw/edit#gid=771602874"" ,""HUMAN RESOURCES!$A$2:$M$2692""), {2,3,4,5,6,7,8,9,10,11,12,13},0))"),0.022)</f>
        <v>0.022</v>
      </c>
      <c r="Q1391" s="14">
        <f>IFERROR(__xludf.DUMMYFUNCTION("""COMPUTED_VALUE"""),0.014)</f>
        <v>0.014</v>
      </c>
      <c r="R1391" s="14">
        <f>IFERROR(__xludf.DUMMYFUNCTION("""COMPUTED_VALUE"""),77.0)</f>
        <v>77</v>
      </c>
      <c r="S1391" s="14">
        <f>IFERROR(__xludf.DUMMYFUNCTION("""COMPUTED_VALUE"""),73.0)</f>
        <v>73</v>
      </c>
      <c r="T1391" s="14">
        <f>IFERROR(__xludf.DUMMYFUNCTION("""COMPUTED_VALUE"""),0.294)</f>
        <v>0.294</v>
      </c>
      <c r="U1391" s="14">
        <f>IFERROR(__xludf.DUMMYFUNCTION("""COMPUTED_VALUE"""),0.659)</f>
        <v>0.659</v>
      </c>
      <c r="V1391" s="14">
        <f>IFERROR(__xludf.DUMMYFUNCTION("""COMPUTED_VALUE"""),0.046)</f>
        <v>0.046</v>
      </c>
      <c r="W1391" s="14">
        <f>IFERROR(__xludf.DUMMYFUNCTION("""COMPUTED_VALUE"""),6103233.0)</f>
        <v>6103233</v>
      </c>
      <c r="X1391" s="14">
        <f>IFERROR(__xludf.DUMMYFUNCTION("""COMPUTED_VALUE"""),0.778)</f>
        <v>0.778</v>
      </c>
      <c r="Y1391" s="14" t="str">
        <f>IFERROR(__xludf.DUMMYFUNCTION("""COMPUTED_VALUE"""),"Libya-Africa")</f>
        <v>Libya-Africa</v>
      </c>
      <c r="Z1391" s="14" t="str">
        <f>IFERROR(__xludf.DUMMYFUNCTION("""COMPUTED_VALUE"""),"Africa")</f>
        <v>Africa</v>
      </c>
      <c r="AA1391" s="14" t="str">
        <f>IFERROR(__xludf.DUMMYFUNCTION("""COMPUTED_VALUE"""),"2011")</f>
        <v>2011</v>
      </c>
      <c r="AB1391" s="15" t="str">
        <f>IFERROR(__xludf.DUMMYFUNCTION("ARRAYFORMULA(VLOOKUP(A1391,IMPORTRANGE(""https://docs.google.com/spreadsheets/d/1BuTWp7qHGjWhqrnf-OmePP568O4A5Am9ttzvVdP67zw/edit#gid=1931367683"" ,""ENERGY!$A$2:$F$2692""), {2,3,4,5,6},0))"),"Africa")</f>
        <v>Africa</v>
      </c>
      <c r="AC1391" s="14" t="str">
        <f>IFERROR(__xludf.DUMMYFUNCTION("""COMPUTED_VALUE"""),"Libya-Africa")</f>
        <v>Libya-Africa</v>
      </c>
      <c r="AD1391" s="14" t="str">
        <f>IFERROR(__xludf.DUMMYFUNCTION("""COMPUTED_VALUE"""),"2006")</f>
        <v>2006</v>
      </c>
      <c r="AE1391" s="14">
        <f>IFERROR(__xludf.DUMMYFUNCTION("""COMPUTED_VALUE"""),16361.0)</f>
        <v>16361</v>
      </c>
      <c r="AF1391" s="14">
        <f>IFERROR(__xludf.DUMMYFUNCTION("""COMPUTED_VALUE"""),48100.0)</f>
        <v>48100</v>
      </c>
    </row>
    <row r="1392">
      <c r="A1392" s="12">
        <v>1391.0</v>
      </c>
      <c r="B1392" s="12" t="s">
        <v>185</v>
      </c>
      <c r="C1392" s="5" t="s">
        <v>77</v>
      </c>
      <c r="D1392" s="11">
        <v>0.316</v>
      </c>
      <c r="E1392" s="11">
        <v>35.0</v>
      </c>
      <c r="F1392" s="11">
        <v>188.0</v>
      </c>
      <c r="G1392" s="11">
        <v>889.0</v>
      </c>
      <c r="H1392" s="8"/>
      <c r="I1392" s="11">
        <v>1.558</v>
      </c>
      <c r="J1392" s="9" t="s">
        <v>73</v>
      </c>
      <c r="K1392" s="14" t="str">
        <f>IFERROR(__xludf.DUMMYFUNCTION("ARRAYFORMULA(VLOOKUP(A1392,IMPORTRANGE(""https://docs.google.com/spreadsheets/d/1BuTWp7qHGjWhqrnf-OmePP568O4A5Am9ttzvVdP67zw/edit#gid=1603210130"", ""TOURISM!$A$2:$F$2692""), {2,3,4,5,6},0))"),"Africa")</f>
        <v>Africa</v>
      </c>
      <c r="L1392" s="14"/>
      <c r="M1392" s="14" t="str">
        <f>IFERROR(__xludf.DUMMYFUNCTION("""COMPUTED_VALUE"""),"Libya-Africa")</f>
        <v>Libya-Africa</v>
      </c>
      <c r="N1392" s="14" t="str">
        <f>IFERROR(__xludf.DUMMYFUNCTION("""COMPUTED_VALUE"""),"2012")</f>
        <v>2012</v>
      </c>
      <c r="O1392" s="14">
        <f>IFERROR(__xludf.DUMMYFUNCTION("""COMPUTED_VALUE"""),2.654E9)</f>
        <v>2654000000</v>
      </c>
      <c r="P1392" s="15">
        <f>IFERROR(__xludf.DUMMYFUNCTION("ARRAYFORMULA(VLOOKUP(A1392,IMPORTRANGE(""https://docs.google.com/spreadsheets/d/1BuTWp7qHGjWhqrnf-OmePP568O4A5Am9ttzvVdP67zw/edit#gid=771602874"" ,""HUMAN RESOURCES!$A$2:$M$2692""), {2,3,4,5,6,7,8,9,10,11,12,13},0))"),0.021)</f>
        <v>0.021</v>
      </c>
      <c r="Q1392" s="14">
        <f>IFERROR(__xludf.DUMMYFUNCTION("""COMPUTED_VALUE"""),0.013)</f>
        <v>0.013</v>
      </c>
      <c r="R1392" s="14">
        <f>IFERROR(__xludf.DUMMYFUNCTION("""COMPUTED_VALUE"""),77.0)</f>
        <v>77</v>
      </c>
      <c r="S1392" s="14">
        <f>IFERROR(__xludf.DUMMYFUNCTION("""COMPUTED_VALUE"""),73.0)</f>
        <v>73</v>
      </c>
      <c r="T1392" s="14">
        <f>IFERROR(__xludf.DUMMYFUNCTION("""COMPUTED_VALUE"""),0.295)</f>
        <v>0.295</v>
      </c>
      <c r="U1392" s="14">
        <f>IFERROR(__xludf.DUMMYFUNCTION("""COMPUTED_VALUE"""),0.658)</f>
        <v>0.658</v>
      </c>
      <c r="V1392" s="14">
        <f>IFERROR(__xludf.DUMMYFUNCTION("""COMPUTED_VALUE"""),0.047)</f>
        <v>0.047</v>
      </c>
      <c r="W1392" s="14">
        <f>IFERROR(__xludf.DUMMYFUNCTION("""COMPUTED_VALUE"""),6154623.0)</f>
        <v>6154623</v>
      </c>
      <c r="X1392" s="14">
        <f>IFERROR(__xludf.DUMMYFUNCTION("""COMPUTED_VALUE"""),0.78)</f>
        <v>0.78</v>
      </c>
      <c r="Y1392" s="14" t="str">
        <f>IFERROR(__xludf.DUMMYFUNCTION("""COMPUTED_VALUE"""),"Libya-Africa")</f>
        <v>Libya-Africa</v>
      </c>
      <c r="Z1392" s="14" t="str">
        <f>IFERROR(__xludf.DUMMYFUNCTION("""COMPUTED_VALUE"""),"Africa")</f>
        <v>Africa</v>
      </c>
      <c r="AA1392" s="14" t="str">
        <f>IFERROR(__xludf.DUMMYFUNCTION("""COMPUTED_VALUE"""),"2012")</f>
        <v>2012</v>
      </c>
      <c r="AB1392" s="15" t="str">
        <f>IFERROR(__xludf.DUMMYFUNCTION("ARRAYFORMULA(VLOOKUP(A1392,IMPORTRANGE(""https://docs.google.com/spreadsheets/d/1BuTWp7qHGjWhqrnf-OmePP568O4A5Am9ttzvVdP67zw/edit#gid=1931367683"" ,""ENERGY!$A$2:$F$2692""), {2,3,4,5,6},0))"),"Africa")</f>
        <v>Africa</v>
      </c>
      <c r="AC1392" s="14" t="str">
        <f>IFERROR(__xludf.DUMMYFUNCTION("""COMPUTED_VALUE"""),"Libya-Africa")</f>
        <v>Libya-Africa</v>
      </c>
      <c r="AD1392" s="14" t="str">
        <f>IFERROR(__xludf.DUMMYFUNCTION("""COMPUTED_VALUE"""),"2010")</f>
        <v>2010</v>
      </c>
      <c r="AE1392" s="14">
        <f>IFERROR(__xludf.DUMMYFUNCTION("""COMPUTED_VALUE"""),15901.0)</f>
        <v>15901</v>
      </c>
      <c r="AF1392" s="14">
        <f>IFERROR(__xludf.DUMMYFUNCTION("""COMPUTED_VALUE"""),47114.0)</f>
        <v>47114</v>
      </c>
    </row>
    <row r="1393">
      <c r="A1393" s="12">
        <v>1392.0</v>
      </c>
      <c r="B1393" s="12" t="s">
        <v>186</v>
      </c>
      <c r="C1393" s="5" t="s">
        <v>75</v>
      </c>
      <c r="D1393" s="8"/>
      <c r="E1393" s="8"/>
      <c r="F1393" s="8"/>
      <c r="G1393" s="8"/>
      <c r="H1393" s="11">
        <v>0.365</v>
      </c>
      <c r="I1393" s="11">
        <v>0.302</v>
      </c>
      <c r="J1393" s="9" t="s">
        <v>60</v>
      </c>
      <c r="K1393" s="14" t="str">
        <f>IFERROR(__xludf.DUMMYFUNCTION("ARRAYFORMULA(VLOOKUP(A1393,IMPORTRANGE(""https://docs.google.com/spreadsheets/d/1BuTWp7qHGjWhqrnf-OmePP568O4A5Am9ttzvVdP67zw/edit#gid=1603210130"", ""TOURISM!$A$2:$F$2692""), {2,3,4,5,6},0))"),"Europe")</f>
        <v>Europe</v>
      </c>
      <c r="L1393" s="14"/>
      <c r="M1393" s="14" t="str">
        <f>IFERROR(__xludf.DUMMYFUNCTION("""COMPUTED_VALUE"""),"Liechtenstein-Europe")</f>
        <v>Liechtenstein-Europe</v>
      </c>
      <c r="N1393" s="14" t="str">
        <f>IFERROR(__xludf.DUMMYFUNCTION("""COMPUTED_VALUE"""),"2000")</f>
        <v>2000</v>
      </c>
      <c r="O1393" s="14"/>
      <c r="P1393" s="15">
        <f>IFERROR(__xludf.DUMMYFUNCTION("ARRAYFORMULA(VLOOKUP(A1393,IMPORTRANGE(""https://docs.google.com/spreadsheets/d/1BuTWp7qHGjWhqrnf-OmePP568O4A5Am9ttzvVdP67zw/edit#gid=771602874"" ,""HUMAN RESOURCES!$A$2:$M$2692""), {2,3,4,5,6,7,8,9,10,11,12,13},0))"),0.013)</f>
        <v>0.013</v>
      </c>
      <c r="Q1393" s="14"/>
      <c r="R1393" s="14">
        <f>IFERROR(__xludf.DUMMYFUNCTION("""COMPUTED_VALUE"""),80.0)</f>
        <v>80</v>
      </c>
      <c r="S1393" s="14">
        <f>IFERROR(__xludf.DUMMYFUNCTION("""COMPUTED_VALUE"""),74.0)</f>
        <v>74</v>
      </c>
      <c r="T1393" s="14"/>
      <c r="U1393" s="14"/>
      <c r="V1393" s="14"/>
      <c r="W1393" s="14">
        <f>IFERROR(__xludf.DUMMYFUNCTION("""COMPUTED_VALUE"""),33093.0)</f>
        <v>33093</v>
      </c>
      <c r="X1393" s="14">
        <f>IFERROR(__xludf.DUMMYFUNCTION("""COMPUTED_VALUE"""),0.151)</f>
        <v>0.151</v>
      </c>
      <c r="Y1393" s="14" t="str">
        <f>IFERROR(__xludf.DUMMYFUNCTION("""COMPUTED_VALUE"""),"Liechtenstein-Europe")</f>
        <v>Liechtenstein-Europe</v>
      </c>
      <c r="Z1393" s="14" t="str">
        <f>IFERROR(__xludf.DUMMYFUNCTION("""COMPUTED_VALUE"""),"Europe")</f>
        <v>Europe</v>
      </c>
      <c r="AA1393" s="14" t="str">
        <f>IFERROR(__xludf.DUMMYFUNCTION("""COMPUTED_VALUE"""),"2000")</f>
        <v>2000</v>
      </c>
      <c r="AB1393" s="15" t="str">
        <f>IFERROR(__xludf.DUMMYFUNCTION("ARRAYFORMULA(VLOOKUP(A1393,IMPORTRANGE(""https://docs.google.com/spreadsheets/d/1BuTWp7qHGjWhqrnf-OmePP568O4A5Am9ttzvVdP67zw/edit#gid=1931367683"" ,""ENERGY!$A$2:$F$2692""), {2,3,4,5,6},0))"),"Europe")</f>
        <v>Europe</v>
      </c>
      <c r="AC1393" s="14" t="str">
        <f>IFERROR(__xludf.DUMMYFUNCTION("""COMPUTED_VALUE"""),"Liechtenstein-Europe")</f>
        <v>Liechtenstein-Europe</v>
      </c>
      <c r="AD1393" s="14" t="str">
        <f>IFERROR(__xludf.DUMMYFUNCTION("""COMPUTED_VALUE"""),"2000")</f>
        <v>2000</v>
      </c>
      <c r="AE1393" s="14"/>
      <c r="AF1393" s="14"/>
    </row>
    <row r="1394">
      <c r="A1394" s="12">
        <v>1393.0</v>
      </c>
      <c r="B1394" s="12" t="s">
        <v>186</v>
      </c>
      <c r="C1394" s="5" t="s">
        <v>75</v>
      </c>
      <c r="D1394" s="8"/>
      <c r="E1394" s="8"/>
      <c r="F1394" s="8"/>
      <c r="G1394" s="8"/>
      <c r="H1394" s="11">
        <v>0.451</v>
      </c>
      <c r="I1394" s="11">
        <v>0.329</v>
      </c>
      <c r="J1394" s="9" t="s">
        <v>62</v>
      </c>
      <c r="K1394" s="14" t="str">
        <f>IFERROR(__xludf.DUMMYFUNCTION("ARRAYFORMULA(VLOOKUP(A1394,IMPORTRANGE(""https://docs.google.com/spreadsheets/d/1BuTWp7qHGjWhqrnf-OmePP568O4A5Am9ttzvVdP67zw/edit#gid=1603210130"", ""TOURISM!$A$2:$F$2692""), {2,3,4,5,6},0))"),"Europe")</f>
        <v>Europe</v>
      </c>
      <c r="L1394" s="14"/>
      <c r="M1394" s="14" t="str">
        <f>IFERROR(__xludf.DUMMYFUNCTION("""COMPUTED_VALUE"""),"Liechtenstein-Europe")</f>
        <v>Liechtenstein-Europe</v>
      </c>
      <c r="N1394" s="14" t="str">
        <f>IFERROR(__xludf.DUMMYFUNCTION("""COMPUTED_VALUE"""),"2001")</f>
        <v>2001</v>
      </c>
      <c r="O1394" s="14"/>
      <c r="P1394" s="15">
        <f>IFERROR(__xludf.DUMMYFUNCTION("ARRAYFORMULA(VLOOKUP(A1394,IMPORTRANGE(""https://docs.google.com/spreadsheets/d/1BuTWp7qHGjWhqrnf-OmePP568O4A5Am9ttzvVdP67zw/edit#gid=771602874"" ,""HUMAN RESOURCES!$A$2:$M$2692""), {2,3,4,5,6,7,8,9,10,11,12,13},0))"),0.012)</f>
        <v>0.012</v>
      </c>
      <c r="Q1394" s="14"/>
      <c r="R1394" s="14">
        <f>IFERROR(__xludf.DUMMYFUNCTION("""COMPUTED_VALUE"""),82.0)</f>
        <v>82</v>
      </c>
      <c r="S1394" s="14">
        <f>IFERROR(__xludf.DUMMYFUNCTION("""COMPUTED_VALUE"""),76.0)</f>
        <v>76</v>
      </c>
      <c r="T1394" s="14"/>
      <c r="U1394" s="14"/>
      <c r="V1394" s="14"/>
      <c r="W1394" s="14">
        <f>IFERROR(__xludf.DUMMYFUNCTION("""COMPUTED_VALUE"""),33475.0)</f>
        <v>33475</v>
      </c>
      <c r="X1394" s="14">
        <f>IFERROR(__xludf.DUMMYFUNCTION("""COMPUTED_VALUE"""),0.15)</f>
        <v>0.15</v>
      </c>
      <c r="Y1394" s="14" t="str">
        <f>IFERROR(__xludf.DUMMYFUNCTION("""COMPUTED_VALUE"""),"Liechtenstein-Europe")</f>
        <v>Liechtenstein-Europe</v>
      </c>
      <c r="Z1394" s="14" t="str">
        <f>IFERROR(__xludf.DUMMYFUNCTION("""COMPUTED_VALUE"""),"Europe")</f>
        <v>Europe</v>
      </c>
      <c r="AA1394" s="14" t="str">
        <f>IFERROR(__xludf.DUMMYFUNCTION("""COMPUTED_VALUE"""),"2001")</f>
        <v>2001</v>
      </c>
      <c r="AB1394" s="15" t="str">
        <f>IFERROR(__xludf.DUMMYFUNCTION("ARRAYFORMULA(VLOOKUP(A1394,IMPORTRANGE(""https://docs.google.com/spreadsheets/d/1BuTWp7qHGjWhqrnf-OmePP568O4A5Am9ttzvVdP67zw/edit#gid=1931367683"" ,""ENERGY!$A$2:$F$2692""), {2,3,4,5,6},0))"),"Europe")</f>
        <v>Europe</v>
      </c>
      <c r="AC1394" s="14" t="str">
        <f>IFERROR(__xludf.DUMMYFUNCTION("""COMPUTED_VALUE"""),"Liechtenstein-Europe")</f>
        <v>Liechtenstein-Europe</v>
      </c>
      <c r="AD1394" s="14" t="str">
        <f>IFERROR(__xludf.DUMMYFUNCTION("""COMPUTED_VALUE"""),"2001")</f>
        <v>2001</v>
      </c>
      <c r="AE1394" s="14"/>
      <c r="AF1394" s="14"/>
    </row>
    <row r="1395">
      <c r="A1395" s="12">
        <v>1394.0</v>
      </c>
      <c r="B1395" s="12" t="s">
        <v>186</v>
      </c>
      <c r="C1395" s="5" t="s">
        <v>75</v>
      </c>
      <c r="D1395" s="8"/>
      <c r="E1395" s="8"/>
      <c r="F1395" s="8"/>
      <c r="G1395" s="8"/>
      <c r="H1395" s="11">
        <v>0.595</v>
      </c>
      <c r="I1395" s="11">
        <v>0.337</v>
      </c>
      <c r="J1395" s="9" t="s">
        <v>63</v>
      </c>
      <c r="K1395" s="14" t="str">
        <f>IFERROR(__xludf.DUMMYFUNCTION("ARRAYFORMULA(VLOOKUP(A1395,IMPORTRANGE(""https://docs.google.com/spreadsheets/d/1BuTWp7qHGjWhqrnf-OmePP568O4A5Am9ttzvVdP67zw/edit#gid=1603210130"", ""TOURISM!$A$2:$F$2692""), {2,3,4,5,6},0))"),"Europe")</f>
        <v>Europe</v>
      </c>
      <c r="L1395" s="14"/>
      <c r="M1395" s="14" t="str">
        <f>IFERROR(__xludf.DUMMYFUNCTION("""COMPUTED_VALUE"""),"Liechtenstein-Europe")</f>
        <v>Liechtenstein-Europe</v>
      </c>
      <c r="N1395" s="14" t="str">
        <f>IFERROR(__xludf.DUMMYFUNCTION("""COMPUTED_VALUE"""),"2002")</f>
        <v>2002</v>
      </c>
      <c r="O1395" s="14"/>
      <c r="P1395" s="15">
        <f>IFERROR(__xludf.DUMMYFUNCTION("ARRAYFORMULA(VLOOKUP(A1395,IMPORTRANGE(""https://docs.google.com/spreadsheets/d/1BuTWp7qHGjWhqrnf-OmePP568O4A5Am9ttzvVdP67zw/edit#gid=771602874"" ,""HUMAN RESOURCES!$A$2:$M$2692""), {2,3,4,5,6,7,8,9,10,11,12,13},0))"),0.012)</f>
        <v>0.012</v>
      </c>
      <c r="Q1395" s="14"/>
      <c r="R1395" s="14">
        <f>IFERROR(__xludf.DUMMYFUNCTION("""COMPUTED_VALUE"""),82.0)</f>
        <v>82</v>
      </c>
      <c r="S1395" s="14">
        <f>IFERROR(__xludf.DUMMYFUNCTION("""COMPUTED_VALUE"""),77.0)</f>
        <v>77</v>
      </c>
      <c r="T1395" s="14"/>
      <c r="U1395" s="14"/>
      <c r="V1395" s="14"/>
      <c r="W1395" s="14">
        <f>IFERROR(__xludf.DUMMYFUNCTION("""COMPUTED_VALUE"""),33821.0)</f>
        <v>33821</v>
      </c>
      <c r="X1395" s="14">
        <f>IFERROR(__xludf.DUMMYFUNCTION("""COMPUTED_VALUE"""),0.149)</f>
        <v>0.149</v>
      </c>
      <c r="Y1395" s="14" t="str">
        <f>IFERROR(__xludf.DUMMYFUNCTION("""COMPUTED_VALUE"""),"Liechtenstein-Europe")</f>
        <v>Liechtenstein-Europe</v>
      </c>
      <c r="Z1395" s="14" t="str">
        <f>IFERROR(__xludf.DUMMYFUNCTION("""COMPUTED_VALUE"""),"Europe")</f>
        <v>Europe</v>
      </c>
      <c r="AA1395" s="14" t="str">
        <f>IFERROR(__xludf.DUMMYFUNCTION("""COMPUTED_VALUE"""),"2002")</f>
        <v>2002</v>
      </c>
      <c r="AB1395" s="15" t="str">
        <f>IFERROR(__xludf.DUMMYFUNCTION("ARRAYFORMULA(VLOOKUP(A1395,IMPORTRANGE(""https://docs.google.com/spreadsheets/d/1BuTWp7qHGjWhqrnf-OmePP568O4A5Am9ttzvVdP67zw/edit#gid=1931367683"" ,""ENERGY!$A$2:$F$2692""), {2,3,4,5,6},0))"),"Europe")</f>
        <v>Europe</v>
      </c>
      <c r="AC1395" s="14" t="str">
        <f>IFERROR(__xludf.DUMMYFUNCTION("""COMPUTED_VALUE"""),"Liechtenstein-Europe")</f>
        <v>Liechtenstein-Europe</v>
      </c>
      <c r="AD1395" s="14" t="str">
        <f>IFERROR(__xludf.DUMMYFUNCTION("""COMPUTED_VALUE"""),"2002")</f>
        <v>2002</v>
      </c>
      <c r="AE1395" s="14"/>
      <c r="AF1395" s="14"/>
    </row>
    <row r="1396">
      <c r="A1396" s="12">
        <v>1395.0</v>
      </c>
      <c r="B1396" s="12" t="s">
        <v>186</v>
      </c>
      <c r="C1396" s="5" t="s">
        <v>75</v>
      </c>
      <c r="D1396" s="8"/>
      <c r="E1396" s="8"/>
      <c r="F1396" s="8"/>
      <c r="G1396" s="8"/>
      <c r="H1396" s="11">
        <v>0.588</v>
      </c>
      <c r="I1396" s="11">
        <v>0.732</v>
      </c>
      <c r="J1396" s="9" t="s">
        <v>64</v>
      </c>
      <c r="K1396" s="14" t="str">
        <f>IFERROR(__xludf.DUMMYFUNCTION("ARRAYFORMULA(VLOOKUP(A1396,IMPORTRANGE(""https://docs.google.com/spreadsheets/d/1BuTWp7qHGjWhqrnf-OmePP568O4A5Am9ttzvVdP67zw/edit#gid=1603210130"", ""TOURISM!$A$2:$F$2692""), {2,3,4,5,6},0))"),"Europe")</f>
        <v>Europe</v>
      </c>
      <c r="L1396" s="14"/>
      <c r="M1396" s="14" t="str">
        <f>IFERROR(__xludf.DUMMYFUNCTION("""COMPUTED_VALUE"""),"Liechtenstein-Europe")</f>
        <v>Liechtenstein-Europe</v>
      </c>
      <c r="N1396" s="14" t="str">
        <f>IFERROR(__xludf.DUMMYFUNCTION("""COMPUTED_VALUE"""),"2003")</f>
        <v>2003</v>
      </c>
      <c r="O1396" s="14"/>
      <c r="P1396" s="15">
        <f>IFERROR(__xludf.DUMMYFUNCTION("ARRAYFORMULA(VLOOKUP(A1396,IMPORTRANGE(""https://docs.google.com/spreadsheets/d/1BuTWp7qHGjWhqrnf-OmePP568O4A5Am9ttzvVdP67zw/edit#gid=771602874"" ,""HUMAN RESOURCES!$A$2:$M$2692""), {2,3,4,5,6,7,8,9,10,11,12,13},0))"),0.01)</f>
        <v>0.01</v>
      </c>
      <c r="Q1396" s="14"/>
      <c r="R1396" s="14">
        <f>IFERROR(__xludf.DUMMYFUNCTION("""COMPUTED_VALUE"""),82.0)</f>
        <v>82</v>
      </c>
      <c r="S1396" s="14">
        <f>IFERROR(__xludf.DUMMYFUNCTION("""COMPUTED_VALUE"""),78.0)</f>
        <v>78</v>
      </c>
      <c r="T1396" s="14"/>
      <c r="U1396" s="14"/>
      <c r="V1396" s="14"/>
      <c r="W1396" s="14">
        <f>IFERROR(__xludf.DUMMYFUNCTION("""COMPUTED_VALUE"""),34141.0)</f>
        <v>34141</v>
      </c>
      <c r="X1396" s="14">
        <f>IFERROR(__xludf.DUMMYFUNCTION("""COMPUTED_VALUE"""),0.149)</f>
        <v>0.149</v>
      </c>
      <c r="Y1396" s="14" t="str">
        <f>IFERROR(__xludf.DUMMYFUNCTION("""COMPUTED_VALUE"""),"Liechtenstein-Europe")</f>
        <v>Liechtenstein-Europe</v>
      </c>
      <c r="Z1396" s="14" t="str">
        <f>IFERROR(__xludf.DUMMYFUNCTION("""COMPUTED_VALUE"""),"Europe")</f>
        <v>Europe</v>
      </c>
      <c r="AA1396" s="14" t="str">
        <f>IFERROR(__xludf.DUMMYFUNCTION("""COMPUTED_VALUE"""),"2003")</f>
        <v>2003</v>
      </c>
      <c r="AB1396" s="15" t="str">
        <f>IFERROR(__xludf.DUMMYFUNCTION("ARRAYFORMULA(VLOOKUP(A1396,IMPORTRANGE(""https://docs.google.com/spreadsheets/d/1BuTWp7qHGjWhqrnf-OmePP568O4A5Am9ttzvVdP67zw/edit#gid=1931367683"" ,""ENERGY!$A$2:$F$2692""), {2,3,4,5,6},0))"),"Europe")</f>
        <v>Europe</v>
      </c>
      <c r="AC1396" s="14" t="str">
        <f>IFERROR(__xludf.DUMMYFUNCTION("""COMPUTED_VALUE"""),"Liechtenstein-Europe")</f>
        <v>Liechtenstein-Europe</v>
      </c>
      <c r="AD1396" s="14" t="str">
        <f>IFERROR(__xludf.DUMMYFUNCTION("""COMPUTED_VALUE"""),"2003")</f>
        <v>2003</v>
      </c>
      <c r="AE1396" s="14"/>
      <c r="AF1396" s="14"/>
    </row>
    <row r="1397">
      <c r="A1397" s="12">
        <v>1396.0</v>
      </c>
      <c r="B1397" s="12" t="s">
        <v>186</v>
      </c>
      <c r="C1397" s="5" t="s">
        <v>75</v>
      </c>
      <c r="D1397" s="8"/>
      <c r="E1397" s="8"/>
      <c r="F1397" s="8"/>
      <c r="G1397" s="8"/>
      <c r="H1397" s="11">
        <v>0.64</v>
      </c>
      <c r="I1397" s="11">
        <v>0.74</v>
      </c>
      <c r="J1397" s="9" t="s">
        <v>65</v>
      </c>
      <c r="K1397" s="14" t="str">
        <f>IFERROR(__xludf.DUMMYFUNCTION("ARRAYFORMULA(VLOOKUP(A1397,IMPORTRANGE(""https://docs.google.com/spreadsheets/d/1BuTWp7qHGjWhqrnf-OmePP568O4A5Am9ttzvVdP67zw/edit#gid=1603210130"", ""TOURISM!$A$2:$F$2692""), {2,3,4,5,6},0))"),"Europe")</f>
        <v>Europe</v>
      </c>
      <c r="L1397" s="14"/>
      <c r="M1397" s="14" t="str">
        <f>IFERROR(__xludf.DUMMYFUNCTION("""COMPUTED_VALUE"""),"Liechtenstein-Europe")</f>
        <v>Liechtenstein-Europe</v>
      </c>
      <c r="N1397" s="14" t="str">
        <f>IFERROR(__xludf.DUMMYFUNCTION("""COMPUTED_VALUE"""),"2004")</f>
        <v>2004</v>
      </c>
      <c r="O1397" s="14"/>
      <c r="P1397" s="15">
        <f>IFERROR(__xludf.DUMMYFUNCTION("ARRAYFORMULA(VLOOKUP(A1397,IMPORTRANGE(""https://docs.google.com/spreadsheets/d/1BuTWp7qHGjWhqrnf-OmePP568O4A5Am9ttzvVdP67zw/edit#gid=771602874"" ,""HUMAN RESOURCES!$A$2:$M$2692""), {2,3,4,5,6,7,8,9,10,11,12,13},0))"),0.011)</f>
        <v>0.011</v>
      </c>
      <c r="Q1397" s="14"/>
      <c r="R1397" s="14">
        <f>IFERROR(__xludf.DUMMYFUNCTION("""COMPUTED_VALUE"""),85.0)</f>
        <v>85</v>
      </c>
      <c r="S1397" s="14">
        <f>IFERROR(__xludf.DUMMYFUNCTION("""COMPUTED_VALUE"""),79.0)</f>
        <v>79</v>
      </c>
      <c r="T1397" s="14"/>
      <c r="U1397" s="14"/>
      <c r="V1397" s="14"/>
      <c r="W1397" s="14">
        <f>IFERROR(__xludf.DUMMYFUNCTION("""COMPUTED_VALUE"""),34445.0)</f>
        <v>34445</v>
      </c>
      <c r="X1397" s="14">
        <f>IFERROR(__xludf.DUMMYFUNCTION("""COMPUTED_VALUE"""),0.148)</f>
        <v>0.148</v>
      </c>
      <c r="Y1397" s="14" t="str">
        <f>IFERROR(__xludf.DUMMYFUNCTION("""COMPUTED_VALUE"""),"Liechtenstein-Europe")</f>
        <v>Liechtenstein-Europe</v>
      </c>
      <c r="Z1397" s="14" t="str">
        <f>IFERROR(__xludf.DUMMYFUNCTION("""COMPUTED_VALUE"""),"Europe")</f>
        <v>Europe</v>
      </c>
      <c r="AA1397" s="14" t="str">
        <f>IFERROR(__xludf.DUMMYFUNCTION("""COMPUTED_VALUE"""),"2004")</f>
        <v>2004</v>
      </c>
      <c r="AB1397" s="15" t="str">
        <f>IFERROR(__xludf.DUMMYFUNCTION("ARRAYFORMULA(VLOOKUP(A1397,IMPORTRANGE(""https://docs.google.com/spreadsheets/d/1BuTWp7qHGjWhqrnf-OmePP568O4A5Am9ttzvVdP67zw/edit#gid=1931367683"" ,""ENERGY!$A$2:$F$2692""), {2,3,4,5,6},0))"),"Europe")</f>
        <v>Europe</v>
      </c>
      <c r="AC1397" s="14" t="str">
        <f>IFERROR(__xludf.DUMMYFUNCTION("""COMPUTED_VALUE"""),"Liechtenstein-Europe")</f>
        <v>Liechtenstein-Europe</v>
      </c>
      <c r="AD1397" s="14" t="str">
        <f>IFERROR(__xludf.DUMMYFUNCTION("""COMPUTED_VALUE"""),"2004")</f>
        <v>2004</v>
      </c>
      <c r="AE1397" s="14"/>
      <c r="AF1397" s="14"/>
    </row>
    <row r="1398">
      <c r="A1398" s="12">
        <v>1397.0</v>
      </c>
      <c r="B1398" s="12" t="s">
        <v>186</v>
      </c>
      <c r="C1398" s="5" t="s">
        <v>75</v>
      </c>
      <c r="D1398" s="8"/>
      <c r="E1398" s="8"/>
      <c r="F1398" s="8"/>
      <c r="G1398" s="8"/>
      <c r="H1398" s="11">
        <v>0.634</v>
      </c>
      <c r="I1398" s="11">
        <v>0.792</v>
      </c>
      <c r="J1398" s="9" t="s">
        <v>66</v>
      </c>
      <c r="K1398" s="14" t="str">
        <f>IFERROR(__xludf.DUMMYFUNCTION("ARRAYFORMULA(VLOOKUP(A1398,IMPORTRANGE(""https://docs.google.com/spreadsheets/d/1BuTWp7qHGjWhqrnf-OmePP568O4A5Am9ttzvVdP67zw/edit#gid=1603210130"", ""TOURISM!$A$2:$F$2692""), {2,3,4,5,6},0))"),"Europe")</f>
        <v>Europe</v>
      </c>
      <c r="L1398" s="14"/>
      <c r="M1398" s="14" t="str">
        <f>IFERROR(__xludf.DUMMYFUNCTION("""COMPUTED_VALUE"""),"Liechtenstein-Europe")</f>
        <v>Liechtenstein-Europe</v>
      </c>
      <c r="N1398" s="14" t="str">
        <f>IFERROR(__xludf.DUMMYFUNCTION("""COMPUTED_VALUE"""),"2005")</f>
        <v>2005</v>
      </c>
      <c r="O1398" s="14"/>
      <c r="P1398" s="15">
        <f>IFERROR(__xludf.DUMMYFUNCTION("ARRAYFORMULA(VLOOKUP(A1398,IMPORTRANGE(""https://docs.google.com/spreadsheets/d/1BuTWp7qHGjWhqrnf-OmePP568O4A5Am9ttzvVdP67zw/edit#gid=771602874"" ,""HUMAN RESOURCES!$A$2:$M$2692""), {2,3,4,5,6,7,8,9,10,11,12,13},0))"),0.011)</f>
        <v>0.011</v>
      </c>
      <c r="Q1398" s="14"/>
      <c r="R1398" s="14">
        <f>IFERROR(__xludf.DUMMYFUNCTION("""COMPUTED_VALUE"""),84.0)</f>
        <v>84</v>
      </c>
      <c r="S1398" s="14">
        <f>IFERROR(__xludf.DUMMYFUNCTION("""COMPUTED_VALUE"""),77.0)</f>
        <v>77</v>
      </c>
      <c r="T1398" s="14"/>
      <c r="U1398" s="14"/>
      <c r="V1398" s="14"/>
      <c r="W1398" s="14">
        <f>IFERROR(__xludf.DUMMYFUNCTION("""COMPUTED_VALUE"""),34740.0)</f>
        <v>34740</v>
      </c>
      <c r="X1398" s="14">
        <f>IFERROR(__xludf.DUMMYFUNCTION("""COMPUTED_VALUE"""),0.147)</f>
        <v>0.147</v>
      </c>
      <c r="Y1398" s="14" t="str">
        <f>IFERROR(__xludf.DUMMYFUNCTION("""COMPUTED_VALUE"""),"Liechtenstein-Europe")</f>
        <v>Liechtenstein-Europe</v>
      </c>
      <c r="Z1398" s="14" t="str">
        <f>IFERROR(__xludf.DUMMYFUNCTION("""COMPUTED_VALUE"""),"Europe")</f>
        <v>Europe</v>
      </c>
      <c r="AA1398" s="14" t="str">
        <f>IFERROR(__xludf.DUMMYFUNCTION("""COMPUTED_VALUE"""),"2005")</f>
        <v>2005</v>
      </c>
      <c r="AB1398" s="15" t="str">
        <f>IFERROR(__xludf.DUMMYFUNCTION("ARRAYFORMULA(VLOOKUP(A1398,IMPORTRANGE(""https://docs.google.com/spreadsheets/d/1BuTWp7qHGjWhqrnf-OmePP568O4A5Am9ttzvVdP67zw/edit#gid=1931367683"" ,""ENERGY!$A$2:$F$2692""), {2,3,4,5,6},0))"),"Europe")</f>
        <v>Europe</v>
      </c>
      <c r="AC1398" s="14" t="str">
        <f>IFERROR(__xludf.DUMMYFUNCTION("""COMPUTED_VALUE"""),"Liechtenstein-Europe")</f>
        <v>Liechtenstein-Europe</v>
      </c>
      <c r="AD1398" s="14" t="str">
        <f>IFERROR(__xludf.DUMMYFUNCTION("""COMPUTED_VALUE"""),"2007")</f>
        <v>2007</v>
      </c>
      <c r="AE1398" s="14"/>
      <c r="AF1398" s="14"/>
    </row>
    <row r="1399">
      <c r="A1399" s="12">
        <v>1398.0</v>
      </c>
      <c r="B1399" s="12" t="s">
        <v>186</v>
      </c>
      <c r="C1399" s="5" t="s">
        <v>75</v>
      </c>
      <c r="D1399" s="8"/>
      <c r="E1399" s="8"/>
      <c r="F1399" s="8"/>
      <c r="G1399" s="8"/>
      <c r="H1399" s="11">
        <v>0.642</v>
      </c>
      <c r="I1399" s="11">
        <v>0.821</v>
      </c>
      <c r="J1399" s="9" t="s">
        <v>67</v>
      </c>
      <c r="K1399" s="14" t="str">
        <f>IFERROR(__xludf.DUMMYFUNCTION("ARRAYFORMULA(VLOOKUP(A1399,IMPORTRANGE(""https://docs.google.com/spreadsheets/d/1BuTWp7qHGjWhqrnf-OmePP568O4A5Am9ttzvVdP67zw/edit#gid=1603210130"", ""TOURISM!$A$2:$F$2692""), {2,3,4,5,6},0))"),"Europe")</f>
        <v>Europe</v>
      </c>
      <c r="L1399" s="14"/>
      <c r="M1399" s="14" t="str">
        <f>IFERROR(__xludf.DUMMYFUNCTION("""COMPUTED_VALUE"""),"Liechtenstein-Europe")</f>
        <v>Liechtenstein-Europe</v>
      </c>
      <c r="N1399" s="14" t="str">
        <f>IFERROR(__xludf.DUMMYFUNCTION("""COMPUTED_VALUE"""),"2006")</f>
        <v>2006</v>
      </c>
      <c r="O1399" s="14"/>
      <c r="P1399" s="15">
        <f>IFERROR(__xludf.DUMMYFUNCTION("ARRAYFORMULA(VLOOKUP(A1399,IMPORTRANGE(""https://docs.google.com/spreadsheets/d/1BuTWp7qHGjWhqrnf-OmePP568O4A5Am9ttzvVdP67zw/edit#gid=771602874"" ,""HUMAN RESOURCES!$A$2:$M$2692""), {2,3,4,5,6,7,8,9,10,11,12,13},0))"),0.01)</f>
        <v>0.01</v>
      </c>
      <c r="Q1399" s="14"/>
      <c r="R1399" s="14">
        <f>IFERROR(__xludf.DUMMYFUNCTION("""COMPUTED_VALUE"""),83.0)</f>
        <v>83</v>
      </c>
      <c r="S1399" s="14">
        <f>IFERROR(__xludf.DUMMYFUNCTION("""COMPUTED_VALUE"""),79.0)</f>
        <v>79</v>
      </c>
      <c r="T1399" s="14"/>
      <c r="U1399" s="14"/>
      <c r="V1399" s="14"/>
      <c r="W1399" s="14">
        <f>IFERROR(__xludf.DUMMYFUNCTION("""COMPUTED_VALUE"""),35028.0)</f>
        <v>35028</v>
      </c>
      <c r="X1399" s="14">
        <f>IFERROR(__xludf.DUMMYFUNCTION("""COMPUTED_VALUE"""),0.147)</f>
        <v>0.147</v>
      </c>
      <c r="Y1399" s="14" t="str">
        <f>IFERROR(__xludf.DUMMYFUNCTION("""COMPUTED_VALUE"""),"Liechtenstein-Europe")</f>
        <v>Liechtenstein-Europe</v>
      </c>
      <c r="Z1399" s="14" t="str">
        <f>IFERROR(__xludf.DUMMYFUNCTION("""COMPUTED_VALUE"""),"Europe")</f>
        <v>Europe</v>
      </c>
      <c r="AA1399" s="14" t="str">
        <f>IFERROR(__xludf.DUMMYFUNCTION("""COMPUTED_VALUE"""),"2006")</f>
        <v>2006</v>
      </c>
      <c r="AB1399" s="15" t="str">
        <f>IFERROR(__xludf.DUMMYFUNCTION("ARRAYFORMULA(VLOOKUP(A1399,IMPORTRANGE(""https://docs.google.com/spreadsheets/d/1BuTWp7qHGjWhqrnf-OmePP568O4A5Am9ttzvVdP67zw/edit#gid=1931367683"" ,""ENERGY!$A$2:$F$2692""), {2,3,4,5,6},0))"),"Europe")</f>
        <v>Europe</v>
      </c>
      <c r="AC1399" s="14" t="str">
        <f>IFERROR(__xludf.DUMMYFUNCTION("""COMPUTED_VALUE"""),"Liechtenstein-Europe")</f>
        <v>Liechtenstein-Europe</v>
      </c>
      <c r="AD1399" s="14" t="str">
        <f>IFERROR(__xludf.DUMMYFUNCTION("""COMPUTED_VALUE"""),"2011")</f>
        <v>2011</v>
      </c>
      <c r="AE1399" s="14"/>
      <c r="AF1399" s="14"/>
    </row>
    <row r="1400">
      <c r="A1400" s="12">
        <v>1399.0</v>
      </c>
      <c r="B1400" s="12" t="s">
        <v>186</v>
      </c>
      <c r="C1400" s="5" t="s">
        <v>75</v>
      </c>
      <c r="D1400" s="8"/>
      <c r="E1400" s="8"/>
      <c r="F1400" s="8"/>
      <c r="G1400" s="8"/>
      <c r="H1400" s="11">
        <v>0.651</v>
      </c>
      <c r="I1400" s="11">
        <v>0.907</v>
      </c>
      <c r="J1400" s="9" t="s">
        <v>68</v>
      </c>
      <c r="K1400" s="14" t="str">
        <f>IFERROR(__xludf.DUMMYFUNCTION("ARRAYFORMULA(VLOOKUP(A1400,IMPORTRANGE(""https://docs.google.com/spreadsheets/d/1BuTWp7qHGjWhqrnf-OmePP568O4A5Am9ttzvVdP67zw/edit#gid=1603210130"", ""TOURISM!$A$2:$F$2692""), {2,3,4,5,6},0))"),"Europe")</f>
        <v>Europe</v>
      </c>
      <c r="L1400" s="14"/>
      <c r="M1400" s="14" t="str">
        <f>IFERROR(__xludf.DUMMYFUNCTION("""COMPUTED_VALUE"""),"Liechtenstein-Europe")</f>
        <v>Liechtenstein-Europe</v>
      </c>
      <c r="N1400" s="14" t="str">
        <f>IFERROR(__xludf.DUMMYFUNCTION("""COMPUTED_VALUE"""),"2007")</f>
        <v>2007</v>
      </c>
      <c r="O1400" s="14"/>
      <c r="P1400" s="15">
        <f>IFERROR(__xludf.DUMMYFUNCTION("ARRAYFORMULA(VLOOKUP(A1400,IMPORTRANGE(""https://docs.google.com/spreadsheets/d/1BuTWp7qHGjWhqrnf-OmePP568O4A5Am9ttzvVdP67zw/edit#gid=771602874"" ,""HUMAN RESOURCES!$A$2:$M$2692""), {2,3,4,5,6,7,8,9,10,11,12,13},0))"),0.01)</f>
        <v>0.01</v>
      </c>
      <c r="Q1400" s="14"/>
      <c r="R1400" s="14">
        <f>IFERROR(__xludf.DUMMYFUNCTION("""COMPUTED_VALUE"""),84.0)</f>
        <v>84</v>
      </c>
      <c r="S1400" s="14">
        <f>IFERROR(__xludf.DUMMYFUNCTION("""COMPUTED_VALUE"""),79.0)</f>
        <v>79</v>
      </c>
      <c r="T1400" s="14"/>
      <c r="U1400" s="14"/>
      <c r="V1400" s="14"/>
      <c r="W1400" s="14">
        <f>IFERROR(__xludf.DUMMYFUNCTION("""COMPUTED_VALUE"""),35308.0)</f>
        <v>35308</v>
      </c>
      <c r="X1400" s="14">
        <f>IFERROR(__xludf.DUMMYFUNCTION("""COMPUTED_VALUE"""),0.146)</f>
        <v>0.146</v>
      </c>
      <c r="Y1400" s="14" t="str">
        <f>IFERROR(__xludf.DUMMYFUNCTION("""COMPUTED_VALUE"""),"Liechtenstein-Europe")</f>
        <v>Liechtenstein-Europe</v>
      </c>
      <c r="Z1400" s="14" t="str">
        <f>IFERROR(__xludf.DUMMYFUNCTION("""COMPUTED_VALUE"""),"Europe")</f>
        <v>Europe</v>
      </c>
      <c r="AA1400" s="14" t="str">
        <f>IFERROR(__xludf.DUMMYFUNCTION("""COMPUTED_VALUE"""),"2007")</f>
        <v>2007</v>
      </c>
      <c r="AB1400" s="15" t="str">
        <f>IFERROR(__xludf.DUMMYFUNCTION("ARRAYFORMULA(VLOOKUP(A1400,IMPORTRANGE(""https://docs.google.com/spreadsheets/d/1BuTWp7qHGjWhqrnf-OmePP568O4A5Am9ttzvVdP67zw/edit#gid=1931367683"" ,""ENERGY!$A$2:$F$2692""), {2,3,4,5,6},0))"),"Europe")</f>
        <v>Europe</v>
      </c>
      <c r="AC1400" s="14" t="str">
        <f>IFERROR(__xludf.DUMMYFUNCTION("""COMPUTED_VALUE"""),"Liechtenstein-Europe")</f>
        <v>Liechtenstein-Europe</v>
      </c>
      <c r="AD1400" s="14" t="str">
        <f>IFERROR(__xludf.DUMMYFUNCTION("""COMPUTED_VALUE"""),"2008")</f>
        <v>2008</v>
      </c>
      <c r="AE1400" s="14"/>
      <c r="AF1400" s="14"/>
    </row>
    <row r="1401">
      <c r="A1401" s="12">
        <v>1400.0</v>
      </c>
      <c r="B1401" s="12" t="s">
        <v>186</v>
      </c>
      <c r="C1401" s="5" t="s">
        <v>75</v>
      </c>
      <c r="D1401" s="8"/>
      <c r="E1401" s="8"/>
      <c r="F1401" s="8"/>
      <c r="G1401" s="8"/>
      <c r="H1401" s="11">
        <v>0.7</v>
      </c>
      <c r="I1401" s="11">
        <v>0.956</v>
      </c>
      <c r="J1401" s="9" t="s">
        <v>69</v>
      </c>
      <c r="K1401" s="14" t="str">
        <f>IFERROR(__xludf.DUMMYFUNCTION("ARRAYFORMULA(VLOOKUP(A1401,IMPORTRANGE(""https://docs.google.com/spreadsheets/d/1BuTWp7qHGjWhqrnf-OmePP568O4A5Am9ttzvVdP67zw/edit#gid=1603210130"", ""TOURISM!$A$2:$F$2692""), {2,3,4,5,6},0))"),"Europe")</f>
        <v>Europe</v>
      </c>
      <c r="L1401" s="14"/>
      <c r="M1401" s="14" t="str">
        <f>IFERROR(__xludf.DUMMYFUNCTION("""COMPUTED_VALUE"""),"Liechtenstein-Europe")</f>
        <v>Liechtenstein-Europe</v>
      </c>
      <c r="N1401" s="14" t="str">
        <f>IFERROR(__xludf.DUMMYFUNCTION("""COMPUTED_VALUE"""),"2008")</f>
        <v>2008</v>
      </c>
      <c r="O1401" s="14"/>
      <c r="P1401" s="15">
        <f>IFERROR(__xludf.DUMMYFUNCTION("ARRAYFORMULA(VLOOKUP(A1401,IMPORTRANGE(""https://docs.google.com/spreadsheets/d/1BuTWp7qHGjWhqrnf-OmePP568O4A5Am9ttzvVdP67zw/edit#gid=771602874"" ,""HUMAN RESOURCES!$A$2:$M$2692""), {2,3,4,5,6,7,8,9,10,11,12,13},0))"),0.01)</f>
        <v>0.01</v>
      </c>
      <c r="Q1401" s="14"/>
      <c r="R1401" s="14">
        <f>IFERROR(__xludf.DUMMYFUNCTION("""COMPUTED_VALUE"""),86.0)</f>
        <v>86</v>
      </c>
      <c r="S1401" s="14">
        <f>IFERROR(__xludf.DUMMYFUNCTION("""COMPUTED_VALUE"""),80.0)</f>
        <v>80</v>
      </c>
      <c r="T1401" s="14"/>
      <c r="U1401" s="14"/>
      <c r="V1401" s="14"/>
      <c r="W1401" s="14">
        <f>IFERROR(__xludf.DUMMYFUNCTION("""COMPUTED_VALUE"""),35582.0)</f>
        <v>35582</v>
      </c>
      <c r="X1401" s="14">
        <f>IFERROR(__xludf.DUMMYFUNCTION("""COMPUTED_VALUE"""),0.146)</f>
        <v>0.146</v>
      </c>
      <c r="Y1401" s="14" t="str">
        <f>IFERROR(__xludf.DUMMYFUNCTION("""COMPUTED_VALUE"""),"Liechtenstein-Europe")</f>
        <v>Liechtenstein-Europe</v>
      </c>
      <c r="Z1401" s="14" t="str">
        <f>IFERROR(__xludf.DUMMYFUNCTION("""COMPUTED_VALUE"""),"Europe")</f>
        <v>Europe</v>
      </c>
      <c r="AA1401" s="14" t="str">
        <f>IFERROR(__xludf.DUMMYFUNCTION("""COMPUTED_VALUE"""),"2008")</f>
        <v>2008</v>
      </c>
      <c r="AB1401" s="15" t="str">
        <f>IFERROR(__xludf.DUMMYFUNCTION("ARRAYFORMULA(VLOOKUP(A1401,IMPORTRANGE(""https://docs.google.com/spreadsheets/d/1BuTWp7qHGjWhqrnf-OmePP568O4A5Am9ttzvVdP67zw/edit#gid=1931367683"" ,""ENERGY!$A$2:$F$2692""), {2,3,4,5,6},0))"),"Europe")</f>
        <v>Europe</v>
      </c>
      <c r="AC1401" s="14" t="str">
        <f>IFERROR(__xludf.DUMMYFUNCTION("""COMPUTED_VALUE"""),"Liechtenstein-Europe")</f>
        <v>Liechtenstein-Europe</v>
      </c>
      <c r="AD1401" s="14" t="str">
        <f>IFERROR(__xludf.DUMMYFUNCTION("""COMPUTED_VALUE"""),"2006")</f>
        <v>2006</v>
      </c>
      <c r="AE1401" s="14"/>
      <c r="AF1401" s="14"/>
    </row>
    <row r="1402">
      <c r="A1402" s="12">
        <v>1401.0</v>
      </c>
      <c r="B1402" s="12" t="s">
        <v>186</v>
      </c>
      <c r="C1402" s="5" t="s">
        <v>75</v>
      </c>
      <c r="D1402" s="8"/>
      <c r="E1402" s="8"/>
      <c r="F1402" s="8"/>
      <c r="G1402" s="8"/>
      <c r="H1402" s="11">
        <v>0.75</v>
      </c>
      <c r="I1402" s="11">
        <v>0.976</v>
      </c>
      <c r="J1402" s="9" t="s">
        <v>70</v>
      </c>
      <c r="K1402" s="14" t="str">
        <f>IFERROR(__xludf.DUMMYFUNCTION("ARRAYFORMULA(VLOOKUP(A1402,IMPORTRANGE(""https://docs.google.com/spreadsheets/d/1BuTWp7qHGjWhqrnf-OmePP568O4A5Am9ttzvVdP67zw/edit#gid=1603210130"", ""TOURISM!$A$2:$F$2692""), {2,3,4,5,6},0))"),"Europe")</f>
        <v>Europe</v>
      </c>
      <c r="L1402" s="14"/>
      <c r="M1402" s="14" t="str">
        <f>IFERROR(__xludf.DUMMYFUNCTION("""COMPUTED_VALUE"""),"Liechtenstein-Europe")</f>
        <v>Liechtenstein-Europe</v>
      </c>
      <c r="N1402" s="14" t="str">
        <f>IFERROR(__xludf.DUMMYFUNCTION("""COMPUTED_VALUE"""),"2009")</f>
        <v>2009</v>
      </c>
      <c r="O1402" s="14"/>
      <c r="P1402" s="15">
        <f>IFERROR(__xludf.DUMMYFUNCTION("ARRAYFORMULA(VLOOKUP(A1402,IMPORTRANGE(""https://docs.google.com/spreadsheets/d/1BuTWp7qHGjWhqrnf-OmePP568O4A5Am9ttzvVdP67zw/edit#gid=771602874"" ,""HUMAN RESOURCES!$A$2:$M$2692""), {2,3,4,5,6,7,8,9,10,11,12,13},0))"),0.011)</f>
        <v>0.011</v>
      </c>
      <c r="Q1402" s="14"/>
      <c r="R1402" s="14">
        <f>IFERROR(__xludf.DUMMYFUNCTION("""COMPUTED_VALUE"""),84.0)</f>
        <v>84</v>
      </c>
      <c r="S1402" s="14">
        <f>IFERROR(__xludf.DUMMYFUNCTION("""COMPUTED_VALUE"""),80.0)</f>
        <v>80</v>
      </c>
      <c r="T1402" s="14"/>
      <c r="U1402" s="14"/>
      <c r="V1402" s="14"/>
      <c r="W1402" s="14">
        <f>IFERROR(__xludf.DUMMYFUNCTION("""COMPUTED_VALUE"""),35851.0)</f>
        <v>35851</v>
      </c>
      <c r="X1402" s="14">
        <f>IFERROR(__xludf.DUMMYFUNCTION("""COMPUTED_VALUE"""),0.145)</f>
        <v>0.145</v>
      </c>
      <c r="Y1402" s="14" t="str">
        <f>IFERROR(__xludf.DUMMYFUNCTION("""COMPUTED_VALUE"""),"Liechtenstein-Europe")</f>
        <v>Liechtenstein-Europe</v>
      </c>
      <c r="Z1402" s="14" t="str">
        <f>IFERROR(__xludf.DUMMYFUNCTION("""COMPUTED_VALUE"""),"Europe")</f>
        <v>Europe</v>
      </c>
      <c r="AA1402" s="14" t="str">
        <f>IFERROR(__xludf.DUMMYFUNCTION("""COMPUTED_VALUE"""),"2009")</f>
        <v>2009</v>
      </c>
      <c r="AB1402" s="15" t="str">
        <f>IFERROR(__xludf.DUMMYFUNCTION("ARRAYFORMULA(VLOOKUP(A1402,IMPORTRANGE(""https://docs.google.com/spreadsheets/d/1BuTWp7qHGjWhqrnf-OmePP568O4A5Am9ttzvVdP67zw/edit#gid=1931367683"" ,""ENERGY!$A$2:$F$2692""), {2,3,4,5,6},0))"),"Europe")</f>
        <v>Europe</v>
      </c>
      <c r="AC1402" s="14" t="str">
        <f>IFERROR(__xludf.DUMMYFUNCTION("""COMPUTED_VALUE"""),"Liechtenstein-Europe")</f>
        <v>Liechtenstein-Europe</v>
      </c>
      <c r="AD1402" s="14" t="str">
        <f>IFERROR(__xludf.DUMMYFUNCTION("""COMPUTED_VALUE"""),"2010")</f>
        <v>2010</v>
      </c>
      <c r="AE1402" s="14"/>
      <c r="AF1402" s="14"/>
    </row>
    <row r="1403">
      <c r="A1403" s="12">
        <v>1402.0</v>
      </c>
      <c r="B1403" s="12" t="s">
        <v>186</v>
      </c>
      <c r="C1403" s="5" t="s">
        <v>75</v>
      </c>
      <c r="D1403" s="8"/>
      <c r="E1403" s="8"/>
      <c r="F1403" s="8"/>
      <c r="G1403" s="8"/>
      <c r="H1403" s="11">
        <v>0.8</v>
      </c>
      <c r="I1403" s="11">
        <v>0.983</v>
      </c>
      <c r="J1403" s="9" t="s">
        <v>71</v>
      </c>
      <c r="K1403" s="14" t="str">
        <f>IFERROR(__xludf.DUMMYFUNCTION("ARRAYFORMULA(VLOOKUP(A1403,IMPORTRANGE(""https://docs.google.com/spreadsheets/d/1BuTWp7qHGjWhqrnf-OmePP568O4A5Am9ttzvVdP67zw/edit#gid=1603210130"", ""TOURISM!$A$2:$F$2692""), {2,3,4,5,6},0))"),"Europe")</f>
        <v>Europe</v>
      </c>
      <c r="L1403" s="14"/>
      <c r="M1403" s="14" t="str">
        <f>IFERROR(__xludf.DUMMYFUNCTION("""COMPUTED_VALUE"""),"Liechtenstein-Europe")</f>
        <v>Liechtenstein-Europe</v>
      </c>
      <c r="N1403" s="14" t="str">
        <f>IFERROR(__xludf.DUMMYFUNCTION("""COMPUTED_VALUE"""),"2010")</f>
        <v>2010</v>
      </c>
      <c r="O1403" s="14"/>
      <c r="P1403" s="15">
        <f>IFERROR(__xludf.DUMMYFUNCTION("ARRAYFORMULA(VLOOKUP(A1403,IMPORTRANGE(""https://docs.google.com/spreadsheets/d/1BuTWp7qHGjWhqrnf-OmePP568O4A5Am9ttzvVdP67zw/edit#gid=771602874"" ,""HUMAN RESOURCES!$A$2:$M$2692""), {2,3,4,5,6,7,8,9,10,11,12,13},0))"),0.009)</f>
        <v>0.009</v>
      </c>
      <c r="Q1403" s="14"/>
      <c r="R1403" s="14">
        <f>IFERROR(__xludf.DUMMYFUNCTION("""COMPUTED_VALUE"""),84.0)</f>
        <v>84</v>
      </c>
      <c r="S1403" s="14">
        <f>IFERROR(__xludf.DUMMYFUNCTION("""COMPUTED_VALUE"""),80.0)</f>
        <v>80</v>
      </c>
      <c r="T1403" s="14"/>
      <c r="U1403" s="14"/>
      <c r="V1403" s="14"/>
      <c r="W1403" s="14">
        <f>IFERROR(__xludf.DUMMYFUNCTION("""COMPUTED_VALUE"""),36120.0)</f>
        <v>36120</v>
      </c>
      <c r="X1403" s="14">
        <f>IFERROR(__xludf.DUMMYFUNCTION("""COMPUTED_VALUE"""),0.145)</f>
        <v>0.145</v>
      </c>
      <c r="Y1403" s="14" t="str">
        <f>IFERROR(__xludf.DUMMYFUNCTION("""COMPUTED_VALUE"""),"Liechtenstein-Europe")</f>
        <v>Liechtenstein-Europe</v>
      </c>
      <c r="Z1403" s="14" t="str">
        <f>IFERROR(__xludf.DUMMYFUNCTION("""COMPUTED_VALUE"""),"Europe")</f>
        <v>Europe</v>
      </c>
      <c r="AA1403" s="14" t="str">
        <f>IFERROR(__xludf.DUMMYFUNCTION("""COMPUTED_VALUE"""),"2010")</f>
        <v>2010</v>
      </c>
      <c r="AB1403" s="15" t="str">
        <f>IFERROR(__xludf.DUMMYFUNCTION("ARRAYFORMULA(VLOOKUP(A1403,IMPORTRANGE(""https://docs.google.com/spreadsheets/d/1BuTWp7qHGjWhqrnf-OmePP568O4A5Am9ttzvVdP67zw/edit#gid=1931367683"" ,""ENERGY!$A$2:$F$2692""), {2,3,4,5,6},0))"),"Europe")</f>
        <v>Europe</v>
      </c>
      <c r="AC1403" s="14" t="str">
        <f>IFERROR(__xludf.DUMMYFUNCTION("""COMPUTED_VALUE"""),"Liechtenstein-Europe")</f>
        <v>Liechtenstein-Europe</v>
      </c>
      <c r="AD1403" s="14" t="str">
        <f>IFERROR(__xludf.DUMMYFUNCTION("""COMPUTED_VALUE"""),"2012")</f>
        <v>2012</v>
      </c>
      <c r="AE1403" s="14"/>
      <c r="AF1403" s="14"/>
    </row>
    <row r="1404">
      <c r="A1404" s="12">
        <v>1403.0</v>
      </c>
      <c r="B1404" s="12" t="s">
        <v>186</v>
      </c>
      <c r="C1404" s="5" t="s">
        <v>75</v>
      </c>
      <c r="D1404" s="8"/>
      <c r="E1404" s="8"/>
      <c r="F1404" s="8"/>
      <c r="G1404" s="8"/>
      <c r="H1404" s="11">
        <v>0.85</v>
      </c>
      <c r="I1404" s="11">
        <v>1.016</v>
      </c>
      <c r="J1404" s="9" t="s">
        <v>72</v>
      </c>
      <c r="K1404" s="14" t="str">
        <f>IFERROR(__xludf.DUMMYFUNCTION("ARRAYFORMULA(VLOOKUP(A1404,IMPORTRANGE(""https://docs.google.com/spreadsheets/d/1BuTWp7qHGjWhqrnf-OmePP568O4A5Am9ttzvVdP67zw/edit#gid=1603210130"", ""TOURISM!$A$2:$F$2692""), {2,3,4,5,6},0))"),"Europe")</f>
        <v>Europe</v>
      </c>
      <c r="L1404" s="14"/>
      <c r="M1404" s="14" t="str">
        <f>IFERROR(__xludf.DUMMYFUNCTION("""COMPUTED_VALUE"""),"Liechtenstein-Europe")</f>
        <v>Liechtenstein-Europe</v>
      </c>
      <c r="N1404" s="14" t="str">
        <f>IFERROR(__xludf.DUMMYFUNCTION("""COMPUTED_VALUE"""),"2011")</f>
        <v>2011</v>
      </c>
      <c r="O1404" s="14"/>
      <c r="P1404" s="15">
        <f>IFERROR(__xludf.DUMMYFUNCTION("ARRAYFORMULA(VLOOKUP(A1404,IMPORTRANGE(""https://docs.google.com/spreadsheets/d/1BuTWp7qHGjWhqrnf-OmePP568O4A5Am9ttzvVdP67zw/edit#gid=771602874"" ,""HUMAN RESOURCES!$A$2:$M$2692""), {2,3,4,5,6,7,8,9,10,11,12,13},0))"),0.011)</f>
        <v>0.011</v>
      </c>
      <c r="Q1404" s="14"/>
      <c r="R1404" s="14">
        <f>IFERROR(__xludf.DUMMYFUNCTION("""COMPUTED_VALUE"""),84.0)</f>
        <v>84</v>
      </c>
      <c r="S1404" s="14">
        <f>IFERROR(__xludf.DUMMYFUNCTION("""COMPUTED_VALUE"""),80.0)</f>
        <v>80</v>
      </c>
      <c r="T1404" s="14"/>
      <c r="U1404" s="14"/>
      <c r="V1404" s="14"/>
      <c r="W1404" s="14">
        <f>IFERROR(__xludf.DUMMYFUNCTION("""COMPUTED_VALUE"""),36388.0)</f>
        <v>36388</v>
      </c>
      <c r="X1404" s="14">
        <f>IFERROR(__xludf.DUMMYFUNCTION("""COMPUTED_VALUE"""),0.144)</f>
        <v>0.144</v>
      </c>
      <c r="Y1404" s="14" t="str">
        <f>IFERROR(__xludf.DUMMYFUNCTION("""COMPUTED_VALUE"""),"Liechtenstein-Europe")</f>
        <v>Liechtenstein-Europe</v>
      </c>
      <c r="Z1404" s="14" t="str">
        <f>IFERROR(__xludf.DUMMYFUNCTION("""COMPUTED_VALUE"""),"Europe")</f>
        <v>Europe</v>
      </c>
      <c r="AA1404" s="14" t="str">
        <f>IFERROR(__xludf.DUMMYFUNCTION("""COMPUTED_VALUE"""),"2011")</f>
        <v>2011</v>
      </c>
      <c r="AB1404" s="15" t="str">
        <f>IFERROR(__xludf.DUMMYFUNCTION("ARRAYFORMULA(VLOOKUP(A1404,IMPORTRANGE(""https://docs.google.com/spreadsheets/d/1BuTWp7qHGjWhqrnf-OmePP568O4A5Am9ttzvVdP67zw/edit#gid=1931367683"" ,""ENERGY!$A$2:$F$2692""), {2,3,4,5,6},0))"),"Europe")</f>
        <v>Europe</v>
      </c>
      <c r="AC1404" s="14" t="str">
        <f>IFERROR(__xludf.DUMMYFUNCTION("""COMPUTED_VALUE"""),"Liechtenstein-Europe")</f>
        <v>Liechtenstein-Europe</v>
      </c>
      <c r="AD1404" s="14" t="str">
        <f>IFERROR(__xludf.DUMMYFUNCTION("""COMPUTED_VALUE"""),"2006")</f>
        <v>2006</v>
      </c>
      <c r="AE1404" s="14"/>
      <c r="AF1404" s="14"/>
    </row>
    <row r="1405">
      <c r="A1405" s="12">
        <v>1404.0</v>
      </c>
      <c r="B1405" s="12" t="s">
        <v>186</v>
      </c>
      <c r="C1405" s="5" t="s">
        <v>75</v>
      </c>
      <c r="D1405" s="8"/>
      <c r="E1405" s="8"/>
      <c r="F1405" s="8"/>
      <c r="G1405" s="8"/>
      <c r="H1405" s="11">
        <v>0.894</v>
      </c>
      <c r="I1405" s="11">
        <v>0.974</v>
      </c>
      <c r="J1405" s="9" t="s">
        <v>73</v>
      </c>
      <c r="K1405" s="14" t="str">
        <f>IFERROR(__xludf.DUMMYFUNCTION("ARRAYFORMULA(VLOOKUP(A1405,IMPORTRANGE(""https://docs.google.com/spreadsheets/d/1BuTWp7qHGjWhqrnf-OmePP568O4A5Am9ttzvVdP67zw/edit#gid=1603210130"", ""TOURISM!$A$2:$F$2692""), {2,3,4,5,6},0))"),"Europe")</f>
        <v>Europe</v>
      </c>
      <c r="L1405" s="14"/>
      <c r="M1405" s="14" t="str">
        <f>IFERROR(__xludf.DUMMYFUNCTION("""COMPUTED_VALUE"""),"Liechtenstein-Europe")</f>
        <v>Liechtenstein-Europe</v>
      </c>
      <c r="N1405" s="14" t="str">
        <f>IFERROR(__xludf.DUMMYFUNCTION("""COMPUTED_VALUE"""),"2012")</f>
        <v>2012</v>
      </c>
      <c r="O1405" s="14"/>
      <c r="P1405" s="15">
        <f>IFERROR(__xludf.DUMMYFUNCTION("ARRAYFORMULA(VLOOKUP(A1405,IMPORTRANGE(""https://docs.google.com/spreadsheets/d/1BuTWp7qHGjWhqrnf-OmePP568O4A5Am9ttzvVdP67zw/edit#gid=771602874"" ,""HUMAN RESOURCES!$A$2:$M$2692""), {2,3,4,5,6,7,8,9,10,11,12,13},0))"),0.01)</f>
        <v>0.01</v>
      </c>
      <c r="Q1405" s="14"/>
      <c r="R1405" s="14">
        <f>IFERROR(__xludf.DUMMYFUNCTION("""COMPUTED_VALUE"""),85.0)</f>
        <v>85</v>
      </c>
      <c r="S1405" s="14">
        <f>IFERROR(__xludf.DUMMYFUNCTION("""COMPUTED_VALUE"""),80.0)</f>
        <v>80</v>
      </c>
      <c r="T1405" s="14"/>
      <c r="U1405" s="14"/>
      <c r="V1405" s="14"/>
      <c r="W1405" s="14">
        <f>IFERROR(__xludf.DUMMYFUNCTION("""COMPUTED_VALUE"""),36656.0)</f>
        <v>36656</v>
      </c>
      <c r="X1405" s="14">
        <f>IFERROR(__xludf.DUMMYFUNCTION("""COMPUTED_VALUE"""),0.144)</f>
        <v>0.144</v>
      </c>
      <c r="Y1405" s="14" t="str">
        <f>IFERROR(__xludf.DUMMYFUNCTION("""COMPUTED_VALUE"""),"Liechtenstein-Europe")</f>
        <v>Liechtenstein-Europe</v>
      </c>
      <c r="Z1405" s="14" t="str">
        <f>IFERROR(__xludf.DUMMYFUNCTION("""COMPUTED_VALUE"""),"Europe")</f>
        <v>Europe</v>
      </c>
      <c r="AA1405" s="14" t="str">
        <f>IFERROR(__xludf.DUMMYFUNCTION("""COMPUTED_VALUE"""),"2012")</f>
        <v>2012</v>
      </c>
      <c r="AB1405" s="15" t="str">
        <f>IFERROR(__xludf.DUMMYFUNCTION("ARRAYFORMULA(VLOOKUP(A1405,IMPORTRANGE(""https://docs.google.com/spreadsheets/d/1BuTWp7qHGjWhqrnf-OmePP568O4A5Am9ttzvVdP67zw/edit#gid=1931367683"" ,""ENERGY!$A$2:$F$2692""), {2,3,4,5,6},0))"),"Europe")</f>
        <v>Europe</v>
      </c>
      <c r="AC1405" s="14" t="str">
        <f>IFERROR(__xludf.DUMMYFUNCTION("""COMPUTED_VALUE"""),"Liechtenstein-Europe")</f>
        <v>Liechtenstein-Europe</v>
      </c>
      <c r="AD1405" s="14" t="str">
        <f>IFERROR(__xludf.DUMMYFUNCTION("""COMPUTED_VALUE"""),"2010")</f>
        <v>2010</v>
      </c>
      <c r="AE1405" s="14"/>
      <c r="AF1405" s="14"/>
    </row>
    <row r="1406">
      <c r="A1406" s="12">
        <v>1405.0</v>
      </c>
      <c r="B1406" s="12" t="s">
        <v>187</v>
      </c>
      <c r="C1406" s="5" t="s">
        <v>75</v>
      </c>
      <c r="D1406" s="8"/>
      <c r="E1406" s="8"/>
      <c r="F1406" s="8"/>
      <c r="G1406" s="8"/>
      <c r="H1406" s="11">
        <v>0.064</v>
      </c>
      <c r="I1406" s="11">
        <v>0.15</v>
      </c>
      <c r="J1406" s="9" t="s">
        <v>60</v>
      </c>
      <c r="K1406" s="14" t="str">
        <f>IFERROR(__xludf.DUMMYFUNCTION("ARRAYFORMULA(VLOOKUP(A1406,IMPORTRANGE(""https://docs.google.com/spreadsheets/d/1BuTWp7qHGjWhqrnf-OmePP568O4A5Am9ttzvVdP67zw/edit#gid=1603210130"", ""TOURISM!$A$2:$F$2692""), {2,3,4,5,6},0))"),"Europe")</f>
        <v>Europe</v>
      </c>
      <c r="L1406" s="14">
        <f>IFERROR(__xludf.DUMMYFUNCTION("""COMPUTED_VALUE"""),4.3E8)</f>
        <v>430000000</v>
      </c>
      <c r="M1406" s="14" t="str">
        <f>IFERROR(__xludf.DUMMYFUNCTION("""COMPUTED_VALUE"""),"Lithuania-Europe")</f>
        <v>Lithuania-Europe</v>
      </c>
      <c r="N1406" s="14" t="str">
        <f>IFERROR(__xludf.DUMMYFUNCTION("""COMPUTED_VALUE"""),"2000")</f>
        <v>2000</v>
      </c>
      <c r="O1406" s="14">
        <f>IFERROR(__xludf.DUMMYFUNCTION("""COMPUTED_VALUE"""),2.61E8)</f>
        <v>261000000</v>
      </c>
      <c r="P1406" s="15">
        <f>IFERROR(__xludf.DUMMYFUNCTION("ARRAYFORMULA(VLOOKUP(A1406,IMPORTRANGE(""https://docs.google.com/spreadsheets/d/1BuTWp7qHGjWhqrnf-OmePP568O4A5Am9ttzvVdP67zw/edit#gid=771602874"" ,""HUMAN RESOURCES!$A$2:$M$2692""), {2,3,4,5,6,7,8,9,10,11,12,13},0))"),0.01)</f>
        <v>0.01</v>
      </c>
      <c r="Q1406" s="14">
        <f>IFERROR(__xludf.DUMMYFUNCTION("""COMPUTED_VALUE"""),0.01)</f>
        <v>0.01</v>
      </c>
      <c r="R1406" s="14">
        <f>IFERROR(__xludf.DUMMYFUNCTION("""COMPUTED_VALUE"""),78.0)</f>
        <v>78</v>
      </c>
      <c r="S1406" s="14">
        <f>IFERROR(__xludf.DUMMYFUNCTION("""COMPUTED_VALUE"""),67.0)</f>
        <v>67</v>
      </c>
      <c r="T1406" s="14">
        <f>IFERROR(__xludf.DUMMYFUNCTION("""COMPUTED_VALUE"""),0.199)</f>
        <v>0.199</v>
      </c>
      <c r="U1406" s="14">
        <f>IFERROR(__xludf.DUMMYFUNCTION("""COMPUTED_VALUE"""),0.662)</f>
        <v>0.662</v>
      </c>
      <c r="V1406" s="14">
        <f>IFERROR(__xludf.DUMMYFUNCTION("""COMPUTED_VALUE"""),0.139)</f>
        <v>0.139</v>
      </c>
      <c r="W1406" s="14">
        <f>IFERROR(__xludf.DUMMYFUNCTION("""COMPUTED_VALUE"""),3499536.0)</f>
        <v>3499536</v>
      </c>
      <c r="X1406" s="14">
        <f>IFERROR(__xludf.DUMMYFUNCTION("""COMPUTED_VALUE"""),0.67)</f>
        <v>0.67</v>
      </c>
      <c r="Y1406" s="14" t="str">
        <f>IFERROR(__xludf.DUMMYFUNCTION("""COMPUTED_VALUE"""),"Lithuania-Europe")</f>
        <v>Lithuania-Europe</v>
      </c>
      <c r="Z1406" s="14" t="str">
        <f>IFERROR(__xludf.DUMMYFUNCTION("""COMPUTED_VALUE"""),"Europe")</f>
        <v>Europe</v>
      </c>
      <c r="AA1406" s="14" t="str">
        <f>IFERROR(__xludf.DUMMYFUNCTION("""COMPUTED_VALUE"""),"2000")</f>
        <v>2000</v>
      </c>
      <c r="AB1406" s="15" t="str">
        <f>IFERROR(__xludf.DUMMYFUNCTION("ARRAYFORMULA(VLOOKUP(A1406,IMPORTRANGE(""https://docs.google.com/spreadsheets/d/1BuTWp7qHGjWhqrnf-OmePP568O4A5Am9ttzvVdP67zw/edit#gid=1931367683"" ,""ENERGY!$A$2:$F$2692""), {2,3,4,5,6},0))"),"Europe")</f>
        <v>Europe</v>
      </c>
      <c r="AC1406" s="14" t="str">
        <f>IFERROR(__xludf.DUMMYFUNCTION("""COMPUTED_VALUE"""),"Lithuania-Europe")</f>
        <v>Lithuania-Europe</v>
      </c>
      <c r="AD1406" s="14" t="str">
        <f>IFERROR(__xludf.DUMMYFUNCTION("""COMPUTED_VALUE"""),"2000")</f>
        <v>2000</v>
      </c>
      <c r="AE1406" s="14"/>
      <c r="AF1406" s="14"/>
    </row>
    <row r="1407">
      <c r="A1407" s="12">
        <v>1406.0</v>
      </c>
      <c r="B1407" s="12" t="s">
        <v>187</v>
      </c>
      <c r="C1407" s="5" t="s">
        <v>75</v>
      </c>
      <c r="D1407" s="8"/>
      <c r="E1407" s="8"/>
      <c r="F1407" s="8"/>
      <c r="G1407" s="8"/>
      <c r="H1407" s="11">
        <v>0.072</v>
      </c>
      <c r="I1407" s="11">
        <v>0.294</v>
      </c>
      <c r="J1407" s="9" t="s">
        <v>62</v>
      </c>
      <c r="K1407" s="14" t="str">
        <f>IFERROR(__xludf.DUMMYFUNCTION("ARRAYFORMULA(VLOOKUP(A1407,IMPORTRANGE(""https://docs.google.com/spreadsheets/d/1BuTWp7qHGjWhqrnf-OmePP568O4A5Am9ttzvVdP67zw/edit#gid=1603210130"", ""TOURISM!$A$2:$F$2692""), {2,3,4,5,6},0))"),"Europe")</f>
        <v>Europe</v>
      </c>
      <c r="L1407" s="14">
        <f>IFERROR(__xludf.DUMMYFUNCTION("""COMPUTED_VALUE"""),4.25E8)</f>
        <v>425000000</v>
      </c>
      <c r="M1407" s="14" t="str">
        <f>IFERROR(__xludf.DUMMYFUNCTION("""COMPUTED_VALUE"""),"Lithuania-Europe")</f>
        <v>Lithuania-Europe</v>
      </c>
      <c r="N1407" s="14" t="str">
        <f>IFERROR(__xludf.DUMMYFUNCTION("""COMPUTED_VALUE"""),"2001")</f>
        <v>2001</v>
      </c>
      <c r="O1407" s="14">
        <f>IFERROR(__xludf.DUMMYFUNCTION("""COMPUTED_VALUE"""),2.27E8)</f>
        <v>227000000</v>
      </c>
      <c r="P1407" s="15">
        <f>IFERROR(__xludf.DUMMYFUNCTION("ARRAYFORMULA(VLOOKUP(A1407,IMPORTRANGE(""https://docs.google.com/spreadsheets/d/1BuTWp7qHGjWhqrnf-OmePP568O4A5Am9ttzvVdP67zw/edit#gid=771602874"" ,""HUMAN RESOURCES!$A$2:$M$2692""), {2,3,4,5,6,7,8,9,10,11,12,13},0))"),0.009)</f>
        <v>0.009</v>
      </c>
      <c r="Q1407" s="14">
        <f>IFERROR(__xludf.DUMMYFUNCTION("""COMPUTED_VALUE"""),0.009)</f>
        <v>0.009</v>
      </c>
      <c r="R1407" s="14">
        <f>IFERROR(__xludf.DUMMYFUNCTION("""COMPUTED_VALUE"""),78.0)</f>
        <v>78</v>
      </c>
      <c r="S1407" s="14">
        <f>IFERROR(__xludf.DUMMYFUNCTION("""COMPUTED_VALUE"""),66.0)</f>
        <v>66</v>
      </c>
      <c r="T1407" s="14">
        <f>IFERROR(__xludf.DUMMYFUNCTION("""COMPUTED_VALUE"""),0.193)</f>
        <v>0.193</v>
      </c>
      <c r="U1407" s="14">
        <f>IFERROR(__xludf.DUMMYFUNCTION("""COMPUTED_VALUE"""),0.665)</f>
        <v>0.665</v>
      </c>
      <c r="V1407" s="14">
        <f>IFERROR(__xludf.DUMMYFUNCTION("""COMPUTED_VALUE"""),0.142)</f>
        <v>0.142</v>
      </c>
      <c r="W1407" s="14">
        <f>IFERROR(__xludf.DUMMYFUNCTION("""COMPUTED_VALUE"""),3470818.0)</f>
        <v>3470818</v>
      </c>
      <c r="X1407" s="14">
        <f>IFERROR(__xludf.DUMMYFUNCTION("""COMPUTED_VALUE"""),0.669)</f>
        <v>0.669</v>
      </c>
      <c r="Y1407" s="14" t="str">
        <f>IFERROR(__xludf.DUMMYFUNCTION("""COMPUTED_VALUE"""),"Lithuania-Europe")</f>
        <v>Lithuania-Europe</v>
      </c>
      <c r="Z1407" s="14" t="str">
        <f>IFERROR(__xludf.DUMMYFUNCTION("""COMPUTED_VALUE"""),"Europe")</f>
        <v>Europe</v>
      </c>
      <c r="AA1407" s="14" t="str">
        <f>IFERROR(__xludf.DUMMYFUNCTION("""COMPUTED_VALUE"""),"2001")</f>
        <v>2001</v>
      </c>
      <c r="AB1407" s="15" t="str">
        <f>IFERROR(__xludf.DUMMYFUNCTION("ARRAYFORMULA(VLOOKUP(A1407,IMPORTRANGE(""https://docs.google.com/spreadsheets/d/1BuTWp7qHGjWhqrnf-OmePP568O4A5Am9ttzvVdP67zw/edit#gid=1931367683"" ,""ENERGY!$A$2:$F$2692""), {2,3,4,5,6},0))"),"Europe")</f>
        <v>Europe</v>
      </c>
      <c r="AC1407" s="14" t="str">
        <f>IFERROR(__xludf.DUMMYFUNCTION("""COMPUTED_VALUE"""),"Lithuania-Europe")</f>
        <v>Lithuania-Europe</v>
      </c>
      <c r="AD1407" s="14" t="str">
        <f>IFERROR(__xludf.DUMMYFUNCTION("""COMPUTED_VALUE"""),"2001")</f>
        <v>2001</v>
      </c>
      <c r="AE1407" s="14">
        <f>IFERROR(__xludf.DUMMYFUNCTION("""COMPUTED_VALUE"""),7287.0)</f>
        <v>7287</v>
      </c>
      <c r="AF1407" s="14"/>
    </row>
    <row r="1408">
      <c r="A1408" s="12">
        <v>1407.0</v>
      </c>
      <c r="B1408" s="12" t="s">
        <v>187</v>
      </c>
      <c r="C1408" s="5" t="s">
        <v>75</v>
      </c>
      <c r="D1408" s="8"/>
      <c r="E1408" s="8"/>
      <c r="F1408" s="8"/>
      <c r="G1408" s="8"/>
      <c r="H1408" s="11">
        <v>0.177</v>
      </c>
      <c r="I1408" s="11">
        <v>0.481</v>
      </c>
      <c r="J1408" s="9" t="s">
        <v>63</v>
      </c>
      <c r="K1408" s="14" t="str">
        <f>IFERROR(__xludf.DUMMYFUNCTION("ARRAYFORMULA(VLOOKUP(A1408,IMPORTRANGE(""https://docs.google.com/spreadsheets/d/1BuTWp7qHGjWhqrnf-OmePP568O4A5Am9ttzvVdP67zw/edit#gid=1603210130"", ""TOURISM!$A$2:$F$2692""), {2,3,4,5,6},0))"),"Europe")</f>
        <v>Europe</v>
      </c>
      <c r="L1408" s="14">
        <f>IFERROR(__xludf.DUMMYFUNCTION("""COMPUTED_VALUE"""),5.56E8)</f>
        <v>556000000</v>
      </c>
      <c r="M1408" s="14" t="str">
        <f>IFERROR(__xludf.DUMMYFUNCTION("""COMPUTED_VALUE"""),"Lithuania-Europe")</f>
        <v>Lithuania-Europe</v>
      </c>
      <c r="N1408" s="14" t="str">
        <f>IFERROR(__xludf.DUMMYFUNCTION("""COMPUTED_VALUE"""),"2002")</f>
        <v>2002</v>
      </c>
      <c r="O1408" s="14">
        <f>IFERROR(__xludf.DUMMYFUNCTION("""COMPUTED_VALUE"""),3.34E8)</f>
        <v>334000000</v>
      </c>
      <c r="P1408" s="15">
        <f>IFERROR(__xludf.DUMMYFUNCTION("ARRAYFORMULA(VLOOKUP(A1408,IMPORTRANGE(""https://docs.google.com/spreadsheets/d/1BuTWp7qHGjWhqrnf-OmePP568O4A5Am9ttzvVdP67zw/edit#gid=771602874"" ,""HUMAN RESOURCES!$A$2:$M$2692""), {2,3,4,5,6,7,8,9,10,11,12,13},0))"),0.009)</f>
        <v>0.009</v>
      </c>
      <c r="Q1408" s="14">
        <f>IFERROR(__xludf.DUMMYFUNCTION("""COMPUTED_VALUE"""),0.009)</f>
        <v>0.009</v>
      </c>
      <c r="R1408" s="14">
        <f>IFERROR(__xludf.DUMMYFUNCTION("""COMPUTED_VALUE"""),78.0)</f>
        <v>78</v>
      </c>
      <c r="S1408" s="14">
        <f>IFERROR(__xludf.DUMMYFUNCTION("""COMPUTED_VALUE"""),66.0)</f>
        <v>66</v>
      </c>
      <c r="T1408" s="14">
        <f>IFERROR(__xludf.DUMMYFUNCTION("""COMPUTED_VALUE"""),0.187)</f>
        <v>0.187</v>
      </c>
      <c r="U1408" s="14">
        <f>IFERROR(__xludf.DUMMYFUNCTION("""COMPUTED_VALUE"""),0.669)</f>
        <v>0.669</v>
      </c>
      <c r="V1408" s="14">
        <f>IFERROR(__xludf.DUMMYFUNCTION("""COMPUTED_VALUE"""),0.144)</f>
        <v>0.144</v>
      </c>
      <c r="W1408" s="14">
        <f>IFERROR(__xludf.DUMMYFUNCTION("""COMPUTED_VALUE"""),3443067.0)</f>
        <v>3443067</v>
      </c>
      <c r="X1408" s="14">
        <f>IFERROR(__xludf.DUMMYFUNCTION("""COMPUTED_VALUE"""),0.668)</f>
        <v>0.668</v>
      </c>
      <c r="Y1408" s="14" t="str">
        <f>IFERROR(__xludf.DUMMYFUNCTION("""COMPUTED_VALUE"""),"Lithuania-Europe")</f>
        <v>Lithuania-Europe</v>
      </c>
      <c r="Z1408" s="14" t="str">
        <f>IFERROR(__xludf.DUMMYFUNCTION("""COMPUTED_VALUE"""),"Europe")</f>
        <v>Europe</v>
      </c>
      <c r="AA1408" s="14" t="str">
        <f>IFERROR(__xludf.DUMMYFUNCTION("""COMPUTED_VALUE"""),"2002")</f>
        <v>2002</v>
      </c>
      <c r="AB1408" s="15" t="str">
        <f>IFERROR(__xludf.DUMMYFUNCTION("ARRAYFORMULA(VLOOKUP(A1408,IMPORTRANGE(""https://docs.google.com/spreadsheets/d/1BuTWp7qHGjWhqrnf-OmePP568O4A5Am9ttzvVdP67zw/edit#gid=1931367683"" ,""ENERGY!$A$2:$F$2692""), {2,3,4,5,6},0))"),"Europe")</f>
        <v>Europe</v>
      </c>
      <c r="AC1408" s="14" t="str">
        <f>IFERROR(__xludf.DUMMYFUNCTION("""COMPUTED_VALUE"""),"Lithuania-Europe")</f>
        <v>Lithuania-Europe</v>
      </c>
      <c r="AD1408" s="14" t="str">
        <f>IFERROR(__xludf.DUMMYFUNCTION("""COMPUTED_VALUE"""),"2002")</f>
        <v>2002</v>
      </c>
      <c r="AE1408" s="14">
        <f>IFERROR(__xludf.DUMMYFUNCTION("""COMPUTED_VALUE"""),7052.0)</f>
        <v>7052</v>
      </c>
      <c r="AF1408" s="14">
        <f>IFERROR(__xludf.DUMMYFUNCTION("""COMPUTED_VALUE"""),13561.0)</f>
        <v>13561</v>
      </c>
    </row>
    <row r="1409">
      <c r="A1409" s="12">
        <v>1408.0</v>
      </c>
      <c r="B1409" s="12" t="s">
        <v>187</v>
      </c>
      <c r="C1409" s="5" t="s">
        <v>75</v>
      </c>
      <c r="D1409" s="8"/>
      <c r="E1409" s="11">
        <v>26.0</v>
      </c>
      <c r="F1409" s="8"/>
      <c r="G1409" s="8"/>
      <c r="H1409" s="11">
        <v>0.259</v>
      </c>
      <c r="I1409" s="11">
        <v>0.622</v>
      </c>
      <c r="J1409" s="9" t="s">
        <v>64</v>
      </c>
      <c r="K1409" s="14" t="str">
        <f>IFERROR(__xludf.DUMMYFUNCTION("ARRAYFORMULA(VLOOKUP(A1409,IMPORTRANGE(""https://docs.google.com/spreadsheets/d/1BuTWp7qHGjWhqrnf-OmePP568O4A5Am9ttzvVdP67zw/edit#gid=1603210130"", ""TOURISM!$A$2:$F$2692""), {2,3,4,5,6},0))"),"Europe")</f>
        <v>Europe</v>
      </c>
      <c r="L1409" s="14">
        <f>IFERROR(__xludf.DUMMYFUNCTION("""COMPUTED_VALUE"""),7.0E8)</f>
        <v>700000000</v>
      </c>
      <c r="M1409" s="14" t="str">
        <f>IFERROR(__xludf.DUMMYFUNCTION("""COMPUTED_VALUE"""),"Lithuania-Europe")</f>
        <v>Lithuania-Europe</v>
      </c>
      <c r="N1409" s="14" t="str">
        <f>IFERROR(__xludf.DUMMYFUNCTION("""COMPUTED_VALUE"""),"2003")</f>
        <v>2003</v>
      </c>
      <c r="O1409" s="14">
        <f>IFERROR(__xludf.DUMMYFUNCTION("""COMPUTED_VALUE"""),4.76E8)</f>
        <v>476000000</v>
      </c>
      <c r="P1409" s="15">
        <f>IFERROR(__xludf.DUMMYFUNCTION("ARRAYFORMULA(VLOOKUP(A1409,IMPORTRANGE(""https://docs.google.com/spreadsheets/d/1BuTWp7qHGjWhqrnf-OmePP568O4A5Am9ttzvVdP67zw/edit#gid=771602874"" ,""HUMAN RESOURCES!$A$2:$M$2692""), {2,3,4,5,6,7,8,9,10,11,12,13},0))"),0.009)</f>
        <v>0.009</v>
      </c>
      <c r="Q1409" s="14">
        <f>IFERROR(__xludf.DUMMYFUNCTION("""COMPUTED_VALUE"""),0.009)</f>
        <v>0.009</v>
      </c>
      <c r="R1409" s="14">
        <f>IFERROR(__xludf.DUMMYFUNCTION("""COMPUTED_VALUE"""),78.0)</f>
        <v>78</v>
      </c>
      <c r="S1409" s="14">
        <f>IFERROR(__xludf.DUMMYFUNCTION("""COMPUTED_VALUE"""),67.0)</f>
        <v>67</v>
      </c>
      <c r="T1409" s="14">
        <f>IFERROR(__xludf.DUMMYFUNCTION("""COMPUTED_VALUE"""),0.18)</f>
        <v>0.18</v>
      </c>
      <c r="U1409" s="14">
        <f>IFERROR(__xludf.DUMMYFUNCTION("""COMPUTED_VALUE"""),0.673)</f>
        <v>0.673</v>
      </c>
      <c r="V1409" s="14">
        <f>IFERROR(__xludf.DUMMYFUNCTION("""COMPUTED_VALUE"""),0.147)</f>
        <v>0.147</v>
      </c>
      <c r="W1409" s="14">
        <f>IFERROR(__xludf.DUMMYFUNCTION("""COMPUTED_VALUE"""),3415213.0)</f>
        <v>3415213</v>
      </c>
      <c r="X1409" s="14">
        <f>IFERROR(__xludf.DUMMYFUNCTION("""COMPUTED_VALUE"""),0.667)</f>
        <v>0.667</v>
      </c>
      <c r="Y1409" s="14" t="str">
        <f>IFERROR(__xludf.DUMMYFUNCTION("""COMPUTED_VALUE"""),"Lithuania-Europe")</f>
        <v>Lithuania-Europe</v>
      </c>
      <c r="Z1409" s="14" t="str">
        <f>IFERROR(__xludf.DUMMYFUNCTION("""COMPUTED_VALUE"""),"Europe")</f>
        <v>Europe</v>
      </c>
      <c r="AA1409" s="14" t="str">
        <f>IFERROR(__xludf.DUMMYFUNCTION("""COMPUTED_VALUE"""),"2003")</f>
        <v>2003</v>
      </c>
      <c r="AB1409" s="15" t="str">
        <f>IFERROR(__xludf.DUMMYFUNCTION("ARRAYFORMULA(VLOOKUP(A1409,IMPORTRANGE(""https://docs.google.com/spreadsheets/d/1BuTWp7qHGjWhqrnf-OmePP568O4A5Am9ttzvVdP67zw/edit#gid=1931367683"" ,""ENERGY!$A$2:$F$2692""), {2,3,4,5,6},0))"),"Europe")</f>
        <v>Europe</v>
      </c>
      <c r="AC1409" s="14" t="str">
        <f>IFERROR(__xludf.DUMMYFUNCTION("""COMPUTED_VALUE"""),"Lithuania-Europe")</f>
        <v>Lithuania-Europe</v>
      </c>
      <c r="AD1409" s="14" t="str">
        <f>IFERROR(__xludf.DUMMYFUNCTION("""COMPUTED_VALUE"""),"2003")</f>
        <v>2003</v>
      </c>
      <c r="AE1409" s="14">
        <f>IFERROR(__xludf.DUMMYFUNCTION("""COMPUTED_VALUE"""),8766.0)</f>
        <v>8766</v>
      </c>
      <c r="AF1409" s="14">
        <f>IFERROR(__xludf.DUMMYFUNCTION("""COMPUTED_VALUE"""),12578.0)</f>
        <v>12578</v>
      </c>
    </row>
    <row r="1410">
      <c r="A1410" s="12">
        <v>1409.0</v>
      </c>
      <c r="B1410" s="12" t="s">
        <v>187</v>
      </c>
      <c r="C1410" s="5" t="s">
        <v>75</v>
      </c>
      <c r="D1410" s="8"/>
      <c r="E1410" s="11">
        <v>26.0</v>
      </c>
      <c r="F1410" s="8"/>
      <c r="G1410" s="8"/>
      <c r="H1410" s="11">
        <v>0.312</v>
      </c>
      <c r="I1410" s="11">
        <v>0.915</v>
      </c>
      <c r="J1410" s="9" t="s">
        <v>65</v>
      </c>
      <c r="K1410" s="14" t="str">
        <f>IFERROR(__xludf.DUMMYFUNCTION("ARRAYFORMULA(VLOOKUP(A1410,IMPORTRANGE(""https://docs.google.com/spreadsheets/d/1BuTWp7qHGjWhqrnf-OmePP568O4A5Am9ttzvVdP67zw/edit#gid=1603210130"", ""TOURISM!$A$2:$F$2692""), {2,3,4,5,6},0))"),"Europe")</f>
        <v>Europe</v>
      </c>
      <c r="L1410" s="14">
        <f>IFERROR(__xludf.DUMMYFUNCTION("""COMPUTED_VALUE"""),8.34E8)</f>
        <v>834000000</v>
      </c>
      <c r="M1410" s="14" t="str">
        <f>IFERROR(__xludf.DUMMYFUNCTION("""COMPUTED_VALUE"""),"Lithuania-Europe")</f>
        <v>Lithuania-Europe</v>
      </c>
      <c r="N1410" s="14" t="str">
        <f>IFERROR(__xludf.DUMMYFUNCTION("""COMPUTED_VALUE"""),"2004")</f>
        <v>2004</v>
      </c>
      <c r="O1410" s="14">
        <f>IFERROR(__xludf.DUMMYFUNCTION("""COMPUTED_VALUE"""),6.43E8)</f>
        <v>643000000</v>
      </c>
      <c r="P1410" s="15">
        <f>IFERROR(__xludf.DUMMYFUNCTION("ARRAYFORMULA(VLOOKUP(A1410,IMPORTRANGE(""https://docs.google.com/spreadsheets/d/1BuTWp7qHGjWhqrnf-OmePP568O4A5Am9ttzvVdP67zw/edit#gid=771602874"" ,""HUMAN RESOURCES!$A$2:$M$2692""), {2,3,4,5,6,7,8,9,10,11,12,13},0))"),0.009)</f>
        <v>0.009</v>
      </c>
      <c r="Q1410" s="14">
        <f>IFERROR(__xludf.DUMMYFUNCTION("""COMPUTED_VALUE"""),0.008)</f>
        <v>0.008</v>
      </c>
      <c r="R1410" s="14">
        <f>IFERROR(__xludf.DUMMYFUNCTION("""COMPUTED_VALUE"""),78.0)</f>
        <v>78</v>
      </c>
      <c r="S1410" s="14">
        <f>IFERROR(__xludf.DUMMYFUNCTION("""COMPUTED_VALUE"""),66.0)</f>
        <v>66</v>
      </c>
      <c r="T1410" s="14">
        <f>IFERROR(__xludf.DUMMYFUNCTION("""COMPUTED_VALUE"""),0.173)</f>
        <v>0.173</v>
      </c>
      <c r="U1410" s="14">
        <f>IFERROR(__xludf.DUMMYFUNCTION("""COMPUTED_VALUE"""),0.677)</f>
        <v>0.677</v>
      </c>
      <c r="V1410" s="14">
        <f>IFERROR(__xludf.DUMMYFUNCTION("""COMPUTED_VALUE"""),0.15)</f>
        <v>0.15</v>
      </c>
      <c r="W1410" s="14">
        <f>IFERROR(__xludf.DUMMYFUNCTION("""COMPUTED_VALUE"""),3377075.0)</f>
        <v>3377075</v>
      </c>
      <c r="X1410" s="14">
        <f>IFERROR(__xludf.DUMMYFUNCTION("""COMPUTED_VALUE"""),0.666)</f>
        <v>0.666</v>
      </c>
      <c r="Y1410" s="14" t="str">
        <f>IFERROR(__xludf.DUMMYFUNCTION("""COMPUTED_VALUE"""),"Lithuania-Europe")</f>
        <v>Lithuania-Europe</v>
      </c>
      <c r="Z1410" s="14" t="str">
        <f>IFERROR(__xludf.DUMMYFUNCTION("""COMPUTED_VALUE"""),"Europe")</f>
        <v>Europe</v>
      </c>
      <c r="AA1410" s="14" t="str">
        <f>IFERROR(__xludf.DUMMYFUNCTION("""COMPUTED_VALUE"""),"2004")</f>
        <v>2004</v>
      </c>
      <c r="AB1410" s="15" t="str">
        <f>IFERROR(__xludf.DUMMYFUNCTION("ARRAYFORMULA(VLOOKUP(A1410,IMPORTRANGE(""https://docs.google.com/spreadsheets/d/1BuTWp7qHGjWhqrnf-OmePP568O4A5Am9ttzvVdP67zw/edit#gid=1931367683"" ,""ENERGY!$A$2:$F$2692""), {2,3,4,5,6},0))"),"Europe")</f>
        <v>Europe</v>
      </c>
      <c r="AC1410" s="14" t="str">
        <f>IFERROR(__xludf.DUMMYFUNCTION("""COMPUTED_VALUE"""),"Lithuania-Europe")</f>
        <v>Lithuania-Europe</v>
      </c>
      <c r="AD1410" s="14" t="str">
        <f>IFERROR(__xludf.DUMMYFUNCTION("""COMPUTED_VALUE"""),"2004")</f>
        <v>2004</v>
      </c>
      <c r="AE1410" s="14">
        <f>IFERROR(__xludf.DUMMYFUNCTION("""COMPUTED_VALUE"""),9520.0)</f>
        <v>9520</v>
      </c>
      <c r="AF1410" s="14">
        <f>IFERROR(__xludf.DUMMYFUNCTION("""COMPUTED_VALUE"""),15115.0)</f>
        <v>15115</v>
      </c>
    </row>
    <row r="1411">
      <c r="A1411" s="12">
        <v>1410.0</v>
      </c>
      <c r="B1411" s="12" t="s">
        <v>187</v>
      </c>
      <c r="C1411" s="5" t="s">
        <v>75</v>
      </c>
      <c r="D1411" s="11">
        <v>0.512</v>
      </c>
      <c r="E1411" s="11">
        <v>26.0</v>
      </c>
      <c r="F1411" s="8"/>
      <c r="G1411" s="11">
        <v>166.0</v>
      </c>
      <c r="H1411" s="11">
        <v>0.362</v>
      </c>
      <c r="I1411" s="11">
        <v>1.325</v>
      </c>
      <c r="J1411" s="9" t="s">
        <v>66</v>
      </c>
      <c r="K1411" s="14" t="str">
        <f>IFERROR(__xludf.DUMMYFUNCTION("ARRAYFORMULA(VLOOKUP(A1411,IMPORTRANGE(""https://docs.google.com/spreadsheets/d/1BuTWp7qHGjWhqrnf-OmePP568O4A5Am9ttzvVdP67zw/edit#gid=1603210130"", ""TOURISM!$A$2:$F$2692""), {2,3,4,5,6},0))"),"Europe")</f>
        <v>Europe</v>
      </c>
      <c r="L1411" s="14">
        <f>IFERROR(__xludf.DUMMYFUNCTION("""COMPUTED_VALUE"""),9.75E8)</f>
        <v>975000000</v>
      </c>
      <c r="M1411" s="14" t="str">
        <f>IFERROR(__xludf.DUMMYFUNCTION("""COMPUTED_VALUE"""),"Lithuania-Europe")</f>
        <v>Lithuania-Europe</v>
      </c>
      <c r="N1411" s="14" t="str">
        <f>IFERROR(__xludf.DUMMYFUNCTION("""COMPUTED_VALUE"""),"2005")</f>
        <v>2005</v>
      </c>
      <c r="O1411" s="14">
        <f>IFERROR(__xludf.DUMMYFUNCTION("""COMPUTED_VALUE"""),7.57E8)</f>
        <v>757000000</v>
      </c>
      <c r="P1411" s="15">
        <f>IFERROR(__xludf.DUMMYFUNCTION("ARRAYFORMULA(VLOOKUP(A1411,IMPORTRANGE(""https://docs.google.com/spreadsheets/d/1BuTWp7qHGjWhqrnf-OmePP568O4A5Am9ttzvVdP67zw/edit#gid=771602874"" ,""HUMAN RESOURCES!$A$2:$M$2692""), {2,3,4,5,6,7,8,9,10,11,12,13},0))"),0.009)</f>
        <v>0.009</v>
      </c>
      <c r="Q1411" s="14">
        <f>IFERROR(__xludf.DUMMYFUNCTION("""COMPUTED_VALUE"""),0.008)</f>
        <v>0.008</v>
      </c>
      <c r="R1411" s="14">
        <f>IFERROR(__xludf.DUMMYFUNCTION("""COMPUTED_VALUE"""),77.0)</f>
        <v>77</v>
      </c>
      <c r="S1411" s="14">
        <f>IFERROR(__xludf.DUMMYFUNCTION("""COMPUTED_VALUE"""),65.0)</f>
        <v>65</v>
      </c>
      <c r="T1411" s="14">
        <f>IFERROR(__xludf.DUMMYFUNCTION("""COMPUTED_VALUE"""),0.167)</f>
        <v>0.167</v>
      </c>
      <c r="U1411" s="14">
        <f>IFERROR(__xludf.DUMMYFUNCTION("""COMPUTED_VALUE"""),0.681)</f>
        <v>0.681</v>
      </c>
      <c r="V1411" s="14">
        <f>IFERROR(__xludf.DUMMYFUNCTION("""COMPUTED_VALUE"""),0.151)</f>
        <v>0.151</v>
      </c>
      <c r="W1411" s="14">
        <f>IFERROR(__xludf.DUMMYFUNCTION("""COMPUTED_VALUE"""),3322528.0)</f>
        <v>3322528</v>
      </c>
      <c r="X1411" s="14">
        <f>IFERROR(__xludf.DUMMYFUNCTION("""COMPUTED_VALUE"""),0.666)</f>
        <v>0.666</v>
      </c>
      <c r="Y1411" s="14" t="str">
        <f>IFERROR(__xludf.DUMMYFUNCTION("""COMPUTED_VALUE"""),"Lithuania-Europe")</f>
        <v>Lithuania-Europe</v>
      </c>
      <c r="Z1411" s="14" t="str">
        <f>IFERROR(__xludf.DUMMYFUNCTION("""COMPUTED_VALUE"""),"Europe")</f>
        <v>Europe</v>
      </c>
      <c r="AA1411" s="14" t="str">
        <f>IFERROR(__xludf.DUMMYFUNCTION("""COMPUTED_VALUE"""),"2005")</f>
        <v>2005</v>
      </c>
      <c r="AB1411" s="15" t="str">
        <f>IFERROR(__xludf.DUMMYFUNCTION("ARRAYFORMULA(VLOOKUP(A1411,IMPORTRANGE(""https://docs.google.com/spreadsheets/d/1BuTWp7qHGjWhqrnf-OmePP568O4A5Am9ttzvVdP67zw/edit#gid=1931367683"" ,""ENERGY!$A$2:$F$2692""), {2,3,4,5,6},0))"),"Europe")</f>
        <v>Europe</v>
      </c>
      <c r="AC1411" s="14" t="str">
        <f>IFERROR(__xludf.DUMMYFUNCTION("""COMPUTED_VALUE"""),"Lithuania-Europe")</f>
        <v>Lithuania-Europe</v>
      </c>
      <c r="AD1411" s="14" t="str">
        <f>IFERROR(__xludf.DUMMYFUNCTION("""COMPUTED_VALUE"""),"2007")</f>
        <v>2007</v>
      </c>
      <c r="AE1411" s="14">
        <f>IFERROR(__xludf.DUMMYFUNCTION("""COMPUTED_VALUE"""),9460.0)</f>
        <v>9460</v>
      </c>
      <c r="AF1411" s="14">
        <f>IFERROR(__xludf.DUMMYFUNCTION("""COMPUTED_VALUE"""),15137.0)</f>
        <v>15137</v>
      </c>
    </row>
    <row r="1412">
      <c r="A1412" s="12">
        <v>1411.0</v>
      </c>
      <c r="B1412" s="12" t="s">
        <v>187</v>
      </c>
      <c r="C1412" s="5" t="s">
        <v>75</v>
      </c>
      <c r="D1412" s="11">
        <v>0.476</v>
      </c>
      <c r="E1412" s="11">
        <v>26.0</v>
      </c>
      <c r="F1412" s="8"/>
      <c r="G1412" s="11">
        <v>166.0</v>
      </c>
      <c r="H1412" s="11">
        <v>0.439</v>
      </c>
      <c r="I1412" s="11">
        <v>1.457</v>
      </c>
      <c r="J1412" s="9" t="s">
        <v>67</v>
      </c>
      <c r="K1412" s="14" t="str">
        <f>IFERROR(__xludf.DUMMYFUNCTION("ARRAYFORMULA(VLOOKUP(A1412,IMPORTRANGE(""https://docs.google.com/spreadsheets/d/1BuTWp7qHGjWhqrnf-OmePP568O4A5Am9ttzvVdP67zw/edit#gid=1603210130"", ""TOURISM!$A$2:$F$2692""), {2,3,4,5,6},0))"),"Europe")</f>
        <v>Europe</v>
      </c>
      <c r="L1412" s="14">
        <f>IFERROR(__xludf.DUMMYFUNCTION("""COMPUTED_VALUE"""),1.077E9)</f>
        <v>1077000000</v>
      </c>
      <c r="M1412" s="14" t="str">
        <f>IFERROR(__xludf.DUMMYFUNCTION("""COMPUTED_VALUE"""),"Lithuania-Europe")</f>
        <v>Lithuania-Europe</v>
      </c>
      <c r="N1412" s="14" t="str">
        <f>IFERROR(__xludf.DUMMYFUNCTION("""COMPUTED_VALUE"""),"2006")</f>
        <v>2006</v>
      </c>
      <c r="O1412" s="14">
        <f>IFERROR(__xludf.DUMMYFUNCTION("""COMPUTED_VALUE"""),9.31E8)</f>
        <v>931000000</v>
      </c>
      <c r="P1412" s="15">
        <f>IFERROR(__xludf.DUMMYFUNCTION("ARRAYFORMULA(VLOOKUP(A1412,IMPORTRANGE(""https://docs.google.com/spreadsheets/d/1BuTWp7qHGjWhqrnf-OmePP568O4A5Am9ttzvVdP67zw/edit#gid=771602874"" ,""HUMAN RESOURCES!$A$2:$M$2692""), {2,3,4,5,6,7,8,9,10,11,12,13},0))"),0.01)</f>
        <v>0.01</v>
      </c>
      <c r="Q1412" s="14">
        <f>IFERROR(__xludf.DUMMYFUNCTION("""COMPUTED_VALUE"""),0.008)</f>
        <v>0.008</v>
      </c>
      <c r="R1412" s="14">
        <f>IFERROR(__xludf.DUMMYFUNCTION("""COMPUTED_VALUE"""),77.0)</f>
        <v>77</v>
      </c>
      <c r="S1412" s="14">
        <f>IFERROR(__xludf.DUMMYFUNCTION("""COMPUTED_VALUE"""),65.0)</f>
        <v>65</v>
      </c>
      <c r="T1412" s="14">
        <f>IFERROR(__xludf.DUMMYFUNCTION("""COMPUTED_VALUE"""),0.163)</f>
        <v>0.163</v>
      </c>
      <c r="U1412" s="14">
        <f>IFERROR(__xludf.DUMMYFUNCTION("""COMPUTED_VALUE"""),0.685)</f>
        <v>0.685</v>
      </c>
      <c r="V1412" s="14">
        <f>IFERROR(__xludf.DUMMYFUNCTION("""COMPUTED_VALUE"""),0.153)</f>
        <v>0.153</v>
      </c>
      <c r="W1412" s="14">
        <f>IFERROR(__xludf.DUMMYFUNCTION("""COMPUTED_VALUE"""),3269909.0)</f>
        <v>3269909</v>
      </c>
      <c r="X1412" s="14">
        <f>IFERROR(__xludf.DUMMYFUNCTION("""COMPUTED_VALUE"""),0.667)</f>
        <v>0.667</v>
      </c>
      <c r="Y1412" s="14" t="str">
        <f>IFERROR(__xludf.DUMMYFUNCTION("""COMPUTED_VALUE"""),"Lithuania-Europe")</f>
        <v>Lithuania-Europe</v>
      </c>
      <c r="Z1412" s="14" t="str">
        <f>IFERROR(__xludf.DUMMYFUNCTION("""COMPUTED_VALUE"""),"Europe")</f>
        <v>Europe</v>
      </c>
      <c r="AA1412" s="14" t="str">
        <f>IFERROR(__xludf.DUMMYFUNCTION("""COMPUTED_VALUE"""),"2006")</f>
        <v>2006</v>
      </c>
      <c r="AB1412" s="15" t="str">
        <f>IFERROR(__xludf.DUMMYFUNCTION("ARRAYFORMULA(VLOOKUP(A1412,IMPORTRANGE(""https://docs.google.com/spreadsheets/d/1BuTWp7qHGjWhqrnf-OmePP568O4A5Am9ttzvVdP67zw/edit#gid=1931367683"" ,""ENERGY!$A$2:$F$2692""), {2,3,4,5,6},0))"),"Europe")</f>
        <v>Europe</v>
      </c>
      <c r="AC1412" s="14" t="str">
        <f>IFERROR(__xludf.DUMMYFUNCTION("""COMPUTED_VALUE"""),"Lithuania-Europe")</f>
        <v>Lithuania-Europe</v>
      </c>
      <c r="AD1412" s="14" t="str">
        <f>IFERROR(__xludf.DUMMYFUNCTION("""COMPUTED_VALUE"""),"2011")</f>
        <v>2011</v>
      </c>
      <c r="AE1412" s="14">
        <f>IFERROR(__xludf.DUMMYFUNCTION("""COMPUTED_VALUE"""),8718.0)</f>
        <v>8718</v>
      </c>
      <c r="AF1412" s="14">
        <f>IFERROR(__xludf.DUMMYFUNCTION("""COMPUTED_VALUE"""),14294.0)</f>
        <v>14294</v>
      </c>
    </row>
    <row r="1413">
      <c r="A1413" s="12">
        <v>1412.0</v>
      </c>
      <c r="B1413" s="12" t="s">
        <v>187</v>
      </c>
      <c r="C1413" s="5" t="s">
        <v>75</v>
      </c>
      <c r="D1413" s="11">
        <v>0.462</v>
      </c>
      <c r="E1413" s="11">
        <v>26.0</v>
      </c>
      <c r="F1413" s="8"/>
      <c r="G1413" s="11">
        <v>166.0</v>
      </c>
      <c r="H1413" s="11">
        <v>0.499</v>
      </c>
      <c r="I1413" s="11">
        <v>1.54</v>
      </c>
      <c r="J1413" s="9" t="s">
        <v>68</v>
      </c>
      <c r="K1413" s="14" t="str">
        <f>IFERROR(__xludf.DUMMYFUNCTION("ARRAYFORMULA(VLOOKUP(A1413,IMPORTRANGE(""https://docs.google.com/spreadsheets/d/1BuTWp7qHGjWhqrnf-OmePP568O4A5Am9ttzvVdP67zw/edit#gid=1603210130"", ""TOURISM!$A$2:$F$2692""), {2,3,4,5,6},0))"),"Europe")</f>
        <v>Europe</v>
      </c>
      <c r="L1413" s="14">
        <f>IFERROR(__xludf.DUMMYFUNCTION("""COMPUTED_VALUE"""),1.192E9)</f>
        <v>1192000000</v>
      </c>
      <c r="M1413" s="14" t="str">
        <f>IFERROR(__xludf.DUMMYFUNCTION("""COMPUTED_VALUE"""),"Lithuania-Europe")</f>
        <v>Lithuania-Europe</v>
      </c>
      <c r="N1413" s="14" t="str">
        <f>IFERROR(__xludf.DUMMYFUNCTION("""COMPUTED_VALUE"""),"2007")</f>
        <v>2007</v>
      </c>
      <c r="O1413" s="14">
        <f>IFERROR(__xludf.DUMMYFUNCTION("""COMPUTED_VALUE"""),1.168E9)</f>
        <v>1168000000</v>
      </c>
      <c r="P1413" s="15">
        <f>IFERROR(__xludf.DUMMYFUNCTION("ARRAYFORMULA(VLOOKUP(A1413,IMPORTRANGE(""https://docs.google.com/spreadsheets/d/1BuTWp7qHGjWhqrnf-OmePP568O4A5Am9ttzvVdP67zw/edit#gid=771602874"" ,""HUMAN RESOURCES!$A$2:$M$2692""), {2,3,4,5,6,7,8,9,10,11,12,13},0))"),0.01)</f>
        <v>0.01</v>
      </c>
      <c r="Q1413" s="14">
        <f>IFERROR(__xludf.DUMMYFUNCTION("""COMPUTED_VALUE"""),0.007)</f>
        <v>0.007</v>
      </c>
      <c r="R1413" s="14">
        <f>IFERROR(__xludf.DUMMYFUNCTION("""COMPUTED_VALUE"""),77.0)</f>
        <v>77</v>
      </c>
      <c r="S1413" s="14">
        <f>IFERROR(__xludf.DUMMYFUNCTION("""COMPUTED_VALUE"""),65.0)</f>
        <v>65</v>
      </c>
      <c r="T1413" s="14">
        <f>IFERROR(__xludf.DUMMYFUNCTION("""COMPUTED_VALUE"""),0.159)</f>
        <v>0.159</v>
      </c>
      <c r="U1413" s="14">
        <f>IFERROR(__xludf.DUMMYFUNCTION("""COMPUTED_VALUE"""),0.688)</f>
        <v>0.688</v>
      </c>
      <c r="V1413" s="14">
        <f>IFERROR(__xludf.DUMMYFUNCTION("""COMPUTED_VALUE"""),0.154)</f>
        <v>0.154</v>
      </c>
      <c r="W1413" s="14">
        <f>IFERROR(__xludf.DUMMYFUNCTION("""COMPUTED_VALUE"""),3231294.0)</f>
        <v>3231294</v>
      </c>
      <c r="X1413" s="14">
        <f>IFERROR(__xludf.DUMMYFUNCTION("""COMPUTED_VALUE"""),0.668)</f>
        <v>0.668</v>
      </c>
      <c r="Y1413" s="14" t="str">
        <f>IFERROR(__xludf.DUMMYFUNCTION("""COMPUTED_VALUE"""),"Lithuania-Europe")</f>
        <v>Lithuania-Europe</v>
      </c>
      <c r="Z1413" s="14" t="str">
        <f>IFERROR(__xludf.DUMMYFUNCTION("""COMPUTED_VALUE"""),"Europe")</f>
        <v>Europe</v>
      </c>
      <c r="AA1413" s="14" t="str">
        <f>IFERROR(__xludf.DUMMYFUNCTION("""COMPUTED_VALUE"""),"2007")</f>
        <v>2007</v>
      </c>
      <c r="AB1413" s="15" t="str">
        <f>IFERROR(__xludf.DUMMYFUNCTION("ARRAYFORMULA(VLOOKUP(A1413,IMPORTRANGE(""https://docs.google.com/spreadsheets/d/1BuTWp7qHGjWhqrnf-OmePP568O4A5Am9ttzvVdP67zw/edit#gid=1931367683"" ,""ENERGY!$A$2:$F$2692""), {2,3,4,5,6},0))"),"Europe")</f>
        <v>Europe</v>
      </c>
      <c r="AC1413" s="14" t="str">
        <f>IFERROR(__xludf.DUMMYFUNCTION("""COMPUTED_VALUE"""),"Lithuania-Europe")</f>
        <v>Lithuania-Europe</v>
      </c>
      <c r="AD1413" s="14" t="str">
        <f>IFERROR(__xludf.DUMMYFUNCTION("""COMPUTED_VALUE"""),"2008")</f>
        <v>2008</v>
      </c>
      <c r="AE1413" s="14">
        <f>IFERROR(__xludf.DUMMYFUNCTION("""COMPUTED_VALUE"""),8848.0)</f>
        <v>8848</v>
      </c>
      <c r="AF1413" s="14">
        <f>IFERROR(__xludf.DUMMYFUNCTION("""COMPUTED_VALUE"""),13993.0)</f>
        <v>13993</v>
      </c>
    </row>
    <row r="1414">
      <c r="A1414" s="12">
        <v>1413.0</v>
      </c>
      <c r="B1414" s="12" t="s">
        <v>187</v>
      </c>
      <c r="C1414" s="5" t="s">
        <v>75</v>
      </c>
      <c r="D1414" s="11">
        <v>0.456</v>
      </c>
      <c r="E1414" s="11">
        <v>26.0</v>
      </c>
      <c r="F1414" s="8"/>
      <c r="G1414" s="11">
        <v>166.0</v>
      </c>
      <c r="H1414" s="11">
        <v>0.552</v>
      </c>
      <c r="I1414" s="11">
        <v>1.598</v>
      </c>
      <c r="J1414" s="9" t="s">
        <v>69</v>
      </c>
      <c r="K1414" s="14" t="str">
        <f>IFERROR(__xludf.DUMMYFUNCTION("ARRAYFORMULA(VLOOKUP(A1414,IMPORTRANGE(""https://docs.google.com/spreadsheets/d/1BuTWp7qHGjWhqrnf-OmePP568O4A5Am9ttzvVdP67zw/edit#gid=1603210130"", ""TOURISM!$A$2:$F$2692""), {2,3,4,5,6},0))"),"Europe")</f>
        <v>Europe</v>
      </c>
      <c r="L1414" s="14">
        <f>IFERROR(__xludf.DUMMYFUNCTION("""COMPUTED_VALUE"""),1.316E9)</f>
        <v>1316000000</v>
      </c>
      <c r="M1414" s="14" t="str">
        <f>IFERROR(__xludf.DUMMYFUNCTION("""COMPUTED_VALUE"""),"Lithuania-Europe")</f>
        <v>Lithuania-Europe</v>
      </c>
      <c r="N1414" s="14" t="str">
        <f>IFERROR(__xludf.DUMMYFUNCTION("""COMPUTED_VALUE"""),"2008")</f>
        <v>2008</v>
      </c>
      <c r="O1414" s="14">
        <f>IFERROR(__xludf.DUMMYFUNCTION("""COMPUTED_VALUE"""),1.567E9)</f>
        <v>1567000000</v>
      </c>
      <c r="P1414" s="15">
        <f>IFERROR(__xludf.DUMMYFUNCTION("ARRAYFORMULA(VLOOKUP(A1414,IMPORTRANGE(""https://docs.google.com/spreadsheets/d/1BuTWp7qHGjWhqrnf-OmePP568O4A5Am9ttzvVdP67zw/edit#gid=771602874"" ,""HUMAN RESOURCES!$A$2:$M$2692""), {2,3,4,5,6,7,8,9,10,11,12,13},0))"),0.011)</f>
        <v>0.011</v>
      </c>
      <c r="Q1414" s="14">
        <f>IFERROR(__xludf.DUMMYFUNCTION("""COMPUTED_VALUE"""),0.007)</f>
        <v>0.007</v>
      </c>
      <c r="R1414" s="14">
        <f>IFERROR(__xludf.DUMMYFUNCTION("""COMPUTED_VALUE"""),78.0)</f>
        <v>78</v>
      </c>
      <c r="S1414" s="14">
        <f>IFERROR(__xludf.DUMMYFUNCTION("""COMPUTED_VALUE"""),66.0)</f>
        <v>66</v>
      </c>
      <c r="T1414" s="14">
        <f>IFERROR(__xludf.DUMMYFUNCTION("""COMPUTED_VALUE"""),0.156)</f>
        <v>0.156</v>
      </c>
      <c r="U1414" s="14">
        <f>IFERROR(__xludf.DUMMYFUNCTION("""COMPUTED_VALUE"""),0.69)</f>
        <v>0.69</v>
      </c>
      <c r="V1414" s="14">
        <f>IFERROR(__xludf.DUMMYFUNCTION("""COMPUTED_VALUE"""),0.154)</f>
        <v>0.154</v>
      </c>
      <c r="W1414" s="14">
        <f>IFERROR(__xludf.DUMMYFUNCTION("""COMPUTED_VALUE"""),3198231.0)</f>
        <v>3198231</v>
      </c>
      <c r="X1414" s="14">
        <f>IFERROR(__xludf.DUMMYFUNCTION("""COMPUTED_VALUE"""),0.668)</f>
        <v>0.668</v>
      </c>
      <c r="Y1414" s="14" t="str">
        <f>IFERROR(__xludf.DUMMYFUNCTION("""COMPUTED_VALUE"""),"Lithuania-Europe")</f>
        <v>Lithuania-Europe</v>
      </c>
      <c r="Z1414" s="14" t="str">
        <f>IFERROR(__xludf.DUMMYFUNCTION("""COMPUTED_VALUE"""),"Europe")</f>
        <v>Europe</v>
      </c>
      <c r="AA1414" s="14" t="str">
        <f>IFERROR(__xludf.DUMMYFUNCTION("""COMPUTED_VALUE"""),"2008")</f>
        <v>2008</v>
      </c>
      <c r="AB1414" s="15" t="str">
        <f>IFERROR(__xludf.DUMMYFUNCTION("ARRAYFORMULA(VLOOKUP(A1414,IMPORTRANGE(""https://docs.google.com/spreadsheets/d/1BuTWp7qHGjWhqrnf-OmePP568O4A5Am9ttzvVdP67zw/edit#gid=1931367683"" ,""ENERGY!$A$2:$F$2692""), {2,3,4,5,6},0))"),"Europe")</f>
        <v>Europe</v>
      </c>
      <c r="AC1414" s="14" t="str">
        <f>IFERROR(__xludf.DUMMYFUNCTION("""COMPUTED_VALUE"""),"Lithuania-Europe")</f>
        <v>Lithuania-Europe</v>
      </c>
      <c r="AD1414" s="14" t="str">
        <f>IFERROR(__xludf.DUMMYFUNCTION("""COMPUTED_VALUE"""),"2006")</f>
        <v>2006</v>
      </c>
      <c r="AE1414" s="14">
        <f>IFERROR(__xludf.DUMMYFUNCTION("""COMPUTED_VALUE"""),9386.0)</f>
        <v>9386</v>
      </c>
      <c r="AF1414" s="14">
        <f>IFERROR(__xludf.DUMMYFUNCTION("""COMPUTED_VALUE"""),13330.0)</f>
        <v>13330</v>
      </c>
    </row>
    <row r="1415">
      <c r="A1415" s="12">
        <v>1414.0</v>
      </c>
      <c r="B1415" s="12" t="s">
        <v>187</v>
      </c>
      <c r="C1415" s="5" t="s">
        <v>75</v>
      </c>
      <c r="D1415" s="11">
        <v>0.436</v>
      </c>
      <c r="E1415" s="11">
        <v>26.0</v>
      </c>
      <c r="F1415" s="8"/>
      <c r="G1415" s="11">
        <v>166.0</v>
      </c>
      <c r="H1415" s="11">
        <v>0.598</v>
      </c>
      <c r="I1415" s="11">
        <v>1.599</v>
      </c>
      <c r="J1415" s="9" t="s">
        <v>70</v>
      </c>
      <c r="K1415" s="14" t="str">
        <f>IFERROR(__xludf.DUMMYFUNCTION("ARRAYFORMULA(VLOOKUP(A1415,IMPORTRANGE(""https://docs.google.com/spreadsheets/d/1BuTWp7qHGjWhqrnf-OmePP568O4A5Am9ttzvVdP67zw/edit#gid=1603210130"", ""TOURISM!$A$2:$F$2692""), {2,3,4,5,6},0))"),"Europe")</f>
        <v>Europe</v>
      </c>
      <c r="L1415" s="14">
        <f>IFERROR(__xludf.DUMMYFUNCTION("""COMPUTED_VALUE"""),1.063E9)</f>
        <v>1063000000</v>
      </c>
      <c r="M1415" s="14" t="str">
        <f>IFERROR(__xludf.DUMMYFUNCTION("""COMPUTED_VALUE"""),"Lithuania-Europe")</f>
        <v>Lithuania-Europe</v>
      </c>
      <c r="N1415" s="14" t="str">
        <f>IFERROR(__xludf.DUMMYFUNCTION("""COMPUTED_VALUE"""),"2009")</f>
        <v>2009</v>
      </c>
      <c r="O1415" s="14">
        <f>IFERROR(__xludf.DUMMYFUNCTION("""COMPUTED_VALUE"""),1.17E9)</f>
        <v>1170000000</v>
      </c>
      <c r="P1415" s="15">
        <f>IFERROR(__xludf.DUMMYFUNCTION("ARRAYFORMULA(VLOOKUP(A1415,IMPORTRANGE(""https://docs.google.com/spreadsheets/d/1BuTWp7qHGjWhqrnf-OmePP568O4A5Am9ttzvVdP67zw/edit#gid=771602874"" ,""HUMAN RESOURCES!$A$2:$M$2692""), {2,3,4,5,6,7,8,9,10,11,12,13},0))"),0.012)</f>
        <v>0.012</v>
      </c>
      <c r="Q1415" s="14">
        <f>IFERROR(__xludf.DUMMYFUNCTION("""COMPUTED_VALUE"""),0.006)</f>
        <v>0.006</v>
      </c>
      <c r="R1415" s="14">
        <f>IFERROR(__xludf.DUMMYFUNCTION("""COMPUTED_VALUE"""),79.0)</f>
        <v>79</v>
      </c>
      <c r="S1415" s="14">
        <f>IFERROR(__xludf.DUMMYFUNCTION("""COMPUTED_VALUE"""),68.0)</f>
        <v>68</v>
      </c>
      <c r="T1415" s="14">
        <f>IFERROR(__xludf.DUMMYFUNCTION("""COMPUTED_VALUE"""),0.154)</f>
        <v>0.154</v>
      </c>
      <c r="U1415" s="14">
        <f>IFERROR(__xludf.DUMMYFUNCTION("""COMPUTED_VALUE"""),0.692)</f>
        <v>0.692</v>
      </c>
      <c r="V1415" s="14">
        <f>IFERROR(__xludf.DUMMYFUNCTION("""COMPUTED_VALUE"""),0.155)</f>
        <v>0.155</v>
      </c>
      <c r="W1415" s="14">
        <f>IFERROR(__xludf.DUMMYFUNCTION("""COMPUTED_VALUE"""),3162916.0)</f>
        <v>3162916</v>
      </c>
      <c r="X1415" s="14">
        <f>IFERROR(__xludf.DUMMYFUNCTION("""COMPUTED_VALUE"""),0.668)</f>
        <v>0.668</v>
      </c>
      <c r="Y1415" s="14" t="str">
        <f>IFERROR(__xludf.DUMMYFUNCTION("""COMPUTED_VALUE"""),"Lithuania-Europe")</f>
        <v>Lithuania-Europe</v>
      </c>
      <c r="Z1415" s="14" t="str">
        <f>IFERROR(__xludf.DUMMYFUNCTION("""COMPUTED_VALUE"""),"Europe")</f>
        <v>Europe</v>
      </c>
      <c r="AA1415" s="14" t="str">
        <f>IFERROR(__xludf.DUMMYFUNCTION("""COMPUTED_VALUE"""),"2009")</f>
        <v>2009</v>
      </c>
      <c r="AB1415" s="15" t="str">
        <f>IFERROR(__xludf.DUMMYFUNCTION("ARRAYFORMULA(VLOOKUP(A1415,IMPORTRANGE(""https://docs.google.com/spreadsheets/d/1BuTWp7qHGjWhqrnf-OmePP568O4A5Am9ttzvVdP67zw/edit#gid=1931367683"" ,""ENERGY!$A$2:$F$2692""), {2,3,4,5,6},0))"),"Europe")</f>
        <v>Europe</v>
      </c>
      <c r="AC1415" s="14" t="str">
        <f>IFERROR(__xludf.DUMMYFUNCTION("""COMPUTED_VALUE"""),"Lithuania-Europe")</f>
        <v>Lithuania-Europe</v>
      </c>
      <c r="AD1415" s="14" t="str">
        <f>IFERROR(__xludf.DUMMYFUNCTION("""COMPUTED_VALUE"""),"2010")</f>
        <v>2010</v>
      </c>
      <c r="AE1415" s="14">
        <f>IFERROR(__xludf.DUMMYFUNCTION("""COMPUTED_VALUE"""),9253.0)</f>
        <v>9253</v>
      </c>
      <c r="AF1415" s="14">
        <f>IFERROR(__xludf.DUMMYFUNCTION("""COMPUTED_VALUE"""),12915.0)</f>
        <v>12915</v>
      </c>
    </row>
    <row r="1416">
      <c r="A1416" s="12">
        <v>1415.0</v>
      </c>
      <c r="B1416" s="12" t="s">
        <v>187</v>
      </c>
      <c r="C1416" s="5" t="s">
        <v>75</v>
      </c>
      <c r="D1416" s="11">
        <v>0.451</v>
      </c>
      <c r="E1416" s="11">
        <v>22.0</v>
      </c>
      <c r="F1416" s="8"/>
      <c r="G1416" s="11">
        <v>175.0</v>
      </c>
      <c r="H1416" s="11">
        <v>0.621</v>
      </c>
      <c r="I1416" s="11">
        <v>1.594</v>
      </c>
      <c r="J1416" s="9" t="s">
        <v>71</v>
      </c>
      <c r="K1416" s="14" t="str">
        <f>IFERROR(__xludf.DUMMYFUNCTION("ARRAYFORMULA(VLOOKUP(A1416,IMPORTRANGE(""https://docs.google.com/spreadsheets/d/1BuTWp7qHGjWhqrnf-OmePP568O4A5Am9ttzvVdP67zw/edit#gid=1603210130"", ""TOURISM!$A$2:$F$2692""), {2,3,4,5,6},0))"),"Europe")</f>
        <v>Europe</v>
      </c>
      <c r="L1416" s="14">
        <f>IFERROR(__xludf.DUMMYFUNCTION("""COMPUTED_VALUE"""),1.034E9)</f>
        <v>1034000000</v>
      </c>
      <c r="M1416" s="14" t="str">
        <f>IFERROR(__xludf.DUMMYFUNCTION("""COMPUTED_VALUE"""),"Lithuania-Europe")</f>
        <v>Lithuania-Europe</v>
      </c>
      <c r="N1416" s="14" t="str">
        <f>IFERROR(__xludf.DUMMYFUNCTION("""COMPUTED_VALUE"""),"2010")</f>
        <v>2010</v>
      </c>
      <c r="O1416" s="14">
        <f>IFERROR(__xludf.DUMMYFUNCTION("""COMPUTED_VALUE"""),9.36E8)</f>
        <v>936000000</v>
      </c>
      <c r="P1416" s="15">
        <f>IFERROR(__xludf.DUMMYFUNCTION("ARRAYFORMULA(VLOOKUP(A1416,IMPORTRANGE(""https://docs.google.com/spreadsheets/d/1BuTWp7qHGjWhqrnf-OmePP568O4A5Am9ttzvVdP67zw/edit#gid=771602874"" ,""HUMAN RESOURCES!$A$2:$M$2692""), {2,3,4,5,6,7,8,9,10,11,12,13},0))"),0.012)</f>
        <v>0.012</v>
      </c>
      <c r="Q1416" s="14">
        <f>IFERROR(__xludf.DUMMYFUNCTION("""COMPUTED_VALUE"""),0.006)</f>
        <v>0.006</v>
      </c>
      <c r="R1416" s="14">
        <f>IFERROR(__xludf.DUMMYFUNCTION("""COMPUTED_VALUE"""),79.0)</f>
        <v>79</v>
      </c>
      <c r="S1416" s="14">
        <f>IFERROR(__xludf.DUMMYFUNCTION("""COMPUTED_VALUE"""),68.0)</f>
        <v>68</v>
      </c>
      <c r="T1416" s="14">
        <f>IFERROR(__xludf.DUMMYFUNCTION("""COMPUTED_VALUE"""),0.152)</f>
        <v>0.152</v>
      </c>
      <c r="U1416" s="14">
        <f>IFERROR(__xludf.DUMMYFUNCTION("""COMPUTED_VALUE"""),0.693)</f>
        <v>0.693</v>
      </c>
      <c r="V1416" s="14">
        <f>IFERROR(__xludf.DUMMYFUNCTION("""COMPUTED_VALUE"""),0.155)</f>
        <v>0.155</v>
      </c>
      <c r="W1416" s="14">
        <f>IFERROR(__xludf.DUMMYFUNCTION("""COMPUTED_VALUE"""),3097282.0)</f>
        <v>3097282</v>
      </c>
      <c r="X1416" s="14">
        <f>IFERROR(__xludf.DUMMYFUNCTION("""COMPUTED_VALUE"""),0.668)</f>
        <v>0.668</v>
      </c>
      <c r="Y1416" s="14" t="str">
        <f>IFERROR(__xludf.DUMMYFUNCTION("""COMPUTED_VALUE"""),"Lithuania-Europe")</f>
        <v>Lithuania-Europe</v>
      </c>
      <c r="Z1416" s="14" t="str">
        <f>IFERROR(__xludf.DUMMYFUNCTION("""COMPUTED_VALUE"""),"Europe")</f>
        <v>Europe</v>
      </c>
      <c r="AA1416" s="14" t="str">
        <f>IFERROR(__xludf.DUMMYFUNCTION("""COMPUTED_VALUE"""),"2010")</f>
        <v>2010</v>
      </c>
      <c r="AB1416" s="15" t="str">
        <f>IFERROR(__xludf.DUMMYFUNCTION("ARRAYFORMULA(VLOOKUP(A1416,IMPORTRANGE(""https://docs.google.com/spreadsheets/d/1BuTWp7qHGjWhqrnf-OmePP568O4A5Am9ttzvVdP67zw/edit#gid=1931367683"" ,""ENERGY!$A$2:$F$2692""), {2,3,4,5,6},0))"),"Europe")</f>
        <v>Europe</v>
      </c>
      <c r="AC1416" s="14" t="str">
        <f>IFERROR(__xludf.DUMMYFUNCTION("""COMPUTED_VALUE"""),"Lithuania-Europe")</f>
        <v>Lithuania-Europe</v>
      </c>
      <c r="AD1416" s="14" t="str">
        <f>IFERROR(__xludf.DUMMYFUNCTION("""COMPUTED_VALUE"""),"2012")</f>
        <v>2012</v>
      </c>
      <c r="AE1416" s="14">
        <f>IFERROR(__xludf.DUMMYFUNCTION("""COMPUTED_VALUE"""),8865.0)</f>
        <v>8865</v>
      </c>
      <c r="AF1416" s="14">
        <f>IFERROR(__xludf.DUMMYFUNCTION("""COMPUTED_VALUE"""),13212.0)</f>
        <v>13212</v>
      </c>
    </row>
    <row r="1417">
      <c r="A1417" s="12">
        <v>1416.0</v>
      </c>
      <c r="B1417" s="12" t="s">
        <v>187</v>
      </c>
      <c r="C1417" s="5" t="s">
        <v>75</v>
      </c>
      <c r="D1417" s="11">
        <v>0.431</v>
      </c>
      <c r="E1417" s="11">
        <v>22.0</v>
      </c>
      <c r="F1417" s="8"/>
      <c r="G1417" s="11">
        <v>175.0</v>
      </c>
      <c r="H1417" s="11">
        <v>0.636</v>
      </c>
      <c r="I1417" s="11">
        <v>1.622</v>
      </c>
      <c r="J1417" s="9" t="s">
        <v>72</v>
      </c>
      <c r="K1417" s="14" t="str">
        <f>IFERROR(__xludf.DUMMYFUNCTION("ARRAYFORMULA(VLOOKUP(A1417,IMPORTRANGE(""https://docs.google.com/spreadsheets/d/1BuTWp7qHGjWhqrnf-OmePP568O4A5Am9ttzvVdP67zw/edit#gid=1603210130"", ""TOURISM!$A$2:$F$2692""), {2,3,4,5,6},0))"),"Europe")</f>
        <v>Europe</v>
      </c>
      <c r="L1417" s="14">
        <f>IFERROR(__xludf.DUMMYFUNCTION("""COMPUTED_VALUE"""),1.417E9)</f>
        <v>1417000000</v>
      </c>
      <c r="M1417" s="14" t="str">
        <f>IFERROR(__xludf.DUMMYFUNCTION("""COMPUTED_VALUE"""),"Lithuania-Europe")</f>
        <v>Lithuania-Europe</v>
      </c>
      <c r="N1417" s="14" t="str">
        <f>IFERROR(__xludf.DUMMYFUNCTION("""COMPUTED_VALUE"""),"2011")</f>
        <v>2011</v>
      </c>
      <c r="O1417" s="14">
        <f>IFERROR(__xludf.DUMMYFUNCTION("""COMPUTED_VALUE"""),8.74E8)</f>
        <v>874000000</v>
      </c>
      <c r="P1417" s="15">
        <f>IFERROR(__xludf.DUMMYFUNCTION("ARRAYFORMULA(VLOOKUP(A1417,IMPORTRANGE(""https://docs.google.com/spreadsheets/d/1BuTWp7qHGjWhqrnf-OmePP568O4A5Am9ttzvVdP67zw/edit#gid=771602874"" ,""HUMAN RESOURCES!$A$2:$M$2692""), {2,3,4,5,6,7,8,9,10,11,12,13},0))"),0.011)</f>
        <v>0.011</v>
      </c>
      <c r="Q1417" s="14">
        <f>IFERROR(__xludf.DUMMYFUNCTION("""COMPUTED_VALUE"""),0.005)</f>
        <v>0.005</v>
      </c>
      <c r="R1417" s="14">
        <f>IFERROR(__xludf.DUMMYFUNCTION("""COMPUTED_VALUE"""),79.0)</f>
        <v>79</v>
      </c>
      <c r="S1417" s="14">
        <f>IFERROR(__xludf.DUMMYFUNCTION("""COMPUTED_VALUE"""),68.0)</f>
        <v>68</v>
      </c>
      <c r="T1417" s="14">
        <f>IFERROR(__xludf.DUMMYFUNCTION("""COMPUTED_VALUE"""),0.151)</f>
        <v>0.151</v>
      </c>
      <c r="U1417" s="14">
        <f>IFERROR(__xludf.DUMMYFUNCTION("""COMPUTED_VALUE"""),0.693)</f>
        <v>0.693</v>
      </c>
      <c r="V1417" s="14">
        <f>IFERROR(__xludf.DUMMYFUNCTION("""COMPUTED_VALUE"""),0.155)</f>
        <v>0.155</v>
      </c>
      <c r="W1417" s="14">
        <f>IFERROR(__xludf.DUMMYFUNCTION("""COMPUTED_VALUE"""),3028115.0)</f>
        <v>3028115</v>
      </c>
      <c r="X1417" s="14">
        <f>IFERROR(__xludf.DUMMYFUNCTION("""COMPUTED_VALUE"""),0.667)</f>
        <v>0.667</v>
      </c>
      <c r="Y1417" s="14" t="str">
        <f>IFERROR(__xludf.DUMMYFUNCTION("""COMPUTED_VALUE"""),"Lithuania-Europe")</f>
        <v>Lithuania-Europe</v>
      </c>
      <c r="Z1417" s="14" t="str">
        <f>IFERROR(__xludf.DUMMYFUNCTION("""COMPUTED_VALUE"""),"Europe")</f>
        <v>Europe</v>
      </c>
      <c r="AA1417" s="14" t="str">
        <f>IFERROR(__xludf.DUMMYFUNCTION("""COMPUTED_VALUE"""),"2011")</f>
        <v>2011</v>
      </c>
      <c r="AB1417" s="15" t="str">
        <f>IFERROR(__xludf.DUMMYFUNCTION("ARRAYFORMULA(VLOOKUP(A1417,IMPORTRANGE(""https://docs.google.com/spreadsheets/d/1BuTWp7qHGjWhqrnf-OmePP568O4A5Am9ttzvVdP67zw/edit#gid=1931367683"" ,""ENERGY!$A$2:$F$2692""), {2,3,4,5,6},0))"),"Europe")</f>
        <v>Europe</v>
      </c>
      <c r="AC1417" s="14" t="str">
        <f>IFERROR(__xludf.DUMMYFUNCTION("""COMPUTED_VALUE"""),"Lithuania-Europe")</f>
        <v>Lithuania-Europe</v>
      </c>
      <c r="AD1417" s="14" t="str">
        <f>IFERROR(__xludf.DUMMYFUNCTION("""COMPUTED_VALUE"""),"2006")</f>
        <v>2006</v>
      </c>
      <c r="AE1417" s="14">
        <f>IFERROR(__xludf.DUMMYFUNCTION("""COMPUTED_VALUE"""),8277.0)</f>
        <v>8277</v>
      </c>
      <c r="AF1417" s="14">
        <f>IFERROR(__xludf.DUMMYFUNCTION("""COMPUTED_VALUE"""),12919.0)</f>
        <v>12919</v>
      </c>
    </row>
    <row r="1418">
      <c r="A1418" s="12">
        <v>1417.0</v>
      </c>
      <c r="B1418" s="12" t="s">
        <v>187</v>
      </c>
      <c r="C1418" s="5" t="s">
        <v>75</v>
      </c>
      <c r="D1418" s="11">
        <v>0.43</v>
      </c>
      <c r="E1418" s="11">
        <v>20.0</v>
      </c>
      <c r="F1418" s="11">
        <v>25.0</v>
      </c>
      <c r="G1418" s="11">
        <v>175.0</v>
      </c>
      <c r="H1418" s="11">
        <v>0.672</v>
      </c>
      <c r="I1418" s="11">
        <v>1.651</v>
      </c>
      <c r="J1418" s="9" t="s">
        <v>73</v>
      </c>
      <c r="K1418" s="14" t="str">
        <f>IFERROR(__xludf.DUMMYFUNCTION("ARRAYFORMULA(VLOOKUP(A1418,IMPORTRANGE(""https://docs.google.com/spreadsheets/d/1BuTWp7qHGjWhqrnf-OmePP568O4A5Am9ttzvVdP67zw/edit#gid=1603210130"", ""TOURISM!$A$2:$F$2692""), {2,3,4,5,6},0))"),"Europe")</f>
        <v>Europe</v>
      </c>
      <c r="L1418" s="14">
        <f>IFERROR(__xludf.DUMMYFUNCTION("""COMPUTED_VALUE"""),1.43E9)</f>
        <v>1430000000</v>
      </c>
      <c r="M1418" s="14" t="str">
        <f>IFERROR(__xludf.DUMMYFUNCTION("""COMPUTED_VALUE"""),"Lithuania-Europe")</f>
        <v>Lithuania-Europe</v>
      </c>
      <c r="N1418" s="14" t="str">
        <f>IFERROR(__xludf.DUMMYFUNCTION("""COMPUTED_VALUE"""),"2012")</f>
        <v>2012</v>
      </c>
      <c r="O1418" s="14">
        <f>IFERROR(__xludf.DUMMYFUNCTION("""COMPUTED_VALUE"""),1.058E9)</f>
        <v>1058000000</v>
      </c>
      <c r="P1418" s="15">
        <f>IFERROR(__xludf.DUMMYFUNCTION("ARRAYFORMULA(VLOOKUP(A1418,IMPORTRANGE(""https://docs.google.com/spreadsheets/d/1BuTWp7qHGjWhqrnf-OmePP568O4A5Am9ttzvVdP67zw/edit#gid=771602874"" ,""HUMAN RESOURCES!$A$2:$M$2692""), {2,3,4,5,6,7,8,9,10,11,12,13},0))"),0.01)</f>
        <v>0.01</v>
      </c>
      <c r="Q1418" s="14">
        <f>IFERROR(__xludf.DUMMYFUNCTION("""COMPUTED_VALUE"""),0.005)</f>
        <v>0.005</v>
      </c>
      <c r="R1418" s="14">
        <f>IFERROR(__xludf.DUMMYFUNCTION("""COMPUTED_VALUE"""),80.0)</f>
        <v>80</v>
      </c>
      <c r="S1418" s="14">
        <f>IFERROR(__xludf.DUMMYFUNCTION("""COMPUTED_VALUE"""),68.0)</f>
        <v>68</v>
      </c>
      <c r="T1418" s="14">
        <f>IFERROR(__xludf.DUMMYFUNCTION("""COMPUTED_VALUE"""),0.151)</f>
        <v>0.151</v>
      </c>
      <c r="U1418" s="14">
        <f>IFERROR(__xludf.DUMMYFUNCTION("""COMPUTED_VALUE"""),0.693)</f>
        <v>0.693</v>
      </c>
      <c r="V1418" s="14">
        <f>IFERROR(__xludf.DUMMYFUNCTION("""COMPUTED_VALUE"""),0.156)</f>
        <v>0.156</v>
      </c>
      <c r="W1418" s="14">
        <f>IFERROR(__xludf.DUMMYFUNCTION("""COMPUTED_VALUE"""),2987773.0)</f>
        <v>2987773</v>
      </c>
      <c r="X1418" s="14">
        <f>IFERROR(__xludf.DUMMYFUNCTION("""COMPUTED_VALUE"""),0.666)</f>
        <v>0.666</v>
      </c>
      <c r="Y1418" s="14" t="str">
        <f>IFERROR(__xludf.DUMMYFUNCTION("""COMPUTED_VALUE"""),"Lithuania-Europe")</f>
        <v>Lithuania-Europe</v>
      </c>
      <c r="Z1418" s="14" t="str">
        <f>IFERROR(__xludf.DUMMYFUNCTION("""COMPUTED_VALUE"""),"Europe")</f>
        <v>Europe</v>
      </c>
      <c r="AA1418" s="14" t="str">
        <f>IFERROR(__xludf.DUMMYFUNCTION("""COMPUTED_VALUE"""),"2012")</f>
        <v>2012</v>
      </c>
      <c r="AB1418" s="15" t="str">
        <f>IFERROR(__xludf.DUMMYFUNCTION("ARRAYFORMULA(VLOOKUP(A1418,IMPORTRANGE(""https://docs.google.com/spreadsheets/d/1BuTWp7qHGjWhqrnf-OmePP568O4A5Am9ttzvVdP67zw/edit#gid=1931367683"" ,""ENERGY!$A$2:$F$2692""), {2,3,4,5,6},0))"),"Europe")</f>
        <v>Europe</v>
      </c>
      <c r="AC1418" s="14" t="str">
        <f>IFERROR(__xludf.DUMMYFUNCTION("""COMPUTED_VALUE"""),"Lithuania-Europe")</f>
        <v>Lithuania-Europe</v>
      </c>
      <c r="AD1418" s="14" t="str">
        <f>IFERROR(__xludf.DUMMYFUNCTION("""COMPUTED_VALUE"""),"2010")</f>
        <v>2010</v>
      </c>
      <c r="AE1418" s="14">
        <f>IFERROR(__xludf.DUMMYFUNCTION("""COMPUTED_VALUE"""),7131.0)</f>
        <v>7131</v>
      </c>
      <c r="AF1418" s="14">
        <f>IFERROR(__xludf.DUMMYFUNCTION("""COMPUTED_VALUE"""),12200.0)</f>
        <v>12200</v>
      </c>
    </row>
    <row r="1419">
      <c r="A1419" s="12">
        <v>1418.0</v>
      </c>
      <c r="B1419" s="12" t="s">
        <v>188</v>
      </c>
      <c r="C1419" s="5" t="s">
        <v>75</v>
      </c>
      <c r="D1419" s="8"/>
      <c r="E1419" s="8"/>
      <c r="F1419" s="8"/>
      <c r="G1419" s="8"/>
      <c r="H1419" s="11">
        <v>0.229</v>
      </c>
      <c r="I1419" s="11">
        <v>0.695</v>
      </c>
      <c r="J1419" s="9" t="s">
        <v>60</v>
      </c>
      <c r="K1419" s="14" t="str">
        <f>IFERROR(__xludf.DUMMYFUNCTION("ARRAYFORMULA(VLOOKUP(A1419,IMPORTRANGE(""https://docs.google.com/spreadsheets/d/1BuTWp7qHGjWhqrnf-OmePP568O4A5Am9ttzvVdP67zw/edit#gid=1603210130"", ""TOURISM!$A$2:$F$2692""), {2,3,4,5,6},0))"),"Europe")</f>
        <v>Europe</v>
      </c>
      <c r="L1419" s="14">
        <f>IFERROR(__xludf.DUMMYFUNCTION("""COMPUTED_VALUE"""),1.686E9)</f>
        <v>1686000000</v>
      </c>
      <c r="M1419" s="14" t="str">
        <f>IFERROR(__xludf.DUMMYFUNCTION("""COMPUTED_VALUE"""),"Luxembourg-Europe")</f>
        <v>Luxembourg-Europe</v>
      </c>
      <c r="N1419" s="14" t="str">
        <f>IFERROR(__xludf.DUMMYFUNCTION("""COMPUTED_VALUE"""),"2000")</f>
        <v>2000</v>
      </c>
      <c r="O1419" s="14">
        <f>IFERROR(__xludf.DUMMYFUNCTION("""COMPUTED_VALUE"""),1.309E9)</f>
        <v>1309000000</v>
      </c>
      <c r="P1419" s="15">
        <f>IFERROR(__xludf.DUMMYFUNCTION("ARRAYFORMULA(VLOOKUP(A1419,IMPORTRANGE(""https://docs.google.com/spreadsheets/d/1BuTWp7qHGjWhqrnf-OmePP568O4A5Am9ttzvVdP67zw/edit#gid=771602874"" ,""HUMAN RESOURCES!$A$2:$M$2692""), {2,3,4,5,6,7,8,9,10,11,12,13},0))"),0.013)</f>
        <v>0.013</v>
      </c>
      <c r="Q1419" s="14">
        <f>IFERROR(__xludf.DUMMYFUNCTION("""COMPUTED_VALUE"""),0.004)</f>
        <v>0.004</v>
      </c>
      <c r="R1419" s="14">
        <f>IFERROR(__xludf.DUMMYFUNCTION("""COMPUTED_VALUE"""),81.0)</f>
        <v>81</v>
      </c>
      <c r="S1419" s="14">
        <f>IFERROR(__xludf.DUMMYFUNCTION("""COMPUTED_VALUE"""),75.0)</f>
        <v>75</v>
      </c>
      <c r="T1419" s="14">
        <f>IFERROR(__xludf.DUMMYFUNCTION("""COMPUTED_VALUE"""),0.189)</f>
        <v>0.189</v>
      </c>
      <c r="U1419" s="14">
        <f>IFERROR(__xludf.DUMMYFUNCTION("""COMPUTED_VALUE"""),0.67)</f>
        <v>0.67</v>
      </c>
      <c r="V1419" s="14">
        <f>IFERROR(__xludf.DUMMYFUNCTION("""COMPUTED_VALUE"""),0.141)</f>
        <v>0.141</v>
      </c>
      <c r="W1419" s="14">
        <f>IFERROR(__xludf.DUMMYFUNCTION("""COMPUTED_VALUE"""),436300.0)</f>
        <v>436300</v>
      </c>
      <c r="X1419" s="14">
        <f>IFERROR(__xludf.DUMMYFUNCTION("""COMPUTED_VALUE"""),0.842)</f>
        <v>0.842</v>
      </c>
      <c r="Y1419" s="14" t="str">
        <f>IFERROR(__xludf.DUMMYFUNCTION("""COMPUTED_VALUE"""),"Luxembourg-Europe")</f>
        <v>Luxembourg-Europe</v>
      </c>
      <c r="Z1419" s="14" t="str">
        <f>IFERROR(__xludf.DUMMYFUNCTION("""COMPUTED_VALUE"""),"Europe")</f>
        <v>Europe</v>
      </c>
      <c r="AA1419" s="14" t="str">
        <f>IFERROR(__xludf.DUMMYFUNCTION("""COMPUTED_VALUE"""),"2000")</f>
        <v>2000</v>
      </c>
      <c r="AB1419" s="15" t="str">
        <f>IFERROR(__xludf.DUMMYFUNCTION("ARRAYFORMULA(VLOOKUP(A1419,IMPORTRANGE(""https://docs.google.com/spreadsheets/d/1BuTWp7qHGjWhqrnf-OmePP568O4A5Am9ttzvVdP67zw/edit#gid=1931367683"" ,""ENERGY!$A$2:$F$2692""), {2,3,4,5,6},0))"),"Europe")</f>
        <v>Europe</v>
      </c>
      <c r="AC1419" s="14" t="str">
        <f>IFERROR(__xludf.DUMMYFUNCTION("""COMPUTED_VALUE"""),"Luxembourg-Europe")</f>
        <v>Luxembourg-Europe</v>
      </c>
      <c r="AD1419" s="14" t="str">
        <f>IFERROR(__xludf.DUMMYFUNCTION("""COMPUTED_VALUE"""),"2000")</f>
        <v>2000</v>
      </c>
      <c r="AE1419" s="14">
        <f>IFERROR(__xludf.DUMMYFUNCTION("""COMPUTED_VALUE"""),4080.0)</f>
        <v>4080</v>
      </c>
      <c r="AF1419" s="14"/>
    </row>
    <row r="1420">
      <c r="A1420" s="12">
        <v>1419.0</v>
      </c>
      <c r="B1420" s="12" t="s">
        <v>188</v>
      </c>
      <c r="C1420" s="5" t="s">
        <v>75</v>
      </c>
      <c r="D1420" s="8"/>
      <c r="E1420" s="8"/>
      <c r="F1420" s="8"/>
      <c r="G1420" s="8"/>
      <c r="H1420" s="11">
        <v>0.362</v>
      </c>
      <c r="I1420" s="11">
        <v>0.929</v>
      </c>
      <c r="J1420" s="9" t="s">
        <v>62</v>
      </c>
      <c r="K1420" s="14" t="str">
        <f>IFERROR(__xludf.DUMMYFUNCTION("ARRAYFORMULA(VLOOKUP(A1420,IMPORTRANGE(""https://docs.google.com/spreadsheets/d/1BuTWp7qHGjWhqrnf-OmePP568O4A5Am9ttzvVdP67zw/edit#gid=1603210130"", ""TOURISM!$A$2:$F$2692""), {2,3,4,5,6},0))"),"Europe")</f>
        <v>Europe</v>
      </c>
      <c r="L1420" s="14">
        <f>IFERROR(__xludf.DUMMYFUNCTION("""COMPUTED_VALUE"""),1.78E9)</f>
        <v>1780000000</v>
      </c>
      <c r="M1420" s="14" t="str">
        <f>IFERROR(__xludf.DUMMYFUNCTION("""COMPUTED_VALUE"""),"Luxembourg-Europe")</f>
        <v>Luxembourg-Europe</v>
      </c>
      <c r="N1420" s="14" t="str">
        <f>IFERROR(__xludf.DUMMYFUNCTION("""COMPUTED_VALUE"""),"2001")</f>
        <v>2001</v>
      </c>
      <c r="O1420" s="14">
        <f>IFERROR(__xludf.DUMMYFUNCTION("""COMPUTED_VALUE"""),1.464E9)</f>
        <v>1464000000</v>
      </c>
      <c r="P1420" s="15">
        <f>IFERROR(__xludf.DUMMYFUNCTION("ARRAYFORMULA(VLOOKUP(A1420,IMPORTRANGE(""https://docs.google.com/spreadsheets/d/1BuTWp7qHGjWhqrnf-OmePP568O4A5Am9ttzvVdP67zw/edit#gid=771602874"" ,""HUMAN RESOURCES!$A$2:$M$2692""), {2,3,4,5,6,7,8,9,10,11,12,13},0))"),0.012)</f>
        <v>0.012</v>
      </c>
      <c r="Q1420" s="14">
        <f>IFERROR(__xludf.DUMMYFUNCTION("""COMPUTED_VALUE"""),0.004)</f>
        <v>0.004</v>
      </c>
      <c r="R1420" s="14">
        <f>IFERROR(__xludf.DUMMYFUNCTION("""COMPUTED_VALUE"""),81.0)</f>
        <v>81</v>
      </c>
      <c r="S1420" s="14">
        <f>IFERROR(__xludf.DUMMYFUNCTION("""COMPUTED_VALUE"""),75.0)</f>
        <v>75</v>
      </c>
      <c r="T1420" s="14">
        <f>IFERROR(__xludf.DUMMYFUNCTION("""COMPUTED_VALUE"""),0.19)</f>
        <v>0.19</v>
      </c>
      <c r="U1420" s="14">
        <f>IFERROR(__xludf.DUMMYFUNCTION("""COMPUTED_VALUE"""),0.669)</f>
        <v>0.669</v>
      </c>
      <c r="V1420" s="14">
        <f>IFERROR(__xludf.DUMMYFUNCTION("""COMPUTED_VALUE"""),0.142)</f>
        <v>0.142</v>
      </c>
      <c r="W1420" s="14">
        <f>IFERROR(__xludf.DUMMYFUNCTION("""COMPUTED_VALUE"""),441525.0)</f>
        <v>441525</v>
      </c>
      <c r="X1420" s="14">
        <f>IFERROR(__xludf.DUMMYFUNCTION("""COMPUTED_VALUE"""),0.848)</f>
        <v>0.848</v>
      </c>
      <c r="Y1420" s="14" t="str">
        <f>IFERROR(__xludf.DUMMYFUNCTION("""COMPUTED_VALUE"""),"Luxembourg-Europe")</f>
        <v>Luxembourg-Europe</v>
      </c>
      <c r="Z1420" s="14" t="str">
        <f>IFERROR(__xludf.DUMMYFUNCTION("""COMPUTED_VALUE"""),"Europe")</f>
        <v>Europe</v>
      </c>
      <c r="AA1420" s="14" t="str">
        <f>IFERROR(__xludf.DUMMYFUNCTION("""COMPUTED_VALUE"""),"2001")</f>
        <v>2001</v>
      </c>
      <c r="AB1420" s="15" t="str">
        <f>IFERROR(__xludf.DUMMYFUNCTION("ARRAYFORMULA(VLOOKUP(A1420,IMPORTRANGE(""https://docs.google.com/spreadsheets/d/1BuTWp7qHGjWhqrnf-OmePP568O4A5Am9ttzvVdP67zw/edit#gid=1931367683"" ,""ENERGY!$A$2:$F$2692""), {2,3,4,5,6},0))"),"Europe")</f>
        <v>Europe</v>
      </c>
      <c r="AC1420" s="14" t="str">
        <f>IFERROR(__xludf.DUMMYFUNCTION("""COMPUTED_VALUE"""),"Luxembourg-Europe")</f>
        <v>Luxembourg-Europe</v>
      </c>
      <c r="AD1420" s="14" t="str">
        <f>IFERROR(__xludf.DUMMYFUNCTION("""COMPUTED_VALUE"""),"2001")</f>
        <v>2001</v>
      </c>
      <c r="AE1420" s="14">
        <f>IFERROR(__xludf.DUMMYFUNCTION("""COMPUTED_VALUE"""),4171.0)</f>
        <v>4171</v>
      </c>
      <c r="AF1420" s="14"/>
    </row>
    <row r="1421">
      <c r="A1421" s="12">
        <v>1420.0</v>
      </c>
      <c r="B1421" s="12" t="s">
        <v>188</v>
      </c>
      <c r="C1421" s="5" t="s">
        <v>75</v>
      </c>
      <c r="D1421" s="8"/>
      <c r="E1421" s="8"/>
      <c r="F1421" s="8"/>
      <c r="G1421" s="8"/>
      <c r="H1421" s="11">
        <v>0.398</v>
      </c>
      <c r="I1421" s="11">
        <v>1.066</v>
      </c>
      <c r="J1421" s="9" t="s">
        <v>63</v>
      </c>
      <c r="K1421" s="14" t="str">
        <f>IFERROR(__xludf.DUMMYFUNCTION("ARRAYFORMULA(VLOOKUP(A1421,IMPORTRANGE(""https://docs.google.com/spreadsheets/d/1BuTWp7qHGjWhqrnf-OmePP568O4A5Am9ttzvVdP67zw/edit#gid=1603210130"", ""TOURISM!$A$2:$F$2692""), {2,3,4,5,6},0))"),"Europe")</f>
        <v>Europe</v>
      </c>
      <c r="L1421" s="14">
        <f>IFERROR(__xludf.DUMMYFUNCTION("""COMPUTED_VALUE"""),2.547E9)</f>
        <v>2547000000</v>
      </c>
      <c r="M1421" s="14" t="str">
        <f>IFERROR(__xludf.DUMMYFUNCTION("""COMPUTED_VALUE"""),"Luxembourg-Europe")</f>
        <v>Luxembourg-Europe</v>
      </c>
      <c r="N1421" s="14" t="str">
        <f>IFERROR(__xludf.DUMMYFUNCTION("""COMPUTED_VALUE"""),"2002")</f>
        <v>2002</v>
      </c>
      <c r="O1421" s="14">
        <f>IFERROR(__xludf.DUMMYFUNCTION("""COMPUTED_VALUE"""),1.963E9)</f>
        <v>1963000000</v>
      </c>
      <c r="P1421" s="15">
        <f>IFERROR(__xludf.DUMMYFUNCTION("ARRAYFORMULA(VLOOKUP(A1421,IMPORTRANGE(""https://docs.google.com/spreadsheets/d/1BuTWp7qHGjWhqrnf-OmePP568O4A5Am9ttzvVdP67zw/edit#gid=771602874"" ,""HUMAN RESOURCES!$A$2:$M$2692""), {2,3,4,5,6,7,8,9,10,11,12,13},0))"),0.012)</f>
        <v>0.012</v>
      </c>
      <c r="Q1421" s="14">
        <f>IFERROR(__xludf.DUMMYFUNCTION("""COMPUTED_VALUE"""),0.003)</f>
        <v>0.003</v>
      </c>
      <c r="R1421" s="14">
        <f>IFERROR(__xludf.DUMMYFUNCTION("""COMPUTED_VALUE"""),82.0)</f>
        <v>82</v>
      </c>
      <c r="S1421" s="14">
        <f>IFERROR(__xludf.DUMMYFUNCTION("""COMPUTED_VALUE"""),75.0)</f>
        <v>75</v>
      </c>
      <c r="T1421" s="14">
        <f>IFERROR(__xludf.DUMMYFUNCTION("""COMPUTED_VALUE"""),0.189)</f>
        <v>0.189</v>
      </c>
      <c r="U1421" s="14">
        <f>IFERROR(__xludf.DUMMYFUNCTION("""COMPUTED_VALUE"""),0.668)</f>
        <v>0.668</v>
      </c>
      <c r="V1421" s="14">
        <f>IFERROR(__xludf.DUMMYFUNCTION("""COMPUTED_VALUE"""),0.143)</f>
        <v>0.143</v>
      </c>
      <c r="W1421" s="14">
        <f>IFERROR(__xludf.DUMMYFUNCTION("""COMPUTED_VALUE"""),446175.0)</f>
        <v>446175</v>
      </c>
      <c r="X1421" s="14">
        <f>IFERROR(__xludf.DUMMYFUNCTION("""COMPUTED_VALUE"""),0.853)</f>
        <v>0.853</v>
      </c>
      <c r="Y1421" s="14" t="str">
        <f>IFERROR(__xludf.DUMMYFUNCTION("""COMPUTED_VALUE"""),"Luxembourg-Europe")</f>
        <v>Luxembourg-Europe</v>
      </c>
      <c r="Z1421" s="14" t="str">
        <f>IFERROR(__xludf.DUMMYFUNCTION("""COMPUTED_VALUE"""),"Europe")</f>
        <v>Europe</v>
      </c>
      <c r="AA1421" s="14" t="str">
        <f>IFERROR(__xludf.DUMMYFUNCTION("""COMPUTED_VALUE"""),"2002")</f>
        <v>2002</v>
      </c>
      <c r="AB1421" s="15" t="str">
        <f>IFERROR(__xludf.DUMMYFUNCTION("ARRAYFORMULA(VLOOKUP(A1421,IMPORTRANGE(""https://docs.google.com/spreadsheets/d/1BuTWp7qHGjWhqrnf-OmePP568O4A5Am9ttzvVdP67zw/edit#gid=1931367683"" ,""ENERGY!$A$2:$F$2692""), {2,3,4,5,6},0))"),"Europe")</f>
        <v>Europe</v>
      </c>
      <c r="AC1421" s="14" t="str">
        <f>IFERROR(__xludf.DUMMYFUNCTION("""COMPUTED_VALUE"""),"Luxembourg-Europe")</f>
        <v>Luxembourg-Europe</v>
      </c>
      <c r="AD1421" s="14" t="str">
        <f>IFERROR(__xludf.DUMMYFUNCTION("""COMPUTED_VALUE"""),"2002")</f>
        <v>2002</v>
      </c>
      <c r="AE1421" s="14">
        <f>IFERROR(__xludf.DUMMYFUNCTION("""COMPUTED_VALUE"""),4220.0)</f>
        <v>4220</v>
      </c>
      <c r="AF1421" s="14">
        <f>IFERROR(__xludf.DUMMYFUNCTION("""COMPUTED_VALUE"""),10829.0)</f>
        <v>10829</v>
      </c>
    </row>
    <row r="1422">
      <c r="A1422" s="12">
        <v>1421.0</v>
      </c>
      <c r="B1422" s="12" t="s">
        <v>188</v>
      </c>
      <c r="C1422" s="5" t="s">
        <v>75</v>
      </c>
      <c r="D1422" s="8"/>
      <c r="E1422" s="8"/>
      <c r="F1422" s="8"/>
      <c r="G1422" s="8"/>
      <c r="H1422" s="11">
        <v>0.546</v>
      </c>
      <c r="I1422" s="11">
        <v>1.206</v>
      </c>
      <c r="J1422" s="9" t="s">
        <v>64</v>
      </c>
      <c r="K1422" s="14" t="str">
        <f>IFERROR(__xludf.DUMMYFUNCTION("ARRAYFORMULA(VLOOKUP(A1422,IMPORTRANGE(""https://docs.google.com/spreadsheets/d/1BuTWp7qHGjWhqrnf-OmePP568O4A5Am9ttzvVdP67zw/edit#gid=1603210130"", ""TOURISM!$A$2:$F$2692""), {2,3,4,5,6},0))"),"Europe")</f>
        <v>Europe</v>
      </c>
      <c r="L1422" s="14">
        <f>IFERROR(__xludf.DUMMYFUNCTION("""COMPUTED_VALUE"""),3.149E9)</f>
        <v>3149000000</v>
      </c>
      <c r="M1422" s="14" t="str">
        <f>IFERROR(__xludf.DUMMYFUNCTION("""COMPUTED_VALUE"""),"Luxembourg-Europe")</f>
        <v>Luxembourg-Europe</v>
      </c>
      <c r="N1422" s="14" t="str">
        <f>IFERROR(__xludf.DUMMYFUNCTION("""COMPUTED_VALUE"""),"2003")</f>
        <v>2003</v>
      </c>
      <c r="O1422" s="14">
        <f>IFERROR(__xludf.DUMMYFUNCTION("""COMPUTED_VALUE"""),2.445E9)</f>
        <v>2445000000</v>
      </c>
      <c r="P1422" s="15">
        <f>IFERROR(__xludf.DUMMYFUNCTION("ARRAYFORMULA(VLOOKUP(A1422,IMPORTRANGE(""https://docs.google.com/spreadsheets/d/1BuTWp7qHGjWhqrnf-OmePP568O4A5Am9ttzvVdP67zw/edit#gid=771602874"" ,""HUMAN RESOURCES!$A$2:$M$2692""), {2,3,4,5,6,7,8,9,10,11,12,13},0))"),0.012)</f>
        <v>0.012</v>
      </c>
      <c r="Q1422" s="14">
        <f>IFERROR(__xludf.DUMMYFUNCTION("""COMPUTED_VALUE"""),0.003)</f>
        <v>0.003</v>
      </c>
      <c r="R1422" s="14">
        <f>IFERROR(__xludf.DUMMYFUNCTION("""COMPUTED_VALUE"""),81.0)</f>
        <v>81</v>
      </c>
      <c r="S1422" s="14">
        <f>IFERROR(__xludf.DUMMYFUNCTION("""COMPUTED_VALUE"""),75.0)</f>
        <v>75</v>
      </c>
      <c r="T1422" s="14">
        <f>IFERROR(__xludf.DUMMYFUNCTION("""COMPUTED_VALUE"""),0.189)</f>
        <v>0.189</v>
      </c>
      <c r="U1422" s="14">
        <f>IFERROR(__xludf.DUMMYFUNCTION("""COMPUTED_VALUE"""),0.668)</f>
        <v>0.668</v>
      </c>
      <c r="V1422" s="14">
        <f>IFERROR(__xludf.DUMMYFUNCTION("""COMPUTED_VALUE"""),0.144)</f>
        <v>0.144</v>
      </c>
      <c r="W1422" s="14">
        <f>IFERROR(__xludf.DUMMYFUNCTION("""COMPUTED_VALUE"""),451630.0)</f>
        <v>451630</v>
      </c>
      <c r="X1422" s="14">
        <f>IFERROR(__xludf.DUMMYFUNCTION("""COMPUTED_VALUE"""),0.857)</f>
        <v>0.857</v>
      </c>
      <c r="Y1422" s="14" t="str">
        <f>IFERROR(__xludf.DUMMYFUNCTION("""COMPUTED_VALUE"""),"Luxembourg-Europe")</f>
        <v>Luxembourg-Europe</v>
      </c>
      <c r="Z1422" s="14" t="str">
        <f>IFERROR(__xludf.DUMMYFUNCTION("""COMPUTED_VALUE"""),"Europe")</f>
        <v>Europe</v>
      </c>
      <c r="AA1422" s="14" t="str">
        <f>IFERROR(__xludf.DUMMYFUNCTION("""COMPUTED_VALUE"""),"2003")</f>
        <v>2003</v>
      </c>
      <c r="AB1422" s="15" t="str">
        <f>IFERROR(__xludf.DUMMYFUNCTION("ARRAYFORMULA(VLOOKUP(A1422,IMPORTRANGE(""https://docs.google.com/spreadsheets/d/1BuTWp7qHGjWhqrnf-OmePP568O4A5Am9ttzvVdP67zw/edit#gid=1931367683"" ,""ENERGY!$A$2:$F$2692""), {2,3,4,5,6},0))"),"Europe")</f>
        <v>Europe</v>
      </c>
      <c r="AC1422" s="14" t="str">
        <f>IFERROR(__xludf.DUMMYFUNCTION("""COMPUTED_VALUE"""),"Luxembourg-Europe")</f>
        <v>Luxembourg-Europe</v>
      </c>
      <c r="AD1422" s="14" t="str">
        <f>IFERROR(__xludf.DUMMYFUNCTION("""COMPUTED_VALUE"""),"2003")</f>
        <v>2003</v>
      </c>
      <c r="AE1422" s="14">
        <f>IFERROR(__xludf.DUMMYFUNCTION("""COMPUTED_VALUE"""),3956.0)</f>
        <v>3956</v>
      </c>
      <c r="AF1422" s="14">
        <f>IFERROR(__xludf.DUMMYFUNCTION("""COMPUTED_VALUE"""),10249.0)</f>
        <v>10249</v>
      </c>
    </row>
    <row r="1423">
      <c r="A1423" s="12">
        <v>1422.0</v>
      </c>
      <c r="B1423" s="12" t="s">
        <v>188</v>
      </c>
      <c r="C1423" s="5" t="s">
        <v>75</v>
      </c>
      <c r="D1423" s="8"/>
      <c r="E1423" s="8"/>
      <c r="F1423" s="8"/>
      <c r="G1423" s="8"/>
      <c r="H1423" s="11">
        <v>0.659</v>
      </c>
      <c r="I1423" s="11">
        <v>1.041</v>
      </c>
      <c r="J1423" s="9" t="s">
        <v>65</v>
      </c>
      <c r="K1423" s="14" t="str">
        <f>IFERROR(__xludf.DUMMYFUNCTION("ARRAYFORMULA(VLOOKUP(A1423,IMPORTRANGE(""https://docs.google.com/spreadsheets/d/1BuTWp7qHGjWhqrnf-OmePP568O4A5Am9ttzvVdP67zw/edit#gid=1603210130"", ""TOURISM!$A$2:$F$2692""), {2,3,4,5,6},0))"),"Europe")</f>
        <v>Europe</v>
      </c>
      <c r="L1423" s="14">
        <f>IFERROR(__xludf.DUMMYFUNCTION("""COMPUTED_VALUE"""),3.88E9)</f>
        <v>3880000000</v>
      </c>
      <c r="M1423" s="14" t="str">
        <f>IFERROR(__xludf.DUMMYFUNCTION("""COMPUTED_VALUE"""),"Luxembourg-Europe")</f>
        <v>Luxembourg-Europe</v>
      </c>
      <c r="N1423" s="14" t="str">
        <f>IFERROR(__xludf.DUMMYFUNCTION("""COMPUTED_VALUE"""),"2004")</f>
        <v>2004</v>
      </c>
      <c r="O1423" s="14">
        <f>IFERROR(__xludf.DUMMYFUNCTION("""COMPUTED_VALUE"""),2.95E9)</f>
        <v>2950000000</v>
      </c>
      <c r="P1423" s="15">
        <f>IFERROR(__xludf.DUMMYFUNCTION("ARRAYFORMULA(VLOOKUP(A1423,IMPORTRANGE(""https://docs.google.com/spreadsheets/d/1BuTWp7qHGjWhqrnf-OmePP568O4A5Am9ttzvVdP67zw/edit#gid=771602874"" ,""HUMAN RESOURCES!$A$2:$M$2692""), {2,3,4,5,6,7,8,9,10,11,12,13},0))"),0.012)</f>
        <v>0.012</v>
      </c>
      <c r="Q1423" s="14">
        <f>IFERROR(__xludf.DUMMYFUNCTION("""COMPUTED_VALUE"""),0.003)</f>
        <v>0.003</v>
      </c>
      <c r="R1423" s="14">
        <f>IFERROR(__xludf.DUMMYFUNCTION("""COMPUTED_VALUE"""),82.0)</f>
        <v>82</v>
      </c>
      <c r="S1423" s="14">
        <f>IFERROR(__xludf.DUMMYFUNCTION("""COMPUTED_VALUE"""),76.0)</f>
        <v>76</v>
      </c>
      <c r="T1423" s="14">
        <f>IFERROR(__xludf.DUMMYFUNCTION("""COMPUTED_VALUE"""),0.188)</f>
        <v>0.188</v>
      </c>
      <c r="U1423" s="14">
        <f>IFERROR(__xludf.DUMMYFUNCTION("""COMPUTED_VALUE"""),0.668)</f>
        <v>0.668</v>
      </c>
      <c r="V1423" s="14">
        <f>IFERROR(__xludf.DUMMYFUNCTION("""COMPUTED_VALUE"""),0.144)</f>
        <v>0.144</v>
      </c>
      <c r="W1423" s="14">
        <f>IFERROR(__xludf.DUMMYFUNCTION("""COMPUTED_VALUE"""),458095.0)</f>
        <v>458095</v>
      </c>
      <c r="X1423" s="14">
        <f>IFERROR(__xludf.DUMMYFUNCTION("""COMPUTED_VALUE"""),0.862)</f>
        <v>0.862</v>
      </c>
      <c r="Y1423" s="14" t="str">
        <f>IFERROR(__xludf.DUMMYFUNCTION("""COMPUTED_VALUE"""),"Luxembourg-Europe")</f>
        <v>Luxembourg-Europe</v>
      </c>
      <c r="Z1423" s="14" t="str">
        <f>IFERROR(__xludf.DUMMYFUNCTION("""COMPUTED_VALUE"""),"Europe")</f>
        <v>Europe</v>
      </c>
      <c r="AA1423" s="14" t="str">
        <f>IFERROR(__xludf.DUMMYFUNCTION("""COMPUTED_VALUE"""),"2004")</f>
        <v>2004</v>
      </c>
      <c r="AB1423" s="15" t="str">
        <f>IFERROR(__xludf.DUMMYFUNCTION("ARRAYFORMULA(VLOOKUP(A1423,IMPORTRANGE(""https://docs.google.com/spreadsheets/d/1BuTWp7qHGjWhqrnf-OmePP568O4A5Am9ttzvVdP67zw/edit#gid=1931367683"" ,""ENERGY!$A$2:$F$2692""), {2,3,4,5,6},0))"),"Europe")</f>
        <v>Europe</v>
      </c>
      <c r="AC1423" s="14" t="str">
        <f>IFERROR(__xludf.DUMMYFUNCTION("""COMPUTED_VALUE"""),"Luxembourg-Europe")</f>
        <v>Luxembourg-Europe</v>
      </c>
      <c r="AD1423" s="14" t="str">
        <f>IFERROR(__xludf.DUMMYFUNCTION("""COMPUTED_VALUE"""),"2004")</f>
        <v>2004</v>
      </c>
      <c r="AE1423" s="14">
        <f>IFERROR(__xludf.DUMMYFUNCTION("""COMPUTED_VALUE"""),4204.0)</f>
        <v>4204</v>
      </c>
      <c r="AF1423" s="14">
        <f>IFERROR(__xludf.DUMMYFUNCTION("""COMPUTED_VALUE"""),10792.0)</f>
        <v>10792</v>
      </c>
    </row>
    <row r="1424">
      <c r="A1424" s="12">
        <v>1423.0</v>
      </c>
      <c r="B1424" s="12" t="s">
        <v>188</v>
      </c>
      <c r="C1424" s="5" t="s">
        <v>75</v>
      </c>
      <c r="D1424" s="8"/>
      <c r="E1424" s="8"/>
      <c r="F1424" s="8"/>
      <c r="G1424" s="8"/>
      <c r="H1424" s="11">
        <v>0.7</v>
      </c>
      <c r="I1424" s="11">
        <v>1.114</v>
      </c>
      <c r="J1424" s="9" t="s">
        <v>66</v>
      </c>
      <c r="K1424" s="14" t="str">
        <f>IFERROR(__xludf.DUMMYFUNCTION("ARRAYFORMULA(VLOOKUP(A1424,IMPORTRANGE(""https://docs.google.com/spreadsheets/d/1BuTWp7qHGjWhqrnf-OmePP568O4A5Am9ttzvVdP67zw/edit#gid=1603210130"", ""TOURISM!$A$2:$F$2692""), {2,3,4,5,6},0))"),"Europe")</f>
        <v>Europe</v>
      </c>
      <c r="L1424" s="14">
        <f>IFERROR(__xludf.DUMMYFUNCTION("""COMPUTED_VALUE"""),3.612E9)</f>
        <v>3612000000</v>
      </c>
      <c r="M1424" s="14" t="str">
        <f>IFERROR(__xludf.DUMMYFUNCTION("""COMPUTED_VALUE"""),"Luxembourg-Europe")</f>
        <v>Luxembourg-Europe</v>
      </c>
      <c r="N1424" s="14" t="str">
        <f>IFERROR(__xludf.DUMMYFUNCTION("""COMPUTED_VALUE"""),"2005")</f>
        <v>2005</v>
      </c>
      <c r="O1424" s="14">
        <f>IFERROR(__xludf.DUMMYFUNCTION("""COMPUTED_VALUE"""),2.977E9)</f>
        <v>2977000000</v>
      </c>
      <c r="P1424" s="15">
        <f>IFERROR(__xludf.DUMMYFUNCTION("ARRAYFORMULA(VLOOKUP(A1424,IMPORTRANGE(""https://docs.google.com/spreadsheets/d/1BuTWp7qHGjWhqrnf-OmePP568O4A5Am9ttzvVdP67zw/edit#gid=771602874"" ,""HUMAN RESOURCES!$A$2:$M$2692""), {2,3,4,5,6,7,8,9,10,11,12,13},0))"),0.012)</f>
        <v>0.012</v>
      </c>
      <c r="Q1424" s="14">
        <f>IFERROR(__xludf.DUMMYFUNCTION("""COMPUTED_VALUE"""),0.003)</f>
        <v>0.003</v>
      </c>
      <c r="R1424" s="14">
        <f>IFERROR(__xludf.DUMMYFUNCTION("""COMPUTED_VALUE"""),82.0)</f>
        <v>82</v>
      </c>
      <c r="S1424" s="14">
        <f>IFERROR(__xludf.DUMMYFUNCTION("""COMPUTED_VALUE"""),77.0)</f>
        <v>77</v>
      </c>
      <c r="T1424" s="14">
        <f>IFERROR(__xludf.DUMMYFUNCTION("""COMPUTED_VALUE"""),0.186)</f>
        <v>0.186</v>
      </c>
      <c r="U1424" s="14">
        <f>IFERROR(__xludf.DUMMYFUNCTION("""COMPUTED_VALUE"""),0.67)</f>
        <v>0.67</v>
      </c>
      <c r="V1424" s="14">
        <f>IFERROR(__xludf.DUMMYFUNCTION("""COMPUTED_VALUE"""),0.144)</f>
        <v>0.144</v>
      </c>
      <c r="W1424" s="14">
        <f>IFERROR(__xludf.DUMMYFUNCTION("""COMPUTED_VALUE"""),465158.0)</f>
        <v>465158</v>
      </c>
      <c r="X1424" s="14">
        <f>IFERROR(__xludf.DUMMYFUNCTION("""COMPUTED_VALUE"""),0.866)</f>
        <v>0.866</v>
      </c>
      <c r="Y1424" s="14" t="str">
        <f>IFERROR(__xludf.DUMMYFUNCTION("""COMPUTED_VALUE"""),"Luxembourg-Europe")</f>
        <v>Luxembourg-Europe</v>
      </c>
      <c r="Z1424" s="14" t="str">
        <f>IFERROR(__xludf.DUMMYFUNCTION("""COMPUTED_VALUE"""),"Europe")</f>
        <v>Europe</v>
      </c>
      <c r="AA1424" s="14" t="str">
        <f>IFERROR(__xludf.DUMMYFUNCTION("""COMPUTED_VALUE"""),"2005")</f>
        <v>2005</v>
      </c>
      <c r="AB1424" s="15" t="str">
        <f>IFERROR(__xludf.DUMMYFUNCTION("ARRAYFORMULA(VLOOKUP(A1424,IMPORTRANGE(""https://docs.google.com/spreadsheets/d/1BuTWp7qHGjWhqrnf-OmePP568O4A5Am9ttzvVdP67zw/edit#gid=1931367683"" ,""ENERGY!$A$2:$F$2692""), {2,3,4,5,6},0))"),"Europe")</f>
        <v>Europe</v>
      </c>
      <c r="AC1424" s="14" t="str">
        <f>IFERROR(__xludf.DUMMYFUNCTION("""COMPUTED_VALUE"""),"Luxembourg-Europe")</f>
        <v>Luxembourg-Europe</v>
      </c>
      <c r="AD1424" s="14" t="str">
        <f>IFERROR(__xludf.DUMMYFUNCTION("""COMPUTED_VALUE"""),"2007")</f>
        <v>2007</v>
      </c>
      <c r="AE1424" s="14">
        <f>IFERROR(__xludf.DUMMYFUNCTION("""COMPUTED_VALUE"""),4209.0)</f>
        <v>4209</v>
      </c>
      <c r="AF1424" s="14">
        <f>IFERROR(__xludf.DUMMYFUNCTION("""COMPUTED_VALUE"""),10869.0)</f>
        <v>10869</v>
      </c>
    </row>
    <row r="1425">
      <c r="A1425" s="12">
        <v>1424.0</v>
      </c>
      <c r="B1425" s="12" t="s">
        <v>188</v>
      </c>
      <c r="C1425" s="5" t="s">
        <v>75</v>
      </c>
      <c r="D1425" s="11">
        <v>0.204</v>
      </c>
      <c r="E1425" s="11">
        <v>26.0</v>
      </c>
      <c r="F1425" s="8"/>
      <c r="G1425" s="11">
        <v>59.0</v>
      </c>
      <c r="H1425" s="11">
        <v>0.725</v>
      </c>
      <c r="I1425" s="11">
        <v>1.529</v>
      </c>
      <c r="J1425" s="9" t="s">
        <v>67</v>
      </c>
      <c r="K1425" s="14" t="str">
        <f>IFERROR(__xludf.DUMMYFUNCTION("ARRAYFORMULA(VLOOKUP(A1425,IMPORTRANGE(""https://docs.google.com/spreadsheets/d/1BuTWp7qHGjWhqrnf-OmePP568O4A5Am9ttzvVdP67zw/edit#gid=1603210130"", ""TOURISM!$A$2:$F$2692""), {2,3,4,5,6},0))"),"Europe")</f>
        <v>Europe</v>
      </c>
      <c r="L1425" s="14">
        <f>IFERROR(__xludf.DUMMYFUNCTION("""COMPUTED_VALUE"""),3.636E9)</f>
        <v>3636000000</v>
      </c>
      <c r="M1425" s="14" t="str">
        <f>IFERROR(__xludf.DUMMYFUNCTION("""COMPUTED_VALUE"""),"Luxembourg-Europe")</f>
        <v>Luxembourg-Europe</v>
      </c>
      <c r="N1425" s="14" t="str">
        <f>IFERROR(__xludf.DUMMYFUNCTION("""COMPUTED_VALUE"""),"2006")</f>
        <v>2006</v>
      </c>
      <c r="O1425" s="14">
        <f>IFERROR(__xludf.DUMMYFUNCTION("""COMPUTED_VALUE"""),3.138E9)</f>
        <v>3138000000</v>
      </c>
      <c r="P1425" s="15">
        <f>IFERROR(__xludf.DUMMYFUNCTION("ARRAYFORMULA(VLOOKUP(A1425,IMPORTRANGE(""https://docs.google.com/spreadsheets/d/1BuTWp7qHGjWhqrnf-OmePP568O4A5Am9ttzvVdP67zw/edit#gid=771602874"" ,""HUMAN RESOURCES!$A$2:$M$2692""), {2,3,4,5,6,7,8,9,10,11,12,13},0))"),0.012)</f>
        <v>0.012</v>
      </c>
      <c r="Q1425" s="14">
        <f>IFERROR(__xludf.DUMMYFUNCTION("""COMPUTED_VALUE"""),0.003)</f>
        <v>0.003</v>
      </c>
      <c r="R1425" s="14">
        <f>IFERROR(__xludf.DUMMYFUNCTION("""COMPUTED_VALUE"""),82.0)</f>
        <v>82</v>
      </c>
      <c r="S1425" s="14">
        <f>IFERROR(__xludf.DUMMYFUNCTION("""COMPUTED_VALUE"""),77.0)</f>
        <v>77</v>
      </c>
      <c r="T1425" s="14">
        <f>IFERROR(__xludf.DUMMYFUNCTION("""COMPUTED_VALUE"""),0.184)</f>
        <v>0.184</v>
      </c>
      <c r="U1425" s="14">
        <f>IFERROR(__xludf.DUMMYFUNCTION("""COMPUTED_VALUE"""),0.672)</f>
        <v>0.672</v>
      </c>
      <c r="V1425" s="14">
        <f>IFERROR(__xludf.DUMMYFUNCTION("""COMPUTED_VALUE"""),0.144)</f>
        <v>0.144</v>
      </c>
      <c r="W1425" s="14">
        <f>IFERROR(__xludf.DUMMYFUNCTION("""COMPUTED_VALUE"""),472637.0)</f>
        <v>472637</v>
      </c>
      <c r="X1425" s="14">
        <f>IFERROR(__xludf.DUMMYFUNCTION("""COMPUTED_VALUE"""),0.87)</f>
        <v>0.87</v>
      </c>
      <c r="Y1425" s="14" t="str">
        <f>IFERROR(__xludf.DUMMYFUNCTION("""COMPUTED_VALUE"""),"Luxembourg-Europe")</f>
        <v>Luxembourg-Europe</v>
      </c>
      <c r="Z1425" s="14" t="str">
        <f>IFERROR(__xludf.DUMMYFUNCTION("""COMPUTED_VALUE"""),"Europe")</f>
        <v>Europe</v>
      </c>
      <c r="AA1425" s="14" t="str">
        <f>IFERROR(__xludf.DUMMYFUNCTION("""COMPUTED_VALUE"""),"2006")</f>
        <v>2006</v>
      </c>
      <c r="AB1425" s="15" t="str">
        <f>IFERROR(__xludf.DUMMYFUNCTION("ARRAYFORMULA(VLOOKUP(A1425,IMPORTRANGE(""https://docs.google.com/spreadsheets/d/1BuTWp7qHGjWhqrnf-OmePP568O4A5Am9ttzvVdP67zw/edit#gid=1931367683"" ,""ENERGY!$A$2:$F$2692""), {2,3,4,5,6},0))"),"Europe")</f>
        <v>Europe</v>
      </c>
      <c r="AC1425" s="14" t="str">
        <f>IFERROR(__xludf.DUMMYFUNCTION("""COMPUTED_VALUE"""),"Luxembourg-Europe")</f>
        <v>Luxembourg-Europe</v>
      </c>
      <c r="AD1425" s="14" t="str">
        <f>IFERROR(__xludf.DUMMYFUNCTION("""COMPUTED_VALUE"""),"2011")</f>
        <v>2011</v>
      </c>
      <c r="AE1425" s="14">
        <f>IFERROR(__xludf.DUMMYFUNCTION("""COMPUTED_VALUE"""),4329.0)</f>
        <v>4329</v>
      </c>
      <c r="AF1425" s="14">
        <f>IFERROR(__xludf.DUMMYFUNCTION("""COMPUTED_VALUE"""),11357.0)</f>
        <v>11357</v>
      </c>
    </row>
    <row r="1426">
      <c r="A1426" s="12">
        <v>1425.0</v>
      </c>
      <c r="B1426" s="12" t="s">
        <v>188</v>
      </c>
      <c r="C1426" s="5" t="s">
        <v>75</v>
      </c>
      <c r="D1426" s="11">
        <v>0.2</v>
      </c>
      <c r="E1426" s="11">
        <v>26.0</v>
      </c>
      <c r="F1426" s="8"/>
      <c r="G1426" s="11">
        <v>59.0</v>
      </c>
      <c r="H1426" s="11">
        <v>0.789</v>
      </c>
      <c r="I1426" s="11">
        <v>1.437</v>
      </c>
      <c r="J1426" s="9" t="s">
        <v>68</v>
      </c>
      <c r="K1426" s="14" t="str">
        <f>IFERROR(__xludf.DUMMYFUNCTION("ARRAYFORMULA(VLOOKUP(A1426,IMPORTRANGE(""https://docs.google.com/spreadsheets/d/1BuTWp7qHGjWhqrnf-OmePP568O4A5Am9ttzvVdP67zw/edit#gid=1603210130"", ""TOURISM!$A$2:$F$2692""), {2,3,4,5,6},0))"),"Europe")</f>
        <v>Europe</v>
      </c>
      <c r="L1426" s="14">
        <f>IFERROR(__xludf.DUMMYFUNCTION("""COMPUTED_VALUE"""),4.032E9)</f>
        <v>4032000000</v>
      </c>
      <c r="M1426" s="14" t="str">
        <f>IFERROR(__xludf.DUMMYFUNCTION("""COMPUTED_VALUE"""),"Luxembourg-Europe")</f>
        <v>Luxembourg-Europe</v>
      </c>
      <c r="N1426" s="14" t="str">
        <f>IFERROR(__xludf.DUMMYFUNCTION("""COMPUTED_VALUE"""),"2007")</f>
        <v>2007</v>
      </c>
      <c r="O1426" s="14">
        <f>IFERROR(__xludf.DUMMYFUNCTION("""COMPUTED_VALUE"""),3.476E9)</f>
        <v>3476000000</v>
      </c>
      <c r="P1426" s="15">
        <f>IFERROR(__xludf.DUMMYFUNCTION("ARRAYFORMULA(VLOOKUP(A1426,IMPORTRANGE(""https://docs.google.com/spreadsheets/d/1BuTWp7qHGjWhqrnf-OmePP568O4A5Am9ttzvVdP67zw/edit#gid=771602874"" ,""HUMAN RESOURCES!$A$2:$M$2692""), {2,3,4,5,6,7,8,9,10,11,12,13},0))"),0.011)</f>
        <v>0.011</v>
      </c>
      <c r="Q1426" s="14">
        <f>IFERROR(__xludf.DUMMYFUNCTION("""COMPUTED_VALUE"""),0.002)</f>
        <v>0.002</v>
      </c>
      <c r="R1426" s="14">
        <f>IFERROR(__xludf.DUMMYFUNCTION("""COMPUTED_VALUE"""),82.0)</f>
        <v>82</v>
      </c>
      <c r="S1426" s="14">
        <f>IFERROR(__xludf.DUMMYFUNCTION("""COMPUTED_VALUE"""),77.0)</f>
        <v>77</v>
      </c>
      <c r="T1426" s="14">
        <f>IFERROR(__xludf.DUMMYFUNCTION("""COMPUTED_VALUE"""),0.182)</f>
        <v>0.182</v>
      </c>
      <c r="U1426" s="14">
        <f>IFERROR(__xludf.DUMMYFUNCTION("""COMPUTED_VALUE"""),0.675)</f>
        <v>0.675</v>
      </c>
      <c r="V1426" s="14">
        <f>IFERROR(__xludf.DUMMYFUNCTION("""COMPUTED_VALUE"""),0.143)</f>
        <v>0.143</v>
      </c>
      <c r="W1426" s="14">
        <f>IFERROR(__xludf.DUMMYFUNCTION("""COMPUTED_VALUE"""),479993.0)</f>
        <v>479993</v>
      </c>
      <c r="X1426" s="14">
        <f>IFERROR(__xludf.DUMMYFUNCTION("""COMPUTED_VALUE"""),0.874)</f>
        <v>0.874</v>
      </c>
      <c r="Y1426" s="14" t="str">
        <f>IFERROR(__xludf.DUMMYFUNCTION("""COMPUTED_VALUE"""),"Luxembourg-Europe")</f>
        <v>Luxembourg-Europe</v>
      </c>
      <c r="Z1426" s="14" t="str">
        <f>IFERROR(__xludf.DUMMYFUNCTION("""COMPUTED_VALUE"""),"Europe")</f>
        <v>Europe</v>
      </c>
      <c r="AA1426" s="14" t="str">
        <f>IFERROR(__xludf.DUMMYFUNCTION("""COMPUTED_VALUE"""),"2007")</f>
        <v>2007</v>
      </c>
      <c r="AB1426" s="15" t="str">
        <f>IFERROR(__xludf.DUMMYFUNCTION("ARRAYFORMULA(VLOOKUP(A1426,IMPORTRANGE(""https://docs.google.com/spreadsheets/d/1BuTWp7qHGjWhqrnf-OmePP568O4A5Am9ttzvVdP67zw/edit#gid=1931367683"" ,""ENERGY!$A$2:$F$2692""), {2,3,4,5,6},0))"),"Europe")</f>
        <v>Europe</v>
      </c>
      <c r="AC1426" s="14" t="str">
        <f>IFERROR(__xludf.DUMMYFUNCTION("""COMPUTED_VALUE"""),"Luxembourg-Europe")</f>
        <v>Luxembourg-Europe</v>
      </c>
      <c r="AD1426" s="14" t="str">
        <f>IFERROR(__xludf.DUMMYFUNCTION("""COMPUTED_VALUE"""),"2008")</f>
        <v>2008</v>
      </c>
      <c r="AE1426" s="14">
        <f>IFERROR(__xludf.DUMMYFUNCTION("""COMPUTED_VALUE"""),4382.0)</f>
        <v>4382</v>
      </c>
      <c r="AF1426" s="14">
        <f>IFERROR(__xludf.DUMMYFUNCTION("""COMPUTED_VALUE"""),11544.0)</f>
        <v>11544</v>
      </c>
    </row>
    <row r="1427">
      <c r="A1427" s="12">
        <v>1426.0</v>
      </c>
      <c r="B1427" s="12" t="s">
        <v>188</v>
      </c>
      <c r="C1427" s="5" t="s">
        <v>75</v>
      </c>
      <c r="D1427" s="11">
        <v>0.2</v>
      </c>
      <c r="E1427" s="11">
        <v>26.0</v>
      </c>
      <c r="F1427" s="8"/>
      <c r="G1427" s="11">
        <v>59.0</v>
      </c>
      <c r="H1427" s="11">
        <v>0.822</v>
      </c>
      <c r="I1427" s="11">
        <v>1.451</v>
      </c>
      <c r="J1427" s="9" t="s">
        <v>69</v>
      </c>
      <c r="K1427" s="14" t="str">
        <f>IFERROR(__xludf.DUMMYFUNCTION("ARRAYFORMULA(VLOOKUP(A1427,IMPORTRANGE(""https://docs.google.com/spreadsheets/d/1BuTWp7qHGjWhqrnf-OmePP568O4A5Am9ttzvVdP67zw/edit#gid=1603210130"", ""TOURISM!$A$2:$F$2692""), {2,3,4,5,6},0))"),"Europe")</f>
        <v>Europe</v>
      </c>
      <c r="L1427" s="14">
        <f>IFERROR(__xludf.DUMMYFUNCTION("""COMPUTED_VALUE"""),4.486E9)</f>
        <v>4486000000</v>
      </c>
      <c r="M1427" s="14" t="str">
        <f>IFERROR(__xludf.DUMMYFUNCTION("""COMPUTED_VALUE"""),"Luxembourg-Europe")</f>
        <v>Luxembourg-Europe</v>
      </c>
      <c r="N1427" s="14" t="str">
        <f>IFERROR(__xludf.DUMMYFUNCTION("""COMPUTED_VALUE"""),"2008")</f>
        <v>2008</v>
      </c>
      <c r="O1427" s="14">
        <f>IFERROR(__xludf.DUMMYFUNCTION("""COMPUTED_VALUE"""),3.801E9)</f>
        <v>3801000000</v>
      </c>
      <c r="P1427" s="15">
        <f>IFERROR(__xludf.DUMMYFUNCTION("ARRAYFORMULA(VLOOKUP(A1427,IMPORTRANGE(""https://docs.google.com/spreadsheets/d/1BuTWp7qHGjWhqrnf-OmePP568O4A5Am9ttzvVdP67zw/edit#gid=771602874"" ,""HUMAN RESOURCES!$A$2:$M$2692""), {2,3,4,5,6,7,8,9,10,11,12,13},0))"),0.012)</f>
        <v>0.012</v>
      </c>
      <c r="Q1427" s="14">
        <f>IFERROR(__xludf.DUMMYFUNCTION("""COMPUTED_VALUE"""),0.002)</f>
        <v>0.002</v>
      </c>
      <c r="R1427" s="14">
        <f>IFERROR(__xludf.DUMMYFUNCTION("""COMPUTED_VALUE"""),83.0)</f>
        <v>83</v>
      </c>
      <c r="S1427" s="14">
        <f>IFERROR(__xludf.DUMMYFUNCTION("""COMPUTED_VALUE"""),78.0)</f>
        <v>78</v>
      </c>
      <c r="T1427" s="14">
        <f>IFERROR(__xludf.DUMMYFUNCTION("""COMPUTED_VALUE"""),0.18)</f>
        <v>0.18</v>
      </c>
      <c r="U1427" s="14">
        <f>IFERROR(__xludf.DUMMYFUNCTION("""COMPUTED_VALUE"""),0.679)</f>
        <v>0.679</v>
      </c>
      <c r="V1427" s="14">
        <f>IFERROR(__xludf.DUMMYFUNCTION("""COMPUTED_VALUE"""),0.141)</f>
        <v>0.141</v>
      </c>
      <c r="W1427" s="14">
        <f>IFERROR(__xludf.DUMMYFUNCTION("""COMPUTED_VALUE"""),488650.0)</f>
        <v>488650</v>
      </c>
      <c r="X1427" s="14">
        <f>IFERROR(__xludf.DUMMYFUNCTION("""COMPUTED_VALUE"""),0.878)</f>
        <v>0.878</v>
      </c>
      <c r="Y1427" s="14" t="str">
        <f>IFERROR(__xludf.DUMMYFUNCTION("""COMPUTED_VALUE"""),"Luxembourg-Europe")</f>
        <v>Luxembourg-Europe</v>
      </c>
      <c r="Z1427" s="14" t="str">
        <f>IFERROR(__xludf.DUMMYFUNCTION("""COMPUTED_VALUE"""),"Europe")</f>
        <v>Europe</v>
      </c>
      <c r="AA1427" s="14" t="str">
        <f>IFERROR(__xludf.DUMMYFUNCTION("""COMPUTED_VALUE"""),"2008")</f>
        <v>2008</v>
      </c>
      <c r="AB1427" s="15" t="str">
        <f>IFERROR(__xludf.DUMMYFUNCTION("ARRAYFORMULA(VLOOKUP(A1427,IMPORTRANGE(""https://docs.google.com/spreadsheets/d/1BuTWp7qHGjWhqrnf-OmePP568O4A5Am9ttzvVdP67zw/edit#gid=1931367683"" ,""ENERGY!$A$2:$F$2692""), {2,3,4,5,6},0))"),"Europe")</f>
        <v>Europe</v>
      </c>
      <c r="AC1427" s="14" t="str">
        <f>IFERROR(__xludf.DUMMYFUNCTION("""COMPUTED_VALUE"""),"Luxembourg-Europe")</f>
        <v>Luxembourg-Europe</v>
      </c>
      <c r="AD1427" s="14" t="str">
        <f>IFERROR(__xludf.DUMMYFUNCTION("""COMPUTED_VALUE"""),"2006")</f>
        <v>2006</v>
      </c>
      <c r="AE1427" s="14">
        <f>IFERROR(__xludf.DUMMYFUNCTION("""COMPUTED_VALUE"""),4282.0)</f>
        <v>4282</v>
      </c>
      <c r="AF1427" s="14">
        <f>IFERROR(__xludf.DUMMYFUNCTION("""COMPUTED_VALUE"""),11269.0)</f>
        <v>11269</v>
      </c>
    </row>
    <row r="1428">
      <c r="A1428" s="12">
        <v>1427.0</v>
      </c>
      <c r="B1428" s="12" t="s">
        <v>188</v>
      </c>
      <c r="C1428" s="5" t="s">
        <v>75</v>
      </c>
      <c r="D1428" s="11">
        <v>0.2</v>
      </c>
      <c r="E1428" s="11">
        <v>24.0</v>
      </c>
      <c r="F1428" s="8"/>
      <c r="G1428" s="11">
        <v>59.0</v>
      </c>
      <c r="H1428" s="11">
        <v>0.873</v>
      </c>
      <c r="I1428" s="11">
        <v>1.445</v>
      </c>
      <c r="J1428" s="9" t="s">
        <v>70</v>
      </c>
      <c r="K1428" s="14" t="str">
        <f>IFERROR(__xludf.DUMMYFUNCTION("ARRAYFORMULA(VLOOKUP(A1428,IMPORTRANGE(""https://docs.google.com/spreadsheets/d/1BuTWp7qHGjWhqrnf-OmePP568O4A5Am9ttzvVdP67zw/edit#gid=1603210130"", ""TOURISM!$A$2:$F$2692""), {2,3,4,5,6},0))"),"Europe")</f>
        <v>Europe</v>
      </c>
      <c r="L1428" s="14">
        <f>IFERROR(__xludf.DUMMYFUNCTION("""COMPUTED_VALUE"""),4.148E9)</f>
        <v>4148000000</v>
      </c>
      <c r="M1428" s="14" t="str">
        <f>IFERROR(__xludf.DUMMYFUNCTION("""COMPUTED_VALUE"""),"Luxembourg-Europe")</f>
        <v>Luxembourg-Europe</v>
      </c>
      <c r="N1428" s="14" t="str">
        <f>IFERROR(__xludf.DUMMYFUNCTION("""COMPUTED_VALUE"""),"2009")</f>
        <v>2009</v>
      </c>
      <c r="O1428" s="14">
        <f>IFERROR(__xludf.DUMMYFUNCTION("""COMPUTED_VALUE"""),3.612E9)</f>
        <v>3612000000</v>
      </c>
      <c r="P1428" s="15">
        <f>IFERROR(__xludf.DUMMYFUNCTION("ARRAYFORMULA(VLOOKUP(A1428,IMPORTRANGE(""https://docs.google.com/spreadsheets/d/1BuTWp7qHGjWhqrnf-OmePP568O4A5Am9ttzvVdP67zw/edit#gid=771602874"" ,""HUMAN RESOURCES!$A$2:$M$2692""), {2,3,4,5,6,7,8,9,10,11,12,13},0))"),0.011)</f>
        <v>0.011</v>
      </c>
      <c r="Q1428" s="14">
        <f>IFERROR(__xludf.DUMMYFUNCTION("""COMPUTED_VALUE"""),0.002)</f>
        <v>0.002</v>
      </c>
      <c r="R1428" s="14">
        <f>IFERROR(__xludf.DUMMYFUNCTION("""COMPUTED_VALUE"""),83.0)</f>
        <v>83</v>
      </c>
      <c r="S1428" s="14">
        <f>IFERROR(__xludf.DUMMYFUNCTION("""COMPUTED_VALUE"""),78.0)</f>
        <v>78</v>
      </c>
      <c r="T1428" s="14">
        <f>IFERROR(__xludf.DUMMYFUNCTION("""COMPUTED_VALUE"""),0.178)</f>
        <v>0.178</v>
      </c>
      <c r="U1428" s="14">
        <f>IFERROR(__xludf.DUMMYFUNCTION("""COMPUTED_VALUE"""),0.682)</f>
        <v>0.682</v>
      </c>
      <c r="V1428" s="14">
        <f>IFERROR(__xludf.DUMMYFUNCTION("""COMPUTED_VALUE"""),0.14)</f>
        <v>0.14</v>
      </c>
      <c r="W1428" s="14">
        <f>IFERROR(__xludf.DUMMYFUNCTION("""COMPUTED_VALUE"""),497783.0)</f>
        <v>497783</v>
      </c>
      <c r="X1428" s="14">
        <f>IFERROR(__xludf.DUMMYFUNCTION("""COMPUTED_VALUE"""),0.882)</f>
        <v>0.882</v>
      </c>
      <c r="Y1428" s="14" t="str">
        <f>IFERROR(__xludf.DUMMYFUNCTION("""COMPUTED_VALUE"""),"Luxembourg-Europe")</f>
        <v>Luxembourg-Europe</v>
      </c>
      <c r="Z1428" s="14" t="str">
        <f>IFERROR(__xludf.DUMMYFUNCTION("""COMPUTED_VALUE"""),"Europe")</f>
        <v>Europe</v>
      </c>
      <c r="AA1428" s="14" t="str">
        <f>IFERROR(__xludf.DUMMYFUNCTION("""COMPUTED_VALUE"""),"2009")</f>
        <v>2009</v>
      </c>
      <c r="AB1428" s="15" t="str">
        <f>IFERROR(__xludf.DUMMYFUNCTION("ARRAYFORMULA(VLOOKUP(A1428,IMPORTRANGE(""https://docs.google.com/spreadsheets/d/1BuTWp7qHGjWhqrnf-OmePP568O4A5Am9ttzvVdP67zw/edit#gid=1931367683"" ,""ENERGY!$A$2:$F$2692""), {2,3,4,5,6},0))"),"Europe")</f>
        <v>Europe</v>
      </c>
      <c r="AC1428" s="14" t="str">
        <f>IFERROR(__xludf.DUMMYFUNCTION("""COMPUTED_VALUE"""),"Luxembourg-Europe")</f>
        <v>Luxembourg-Europe</v>
      </c>
      <c r="AD1428" s="14" t="str">
        <f>IFERROR(__xludf.DUMMYFUNCTION("""COMPUTED_VALUE"""),"2010")</f>
        <v>2010</v>
      </c>
      <c r="AE1428" s="14">
        <f>IFERROR(__xludf.DUMMYFUNCTION("""COMPUTED_VALUE"""),3843.0)</f>
        <v>3843</v>
      </c>
      <c r="AF1428" s="14">
        <f>IFERROR(__xludf.DUMMYFUNCTION("""COMPUTED_VALUE"""),9905.0)</f>
        <v>9905</v>
      </c>
    </row>
    <row r="1429">
      <c r="A1429" s="12">
        <v>1428.0</v>
      </c>
      <c r="B1429" s="12" t="s">
        <v>188</v>
      </c>
      <c r="C1429" s="5" t="s">
        <v>75</v>
      </c>
      <c r="D1429" s="11">
        <v>0.2</v>
      </c>
      <c r="E1429" s="11">
        <v>19.0</v>
      </c>
      <c r="F1429" s="8"/>
      <c r="G1429" s="11">
        <v>59.0</v>
      </c>
      <c r="H1429" s="11">
        <v>0.906</v>
      </c>
      <c r="I1429" s="11">
        <v>1.431</v>
      </c>
      <c r="J1429" s="9" t="s">
        <v>71</v>
      </c>
      <c r="K1429" s="14" t="str">
        <f>IFERROR(__xludf.DUMMYFUNCTION("ARRAYFORMULA(VLOOKUP(A1429,IMPORTRANGE(""https://docs.google.com/spreadsheets/d/1BuTWp7qHGjWhqrnf-OmePP568O4A5Am9ttzvVdP67zw/edit#gid=1603210130"", ""TOURISM!$A$2:$F$2692""), {2,3,4,5,6},0))"),"Europe")</f>
        <v>Europe</v>
      </c>
      <c r="L1429" s="14">
        <f>IFERROR(__xludf.DUMMYFUNCTION("""COMPUTED_VALUE"""),4.115E9)</f>
        <v>4115000000</v>
      </c>
      <c r="M1429" s="14" t="str">
        <f>IFERROR(__xludf.DUMMYFUNCTION("""COMPUTED_VALUE"""),"Luxembourg-Europe")</f>
        <v>Luxembourg-Europe</v>
      </c>
      <c r="N1429" s="14" t="str">
        <f>IFERROR(__xludf.DUMMYFUNCTION("""COMPUTED_VALUE"""),"2010")</f>
        <v>2010</v>
      </c>
      <c r="O1429" s="14">
        <f>IFERROR(__xludf.DUMMYFUNCTION("""COMPUTED_VALUE"""),3.549E9)</f>
        <v>3549000000</v>
      </c>
      <c r="P1429" s="15">
        <f>IFERROR(__xludf.DUMMYFUNCTION("ARRAYFORMULA(VLOOKUP(A1429,IMPORTRANGE(""https://docs.google.com/spreadsheets/d/1BuTWp7qHGjWhqrnf-OmePP568O4A5Am9ttzvVdP67zw/edit#gid=771602874"" ,""HUMAN RESOURCES!$A$2:$M$2692""), {2,3,4,5,6,7,8,9,10,11,12,13},0))"),0.012)</f>
        <v>0.012</v>
      </c>
      <c r="Q1429" s="14">
        <f>IFERROR(__xludf.DUMMYFUNCTION("""COMPUTED_VALUE"""),0.002)</f>
        <v>0.002</v>
      </c>
      <c r="R1429" s="14">
        <f>IFERROR(__xludf.DUMMYFUNCTION("""COMPUTED_VALUE"""),84.0)</f>
        <v>84</v>
      </c>
      <c r="S1429" s="14">
        <f>IFERROR(__xludf.DUMMYFUNCTION("""COMPUTED_VALUE"""),78.0)</f>
        <v>78</v>
      </c>
      <c r="T1429" s="14">
        <f>IFERROR(__xludf.DUMMYFUNCTION("""COMPUTED_VALUE"""),0.176)</f>
        <v>0.176</v>
      </c>
      <c r="U1429" s="14">
        <f>IFERROR(__xludf.DUMMYFUNCTION("""COMPUTED_VALUE"""),0.684)</f>
        <v>0.684</v>
      </c>
      <c r="V1429" s="14">
        <f>IFERROR(__xludf.DUMMYFUNCTION("""COMPUTED_VALUE"""),0.14)</f>
        <v>0.14</v>
      </c>
      <c r="W1429" s="14">
        <f>IFERROR(__xludf.DUMMYFUNCTION("""COMPUTED_VALUE"""),506953.0)</f>
        <v>506953</v>
      </c>
      <c r="X1429" s="14">
        <f>IFERROR(__xludf.DUMMYFUNCTION("""COMPUTED_VALUE"""),0.885)</f>
        <v>0.885</v>
      </c>
      <c r="Y1429" s="14" t="str">
        <f>IFERROR(__xludf.DUMMYFUNCTION("""COMPUTED_VALUE"""),"Luxembourg-Europe")</f>
        <v>Luxembourg-Europe</v>
      </c>
      <c r="Z1429" s="14" t="str">
        <f>IFERROR(__xludf.DUMMYFUNCTION("""COMPUTED_VALUE"""),"Europe")</f>
        <v>Europe</v>
      </c>
      <c r="AA1429" s="14" t="str">
        <f>IFERROR(__xludf.DUMMYFUNCTION("""COMPUTED_VALUE"""),"2010")</f>
        <v>2010</v>
      </c>
      <c r="AB1429" s="15" t="str">
        <f>IFERROR(__xludf.DUMMYFUNCTION("ARRAYFORMULA(VLOOKUP(A1429,IMPORTRANGE(""https://docs.google.com/spreadsheets/d/1BuTWp7qHGjWhqrnf-OmePP568O4A5Am9ttzvVdP67zw/edit#gid=1931367683"" ,""ENERGY!$A$2:$F$2692""), {2,3,4,5,6},0))"),"Europe")</f>
        <v>Europe</v>
      </c>
      <c r="AC1429" s="14" t="str">
        <f>IFERROR(__xludf.DUMMYFUNCTION("""COMPUTED_VALUE"""),"Luxembourg-Europe")</f>
        <v>Luxembourg-Europe</v>
      </c>
      <c r="AD1429" s="14" t="str">
        <f>IFERROR(__xludf.DUMMYFUNCTION("""COMPUTED_VALUE"""),"2012")</f>
        <v>2012</v>
      </c>
      <c r="AE1429" s="14">
        <f>IFERROR(__xludf.DUMMYFUNCTION("""COMPUTED_VALUE"""),3646.0)</f>
        <v>3646</v>
      </c>
      <c r="AF1429" s="14">
        <f>IFERROR(__xludf.DUMMYFUNCTION("""COMPUTED_VALUE"""),9417.0)</f>
        <v>9417</v>
      </c>
    </row>
    <row r="1430">
      <c r="A1430" s="12">
        <v>1429.0</v>
      </c>
      <c r="B1430" s="12" t="s">
        <v>188</v>
      </c>
      <c r="C1430" s="5" t="s">
        <v>75</v>
      </c>
      <c r="D1430" s="11">
        <v>0.198</v>
      </c>
      <c r="E1430" s="11">
        <v>19.0</v>
      </c>
      <c r="F1430" s="8"/>
      <c r="G1430" s="11">
        <v>59.0</v>
      </c>
      <c r="H1430" s="11">
        <v>0.9</v>
      </c>
      <c r="I1430" s="11">
        <v>1.482</v>
      </c>
      <c r="J1430" s="9" t="s">
        <v>72</v>
      </c>
      <c r="K1430" s="14" t="str">
        <f>IFERROR(__xludf.DUMMYFUNCTION("ARRAYFORMULA(VLOOKUP(A1430,IMPORTRANGE(""https://docs.google.com/spreadsheets/d/1BuTWp7qHGjWhqrnf-OmePP568O4A5Am9ttzvVdP67zw/edit#gid=1603210130"", ""TOURISM!$A$2:$F$2692""), {2,3,4,5,6},0))"),"Europe")</f>
        <v>Europe</v>
      </c>
      <c r="L1430" s="14">
        <f>IFERROR(__xludf.DUMMYFUNCTION("""COMPUTED_VALUE"""),4.825E9)</f>
        <v>4825000000</v>
      </c>
      <c r="M1430" s="14" t="str">
        <f>IFERROR(__xludf.DUMMYFUNCTION("""COMPUTED_VALUE"""),"Luxembourg-Europe")</f>
        <v>Luxembourg-Europe</v>
      </c>
      <c r="N1430" s="14" t="str">
        <f>IFERROR(__xludf.DUMMYFUNCTION("""COMPUTED_VALUE"""),"2011")</f>
        <v>2011</v>
      </c>
      <c r="O1430" s="14">
        <f>IFERROR(__xludf.DUMMYFUNCTION("""COMPUTED_VALUE"""),3.822E9)</f>
        <v>3822000000</v>
      </c>
      <c r="P1430" s="15">
        <f>IFERROR(__xludf.DUMMYFUNCTION("ARRAYFORMULA(VLOOKUP(A1430,IMPORTRANGE(""https://docs.google.com/spreadsheets/d/1BuTWp7qHGjWhqrnf-OmePP568O4A5Am9ttzvVdP67zw/edit#gid=771602874"" ,""HUMAN RESOURCES!$A$2:$M$2692""), {2,3,4,5,6,7,8,9,10,11,12,13},0))"),0.011)</f>
        <v>0.011</v>
      </c>
      <c r="Q1430" s="14">
        <f>IFERROR(__xludf.DUMMYFUNCTION("""COMPUTED_VALUE"""),0.002)</f>
        <v>0.002</v>
      </c>
      <c r="R1430" s="14">
        <f>IFERROR(__xludf.DUMMYFUNCTION("""COMPUTED_VALUE"""),84.0)</f>
        <v>84</v>
      </c>
      <c r="S1430" s="14">
        <f>IFERROR(__xludf.DUMMYFUNCTION("""COMPUTED_VALUE"""),79.0)</f>
        <v>79</v>
      </c>
      <c r="T1430" s="14">
        <f>IFERROR(__xludf.DUMMYFUNCTION("""COMPUTED_VALUE"""),0.175)</f>
        <v>0.175</v>
      </c>
      <c r="U1430" s="14">
        <f>IFERROR(__xludf.DUMMYFUNCTION("""COMPUTED_VALUE"""),0.685)</f>
        <v>0.685</v>
      </c>
      <c r="V1430" s="14">
        <f>IFERROR(__xludf.DUMMYFUNCTION("""COMPUTED_VALUE"""),0.14)</f>
        <v>0.14</v>
      </c>
      <c r="W1430" s="14">
        <f>IFERROR(__xludf.DUMMYFUNCTION("""COMPUTED_VALUE"""),518347.0)</f>
        <v>518347</v>
      </c>
      <c r="X1430" s="14">
        <f>IFERROR(__xludf.DUMMYFUNCTION("""COMPUTED_VALUE"""),0.889)</f>
        <v>0.889</v>
      </c>
      <c r="Y1430" s="14" t="str">
        <f>IFERROR(__xludf.DUMMYFUNCTION("""COMPUTED_VALUE"""),"Luxembourg-Europe")</f>
        <v>Luxembourg-Europe</v>
      </c>
      <c r="Z1430" s="14" t="str">
        <f>IFERROR(__xludf.DUMMYFUNCTION("""COMPUTED_VALUE"""),"Europe")</f>
        <v>Europe</v>
      </c>
      <c r="AA1430" s="14" t="str">
        <f>IFERROR(__xludf.DUMMYFUNCTION("""COMPUTED_VALUE"""),"2011")</f>
        <v>2011</v>
      </c>
      <c r="AB1430" s="15" t="str">
        <f>IFERROR(__xludf.DUMMYFUNCTION("ARRAYFORMULA(VLOOKUP(A1430,IMPORTRANGE(""https://docs.google.com/spreadsheets/d/1BuTWp7qHGjWhqrnf-OmePP568O4A5Am9ttzvVdP67zw/edit#gid=1931367683"" ,""ENERGY!$A$2:$F$2692""), {2,3,4,5,6},0))"),"Europe")</f>
        <v>Europe</v>
      </c>
      <c r="AC1430" s="14" t="str">
        <f>IFERROR(__xludf.DUMMYFUNCTION("""COMPUTED_VALUE"""),"Luxembourg-Europe")</f>
        <v>Luxembourg-Europe</v>
      </c>
      <c r="AD1430" s="14" t="str">
        <f>IFERROR(__xludf.DUMMYFUNCTION("""COMPUTED_VALUE"""),"2006")</f>
        <v>2006</v>
      </c>
      <c r="AE1430" s="14">
        <f>IFERROR(__xludf.DUMMYFUNCTION("""COMPUTED_VALUE"""),3509.0)</f>
        <v>3509</v>
      </c>
      <c r="AF1430" s="14">
        <f>IFERROR(__xludf.DUMMYFUNCTION("""COMPUTED_VALUE"""),8801.0)</f>
        <v>8801</v>
      </c>
    </row>
    <row r="1431">
      <c r="A1431" s="12">
        <v>1430.0</v>
      </c>
      <c r="B1431" s="12" t="s">
        <v>188</v>
      </c>
      <c r="C1431" s="5" t="s">
        <v>75</v>
      </c>
      <c r="D1431" s="11">
        <v>0.2</v>
      </c>
      <c r="E1431" s="11">
        <v>19.0</v>
      </c>
      <c r="F1431" s="11">
        <v>56.0</v>
      </c>
      <c r="G1431" s="11">
        <v>59.0</v>
      </c>
      <c r="H1431" s="11">
        <v>0.919</v>
      </c>
      <c r="I1431" s="11">
        <v>1.454</v>
      </c>
      <c r="J1431" s="9" t="s">
        <v>73</v>
      </c>
      <c r="K1431" s="14" t="str">
        <f>IFERROR(__xludf.DUMMYFUNCTION("ARRAYFORMULA(VLOOKUP(A1431,IMPORTRANGE(""https://docs.google.com/spreadsheets/d/1BuTWp7qHGjWhqrnf-OmePP568O4A5Am9ttzvVdP67zw/edit#gid=1603210130"", ""TOURISM!$A$2:$F$2692""), {2,3,4,5,6},0))"),"Europe")</f>
        <v>Europe</v>
      </c>
      <c r="L1431" s="14">
        <f>IFERROR(__xludf.DUMMYFUNCTION("""COMPUTED_VALUE"""),4.613E9)</f>
        <v>4613000000</v>
      </c>
      <c r="M1431" s="14" t="str">
        <f>IFERROR(__xludf.DUMMYFUNCTION("""COMPUTED_VALUE"""),"Luxembourg-Europe")</f>
        <v>Luxembourg-Europe</v>
      </c>
      <c r="N1431" s="14" t="str">
        <f>IFERROR(__xludf.DUMMYFUNCTION("""COMPUTED_VALUE"""),"2012")</f>
        <v>2012</v>
      </c>
      <c r="O1431" s="14">
        <f>IFERROR(__xludf.DUMMYFUNCTION("""COMPUTED_VALUE"""),3.582E9)</f>
        <v>3582000000</v>
      </c>
      <c r="P1431" s="15">
        <f>IFERROR(__xludf.DUMMYFUNCTION("ARRAYFORMULA(VLOOKUP(A1431,IMPORTRANGE(""https://docs.google.com/spreadsheets/d/1BuTWp7qHGjWhqrnf-OmePP568O4A5Am9ttzvVdP67zw/edit#gid=771602874"" ,""HUMAN RESOURCES!$A$2:$M$2692""), {2,3,4,5,6,7,8,9,10,11,12,13},0))"),0.011)</f>
        <v>0.011</v>
      </c>
      <c r="Q1431" s="14">
        <f>IFERROR(__xludf.DUMMYFUNCTION("""COMPUTED_VALUE"""),0.002)</f>
        <v>0.002</v>
      </c>
      <c r="R1431" s="14">
        <f>IFERROR(__xludf.DUMMYFUNCTION("""COMPUTED_VALUE"""),84.0)</f>
        <v>84</v>
      </c>
      <c r="S1431" s="14">
        <f>IFERROR(__xludf.DUMMYFUNCTION("""COMPUTED_VALUE"""),79.0)</f>
        <v>79</v>
      </c>
      <c r="T1431" s="14">
        <f>IFERROR(__xludf.DUMMYFUNCTION("""COMPUTED_VALUE"""),0.175)</f>
        <v>0.175</v>
      </c>
      <c r="U1431" s="14">
        <f>IFERROR(__xludf.DUMMYFUNCTION("""COMPUTED_VALUE"""),0.685)</f>
        <v>0.685</v>
      </c>
      <c r="V1431" s="14">
        <f>IFERROR(__xludf.DUMMYFUNCTION("""COMPUTED_VALUE"""),0.141)</f>
        <v>0.141</v>
      </c>
      <c r="W1431" s="14">
        <f>IFERROR(__xludf.DUMMYFUNCTION("""COMPUTED_VALUE"""),530946.0)</f>
        <v>530946</v>
      </c>
      <c r="X1431" s="14">
        <f>IFERROR(__xludf.DUMMYFUNCTION("""COMPUTED_VALUE"""),0.892)</f>
        <v>0.892</v>
      </c>
      <c r="Y1431" s="14" t="str">
        <f>IFERROR(__xludf.DUMMYFUNCTION("""COMPUTED_VALUE"""),"Luxembourg-Europe")</f>
        <v>Luxembourg-Europe</v>
      </c>
      <c r="Z1431" s="14" t="str">
        <f>IFERROR(__xludf.DUMMYFUNCTION("""COMPUTED_VALUE"""),"Europe")</f>
        <v>Europe</v>
      </c>
      <c r="AA1431" s="14" t="str">
        <f>IFERROR(__xludf.DUMMYFUNCTION("""COMPUTED_VALUE"""),"2012")</f>
        <v>2012</v>
      </c>
      <c r="AB1431" s="15" t="str">
        <f>IFERROR(__xludf.DUMMYFUNCTION("ARRAYFORMULA(VLOOKUP(A1431,IMPORTRANGE(""https://docs.google.com/spreadsheets/d/1BuTWp7qHGjWhqrnf-OmePP568O4A5Am9ttzvVdP67zw/edit#gid=1931367683"" ,""ENERGY!$A$2:$F$2692""), {2,3,4,5,6},0))"),"Europe")</f>
        <v>Europe</v>
      </c>
      <c r="AC1431" s="14" t="str">
        <f>IFERROR(__xludf.DUMMYFUNCTION("""COMPUTED_VALUE"""),"Luxembourg-Europe")</f>
        <v>Luxembourg-Europe</v>
      </c>
      <c r="AD1431" s="14" t="str">
        <f>IFERROR(__xludf.DUMMYFUNCTION("""COMPUTED_VALUE"""),"2010")</f>
        <v>2010</v>
      </c>
      <c r="AE1431" s="14">
        <f>IFERROR(__xludf.DUMMYFUNCTION("""COMPUTED_VALUE"""),3335.0)</f>
        <v>3335</v>
      </c>
      <c r="AF1431" s="14">
        <f>IFERROR(__xludf.DUMMYFUNCTION("""COMPUTED_VALUE"""),8240.0)</f>
        <v>8240</v>
      </c>
    </row>
    <row r="1432">
      <c r="A1432" s="12">
        <v>1431.0</v>
      </c>
      <c r="B1432" s="12" t="s">
        <v>189</v>
      </c>
      <c r="C1432" s="5" t="s">
        <v>61</v>
      </c>
      <c r="D1432" s="8"/>
      <c r="E1432" s="8"/>
      <c r="F1432" s="8"/>
      <c r="G1432" s="8"/>
      <c r="H1432" s="11">
        <v>0.136</v>
      </c>
      <c r="I1432" s="11">
        <v>0.327</v>
      </c>
      <c r="J1432" s="9" t="s">
        <v>60</v>
      </c>
      <c r="K1432" s="14" t="str">
        <f>IFERROR(__xludf.DUMMYFUNCTION("ARRAYFORMULA(VLOOKUP(A1432,IMPORTRANGE(""https://docs.google.com/spreadsheets/d/1BuTWp7qHGjWhqrnf-OmePP568O4A5Am9ttzvVdP67zw/edit#gid=1603210130"", ""TOURISM!$A$2:$F$2692""), {2,3,4,5,6},0))"),"Asia")</f>
        <v>Asia</v>
      </c>
      <c r="L1432" s="14">
        <f>IFERROR(__xludf.DUMMYFUNCTION("""COMPUTED_VALUE"""),3.205E9)</f>
        <v>3205000000</v>
      </c>
      <c r="M1432" s="14" t="str">
        <f>IFERROR(__xludf.DUMMYFUNCTION("""COMPUTED_VALUE"""),"Macao SAR-Asia")</f>
        <v>Macao SAR-Asia</v>
      </c>
      <c r="N1432" s="14" t="str">
        <f>IFERROR(__xludf.DUMMYFUNCTION("""COMPUTED_VALUE"""),"2000")</f>
        <v>2000</v>
      </c>
      <c r="O1432" s="14"/>
      <c r="P1432" s="15">
        <f>IFERROR(__xludf.DUMMYFUNCTION("ARRAYFORMULA(VLOOKUP(A1432,IMPORTRANGE(""https://docs.google.com/spreadsheets/d/1BuTWp7qHGjWhqrnf-OmePP568O4A5Am9ttzvVdP67zw/edit#gid=771602874"" ,""HUMAN RESOURCES!$A$2:$M$2692""), {2,3,4,5,6,7,8,9,10,11,12,13},0))"),0.009)</f>
        <v>0.009</v>
      </c>
      <c r="Q1432" s="14"/>
      <c r="R1432" s="14">
        <f>IFERROR(__xludf.DUMMYFUNCTION("""COMPUTED_VALUE"""),80.0)</f>
        <v>80</v>
      </c>
      <c r="S1432" s="14">
        <f>IFERROR(__xludf.DUMMYFUNCTION("""COMPUTED_VALUE"""),75.0)</f>
        <v>75</v>
      </c>
      <c r="T1432" s="14">
        <f>IFERROR(__xludf.DUMMYFUNCTION("""COMPUTED_VALUE"""),0.228)</f>
        <v>0.228</v>
      </c>
      <c r="U1432" s="14">
        <f>IFERROR(__xludf.DUMMYFUNCTION("""COMPUTED_VALUE"""),0.698)</f>
        <v>0.698</v>
      </c>
      <c r="V1432" s="14">
        <f>IFERROR(__xludf.DUMMYFUNCTION("""COMPUTED_VALUE"""),0.074)</f>
        <v>0.074</v>
      </c>
      <c r="W1432" s="14">
        <f>IFERROR(__xludf.DUMMYFUNCTION("""COMPUTED_VALUE"""),431907.0)</f>
        <v>431907</v>
      </c>
      <c r="X1432" s="14">
        <f>IFERROR(__xludf.DUMMYFUNCTION("""COMPUTED_VALUE"""),1.0)</f>
        <v>1</v>
      </c>
      <c r="Y1432" s="14" t="str">
        <f>IFERROR(__xludf.DUMMYFUNCTION("""COMPUTED_VALUE"""),"Macao SAR-Asia")</f>
        <v>Macao SAR-Asia</v>
      </c>
      <c r="Z1432" s="14" t="str">
        <f>IFERROR(__xludf.DUMMYFUNCTION("""COMPUTED_VALUE"""),"Asia")</f>
        <v>Asia</v>
      </c>
      <c r="AA1432" s="14" t="str">
        <f>IFERROR(__xludf.DUMMYFUNCTION("""COMPUTED_VALUE"""),"2000")</f>
        <v>2000</v>
      </c>
      <c r="AB1432" s="15" t="str">
        <f>IFERROR(__xludf.DUMMYFUNCTION("ARRAYFORMULA(VLOOKUP(A1432,IMPORTRANGE(""https://docs.google.com/spreadsheets/d/1BuTWp7qHGjWhqrnf-OmePP568O4A5Am9ttzvVdP67zw/edit#gid=1931367683"" ,""ENERGY!$A$2:$F$2692""), {2,3,4,5,6},0))"),"Asia")</f>
        <v>Asia</v>
      </c>
      <c r="AC1432" s="14" t="str">
        <f>IFERROR(__xludf.DUMMYFUNCTION("""COMPUTED_VALUE"""),"Macao SAR-Asia")</f>
        <v>Macao SAR-Asia</v>
      </c>
      <c r="AD1432" s="14" t="str">
        <f>IFERROR(__xludf.DUMMYFUNCTION("""COMPUTED_VALUE"""),"2000")</f>
        <v>2000</v>
      </c>
      <c r="AE1432" s="14"/>
      <c r="AF1432" s="14"/>
    </row>
    <row r="1433">
      <c r="A1433" s="12">
        <v>1432.0</v>
      </c>
      <c r="B1433" s="12" t="s">
        <v>189</v>
      </c>
      <c r="C1433" s="5" t="s">
        <v>61</v>
      </c>
      <c r="D1433" s="8"/>
      <c r="E1433" s="8"/>
      <c r="F1433" s="8"/>
      <c r="G1433" s="8"/>
      <c r="H1433" s="11">
        <v>0.225</v>
      </c>
      <c r="I1433" s="11">
        <v>0.444</v>
      </c>
      <c r="J1433" s="9" t="s">
        <v>62</v>
      </c>
      <c r="K1433" s="14" t="str">
        <f>IFERROR(__xludf.DUMMYFUNCTION("ARRAYFORMULA(VLOOKUP(A1433,IMPORTRANGE(""https://docs.google.com/spreadsheets/d/1BuTWp7qHGjWhqrnf-OmePP568O4A5Am9ttzvVdP67zw/edit#gid=1603210130"", ""TOURISM!$A$2:$F$2692""), {2,3,4,5,6},0))"),"Asia")</f>
        <v>Asia</v>
      </c>
      <c r="L1433" s="14">
        <f>IFERROR(__xludf.DUMMYFUNCTION("""COMPUTED_VALUE"""),3.745E9)</f>
        <v>3745000000</v>
      </c>
      <c r="M1433" s="14" t="str">
        <f>IFERROR(__xludf.DUMMYFUNCTION("""COMPUTED_VALUE"""),"Macao SAR-Asia")</f>
        <v>Macao SAR-Asia</v>
      </c>
      <c r="N1433" s="14" t="str">
        <f>IFERROR(__xludf.DUMMYFUNCTION("""COMPUTED_VALUE"""),"2001")</f>
        <v>2001</v>
      </c>
      <c r="O1433" s="14"/>
      <c r="P1433" s="15">
        <f>IFERROR(__xludf.DUMMYFUNCTION("ARRAYFORMULA(VLOOKUP(A1433,IMPORTRANGE(""https://docs.google.com/spreadsheets/d/1BuTWp7qHGjWhqrnf-OmePP568O4A5Am9ttzvVdP67zw/edit#gid=771602874"" ,""HUMAN RESOURCES!$A$2:$M$2692""), {2,3,4,5,6,7,8,9,10,11,12,13},0))"),0.008)</f>
        <v>0.008</v>
      </c>
      <c r="Q1433" s="14"/>
      <c r="R1433" s="14">
        <f>IFERROR(__xludf.DUMMYFUNCTION("""COMPUTED_VALUE"""),80.0)</f>
        <v>80</v>
      </c>
      <c r="S1433" s="14">
        <f>IFERROR(__xludf.DUMMYFUNCTION("""COMPUTED_VALUE"""),76.0)</f>
        <v>76</v>
      </c>
      <c r="T1433" s="14">
        <f>IFERROR(__xludf.DUMMYFUNCTION("""COMPUTED_VALUE"""),0.219)</f>
        <v>0.219</v>
      </c>
      <c r="U1433" s="14">
        <f>IFERROR(__xludf.DUMMYFUNCTION("""COMPUTED_VALUE"""),0.708)</f>
        <v>0.708</v>
      </c>
      <c r="V1433" s="14">
        <f>IFERROR(__xludf.DUMMYFUNCTION("""COMPUTED_VALUE"""),0.074)</f>
        <v>0.074</v>
      </c>
      <c r="W1433" s="14">
        <f>IFERROR(__xludf.DUMMYFUNCTION("""COMPUTED_VALUE"""),438080.0)</f>
        <v>438080</v>
      </c>
      <c r="X1433" s="14">
        <f>IFERROR(__xludf.DUMMYFUNCTION("""COMPUTED_VALUE"""),1.0)</f>
        <v>1</v>
      </c>
      <c r="Y1433" s="14" t="str">
        <f>IFERROR(__xludf.DUMMYFUNCTION("""COMPUTED_VALUE"""),"Macao SAR-Asia")</f>
        <v>Macao SAR-Asia</v>
      </c>
      <c r="Z1433" s="14" t="str">
        <f>IFERROR(__xludf.DUMMYFUNCTION("""COMPUTED_VALUE"""),"Asia")</f>
        <v>Asia</v>
      </c>
      <c r="AA1433" s="14" t="str">
        <f>IFERROR(__xludf.DUMMYFUNCTION("""COMPUTED_VALUE"""),"2001")</f>
        <v>2001</v>
      </c>
      <c r="AB1433" s="15" t="str">
        <f>IFERROR(__xludf.DUMMYFUNCTION("ARRAYFORMULA(VLOOKUP(A1433,IMPORTRANGE(""https://docs.google.com/spreadsheets/d/1BuTWp7qHGjWhqrnf-OmePP568O4A5Am9ttzvVdP67zw/edit#gid=1931367683"" ,""ENERGY!$A$2:$F$2692""), {2,3,4,5,6},0))"),"Asia")</f>
        <v>Asia</v>
      </c>
      <c r="AC1433" s="14" t="str">
        <f>IFERROR(__xludf.DUMMYFUNCTION("""COMPUTED_VALUE"""),"Macao SAR-Asia")</f>
        <v>Macao SAR-Asia</v>
      </c>
      <c r="AD1433" s="14" t="str">
        <f>IFERROR(__xludf.DUMMYFUNCTION("""COMPUTED_VALUE"""),"2001")</f>
        <v>2001</v>
      </c>
      <c r="AE1433" s="14"/>
      <c r="AF1433" s="14"/>
    </row>
    <row r="1434">
      <c r="A1434" s="12">
        <v>1433.0</v>
      </c>
      <c r="B1434" s="12" t="s">
        <v>189</v>
      </c>
      <c r="C1434" s="5" t="s">
        <v>61</v>
      </c>
      <c r="D1434" s="8"/>
      <c r="E1434" s="8"/>
      <c r="F1434" s="8"/>
      <c r="G1434" s="8"/>
      <c r="H1434" s="11">
        <v>0.252</v>
      </c>
      <c r="I1434" s="11">
        <v>0.622</v>
      </c>
      <c r="J1434" s="9" t="s">
        <v>63</v>
      </c>
      <c r="K1434" s="14" t="str">
        <f>IFERROR(__xludf.DUMMYFUNCTION("ARRAYFORMULA(VLOOKUP(A1434,IMPORTRANGE(""https://docs.google.com/spreadsheets/d/1BuTWp7qHGjWhqrnf-OmePP568O4A5Am9ttzvVdP67zw/edit#gid=1603210130"", ""TOURISM!$A$2:$F$2692""), {2,3,4,5,6},0))"),"Asia")</f>
        <v>Asia</v>
      </c>
      <c r="L1434" s="14">
        <f>IFERROR(__xludf.DUMMYFUNCTION("""COMPUTED_VALUE"""),4.428E9)</f>
        <v>4428000000</v>
      </c>
      <c r="M1434" s="14" t="str">
        <f>IFERROR(__xludf.DUMMYFUNCTION("""COMPUTED_VALUE"""),"Macao SAR-Asia")</f>
        <v>Macao SAR-Asia</v>
      </c>
      <c r="N1434" s="14" t="str">
        <f>IFERROR(__xludf.DUMMYFUNCTION("""COMPUTED_VALUE"""),"2002")</f>
        <v>2002</v>
      </c>
      <c r="O1434" s="14">
        <f>IFERROR(__xludf.DUMMYFUNCTION("""COMPUTED_VALUE"""),5.12E8)</f>
        <v>512000000</v>
      </c>
      <c r="P1434" s="15">
        <f>IFERROR(__xludf.DUMMYFUNCTION("ARRAYFORMULA(VLOOKUP(A1434,IMPORTRANGE(""https://docs.google.com/spreadsheets/d/1BuTWp7qHGjWhqrnf-OmePP568O4A5Am9ttzvVdP67zw/edit#gid=771602874"" ,""HUMAN RESOURCES!$A$2:$M$2692""), {2,3,4,5,6,7,8,9,10,11,12,13},0))"),0.008)</f>
        <v>0.008</v>
      </c>
      <c r="Q1434" s="14"/>
      <c r="R1434" s="14">
        <f>IFERROR(__xludf.DUMMYFUNCTION("""COMPUTED_VALUE"""),80.0)</f>
        <v>80</v>
      </c>
      <c r="S1434" s="14">
        <f>IFERROR(__xludf.DUMMYFUNCTION("""COMPUTED_VALUE"""),76.0)</f>
        <v>76</v>
      </c>
      <c r="T1434" s="14">
        <f>IFERROR(__xludf.DUMMYFUNCTION("""COMPUTED_VALUE"""),0.208)</f>
        <v>0.208</v>
      </c>
      <c r="U1434" s="14">
        <f>IFERROR(__xludf.DUMMYFUNCTION("""COMPUTED_VALUE"""),0.718)</f>
        <v>0.718</v>
      </c>
      <c r="V1434" s="14">
        <f>IFERROR(__xludf.DUMMYFUNCTION("""COMPUTED_VALUE"""),0.074)</f>
        <v>0.074</v>
      </c>
      <c r="W1434" s="14">
        <f>IFERROR(__xludf.DUMMYFUNCTION("""COMPUTED_VALUE"""),444150.0)</f>
        <v>444150</v>
      </c>
      <c r="X1434" s="14">
        <f>IFERROR(__xludf.DUMMYFUNCTION("""COMPUTED_VALUE"""),1.0)</f>
        <v>1</v>
      </c>
      <c r="Y1434" s="14" t="str">
        <f>IFERROR(__xludf.DUMMYFUNCTION("""COMPUTED_VALUE"""),"Macao SAR-Asia")</f>
        <v>Macao SAR-Asia</v>
      </c>
      <c r="Z1434" s="14" t="str">
        <f>IFERROR(__xludf.DUMMYFUNCTION("""COMPUTED_VALUE"""),"Asia")</f>
        <v>Asia</v>
      </c>
      <c r="AA1434" s="14" t="str">
        <f>IFERROR(__xludf.DUMMYFUNCTION("""COMPUTED_VALUE"""),"2002")</f>
        <v>2002</v>
      </c>
      <c r="AB1434" s="15" t="str">
        <f>IFERROR(__xludf.DUMMYFUNCTION("ARRAYFORMULA(VLOOKUP(A1434,IMPORTRANGE(""https://docs.google.com/spreadsheets/d/1BuTWp7qHGjWhqrnf-OmePP568O4A5Am9ttzvVdP67zw/edit#gid=1931367683"" ,""ENERGY!$A$2:$F$2692""), {2,3,4,5,6},0))"),"Asia")</f>
        <v>Asia</v>
      </c>
      <c r="AC1434" s="14" t="str">
        <f>IFERROR(__xludf.DUMMYFUNCTION("""COMPUTED_VALUE"""),"Macao SAR-Asia")</f>
        <v>Macao SAR-Asia</v>
      </c>
      <c r="AD1434" s="14" t="str">
        <f>IFERROR(__xludf.DUMMYFUNCTION("""COMPUTED_VALUE"""),"2002")</f>
        <v>2002</v>
      </c>
      <c r="AE1434" s="14"/>
      <c r="AF1434" s="14">
        <f>IFERROR(__xludf.DUMMYFUNCTION("""COMPUTED_VALUE"""),1030.0)</f>
        <v>1030</v>
      </c>
    </row>
    <row r="1435">
      <c r="A1435" s="12">
        <v>1434.0</v>
      </c>
      <c r="B1435" s="12" t="s">
        <v>189</v>
      </c>
      <c r="C1435" s="5" t="s">
        <v>61</v>
      </c>
      <c r="D1435" s="8"/>
      <c r="E1435" s="8"/>
      <c r="F1435" s="8"/>
      <c r="G1435" s="8"/>
      <c r="H1435" s="11">
        <v>0.257</v>
      </c>
      <c r="I1435" s="11">
        <v>0.808</v>
      </c>
      <c r="J1435" s="9" t="s">
        <v>64</v>
      </c>
      <c r="K1435" s="14" t="str">
        <f>IFERROR(__xludf.DUMMYFUNCTION("ARRAYFORMULA(VLOOKUP(A1435,IMPORTRANGE(""https://docs.google.com/spreadsheets/d/1BuTWp7qHGjWhqrnf-OmePP568O4A5Am9ttzvVdP67zw/edit#gid=1603210130"", ""TOURISM!$A$2:$F$2692""), {2,3,4,5,6},0))"),"Asia")</f>
        <v>Asia</v>
      </c>
      <c r="L1435" s="14">
        <f>IFERROR(__xludf.DUMMYFUNCTION("""COMPUTED_VALUE"""),5.225E9)</f>
        <v>5225000000</v>
      </c>
      <c r="M1435" s="14" t="str">
        <f>IFERROR(__xludf.DUMMYFUNCTION("""COMPUTED_VALUE"""),"Macao SAR-Asia")</f>
        <v>Macao SAR-Asia</v>
      </c>
      <c r="N1435" s="14" t="str">
        <f>IFERROR(__xludf.DUMMYFUNCTION("""COMPUTED_VALUE"""),"2003")</f>
        <v>2003</v>
      </c>
      <c r="O1435" s="14">
        <f>IFERROR(__xludf.DUMMYFUNCTION("""COMPUTED_VALUE"""),4.71E8)</f>
        <v>471000000</v>
      </c>
      <c r="P1435" s="15">
        <f>IFERROR(__xludf.DUMMYFUNCTION("ARRAYFORMULA(VLOOKUP(A1435,IMPORTRANGE(""https://docs.google.com/spreadsheets/d/1BuTWp7qHGjWhqrnf-OmePP568O4A5Am9ttzvVdP67zw/edit#gid=771602874"" ,""HUMAN RESOURCES!$A$2:$M$2692""), {2,3,4,5,6,7,8,9,10,11,12,13},0))"),0.008)</f>
        <v>0.008</v>
      </c>
      <c r="Q1435" s="14"/>
      <c r="R1435" s="14">
        <f>IFERROR(__xludf.DUMMYFUNCTION("""COMPUTED_VALUE"""),81.0)</f>
        <v>81</v>
      </c>
      <c r="S1435" s="14">
        <f>IFERROR(__xludf.DUMMYFUNCTION("""COMPUTED_VALUE"""),76.0)</f>
        <v>76</v>
      </c>
      <c r="T1435" s="14">
        <f>IFERROR(__xludf.DUMMYFUNCTION("""COMPUTED_VALUE"""),0.197)</f>
        <v>0.197</v>
      </c>
      <c r="U1435" s="14">
        <f>IFERROR(__xludf.DUMMYFUNCTION("""COMPUTED_VALUE"""),0.73)</f>
        <v>0.73</v>
      </c>
      <c r="V1435" s="14">
        <f>IFERROR(__xludf.DUMMYFUNCTION("""COMPUTED_VALUE"""),0.074)</f>
        <v>0.074</v>
      </c>
      <c r="W1435" s="14">
        <f>IFERROR(__xludf.DUMMYFUNCTION("""COMPUTED_VALUE"""),450711.0)</f>
        <v>450711</v>
      </c>
      <c r="X1435" s="14">
        <f>IFERROR(__xludf.DUMMYFUNCTION("""COMPUTED_VALUE"""),1.0)</f>
        <v>1</v>
      </c>
      <c r="Y1435" s="14" t="str">
        <f>IFERROR(__xludf.DUMMYFUNCTION("""COMPUTED_VALUE"""),"Macao SAR-Asia")</f>
        <v>Macao SAR-Asia</v>
      </c>
      <c r="Z1435" s="14" t="str">
        <f>IFERROR(__xludf.DUMMYFUNCTION("""COMPUTED_VALUE"""),"Asia")</f>
        <v>Asia</v>
      </c>
      <c r="AA1435" s="14" t="str">
        <f>IFERROR(__xludf.DUMMYFUNCTION("""COMPUTED_VALUE"""),"2003")</f>
        <v>2003</v>
      </c>
      <c r="AB1435" s="15" t="str">
        <f>IFERROR(__xludf.DUMMYFUNCTION("ARRAYFORMULA(VLOOKUP(A1435,IMPORTRANGE(""https://docs.google.com/spreadsheets/d/1BuTWp7qHGjWhqrnf-OmePP568O4A5Am9ttzvVdP67zw/edit#gid=1931367683"" ,""ENERGY!$A$2:$F$2692""), {2,3,4,5,6},0))"),"Asia")</f>
        <v>Asia</v>
      </c>
      <c r="AC1435" s="14" t="str">
        <f>IFERROR(__xludf.DUMMYFUNCTION("""COMPUTED_VALUE"""),"Macao SAR-Asia")</f>
        <v>Macao SAR-Asia</v>
      </c>
      <c r="AD1435" s="14" t="str">
        <f>IFERROR(__xludf.DUMMYFUNCTION("""COMPUTED_VALUE"""),"2003")</f>
        <v>2003</v>
      </c>
      <c r="AE1435" s="14"/>
      <c r="AF1435" s="14">
        <f>IFERROR(__xludf.DUMMYFUNCTION("""COMPUTED_VALUE"""),1302.0)</f>
        <v>1302</v>
      </c>
    </row>
    <row r="1436">
      <c r="A1436" s="12">
        <v>1435.0</v>
      </c>
      <c r="B1436" s="12" t="s">
        <v>189</v>
      </c>
      <c r="C1436" s="5" t="s">
        <v>61</v>
      </c>
      <c r="D1436" s="8"/>
      <c r="E1436" s="8"/>
      <c r="F1436" s="8"/>
      <c r="G1436" s="8"/>
      <c r="H1436" s="11">
        <v>0.315</v>
      </c>
      <c r="I1436" s="11">
        <v>0.943</v>
      </c>
      <c r="J1436" s="9" t="s">
        <v>65</v>
      </c>
      <c r="K1436" s="14" t="str">
        <f>IFERROR(__xludf.DUMMYFUNCTION("ARRAYFORMULA(VLOOKUP(A1436,IMPORTRANGE(""https://docs.google.com/spreadsheets/d/1BuTWp7qHGjWhqrnf-OmePP568O4A5Am9ttzvVdP67zw/edit#gid=1603210130"", ""TOURISM!$A$2:$F$2692""), {2,3,4,5,6},0))"),"Asia")</f>
        <v>Asia</v>
      </c>
      <c r="L1436" s="14">
        <f>IFERROR(__xludf.DUMMYFUNCTION("""COMPUTED_VALUE"""),7.431E9)</f>
        <v>7431000000</v>
      </c>
      <c r="M1436" s="14" t="str">
        <f>IFERROR(__xludf.DUMMYFUNCTION("""COMPUTED_VALUE"""),"Macao SAR-Asia")</f>
        <v>Macao SAR-Asia</v>
      </c>
      <c r="N1436" s="14" t="str">
        <f>IFERROR(__xludf.DUMMYFUNCTION("""COMPUTED_VALUE"""),"2004")</f>
        <v>2004</v>
      </c>
      <c r="O1436" s="14">
        <f>IFERROR(__xludf.DUMMYFUNCTION("""COMPUTED_VALUE"""),5.29E8)</f>
        <v>529000000</v>
      </c>
      <c r="P1436" s="15">
        <f>IFERROR(__xludf.DUMMYFUNCTION("ARRAYFORMULA(VLOOKUP(A1436,IMPORTRANGE(""https://docs.google.com/spreadsheets/d/1BuTWp7qHGjWhqrnf-OmePP568O4A5Am9ttzvVdP67zw/edit#gid=771602874"" ,""HUMAN RESOURCES!$A$2:$M$2692""), {2,3,4,5,6,7,8,9,10,11,12,13},0))"),0.008)</f>
        <v>0.008</v>
      </c>
      <c r="Q1436" s="14"/>
      <c r="R1436" s="14">
        <f>IFERROR(__xludf.DUMMYFUNCTION("""COMPUTED_VALUE"""),81.0)</f>
        <v>81</v>
      </c>
      <c r="S1436" s="14">
        <f>IFERROR(__xludf.DUMMYFUNCTION("""COMPUTED_VALUE"""),76.0)</f>
        <v>76</v>
      </c>
      <c r="T1436" s="14">
        <f>IFERROR(__xludf.DUMMYFUNCTION("""COMPUTED_VALUE"""),0.185)</f>
        <v>0.185</v>
      </c>
      <c r="U1436" s="14">
        <f>IFERROR(__xludf.DUMMYFUNCTION("""COMPUTED_VALUE"""),0.742)</f>
        <v>0.742</v>
      </c>
      <c r="V1436" s="14">
        <f>IFERROR(__xludf.DUMMYFUNCTION("""COMPUTED_VALUE"""),0.074)</f>
        <v>0.074</v>
      </c>
      <c r="W1436" s="14">
        <f>IFERROR(__xludf.DUMMYFUNCTION("""COMPUTED_VALUE"""),458542.0)</f>
        <v>458542</v>
      </c>
      <c r="X1436" s="14">
        <f>IFERROR(__xludf.DUMMYFUNCTION("""COMPUTED_VALUE"""),1.0)</f>
        <v>1</v>
      </c>
      <c r="Y1436" s="14" t="str">
        <f>IFERROR(__xludf.DUMMYFUNCTION("""COMPUTED_VALUE"""),"Macao SAR-Asia")</f>
        <v>Macao SAR-Asia</v>
      </c>
      <c r="Z1436" s="14" t="str">
        <f>IFERROR(__xludf.DUMMYFUNCTION("""COMPUTED_VALUE"""),"Asia")</f>
        <v>Asia</v>
      </c>
      <c r="AA1436" s="14" t="str">
        <f>IFERROR(__xludf.DUMMYFUNCTION("""COMPUTED_VALUE"""),"2004")</f>
        <v>2004</v>
      </c>
      <c r="AB1436" s="15" t="str">
        <f>IFERROR(__xludf.DUMMYFUNCTION("ARRAYFORMULA(VLOOKUP(A1436,IMPORTRANGE(""https://docs.google.com/spreadsheets/d/1BuTWp7qHGjWhqrnf-OmePP568O4A5Am9ttzvVdP67zw/edit#gid=1931367683"" ,""ENERGY!$A$2:$F$2692""), {2,3,4,5,6},0))"),"Asia")</f>
        <v>Asia</v>
      </c>
      <c r="AC1436" s="14" t="str">
        <f>IFERROR(__xludf.DUMMYFUNCTION("""COMPUTED_VALUE"""),"Macao SAR-Asia")</f>
        <v>Macao SAR-Asia</v>
      </c>
      <c r="AD1436" s="14" t="str">
        <f>IFERROR(__xludf.DUMMYFUNCTION("""COMPUTED_VALUE"""),"2004")</f>
        <v>2004</v>
      </c>
      <c r="AE1436" s="14"/>
      <c r="AF1436" s="14">
        <f>IFERROR(__xludf.DUMMYFUNCTION("""COMPUTED_VALUE"""),1192.0)</f>
        <v>1192</v>
      </c>
    </row>
    <row r="1437">
      <c r="A1437" s="12">
        <v>1436.0</v>
      </c>
      <c r="B1437" s="12" t="s">
        <v>189</v>
      </c>
      <c r="C1437" s="5" t="s">
        <v>61</v>
      </c>
      <c r="D1437" s="8"/>
      <c r="E1437" s="8"/>
      <c r="F1437" s="8"/>
      <c r="G1437" s="8"/>
      <c r="H1437" s="11">
        <v>0.349</v>
      </c>
      <c r="I1437" s="11">
        <v>1.138</v>
      </c>
      <c r="J1437" s="9" t="s">
        <v>66</v>
      </c>
      <c r="K1437" s="14" t="str">
        <f>IFERROR(__xludf.DUMMYFUNCTION("ARRAYFORMULA(VLOOKUP(A1437,IMPORTRANGE(""https://docs.google.com/spreadsheets/d/1BuTWp7qHGjWhqrnf-OmePP568O4A5Am9ttzvVdP67zw/edit#gid=1603210130"", ""TOURISM!$A$2:$F$2692""), {2,3,4,5,6},0))"),"Asia")</f>
        <v>Asia</v>
      </c>
      <c r="L1437" s="14">
        <f>IFERROR(__xludf.DUMMYFUNCTION("""COMPUTED_VALUE"""),8.19E9)</f>
        <v>8190000000</v>
      </c>
      <c r="M1437" s="14" t="str">
        <f>IFERROR(__xludf.DUMMYFUNCTION("""COMPUTED_VALUE"""),"Macao SAR-Asia")</f>
        <v>Macao SAR-Asia</v>
      </c>
      <c r="N1437" s="14" t="str">
        <f>IFERROR(__xludf.DUMMYFUNCTION("""COMPUTED_VALUE"""),"2005")</f>
        <v>2005</v>
      </c>
      <c r="O1437" s="14">
        <f>IFERROR(__xludf.DUMMYFUNCTION("""COMPUTED_VALUE"""),6.15E8)</f>
        <v>615000000</v>
      </c>
      <c r="P1437" s="15">
        <f>IFERROR(__xludf.DUMMYFUNCTION("ARRAYFORMULA(VLOOKUP(A1437,IMPORTRANGE(""https://docs.google.com/spreadsheets/d/1BuTWp7qHGjWhqrnf-OmePP568O4A5Am9ttzvVdP67zw/edit#gid=771602874"" ,""HUMAN RESOURCES!$A$2:$M$2692""), {2,3,4,5,6,7,8,9,10,11,12,13},0))"),0.008)</f>
        <v>0.008</v>
      </c>
      <c r="Q1437" s="14"/>
      <c r="R1437" s="14">
        <f>IFERROR(__xludf.DUMMYFUNCTION("""COMPUTED_VALUE"""),81.0)</f>
        <v>81</v>
      </c>
      <c r="S1437" s="14">
        <f>IFERROR(__xludf.DUMMYFUNCTION("""COMPUTED_VALUE"""),76.0)</f>
        <v>76</v>
      </c>
      <c r="T1437" s="14">
        <f>IFERROR(__xludf.DUMMYFUNCTION("""COMPUTED_VALUE"""),0.173)</f>
        <v>0.173</v>
      </c>
      <c r="U1437" s="14">
        <f>IFERROR(__xludf.DUMMYFUNCTION("""COMPUTED_VALUE"""),0.754)</f>
        <v>0.754</v>
      </c>
      <c r="V1437" s="14">
        <f>IFERROR(__xludf.DUMMYFUNCTION("""COMPUTED_VALUE"""),0.073)</f>
        <v>0.073</v>
      </c>
      <c r="W1437" s="14">
        <f>IFERROR(__xludf.DUMMYFUNCTION("""COMPUTED_VALUE"""),468149.0)</f>
        <v>468149</v>
      </c>
      <c r="X1437" s="14">
        <f>IFERROR(__xludf.DUMMYFUNCTION("""COMPUTED_VALUE"""),1.0)</f>
        <v>1</v>
      </c>
      <c r="Y1437" s="14" t="str">
        <f>IFERROR(__xludf.DUMMYFUNCTION("""COMPUTED_VALUE"""),"Macao SAR-Asia")</f>
        <v>Macao SAR-Asia</v>
      </c>
      <c r="Z1437" s="14" t="str">
        <f>IFERROR(__xludf.DUMMYFUNCTION("""COMPUTED_VALUE"""),"Asia")</f>
        <v>Asia</v>
      </c>
      <c r="AA1437" s="14" t="str">
        <f>IFERROR(__xludf.DUMMYFUNCTION("""COMPUTED_VALUE"""),"2005")</f>
        <v>2005</v>
      </c>
      <c r="AB1437" s="15" t="str">
        <f>IFERROR(__xludf.DUMMYFUNCTION("ARRAYFORMULA(VLOOKUP(A1437,IMPORTRANGE(""https://docs.google.com/spreadsheets/d/1BuTWp7qHGjWhqrnf-OmePP568O4A5Am9ttzvVdP67zw/edit#gid=1931367683"" ,""ENERGY!$A$2:$F$2692""), {2,3,4,5,6},0))"),"Asia")</f>
        <v>Asia</v>
      </c>
      <c r="AC1437" s="14" t="str">
        <f>IFERROR(__xludf.DUMMYFUNCTION("""COMPUTED_VALUE"""),"Macao SAR-Asia")</f>
        <v>Macao SAR-Asia</v>
      </c>
      <c r="AD1437" s="14" t="str">
        <f>IFERROR(__xludf.DUMMYFUNCTION("""COMPUTED_VALUE"""),"2007")</f>
        <v>2007</v>
      </c>
      <c r="AE1437" s="14"/>
      <c r="AF1437" s="14">
        <f>IFERROR(__xludf.DUMMYFUNCTION("""COMPUTED_VALUE"""),1404.0)</f>
        <v>1404</v>
      </c>
    </row>
    <row r="1438">
      <c r="A1438" s="12">
        <v>1437.0</v>
      </c>
      <c r="B1438" s="12" t="s">
        <v>189</v>
      </c>
      <c r="C1438" s="5" t="s">
        <v>61</v>
      </c>
      <c r="D1438" s="8"/>
      <c r="E1438" s="8"/>
      <c r="F1438" s="8"/>
      <c r="G1438" s="8"/>
      <c r="H1438" s="11">
        <v>0.464</v>
      </c>
      <c r="I1438" s="11">
        <v>1.326</v>
      </c>
      <c r="J1438" s="9" t="s">
        <v>67</v>
      </c>
      <c r="K1438" s="14" t="str">
        <f>IFERROR(__xludf.DUMMYFUNCTION("ARRAYFORMULA(VLOOKUP(A1438,IMPORTRANGE(""https://docs.google.com/spreadsheets/d/1BuTWp7qHGjWhqrnf-OmePP568O4A5Am9ttzvVdP67zw/edit#gid=1603210130"", ""TOURISM!$A$2:$F$2692""), {2,3,4,5,6},0))"),"Asia")</f>
        <v>Asia</v>
      </c>
      <c r="L1438" s="14">
        <f>IFERROR(__xludf.DUMMYFUNCTION("""COMPUTED_VALUE"""),1.0055E10)</f>
        <v>10055000000</v>
      </c>
      <c r="M1438" s="14" t="str">
        <f>IFERROR(__xludf.DUMMYFUNCTION("""COMPUTED_VALUE"""),"Macao SAR-Asia")</f>
        <v>Macao SAR-Asia</v>
      </c>
      <c r="N1438" s="14" t="str">
        <f>IFERROR(__xludf.DUMMYFUNCTION("""COMPUTED_VALUE"""),"2006")</f>
        <v>2006</v>
      </c>
      <c r="O1438" s="14">
        <f>IFERROR(__xludf.DUMMYFUNCTION("""COMPUTED_VALUE"""),6.48E8)</f>
        <v>648000000</v>
      </c>
      <c r="P1438" s="15">
        <f>IFERROR(__xludf.DUMMYFUNCTION("ARRAYFORMULA(VLOOKUP(A1438,IMPORTRANGE(""https://docs.google.com/spreadsheets/d/1BuTWp7qHGjWhqrnf-OmePP568O4A5Am9ttzvVdP67zw/edit#gid=771602874"" ,""HUMAN RESOURCES!$A$2:$M$2692""), {2,3,4,5,6,7,8,9,10,11,12,13},0))"),0.008)</f>
        <v>0.008</v>
      </c>
      <c r="Q1438" s="14"/>
      <c r="R1438" s="14">
        <f>IFERROR(__xludf.DUMMYFUNCTION("""COMPUTED_VALUE"""),81.0)</f>
        <v>81</v>
      </c>
      <c r="S1438" s="14">
        <f>IFERROR(__xludf.DUMMYFUNCTION("""COMPUTED_VALUE"""),77.0)</f>
        <v>77</v>
      </c>
      <c r="T1438" s="14">
        <f>IFERROR(__xludf.DUMMYFUNCTION("""COMPUTED_VALUE"""),0.161)</f>
        <v>0.161</v>
      </c>
      <c r="U1438" s="14">
        <f>IFERROR(__xludf.DUMMYFUNCTION("""COMPUTED_VALUE"""),0.766)</f>
        <v>0.766</v>
      </c>
      <c r="V1438" s="14">
        <f>IFERROR(__xludf.DUMMYFUNCTION("""COMPUTED_VALUE"""),0.072)</f>
        <v>0.072</v>
      </c>
      <c r="W1438" s="14">
        <f>IFERROR(__xludf.DUMMYFUNCTION("""COMPUTED_VALUE"""),479808.0)</f>
        <v>479808</v>
      </c>
      <c r="X1438" s="14">
        <f>IFERROR(__xludf.DUMMYFUNCTION("""COMPUTED_VALUE"""),1.0)</f>
        <v>1</v>
      </c>
      <c r="Y1438" s="14" t="str">
        <f>IFERROR(__xludf.DUMMYFUNCTION("""COMPUTED_VALUE"""),"Macao SAR-Asia")</f>
        <v>Macao SAR-Asia</v>
      </c>
      <c r="Z1438" s="14" t="str">
        <f>IFERROR(__xludf.DUMMYFUNCTION("""COMPUTED_VALUE"""),"Asia")</f>
        <v>Asia</v>
      </c>
      <c r="AA1438" s="14" t="str">
        <f>IFERROR(__xludf.DUMMYFUNCTION("""COMPUTED_VALUE"""),"2006")</f>
        <v>2006</v>
      </c>
      <c r="AB1438" s="15" t="str">
        <f>IFERROR(__xludf.DUMMYFUNCTION("ARRAYFORMULA(VLOOKUP(A1438,IMPORTRANGE(""https://docs.google.com/spreadsheets/d/1BuTWp7qHGjWhqrnf-OmePP568O4A5Am9ttzvVdP67zw/edit#gid=1931367683"" ,""ENERGY!$A$2:$F$2692""), {2,3,4,5,6},0))"),"Asia")</f>
        <v>Asia</v>
      </c>
      <c r="AC1438" s="14" t="str">
        <f>IFERROR(__xludf.DUMMYFUNCTION("""COMPUTED_VALUE"""),"Macao SAR-Asia")</f>
        <v>Macao SAR-Asia</v>
      </c>
      <c r="AD1438" s="14" t="str">
        <f>IFERROR(__xludf.DUMMYFUNCTION("""COMPUTED_VALUE"""),"2011")</f>
        <v>2011</v>
      </c>
      <c r="AE1438" s="14"/>
      <c r="AF1438" s="14">
        <f>IFERROR(__xludf.DUMMYFUNCTION("""COMPUTED_VALUE"""),1632.0)</f>
        <v>1632</v>
      </c>
    </row>
    <row r="1439">
      <c r="A1439" s="12">
        <v>1438.0</v>
      </c>
      <c r="B1439" s="12" t="s">
        <v>189</v>
      </c>
      <c r="C1439" s="5" t="s">
        <v>61</v>
      </c>
      <c r="D1439" s="8"/>
      <c r="E1439" s="8"/>
      <c r="F1439" s="8"/>
      <c r="G1439" s="8"/>
      <c r="H1439" s="11">
        <v>0.473</v>
      </c>
      <c r="I1439" s="11">
        <v>1.611</v>
      </c>
      <c r="J1439" s="9" t="s">
        <v>68</v>
      </c>
      <c r="K1439" s="14" t="str">
        <f>IFERROR(__xludf.DUMMYFUNCTION("ARRAYFORMULA(VLOOKUP(A1439,IMPORTRANGE(""https://docs.google.com/spreadsheets/d/1BuTWp7qHGjWhqrnf-OmePP568O4A5Am9ttzvVdP67zw/edit#gid=1603210130"", ""TOURISM!$A$2:$F$2692""), {2,3,4,5,6},0))"),"Asia")</f>
        <v>Asia</v>
      </c>
      <c r="L1439" s="14">
        <f>IFERROR(__xludf.DUMMYFUNCTION("""COMPUTED_VALUE"""),1.3733E10)</f>
        <v>13733000000</v>
      </c>
      <c r="M1439" s="14" t="str">
        <f>IFERROR(__xludf.DUMMYFUNCTION("""COMPUTED_VALUE"""),"Macao SAR-Asia")</f>
        <v>Macao SAR-Asia</v>
      </c>
      <c r="N1439" s="14" t="str">
        <f>IFERROR(__xludf.DUMMYFUNCTION("""COMPUTED_VALUE"""),"2007")</f>
        <v>2007</v>
      </c>
      <c r="O1439" s="14">
        <f>IFERROR(__xludf.DUMMYFUNCTION("""COMPUTED_VALUE"""),7.77E8)</f>
        <v>777000000</v>
      </c>
      <c r="P1439" s="15">
        <f>IFERROR(__xludf.DUMMYFUNCTION("ARRAYFORMULA(VLOOKUP(A1439,IMPORTRANGE(""https://docs.google.com/spreadsheets/d/1BuTWp7qHGjWhqrnf-OmePP568O4A5Am9ttzvVdP67zw/edit#gid=771602874"" ,""HUMAN RESOURCES!$A$2:$M$2692""), {2,3,4,5,6,7,8,9,10,11,12,13},0))"),0.008)</f>
        <v>0.008</v>
      </c>
      <c r="Q1439" s="14"/>
      <c r="R1439" s="14">
        <f>IFERROR(__xludf.DUMMYFUNCTION("""COMPUTED_VALUE"""),82.0)</f>
        <v>82</v>
      </c>
      <c r="S1439" s="14">
        <f>IFERROR(__xludf.DUMMYFUNCTION("""COMPUTED_VALUE"""),77.0)</f>
        <v>77</v>
      </c>
      <c r="T1439" s="14">
        <f>IFERROR(__xludf.DUMMYFUNCTION("""COMPUTED_VALUE"""),0.15)</f>
        <v>0.15</v>
      </c>
      <c r="U1439" s="14">
        <f>IFERROR(__xludf.DUMMYFUNCTION("""COMPUTED_VALUE"""),0.778)</f>
        <v>0.778</v>
      </c>
      <c r="V1439" s="14">
        <f>IFERROR(__xludf.DUMMYFUNCTION("""COMPUTED_VALUE"""),0.071)</f>
        <v>0.071</v>
      </c>
      <c r="W1439" s="14">
        <f>IFERROR(__xludf.DUMMYFUNCTION("""COMPUTED_VALUE"""),493206.0)</f>
        <v>493206</v>
      </c>
      <c r="X1439" s="14">
        <f>IFERROR(__xludf.DUMMYFUNCTION("""COMPUTED_VALUE"""),1.0)</f>
        <v>1</v>
      </c>
      <c r="Y1439" s="14" t="str">
        <f>IFERROR(__xludf.DUMMYFUNCTION("""COMPUTED_VALUE"""),"Macao SAR-Asia")</f>
        <v>Macao SAR-Asia</v>
      </c>
      <c r="Z1439" s="14" t="str">
        <f>IFERROR(__xludf.DUMMYFUNCTION("""COMPUTED_VALUE"""),"Asia")</f>
        <v>Asia</v>
      </c>
      <c r="AA1439" s="14" t="str">
        <f>IFERROR(__xludf.DUMMYFUNCTION("""COMPUTED_VALUE"""),"2007")</f>
        <v>2007</v>
      </c>
      <c r="AB1439" s="15" t="str">
        <f>IFERROR(__xludf.DUMMYFUNCTION("ARRAYFORMULA(VLOOKUP(A1439,IMPORTRANGE(""https://docs.google.com/spreadsheets/d/1BuTWp7qHGjWhqrnf-OmePP568O4A5Am9ttzvVdP67zw/edit#gid=1931367683"" ,""ENERGY!$A$2:$F$2692""), {2,3,4,5,6},0))"),"Asia")</f>
        <v>Asia</v>
      </c>
      <c r="AC1439" s="14" t="str">
        <f>IFERROR(__xludf.DUMMYFUNCTION("""COMPUTED_VALUE"""),"Macao SAR-Asia")</f>
        <v>Macao SAR-Asia</v>
      </c>
      <c r="AD1439" s="14" t="str">
        <f>IFERROR(__xludf.DUMMYFUNCTION("""COMPUTED_VALUE"""),"2008")</f>
        <v>2008</v>
      </c>
      <c r="AE1439" s="14"/>
      <c r="AF1439" s="14">
        <f>IFERROR(__xludf.DUMMYFUNCTION("""COMPUTED_VALUE"""),1837.0)</f>
        <v>1837</v>
      </c>
    </row>
    <row r="1440">
      <c r="A1440" s="12">
        <v>1439.0</v>
      </c>
      <c r="B1440" s="12" t="s">
        <v>189</v>
      </c>
      <c r="C1440" s="5" t="s">
        <v>61</v>
      </c>
      <c r="D1440" s="8"/>
      <c r="E1440" s="8"/>
      <c r="F1440" s="8"/>
      <c r="G1440" s="8"/>
      <c r="H1440" s="11">
        <v>0.492</v>
      </c>
      <c r="I1440" s="11">
        <v>1.838</v>
      </c>
      <c r="J1440" s="9" t="s">
        <v>69</v>
      </c>
      <c r="K1440" s="14" t="str">
        <f>IFERROR(__xludf.DUMMYFUNCTION("ARRAYFORMULA(VLOOKUP(A1440,IMPORTRANGE(""https://docs.google.com/spreadsheets/d/1BuTWp7qHGjWhqrnf-OmePP568O4A5Am9ttzvVdP67zw/edit#gid=1603210130"", ""TOURISM!$A$2:$F$2692""), {2,3,4,5,6},0))"),"Asia")</f>
        <v>Asia</v>
      </c>
      <c r="L1440" s="14">
        <f>IFERROR(__xludf.DUMMYFUNCTION("""COMPUTED_VALUE"""),1.7297E10)</f>
        <v>17297000000</v>
      </c>
      <c r="M1440" s="14" t="str">
        <f>IFERROR(__xludf.DUMMYFUNCTION("""COMPUTED_VALUE"""),"Macao SAR-Asia")</f>
        <v>Macao SAR-Asia</v>
      </c>
      <c r="N1440" s="14" t="str">
        <f>IFERROR(__xludf.DUMMYFUNCTION("""COMPUTED_VALUE"""),"2008")</f>
        <v>2008</v>
      </c>
      <c r="O1440" s="14">
        <f>IFERROR(__xludf.DUMMYFUNCTION("""COMPUTED_VALUE"""),9.02E8)</f>
        <v>902000000</v>
      </c>
      <c r="P1440" s="15">
        <f>IFERROR(__xludf.DUMMYFUNCTION("ARRAYFORMULA(VLOOKUP(A1440,IMPORTRANGE(""https://docs.google.com/spreadsheets/d/1BuTWp7qHGjWhqrnf-OmePP568O4A5Am9ttzvVdP67zw/edit#gid=771602874"" ,""HUMAN RESOURCES!$A$2:$M$2692""), {2,3,4,5,6,7,8,9,10,11,12,13},0))"),0.009)</f>
        <v>0.009</v>
      </c>
      <c r="Q1440" s="14"/>
      <c r="R1440" s="14">
        <f>IFERROR(__xludf.DUMMYFUNCTION("""COMPUTED_VALUE"""),82.0)</f>
        <v>82</v>
      </c>
      <c r="S1440" s="14">
        <f>IFERROR(__xludf.DUMMYFUNCTION("""COMPUTED_VALUE"""),77.0)</f>
        <v>77</v>
      </c>
      <c r="T1440" s="14">
        <f>IFERROR(__xludf.DUMMYFUNCTION("""COMPUTED_VALUE"""),0.141)</f>
        <v>0.141</v>
      </c>
      <c r="U1440" s="14">
        <f>IFERROR(__xludf.DUMMYFUNCTION("""COMPUTED_VALUE"""),0.788)</f>
        <v>0.788</v>
      </c>
      <c r="V1440" s="14">
        <f>IFERROR(__xludf.DUMMYFUNCTION("""COMPUTED_VALUE"""),0.071)</f>
        <v>0.071</v>
      </c>
      <c r="W1440" s="14">
        <f>IFERROR(__xludf.DUMMYFUNCTION("""COMPUTED_VALUE"""),507528.0)</f>
        <v>507528</v>
      </c>
      <c r="X1440" s="14">
        <f>IFERROR(__xludf.DUMMYFUNCTION("""COMPUTED_VALUE"""),1.0)</f>
        <v>1</v>
      </c>
      <c r="Y1440" s="14" t="str">
        <f>IFERROR(__xludf.DUMMYFUNCTION("""COMPUTED_VALUE"""),"Macao SAR-Asia")</f>
        <v>Macao SAR-Asia</v>
      </c>
      <c r="Z1440" s="14" t="str">
        <f>IFERROR(__xludf.DUMMYFUNCTION("""COMPUTED_VALUE"""),"Asia")</f>
        <v>Asia</v>
      </c>
      <c r="AA1440" s="14" t="str">
        <f>IFERROR(__xludf.DUMMYFUNCTION("""COMPUTED_VALUE"""),"2008")</f>
        <v>2008</v>
      </c>
      <c r="AB1440" s="15" t="str">
        <f>IFERROR(__xludf.DUMMYFUNCTION("ARRAYFORMULA(VLOOKUP(A1440,IMPORTRANGE(""https://docs.google.com/spreadsheets/d/1BuTWp7qHGjWhqrnf-OmePP568O4A5Am9ttzvVdP67zw/edit#gid=1931367683"" ,""ENERGY!$A$2:$F$2692""), {2,3,4,5,6},0))"),"Asia")</f>
        <v>Asia</v>
      </c>
      <c r="AC1440" s="14" t="str">
        <f>IFERROR(__xludf.DUMMYFUNCTION("""COMPUTED_VALUE"""),"Macao SAR-Asia")</f>
        <v>Macao SAR-Asia</v>
      </c>
      <c r="AD1440" s="14" t="str">
        <f>IFERROR(__xludf.DUMMYFUNCTION("""COMPUTED_VALUE"""),"2006")</f>
        <v>2006</v>
      </c>
      <c r="AE1440" s="14"/>
      <c r="AF1440" s="14">
        <f>IFERROR(__xludf.DUMMYFUNCTION("""COMPUTED_VALUE"""),1727.0)</f>
        <v>1727</v>
      </c>
    </row>
    <row r="1441">
      <c r="A1441" s="12">
        <v>1440.0</v>
      </c>
      <c r="B1441" s="12" t="s">
        <v>189</v>
      </c>
      <c r="C1441" s="5" t="s">
        <v>61</v>
      </c>
      <c r="D1441" s="8"/>
      <c r="E1441" s="8"/>
      <c r="F1441" s="8"/>
      <c r="G1441" s="8"/>
      <c r="H1441" s="11">
        <v>0.54</v>
      </c>
      <c r="I1441" s="11">
        <v>1.989</v>
      </c>
      <c r="J1441" s="9" t="s">
        <v>70</v>
      </c>
      <c r="K1441" s="14" t="str">
        <f>IFERROR(__xludf.DUMMYFUNCTION("ARRAYFORMULA(VLOOKUP(A1441,IMPORTRANGE(""https://docs.google.com/spreadsheets/d/1BuTWp7qHGjWhqrnf-OmePP568O4A5Am9ttzvVdP67zw/edit#gid=1603210130"", ""TOURISM!$A$2:$F$2692""), {2,3,4,5,6},0))"),"Asia")</f>
        <v>Asia</v>
      </c>
      <c r="L1441" s="14">
        <f>IFERROR(__xludf.DUMMYFUNCTION("""COMPUTED_VALUE"""),1.8445E10)</f>
        <v>18445000000</v>
      </c>
      <c r="M1441" s="14" t="str">
        <f>IFERROR(__xludf.DUMMYFUNCTION("""COMPUTED_VALUE"""),"Macao SAR-Asia")</f>
        <v>Macao SAR-Asia</v>
      </c>
      <c r="N1441" s="14" t="str">
        <f>IFERROR(__xludf.DUMMYFUNCTION("""COMPUTED_VALUE"""),"2009")</f>
        <v>2009</v>
      </c>
      <c r="O1441" s="14">
        <f>IFERROR(__xludf.DUMMYFUNCTION("""COMPUTED_VALUE"""),9.83E8)</f>
        <v>983000000</v>
      </c>
      <c r="P1441" s="15">
        <f>IFERROR(__xludf.DUMMYFUNCTION("ARRAYFORMULA(VLOOKUP(A1441,IMPORTRANGE(""https://docs.google.com/spreadsheets/d/1BuTWp7qHGjWhqrnf-OmePP568O4A5Am9ttzvVdP67zw/edit#gid=771602874"" ,""HUMAN RESOURCES!$A$2:$M$2692""), {2,3,4,5,6,7,8,9,10,11,12,13},0))"),0.009)</f>
        <v>0.009</v>
      </c>
      <c r="Q1441" s="14"/>
      <c r="R1441" s="14">
        <f>IFERROR(__xludf.DUMMYFUNCTION("""COMPUTED_VALUE"""),82.0)</f>
        <v>82</v>
      </c>
      <c r="S1441" s="14">
        <f>IFERROR(__xludf.DUMMYFUNCTION("""COMPUTED_VALUE"""),77.0)</f>
        <v>77</v>
      </c>
      <c r="T1441" s="14">
        <f>IFERROR(__xludf.DUMMYFUNCTION("""COMPUTED_VALUE"""),0.133)</f>
        <v>0.133</v>
      </c>
      <c r="U1441" s="14">
        <f>IFERROR(__xludf.DUMMYFUNCTION("""COMPUTED_VALUE"""),0.796)</f>
        <v>0.796</v>
      </c>
      <c r="V1441" s="14">
        <f>IFERROR(__xludf.DUMMYFUNCTION("""COMPUTED_VALUE"""),0.071)</f>
        <v>0.071</v>
      </c>
      <c r="W1441" s="14">
        <f>IFERROR(__xludf.DUMMYFUNCTION("""COMPUTED_VALUE"""),521617.0)</f>
        <v>521617</v>
      </c>
      <c r="X1441" s="14">
        <f>IFERROR(__xludf.DUMMYFUNCTION("""COMPUTED_VALUE"""),1.0)</f>
        <v>1</v>
      </c>
      <c r="Y1441" s="14" t="str">
        <f>IFERROR(__xludf.DUMMYFUNCTION("""COMPUTED_VALUE"""),"Macao SAR-Asia")</f>
        <v>Macao SAR-Asia</v>
      </c>
      <c r="Z1441" s="14" t="str">
        <f>IFERROR(__xludf.DUMMYFUNCTION("""COMPUTED_VALUE"""),"Asia")</f>
        <v>Asia</v>
      </c>
      <c r="AA1441" s="14" t="str">
        <f>IFERROR(__xludf.DUMMYFUNCTION("""COMPUTED_VALUE"""),"2009")</f>
        <v>2009</v>
      </c>
      <c r="AB1441" s="15" t="str">
        <f>IFERROR(__xludf.DUMMYFUNCTION("ARRAYFORMULA(VLOOKUP(A1441,IMPORTRANGE(""https://docs.google.com/spreadsheets/d/1BuTWp7qHGjWhqrnf-OmePP568O4A5Am9ttzvVdP67zw/edit#gid=1931367683"" ,""ENERGY!$A$2:$F$2692""), {2,3,4,5,6},0))"),"Asia")</f>
        <v>Asia</v>
      </c>
      <c r="AC1441" s="14" t="str">
        <f>IFERROR(__xludf.DUMMYFUNCTION("""COMPUTED_VALUE"""),"Macao SAR-Asia")</f>
        <v>Macao SAR-Asia</v>
      </c>
      <c r="AD1441" s="14" t="str">
        <f>IFERROR(__xludf.DUMMYFUNCTION("""COMPUTED_VALUE"""),"2010")</f>
        <v>2010</v>
      </c>
      <c r="AE1441" s="14"/>
      <c r="AF1441" s="14">
        <f>IFERROR(__xludf.DUMMYFUNCTION("""COMPUTED_VALUE"""),1536.0)</f>
        <v>1536</v>
      </c>
    </row>
    <row r="1442">
      <c r="A1442" s="12">
        <v>1441.0</v>
      </c>
      <c r="B1442" s="12" t="s">
        <v>189</v>
      </c>
      <c r="C1442" s="5" t="s">
        <v>61</v>
      </c>
      <c r="D1442" s="8"/>
      <c r="E1442" s="8"/>
      <c r="F1442" s="8"/>
      <c r="G1442" s="8"/>
      <c r="H1442" s="11">
        <v>0.552</v>
      </c>
      <c r="I1442" s="11">
        <v>2.099</v>
      </c>
      <c r="J1442" s="9" t="s">
        <v>71</v>
      </c>
      <c r="K1442" s="14" t="str">
        <f>IFERROR(__xludf.DUMMYFUNCTION("ARRAYFORMULA(VLOOKUP(A1442,IMPORTRANGE(""https://docs.google.com/spreadsheets/d/1BuTWp7qHGjWhqrnf-OmePP568O4A5Am9ttzvVdP67zw/edit#gid=1603210130"", ""TOURISM!$A$2:$F$2692""), {2,3,4,5,6},0))"),"Asia")</f>
        <v>Asia</v>
      </c>
      <c r="L1442" s="14">
        <f>IFERROR(__xludf.DUMMYFUNCTION("""COMPUTED_VALUE"""),2.8214E10)</f>
        <v>28214000000</v>
      </c>
      <c r="M1442" s="14" t="str">
        <f>IFERROR(__xludf.DUMMYFUNCTION("""COMPUTED_VALUE"""),"Macao SAR-Asia")</f>
        <v>Macao SAR-Asia</v>
      </c>
      <c r="N1442" s="14" t="str">
        <f>IFERROR(__xludf.DUMMYFUNCTION("""COMPUTED_VALUE"""),"2010")</f>
        <v>2010</v>
      </c>
      <c r="O1442" s="14">
        <f>IFERROR(__xludf.DUMMYFUNCTION("""COMPUTED_VALUE"""),1.237E9)</f>
        <v>1237000000</v>
      </c>
      <c r="P1442" s="15">
        <f>IFERROR(__xludf.DUMMYFUNCTION("ARRAYFORMULA(VLOOKUP(A1442,IMPORTRANGE(""https://docs.google.com/spreadsheets/d/1BuTWp7qHGjWhqrnf-OmePP568O4A5Am9ttzvVdP67zw/edit#gid=771602874"" ,""HUMAN RESOURCES!$A$2:$M$2692""), {2,3,4,5,6,7,8,9,10,11,12,13},0))"),0.009)</f>
        <v>0.009</v>
      </c>
      <c r="Q1442" s="14"/>
      <c r="R1442" s="14">
        <f>IFERROR(__xludf.DUMMYFUNCTION("""COMPUTED_VALUE"""),82.0)</f>
        <v>82</v>
      </c>
      <c r="S1442" s="14">
        <f>IFERROR(__xludf.DUMMYFUNCTION("""COMPUTED_VALUE"""),77.0)</f>
        <v>77</v>
      </c>
      <c r="T1442" s="14">
        <f>IFERROR(__xludf.DUMMYFUNCTION("""COMPUTED_VALUE"""),0.127)</f>
        <v>0.127</v>
      </c>
      <c r="U1442" s="14">
        <f>IFERROR(__xludf.DUMMYFUNCTION("""COMPUTED_VALUE"""),0.801)</f>
        <v>0.801</v>
      </c>
      <c r="V1442" s="14">
        <f>IFERROR(__xludf.DUMMYFUNCTION("""COMPUTED_VALUE"""),0.072)</f>
        <v>0.072</v>
      </c>
      <c r="W1442" s="14">
        <f>IFERROR(__xludf.DUMMYFUNCTION("""COMPUTED_VALUE"""),534626.0)</f>
        <v>534626</v>
      </c>
      <c r="X1442" s="14">
        <f>IFERROR(__xludf.DUMMYFUNCTION("""COMPUTED_VALUE"""),1.0)</f>
        <v>1</v>
      </c>
      <c r="Y1442" s="14" t="str">
        <f>IFERROR(__xludf.DUMMYFUNCTION("""COMPUTED_VALUE"""),"Macao SAR-Asia")</f>
        <v>Macao SAR-Asia</v>
      </c>
      <c r="Z1442" s="14" t="str">
        <f>IFERROR(__xludf.DUMMYFUNCTION("""COMPUTED_VALUE"""),"Asia")</f>
        <v>Asia</v>
      </c>
      <c r="AA1442" s="14" t="str">
        <f>IFERROR(__xludf.DUMMYFUNCTION("""COMPUTED_VALUE"""),"2010")</f>
        <v>2010</v>
      </c>
      <c r="AB1442" s="15" t="str">
        <f>IFERROR(__xludf.DUMMYFUNCTION("ARRAYFORMULA(VLOOKUP(A1442,IMPORTRANGE(""https://docs.google.com/spreadsheets/d/1BuTWp7qHGjWhqrnf-OmePP568O4A5Am9ttzvVdP67zw/edit#gid=1931367683"" ,""ENERGY!$A$2:$F$2692""), {2,3,4,5,6},0))"),"Asia")</f>
        <v>Asia</v>
      </c>
      <c r="AC1442" s="14" t="str">
        <f>IFERROR(__xludf.DUMMYFUNCTION("""COMPUTED_VALUE"""),"Macao SAR-Asia")</f>
        <v>Macao SAR-Asia</v>
      </c>
      <c r="AD1442" s="14" t="str">
        <f>IFERROR(__xludf.DUMMYFUNCTION("""COMPUTED_VALUE"""),"2012")</f>
        <v>2012</v>
      </c>
      <c r="AE1442" s="14"/>
      <c r="AF1442" s="14">
        <f>IFERROR(__xludf.DUMMYFUNCTION("""COMPUTED_VALUE"""),1525.0)</f>
        <v>1525</v>
      </c>
    </row>
    <row r="1443">
      <c r="A1443" s="12">
        <v>1442.0</v>
      </c>
      <c r="B1443" s="12" t="s">
        <v>189</v>
      </c>
      <c r="C1443" s="5" t="s">
        <v>61</v>
      </c>
      <c r="D1443" s="8"/>
      <c r="E1443" s="8"/>
      <c r="F1443" s="8"/>
      <c r="G1443" s="8"/>
      <c r="H1443" s="11">
        <v>0.602</v>
      </c>
      <c r="I1443" s="11">
        <v>2.477</v>
      </c>
      <c r="J1443" s="9" t="s">
        <v>72</v>
      </c>
      <c r="K1443" s="14" t="str">
        <f>IFERROR(__xludf.DUMMYFUNCTION("ARRAYFORMULA(VLOOKUP(A1443,IMPORTRANGE(""https://docs.google.com/spreadsheets/d/1BuTWp7qHGjWhqrnf-OmePP568O4A5Am9ttzvVdP67zw/edit#gid=1603210130"", ""TOURISM!$A$2:$F$2692""), {2,3,4,5,6},0))"),"Asia")</f>
        <v>Asia</v>
      </c>
      <c r="L1443" s="14">
        <f>IFERROR(__xludf.DUMMYFUNCTION("""COMPUTED_VALUE"""),3.8976E10)</f>
        <v>38976000000</v>
      </c>
      <c r="M1443" s="14" t="str">
        <f>IFERROR(__xludf.DUMMYFUNCTION("""COMPUTED_VALUE"""),"Macao SAR-Asia")</f>
        <v>Macao SAR-Asia</v>
      </c>
      <c r="N1443" s="14" t="str">
        <f>IFERROR(__xludf.DUMMYFUNCTION("""COMPUTED_VALUE"""),"2011")</f>
        <v>2011</v>
      </c>
      <c r="O1443" s="14">
        <f>IFERROR(__xludf.DUMMYFUNCTION("""COMPUTED_VALUE"""),1.476E9)</f>
        <v>1476000000</v>
      </c>
      <c r="P1443" s="15">
        <f>IFERROR(__xludf.DUMMYFUNCTION("ARRAYFORMULA(VLOOKUP(A1443,IMPORTRANGE(""https://docs.google.com/spreadsheets/d/1BuTWp7qHGjWhqrnf-OmePP568O4A5Am9ttzvVdP67zw/edit#gid=771602874"" ,""HUMAN RESOURCES!$A$2:$M$2692""), {2,3,4,5,6,7,8,9,10,11,12,13},0))"),0.01)</f>
        <v>0.01</v>
      </c>
      <c r="Q1443" s="14"/>
      <c r="R1443" s="14">
        <f>IFERROR(__xludf.DUMMYFUNCTION("""COMPUTED_VALUE"""),82.0)</f>
        <v>82</v>
      </c>
      <c r="S1443" s="14">
        <f>IFERROR(__xludf.DUMMYFUNCTION("""COMPUTED_VALUE"""),78.0)</f>
        <v>78</v>
      </c>
      <c r="T1443" s="14">
        <f>IFERROR(__xludf.DUMMYFUNCTION("""COMPUTED_VALUE"""),0.124)</f>
        <v>0.124</v>
      </c>
      <c r="U1443" s="14">
        <f>IFERROR(__xludf.DUMMYFUNCTION("""COMPUTED_VALUE"""),0.802)</f>
        <v>0.802</v>
      </c>
      <c r="V1443" s="14">
        <f>IFERROR(__xludf.DUMMYFUNCTION("""COMPUTED_VALUE"""),0.074)</f>
        <v>0.074</v>
      </c>
      <c r="W1443" s="14">
        <f>IFERROR(__xludf.DUMMYFUNCTION("""COMPUTED_VALUE"""),546278.0)</f>
        <v>546278</v>
      </c>
      <c r="X1443" s="14">
        <f>IFERROR(__xludf.DUMMYFUNCTION("""COMPUTED_VALUE"""),1.0)</f>
        <v>1</v>
      </c>
      <c r="Y1443" s="14" t="str">
        <f>IFERROR(__xludf.DUMMYFUNCTION("""COMPUTED_VALUE"""),"Macao SAR-Asia")</f>
        <v>Macao SAR-Asia</v>
      </c>
      <c r="Z1443" s="14" t="str">
        <f>IFERROR(__xludf.DUMMYFUNCTION("""COMPUTED_VALUE"""),"Asia")</f>
        <v>Asia</v>
      </c>
      <c r="AA1443" s="14" t="str">
        <f>IFERROR(__xludf.DUMMYFUNCTION("""COMPUTED_VALUE"""),"2011")</f>
        <v>2011</v>
      </c>
      <c r="AB1443" s="15" t="str">
        <f>IFERROR(__xludf.DUMMYFUNCTION("ARRAYFORMULA(VLOOKUP(A1443,IMPORTRANGE(""https://docs.google.com/spreadsheets/d/1BuTWp7qHGjWhqrnf-OmePP568O4A5Am9ttzvVdP67zw/edit#gid=1931367683"" ,""ENERGY!$A$2:$F$2692""), {2,3,4,5,6},0))"),"Asia")</f>
        <v>Asia</v>
      </c>
      <c r="AC1443" s="14" t="str">
        <f>IFERROR(__xludf.DUMMYFUNCTION("""COMPUTED_VALUE"""),"Macao SAR-Asia")</f>
        <v>Macao SAR-Asia</v>
      </c>
      <c r="AD1443" s="14" t="str">
        <f>IFERROR(__xludf.DUMMYFUNCTION("""COMPUTED_VALUE"""),"2006")</f>
        <v>2006</v>
      </c>
      <c r="AE1443" s="14"/>
      <c r="AF1443" s="14">
        <f>IFERROR(__xludf.DUMMYFUNCTION("""COMPUTED_VALUE"""),1687.0)</f>
        <v>1687</v>
      </c>
    </row>
    <row r="1444">
      <c r="A1444" s="12">
        <v>1443.0</v>
      </c>
      <c r="B1444" s="12" t="s">
        <v>189</v>
      </c>
      <c r="C1444" s="5" t="s">
        <v>61</v>
      </c>
      <c r="D1444" s="8"/>
      <c r="E1444" s="8"/>
      <c r="F1444" s="8"/>
      <c r="G1444" s="8"/>
      <c r="H1444" s="11">
        <v>0.613</v>
      </c>
      <c r="I1444" s="11">
        <v>2.898</v>
      </c>
      <c r="J1444" s="9" t="s">
        <v>73</v>
      </c>
      <c r="K1444" s="14" t="str">
        <f>IFERROR(__xludf.DUMMYFUNCTION("ARRAYFORMULA(VLOOKUP(A1444,IMPORTRANGE(""https://docs.google.com/spreadsheets/d/1BuTWp7qHGjWhqrnf-OmePP568O4A5Am9ttzvVdP67zw/edit#gid=1603210130"", ""TOURISM!$A$2:$F$2692""), {2,3,4,5,6},0))"),"Asia")</f>
        <v>Asia</v>
      </c>
      <c r="L1444" s="14">
        <f>IFERROR(__xludf.DUMMYFUNCTION("""COMPUTED_VALUE"""),4.4455E10)</f>
        <v>44455000000</v>
      </c>
      <c r="M1444" s="14" t="str">
        <f>IFERROR(__xludf.DUMMYFUNCTION("""COMPUTED_VALUE"""),"Macao SAR-Asia")</f>
        <v>Macao SAR-Asia</v>
      </c>
      <c r="N1444" s="14" t="str">
        <f>IFERROR(__xludf.DUMMYFUNCTION("""COMPUTED_VALUE"""),"2012")</f>
        <v>2012</v>
      </c>
      <c r="O1444" s="14">
        <f>IFERROR(__xludf.DUMMYFUNCTION("""COMPUTED_VALUE"""),1.711E9)</f>
        <v>1711000000</v>
      </c>
      <c r="P1444" s="15">
        <f>IFERROR(__xludf.DUMMYFUNCTION("ARRAYFORMULA(VLOOKUP(A1444,IMPORTRANGE(""https://docs.google.com/spreadsheets/d/1BuTWp7qHGjWhqrnf-OmePP568O4A5Am9ttzvVdP67zw/edit#gid=771602874"" ,""HUMAN RESOURCES!$A$2:$M$2692""), {2,3,4,5,6,7,8,9,10,11,12,13},0))"),0.01)</f>
        <v>0.01</v>
      </c>
      <c r="Q1444" s="14"/>
      <c r="R1444" s="14">
        <f>IFERROR(__xludf.DUMMYFUNCTION("""COMPUTED_VALUE"""),82.0)</f>
        <v>82</v>
      </c>
      <c r="S1444" s="14">
        <f>IFERROR(__xludf.DUMMYFUNCTION("""COMPUTED_VALUE"""),78.0)</f>
        <v>78</v>
      </c>
      <c r="T1444" s="14">
        <f>IFERROR(__xludf.DUMMYFUNCTION("""COMPUTED_VALUE"""),0.122)</f>
        <v>0.122</v>
      </c>
      <c r="U1444" s="14">
        <f>IFERROR(__xludf.DUMMYFUNCTION("""COMPUTED_VALUE"""),0.8)</f>
        <v>0.8</v>
      </c>
      <c r="V1444" s="14">
        <f>IFERROR(__xludf.DUMMYFUNCTION("""COMPUTED_VALUE"""),0.077)</f>
        <v>0.077</v>
      </c>
      <c r="W1444" s="14">
        <f>IFERROR(__xludf.DUMMYFUNCTION("""COMPUTED_VALUE"""),556783.0)</f>
        <v>556783</v>
      </c>
      <c r="X1444" s="14">
        <f>IFERROR(__xludf.DUMMYFUNCTION("""COMPUTED_VALUE"""),1.0)</f>
        <v>1</v>
      </c>
      <c r="Y1444" s="14" t="str">
        <f>IFERROR(__xludf.DUMMYFUNCTION("""COMPUTED_VALUE"""),"Macao SAR-Asia")</f>
        <v>Macao SAR-Asia</v>
      </c>
      <c r="Z1444" s="14" t="str">
        <f>IFERROR(__xludf.DUMMYFUNCTION("""COMPUTED_VALUE"""),"Asia")</f>
        <v>Asia</v>
      </c>
      <c r="AA1444" s="14" t="str">
        <f>IFERROR(__xludf.DUMMYFUNCTION("""COMPUTED_VALUE"""),"2012")</f>
        <v>2012</v>
      </c>
      <c r="AB1444" s="15" t="str">
        <f>IFERROR(__xludf.DUMMYFUNCTION("ARRAYFORMULA(VLOOKUP(A1444,IMPORTRANGE(""https://docs.google.com/spreadsheets/d/1BuTWp7qHGjWhqrnf-OmePP568O4A5Am9ttzvVdP67zw/edit#gid=1931367683"" ,""ENERGY!$A$2:$F$2692""), {2,3,4,5,6},0))"),"Asia")</f>
        <v>Asia</v>
      </c>
      <c r="AC1444" s="14" t="str">
        <f>IFERROR(__xludf.DUMMYFUNCTION("""COMPUTED_VALUE"""),"Macao SAR-Asia")</f>
        <v>Macao SAR-Asia</v>
      </c>
      <c r="AD1444" s="14" t="str">
        <f>IFERROR(__xludf.DUMMYFUNCTION("""COMPUTED_VALUE"""),"2010")</f>
        <v>2010</v>
      </c>
      <c r="AE1444" s="14"/>
      <c r="AF1444" s="14">
        <f>IFERROR(__xludf.DUMMYFUNCTION("""COMPUTED_VALUE"""),1635.0)</f>
        <v>1635</v>
      </c>
    </row>
    <row r="1445">
      <c r="A1445" s="12">
        <v>1444.0</v>
      </c>
      <c r="B1445" s="12" t="s">
        <v>190</v>
      </c>
      <c r="C1445" s="5" t="s">
        <v>77</v>
      </c>
      <c r="D1445" s="8"/>
      <c r="E1445" s="8"/>
      <c r="F1445" s="8"/>
      <c r="G1445" s="8"/>
      <c r="H1445" s="11">
        <v>0.002</v>
      </c>
      <c r="I1445" s="11">
        <v>0.004</v>
      </c>
      <c r="J1445" s="9" t="s">
        <v>60</v>
      </c>
      <c r="K1445" s="14" t="str">
        <f>IFERROR(__xludf.DUMMYFUNCTION("ARRAYFORMULA(VLOOKUP(A1445,IMPORTRANGE(""https://docs.google.com/spreadsheets/d/1BuTWp7qHGjWhqrnf-OmePP568O4A5Am9ttzvVdP67zw/edit#gid=1603210130"", ""TOURISM!$A$2:$F$2692""), {2,3,4,5,6},0))"),"Africa")</f>
        <v>Africa</v>
      </c>
      <c r="L1445" s="14">
        <f>IFERROR(__xludf.DUMMYFUNCTION("""COMPUTED_VALUE"""),1.52E8)</f>
        <v>152000000</v>
      </c>
      <c r="M1445" s="14" t="str">
        <f>IFERROR(__xludf.DUMMYFUNCTION("""COMPUTED_VALUE"""),"Madagascar-Africa")</f>
        <v>Madagascar-Africa</v>
      </c>
      <c r="N1445" s="14" t="str">
        <f>IFERROR(__xludf.DUMMYFUNCTION("""COMPUTED_VALUE"""),"2000")</f>
        <v>2000</v>
      </c>
      <c r="O1445" s="14">
        <f>IFERROR(__xludf.DUMMYFUNCTION("""COMPUTED_VALUE"""),1.39E8)</f>
        <v>139000000</v>
      </c>
      <c r="P1445" s="15">
        <f>IFERROR(__xludf.DUMMYFUNCTION("ARRAYFORMULA(VLOOKUP(A1445,IMPORTRANGE(""https://docs.google.com/spreadsheets/d/1BuTWp7qHGjWhqrnf-OmePP568O4A5Am9ttzvVdP67zw/edit#gid=771602874"" ,""HUMAN RESOURCES!$A$2:$M$2692""), {2,3,4,5,6,7,8,9,10,11,12,13},0))"),0.041)</f>
        <v>0.041</v>
      </c>
      <c r="Q1445" s="14">
        <f>IFERROR(__xludf.DUMMYFUNCTION("""COMPUTED_VALUE"""),0.071)</f>
        <v>0.071</v>
      </c>
      <c r="R1445" s="14">
        <f>IFERROR(__xludf.DUMMYFUNCTION("""COMPUTED_VALUE"""),60.0)</f>
        <v>60</v>
      </c>
      <c r="S1445" s="14">
        <f>IFERROR(__xludf.DUMMYFUNCTION("""COMPUTED_VALUE"""),57.0)</f>
        <v>57</v>
      </c>
      <c r="T1445" s="14">
        <f>IFERROR(__xludf.DUMMYFUNCTION("""COMPUTED_VALUE"""),0.455)</f>
        <v>0.455</v>
      </c>
      <c r="U1445" s="14">
        <f>IFERROR(__xludf.DUMMYFUNCTION("""COMPUTED_VALUE"""),0.515)</f>
        <v>0.515</v>
      </c>
      <c r="V1445" s="14">
        <f>IFERROR(__xludf.DUMMYFUNCTION("""COMPUTED_VALUE"""),0.03)</f>
        <v>0.03</v>
      </c>
      <c r="W1445" s="14">
        <f>IFERROR(__xludf.DUMMYFUNCTION("""COMPUTED_VALUE"""),1.5744811E7)</f>
        <v>15744811</v>
      </c>
      <c r="X1445" s="14">
        <f>IFERROR(__xludf.DUMMYFUNCTION("""COMPUTED_VALUE"""),0.271)</f>
        <v>0.271</v>
      </c>
      <c r="Y1445" s="14" t="str">
        <f>IFERROR(__xludf.DUMMYFUNCTION("""COMPUTED_VALUE"""),"Madagascar-Africa")</f>
        <v>Madagascar-Africa</v>
      </c>
      <c r="Z1445" s="14" t="str">
        <f>IFERROR(__xludf.DUMMYFUNCTION("""COMPUTED_VALUE"""),"Africa")</f>
        <v>Africa</v>
      </c>
      <c r="AA1445" s="14" t="str">
        <f>IFERROR(__xludf.DUMMYFUNCTION("""COMPUTED_VALUE"""),"2000")</f>
        <v>2000</v>
      </c>
      <c r="AB1445" s="15" t="str">
        <f>IFERROR(__xludf.DUMMYFUNCTION("ARRAYFORMULA(VLOOKUP(A1445,IMPORTRANGE(""https://docs.google.com/spreadsheets/d/1BuTWp7qHGjWhqrnf-OmePP568O4A5Am9ttzvVdP67zw/edit#gid=1931367683"" ,""ENERGY!$A$2:$F$2692""), {2,3,4,5,6},0))"),"Africa")</f>
        <v>Africa</v>
      </c>
      <c r="AC1445" s="14" t="str">
        <f>IFERROR(__xludf.DUMMYFUNCTION("""COMPUTED_VALUE"""),"Madagascar-Africa")</f>
        <v>Madagascar-Africa</v>
      </c>
      <c r="AD1445" s="14" t="str">
        <f>IFERROR(__xludf.DUMMYFUNCTION("""COMPUTED_VALUE"""),"2000")</f>
        <v>2000</v>
      </c>
      <c r="AE1445" s="14"/>
      <c r="AF1445" s="14"/>
    </row>
    <row r="1446">
      <c r="A1446" s="12">
        <v>1445.0</v>
      </c>
      <c r="B1446" s="12" t="s">
        <v>190</v>
      </c>
      <c r="C1446" s="5" t="s">
        <v>77</v>
      </c>
      <c r="D1446" s="8"/>
      <c r="E1446" s="8"/>
      <c r="F1446" s="8"/>
      <c r="G1446" s="8"/>
      <c r="H1446" s="11">
        <v>0.002</v>
      </c>
      <c r="I1446" s="11">
        <v>0.009</v>
      </c>
      <c r="J1446" s="9" t="s">
        <v>62</v>
      </c>
      <c r="K1446" s="14" t="str">
        <f>IFERROR(__xludf.DUMMYFUNCTION("ARRAYFORMULA(VLOOKUP(A1446,IMPORTRANGE(""https://docs.google.com/spreadsheets/d/1BuTWp7qHGjWhqrnf-OmePP568O4A5Am9ttzvVdP67zw/edit#gid=1603210130"", ""TOURISM!$A$2:$F$2692""), {2,3,4,5,6},0))"),"Africa")</f>
        <v>Africa</v>
      </c>
      <c r="L1446" s="14">
        <f>IFERROR(__xludf.DUMMYFUNCTION("""COMPUTED_VALUE"""),1.49E8)</f>
        <v>149000000</v>
      </c>
      <c r="M1446" s="14" t="str">
        <f>IFERROR(__xludf.DUMMYFUNCTION("""COMPUTED_VALUE"""),"Madagascar-Africa")</f>
        <v>Madagascar-Africa</v>
      </c>
      <c r="N1446" s="14" t="str">
        <f>IFERROR(__xludf.DUMMYFUNCTION("""COMPUTED_VALUE"""),"2001")</f>
        <v>2001</v>
      </c>
      <c r="O1446" s="14">
        <f>IFERROR(__xludf.DUMMYFUNCTION("""COMPUTED_VALUE"""),1.79E8)</f>
        <v>179000000</v>
      </c>
      <c r="P1446" s="15">
        <f>IFERROR(__xludf.DUMMYFUNCTION("ARRAYFORMULA(VLOOKUP(A1446,IMPORTRANGE(""https://docs.google.com/spreadsheets/d/1BuTWp7qHGjWhqrnf-OmePP568O4A5Am9ttzvVdP67zw/edit#gid=771602874"" ,""HUMAN RESOURCES!$A$2:$M$2692""), {2,3,4,5,6,7,8,9,10,11,12,13},0))"),0.04)</f>
        <v>0.04</v>
      </c>
      <c r="Q1446" s="14">
        <f>IFERROR(__xludf.DUMMYFUNCTION("""COMPUTED_VALUE"""),0.067)</f>
        <v>0.067</v>
      </c>
      <c r="R1446" s="14">
        <f>IFERROR(__xludf.DUMMYFUNCTION("""COMPUTED_VALUE"""),60.0)</f>
        <v>60</v>
      </c>
      <c r="S1446" s="14">
        <f>IFERROR(__xludf.DUMMYFUNCTION("""COMPUTED_VALUE"""),58.0)</f>
        <v>58</v>
      </c>
      <c r="T1446" s="14">
        <f>IFERROR(__xludf.DUMMYFUNCTION("""COMPUTED_VALUE"""),0.455)</f>
        <v>0.455</v>
      </c>
      <c r="U1446" s="14">
        <f>IFERROR(__xludf.DUMMYFUNCTION("""COMPUTED_VALUE"""),0.516)</f>
        <v>0.516</v>
      </c>
      <c r="V1446" s="14">
        <f>IFERROR(__xludf.DUMMYFUNCTION("""COMPUTED_VALUE"""),0.03)</f>
        <v>0.03</v>
      </c>
      <c r="W1446" s="14">
        <f>IFERROR(__xludf.DUMMYFUNCTION("""COMPUTED_VALUE"""),1.6235767E7)</f>
        <v>16235767</v>
      </c>
      <c r="X1446" s="14">
        <f>IFERROR(__xludf.DUMMYFUNCTION("""COMPUTED_VALUE"""),0.274)</f>
        <v>0.274</v>
      </c>
      <c r="Y1446" s="14" t="str">
        <f>IFERROR(__xludf.DUMMYFUNCTION("""COMPUTED_VALUE"""),"Madagascar-Africa")</f>
        <v>Madagascar-Africa</v>
      </c>
      <c r="Z1446" s="14" t="str">
        <f>IFERROR(__xludf.DUMMYFUNCTION("""COMPUTED_VALUE"""),"Africa")</f>
        <v>Africa</v>
      </c>
      <c r="AA1446" s="14" t="str">
        <f>IFERROR(__xludf.DUMMYFUNCTION("""COMPUTED_VALUE"""),"2001")</f>
        <v>2001</v>
      </c>
      <c r="AB1446" s="15" t="str">
        <f>IFERROR(__xludf.DUMMYFUNCTION("ARRAYFORMULA(VLOOKUP(A1446,IMPORTRANGE(""https://docs.google.com/spreadsheets/d/1BuTWp7qHGjWhqrnf-OmePP568O4A5Am9ttzvVdP67zw/edit#gid=1931367683"" ,""ENERGY!$A$2:$F$2692""), {2,3,4,5,6},0))"),"Africa")</f>
        <v>Africa</v>
      </c>
      <c r="AC1446" s="14" t="str">
        <f>IFERROR(__xludf.DUMMYFUNCTION("""COMPUTED_VALUE"""),"Madagascar-Africa")</f>
        <v>Madagascar-Africa</v>
      </c>
      <c r="AD1446" s="14" t="str">
        <f>IFERROR(__xludf.DUMMYFUNCTION("""COMPUTED_VALUE"""),"2001")</f>
        <v>2001</v>
      </c>
      <c r="AE1446" s="14"/>
      <c r="AF1446" s="14"/>
    </row>
    <row r="1447">
      <c r="A1447" s="12">
        <v>1446.0</v>
      </c>
      <c r="B1447" s="12" t="s">
        <v>190</v>
      </c>
      <c r="C1447" s="5" t="s">
        <v>77</v>
      </c>
      <c r="D1447" s="8"/>
      <c r="E1447" s="8"/>
      <c r="F1447" s="8"/>
      <c r="G1447" s="8"/>
      <c r="H1447" s="11">
        <v>0.003</v>
      </c>
      <c r="I1447" s="11">
        <v>0.01</v>
      </c>
      <c r="J1447" s="9" t="s">
        <v>63</v>
      </c>
      <c r="K1447" s="14" t="str">
        <f>IFERROR(__xludf.DUMMYFUNCTION("ARRAYFORMULA(VLOOKUP(A1447,IMPORTRANGE(""https://docs.google.com/spreadsheets/d/1BuTWp7qHGjWhqrnf-OmePP568O4A5Am9ttzvVdP67zw/edit#gid=1603210130"", ""TOURISM!$A$2:$F$2692""), {2,3,4,5,6},0))"),"Africa")</f>
        <v>Africa</v>
      </c>
      <c r="L1447" s="14">
        <f>IFERROR(__xludf.DUMMYFUNCTION("""COMPUTED_VALUE"""),1.09E8)</f>
        <v>109000000</v>
      </c>
      <c r="M1447" s="14" t="str">
        <f>IFERROR(__xludf.DUMMYFUNCTION("""COMPUTED_VALUE"""),"Madagascar-Africa")</f>
        <v>Madagascar-Africa</v>
      </c>
      <c r="N1447" s="14" t="str">
        <f>IFERROR(__xludf.DUMMYFUNCTION("""COMPUTED_VALUE"""),"2002")</f>
        <v>2002</v>
      </c>
      <c r="O1447" s="14">
        <f>IFERROR(__xludf.DUMMYFUNCTION("""COMPUTED_VALUE"""),1.92E8)</f>
        <v>192000000</v>
      </c>
      <c r="P1447" s="15">
        <f>IFERROR(__xludf.DUMMYFUNCTION("ARRAYFORMULA(VLOOKUP(A1447,IMPORTRANGE(""https://docs.google.com/spreadsheets/d/1BuTWp7qHGjWhqrnf-OmePP568O4A5Am9ttzvVdP67zw/edit#gid=771602874"" ,""HUMAN RESOURCES!$A$2:$M$2692""), {2,3,4,5,6,7,8,9,10,11,12,13},0))"),0.04)</f>
        <v>0.04</v>
      </c>
      <c r="Q1447" s="14">
        <f>IFERROR(__xludf.DUMMYFUNCTION("""COMPUTED_VALUE"""),0.064)</f>
        <v>0.064</v>
      </c>
      <c r="R1447" s="14">
        <f>IFERROR(__xludf.DUMMYFUNCTION("""COMPUTED_VALUE"""),61.0)</f>
        <v>61</v>
      </c>
      <c r="S1447" s="14">
        <f>IFERROR(__xludf.DUMMYFUNCTION("""COMPUTED_VALUE"""),59.0)</f>
        <v>59</v>
      </c>
      <c r="T1447" s="14">
        <f>IFERROR(__xludf.DUMMYFUNCTION("""COMPUTED_VALUE"""),0.454)</f>
        <v>0.454</v>
      </c>
      <c r="U1447" s="14">
        <f>IFERROR(__xludf.DUMMYFUNCTION("""COMPUTED_VALUE"""),0.517)</f>
        <v>0.517</v>
      </c>
      <c r="V1447" s="14">
        <f>IFERROR(__xludf.DUMMYFUNCTION("""COMPUTED_VALUE"""),0.03)</f>
        <v>0.03</v>
      </c>
      <c r="W1447" s="14">
        <f>IFERROR(__xludf.DUMMYFUNCTION("""COMPUTED_VALUE"""),1.6736029E7)</f>
        <v>16736029</v>
      </c>
      <c r="X1447" s="14">
        <f>IFERROR(__xludf.DUMMYFUNCTION("""COMPUTED_VALUE"""),0.277)</f>
        <v>0.277</v>
      </c>
      <c r="Y1447" s="14" t="str">
        <f>IFERROR(__xludf.DUMMYFUNCTION("""COMPUTED_VALUE"""),"Madagascar-Africa")</f>
        <v>Madagascar-Africa</v>
      </c>
      <c r="Z1447" s="14" t="str">
        <f>IFERROR(__xludf.DUMMYFUNCTION("""COMPUTED_VALUE"""),"Africa")</f>
        <v>Africa</v>
      </c>
      <c r="AA1447" s="14" t="str">
        <f>IFERROR(__xludf.DUMMYFUNCTION("""COMPUTED_VALUE"""),"2002")</f>
        <v>2002</v>
      </c>
      <c r="AB1447" s="15" t="str">
        <f>IFERROR(__xludf.DUMMYFUNCTION("ARRAYFORMULA(VLOOKUP(A1447,IMPORTRANGE(""https://docs.google.com/spreadsheets/d/1BuTWp7qHGjWhqrnf-OmePP568O4A5Am9ttzvVdP67zw/edit#gid=1931367683"" ,""ENERGY!$A$2:$F$2692""), {2,3,4,5,6},0))"),"Africa")</f>
        <v>Africa</v>
      </c>
      <c r="AC1447" s="14" t="str">
        <f>IFERROR(__xludf.DUMMYFUNCTION("""COMPUTED_VALUE"""),"Madagascar-Africa")</f>
        <v>Madagascar-Africa</v>
      </c>
      <c r="AD1447" s="14" t="str">
        <f>IFERROR(__xludf.DUMMYFUNCTION("""COMPUTED_VALUE"""),"2002")</f>
        <v>2002</v>
      </c>
      <c r="AE1447" s="14"/>
      <c r="AF1447" s="14">
        <f>IFERROR(__xludf.DUMMYFUNCTION("""COMPUTED_VALUE"""),2013.0)</f>
        <v>2013</v>
      </c>
    </row>
    <row r="1448">
      <c r="A1448" s="12">
        <v>1447.0</v>
      </c>
      <c r="B1448" s="12" t="s">
        <v>190</v>
      </c>
      <c r="C1448" s="5" t="s">
        <v>77</v>
      </c>
      <c r="D1448" s="8"/>
      <c r="E1448" s="11">
        <v>67.0</v>
      </c>
      <c r="F1448" s="8"/>
      <c r="G1448" s="8"/>
      <c r="H1448" s="11">
        <v>0.004</v>
      </c>
      <c r="I1448" s="11">
        <v>0.016</v>
      </c>
      <c r="J1448" s="9" t="s">
        <v>64</v>
      </c>
      <c r="K1448" s="14" t="str">
        <f>IFERROR(__xludf.DUMMYFUNCTION("ARRAYFORMULA(VLOOKUP(A1448,IMPORTRANGE(""https://docs.google.com/spreadsheets/d/1BuTWp7qHGjWhqrnf-OmePP568O4A5Am9ttzvVdP67zw/edit#gid=1603210130"", ""TOURISM!$A$2:$F$2692""), {2,3,4,5,6},0))"),"Africa")</f>
        <v>Africa</v>
      </c>
      <c r="L1448" s="14">
        <f>IFERROR(__xludf.DUMMYFUNCTION("""COMPUTED_VALUE"""),1.19E8)</f>
        <v>119000000</v>
      </c>
      <c r="M1448" s="14" t="str">
        <f>IFERROR(__xludf.DUMMYFUNCTION("""COMPUTED_VALUE"""),"Madagascar-Africa")</f>
        <v>Madagascar-Africa</v>
      </c>
      <c r="N1448" s="14" t="str">
        <f>IFERROR(__xludf.DUMMYFUNCTION("""COMPUTED_VALUE"""),"2003")</f>
        <v>2003</v>
      </c>
      <c r="O1448" s="14">
        <f>IFERROR(__xludf.DUMMYFUNCTION("""COMPUTED_VALUE"""),6.7E7)</f>
        <v>67000000</v>
      </c>
      <c r="P1448" s="15">
        <f>IFERROR(__xludf.DUMMYFUNCTION("ARRAYFORMULA(VLOOKUP(A1448,IMPORTRANGE(""https://docs.google.com/spreadsheets/d/1BuTWp7qHGjWhqrnf-OmePP568O4A5Am9ttzvVdP67zw/edit#gid=771602874"" ,""HUMAN RESOURCES!$A$2:$M$2692""), {2,3,4,5,6,7,8,9,10,11,12,13},0))"),0.039)</f>
        <v>0.039</v>
      </c>
      <c r="Q1448" s="14">
        <f>IFERROR(__xludf.DUMMYFUNCTION("""COMPUTED_VALUE"""),0.061)</f>
        <v>0.061</v>
      </c>
      <c r="R1448" s="14">
        <f>IFERROR(__xludf.DUMMYFUNCTION("""COMPUTED_VALUE"""),62.0)</f>
        <v>62</v>
      </c>
      <c r="S1448" s="14">
        <f>IFERROR(__xludf.DUMMYFUNCTION("""COMPUTED_VALUE"""),59.0)</f>
        <v>59</v>
      </c>
      <c r="T1448" s="14">
        <f>IFERROR(__xludf.DUMMYFUNCTION("""COMPUTED_VALUE"""),0.452)</f>
        <v>0.452</v>
      </c>
      <c r="U1448" s="14">
        <f>IFERROR(__xludf.DUMMYFUNCTION("""COMPUTED_VALUE"""),0.518)</f>
        <v>0.518</v>
      </c>
      <c r="V1448" s="14">
        <f>IFERROR(__xludf.DUMMYFUNCTION("""COMPUTED_VALUE"""),0.029)</f>
        <v>0.029</v>
      </c>
      <c r="W1448" s="14">
        <f>IFERROR(__xludf.DUMMYFUNCTION("""COMPUTED_VALUE"""),1.7245275E7)</f>
        <v>17245275</v>
      </c>
      <c r="X1448" s="14">
        <f>IFERROR(__xludf.DUMMYFUNCTION("""COMPUTED_VALUE"""),0.279)</f>
        <v>0.279</v>
      </c>
      <c r="Y1448" s="14" t="str">
        <f>IFERROR(__xludf.DUMMYFUNCTION("""COMPUTED_VALUE"""),"Madagascar-Africa")</f>
        <v>Madagascar-Africa</v>
      </c>
      <c r="Z1448" s="14" t="str">
        <f>IFERROR(__xludf.DUMMYFUNCTION("""COMPUTED_VALUE"""),"Africa")</f>
        <v>Africa</v>
      </c>
      <c r="AA1448" s="14" t="str">
        <f>IFERROR(__xludf.DUMMYFUNCTION("""COMPUTED_VALUE"""),"2003")</f>
        <v>2003</v>
      </c>
      <c r="AB1448" s="15" t="str">
        <f>IFERROR(__xludf.DUMMYFUNCTION("ARRAYFORMULA(VLOOKUP(A1448,IMPORTRANGE(""https://docs.google.com/spreadsheets/d/1BuTWp7qHGjWhqrnf-OmePP568O4A5Am9ttzvVdP67zw/edit#gid=1931367683"" ,""ENERGY!$A$2:$F$2692""), {2,3,4,5,6},0))"),"Africa")</f>
        <v>Africa</v>
      </c>
      <c r="AC1448" s="14" t="str">
        <f>IFERROR(__xludf.DUMMYFUNCTION("""COMPUTED_VALUE"""),"Madagascar-Africa")</f>
        <v>Madagascar-Africa</v>
      </c>
      <c r="AD1448" s="14" t="str">
        <f>IFERROR(__xludf.DUMMYFUNCTION("""COMPUTED_VALUE"""),"2003")</f>
        <v>2003</v>
      </c>
      <c r="AE1448" s="14"/>
      <c r="AF1448" s="14">
        <f>IFERROR(__xludf.DUMMYFUNCTION("""COMPUTED_VALUE"""),1822.0)</f>
        <v>1822</v>
      </c>
    </row>
    <row r="1449">
      <c r="A1449" s="12">
        <v>1448.0</v>
      </c>
      <c r="B1449" s="12" t="s">
        <v>190</v>
      </c>
      <c r="C1449" s="5" t="s">
        <v>77</v>
      </c>
      <c r="D1449" s="8"/>
      <c r="E1449" s="11">
        <v>44.0</v>
      </c>
      <c r="F1449" s="8"/>
      <c r="G1449" s="8"/>
      <c r="H1449" s="11">
        <v>0.005</v>
      </c>
      <c r="I1449" s="11">
        <v>0.019</v>
      </c>
      <c r="J1449" s="9" t="s">
        <v>65</v>
      </c>
      <c r="K1449" s="14" t="str">
        <f>IFERROR(__xludf.DUMMYFUNCTION("ARRAYFORMULA(VLOOKUP(A1449,IMPORTRANGE(""https://docs.google.com/spreadsheets/d/1BuTWp7qHGjWhqrnf-OmePP568O4A5Am9ttzvVdP67zw/edit#gid=1603210130"", ""TOURISM!$A$2:$F$2692""), {2,3,4,5,6},0))"),"Africa")</f>
        <v>Africa</v>
      </c>
      <c r="L1449" s="14">
        <f>IFERROR(__xludf.DUMMYFUNCTION("""COMPUTED_VALUE"""),2.39E8)</f>
        <v>239000000</v>
      </c>
      <c r="M1449" s="14" t="str">
        <f>IFERROR(__xludf.DUMMYFUNCTION("""COMPUTED_VALUE"""),"Madagascar-Africa")</f>
        <v>Madagascar-Africa</v>
      </c>
      <c r="N1449" s="14" t="str">
        <f>IFERROR(__xludf.DUMMYFUNCTION("""COMPUTED_VALUE"""),"2004")</f>
        <v>2004</v>
      </c>
      <c r="O1449" s="14">
        <f>IFERROR(__xludf.DUMMYFUNCTION("""COMPUTED_VALUE"""),1.08E8)</f>
        <v>108000000</v>
      </c>
      <c r="P1449" s="15">
        <f>IFERROR(__xludf.DUMMYFUNCTION("ARRAYFORMULA(VLOOKUP(A1449,IMPORTRANGE(""https://docs.google.com/spreadsheets/d/1BuTWp7qHGjWhqrnf-OmePP568O4A5Am9ttzvVdP67zw/edit#gid=771602874"" ,""HUMAN RESOURCES!$A$2:$M$2692""), {2,3,4,5,6,7,8,9,10,11,12,13},0))"),0.038)</f>
        <v>0.038</v>
      </c>
      <c r="Q1449" s="14">
        <f>IFERROR(__xludf.DUMMYFUNCTION("""COMPUTED_VALUE"""),0.058)</f>
        <v>0.058</v>
      </c>
      <c r="R1449" s="14">
        <f>IFERROR(__xludf.DUMMYFUNCTION("""COMPUTED_VALUE"""),62.0)</f>
        <v>62</v>
      </c>
      <c r="S1449" s="14">
        <f>IFERROR(__xludf.DUMMYFUNCTION("""COMPUTED_VALUE"""),59.0)</f>
        <v>59</v>
      </c>
      <c r="T1449" s="14">
        <f>IFERROR(__xludf.DUMMYFUNCTION("""COMPUTED_VALUE"""),0.45)</f>
        <v>0.45</v>
      </c>
      <c r="U1449" s="14">
        <f>IFERROR(__xludf.DUMMYFUNCTION("""COMPUTED_VALUE"""),0.52)</f>
        <v>0.52</v>
      </c>
      <c r="V1449" s="14">
        <f>IFERROR(__xludf.DUMMYFUNCTION("""COMPUTED_VALUE"""),0.029)</f>
        <v>0.029</v>
      </c>
      <c r="W1449" s="14">
        <f>IFERROR(__xludf.DUMMYFUNCTION("""COMPUTED_VALUE"""),1.7763367E7)</f>
        <v>17763367</v>
      </c>
      <c r="X1449" s="14">
        <f>IFERROR(__xludf.DUMMYFUNCTION("""COMPUTED_VALUE"""),0.282)</f>
        <v>0.282</v>
      </c>
      <c r="Y1449" s="14" t="str">
        <f>IFERROR(__xludf.DUMMYFUNCTION("""COMPUTED_VALUE"""),"Madagascar-Africa")</f>
        <v>Madagascar-Africa</v>
      </c>
      <c r="Z1449" s="14" t="str">
        <f>IFERROR(__xludf.DUMMYFUNCTION("""COMPUTED_VALUE"""),"Africa")</f>
        <v>Africa</v>
      </c>
      <c r="AA1449" s="14" t="str">
        <f>IFERROR(__xludf.DUMMYFUNCTION("""COMPUTED_VALUE"""),"2004")</f>
        <v>2004</v>
      </c>
      <c r="AB1449" s="15" t="str">
        <f>IFERROR(__xludf.DUMMYFUNCTION("ARRAYFORMULA(VLOOKUP(A1449,IMPORTRANGE(""https://docs.google.com/spreadsheets/d/1BuTWp7qHGjWhqrnf-OmePP568O4A5Am9ttzvVdP67zw/edit#gid=1931367683"" ,""ENERGY!$A$2:$F$2692""), {2,3,4,5,6},0))"),"Africa")</f>
        <v>Africa</v>
      </c>
      <c r="AC1449" s="14" t="str">
        <f>IFERROR(__xludf.DUMMYFUNCTION("""COMPUTED_VALUE"""),"Madagascar-Africa")</f>
        <v>Madagascar-Africa</v>
      </c>
      <c r="AD1449" s="14" t="str">
        <f>IFERROR(__xludf.DUMMYFUNCTION("""COMPUTED_VALUE"""),"2004")</f>
        <v>2004</v>
      </c>
      <c r="AE1449" s="14"/>
      <c r="AF1449" s="14">
        <f>IFERROR(__xludf.DUMMYFUNCTION("""COMPUTED_VALUE"""),1944.0)</f>
        <v>1944</v>
      </c>
    </row>
    <row r="1450">
      <c r="A1450" s="12">
        <v>1449.0</v>
      </c>
      <c r="B1450" s="12" t="s">
        <v>190</v>
      </c>
      <c r="C1450" s="5" t="s">
        <v>77</v>
      </c>
      <c r="D1450" s="11">
        <v>0.469</v>
      </c>
      <c r="E1450" s="11">
        <v>38.0</v>
      </c>
      <c r="F1450" s="8"/>
      <c r="G1450" s="11">
        <v>400.0</v>
      </c>
      <c r="H1450" s="11">
        <v>0.006</v>
      </c>
      <c r="I1450" s="11">
        <v>0.028</v>
      </c>
      <c r="J1450" s="9" t="s">
        <v>66</v>
      </c>
      <c r="K1450" s="14" t="str">
        <f>IFERROR(__xludf.DUMMYFUNCTION("ARRAYFORMULA(VLOOKUP(A1450,IMPORTRANGE(""https://docs.google.com/spreadsheets/d/1BuTWp7qHGjWhqrnf-OmePP568O4A5Am9ttzvVdP67zw/edit#gid=1603210130"", ""TOURISM!$A$2:$F$2692""), {2,3,4,5,6},0))"),"Africa")</f>
        <v>Africa</v>
      </c>
      <c r="L1450" s="14">
        <f>IFERROR(__xludf.DUMMYFUNCTION("""COMPUTED_VALUE"""),2.9E8)</f>
        <v>290000000</v>
      </c>
      <c r="M1450" s="14" t="str">
        <f>IFERROR(__xludf.DUMMYFUNCTION("""COMPUTED_VALUE"""),"Madagascar-Africa")</f>
        <v>Madagascar-Africa</v>
      </c>
      <c r="N1450" s="14" t="str">
        <f>IFERROR(__xludf.DUMMYFUNCTION("""COMPUTED_VALUE"""),"2005")</f>
        <v>2005</v>
      </c>
      <c r="O1450" s="14">
        <f>IFERROR(__xludf.DUMMYFUNCTION("""COMPUTED_VALUE"""),8.0E7)</f>
        <v>80000000</v>
      </c>
      <c r="P1450" s="15">
        <f>IFERROR(__xludf.DUMMYFUNCTION("ARRAYFORMULA(VLOOKUP(A1450,IMPORTRANGE(""https://docs.google.com/spreadsheets/d/1BuTWp7qHGjWhqrnf-OmePP568O4A5Am9ttzvVdP67zw/edit#gid=771602874"" ,""HUMAN RESOURCES!$A$2:$M$2692""), {2,3,4,5,6,7,8,9,10,11,12,13},0))"),0.038)</f>
        <v>0.038</v>
      </c>
      <c r="Q1450" s="14">
        <f>IFERROR(__xludf.DUMMYFUNCTION("""COMPUTED_VALUE"""),0.055)</f>
        <v>0.055</v>
      </c>
      <c r="R1450" s="14">
        <f>IFERROR(__xludf.DUMMYFUNCTION("""COMPUTED_VALUE"""),63.0)</f>
        <v>63</v>
      </c>
      <c r="S1450" s="14">
        <f>IFERROR(__xludf.DUMMYFUNCTION("""COMPUTED_VALUE"""),60.0)</f>
        <v>60</v>
      </c>
      <c r="T1450" s="14">
        <f>IFERROR(__xludf.DUMMYFUNCTION("""COMPUTED_VALUE"""),0.448)</f>
        <v>0.448</v>
      </c>
      <c r="U1450" s="14">
        <f>IFERROR(__xludf.DUMMYFUNCTION("""COMPUTED_VALUE"""),0.523)</f>
        <v>0.523</v>
      </c>
      <c r="V1450" s="14">
        <f>IFERROR(__xludf.DUMMYFUNCTION("""COMPUTED_VALUE"""),0.029)</f>
        <v>0.029</v>
      </c>
      <c r="W1450" s="14">
        <f>IFERROR(__xludf.DUMMYFUNCTION("""COMPUTED_VALUE"""),1.8290394E7)</f>
        <v>18290394</v>
      </c>
      <c r="X1450" s="14">
        <f>IFERROR(__xludf.DUMMYFUNCTION("""COMPUTED_VALUE"""),0.288)</f>
        <v>0.288</v>
      </c>
      <c r="Y1450" s="14" t="str">
        <f>IFERROR(__xludf.DUMMYFUNCTION("""COMPUTED_VALUE"""),"Madagascar-Africa")</f>
        <v>Madagascar-Africa</v>
      </c>
      <c r="Z1450" s="14" t="str">
        <f>IFERROR(__xludf.DUMMYFUNCTION("""COMPUTED_VALUE"""),"Africa")</f>
        <v>Africa</v>
      </c>
      <c r="AA1450" s="14" t="str">
        <f>IFERROR(__xludf.DUMMYFUNCTION("""COMPUTED_VALUE"""),"2005")</f>
        <v>2005</v>
      </c>
      <c r="AB1450" s="15" t="str">
        <f>IFERROR(__xludf.DUMMYFUNCTION("ARRAYFORMULA(VLOOKUP(A1450,IMPORTRANGE(""https://docs.google.com/spreadsheets/d/1BuTWp7qHGjWhqrnf-OmePP568O4A5Am9ttzvVdP67zw/edit#gid=1931367683"" ,""ENERGY!$A$2:$F$2692""), {2,3,4,5,6},0))"),"Africa")</f>
        <v>Africa</v>
      </c>
      <c r="AC1450" s="14" t="str">
        <f>IFERROR(__xludf.DUMMYFUNCTION("""COMPUTED_VALUE"""),"Madagascar-Africa")</f>
        <v>Madagascar-Africa</v>
      </c>
      <c r="AD1450" s="14" t="str">
        <f>IFERROR(__xludf.DUMMYFUNCTION("""COMPUTED_VALUE"""),"2007")</f>
        <v>2007</v>
      </c>
      <c r="AE1450" s="14"/>
      <c r="AF1450" s="14">
        <f>IFERROR(__xludf.DUMMYFUNCTION("""COMPUTED_VALUE"""),1815.0)</f>
        <v>1815</v>
      </c>
    </row>
    <row r="1451">
      <c r="A1451" s="12">
        <v>1450.0</v>
      </c>
      <c r="B1451" s="12" t="s">
        <v>190</v>
      </c>
      <c r="C1451" s="5" t="s">
        <v>77</v>
      </c>
      <c r="D1451" s="11">
        <v>0.465</v>
      </c>
      <c r="E1451" s="11">
        <v>21.0</v>
      </c>
      <c r="F1451" s="8"/>
      <c r="G1451" s="11">
        <v>304.0</v>
      </c>
      <c r="H1451" s="11">
        <v>0.006</v>
      </c>
      <c r="I1451" s="11">
        <v>0.056</v>
      </c>
      <c r="J1451" s="9" t="s">
        <v>67</v>
      </c>
      <c r="K1451" s="14" t="str">
        <f>IFERROR(__xludf.DUMMYFUNCTION("ARRAYFORMULA(VLOOKUP(A1451,IMPORTRANGE(""https://docs.google.com/spreadsheets/d/1BuTWp7qHGjWhqrnf-OmePP568O4A5Am9ttzvVdP67zw/edit#gid=1603210130"", ""TOURISM!$A$2:$F$2692""), {2,3,4,5,6},0))"),"Africa")</f>
        <v>Africa</v>
      </c>
      <c r="L1451" s="14">
        <f>IFERROR(__xludf.DUMMYFUNCTION("""COMPUTED_VALUE"""),3.86E8)</f>
        <v>386000000</v>
      </c>
      <c r="M1451" s="14" t="str">
        <f>IFERROR(__xludf.DUMMYFUNCTION("""COMPUTED_VALUE"""),"Madagascar-Africa")</f>
        <v>Madagascar-Africa</v>
      </c>
      <c r="N1451" s="14" t="str">
        <f>IFERROR(__xludf.DUMMYFUNCTION("""COMPUTED_VALUE"""),"2006")</f>
        <v>2006</v>
      </c>
      <c r="O1451" s="14">
        <f>IFERROR(__xludf.DUMMYFUNCTION("""COMPUTED_VALUE"""),8.6E7)</f>
        <v>86000000</v>
      </c>
      <c r="P1451" s="15">
        <f>IFERROR(__xludf.DUMMYFUNCTION("ARRAYFORMULA(VLOOKUP(A1451,IMPORTRANGE(""https://docs.google.com/spreadsheets/d/1BuTWp7qHGjWhqrnf-OmePP568O4A5Am9ttzvVdP67zw/edit#gid=771602874"" ,""HUMAN RESOURCES!$A$2:$M$2692""), {2,3,4,5,6,7,8,9,10,11,12,13},0))"),0.037)</f>
        <v>0.037</v>
      </c>
      <c r="Q1451" s="14">
        <f>IFERROR(__xludf.DUMMYFUNCTION("""COMPUTED_VALUE"""),0.052)</f>
        <v>0.052</v>
      </c>
      <c r="R1451" s="14">
        <f>IFERROR(__xludf.DUMMYFUNCTION("""COMPUTED_VALUE"""),63.0)</f>
        <v>63</v>
      </c>
      <c r="S1451" s="14">
        <f>IFERROR(__xludf.DUMMYFUNCTION("""COMPUTED_VALUE"""),60.0)</f>
        <v>60</v>
      </c>
      <c r="T1451" s="14">
        <f>IFERROR(__xludf.DUMMYFUNCTION("""COMPUTED_VALUE"""),0.446)</f>
        <v>0.446</v>
      </c>
      <c r="U1451" s="14">
        <f>IFERROR(__xludf.DUMMYFUNCTION("""COMPUTED_VALUE"""),0.525)</f>
        <v>0.525</v>
      </c>
      <c r="V1451" s="14">
        <f>IFERROR(__xludf.DUMMYFUNCTION("""COMPUTED_VALUE"""),0.029)</f>
        <v>0.029</v>
      </c>
      <c r="W1451" s="14">
        <f>IFERROR(__xludf.DUMMYFUNCTION("""COMPUTED_VALUE"""),1.8826126E7)</f>
        <v>18826126</v>
      </c>
      <c r="X1451" s="14">
        <f>IFERROR(__xludf.DUMMYFUNCTION("""COMPUTED_VALUE"""),0.294)</f>
        <v>0.294</v>
      </c>
      <c r="Y1451" s="14" t="str">
        <f>IFERROR(__xludf.DUMMYFUNCTION("""COMPUTED_VALUE"""),"Madagascar-Africa")</f>
        <v>Madagascar-Africa</v>
      </c>
      <c r="Z1451" s="14" t="str">
        <f>IFERROR(__xludf.DUMMYFUNCTION("""COMPUTED_VALUE"""),"Africa")</f>
        <v>Africa</v>
      </c>
      <c r="AA1451" s="14" t="str">
        <f>IFERROR(__xludf.DUMMYFUNCTION("""COMPUTED_VALUE"""),"2006")</f>
        <v>2006</v>
      </c>
      <c r="AB1451" s="15" t="str">
        <f>IFERROR(__xludf.DUMMYFUNCTION("ARRAYFORMULA(VLOOKUP(A1451,IMPORTRANGE(""https://docs.google.com/spreadsheets/d/1BuTWp7qHGjWhqrnf-OmePP568O4A5Am9ttzvVdP67zw/edit#gid=1931367683"" ,""ENERGY!$A$2:$F$2692""), {2,3,4,5,6},0))"),"Africa")</f>
        <v>Africa</v>
      </c>
      <c r="AC1451" s="14" t="str">
        <f>IFERROR(__xludf.DUMMYFUNCTION("""COMPUTED_VALUE"""),"Madagascar-Africa")</f>
        <v>Madagascar-Africa</v>
      </c>
      <c r="AD1451" s="14" t="str">
        <f>IFERROR(__xludf.DUMMYFUNCTION("""COMPUTED_VALUE"""),"2011")</f>
        <v>2011</v>
      </c>
      <c r="AE1451" s="14"/>
      <c r="AF1451" s="14">
        <f>IFERROR(__xludf.DUMMYFUNCTION("""COMPUTED_VALUE"""),1683.0)</f>
        <v>1683</v>
      </c>
    </row>
    <row r="1452">
      <c r="A1452" s="12">
        <v>1451.0</v>
      </c>
      <c r="B1452" s="12" t="s">
        <v>190</v>
      </c>
      <c r="C1452" s="5" t="s">
        <v>77</v>
      </c>
      <c r="D1452" s="11">
        <v>0.465</v>
      </c>
      <c r="E1452" s="11">
        <v>7.0</v>
      </c>
      <c r="F1452" s="8"/>
      <c r="G1452" s="11">
        <v>238.0</v>
      </c>
      <c r="H1452" s="11">
        <v>0.007</v>
      </c>
      <c r="I1452" s="11">
        <v>0.114</v>
      </c>
      <c r="J1452" s="9" t="s">
        <v>68</v>
      </c>
      <c r="K1452" s="14" t="str">
        <f>IFERROR(__xludf.DUMMYFUNCTION("ARRAYFORMULA(VLOOKUP(A1452,IMPORTRANGE(""https://docs.google.com/spreadsheets/d/1BuTWp7qHGjWhqrnf-OmePP568O4A5Am9ttzvVdP67zw/edit#gid=1603210130"", ""TOURISM!$A$2:$F$2692""), {2,3,4,5,6},0))"),"Africa")</f>
        <v>Africa</v>
      </c>
      <c r="L1452" s="14">
        <f>IFERROR(__xludf.DUMMYFUNCTION("""COMPUTED_VALUE"""),5.06E8)</f>
        <v>506000000</v>
      </c>
      <c r="M1452" s="14" t="str">
        <f>IFERROR(__xludf.DUMMYFUNCTION("""COMPUTED_VALUE"""),"Madagascar-Africa")</f>
        <v>Madagascar-Africa</v>
      </c>
      <c r="N1452" s="14" t="str">
        <f>IFERROR(__xludf.DUMMYFUNCTION("""COMPUTED_VALUE"""),"2007")</f>
        <v>2007</v>
      </c>
      <c r="O1452" s="14">
        <f>IFERROR(__xludf.DUMMYFUNCTION("""COMPUTED_VALUE"""),9.4E7)</f>
        <v>94000000</v>
      </c>
      <c r="P1452" s="15">
        <f>IFERROR(__xludf.DUMMYFUNCTION("ARRAYFORMULA(VLOOKUP(A1452,IMPORTRANGE(""https://docs.google.com/spreadsheets/d/1BuTWp7qHGjWhqrnf-OmePP568O4A5Am9ttzvVdP67zw/edit#gid=771602874"" ,""HUMAN RESOURCES!$A$2:$M$2692""), {2,3,4,5,6,7,8,9,10,11,12,13},0))"),0.037)</f>
        <v>0.037</v>
      </c>
      <c r="Q1452" s="14">
        <f>IFERROR(__xludf.DUMMYFUNCTION("""COMPUTED_VALUE"""),0.049)</f>
        <v>0.049</v>
      </c>
      <c r="R1452" s="14">
        <f>IFERROR(__xludf.DUMMYFUNCTION("""COMPUTED_VALUE"""),63.0)</f>
        <v>63</v>
      </c>
      <c r="S1452" s="14">
        <f>IFERROR(__xludf.DUMMYFUNCTION("""COMPUTED_VALUE"""),61.0)</f>
        <v>61</v>
      </c>
      <c r="T1452" s="14">
        <f>IFERROR(__xludf.DUMMYFUNCTION("""COMPUTED_VALUE"""),0.443)</f>
        <v>0.443</v>
      </c>
      <c r="U1452" s="14">
        <f>IFERROR(__xludf.DUMMYFUNCTION("""COMPUTED_VALUE"""),0.528)</f>
        <v>0.528</v>
      </c>
      <c r="V1452" s="14">
        <f>IFERROR(__xludf.DUMMYFUNCTION("""COMPUTED_VALUE"""),0.029)</f>
        <v>0.029</v>
      </c>
      <c r="W1452" s="14">
        <f>IFERROR(__xludf.DUMMYFUNCTION("""COMPUTED_VALUE"""),1.9371023E7)</f>
        <v>19371023</v>
      </c>
      <c r="X1452" s="14">
        <f>IFERROR(__xludf.DUMMYFUNCTION("""COMPUTED_VALUE"""),0.3)</f>
        <v>0.3</v>
      </c>
      <c r="Y1452" s="14" t="str">
        <f>IFERROR(__xludf.DUMMYFUNCTION("""COMPUTED_VALUE"""),"Madagascar-Africa")</f>
        <v>Madagascar-Africa</v>
      </c>
      <c r="Z1452" s="14" t="str">
        <f>IFERROR(__xludf.DUMMYFUNCTION("""COMPUTED_VALUE"""),"Africa")</f>
        <v>Africa</v>
      </c>
      <c r="AA1452" s="14" t="str">
        <f>IFERROR(__xludf.DUMMYFUNCTION("""COMPUTED_VALUE"""),"2007")</f>
        <v>2007</v>
      </c>
      <c r="AB1452" s="15" t="str">
        <f>IFERROR(__xludf.DUMMYFUNCTION("ARRAYFORMULA(VLOOKUP(A1452,IMPORTRANGE(""https://docs.google.com/spreadsheets/d/1BuTWp7qHGjWhqrnf-OmePP568O4A5Am9ttzvVdP67zw/edit#gid=1931367683"" ,""ENERGY!$A$2:$F$2692""), {2,3,4,5,6},0))"),"Africa")</f>
        <v>Africa</v>
      </c>
      <c r="AC1452" s="14" t="str">
        <f>IFERROR(__xludf.DUMMYFUNCTION("""COMPUTED_VALUE"""),"Madagascar-Africa")</f>
        <v>Madagascar-Africa</v>
      </c>
      <c r="AD1452" s="14" t="str">
        <f>IFERROR(__xludf.DUMMYFUNCTION("""COMPUTED_VALUE"""),"2009")</f>
        <v>2009</v>
      </c>
      <c r="AE1452" s="14"/>
      <c r="AF1452" s="14">
        <f>IFERROR(__xludf.DUMMYFUNCTION("""COMPUTED_VALUE"""),1742.0)</f>
        <v>1742</v>
      </c>
    </row>
    <row r="1453">
      <c r="A1453" s="12">
        <v>1452.0</v>
      </c>
      <c r="B1453" s="12" t="s">
        <v>190</v>
      </c>
      <c r="C1453" s="5" t="s">
        <v>77</v>
      </c>
      <c r="D1453" s="11">
        <v>0.426</v>
      </c>
      <c r="E1453" s="11">
        <v>7.0</v>
      </c>
      <c r="F1453" s="8"/>
      <c r="G1453" s="11">
        <v>238.0</v>
      </c>
      <c r="H1453" s="11">
        <v>0.017</v>
      </c>
      <c r="I1453" s="11">
        <v>0.243</v>
      </c>
      <c r="J1453" s="9" t="s">
        <v>69</v>
      </c>
      <c r="K1453" s="14" t="str">
        <f>IFERROR(__xludf.DUMMYFUNCTION("ARRAYFORMULA(VLOOKUP(A1453,IMPORTRANGE(""https://docs.google.com/spreadsheets/d/1BuTWp7qHGjWhqrnf-OmePP568O4A5Am9ttzvVdP67zw/edit#gid=1603210130"", ""TOURISM!$A$2:$F$2692""), {2,3,4,5,6},0))"),"Africa")</f>
        <v>Africa</v>
      </c>
      <c r="L1453" s="14">
        <f>IFERROR(__xludf.DUMMYFUNCTION("""COMPUTED_VALUE"""),6.2E8)</f>
        <v>620000000</v>
      </c>
      <c r="M1453" s="14" t="str">
        <f>IFERROR(__xludf.DUMMYFUNCTION("""COMPUTED_VALUE"""),"Madagascar-Africa")</f>
        <v>Madagascar-Africa</v>
      </c>
      <c r="N1453" s="14" t="str">
        <f>IFERROR(__xludf.DUMMYFUNCTION("""COMPUTED_VALUE"""),"2008")</f>
        <v>2008</v>
      </c>
      <c r="O1453" s="14">
        <f>IFERROR(__xludf.DUMMYFUNCTION("""COMPUTED_VALUE"""),1.43E8)</f>
        <v>143000000</v>
      </c>
      <c r="P1453" s="15">
        <f>IFERROR(__xludf.DUMMYFUNCTION("ARRAYFORMULA(VLOOKUP(A1453,IMPORTRANGE(""https://docs.google.com/spreadsheets/d/1BuTWp7qHGjWhqrnf-OmePP568O4A5Am9ttzvVdP67zw/edit#gid=771602874"" ,""HUMAN RESOURCES!$A$2:$M$2692""), {2,3,4,5,6,7,8,9,10,11,12,13},0))"),0.036)</f>
        <v>0.036</v>
      </c>
      <c r="Q1453" s="14">
        <f>IFERROR(__xludf.DUMMYFUNCTION("""COMPUTED_VALUE"""),0.047)</f>
        <v>0.047</v>
      </c>
      <c r="R1453" s="14">
        <f>IFERROR(__xludf.DUMMYFUNCTION("""COMPUTED_VALUE"""),64.0)</f>
        <v>64</v>
      </c>
      <c r="S1453" s="14">
        <f>IFERROR(__xludf.DUMMYFUNCTION("""COMPUTED_VALUE"""),61.0)</f>
        <v>61</v>
      </c>
      <c r="T1453" s="14">
        <f>IFERROR(__xludf.DUMMYFUNCTION("""COMPUTED_VALUE"""),0.44)</f>
        <v>0.44</v>
      </c>
      <c r="U1453" s="14">
        <f>IFERROR(__xludf.DUMMYFUNCTION("""COMPUTED_VALUE"""),0.531)</f>
        <v>0.531</v>
      </c>
      <c r="V1453" s="14">
        <f>IFERROR(__xludf.DUMMYFUNCTION("""COMPUTED_VALUE"""),0.029)</f>
        <v>0.029</v>
      </c>
      <c r="W1453" s="14">
        <f>IFERROR(__xludf.DUMMYFUNCTION("""COMPUTED_VALUE"""),1.9926785E7)</f>
        <v>19926785</v>
      </c>
      <c r="X1453" s="14">
        <f>IFERROR(__xludf.DUMMYFUNCTION("""COMPUTED_VALUE"""),0.307)</f>
        <v>0.307</v>
      </c>
      <c r="Y1453" s="14" t="str">
        <f>IFERROR(__xludf.DUMMYFUNCTION("""COMPUTED_VALUE"""),"Madagascar-Africa")</f>
        <v>Madagascar-Africa</v>
      </c>
      <c r="Z1453" s="14" t="str">
        <f>IFERROR(__xludf.DUMMYFUNCTION("""COMPUTED_VALUE"""),"Africa")</f>
        <v>Africa</v>
      </c>
      <c r="AA1453" s="14" t="str">
        <f>IFERROR(__xludf.DUMMYFUNCTION("""COMPUTED_VALUE"""),"2008")</f>
        <v>2008</v>
      </c>
      <c r="AB1453" s="15" t="str">
        <f>IFERROR(__xludf.DUMMYFUNCTION("ARRAYFORMULA(VLOOKUP(A1453,IMPORTRANGE(""https://docs.google.com/spreadsheets/d/1BuTWp7qHGjWhqrnf-OmePP568O4A5Am9ttzvVdP67zw/edit#gid=1931367683"" ,""ENERGY!$A$2:$F$2692""), {2,3,4,5,6},0))"),"Africa")</f>
        <v>Africa</v>
      </c>
      <c r="AC1453" s="14" t="str">
        <f>IFERROR(__xludf.DUMMYFUNCTION("""COMPUTED_VALUE"""),"Madagascar-Africa")</f>
        <v>Madagascar-Africa</v>
      </c>
      <c r="AD1453" s="14" t="str">
        <f>IFERROR(__xludf.DUMMYFUNCTION("""COMPUTED_VALUE"""),"2006")</f>
        <v>2006</v>
      </c>
      <c r="AE1453" s="14"/>
      <c r="AF1453" s="14">
        <f>IFERROR(__xludf.DUMMYFUNCTION("""COMPUTED_VALUE"""),1808.0)</f>
        <v>1808</v>
      </c>
    </row>
    <row r="1454">
      <c r="A1454" s="12">
        <v>1453.0</v>
      </c>
      <c r="B1454" s="12" t="s">
        <v>190</v>
      </c>
      <c r="C1454" s="5" t="s">
        <v>77</v>
      </c>
      <c r="D1454" s="11">
        <v>0.384</v>
      </c>
      <c r="E1454" s="11">
        <v>7.0</v>
      </c>
      <c r="F1454" s="8"/>
      <c r="G1454" s="11">
        <v>201.0</v>
      </c>
      <c r="H1454" s="11">
        <v>0.016</v>
      </c>
      <c r="I1454" s="11">
        <v>0.307</v>
      </c>
      <c r="J1454" s="9" t="s">
        <v>70</v>
      </c>
      <c r="K1454" s="14" t="str">
        <f>IFERROR(__xludf.DUMMYFUNCTION("ARRAYFORMULA(VLOOKUP(A1454,IMPORTRANGE(""https://docs.google.com/spreadsheets/d/1BuTWp7qHGjWhqrnf-OmePP568O4A5Am9ttzvVdP67zw/edit#gid=1603210130"", ""TOURISM!$A$2:$F$2692""), {2,3,4,5,6},0))"),"Africa")</f>
        <v>Africa</v>
      </c>
      <c r="L1454" s="14">
        <f>IFERROR(__xludf.DUMMYFUNCTION("""COMPUTED_VALUE"""),5.18E8)</f>
        <v>518000000</v>
      </c>
      <c r="M1454" s="14" t="str">
        <f>IFERROR(__xludf.DUMMYFUNCTION("""COMPUTED_VALUE"""),"Madagascar-Africa")</f>
        <v>Madagascar-Africa</v>
      </c>
      <c r="N1454" s="14" t="str">
        <f>IFERROR(__xludf.DUMMYFUNCTION("""COMPUTED_VALUE"""),"2009")</f>
        <v>2009</v>
      </c>
      <c r="O1454" s="14">
        <f>IFERROR(__xludf.DUMMYFUNCTION("""COMPUTED_VALUE"""),1.23E8)</f>
        <v>123000000</v>
      </c>
      <c r="P1454" s="15">
        <f>IFERROR(__xludf.DUMMYFUNCTION("ARRAYFORMULA(VLOOKUP(A1454,IMPORTRANGE(""https://docs.google.com/spreadsheets/d/1BuTWp7qHGjWhqrnf-OmePP568O4A5Am9ttzvVdP67zw/edit#gid=771602874"" ,""HUMAN RESOURCES!$A$2:$M$2692""), {2,3,4,5,6,7,8,9,10,11,12,13},0))"),0.036)</f>
        <v>0.036</v>
      </c>
      <c r="Q1454" s="14">
        <f>IFERROR(__xludf.DUMMYFUNCTION("""COMPUTED_VALUE"""),0.045)</f>
        <v>0.045</v>
      </c>
      <c r="R1454" s="14">
        <f>IFERROR(__xludf.DUMMYFUNCTION("""COMPUTED_VALUE"""),64.0)</f>
        <v>64</v>
      </c>
      <c r="S1454" s="14">
        <f>IFERROR(__xludf.DUMMYFUNCTION("""COMPUTED_VALUE"""),61.0)</f>
        <v>61</v>
      </c>
      <c r="T1454" s="14">
        <f>IFERROR(__xludf.DUMMYFUNCTION("""COMPUTED_VALUE"""),0.437)</f>
        <v>0.437</v>
      </c>
      <c r="U1454" s="14">
        <f>IFERROR(__xludf.DUMMYFUNCTION("""COMPUTED_VALUE"""),0.534)</f>
        <v>0.534</v>
      </c>
      <c r="V1454" s="14">
        <f>IFERROR(__xludf.DUMMYFUNCTION("""COMPUTED_VALUE"""),0.029)</f>
        <v>0.029</v>
      </c>
      <c r="W1454" s="14">
        <f>IFERROR(__xludf.DUMMYFUNCTION("""COMPUTED_VALUE"""),2.0495695E7)</f>
        <v>20495695</v>
      </c>
      <c r="X1454" s="14">
        <f>IFERROR(__xludf.DUMMYFUNCTION("""COMPUTED_VALUE"""),0.313)</f>
        <v>0.313</v>
      </c>
      <c r="Y1454" s="14" t="str">
        <f>IFERROR(__xludf.DUMMYFUNCTION("""COMPUTED_VALUE"""),"Madagascar-Africa")</f>
        <v>Madagascar-Africa</v>
      </c>
      <c r="Z1454" s="14" t="str">
        <f>IFERROR(__xludf.DUMMYFUNCTION("""COMPUTED_VALUE"""),"Africa")</f>
        <v>Africa</v>
      </c>
      <c r="AA1454" s="14" t="str">
        <f>IFERROR(__xludf.DUMMYFUNCTION("""COMPUTED_VALUE"""),"2009")</f>
        <v>2009</v>
      </c>
      <c r="AB1454" s="15" t="str">
        <f>IFERROR(__xludf.DUMMYFUNCTION("ARRAYFORMULA(VLOOKUP(A1454,IMPORTRANGE(""https://docs.google.com/spreadsheets/d/1BuTWp7qHGjWhqrnf-OmePP568O4A5Am9ttzvVdP67zw/edit#gid=1931367683"" ,""ENERGY!$A$2:$F$2692""), {2,3,4,5,6},0))"),"Africa")</f>
        <v>Africa</v>
      </c>
      <c r="AC1454" s="14" t="str">
        <f>IFERROR(__xludf.DUMMYFUNCTION("""COMPUTED_VALUE"""),"Madagascar-Africa")</f>
        <v>Madagascar-Africa</v>
      </c>
      <c r="AD1454" s="14" t="str">
        <f>IFERROR(__xludf.DUMMYFUNCTION("""COMPUTED_VALUE"""),"2010")</f>
        <v>2010</v>
      </c>
      <c r="AE1454" s="14"/>
      <c r="AF1454" s="14">
        <f>IFERROR(__xludf.DUMMYFUNCTION("""COMPUTED_VALUE"""),1701.0)</f>
        <v>1701</v>
      </c>
    </row>
    <row r="1455">
      <c r="A1455" s="12">
        <v>1454.0</v>
      </c>
      <c r="B1455" s="12" t="s">
        <v>190</v>
      </c>
      <c r="C1455" s="5" t="s">
        <v>77</v>
      </c>
      <c r="D1455" s="11">
        <v>0.377</v>
      </c>
      <c r="E1455" s="11">
        <v>7.0</v>
      </c>
      <c r="F1455" s="8"/>
      <c r="G1455" s="11">
        <v>201.0</v>
      </c>
      <c r="H1455" s="11">
        <v>0.017</v>
      </c>
      <c r="I1455" s="11">
        <v>0.366</v>
      </c>
      <c r="J1455" s="9" t="s">
        <v>71</v>
      </c>
      <c r="K1455" s="14" t="str">
        <f>IFERROR(__xludf.DUMMYFUNCTION("ARRAYFORMULA(VLOOKUP(A1455,IMPORTRANGE(""https://docs.google.com/spreadsheets/d/1BuTWp7qHGjWhqrnf-OmePP568O4A5Am9ttzvVdP67zw/edit#gid=1603210130"", ""TOURISM!$A$2:$F$2692""), {2,3,4,5,6},0))"),"Africa")</f>
        <v>Africa</v>
      </c>
      <c r="L1455" s="14">
        <f>IFERROR(__xludf.DUMMYFUNCTION("""COMPUTED_VALUE"""),6.33E8)</f>
        <v>633000000</v>
      </c>
      <c r="M1455" s="14" t="str">
        <f>IFERROR(__xludf.DUMMYFUNCTION("""COMPUTED_VALUE"""),"Madagascar-Africa")</f>
        <v>Madagascar-Africa</v>
      </c>
      <c r="N1455" s="14" t="str">
        <f>IFERROR(__xludf.DUMMYFUNCTION("""COMPUTED_VALUE"""),"2010")</f>
        <v>2010</v>
      </c>
      <c r="O1455" s="14">
        <f>IFERROR(__xludf.DUMMYFUNCTION("""COMPUTED_VALUE"""),1.1E8)</f>
        <v>110000000</v>
      </c>
      <c r="P1455" s="15">
        <f>IFERROR(__xludf.DUMMYFUNCTION("ARRAYFORMULA(VLOOKUP(A1455,IMPORTRANGE(""https://docs.google.com/spreadsheets/d/1BuTWp7qHGjWhqrnf-OmePP568O4A5Am9ttzvVdP67zw/edit#gid=771602874"" ,""HUMAN RESOURCES!$A$2:$M$2692""), {2,3,4,5,6,7,8,9,10,11,12,13},0))"),0.035)</f>
        <v>0.035</v>
      </c>
      <c r="Q1455" s="14">
        <f>IFERROR(__xludf.DUMMYFUNCTION("""COMPUTED_VALUE"""),0.044)</f>
        <v>0.044</v>
      </c>
      <c r="R1455" s="14">
        <f>IFERROR(__xludf.DUMMYFUNCTION("""COMPUTED_VALUE"""),65.0)</f>
        <v>65</v>
      </c>
      <c r="S1455" s="14">
        <f>IFERROR(__xludf.DUMMYFUNCTION("""COMPUTED_VALUE"""),62.0)</f>
        <v>62</v>
      </c>
      <c r="T1455" s="14">
        <f>IFERROR(__xludf.DUMMYFUNCTION("""COMPUTED_VALUE"""),0.434)</f>
        <v>0.434</v>
      </c>
      <c r="U1455" s="14">
        <f>IFERROR(__xludf.DUMMYFUNCTION("""COMPUTED_VALUE"""),0.537)</f>
        <v>0.537</v>
      </c>
      <c r="V1455" s="14">
        <f>IFERROR(__xludf.DUMMYFUNCTION("""COMPUTED_VALUE"""),0.028)</f>
        <v>0.028</v>
      </c>
      <c r="W1455" s="14">
        <f>IFERROR(__xludf.DUMMYFUNCTION("""COMPUTED_VALUE"""),2.1079532E7)</f>
        <v>21079532</v>
      </c>
      <c r="X1455" s="14">
        <f>IFERROR(__xludf.DUMMYFUNCTION("""COMPUTED_VALUE"""),0.319)</f>
        <v>0.319</v>
      </c>
      <c r="Y1455" s="14" t="str">
        <f>IFERROR(__xludf.DUMMYFUNCTION("""COMPUTED_VALUE"""),"Madagascar-Africa")</f>
        <v>Madagascar-Africa</v>
      </c>
      <c r="Z1455" s="14" t="str">
        <f>IFERROR(__xludf.DUMMYFUNCTION("""COMPUTED_VALUE"""),"Africa")</f>
        <v>Africa</v>
      </c>
      <c r="AA1455" s="14" t="str">
        <f>IFERROR(__xludf.DUMMYFUNCTION("""COMPUTED_VALUE"""),"2010")</f>
        <v>2010</v>
      </c>
      <c r="AB1455" s="15" t="str">
        <f>IFERROR(__xludf.DUMMYFUNCTION("ARRAYFORMULA(VLOOKUP(A1455,IMPORTRANGE(""https://docs.google.com/spreadsheets/d/1BuTWp7qHGjWhqrnf-OmePP568O4A5Am9ttzvVdP67zw/edit#gid=1931367683"" ,""ENERGY!$A$2:$F$2692""), {2,3,4,5,6},0))"),"Africa")</f>
        <v>Africa</v>
      </c>
      <c r="AC1455" s="14" t="str">
        <f>IFERROR(__xludf.DUMMYFUNCTION("""COMPUTED_VALUE"""),"Madagascar-Africa")</f>
        <v>Madagascar-Africa</v>
      </c>
      <c r="AD1455" s="14" t="str">
        <f>IFERROR(__xludf.DUMMYFUNCTION("""COMPUTED_VALUE"""),"2012")</f>
        <v>2012</v>
      </c>
      <c r="AE1455" s="14"/>
      <c r="AF1455" s="14">
        <f>IFERROR(__xludf.DUMMYFUNCTION("""COMPUTED_VALUE"""),1236.0)</f>
        <v>1236</v>
      </c>
    </row>
    <row r="1456">
      <c r="A1456" s="12">
        <v>1455.0</v>
      </c>
      <c r="B1456" s="12" t="s">
        <v>190</v>
      </c>
      <c r="C1456" s="5" t="s">
        <v>77</v>
      </c>
      <c r="D1456" s="11">
        <v>0.371</v>
      </c>
      <c r="E1456" s="11">
        <v>8.0</v>
      </c>
      <c r="F1456" s="8"/>
      <c r="G1456" s="11">
        <v>201.0</v>
      </c>
      <c r="H1456" s="11">
        <v>0.019</v>
      </c>
      <c r="I1456" s="11">
        <v>0.4</v>
      </c>
      <c r="J1456" s="9" t="s">
        <v>72</v>
      </c>
      <c r="K1456" s="14" t="str">
        <f>IFERROR(__xludf.DUMMYFUNCTION("ARRAYFORMULA(VLOOKUP(A1456,IMPORTRANGE(""https://docs.google.com/spreadsheets/d/1BuTWp7qHGjWhqrnf-OmePP568O4A5Am9ttzvVdP67zw/edit#gid=1603210130"", ""TOURISM!$A$2:$F$2692""), {2,3,4,5,6},0))"),"Africa")</f>
        <v>Africa</v>
      </c>
      <c r="L1456" s="14"/>
      <c r="M1456" s="14" t="str">
        <f>IFERROR(__xludf.DUMMYFUNCTION("""COMPUTED_VALUE"""),"Madagascar-Africa")</f>
        <v>Madagascar-Africa</v>
      </c>
      <c r="N1456" s="14" t="str">
        <f>IFERROR(__xludf.DUMMYFUNCTION("""COMPUTED_VALUE"""),"2011")</f>
        <v>2011</v>
      </c>
      <c r="O1456" s="14"/>
      <c r="P1456" s="15">
        <f>IFERROR(__xludf.DUMMYFUNCTION("ARRAYFORMULA(VLOOKUP(A1456,IMPORTRANGE(""https://docs.google.com/spreadsheets/d/1BuTWp7qHGjWhqrnf-OmePP568O4A5Am9ttzvVdP67zw/edit#gid=771602874"" ,""HUMAN RESOURCES!$A$2:$M$2692""), {2,3,4,5,6,7,8,9,10,11,12,13},0))"),0.035)</f>
        <v>0.035</v>
      </c>
      <c r="Q1456" s="14">
        <f>IFERROR(__xludf.DUMMYFUNCTION("""COMPUTED_VALUE"""),0.042)</f>
        <v>0.042</v>
      </c>
      <c r="R1456" s="14">
        <f>IFERROR(__xludf.DUMMYFUNCTION("""COMPUTED_VALUE"""),65.0)</f>
        <v>65</v>
      </c>
      <c r="S1456" s="14">
        <f>IFERROR(__xludf.DUMMYFUNCTION("""COMPUTED_VALUE"""),62.0)</f>
        <v>62</v>
      </c>
      <c r="T1456" s="14">
        <f>IFERROR(__xludf.DUMMYFUNCTION("""COMPUTED_VALUE"""),0.431)</f>
        <v>0.431</v>
      </c>
      <c r="U1456" s="14">
        <f>IFERROR(__xludf.DUMMYFUNCTION("""COMPUTED_VALUE"""),0.541)</f>
        <v>0.541</v>
      </c>
      <c r="V1456" s="14">
        <f>IFERROR(__xludf.DUMMYFUNCTION("""COMPUTED_VALUE"""),0.028)</f>
        <v>0.028</v>
      </c>
      <c r="W1456" s="14">
        <f>IFERROR(__xludf.DUMMYFUNCTION("""COMPUTED_VALUE"""),2.1678934E7)</f>
        <v>21678934</v>
      </c>
      <c r="X1456" s="14">
        <f>IFERROR(__xludf.DUMMYFUNCTION("""COMPUTED_VALUE"""),0.326)</f>
        <v>0.326</v>
      </c>
      <c r="Y1456" s="14" t="str">
        <f>IFERROR(__xludf.DUMMYFUNCTION("""COMPUTED_VALUE"""),"Madagascar-Africa")</f>
        <v>Madagascar-Africa</v>
      </c>
      <c r="Z1456" s="14" t="str">
        <f>IFERROR(__xludf.DUMMYFUNCTION("""COMPUTED_VALUE"""),"Africa")</f>
        <v>Africa</v>
      </c>
      <c r="AA1456" s="14" t="str">
        <f>IFERROR(__xludf.DUMMYFUNCTION("""COMPUTED_VALUE"""),"2011")</f>
        <v>2011</v>
      </c>
      <c r="AB1456" s="15" t="str">
        <f>IFERROR(__xludf.DUMMYFUNCTION("ARRAYFORMULA(VLOOKUP(A1456,IMPORTRANGE(""https://docs.google.com/spreadsheets/d/1BuTWp7qHGjWhqrnf-OmePP568O4A5Am9ttzvVdP67zw/edit#gid=1931367683"" ,""ENERGY!$A$2:$F$2692""), {2,3,4,5,6},0))"),"Africa")</f>
        <v>Africa</v>
      </c>
      <c r="AC1456" s="14" t="str">
        <f>IFERROR(__xludf.DUMMYFUNCTION("""COMPUTED_VALUE"""),"Madagascar-Africa")</f>
        <v>Madagascar-Africa</v>
      </c>
      <c r="AD1456" s="14" t="str">
        <f>IFERROR(__xludf.DUMMYFUNCTION("""COMPUTED_VALUE"""),"2006")</f>
        <v>2006</v>
      </c>
      <c r="AE1456" s="14"/>
      <c r="AF1456" s="14">
        <f>IFERROR(__xludf.DUMMYFUNCTION("""COMPUTED_VALUE"""),1742.0)</f>
        <v>1742</v>
      </c>
    </row>
    <row r="1457">
      <c r="A1457" s="12">
        <v>1456.0</v>
      </c>
      <c r="B1457" s="12" t="s">
        <v>190</v>
      </c>
      <c r="C1457" s="5" t="s">
        <v>77</v>
      </c>
      <c r="D1457" s="11">
        <v>0.364</v>
      </c>
      <c r="E1457" s="11">
        <v>8.0</v>
      </c>
      <c r="F1457" s="11">
        <v>144.0</v>
      </c>
      <c r="G1457" s="11">
        <v>201.0</v>
      </c>
      <c r="H1457" s="11">
        <v>0.021</v>
      </c>
      <c r="I1457" s="11">
        <v>0.394</v>
      </c>
      <c r="J1457" s="9" t="s">
        <v>73</v>
      </c>
      <c r="K1457" s="14" t="str">
        <f>IFERROR(__xludf.DUMMYFUNCTION("ARRAYFORMULA(VLOOKUP(A1457,IMPORTRANGE(""https://docs.google.com/spreadsheets/d/1BuTWp7qHGjWhqrnf-OmePP568O4A5Am9ttzvVdP67zw/edit#gid=1603210130"", ""TOURISM!$A$2:$F$2692""), {2,3,4,5,6},0))"),"Africa")</f>
        <v>Africa</v>
      </c>
      <c r="L1457" s="14"/>
      <c r="M1457" s="14" t="str">
        <f>IFERROR(__xludf.DUMMYFUNCTION("""COMPUTED_VALUE"""),"Madagascar-Africa")</f>
        <v>Madagascar-Africa</v>
      </c>
      <c r="N1457" s="14" t="str">
        <f>IFERROR(__xludf.DUMMYFUNCTION("""COMPUTED_VALUE"""),"2012")</f>
        <v>2012</v>
      </c>
      <c r="O1457" s="14"/>
      <c r="P1457" s="15">
        <f>IFERROR(__xludf.DUMMYFUNCTION("ARRAYFORMULA(VLOOKUP(A1457,IMPORTRANGE(""https://docs.google.com/spreadsheets/d/1BuTWp7qHGjWhqrnf-OmePP568O4A5Am9ttzvVdP67zw/edit#gid=771602874"" ,""HUMAN RESOURCES!$A$2:$M$2692""), {2,3,4,5,6,7,8,9,10,11,12,13},0))"),0.035)</f>
        <v>0.035</v>
      </c>
      <c r="Q1457" s="14">
        <f>IFERROR(__xludf.DUMMYFUNCTION("""COMPUTED_VALUE"""),0.041)</f>
        <v>0.041</v>
      </c>
      <c r="R1457" s="14">
        <f>IFERROR(__xludf.DUMMYFUNCTION("""COMPUTED_VALUE"""),66.0)</f>
        <v>66</v>
      </c>
      <c r="S1457" s="14">
        <f>IFERROR(__xludf.DUMMYFUNCTION("""COMPUTED_VALUE"""),63.0)</f>
        <v>63</v>
      </c>
      <c r="T1457" s="14">
        <f>IFERROR(__xludf.DUMMYFUNCTION("""COMPUTED_VALUE"""),0.427)</f>
        <v>0.427</v>
      </c>
      <c r="U1457" s="14">
        <f>IFERROR(__xludf.DUMMYFUNCTION("""COMPUTED_VALUE"""),0.545)</f>
        <v>0.545</v>
      </c>
      <c r="V1457" s="14">
        <f>IFERROR(__xludf.DUMMYFUNCTION("""COMPUTED_VALUE"""),0.028)</f>
        <v>0.028</v>
      </c>
      <c r="W1457" s="14">
        <f>IFERROR(__xludf.DUMMYFUNCTION("""COMPUTED_VALUE"""),2.2293914E7)</f>
        <v>22293914</v>
      </c>
      <c r="X1457" s="14">
        <f>IFERROR(__xludf.DUMMYFUNCTION("""COMPUTED_VALUE"""),0.332)</f>
        <v>0.332</v>
      </c>
      <c r="Y1457" s="14" t="str">
        <f>IFERROR(__xludf.DUMMYFUNCTION("""COMPUTED_VALUE"""),"Madagascar-Africa")</f>
        <v>Madagascar-Africa</v>
      </c>
      <c r="Z1457" s="14" t="str">
        <f>IFERROR(__xludf.DUMMYFUNCTION("""COMPUTED_VALUE"""),"Africa")</f>
        <v>Africa</v>
      </c>
      <c r="AA1457" s="14" t="str">
        <f>IFERROR(__xludf.DUMMYFUNCTION("""COMPUTED_VALUE"""),"2012")</f>
        <v>2012</v>
      </c>
      <c r="AB1457" s="15" t="str">
        <f>IFERROR(__xludf.DUMMYFUNCTION("ARRAYFORMULA(VLOOKUP(A1457,IMPORTRANGE(""https://docs.google.com/spreadsheets/d/1BuTWp7qHGjWhqrnf-OmePP568O4A5Am9ttzvVdP67zw/edit#gid=1931367683"" ,""ENERGY!$A$2:$F$2692""), {2,3,4,5,6},0))"),"Africa")</f>
        <v>Africa</v>
      </c>
      <c r="AC1457" s="14" t="str">
        <f>IFERROR(__xludf.DUMMYFUNCTION("""COMPUTED_VALUE"""),"Madagascar-Africa")</f>
        <v>Madagascar-Africa</v>
      </c>
      <c r="AD1457" s="14" t="str">
        <f>IFERROR(__xludf.DUMMYFUNCTION("""COMPUTED_VALUE"""),"2010")</f>
        <v>2010</v>
      </c>
      <c r="AE1457" s="14"/>
      <c r="AF1457" s="14">
        <f>IFERROR(__xludf.DUMMYFUNCTION("""COMPUTED_VALUE"""),1874.0)</f>
        <v>1874</v>
      </c>
    </row>
    <row r="1458">
      <c r="A1458" s="12">
        <v>1457.0</v>
      </c>
      <c r="B1458" s="12" t="s">
        <v>191</v>
      </c>
      <c r="C1458" s="5" t="s">
        <v>77</v>
      </c>
      <c r="D1458" s="8"/>
      <c r="E1458" s="8"/>
      <c r="F1458" s="8"/>
      <c r="G1458" s="8"/>
      <c r="H1458" s="11">
        <v>0.001</v>
      </c>
      <c r="I1458" s="11">
        <v>0.004</v>
      </c>
      <c r="J1458" s="9" t="s">
        <v>60</v>
      </c>
      <c r="K1458" s="14" t="str">
        <f>IFERROR(__xludf.DUMMYFUNCTION("ARRAYFORMULA(VLOOKUP(A1458,IMPORTRANGE(""https://docs.google.com/spreadsheets/d/1BuTWp7qHGjWhqrnf-OmePP568O4A5Am9ttzvVdP67zw/edit#gid=1603210130"", ""TOURISM!$A$2:$F$2692""), {2,3,4,5,6},0))"),"Africa")</f>
        <v>Africa</v>
      </c>
      <c r="L1458" s="14">
        <f>IFERROR(__xludf.DUMMYFUNCTION("""COMPUTED_VALUE"""),2.9E7)</f>
        <v>29000000</v>
      </c>
      <c r="M1458" s="14" t="str">
        <f>IFERROR(__xludf.DUMMYFUNCTION("""COMPUTED_VALUE"""),"Malawi-Africa")</f>
        <v>Malawi-Africa</v>
      </c>
      <c r="N1458" s="14" t="str">
        <f>IFERROR(__xludf.DUMMYFUNCTION("""COMPUTED_VALUE"""),"2000")</f>
        <v>2000</v>
      </c>
      <c r="O1458" s="14">
        <f>IFERROR(__xludf.DUMMYFUNCTION("""COMPUTED_VALUE"""),5.3E7)</f>
        <v>53000000</v>
      </c>
      <c r="P1458" s="15">
        <f>IFERROR(__xludf.DUMMYFUNCTION("ARRAYFORMULA(VLOOKUP(A1458,IMPORTRANGE(""https://docs.google.com/spreadsheets/d/1BuTWp7qHGjWhqrnf-OmePP568O4A5Am9ttzvVdP67zw/edit#gid=771602874"" ,""HUMAN RESOURCES!$A$2:$M$2692""), {2,3,4,5,6,7,8,9,10,11,12,13},0))"),0.045)</f>
        <v>0.045</v>
      </c>
      <c r="Q1458" s="14">
        <f>IFERROR(__xludf.DUMMYFUNCTION("""COMPUTED_VALUE"""),0.103)</f>
        <v>0.103</v>
      </c>
      <c r="R1458" s="14">
        <f>IFERROR(__xludf.DUMMYFUNCTION("""COMPUTED_VALUE"""),46.0)</f>
        <v>46</v>
      </c>
      <c r="S1458" s="14">
        <f>IFERROR(__xludf.DUMMYFUNCTION("""COMPUTED_VALUE"""),46.0)</f>
        <v>46</v>
      </c>
      <c r="T1458" s="14">
        <f>IFERROR(__xludf.DUMMYFUNCTION("""COMPUTED_VALUE"""),0.458)</f>
        <v>0.458</v>
      </c>
      <c r="U1458" s="14">
        <f>IFERROR(__xludf.DUMMYFUNCTION("""COMPUTED_VALUE"""),0.511)</f>
        <v>0.511</v>
      </c>
      <c r="V1458" s="14">
        <f>IFERROR(__xludf.DUMMYFUNCTION("""COMPUTED_VALUE"""),0.031)</f>
        <v>0.031</v>
      </c>
      <c r="W1458" s="14">
        <f>IFERROR(__xludf.DUMMYFUNCTION("""COMPUTED_VALUE"""),1.1321496E7)</f>
        <v>11321496</v>
      </c>
      <c r="X1458" s="14">
        <f>IFERROR(__xludf.DUMMYFUNCTION("""COMPUTED_VALUE"""),0.146)</f>
        <v>0.146</v>
      </c>
      <c r="Y1458" s="14" t="str">
        <f>IFERROR(__xludf.DUMMYFUNCTION("""COMPUTED_VALUE"""),"Malawi-Africa")</f>
        <v>Malawi-Africa</v>
      </c>
      <c r="Z1458" s="14" t="str">
        <f>IFERROR(__xludf.DUMMYFUNCTION("""COMPUTED_VALUE"""),"Africa")</f>
        <v>Africa</v>
      </c>
      <c r="AA1458" s="14" t="str">
        <f>IFERROR(__xludf.DUMMYFUNCTION("""COMPUTED_VALUE"""),"2000")</f>
        <v>2000</v>
      </c>
      <c r="AB1458" s="15" t="str">
        <f>IFERROR(__xludf.DUMMYFUNCTION("ARRAYFORMULA(VLOOKUP(A1458,IMPORTRANGE(""https://docs.google.com/spreadsheets/d/1BuTWp7qHGjWhqrnf-OmePP568O4A5Am9ttzvVdP67zw/edit#gid=1931367683"" ,""ENERGY!$A$2:$F$2692""), {2,3,4,5,6},0))"),"Africa")</f>
        <v>Africa</v>
      </c>
      <c r="AC1458" s="14" t="str">
        <f>IFERROR(__xludf.DUMMYFUNCTION("""COMPUTED_VALUE"""),"Malawi-Africa")</f>
        <v>Malawi-Africa</v>
      </c>
      <c r="AD1458" s="14" t="str">
        <f>IFERROR(__xludf.DUMMYFUNCTION("""COMPUTED_VALUE"""),"2000")</f>
        <v>2000</v>
      </c>
      <c r="AE1458" s="14"/>
      <c r="AF1458" s="14"/>
    </row>
    <row r="1459">
      <c r="A1459" s="12">
        <v>1458.0</v>
      </c>
      <c r="B1459" s="12" t="s">
        <v>191</v>
      </c>
      <c r="C1459" s="5" t="s">
        <v>77</v>
      </c>
      <c r="D1459" s="8"/>
      <c r="E1459" s="8"/>
      <c r="F1459" s="8"/>
      <c r="G1459" s="8"/>
      <c r="H1459" s="11">
        <v>0.002</v>
      </c>
      <c r="I1459" s="11">
        <v>0.005</v>
      </c>
      <c r="J1459" s="9" t="s">
        <v>62</v>
      </c>
      <c r="K1459" s="14" t="str">
        <f>IFERROR(__xludf.DUMMYFUNCTION("ARRAYFORMULA(VLOOKUP(A1459,IMPORTRANGE(""https://docs.google.com/spreadsheets/d/1BuTWp7qHGjWhqrnf-OmePP568O4A5Am9ttzvVdP67zw/edit#gid=1603210130"", ""TOURISM!$A$2:$F$2692""), {2,3,4,5,6},0))"),"Africa")</f>
        <v>Africa</v>
      </c>
      <c r="L1459" s="14">
        <f>IFERROR(__xludf.DUMMYFUNCTION("""COMPUTED_VALUE"""),4.0E7)</f>
        <v>40000000</v>
      </c>
      <c r="M1459" s="14" t="str">
        <f>IFERROR(__xludf.DUMMYFUNCTION("""COMPUTED_VALUE"""),"Malawi-Africa")</f>
        <v>Malawi-Africa</v>
      </c>
      <c r="N1459" s="14" t="str">
        <f>IFERROR(__xludf.DUMMYFUNCTION("""COMPUTED_VALUE"""),"2001")</f>
        <v>2001</v>
      </c>
      <c r="O1459" s="14">
        <f>IFERROR(__xludf.DUMMYFUNCTION("""COMPUTED_VALUE"""),5.2E7)</f>
        <v>52000000</v>
      </c>
      <c r="P1459" s="15">
        <f>IFERROR(__xludf.DUMMYFUNCTION("ARRAYFORMULA(VLOOKUP(A1459,IMPORTRANGE(""https://docs.google.com/spreadsheets/d/1BuTWp7qHGjWhqrnf-OmePP568O4A5Am9ttzvVdP67zw/edit#gid=771602874"" ,""HUMAN RESOURCES!$A$2:$M$2692""), {2,3,4,5,6,7,8,9,10,11,12,13},0))"),0.045)</f>
        <v>0.045</v>
      </c>
      <c r="Q1459" s="14">
        <f>IFERROR(__xludf.DUMMYFUNCTION("""COMPUTED_VALUE"""),0.097)</f>
        <v>0.097</v>
      </c>
      <c r="R1459" s="14">
        <f>IFERROR(__xludf.DUMMYFUNCTION("""COMPUTED_VALUE"""),46.0)</f>
        <v>46</v>
      </c>
      <c r="S1459" s="14">
        <f>IFERROR(__xludf.DUMMYFUNCTION("""COMPUTED_VALUE"""),46.0)</f>
        <v>46</v>
      </c>
      <c r="T1459" s="14">
        <f>IFERROR(__xludf.DUMMYFUNCTION("""COMPUTED_VALUE"""),0.46)</f>
        <v>0.46</v>
      </c>
      <c r="U1459" s="14">
        <f>IFERROR(__xludf.DUMMYFUNCTION("""COMPUTED_VALUE"""),0.51)</f>
        <v>0.51</v>
      </c>
      <c r="V1459" s="14">
        <f>IFERROR(__xludf.DUMMYFUNCTION("""COMPUTED_VALUE"""),0.03)</f>
        <v>0.03</v>
      </c>
      <c r="W1459" s="14">
        <f>IFERROR(__xludf.DUMMYFUNCTION("""COMPUTED_VALUE"""),1.1623166E7)</f>
        <v>11623166</v>
      </c>
      <c r="X1459" s="14">
        <f>IFERROR(__xludf.DUMMYFUNCTION("""COMPUTED_VALUE"""),0.147)</f>
        <v>0.147</v>
      </c>
      <c r="Y1459" s="14" t="str">
        <f>IFERROR(__xludf.DUMMYFUNCTION("""COMPUTED_VALUE"""),"Malawi-Africa")</f>
        <v>Malawi-Africa</v>
      </c>
      <c r="Z1459" s="14" t="str">
        <f>IFERROR(__xludf.DUMMYFUNCTION("""COMPUTED_VALUE"""),"Africa")</f>
        <v>Africa</v>
      </c>
      <c r="AA1459" s="14" t="str">
        <f>IFERROR(__xludf.DUMMYFUNCTION("""COMPUTED_VALUE"""),"2001")</f>
        <v>2001</v>
      </c>
      <c r="AB1459" s="15" t="str">
        <f>IFERROR(__xludf.DUMMYFUNCTION("ARRAYFORMULA(VLOOKUP(A1459,IMPORTRANGE(""https://docs.google.com/spreadsheets/d/1BuTWp7qHGjWhqrnf-OmePP568O4A5Am9ttzvVdP67zw/edit#gid=1931367683"" ,""ENERGY!$A$2:$F$2692""), {2,3,4,5,6},0))"),"Africa")</f>
        <v>Africa</v>
      </c>
      <c r="AC1459" s="14" t="str">
        <f>IFERROR(__xludf.DUMMYFUNCTION("""COMPUTED_VALUE"""),"Malawi-Africa")</f>
        <v>Malawi-Africa</v>
      </c>
      <c r="AD1459" s="14" t="str">
        <f>IFERROR(__xludf.DUMMYFUNCTION("""COMPUTED_VALUE"""),"2001")</f>
        <v>2001</v>
      </c>
      <c r="AE1459" s="14"/>
      <c r="AF1459" s="14"/>
    </row>
    <row r="1460">
      <c r="A1460" s="12">
        <v>1459.0</v>
      </c>
      <c r="B1460" s="12" t="s">
        <v>191</v>
      </c>
      <c r="C1460" s="5" t="s">
        <v>77</v>
      </c>
      <c r="D1460" s="8"/>
      <c r="E1460" s="8"/>
      <c r="F1460" s="8"/>
      <c r="G1460" s="8"/>
      <c r="H1460" s="11">
        <v>0.002</v>
      </c>
      <c r="I1460" s="11">
        <v>0.007</v>
      </c>
      <c r="J1460" s="9" t="s">
        <v>63</v>
      </c>
      <c r="K1460" s="14" t="str">
        <f>IFERROR(__xludf.DUMMYFUNCTION("ARRAYFORMULA(VLOOKUP(A1460,IMPORTRANGE(""https://docs.google.com/spreadsheets/d/1BuTWp7qHGjWhqrnf-OmePP568O4A5Am9ttzvVdP67zw/edit#gid=1603210130"", ""TOURISM!$A$2:$F$2692""), {2,3,4,5,6},0))"),"Africa")</f>
        <v>Africa</v>
      </c>
      <c r="L1460" s="14">
        <f>IFERROR(__xludf.DUMMYFUNCTION("""COMPUTED_VALUE"""),4.5E7)</f>
        <v>45000000</v>
      </c>
      <c r="M1460" s="14" t="str">
        <f>IFERROR(__xludf.DUMMYFUNCTION("""COMPUTED_VALUE"""),"Malawi-Africa")</f>
        <v>Malawi-Africa</v>
      </c>
      <c r="N1460" s="14" t="str">
        <f>IFERROR(__xludf.DUMMYFUNCTION("""COMPUTED_VALUE"""),"2002")</f>
        <v>2002</v>
      </c>
      <c r="O1460" s="14">
        <f>IFERROR(__xludf.DUMMYFUNCTION("""COMPUTED_VALUE"""),8.6E7)</f>
        <v>86000000</v>
      </c>
      <c r="P1460" s="15">
        <f>IFERROR(__xludf.DUMMYFUNCTION("ARRAYFORMULA(VLOOKUP(A1460,IMPORTRANGE(""https://docs.google.com/spreadsheets/d/1BuTWp7qHGjWhqrnf-OmePP568O4A5Am9ttzvVdP67zw/edit#gid=771602874"" ,""HUMAN RESOURCES!$A$2:$M$2692""), {2,3,4,5,6,7,8,9,10,11,12,13},0))"),0.044)</f>
        <v>0.044</v>
      </c>
      <c r="Q1460" s="14">
        <f>IFERROR(__xludf.DUMMYFUNCTION("""COMPUTED_VALUE"""),0.09)</f>
        <v>0.09</v>
      </c>
      <c r="R1460" s="14">
        <f>IFERROR(__xludf.DUMMYFUNCTION("""COMPUTED_VALUE"""),47.0)</f>
        <v>47</v>
      </c>
      <c r="S1460" s="14">
        <f>IFERROR(__xludf.DUMMYFUNCTION("""COMPUTED_VALUE"""),47.0)</f>
        <v>47</v>
      </c>
      <c r="T1460" s="14">
        <f>IFERROR(__xludf.DUMMYFUNCTION("""COMPUTED_VALUE"""),0.461)</f>
        <v>0.461</v>
      </c>
      <c r="U1460" s="14">
        <f>IFERROR(__xludf.DUMMYFUNCTION("""COMPUTED_VALUE"""),0.509)</f>
        <v>0.509</v>
      </c>
      <c r="V1460" s="14">
        <f>IFERROR(__xludf.DUMMYFUNCTION("""COMPUTED_VALUE"""),0.03)</f>
        <v>0.03</v>
      </c>
      <c r="W1460" s="14">
        <f>IFERROR(__xludf.DUMMYFUNCTION("""COMPUTED_VALUE"""),1.1926778E7)</f>
        <v>11926778</v>
      </c>
      <c r="X1460" s="14">
        <f>IFERROR(__xludf.DUMMYFUNCTION("""COMPUTED_VALUE"""),0.148)</f>
        <v>0.148</v>
      </c>
      <c r="Y1460" s="14" t="str">
        <f>IFERROR(__xludf.DUMMYFUNCTION("""COMPUTED_VALUE"""),"Malawi-Africa")</f>
        <v>Malawi-Africa</v>
      </c>
      <c r="Z1460" s="14" t="str">
        <f>IFERROR(__xludf.DUMMYFUNCTION("""COMPUTED_VALUE"""),"Africa")</f>
        <v>Africa</v>
      </c>
      <c r="AA1460" s="14" t="str">
        <f>IFERROR(__xludf.DUMMYFUNCTION("""COMPUTED_VALUE"""),"2002")</f>
        <v>2002</v>
      </c>
      <c r="AB1460" s="15" t="str">
        <f>IFERROR(__xludf.DUMMYFUNCTION("ARRAYFORMULA(VLOOKUP(A1460,IMPORTRANGE(""https://docs.google.com/spreadsheets/d/1BuTWp7qHGjWhqrnf-OmePP568O4A5Am9ttzvVdP67zw/edit#gid=1931367683"" ,""ENERGY!$A$2:$F$2692""), {2,3,4,5,6},0))"),"Africa")</f>
        <v>Africa</v>
      </c>
      <c r="AC1460" s="14" t="str">
        <f>IFERROR(__xludf.DUMMYFUNCTION("""COMPUTED_VALUE"""),"Malawi-Africa")</f>
        <v>Malawi-Africa</v>
      </c>
      <c r="AD1460" s="14" t="str">
        <f>IFERROR(__xludf.DUMMYFUNCTION("""COMPUTED_VALUE"""),"2002")</f>
        <v>2002</v>
      </c>
      <c r="AE1460" s="14"/>
      <c r="AF1460" s="14">
        <f>IFERROR(__xludf.DUMMYFUNCTION("""COMPUTED_VALUE"""),1239.0)</f>
        <v>1239</v>
      </c>
    </row>
    <row r="1461">
      <c r="A1461" s="12">
        <v>1460.0</v>
      </c>
      <c r="B1461" s="12" t="s">
        <v>191</v>
      </c>
      <c r="C1461" s="5" t="s">
        <v>77</v>
      </c>
      <c r="D1461" s="8"/>
      <c r="E1461" s="11">
        <v>45.0</v>
      </c>
      <c r="F1461" s="8"/>
      <c r="G1461" s="8"/>
      <c r="H1461" s="11">
        <v>0.003</v>
      </c>
      <c r="I1461" s="11">
        <v>0.011</v>
      </c>
      <c r="J1461" s="9" t="s">
        <v>64</v>
      </c>
      <c r="K1461" s="14" t="str">
        <f>IFERROR(__xludf.DUMMYFUNCTION("ARRAYFORMULA(VLOOKUP(A1461,IMPORTRANGE(""https://docs.google.com/spreadsheets/d/1BuTWp7qHGjWhqrnf-OmePP568O4A5Am9ttzvVdP67zw/edit#gid=1603210130"", ""TOURISM!$A$2:$F$2692""), {2,3,4,5,6},0))"),"Africa")</f>
        <v>Africa</v>
      </c>
      <c r="L1461" s="14">
        <f>IFERROR(__xludf.DUMMYFUNCTION("""COMPUTED_VALUE"""),6.6E7)</f>
        <v>66000000</v>
      </c>
      <c r="M1461" s="14" t="str">
        <f>IFERROR(__xludf.DUMMYFUNCTION("""COMPUTED_VALUE"""),"Malawi-Africa")</f>
        <v>Malawi-Africa</v>
      </c>
      <c r="N1461" s="14" t="str">
        <f>IFERROR(__xludf.DUMMYFUNCTION("""COMPUTED_VALUE"""),"2003")</f>
        <v>2003</v>
      </c>
      <c r="O1461" s="14">
        <f>IFERROR(__xludf.DUMMYFUNCTION("""COMPUTED_VALUE"""),7.0E7)</f>
        <v>70000000</v>
      </c>
      <c r="P1461" s="15">
        <f>IFERROR(__xludf.DUMMYFUNCTION("ARRAYFORMULA(VLOOKUP(A1461,IMPORTRANGE(""https://docs.google.com/spreadsheets/d/1BuTWp7qHGjWhqrnf-OmePP568O4A5Am9ttzvVdP67zw/edit#gid=771602874"" ,""HUMAN RESOURCES!$A$2:$M$2692""), {2,3,4,5,6,7,8,9,10,11,12,13},0))"),0.043)</f>
        <v>0.043</v>
      </c>
      <c r="Q1461" s="14">
        <f>IFERROR(__xludf.DUMMYFUNCTION("""COMPUTED_VALUE"""),0.084)</f>
        <v>0.084</v>
      </c>
      <c r="R1461" s="14">
        <f>IFERROR(__xludf.DUMMYFUNCTION("""COMPUTED_VALUE"""),47.0)</f>
        <v>47</v>
      </c>
      <c r="S1461" s="14">
        <f>IFERROR(__xludf.DUMMYFUNCTION("""COMPUTED_VALUE"""),47.0)</f>
        <v>47</v>
      </c>
      <c r="T1461" s="14">
        <f>IFERROR(__xludf.DUMMYFUNCTION("""COMPUTED_VALUE"""),0.461)</f>
        <v>0.461</v>
      </c>
      <c r="U1461" s="14">
        <f>IFERROR(__xludf.DUMMYFUNCTION("""COMPUTED_VALUE"""),0.509)</f>
        <v>0.509</v>
      </c>
      <c r="V1461" s="14">
        <f>IFERROR(__xludf.DUMMYFUNCTION("""COMPUTED_VALUE"""),0.03)</f>
        <v>0.03</v>
      </c>
      <c r="W1461" s="14">
        <f>IFERROR(__xludf.DUMMYFUNCTION("""COMPUTED_VALUE"""),1.2238739E7)</f>
        <v>12238739</v>
      </c>
      <c r="X1461" s="14">
        <f>IFERROR(__xludf.DUMMYFUNCTION("""COMPUTED_VALUE"""),0.149)</f>
        <v>0.149</v>
      </c>
      <c r="Y1461" s="14" t="str">
        <f>IFERROR(__xludf.DUMMYFUNCTION("""COMPUTED_VALUE"""),"Malawi-Africa")</f>
        <v>Malawi-Africa</v>
      </c>
      <c r="Z1461" s="14" t="str">
        <f>IFERROR(__xludf.DUMMYFUNCTION("""COMPUTED_VALUE"""),"Africa")</f>
        <v>Africa</v>
      </c>
      <c r="AA1461" s="14" t="str">
        <f>IFERROR(__xludf.DUMMYFUNCTION("""COMPUTED_VALUE"""),"2003")</f>
        <v>2003</v>
      </c>
      <c r="AB1461" s="15" t="str">
        <f>IFERROR(__xludf.DUMMYFUNCTION("ARRAYFORMULA(VLOOKUP(A1461,IMPORTRANGE(""https://docs.google.com/spreadsheets/d/1BuTWp7qHGjWhqrnf-OmePP568O4A5Am9ttzvVdP67zw/edit#gid=1931367683"" ,""ENERGY!$A$2:$F$2692""), {2,3,4,5,6},0))"),"Africa")</f>
        <v>Africa</v>
      </c>
      <c r="AC1461" s="14" t="str">
        <f>IFERROR(__xludf.DUMMYFUNCTION("""COMPUTED_VALUE"""),"Malawi-Africa")</f>
        <v>Malawi-Africa</v>
      </c>
      <c r="AD1461" s="14" t="str">
        <f>IFERROR(__xludf.DUMMYFUNCTION("""COMPUTED_VALUE"""),"2003")</f>
        <v>2003</v>
      </c>
      <c r="AE1461" s="14"/>
      <c r="AF1461" s="14">
        <f>IFERROR(__xludf.DUMMYFUNCTION("""COMPUTED_VALUE"""),1060.0)</f>
        <v>1060</v>
      </c>
    </row>
    <row r="1462">
      <c r="A1462" s="12">
        <v>1461.0</v>
      </c>
      <c r="B1462" s="12" t="s">
        <v>191</v>
      </c>
      <c r="C1462" s="5" t="s">
        <v>77</v>
      </c>
      <c r="D1462" s="8"/>
      <c r="E1462" s="11">
        <v>39.0</v>
      </c>
      <c r="F1462" s="8"/>
      <c r="G1462" s="8"/>
      <c r="H1462" s="11">
        <v>0.003</v>
      </c>
      <c r="I1462" s="11">
        <v>0.018</v>
      </c>
      <c r="J1462" s="9" t="s">
        <v>65</v>
      </c>
      <c r="K1462" s="14" t="str">
        <f>IFERROR(__xludf.DUMMYFUNCTION("ARRAYFORMULA(VLOOKUP(A1462,IMPORTRANGE(""https://docs.google.com/spreadsheets/d/1BuTWp7qHGjWhqrnf-OmePP568O4A5Am9ttzvVdP67zw/edit#gid=1603210130"", ""TOURISM!$A$2:$F$2692""), {2,3,4,5,6},0))"),"Africa")</f>
        <v>Africa</v>
      </c>
      <c r="L1462" s="14">
        <f>IFERROR(__xludf.DUMMYFUNCTION("""COMPUTED_VALUE"""),7.4E7)</f>
        <v>74000000</v>
      </c>
      <c r="M1462" s="14" t="str">
        <f>IFERROR(__xludf.DUMMYFUNCTION("""COMPUTED_VALUE"""),"Malawi-Africa")</f>
        <v>Malawi-Africa</v>
      </c>
      <c r="N1462" s="14" t="str">
        <f>IFERROR(__xludf.DUMMYFUNCTION("""COMPUTED_VALUE"""),"2004")</f>
        <v>2004</v>
      </c>
      <c r="O1462" s="14">
        <f>IFERROR(__xludf.DUMMYFUNCTION("""COMPUTED_VALUE"""),7.0E7)</f>
        <v>70000000</v>
      </c>
      <c r="P1462" s="15">
        <f>IFERROR(__xludf.DUMMYFUNCTION("ARRAYFORMULA(VLOOKUP(A1462,IMPORTRANGE(""https://docs.google.com/spreadsheets/d/1BuTWp7qHGjWhqrnf-OmePP568O4A5Am9ttzvVdP67zw/edit#gid=771602874"" ,""HUMAN RESOURCES!$A$2:$M$2692""), {2,3,4,5,6,7,8,9,10,11,12,13},0))"),0.043)</f>
        <v>0.043</v>
      </c>
      <c r="Q1462" s="14">
        <f>IFERROR(__xludf.DUMMYFUNCTION("""COMPUTED_VALUE"""),0.078)</f>
        <v>0.078</v>
      </c>
      <c r="R1462" s="14">
        <f>IFERROR(__xludf.DUMMYFUNCTION("""COMPUTED_VALUE"""),48.0)</f>
        <v>48</v>
      </c>
      <c r="S1462" s="14">
        <f>IFERROR(__xludf.DUMMYFUNCTION("""COMPUTED_VALUE"""),48.0)</f>
        <v>48</v>
      </c>
      <c r="T1462" s="14">
        <f>IFERROR(__xludf.DUMMYFUNCTION("""COMPUTED_VALUE"""),0.461)</f>
        <v>0.461</v>
      </c>
      <c r="U1462" s="14">
        <f>IFERROR(__xludf.DUMMYFUNCTION("""COMPUTED_VALUE"""),0.508)</f>
        <v>0.508</v>
      </c>
      <c r="V1462" s="14">
        <f>IFERROR(__xludf.DUMMYFUNCTION("""COMPUTED_VALUE"""),0.03)</f>
        <v>0.03</v>
      </c>
      <c r="W1462" s="14">
        <f>IFERROR(__xludf.DUMMYFUNCTION("""COMPUTED_VALUE"""),1.2569091E7)</f>
        <v>12569091</v>
      </c>
      <c r="X1462" s="14">
        <f>IFERROR(__xludf.DUMMYFUNCTION("""COMPUTED_VALUE"""),0.15)</f>
        <v>0.15</v>
      </c>
      <c r="Y1462" s="14" t="str">
        <f>IFERROR(__xludf.DUMMYFUNCTION("""COMPUTED_VALUE"""),"Malawi-Africa")</f>
        <v>Malawi-Africa</v>
      </c>
      <c r="Z1462" s="14" t="str">
        <f>IFERROR(__xludf.DUMMYFUNCTION("""COMPUTED_VALUE"""),"Africa")</f>
        <v>Africa</v>
      </c>
      <c r="AA1462" s="14" t="str">
        <f>IFERROR(__xludf.DUMMYFUNCTION("""COMPUTED_VALUE"""),"2004")</f>
        <v>2004</v>
      </c>
      <c r="AB1462" s="15" t="str">
        <f>IFERROR(__xludf.DUMMYFUNCTION("ARRAYFORMULA(VLOOKUP(A1462,IMPORTRANGE(""https://docs.google.com/spreadsheets/d/1BuTWp7qHGjWhqrnf-OmePP568O4A5Am9ttzvVdP67zw/edit#gid=1931367683"" ,""ENERGY!$A$2:$F$2692""), {2,3,4,5,6},0))"),"Africa")</f>
        <v>Africa</v>
      </c>
      <c r="AC1462" s="14" t="str">
        <f>IFERROR(__xludf.DUMMYFUNCTION("""COMPUTED_VALUE"""),"Malawi-Africa")</f>
        <v>Malawi-Africa</v>
      </c>
      <c r="AD1462" s="14" t="str">
        <f>IFERROR(__xludf.DUMMYFUNCTION("""COMPUTED_VALUE"""),"2004")</f>
        <v>2004</v>
      </c>
      <c r="AE1462" s="14"/>
      <c r="AF1462" s="14">
        <f>IFERROR(__xludf.DUMMYFUNCTION("""COMPUTED_VALUE"""),1155.0)</f>
        <v>1155</v>
      </c>
    </row>
    <row r="1463">
      <c r="A1463" s="12">
        <v>1462.0</v>
      </c>
      <c r="B1463" s="12" t="s">
        <v>191</v>
      </c>
      <c r="C1463" s="5" t="s">
        <v>77</v>
      </c>
      <c r="D1463" s="11">
        <v>0.334</v>
      </c>
      <c r="E1463" s="11">
        <v>39.0</v>
      </c>
      <c r="F1463" s="8"/>
      <c r="G1463" s="11">
        <v>370.0</v>
      </c>
      <c r="H1463" s="11">
        <v>0.004</v>
      </c>
      <c r="I1463" s="11">
        <v>0.033</v>
      </c>
      <c r="J1463" s="9" t="s">
        <v>66</v>
      </c>
      <c r="K1463" s="14" t="str">
        <f>IFERROR(__xludf.DUMMYFUNCTION("ARRAYFORMULA(VLOOKUP(A1463,IMPORTRANGE(""https://docs.google.com/spreadsheets/d/1BuTWp7qHGjWhqrnf-OmePP568O4A5Am9ttzvVdP67zw/edit#gid=1603210130"", ""TOURISM!$A$2:$F$2692""), {2,3,4,5,6},0))"),"Africa")</f>
        <v>Africa</v>
      </c>
      <c r="L1463" s="14">
        <f>IFERROR(__xludf.DUMMYFUNCTION("""COMPUTED_VALUE"""),4.8E7)</f>
        <v>48000000</v>
      </c>
      <c r="M1463" s="14" t="str">
        <f>IFERROR(__xludf.DUMMYFUNCTION("""COMPUTED_VALUE"""),"Malawi-Africa")</f>
        <v>Malawi-Africa</v>
      </c>
      <c r="N1463" s="14" t="str">
        <f>IFERROR(__xludf.DUMMYFUNCTION("""COMPUTED_VALUE"""),"2005")</f>
        <v>2005</v>
      </c>
      <c r="O1463" s="14">
        <f>IFERROR(__xludf.DUMMYFUNCTION("""COMPUTED_VALUE"""),8.4E7)</f>
        <v>84000000</v>
      </c>
      <c r="P1463" s="15">
        <f>IFERROR(__xludf.DUMMYFUNCTION("ARRAYFORMULA(VLOOKUP(A1463,IMPORTRANGE(""https://docs.google.com/spreadsheets/d/1BuTWp7qHGjWhqrnf-OmePP568O4A5Am9ttzvVdP67zw/edit#gid=771602874"" ,""HUMAN RESOURCES!$A$2:$M$2692""), {2,3,4,5,6,7,8,9,10,11,12,13},0))"),0.042)</f>
        <v>0.042</v>
      </c>
      <c r="Q1463" s="14">
        <f>IFERROR(__xludf.DUMMYFUNCTION("""COMPUTED_VALUE"""),0.073)</f>
        <v>0.073</v>
      </c>
      <c r="R1463" s="14">
        <f>IFERROR(__xludf.DUMMYFUNCTION("""COMPUTED_VALUE"""),49.0)</f>
        <v>49</v>
      </c>
      <c r="S1463" s="14">
        <f>IFERROR(__xludf.DUMMYFUNCTION("""COMPUTED_VALUE"""),49.0)</f>
        <v>49</v>
      </c>
      <c r="T1463" s="14">
        <f>IFERROR(__xludf.DUMMYFUNCTION("""COMPUTED_VALUE"""),0.461)</f>
        <v>0.461</v>
      </c>
      <c r="U1463" s="14">
        <f>IFERROR(__xludf.DUMMYFUNCTION("""COMPUTED_VALUE"""),0.508)</f>
        <v>0.508</v>
      </c>
      <c r="V1463" s="14">
        <f>IFERROR(__xludf.DUMMYFUNCTION("""COMPUTED_VALUE"""),0.031)</f>
        <v>0.031</v>
      </c>
      <c r="W1463" s="14">
        <f>IFERROR(__xludf.DUMMYFUNCTION("""COMPUTED_VALUE"""),1.2924746E7)</f>
        <v>12924746</v>
      </c>
      <c r="X1463" s="14">
        <f>IFERROR(__xludf.DUMMYFUNCTION("""COMPUTED_VALUE"""),0.151)</f>
        <v>0.151</v>
      </c>
      <c r="Y1463" s="14" t="str">
        <f>IFERROR(__xludf.DUMMYFUNCTION("""COMPUTED_VALUE"""),"Malawi-Africa")</f>
        <v>Malawi-Africa</v>
      </c>
      <c r="Z1463" s="14" t="str">
        <f>IFERROR(__xludf.DUMMYFUNCTION("""COMPUTED_VALUE"""),"Africa")</f>
        <v>Africa</v>
      </c>
      <c r="AA1463" s="14" t="str">
        <f>IFERROR(__xludf.DUMMYFUNCTION("""COMPUTED_VALUE"""),"2005")</f>
        <v>2005</v>
      </c>
      <c r="AB1463" s="15" t="str">
        <f>IFERROR(__xludf.DUMMYFUNCTION("ARRAYFORMULA(VLOOKUP(A1463,IMPORTRANGE(""https://docs.google.com/spreadsheets/d/1BuTWp7qHGjWhqrnf-OmePP568O4A5Am9ttzvVdP67zw/edit#gid=1931367683"" ,""ENERGY!$A$2:$F$2692""), {2,3,4,5,6},0))"),"Africa")</f>
        <v>Africa</v>
      </c>
      <c r="AC1463" s="14" t="str">
        <f>IFERROR(__xludf.DUMMYFUNCTION("""COMPUTED_VALUE"""),"Malawi-Africa")</f>
        <v>Malawi-Africa</v>
      </c>
      <c r="AD1463" s="14" t="str">
        <f>IFERROR(__xludf.DUMMYFUNCTION("""COMPUTED_VALUE"""),"2007")</f>
        <v>2007</v>
      </c>
      <c r="AE1463" s="14"/>
      <c r="AF1463" s="14">
        <f>IFERROR(__xludf.DUMMYFUNCTION("""COMPUTED_VALUE"""),953.0)</f>
        <v>953</v>
      </c>
    </row>
    <row r="1464">
      <c r="A1464" s="12">
        <v>1463.0</v>
      </c>
      <c r="B1464" s="12" t="s">
        <v>191</v>
      </c>
      <c r="C1464" s="5" t="s">
        <v>77</v>
      </c>
      <c r="D1464" s="11">
        <v>0.334</v>
      </c>
      <c r="E1464" s="11">
        <v>39.0</v>
      </c>
      <c r="F1464" s="8"/>
      <c r="G1464" s="11">
        <v>370.0</v>
      </c>
      <c r="H1464" s="11">
        <v>0.004</v>
      </c>
      <c r="I1464" s="11">
        <v>0.047</v>
      </c>
      <c r="J1464" s="9" t="s">
        <v>67</v>
      </c>
      <c r="K1464" s="14" t="str">
        <f>IFERROR(__xludf.DUMMYFUNCTION("ARRAYFORMULA(VLOOKUP(A1464,IMPORTRANGE(""https://docs.google.com/spreadsheets/d/1BuTWp7qHGjWhqrnf-OmePP568O4A5Am9ttzvVdP67zw/edit#gid=1603210130"", ""TOURISM!$A$2:$F$2692""), {2,3,4,5,6},0))"),"Africa")</f>
        <v>Africa</v>
      </c>
      <c r="L1464" s="14">
        <f>IFERROR(__xludf.DUMMYFUNCTION("""COMPUTED_VALUE"""),4.5E7)</f>
        <v>45000000</v>
      </c>
      <c r="M1464" s="14" t="str">
        <f>IFERROR(__xludf.DUMMYFUNCTION("""COMPUTED_VALUE"""),"Malawi-Africa")</f>
        <v>Malawi-Africa</v>
      </c>
      <c r="N1464" s="14" t="str">
        <f>IFERROR(__xludf.DUMMYFUNCTION("""COMPUTED_VALUE"""),"2006")</f>
        <v>2006</v>
      </c>
      <c r="O1464" s="14">
        <f>IFERROR(__xludf.DUMMYFUNCTION("""COMPUTED_VALUE"""),8.5E7)</f>
        <v>85000000</v>
      </c>
      <c r="P1464" s="15">
        <f>IFERROR(__xludf.DUMMYFUNCTION("ARRAYFORMULA(VLOOKUP(A1464,IMPORTRANGE(""https://docs.google.com/spreadsheets/d/1BuTWp7qHGjWhqrnf-OmePP568O4A5Am9ttzvVdP67zw/edit#gid=771602874"" ,""HUMAN RESOURCES!$A$2:$M$2692""), {2,3,4,5,6,7,8,9,10,11,12,13},0))"),0.042)</f>
        <v>0.042</v>
      </c>
      <c r="Q1464" s="14">
        <f>IFERROR(__xludf.DUMMYFUNCTION("""COMPUTED_VALUE"""),0.068)</f>
        <v>0.068</v>
      </c>
      <c r="R1464" s="14">
        <f>IFERROR(__xludf.DUMMYFUNCTION("""COMPUTED_VALUE"""),50.0)</f>
        <v>50</v>
      </c>
      <c r="S1464" s="14">
        <f>IFERROR(__xludf.DUMMYFUNCTION("""COMPUTED_VALUE"""),50.0)</f>
        <v>50</v>
      </c>
      <c r="T1464" s="14">
        <f>IFERROR(__xludf.DUMMYFUNCTION("""COMPUTED_VALUE"""),0.461)</f>
        <v>0.461</v>
      </c>
      <c r="U1464" s="14">
        <f>IFERROR(__xludf.DUMMYFUNCTION("""COMPUTED_VALUE"""),0.508)</f>
        <v>0.508</v>
      </c>
      <c r="V1464" s="14">
        <f>IFERROR(__xludf.DUMMYFUNCTION("""COMPUTED_VALUE"""),0.03)</f>
        <v>0.03</v>
      </c>
      <c r="W1464" s="14">
        <f>IFERROR(__xludf.DUMMYFUNCTION("""COMPUTED_VALUE"""),1.3307535E7)</f>
        <v>13307535</v>
      </c>
      <c r="X1464" s="14">
        <f>IFERROR(__xludf.DUMMYFUNCTION("""COMPUTED_VALUE"""),0.151)</f>
        <v>0.151</v>
      </c>
      <c r="Y1464" s="14" t="str">
        <f>IFERROR(__xludf.DUMMYFUNCTION("""COMPUTED_VALUE"""),"Malawi-Africa")</f>
        <v>Malawi-Africa</v>
      </c>
      <c r="Z1464" s="14" t="str">
        <f>IFERROR(__xludf.DUMMYFUNCTION("""COMPUTED_VALUE"""),"Africa")</f>
        <v>Africa</v>
      </c>
      <c r="AA1464" s="14" t="str">
        <f>IFERROR(__xludf.DUMMYFUNCTION("""COMPUTED_VALUE"""),"2006")</f>
        <v>2006</v>
      </c>
      <c r="AB1464" s="15" t="str">
        <f>IFERROR(__xludf.DUMMYFUNCTION("ARRAYFORMULA(VLOOKUP(A1464,IMPORTRANGE(""https://docs.google.com/spreadsheets/d/1BuTWp7qHGjWhqrnf-OmePP568O4A5Am9ttzvVdP67zw/edit#gid=1931367683"" ,""ENERGY!$A$2:$F$2692""), {2,3,4,5,6},0))"),"Africa")</f>
        <v>Africa</v>
      </c>
      <c r="AC1464" s="14" t="str">
        <f>IFERROR(__xludf.DUMMYFUNCTION("""COMPUTED_VALUE"""),"Malawi-Africa")</f>
        <v>Malawi-Africa</v>
      </c>
      <c r="AD1464" s="14" t="str">
        <f>IFERROR(__xludf.DUMMYFUNCTION("""COMPUTED_VALUE"""),"2011")</f>
        <v>2011</v>
      </c>
      <c r="AE1464" s="14"/>
      <c r="AF1464" s="14">
        <f>IFERROR(__xludf.DUMMYFUNCTION("""COMPUTED_VALUE"""),953.0)</f>
        <v>953</v>
      </c>
    </row>
    <row r="1465">
      <c r="A1465" s="12">
        <v>1464.0</v>
      </c>
      <c r="B1465" s="12" t="s">
        <v>191</v>
      </c>
      <c r="C1465" s="5" t="s">
        <v>77</v>
      </c>
      <c r="D1465" s="11">
        <v>0.33</v>
      </c>
      <c r="E1465" s="11">
        <v>39.0</v>
      </c>
      <c r="F1465" s="8"/>
      <c r="G1465" s="11">
        <v>370.0</v>
      </c>
      <c r="H1465" s="11">
        <v>0.01</v>
      </c>
      <c r="I1465" s="11">
        <v>0.077</v>
      </c>
      <c r="J1465" s="9" t="s">
        <v>68</v>
      </c>
      <c r="K1465" s="14" t="str">
        <f>IFERROR(__xludf.DUMMYFUNCTION("ARRAYFORMULA(VLOOKUP(A1465,IMPORTRANGE(""https://docs.google.com/spreadsheets/d/1BuTWp7qHGjWhqrnf-OmePP568O4A5Am9ttzvVdP67zw/edit#gid=1603210130"", ""TOURISM!$A$2:$F$2692""), {2,3,4,5,6},0))"),"Africa")</f>
        <v>Africa</v>
      </c>
      <c r="L1465" s="14">
        <f>IFERROR(__xludf.DUMMYFUNCTION("""COMPUTED_VALUE"""),4.3E7)</f>
        <v>43000000</v>
      </c>
      <c r="M1465" s="14" t="str">
        <f>IFERROR(__xludf.DUMMYFUNCTION("""COMPUTED_VALUE"""),"Malawi-Africa")</f>
        <v>Malawi-Africa</v>
      </c>
      <c r="N1465" s="14" t="str">
        <f>IFERROR(__xludf.DUMMYFUNCTION("""COMPUTED_VALUE"""),"2007")</f>
        <v>2007</v>
      </c>
      <c r="O1465" s="14">
        <f>IFERROR(__xludf.DUMMYFUNCTION("""COMPUTED_VALUE"""),7.9E7)</f>
        <v>79000000</v>
      </c>
      <c r="P1465" s="15">
        <f>IFERROR(__xludf.DUMMYFUNCTION("ARRAYFORMULA(VLOOKUP(A1465,IMPORTRANGE(""https://docs.google.com/spreadsheets/d/1BuTWp7qHGjWhqrnf-OmePP568O4A5Am9ttzvVdP67zw/edit#gid=771602874"" ,""HUMAN RESOURCES!$A$2:$M$2692""), {2,3,4,5,6,7,8,9,10,11,12,13},0))"),0.042)</f>
        <v>0.042</v>
      </c>
      <c r="Q1465" s="14">
        <f>IFERROR(__xludf.DUMMYFUNCTION("""COMPUTED_VALUE"""),0.064)</f>
        <v>0.064</v>
      </c>
      <c r="R1465" s="14">
        <f>IFERROR(__xludf.DUMMYFUNCTION("""COMPUTED_VALUE"""),51.0)</f>
        <v>51</v>
      </c>
      <c r="S1465" s="14">
        <f>IFERROR(__xludf.DUMMYFUNCTION("""COMPUTED_VALUE"""),51.0)</f>
        <v>51</v>
      </c>
      <c r="T1465" s="14">
        <f>IFERROR(__xludf.DUMMYFUNCTION("""COMPUTED_VALUE"""),0.461)</f>
        <v>0.461</v>
      </c>
      <c r="U1465" s="14">
        <f>IFERROR(__xludf.DUMMYFUNCTION("""COMPUTED_VALUE"""),0.509)</f>
        <v>0.509</v>
      </c>
      <c r="V1465" s="14">
        <f>IFERROR(__xludf.DUMMYFUNCTION("""COMPUTED_VALUE"""),0.03)</f>
        <v>0.03</v>
      </c>
      <c r="W1465" s="14">
        <f>IFERROR(__xludf.DUMMYFUNCTION("""COMPUTED_VALUE"""),1.3713758E7)</f>
        <v>13713758</v>
      </c>
      <c r="X1465" s="14">
        <f>IFERROR(__xludf.DUMMYFUNCTION("""COMPUTED_VALUE"""),0.152)</f>
        <v>0.152</v>
      </c>
      <c r="Y1465" s="14" t="str">
        <f>IFERROR(__xludf.DUMMYFUNCTION("""COMPUTED_VALUE"""),"Malawi-Africa")</f>
        <v>Malawi-Africa</v>
      </c>
      <c r="Z1465" s="14" t="str">
        <f>IFERROR(__xludf.DUMMYFUNCTION("""COMPUTED_VALUE"""),"Africa")</f>
        <v>Africa</v>
      </c>
      <c r="AA1465" s="14" t="str">
        <f>IFERROR(__xludf.DUMMYFUNCTION("""COMPUTED_VALUE"""),"2007")</f>
        <v>2007</v>
      </c>
      <c r="AB1465" s="15" t="str">
        <f>IFERROR(__xludf.DUMMYFUNCTION("ARRAYFORMULA(VLOOKUP(A1465,IMPORTRANGE(""https://docs.google.com/spreadsheets/d/1BuTWp7qHGjWhqrnf-OmePP568O4A5Am9ttzvVdP67zw/edit#gid=1931367683"" ,""ENERGY!$A$2:$F$2692""), {2,3,4,5,6},0))"),"Africa")</f>
        <v>Africa</v>
      </c>
      <c r="AC1465" s="14" t="str">
        <f>IFERROR(__xludf.DUMMYFUNCTION("""COMPUTED_VALUE"""),"Malawi-Africa")</f>
        <v>Malawi-Africa</v>
      </c>
      <c r="AD1465" s="14" t="str">
        <f>IFERROR(__xludf.DUMMYFUNCTION("""COMPUTED_VALUE"""),"2009")</f>
        <v>2009</v>
      </c>
      <c r="AE1465" s="14"/>
      <c r="AF1465" s="14">
        <f>IFERROR(__xludf.DUMMYFUNCTION("""COMPUTED_VALUE"""),917.0)</f>
        <v>917</v>
      </c>
    </row>
    <row r="1466">
      <c r="A1466" s="12">
        <v>1465.0</v>
      </c>
      <c r="B1466" s="12" t="s">
        <v>191</v>
      </c>
      <c r="C1466" s="5" t="s">
        <v>77</v>
      </c>
      <c r="D1466" s="11">
        <v>0.322</v>
      </c>
      <c r="E1466" s="11">
        <v>39.0</v>
      </c>
      <c r="F1466" s="8"/>
      <c r="G1466" s="11">
        <v>292.0</v>
      </c>
      <c r="H1466" s="11">
        <v>0.007</v>
      </c>
      <c r="I1466" s="11">
        <v>0.107</v>
      </c>
      <c r="J1466" s="9" t="s">
        <v>69</v>
      </c>
      <c r="K1466" s="14" t="str">
        <f>IFERROR(__xludf.DUMMYFUNCTION("ARRAYFORMULA(VLOOKUP(A1466,IMPORTRANGE(""https://docs.google.com/spreadsheets/d/1BuTWp7qHGjWhqrnf-OmePP568O4A5Am9ttzvVdP67zw/edit#gid=1603210130"", ""TOURISM!$A$2:$F$2692""), {2,3,4,5,6},0))"),"Africa")</f>
        <v>Africa</v>
      </c>
      <c r="L1466" s="14">
        <f>IFERROR(__xludf.DUMMYFUNCTION("""COMPUTED_VALUE"""),4.3E7)</f>
        <v>43000000</v>
      </c>
      <c r="M1466" s="14" t="str">
        <f>IFERROR(__xludf.DUMMYFUNCTION("""COMPUTED_VALUE"""),"Malawi-Africa")</f>
        <v>Malawi-Africa</v>
      </c>
      <c r="N1466" s="14" t="str">
        <f>IFERROR(__xludf.DUMMYFUNCTION("""COMPUTED_VALUE"""),"2008")</f>
        <v>2008</v>
      </c>
      <c r="O1466" s="14">
        <f>IFERROR(__xludf.DUMMYFUNCTION("""COMPUTED_VALUE"""),8.6E7)</f>
        <v>86000000</v>
      </c>
      <c r="P1466" s="15">
        <f>IFERROR(__xludf.DUMMYFUNCTION("ARRAYFORMULA(VLOOKUP(A1466,IMPORTRANGE(""https://docs.google.com/spreadsheets/d/1BuTWp7qHGjWhqrnf-OmePP568O4A5Am9ttzvVdP67zw/edit#gid=771602874"" ,""HUMAN RESOURCES!$A$2:$M$2692""), {2,3,4,5,6,7,8,9,10,11,12,13},0))"),0.042)</f>
        <v>0.042</v>
      </c>
      <c r="Q1466" s="14">
        <f>IFERROR(__xludf.DUMMYFUNCTION("""COMPUTED_VALUE"""),0.059)</f>
        <v>0.059</v>
      </c>
      <c r="R1466" s="14">
        <f>IFERROR(__xludf.DUMMYFUNCTION("""COMPUTED_VALUE"""),52.0)</f>
        <v>52</v>
      </c>
      <c r="S1466" s="14">
        <f>IFERROR(__xludf.DUMMYFUNCTION("""COMPUTED_VALUE"""),52.0)</f>
        <v>52</v>
      </c>
      <c r="T1466" s="14">
        <f>IFERROR(__xludf.DUMMYFUNCTION("""COMPUTED_VALUE"""),0.46)</f>
        <v>0.46</v>
      </c>
      <c r="U1466" s="14">
        <f>IFERROR(__xludf.DUMMYFUNCTION("""COMPUTED_VALUE"""),0.509)</f>
        <v>0.509</v>
      </c>
      <c r="V1466" s="14">
        <f>IFERROR(__xludf.DUMMYFUNCTION("""COMPUTED_VALUE"""),0.03)</f>
        <v>0.03</v>
      </c>
      <c r="W1466" s="14">
        <f>IFERROR(__xludf.DUMMYFUNCTION("""COMPUTED_VALUE"""),1.4138207E7)</f>
        <v>14138207</v>
      </c>
      <c r="X1466" s="14">
        <f>IFERROR(__xludf.DUMMYFUNCTION("""COMPUTED_VALUE"""),0.153)</f>
        <v>0.153</v>
      </c>
      <c r="Y1466" s="14" t="str">
        <f>IFERROR(__xludf.DUMMYFUNCTION("""COMPUTED_VALUE"""),"Malawi-Africa")</f>
        <v>Malawi-Africa</v>
      </c>
      <c r="Z1466" s="14" t="str">
        <f>IFERROR(__xludf.DUMMYFUNCTION("""COMPUTED_VALUE"""),"Africa")</f>
        <v>Africa</v>
      </c>
      <c r="AA1466" s="14" t="str">
        <f>IFERROR(__xludf.DUMMYFUNCTION("""COMPUTED_VALUE"""),"2008")</f>
        <v>2008</v>
      </c>
      <c r="AB1466" s="15" t="str">
        <f>IFERROR(__xludf.DUMMYFUNCTION("ARRAYFORMULA(VLOOKUP(A1466,IMPORTRANGE(""https://docs.google.com/spreadsheets/d/1BuTWp7qHGjWhqrnf-OmePP568O4A5Am9ttzvVdP67zw/edit#gid=1931367683"" ,""ENERGY!$A$2:$F$2692""), {2,3,4,5,6},0))"),"Africa")</f>
        <v>Africa</v>
      </c>
      <c r="AC1466" s="14" t="str">
        <f>IFERROR(__xludf.DUMMYFUNCTION("""COMPUTED_VALUE"""),"Malawi-Africa")</f>
        <v>Malawi-Africa</v>
      </c>
      <c r="AD1466" s="14" t="str">
        <f>IFERROR(__xludf.DUMMYFUNCTION("""COMPUTED_VALUE"""),"2006")</f>
        <v>2006</v>
      </c>
      <c r="AE1466" s="14"/>
      <c r="AF1466" s="14">
        <f>IFERROR(__xludf.DUMMYFUNCTION("""COMPUTED_VALUE"""),975.0)</f>
        <v>975</v>
      </c>
    </row>
    <row r="1467">
      <c r="A1467" s="12">
        <v>1466.0</v>
      </c>
      <c r="B1467" s="12" t="s">
        <v>191</v>
      </c>
      <c r="C1467" s="5" t="s">
        <v>77</v>
      </c>
      <c r="D1467" s="11">
        <v>0.263</v>
      </c>
      <c r="E1467" s="11">
        <v>39.0</v>
      </c>
      <c r="F1467" s="8"/>
      <c r="G1467" s="11">
        <v>157.0</v>
      </c>
      <c r="H1467" s="11">
        <v>0.011</v>
      </c>
      <c r="I1467" s="11">
        <v>0.171</v>
      </c>
      <c r="J1467" s="9" t="s">
        <v>70</v>
      </c>
      <c r="K1467" s="14" t="str">
        <f>IFERROR(__xludf.DUMMYFUNCTION("ARRAYFORMULA(VLOOKUP(A1467,IMPORTRANGE(""https://docs.google.com/spreadsheets/d/1BuTWp7qHGjWhqrnf-OmePP568O4A5Am9ttzvVdP67zw/edit#gid=1603210130"", ""TOURISM!$A$2:$F$2692""), {2,3,4,5,6},0))"),"Africa")</f>
        <v>Africa</v>
      </c>
      <c r="L1467" s="14">
        <f>IFERROR(__xludf.DUMMYFUNCTION("""COMPUTED_VALUE"""),4.6E7)</f>
        <v>46000000</v>
      </c>
      <c r="M1467" s="14" t="str">
        <f>IFERROR(__xludf.DUMMYFUNCTION("""COMPUTED_VALUE"""),"Malawi-Africa")</f>
        <v>Malawi-Africa</v>
      </c>
      <c r="N1467" s="14" t="str">
        <f>IFERROR(__xludf.DUMMYFUNCTION("""COMPUTED_VALUE"""),"2009")</f>
        <v>2009</v>
      </c>
      <c r="O1467" s="14">
        <f>IFERROR(__xludf.DUMMYFUNCTION("""COMPUTED_VALUE"""),9.1E7)</f>
        <v>91000000</v>
      </c>
      <c r="P1467" s="15">
        <f>IFERROR(__xludf.DUMMYFUNCTION("ARRAYFORMULA(VLOOKUP(A1467,IMPORTRANGE(""https://docs.google.com/spreadsheets/d/1BuTWp7qHGjWhqrnf-OmePP568O4A5Am9ttzvVdP67zw/edit#gid=771602874"" ,""HUMAN RESOURCES!$A$2:$M$2692""), {2,3,4,5,6,7,8,9,10,11,12,13},0))"),0.041)</f>
        <v>0.041</v>
      </c>
      <c r="Q1467" s="14">
        <f>IFERROR(__xludf.DUMMYFUNCTION("""COMPUTED_VALUE"""),0.055)</f>
        <v>0.055</v>
      </c>
      <c r="R1467" s="14">
        <f>IFERROR(__xludf.DUMMYFUNCTION("""COMPUTED_VALUE"""),53.0)</f>
        <v>53</v>
      </c>
      <c r="S1467" s="14">
        <f>IFERROR(__xludf.DUMMYFUNCTION("""COMPUTED_VALUE"""),53.0)</f>
        <v>53</v>
      </c>
      <c r="T1467" s="14">
        <f>IFERROR(__xludf.DUMMYFUNCTION("""COMPUTED_VALUE"""),0.459)</f>
        <v>0.459</v>
      </c>
      <c r="U1467" s="14">
        <f>IFERROR(__xludf.DUMMYFUNCTION("""COMPUTED_VALUE"""),0.51)</f>
        <v>0.51</v>
      </c>
      <c r="V1467" s="14">
        <f>IFERROR(__xludf.DUMMYFUNCTION("""COMPUTED_VALUE"""),0.031)</f>
        <v>0.031</v>
      </c>
      <c r="W1467" s="14">
        <f>IFERROR(__xludf.DUMMYFUNCTION("""COMPUTED_VALUE"""),1.4573338E7)</f>
        <v>14573338</v>
      </c>
      <c r="X1467" s="14">
        <f>IFERROR(__xludf.DUMMYFUNCTION("""COMPUTED_VALUE"""),0.154)</f>
        <v>0.154</v>
      </c>
      <c r="Y1467" s="14" t="str">
        <f>IFERROR(__xludf.DUMMYFUNCTION("""COMPUTED_VALUE"""),"Malawi-Africa")</f>
        <v>Malawi-Africa</v>
      </c>
      <c r="Z1467" s="14" t="str">
        <f>IFERROR(__xludf.DUMMYFUNCTION("""COMPUTED_VALUE"""),"Africa")</f>
        <v>Africa</v>
      </c>
      <c r="AA1467" s="14" t="str">
        <f>IFERROR(__xludf.DUMMYFUNCTION("""COMPUTED_VALUE"""),"2009")</f>
        <v>2009</v>
      </c>
      <c r="AB1467" s="15" t="str">
        <f>IFERROR(__xludf.DUMMYFUNCTION("ARRAYFORMULA(VLOOKUP(A1467,IMPORTRANGE(""https://docs.google.com/spreadsheets/d/1BuTWp7qHGjWhqrnf-OmePP568O4A5Am9ttzvVdP67zw/edit#gid=1931367683"" ,""ENERGY!$A$2:$F$2692""), {2,3,4,5,6},0))"),"Africa")</f>
        <v>Africa</v>
      </c>
      <c r="AC1467" s="14" t="str">
        <f>IFERROR(__xludf.DUMMYFUNCTION("""COMPUTED_VALUE"""),"Malawi-Africa")</f>
        <v>Malawi-Africa</v>
      </c>
      <c r="AD1467" s="14" t="str">
        <f>IFERROR(__xludf.DUMMYFUNCTION("""COMPUTED_VALUE"""),"2010")</f>
        <v>2010</v>
      </c>
      <c r="AE1467" s="14"/>
      <c r="AF1467" s="14">
        <f>IFERROR(__xludf.DUMMYFUNCTION("""COMPUTED_VALUE"""),957.0)</f>
        <v>957</v>
      </c>
    </row>
    <row r="1468">
      <c r="A1468" s="12">
        <v>1467.0</v>
      </c>
      <c r="B1468" s="12" t="s">
        <v>191</v>
      </c>
      <c r="C1468" s="5" t="s">
        <v>77</v>
      </c>
      <c r="D1468" s="11">
        <v>0.259</v>
      </c>
      <c r="E1468" s="11">
        <v>39.0</v>
      </c>
      <c r="F1468" s="8"/>
      <c r="G1468" s="11">
        <v>157.0</v>
      </c>
      <c r="H1468" s="11">
        <v>0.023</v>
      </c>
      <c r="I1468" s="11">
        <v>0.208</v>
      </c>
      <c r="J1468" s="9" t="s">
        <v>71</v>
      </c>
      <c r="K1468" s="14" t="str">
        <f>IFERROR(__xludf.DUMMYFUNCTION("ARRAYFORMULA(VLOOKUP(A1468,IMPORTRANGE(""https://docs.google.com/spreadsheets/d/1BuTWp7qHGjWhqrnf-OmePP568O4A5Am9ttzvVdP67zw/edit#gid=1603210130"", ""TOURISM!$A$2:$F$2692""), {2,3,4,5,6},0))"),"Africa")</f>
        <v>Africa</v>
      </c>
      <c r="L1468" s="14">
        <f>IFERROR(__xludf.DUMMYFUNCTION("""COMPUTED_VALUE"""),4.7E7)</f>
        <v>47000000</v>
      </c>
      <c r="M1468" s="14" t="str">
        <f>IFERROR(__xludf.DUMMYFUNCTION("""COMPUTED_VALUE"""),"Malawi-Africa")</f>
        <v>Malawi-Africa</v>
      </c>
      <c r="N1468" s="14" t="str">
        <f>IFERROR(__xludf.DUMMYFUNCTION("""COMPUTED_VALUE"""),"2010")</f>
        <v>2010</v>
      </c>
      <c r="O1468" s="14">
        <f>IFERROR(__xludf.DUMMYFUNCTION("""COMPUTED_VALUE"""),9.3E7)</f>
        <v>93000000</v>
      </c>
      <c r="P1468" s="15">
        <f>IFERROR(__xludf.DUMMYFUNCTION("ARRAYFORMULA(VLOOKUP(A1468,IMPORTRANGE(""https://docs.google.com/spreadsheets/d/1BuTWp7qHGjWhqrnf-OmePP568O4A5Am9ttzvVdP67zw/edit#gid=771602874"" ,""HUMAN RESOURCES!$A$2:$M$2692""), {2,3,4,5,6,7,8,9,10,11,12,13},0))"),0.041)</f>
        <v>0.041</v>
      </c>
      <c r="Q1468" s="14">
        <f>IFERROR(__xludf.DUMMYFUNCTION("""COMPUTED_VALUE"""),0.053)</f>
        <v>0.053</v>
      </c>
      <c r="R1468" s="14">
        <f>IFERROR(__xludf.DUMMYFUNCTION("""COMPUTED_VALUE"""),54.0)</f>
        <v>54</v>
      </c>
      <c r="S1468" s="14">
        <f>IFERROR(__xludf.DUMMYFUNCTION("""COMPUTED_VALUE"""),53.0)</f>
        <v>53</v>
      </c>
      <c r="T1468" s="14">
        <f>IFERROR(__xludf.DUMMYFUNCTION("""COMPUTED_VALUE"""),0.458)</f>
        <v>0.458</v>
      </c>
      <c r="U1468" s="14">
        <f>IFERROR(__xludf.DUMMYFUNCTION("""COMPUTED_VALUE"""),0.511)</f>
        <v>0.511</v>
      </c>
      <c r="V1468" s="14">
        <f>IFERROR(__xludf.DUMMYFUNCTION("""COMPUTED_VALUE"""),0.031)</f>
        <v>0.031</v>
      </c>
      <c r="W1468" s="14">
        <f>IFERROR(__xludf.DUMMYFUNCTION("""COMPUTED_VALUE"""),1.5013694E7)</f>
        <v>15013694</v>
      </c>
      <c r="X1468" s="14">
        <f>IFERROR(__xludf.DUMMYFUNCTION("""COMPUTED_VALUE"""),0.155)</f>
        <v>0.155</v>
      </c>
      <c r="Y1468" s="14" t="str">
        <f>IFERROR(__xludf.DUMMYFUNCTION("""COMPUTED_VALUE"""),"Malawi-Africa")</f>
        <v>Malawi-Africa</v>
      </c>
      <c r="Z1468" s="14" t="str">
        <f>IFERROR(__xludf.DUMMYFUNCTION("""COMPUTED_VALUE"""),"Africa")</f>
        <v>Africa</v>
      </c>
      <c r="AA1468" s="14" t="str">
        <f>IFERROR(__xludf.DUMMYFUNCTION("""COMPUTED_VALUE"""),"2010")</f>
        <v>2010</v>
      </c>
      <c r="AB1468" s="15" t="str">
        <f>IFERROR(__xludf.DUMMYFUNCTION("ARRAYFORMULA(VLOOKUP(A1468,IMPORTRANGE(""https://docs.google.com/spreadsheets/d/1BuTWp7qHGjWhqrnf-OmePP568O4A5Am9ttzvVdP67zw/edit#gid=1931367683"" ,""ENERGY!$A$2:$F$2692""), {2,3,4,5,6},0))"),"Africa")</f>
        <v>Africa</v>
      </c>
      <c r="AC1468" s="14" t="str">
        <f>IFERROR(__xludf.DUMMYFUNCTION("""COMPUTED_VALUE"""),"Malawi-Africa")</f>
        <v>Malawi-Africa</v>
      </c>
      <c r="AD1468" s="14" t="str">
        <f>IFERROR(__xludf.DUMMYFUNCTION("""COMPUTED_VALUE"""),"2012")</f>
        <v>2012</v>
      </c>
      <c r="AE1468" s="14"/>
      <c r="AF1468" s="14">
        <f>IFERROR(__xludf.DUMMYFUNCTION("""COMPUTED_VALUE"""),884.0)</f>
        <v>884</v>
      </c>
    </row>
    <row r="1469">
      <c r="A1469" s="12">
        <v>1468.0</v>
      </c>
      <c r="B1469" s="12" t="s">
        <v>191</v>
      </c>
      <c r="C1469" s="5" t="s">
        <v>77</v>
      </c>
      <c r="D1469" s="11">
        <v>0.29</v>
      </c>
      <c r="E1469" s="11">
        <v>39.0</v>
      </c>
      <c r="F1469" s="8"/>
      <c r="G1469" s="11">
        <v>157.0</v>
      </c>
      <c r="H1469" s="11">
        <v>0.033</v>
      </c>
      <c r="I1469" s="11">
        <v>0.256</v>
      </c>
      <c r="J1469" s="9" t="s">
        <v>72</v>
      </c>
      <c r="K1469" s="14" t="str">
        <f>IFERROR(__xludf.DUMMYFUNCTION("ARRAYFORMULA(VLOOKUP(A1469,IMPORTRANGE(""https://docs.google.com/spreadsheets/d/1BuTWp7qHGjWhqrnf-OmePP568O4A5Am9ttzvVdP67zw/edit#gid=1603210130"", ""TOURISM!$A$2:$F$2692""), {2,3,4,5,6},0))"),"Africa")</f>
        <v>Africa</v>
      </c>
      <c r="L1469" s="14">
        <f>IFERROR(__xludf.DUMMYFUNCTION("""COMPUTED_VALUE"""),3.9E7)</f>
        <v>39000000</v>
      </c>
      <c r="M1469" s="14" t="str">
        <f>IFERROR(__xludf.DUMMYFUNCTION("""COMPUTED_VALUE"""),"Malawi-Africa")</f>
        <v>Malawi-Africa</v>
      </c>
      <c r="N1469" s="14" t="str">
        <f>IFERROR(__xludf.DUMMYFUNCTION("""COMPUTED_VALUE"""),"2011")</f>
        <v>2011</v>
      </c>
      <c r="O1469" s="14">
        <f>IFERROR(__xludf.DUMMYFUNCTION("""COMPUTED_VALUE"""),9.7E7)</f>
        <v>97000000</v>
      </c>
      <c r="P1469" s="15">
        <f>IFERROR(__xludf.DUMMYFUNCTION("ARRAYFORMULA(VLOOKUP(A1469,IMPORTRANGE(""https://docs.google.com/spreadsheets/d/1BuTWp7qHGjWhqrnf-OmePP568O4A5Am9ttzvVdP67zw/edit#gid=771602874"" ,""HUMAN RESOURCES!$A$2:$M$2692""), {2,3,4,5,6,7,8,9,10,11,12,13},0))"),0.04)</f>
        <v>0.04</v>
      </c>
      <c r="Q1469" s="14">
        <f>IFERROR(__xludf.DUMMYFUNCTION("""COMPUTED_VALUE"""),0.049)</f>
        <v>0.049</v>
      </c>
      <c r="R1469" s="14">
        <f>IFERROR(__xludf.DUMMYFUNCTION("""COMPUTED_VALUE"""),54.0)</f>
        <v>54</v>
      </c>
      <c r="S1469" s="14">
        <f>IFERROR(__xludf.DUMMYFUNCTION("""COMPUTED_VALUE"""),54.0)</f>
        <v>54</v>
      </c>
      <c r="T1469" s="14">
        <f>IFERROR(__xludf.DUMMYFUNCTION("""COMPUTED_VALUE"""),0.456)</f>
        <v>0.456</v>
      </c>
      <c r="U1469" s="14">
        <f>IFERROR(__xludf.DUMMYFUNCTION("""COMPUTED_VALUE"""),0.512)</f>
        <v>0.512</v>
      </c>
      <c r="V1469" s="14">
        <f>IFERROR(__xludf.DUMMYFUNCTION("""COMPUTED_VALUE"""),0.031)</f>
        <v>0.031</v>
      </c>
      <c r="W1469" s="14">
        <f>IFERROR(__xludf.DUMMYFUNCTION("""COMPUTED_VALUE"""),1.5457531E7)</f>
        <v>15457531</v>
      </c>
      <c r="X1469" s="14">
        <f>IFERROR(__xludf.DUMMYFUNCTION("""COMPUTED_VALUE"""),0.157)</f>
        <v>0.157</v>
      </c>
      <c r="Y1469" s="14" t="str">
        <f>IFERROR(__xludf.DUMMYFUNCTION("""COMPUTED_VALUE"""),"Malawi-Africa")</f>
        <v>Malawi-Africa</v>
      </c>
      <c r="Z1469" s="14" t="str">
        <f>IFERROR(__xludf.DUMMYFUNCTION("""COMPUTED_VALUE"""),"Africa")</f>
        <v>Africa</v>
      </c>
      <c r="AA1469" s="14" t="str">
        <f>IFERROR(__xludf.DUMMYFUNCTION("""COMPUTED_VALUE"""),"2011")</f>
        <v>2011</v>
      </c>
      <c r="AB1469" s="15" t="str">
        <f>IFERROR(__xludf.DUMMYFUNCTION("ARRAYFORMULA(VLOOKUP(A1469,IMPORTRANGE(""https://docs.google.com/spreadsheets/d/1BuTWp7qHGjWhqrnf-OmePP568O4A5Am9ttzvVdP67zw/edit#gid=1931367683"" ,""ENERGY!$A$2:$F$2692""), {2,3,4,5,6},0))"),"Africa")</f>
        <v>Africa</v>
      </c>
      <c r="AC1469" s="14" t="str">
        <f>IFERROR(__xludf.DUMMYFUNCTION("""COMPUTED_VALUE"""),"Malawi-Africa")</f>
        <v>Malawi-Africa</v>
      </c>
      <c r="AD1469" s="14" t="str">
        <f>IFERROR(__xludf.DUMMYFUNCTION("""COMPUTED_VALUE"""),"2006")</f>
        <v>2006</v>
      </c>
      <c r="AE1469" s="14"/>
      <c r="AF1469" s="14">
        <f>IFERROR(__xludf.DUMMYFUNCTION("""COMPUTED_VALUE"""),906.0)</f>
        <v>906</v>
      </c>
    </row>
    <row r="1470">
      <c r="A1470" s="12">
        <v>1469.0</v>
      </c>
      <c r="B1470" s="12" t="s">
        <v>191</v>
      </c>
      <c r="C1470" s="5" t="s">
        <v>77</v>
      </c>
      <c r="D1470" s="11">
        <v>0.324</v>
      </c>
      <c r="E1470" s="11">
        <v>40.0</v>
      </c>
      <c r="F1470" s="11">
        <v>161.0</v>
      </c>
      <c r="G1470" s="11">
        <v>175.0</v>
      </c>
      <c r="H1470" s="11">
        <v>0.044</v>
      </c>
      <c r="I1470" s="11">
        <v>0.292</v>
      </c>
      <c r="J1470" s="9" t="s">
        <v>73</v>
      </c>
      <c r="K1470" s="14" t="str">
        <f>IFERROR(__xludf.DUMMYFUNCTION("ARRAYFORMULA(VLOOKUP(A1470,IMPORTRANGE(""https://docs.google.com/spreadsheets/d/1BuTWp7qHGjWhqrnf-OmePP568O4A5Am9ttzvVdP67zw/edit#gid=1603210130"", ""TOURISM!$A$2:$F$2692""), {2,3,4,5,6},0))"),"Africa")</f>
        <v>Africa</v>
      </c>
      <c r="L1470" s="14">
        <f>IFERROR(__xludf.DUMMYFUNCTION("""COMPUTED_VALUE"""),3.8E7)</f>
        <v>38000000</v>
      </c>
      <c r="M1470" s="14" t="str">
        <f>IFERROR(__xludf.DUMMYFUNCTION("""COMPUTED_VALUE"""),"Malawi-Africa")</f>
        <v>Malawi-Africa</v>
      </c>
      <c r="N1470" s="14" t="str">
        <f>IFERROR(__xludf.DUMMYFUNCTION("""COMPUTED_VALUE"""),"2012")</f>
        <v>2012</v>
      </c>
      <c r="O1470" s="14">
        <f>IFERROR(__xludf.DUMMYFUNCTION("""COMPUTED_VALUE"""),1.01E8)</f>
        <v>101000000</v>
      </c>
      <c r="P1470" s="15">
        <f>IFERROR(__xludf.DUMMYFUNCTION("ARRAYFORMULA(VLOOKUP(A1470,IMPORTRANGE(""https://docs.google.com/spreadsheets/d/1BuTWp7qHGjWhqrnf-OmePP568O4A5Am9ttzvVdP67zw/edit#gid=771602874"" ,""HUMAN RESOURCES!$A$2:$M$2692""), {2,3,4,5,6,7,8,9,10,11,12,13},0))"),0.04)</f>
        <v>0.04</v>
      </c>
      <c r="Q1470" s="14">
        <f>IFERROR(__xludf.DUMMYFUNCTION("""COMPUTED_VALUE"""),0.046)</f>
        <v>0.046</v>
      </c>
      <c r="R1470" s="14">
        <f>IFERROR(__xludf.DUMMYFUNCTION("""COMPUTED_VALUE"""),55.0)</f>
        <v>55</v>
      </c>
      <c r="S1470" s="14">
        <f>IFERROR(__xludf.DUMMYFUNCTION("""COMPUTED_VALUE"""),55.0)</f>
        <v>55</v>
      </c>
      <c r="T1470" s="14">
        <f>IFERROR(__xludf.DUMMYFUNCTION("""COMPUTED_VALUE"""),0.454)</f>
        <v>0.454</v>
      </c>
      <c r="U1470" s="14">
        <f>IFERROR(__xludf.DUMMYFUNCTION("""COMPUTED_VALUE"""),0.514)</f>
        <v>0.514</v>
      </c>
      <c r="V1470" s="14">
        <f>IFERROR(__xludf.DUMMYFUNCTION("""COMPUTED_VALUE"""),0.031)</f>
        <v>0.031</v>
      </c>
      <c r="W1470" s="14">
        <f>IFERROR(__xludf.DUMMYFUNCTION("""COMPUTED_VALUE"""),1.5906483E7)</f>
        <v>15906483</v>
      </c>
      <c r="X1470" s="14">
        <f>IFERROR(__xludf.DUMMYFUNCTION("""COMPUTED_VALUE"""),0.158)</f>
        <v>0.158</v>
      </c>
      <c r="Y1470" s="14" t="str">
        <f>IFERROR(__xludf.DUMMYFUNCTION("""COMPUTED_VALUE"""),"Malawi-Africa")</f>
        <v>Malawi-Africa</v>
      </c>
      <c r="Z1470" s="14" t="str">
        <f>IFERROR(__xludf.DUMMYFUNCTION("""COMPUTED_VALUE"""),"Africa")</f>
        <v>Africa</v>
      </c>
      <c r="AA1470" s="14" t="str">
        <f>IFERROR(__xludf.DUMMYFUNCTION("""COMPUTED_VALUE"""),"2012")</f>
        <v>2012</v>
      </c>
      <c r="AB1470" s="15" t="str">
        <f>IFERROR(__xludf.DUMMYFUNCTION("ARRAYFORMULA(VLOOKUP(A1470,IMPORTRANGE(""https://docs.google.com/spreadsheets/d/1BuTWp7qHGjWhqrnf-OmePP568O4A5Am9ttzvVdP67zw/edit#gid=1931367683"" ,""ENERGY!$A$2:$F$2692""), {2,3,4,5,6},0))"),"Africa")</f>
        <v>Africa</v>
      </c>
      <c r="AC1470" s="14" t="str">
        <f>IFERROR(__xludf.DUMMYFUNCTION("""COMPUTED_VALUE"""),"Malawi-Africa")</f>
        <v>Malawi-Africa</v>
      </c>
      <c r="AD1470" s="14" t="str">
        <f>IFERROR(__xludf.DUMMYFUNCTION("""COMPUTED_VALUE"""),"2010")</f>
        <v>2010</v>
      </c>
      <c r="AE1470" s="14"/>
      <c r="AF1470" s="14">
        <f>IFERROR(__xludf.DUMMYFUNCTION("""COMPUTED_VALUE"""),906.0)</f>
        <v>906</v>
      </c>
    </row>
    <row r="1471">
      <c r="A1471" s="12">
        <v>1470.0</v>
      </c>
      <c r="B1471" s="12" t="s">
        <v>192</v>
      </c>
      <c r="C1471" s="5" t="s">
        <v>61</v>
      </c>
      <c r="D1471" s="8"/>
      <c r="E1471" s="8"/>
      <c r="F1471" s="8"/>
      <c r="G1471" s="8"/>
      <c r="H1471" s="11">
        <v>0.214</v>
      </c>
      <c r="I1471" s="11">
        <v>0.219</v>
      </c>
      <c r="J1471" s="9" t="s">
        <v>60</v>
      </c>
      <c r="K1471" s="14" t="str">
        <f>IFERROR(__xludf.DUMMYFUNCTION("ARRAYFORMULA(VLOOKUP(A1471,IMPORTRANGE(""https://docs.google.com/spreadsheets/d/1BuTWp7qHGjWhqrnf-OmePP568O4A5Am9ttzvVdP67zw/edit#gid=1603210130"", ""TOURISM!$A$2:$F$2692""), {2,3,4,5,6},0))"),"Asia")</f>
        <v>Asia</v>
      </c>
      <c r="L1471" s="14">
        <f>IFERROR(__xludf.DUMMYFUNCTION("""COMPUTED_VALUE"""),5.873E9)</f>
        <v>5873000000</v>
      </c>
      <c r="M1471" s="14" t="str">
        <f>IFERROR(__xludf.DUMMYFUNCTION("""COMPUTED_VALUE"""),"Malaysia-Asia")</f>
        <v>Malaysia-Asia</v>
      </c>
      <c r="N1471" s="14" t="str">
        <f>IFERROR(__xludf.DUMMYFUNCTION("""COMPUTED_VALUE"""),"2000")</f>
        <v>2000</v>
      </c>
      <c r="O1471" s="14">
        <f>IFERROR(__xludf.DUMMYFUNCTION("""COMPUTED_VALUE"""),2.543E9)</f>
        <v>2543000000</v>
      </c>
      <c r="P1471" s="15">
        <f>IFERROR(__xludf.DUMMYFUNCTION("ARRAYFORMULA(VLOOKUP(A1471,IMPORTRANGE(""https://docs.google.com/spreadsheets/d/1BuTWp7qHGjWhqrnf-OmePP568O4A5Am9ttzvVdP67zw/edit#gid=771602874"" ,""HUMAN RESOURCES!$A$2:$M$2692""), {2,3,4,5,6,7,8,9,10,11,12,13},0))"),0.023)</f>
        <v>0.023</v>
      </c>
      <c r="Q1471" s="14">
        <f>IFERROR(__xludf.DUMMYFUNCTION("""COMPUTED_VALUE"""),0.009)</f>
        <v>0.009</v>
      </c>
      <c r="R1471" s="14">
        <f>IFERROR(__xludf.DUMMYFUNCTION("""COMPUTED_VALUE"""),75.0)</f>
        <v>75</v>
      </c>
      <c r="S1471" s="14">
        <f>IFERROR(__xludf.DUMMYFUNCTION("""COMPUTED_VALUE"""),71.0)</f>
        <v>71</v>
      </c>
      <c r="T1471" s="14">
        <f>IFERROR(__xludf.DUMMYFUNCTION("""COMPUTED_VALUE"""),0.333)</f>
        <v>0.333</v>
      </c>
      <c r="U1471" s="14">
        <f>IFERROR(__xludf.DUMMYFUNCTION("""COMPUTED_VALUE"""),0.628)</f>
        <v>0.628</v>
      </c>
      <c r="V1471" s="14">
        <f>IFERROR(__xludf.DUMMYFUNCTION("""COMPUTED_VALUE"""),0.038)</f>
        <v>0.038</v>
      </c>
      <c r="W1471" s="14">
        <f>IFERROR(__xludf.DUMMYFUNCTION("""COMPUTED_VALUE"""),2.3420751E7)</f>
        <v>23420751</v>
      </c>
      <c r="X1471" s="14">
        <f>IFERROR(__xludf.DUMMYFUNCTION("""COMPUTED_VALUE"""),0.62)</f>
        <v>0.62</v>
      </c>
      <c r="Y1471" s="14" t="str">
        <f>IFERROR(__xludf.DUMMYFUNCTION("""COMPUTED_VALUE"""),"Malaysia-Asia")</f>
        <v>Malaysia-Asia</v>
      </c>
      <c r="Z1471" s="14" t="str">
        <f>IFERROR(__xludf.DUMMYFUNCTION("""COMPUTED_VALUE"""),"Asia")</f>
        <v>Asia</v>
      </c>
      <c r="AA1471" s="14" t="str">
        <f>IFERROR(__xludf.DUMMYFUNCTION("""COMPUTED_VALUE"""),"2000")</f>
        <v>2000</v>
      </c>
      <c r="AB1471" s="15" t="str">
        <f>IFERROR(__xludf.DUMMYFUNCTION("ARRAYFORMULA(VLOOKUP(A1471,IMPORTRANGE(""https://docs.google.com/spreadsheets/d/1BuTWp7qHGjWhqrnf-OmePP568O4A5Am9ttzvVdP67zw/edit#gid=1931367683"" ,""ENERGY!$A$2:$F$2692""), {2,3,4,5,6},0))"),"Asia")</f>
        <v>Asia</v>
      </c>
      <c r="AC1471" s="14" t="str">
        <f>IFERROR(__xludf.DUMMYFUNCTION("""COMPUTED_VALUE"""),"Malaysia-Asia")</f>
        <v>Malaysia-Asia</v>
      </c>
      <c r="AD1471" s="14" t="str">
        <f>IFERROR(__xludf.DUMMYFUNCTION("""COMPUTED_VALUE"""),"2000")</f>
        <v>2000</v>
      </c>
      <c r="AE1471" s="14"/>
      <c r="AF1471" s="14"/>
    </row>
    <row r="1472">
      <c r="A1472" s="12">
        <v>1471.0</v>
      </c>
      <c r="B1472" s="12" t="s">
        <v>192</v>
      </c>
      <c r="C1472" s="5" t="s">
        <v>61</v>
      </c>
      <c r="D1472" s="8"/>
      <c r="E1472" s="8"/>
      <c r="F1472" s="8"/>
      <c r="G1472" s="8"/>
      <c r="H1472" s="11">
        <v>0.267</v>
      </c>
      <c r="I1472" s="11">
        <v>0.309</v>
      </c>
      <c r="J1472" s="9" t="s">
        <v>62</v>
      </c>
      <c r="K1472" s="14" t="str">
        <f>IFERROR(__xludf.DUMMYFUNCTION("ARRAYFORMULA(VLOOKUP(A1472,IMPORTRANGE(""https://docs.google.com/spreadsheets/d/1BuTWp7qHGjWhqrnf-OmePP568O4A5Am9ttzvVdP67zw/edit#gid=1603210130"", ""TOURISM!$A$2:$F$2692""), {2,3,4,5,6},0))"),"Asia")</f>
        <v>Asia</v>
      </c>
      <c r="L1472" s="14">
        <f>IFERROR(__xludf.DUMMYFUNCTION("""COMPUTED_VALUE"""),7.627E9)</f>
        <v>7627000000</v>
      </c>
      <c r="M1472" s="14" t="str">
        <f>IFERROR(__xludf.DUMMYFUNCTION("""COMPUTED_VALUE"""),"Malaysia-Asia")</f>
        <v>Malaysia-Asia</v>
      </c>
      <c r="N1472" s="14" t="str">
        <f>IFERROR(__xludf.DUMMYFUNCTION("""COMPUTED_VALUE"""),"2001")</f>
        <v>2001</v>
      </c>
      <c r="O1472" s="14">
        <f>IFERROR(__xludf.DUMMYFUNCTION("""COMPUTED_VALUE"""),3.391E9)</f>
        <v>3391000000</v>
      </c>
      <c r="P1472" s="15">
        <f>IFERROR(__xludf.DUMMYFUNCTION("ARRAYFORMULA(VLOOKUP(A1472,IMPORTRANGE(""https://docs.google.com/spreadsheets/d/1BuTWp7qHGjWhqrnf-OmePP568O4A5Am9ttzvVdP67zw/edit#gid=771602874"" ,""HUMAN RESOURCES!$A$2:$M$2692""), {2,3,4,5,6,7,8,9,10,11,12,13},0))"),0.022)</f>
        <v>0.022</v>
      </c>
      <c r="Q1472" s="14">
        <f>IFERROR(__xludf.DUMMYFUNCTION("""COMPUTED_VALUE"""),0.008)</f>
        <v>0.008</v>
      </c>
      <c r="R1472" s="14">
        <f>IFERROR(__xludf.DUMMYFUNCTION("""COMPUTED_VALUE"""),75.0)</f>
        <v>75</v>
      </c>
      <c r="S1472" s="14">
        <f>IFERROR(__xludf.DUMMYFUNCTION("""COMPUTED_VALUE"""),71.0)</f>
        <v>71</v>
      </c>
      <c r="T1472" s="14">
        <f>IFERROR(__xludf.DUMMYFUNCTION("""COMPUTED_VALUE"""),0.327)</f>
        <v>0.327</v>
      </c>
      <c r="U1472" s="14">
        <f>IFERROR(__xludf.DUMMYFUNCTION("""COMPUTED_VALUE"""),0.634)</f>
        <v>0.634</v>
      </c>
      <c r="V1472" s="14">
        <f>IFERROR(__xludf.DUMMYFUNCTION("""COMPUTED_VALUE"""),0.039)</f>
        <v>0.039</v>
      </c>
      <c r="W1472" s="14">
        <f>IFERROR(__xludf.DUMMYFUNCTION("""COMPUTED_VALUE"""),2.3925742E7)</f>
        <v>23925742</v>
      </c>
      <c r="X1472" s="14">
        <f>IFERROR(__xludf.DUMMYFUNCTION("""COMPUTED_VALUE"""),0.629)</f>
        <v>0.629</v>
      </c>
      <c r="Y1472" s="14" t="str">
        <f>IFERROR(__xludf.DUMMYFUNCTION("""COMPUTED_VALUE"""),"Malaysia-Asia")</f>
        <v>Malaysia-Asia</v>
      </c>
      <c r="Z1472" s="14" t="str">
        <f>IFERROR(__xludf.DUMMYFUNCTION("""COMPUTED_VALUE"""),"Asia")</f>
        <v>Asia</v>
      </c>
      <c r="AA1472" s="14" t="str">
        <f>IFERROR(__xludf.DUMMYFUNCTION("""COMPUTED_VALUE"""),"2001")</f>
        <v>2001</v>
      </c>
      <c r="AB1472" s="15" t="str">
        <f>IFERROR(__xludf.DUMMYFUNCTION("ARRAYFORMULA(VLOOKUP(A1472,IMPORTRANGE(""https://docs.google.com/spreadsheets/d/1BuTWp7qHGjWhqrnf-OmePP568O4A5Am9ttzvVdP67zw/edit#gid=1931367683"" ,""ENERGY!$A$2:$F$2692""), {2,3,4,5,6},0))"),"Asia")</f>
        <v>Asia</v>
      </c>
      <c r="AC1472" s="14" t="str">
        <f>IFERROR(__xludf.DUMMYFUNCTION("""COMPUTED_VALUE"""),"Malaysia-Asia")</f>
        <v>Malaysia-Asia</v>
      </c>
      <c r="AD1472" s="14" t="str">
        <f>IFERROR(__xludf.DUMMYFUNCTION("""COMPUTED_VALUE"""),"2001")</f>
        <v>2001</v>
      </c>
      <c r="AE1472" s="14">
        <f>IFERROR(__xludf.DUMMYFUNCTION("""COMPUTED_VALUE"""),75907.0)</f>
        <v>75907</v>
      </c>
      <c r="AF1472" s="14"/>
    </row>
    <row r="1473">
      <c r="A1473" s="12">
        <v>1472.0</v>
      </c>
      <c r="B1473" s="12" t="s">
        <v>192</v>
      </c>
      <c r="C1473" s="5" t="s">
        <v>61</v>
      </c>
      <c r="D1473" s="8"/>
      <c r="E1473" s="8"/>
      <c r="F1473" s="8"/>
      <c r="G1473" s="8"/>
      <c r="H1473" s="11">
        <v>0.323</v>
      </c>
      <c r="I1473" s="11">
        <v>0.371</v>
      </c>
      <c r="J1473" s="9" t="s">
        <v>63</v>
      </c>
      <c r="K1473" s="14" t="str">
        <f>IFERROR(__xludf.DUMMYFUNCTION("ARRAYFORMULA(VLOOKUP(A1473,IMPORTRANGE(""https://docs.google.com/spreadsheets/d/1BuTWp7qHGjWhqrnf-OmePP568O4A5Am9ttzvVdP67zw/edit#gid=1603210130"", ""TOURISM!$A$2:$F$2692""), {2,3,4,5,6},0))"),"Asia")</f>
        <v>Asia</v>
      </c>
      <c r="L1473" s="14">
        <f>IFERROR(__xludf.DUMMYFUNCTION("""COMPUTED_VALUE"""),8.084E9)</f>
        <v>8084000000</v>
      </c>
      <c r="M1473" s="14" t="str">
        <f>IFERROR(__xludf.DUMMYFUNCTION("""COMPUTED_VALUE"""),"Malaysia-Asia")</f>
        <v>Malaysia-Asia</v>
      </c>
      <c r="N1473" s="14" t="str">
        <f>IFERROR(__xludf.DUMMYFUNCTION("""COMPUTED_VALUE"""),"2002")</f>
        <v>2002</v>
      </c>
      <c r="O1473" s="14">
        <f>IFERROR(__xludf.DUMMYFUNCTION("""COMPUTED_VALUE"""),3.33E9)</f>
        <v>3330000000</v>
      </c>
      <c r="P1473" s="15">
        <f>IFERROR(__xludf.DUMMYFUNCTION("ARRAYFORMULA(VLOOKUP(A1473,IMPORTRANGE(""https://docs.google.com/spreadsheets/d/1BuTWp7qHGjWhqrnf-OmePP568O4A5Am9ttzvVdP67zw/edit#gid=771602874"" ,""HUMAN RESOURCES!$A$2:$M$2692""), {2,3,4,5,6,7,8,9,10,11,12,13},0))"),0.021)</f>
        <v>0.021</v>
      </c>
      <c r="Q1473" s="14">
        <f>IFERROR(__xludf.DUMMYFUNCTION("""COMPUTED_VALUE"""),0.008)</f>
        <v>0.008</v>
      </c>
      <c r="R1473" s="14">
        <f>IFERROR(__xludf.DUMMYFUNCTION("""COMPUTED_VALUE"""),75.0)</f>
        <v>75</v>
      </c>
      <c r="S1473" s="14">
        <f>IFERROR(__xludf.DUMMYFUNCTION("""COMPUTED_VALUE"""),71.0)</f>
        <v>71</v>
      </c>
      <c r="T1473" s="14">
        <f>IFERROR(__xludf.DUMMYFUNCTION("""COMPUTED_VALUE"""),0.321)</f>
        <v>0.321</v>
      </c>
      <c r="U1473" s="14">
        <f>IFERROR(__xludf.DUMMYFUNCTION("""COMPUTED_VALUE"""),0.639)</f>
        <v>0.639</v>
      </c>
      <c r="V1473" s="14">
        <f>IFERROR(__xludf.DUMMYFUNCTION("""COMPUTED_VALUE"""),0.04)</f>
        <v>0.04</v>
      </c>
      <c r="W1473" s="14">
        <f>IFERROR(__xludf.DUMMYFUNCTION("""COMPUTED_VALUE"""),2.4413795E7)</f>
        <v>24413795</v>
      </c>
      <c r="X1473" s="14">
        <f>IFERROR(__xludf.DUMMYFUNCTION("""COMPUTED_VALUE"""),0.639)</f>
        <v>0.639</v>
      </c>
      <c r="Y1473" s="14" t="str">
        <f>IFERROR(__xludf.DUMMYFUNCTION("""COMPUTED_VALUE"""),"Malaysia-Asia")</f>
        <v>Malaysia-Asia</v>
      </c>
      <c r="Z1473" s="14" t="str">
        <f>IFERROR(__xludf.DUMMYFUNCTION("""COMPUTED_VALUE"""),"Asia")</f>
        <v>Asia</v>
      </c>
      <c r="AA1473" s="14" t="str">
        <f>IFERROR(__xludf.DUMMYFUNCTION("""COMPUTED_VALUE"""),"2002")</f>
        <v>2002</v>
      </c>
      <c r="AB1473" s="15" t="str">
        <f>IFERROR(__xludf.DUMMYFUNCTION("ARRAYFORMULA(VLOOKUP(A1473,IMPORTRANGE(""https://docs.google.com/spreadsheets/d/1BuTWp7qHGjWhqrnf-OmePP568O4A5Am9ttzvVdP67zw/edit#gid=1931367683"" ,""ENERGY!$A$2:$F$2692""), {2,3,4,5,6},0))"),"Asia")</f>
        <v>Asia</v>
      </c>
      <c r="AC1473" s="14" t="str">
        <f>IFERROR(__xludf.DUMMYFUNCTION("""COMPUTED_VALUE"""),"Malaysia-Asia")</f>
        <v>Malaysia-Asia</v>
      </c>
      <c r="AD1473" s="14" t="str">
        <f>IFERROR(__xludf.DUMMYFUNCTION("""COMPUTED_VALUE"""),"2002")</f>
        <v>2002</v>
      </c>
      <c r="AE1473" s="14">
        <f>IFERROR(__xludf.DUMMYFUNCTION("""COMPUTED_VALUE"""),72645.0)</f>
        <v>72645</v>
      </c>
      <c r="AF1473" s="14">
        <f>IFERROR(__xludf.DUMMYFUNCTION("""COMPUTED_VALUE"""),216804.0)</f>
        <v>216804</v>
      </c>
    </row>
    <row r="1474">
      <c r="A1474" s="12">
        <v>1473.0</v>
      </c>
      <c r="B1474" s="12" t="s">
        <v>192</v>
      </c>
      <c r="C1474" s="5" t="s">
        <v>61</v>
      </c>
      <c r="D1474" s="8"/>
      <c r="E1474" s="11">
        <v>37.0</v>
      </c>
      <c r="F1474" s="8"/>
      <c r="G1474" s="8"/>
      <c r="H1474" s="11">
        <v>0.35</v>
      </c>
      <c r="I1474" s="11">
        <v>0.447</v>
      </c>
      <c r="J1474" s="9" t="s">
        <v>64</v>
      </c>
      <c r="K1474" s="14" t="str">
        <f>IFERROR(__xludf.DUMMYFUNCTION("ARRAYFORMULA(VLOOKUP(A1474,IMPORTRANGE(""https://docs.google.com/spreadsheets/d/1BuTWp7qHGjWhqrnf-OmePP568O4A5Am9ttzvVdP67zw/edit#gid=1603210130"", ""TOURISM!$A$2:$F$2692""), {2,3,4,5,6},0))"),"Asia")</f>
        <v>Asia</v>
      </c>
      <c r="L1474" s="14">
        <f>IFERROR(__xludf.DUMMYFUNCTION("""COMPUTED_VALUE"""),6.799E9)</f>
        <v>6799000000</v>
      </c>
      <c r="M1474" s="14" t="str">
        <f>IFERROR(__xludf.DUMMYFUNCTION("""COMPUTED_VALUE"""),"Malaysia-Asia")</f>
        <v>Malaysia-Asia</v>
      </c>
      <c r="N1474" s="14" t="str">
        <f>IFERROR(__xludf.DUMMYFUNCTION("""COMPUTED_VALUE"""),"2003")</f>
        <v>2003</v>
      </c>
      <c r="O1474" s="14">
        <f>IFERROR(__xludf.DUMMYFUNCTION("""COMPUTED_VALUE"""),3.401E9)</f>
        <v>3401000000</v>
      </c>
      <c r="P1474" s="15">
        <f>IFERROR(__xludf.DUMMYFUNCTION("ARRAYFORMULA(VLOOKUP(A1474,IMPORTRANGE(""https://docs.google.com/spreadsheets/d/1BuTWp7qHGjWhqrnf-OmePP568O4A5Am9ttzvVdP67zw/edit#gid=771602874"" ,""HUMAN RESOURCES!$A$2:$M$2692""), {2,3,4,5,6,7,8,9,10,11,12,13},0))"),0.02)</f>
        <v>0.02</v>
      </c>
      <c r="Q1474" s="14">
        <f>IFERROR(__xludf.DUMMYFUNCTION("""COMPUTED_VALUE"""),0.007)</f>
        <v>0.007</v>
      </c>
      <c r="R1474" s="14">
        <f>IFERROR(__xludf.DUMMYFUNCTION("""COMPUTED_VALUE"""),76.0)</f>
        <v>76</v>
      </c>
      <c r="S1474" s="14">
        <f>IFERROR(__xludf.DUMMYFUNCTION("""COMPUTED_VALUE"""),71.0)</f>
        <v>71</v>
      </c>
      <c r="T1474" s="14">
        <f>IFERROR(__xludf.DUMMYFUNCTION("""COMPUTED_VALUE"""),0.315)</f>
        <v>0.315</v>
      </c>
      <c r="U1474" s="14">
        <f>IFERROR(__xludf.DUMMYFUNCTION("""COMPUTED_VALUE"""),0.644)</f>
        <v>0.644</v>
      </c>
      <c r="V1474" s="14">
        <f>IFERROR(__xludf.DUMMYFUNCTION("""COMPUTED_VALUE"""),0.042)</f>
        <v>0.042</v>
      </c>
      <c r="W1474" s="14">
        <f>IFERROR(__xludf.DUMMYFUNCTION("""COMPUTED_VALUE"""),2.4890654E7)</f>
        <v>24890654</v>
      </c>
      <c r="X1474" s="14">
        <f>IFERROR(__xludf.DUMMYFUNCTION("""COMPUTED_VALUE"""),0.648)</f>
        <v>0.648</v>
      </c>
      <c r="Y1474" s="14" t="str">
        <f>IFERROR(__xludf.DUMMYFUNCTION("""COMPUTED_VALUE"""),"Malaysia-Asia")</f>
        <v>Malaysia-Asia</v>
      </c>
      <c r="Z1474" s="14" t="str">
        <f>IFERROR(__xludf.DUMMYFUNCTION("""COMPUTED_VALUE"""),"Asia")</f>
        <v>Asia</v>
      </c>
      <c r="AA1474" s="14" t="str">
        <f>IFERROR(__xludf.DUMMYFUNCTION("""COMPUTED_VALUE"""),"2003")</f>
        <v>2003</v>
      </c>
      <c r="AB1474" s="15" t="str">
        <f>IFERROR(__xludf.DUMMYFUNCTION("ARRAYFORMULA(VLOOKUP(A1474,IMPORTRANGE(""https://docs.google.com/spreadsheets/d/1BuTWp7qHGjWhqrnf-OmePP568O4A5Am9ttzvVdP67zw/edit#gid=1931367683"" ,""ENERGY!$A$2:$F$2692""), {2,3,4,5,6},0))"),"Asia")</f>
        <v>Asia</v>
      </c>
      <c r="AC1474" s="14" t="str">
        <f>IFERROR(__xludf.DUMMYFUNCTION("""COMPUTED_VALUE"""),"Malaysia-Asia")</f>
        <v>Malaysia-Asia</v>
      </c>
      <c r="AD1474" s="14" t="str">
        <f>IFERROR(__xludf.DUMMYFUNCTION("""COMPUTED_VALUE"""),"2003")</f>
        <v>2003</v>
      </c>
      <c r="AE1474" s="14">
        <f>IFERROR(__xludf.DUMMYFUNCTION("""COMPUTED_VALUE"""),69858.0)</f>
        <v>69858</v>
      </c>
      <c r="AF1474" s="14">
        <f>IFERROR(__xludf.DUMMYFUNCTION("""COMPUTED_VALUE"""),203882.0)</f>
        <v>203882</v>
      </c>
    </row>
    <row r="1475">
      <c r="A1475" s="12">
        <v>1474.0</v>
      </c>
      <c r="B1475" s="12" t="s">
        <v>192</v>
      </c>
      <c r="C1475" s="5" t="s">
        <v>61</v>
      </c>
      <c r="D1475" s="8"/>
      <c r="E1475" s="11">
        <v>37.0</v>
      </c>
      <c r="F1475" s="8"/>
      <c r="G1475" s="8"/>
      <c r="H1475" s="11">
        <v>0.423</v>
      </c>
      <c r="I1475" s="11">
        <v>0.576</v>
      </c>
      <c r="J1475" s="9" t="s">
        <v>65</v>
      </c>
      <c r="K1475" s="14" t="str">
        <f>IFERROR(__xludf.DUMMYFUNCTION("ARRAYFORMULA(VLOOKUP(A1475,IMPORTRANGE(""https://docs.google.com/spreadsheets/d/1BuTWp7qHGjWhqrnf-OmePP568O4A5Am9ttzvVdP67zw/edit#gid=1603210130"", ""TOURISM!$A$2:$F$2692""), {2,3,4,5,6},0))"),"Asia")</f>
        <v>Asia</v>
      </c>
      <c r="L1475" s="14">
        <f>IFERROR(__xludf.DUMMYFUNCTION("""COMPUTED_VALUE"""),9.183E9)</f>
        <v>9183000000</v>
      </c>
      <c r="M1475" s="14" t="str">
        <f>IFERROR(__xludf.DUMMYFUNCTION("""COMPUTED_VALUE"""),"Malaysia-Asia")</f>
        <v>Malaysia-Asia</v>
      </c>
      <c r="N1475" s="14" t="str">
        <f>IFERROR(__xludf.DUMMYFUNCTION("""COMPUTED_VALUE"""),"2004")</f>
        <v>2004</v>
      </c>
      <c r="O1475" s="14">
        <f>IFERROR(__xludf.DUMMYFUNCTION("""COMPUTED_VALUE"""),3.822E9)</f>
        <v>3822000000</v>
      </c>
      <c r="P1475" s="15">
        <f>IFERROR(__xludf.DUMMYFUNCTION("ARRAYFORMULA(VLOOKUP(A1475,IMPORTRANGE(""https://docs.google.com/spreadsheets/d/1BuTWp7qHGjWhqrnf-OmePP568O4A5Am9ttzvVdP67zw/edit#gid=771602874"" ,""HUMAN RESOURCES!$A$2:$M$2692""), {2,3,4,5,6,7,8,9,10,11,12,13},0))"),0.019)</f>
        <v>0.019</v>
      </c>
      <c r="Q1475" s="14">
        <f>IFERROR(__xludf.DUMMYFUNCTION("""COMPUTED_VALUE"""),0.007)</f>
        <v>0.007</v>
      </c>
      <c r="R1475" s="14">
        <f>IFERROR(__xludf.DUMMYFUNCTION("""COMPUTED_VALUE"""),76.0)</f>
        <v>76</v>
      </c>
      <c r="S1475" s="14">
        <f>IFERROR(__xludf.DUMMYFUNCTION("""COMPUTED_VALUE"""),71.0)</f>
        <v>71</v>
      </c>
      <c r="T1475" s="14">
        <f>IFERROR(__xludf.DUMMYFUNCTION("""COMPUTED_VALUE"""),0.308)</f>
        <v>0.308</v>
      </c>
      <c r="U1475" s="14">
        <f>IFERROR(__xludf.DUMMYFUNCTION("""COMPUTED_VALUE"""),0.649)</f>
        <v>0.649</v>
      </c>
      <c r="V1475" s="14">
        <f>IFERROR(__xludf.DUMMYFUNCTION("""COMPUTED_VALUE"""),0.043)</f>
        <v>0.043</v>
      </c>
      <c r="W1475" s="14">
        <f>IFERROR(__xludf.DUMMYFUNCTION("""COMPUTED_VALUE"""),2.5365089E7)</f>
        <v>25365089</v>
      </c>
      <c r="X1475" s="14">
        <f>IFERROR(__xludf.DUMMYFUNCTION("""COMPUTED_VALUE"""),0.657)</f>
        <v>0.657</v>
      </c>
      <c r="Y1475" s="14" t="str">
        <f>IFERROR(__xludf.DUMMYFUNCTION("""COMPUTED_VALUE"""),"Malaysia-Asia")</f>
        <v>Malaysia-Asia</v>
      </c>
      <c r="Z1475" s="14" t="str">
        <f>IFERROR(__xludf.DUMMYFUNCTION("""COMPUTED_VALUE"""),"Asia")</f>
        <v>Asia</v>
      </c>
      <c r="AA1475" s="14" t="str">
        <f>IFERROR(__xludf.DUMMYFUNCTION("""COMPUTED_VALUE"""),"2004")</f>
        <v>2004</v>
      </c>
      <c r="AB1475" s="15" t="str">
        <f>IFERROR(__xludf.DUMMYFUNCTION("ARRAYFORMULA(VLOOKUP(A1475,IMPORTRANGE(""https://docs.google.com/spreadsheets/d/1BuTWp7qHGjWhqrnf-OmePP568O4A5Am9ttzvVdP67zw/edit#gid=1931367683"" ,""ENERGY!$A$2:$F$2692""), {2,3,4,5,6},0))"),"Asia")</f>
        <v>Asia</v>
      </c>
      <c r="AC1475" s="14" t="str">
        <f>IFERROR(__xludf.DUMMYFUNCTION("""COMPUTED_VALUE"""),"Malaysia-Asia")</f>
        <v>Malaysia-Asia</v>
      </c>
      <c r="AD1475" s="14" t="str">
        <f>IFERROR(__xludf.DUMMYFUNCTION("""COMPUTED_VALUE"""),"2004")</f>
        <v>2004</v>
      </c>
      <c r="AE1475" s="14">
        <f>IFERROR(__xludf.DUMMYFUNCTION("""COMPUTED_VALUE"""),73006.0)</f>
        <v>73006</v>
      </c>
      <c r="AF1475" s="14">
        <f>IFERROR(__xludf.DUMMYFUNCTION("""COMPUTED_VALUE"""),213221.0)</f>
        <v>213221</v>
      </c>
    </row>
    <row r="1476">
      <c r="A1476" s="12">
        <v>1475.0</v>
      </c>
      <c r="B1476" s="12" t="s">
        <v>192</v>
      </c>
      <c r="C1476" s="5" t="s">
        <v>61</v>
      </c>
      <c r="D1476" s="11">
        <v>0.36</v>
      </c>
      <c r="E1476" s="11">
        <v>37.0</v>
      </c>
      <c r="F1476" s="8"/>
      <c r="G1476" s="11">
        <v>190.0</v>
      </c>
      <c r="H1476" s="11">
        <v>0.486</v>
      </c>
      <c r="I1476" s="11">
        <v>0.756</v>
      </c>
      <c r="J1476" s="9" t="s">
        <v>66</v>
      </c>
      <c r="K1476" s="14" t="str">
        <f>IFERROR(__xludf.DUMMYFUNCTION("ARRAYFORMULA(VLOOKUP(A1476,IMPORTRANGE(""https://docs.google.com/spreadsheets/d/1BuTWp7qHGjWhqrnf-OmePP568O4A5Am9ttzvVdP67zw/edit#gid=1603210130"", ""TOURISM!$A$2:$F$2692""), {2,3,4,5,6},0))"),"Asia")</f>
        <v>Asia</v>
      </c>
      <c r="L1476" s="14">
        <f>IFERROR(__xludf.DUMMYFUNCTION("""COMPUTED_VALUE"""),1.0389E10)</f>
        <v>10389000000</v>
      </c>
      <c r="M1476" s="14" t="str">
        <f>IFERROR(__xludf.DUMMYFUNCTION("""COMPUTED_VALUE"""),"Malaysia-Asia")</f>
        <v>Malaysia-Asia</v>
      </c>
      <c r="N1476" s="14" t="str">
        <f>IFERROR(__xludf.DUMMYFUNCTION("""COMPUTED_VALUE"""),"2005")</f>
        <v>2005</v>
      </c>
      <c r="O1476" s="14">
        <f>IFERROR(__xludf.DUMMYFUNCTION("""COMPUTED_VALUE"""),4.339E9)</f>
        <v>4339000000</v>
      </c>
      <c r="P1476" s="15">
        <f>IFERROR(__xludf.DUMMYFUNCTION("ARRAYFORMULA(VLOOKUP(A1476,IMPORTRANGE(""https://docs.google.com/spreadsheets/d/1BuTWp7qHGjWhqrnf-OmePP568O4A5Am9ttzvVdP67zw/edit#gid=771602874"" ,""HUMAN RESOURCES!$A$2:$M$2692""), {2,3,4,5,6,7,8,9,10,11,12,13},0))"),0.019)</f>
        <v>0.019</v>
      </c>
      <c r="Q1476" s="14">
        <f>IFERROR(__xludf.DUMMYFUNCTION("""COMPUTED_VALUE"""),0.007)</f>
        <v>0.007</v>
      </c>
      <c r="R1476" s="14">
        <f>IFERROR(__xludf.DUMMYFUNCTION("""COMPUTED_VALUE"""),76.0)</f>
        <v>76</v>
      </c>
      <c r="S1476" s="14">
        <f>IFERROR(__xludf.DUMMYFUNCTION("""COMPUTED_VALUE"""),72.0)</f>
        <v>72</v>
      </c>
      <c r="T1476" s="14">
        <f>IFERROR(__xludf.DUMMYFUNCTION("""COMPUTED_VALUE"""),0.302)</f>
        <v>0.302</v>
      </c>
      <c r="U1476" s="14">
        <f>IFERROR(__xludf.DUMMYFUNCTION("""COMPUTED_VALUE"""),0.654)</f>
        <v>0.654</v>
      </c>
      <c r="V1476" s="14">
        <f>IFERROR(__xludf.DUMMYFUNCTION("""COMPUTED_VALUE"""),0.044)</f>
        <v>0.044</v>
      </c>
      <c r="W1476" s="14">
        <f>IFERROR(__xludf.DUMMYFUNCTION("""COMPUTED_VALUE"""),2.5843466E7)</f>
        <v>25843466</v>
      </c>
      <c r="X1476" s="14">
        <f>IFERROR(__xludf.DUMMYFUNCTION("""COMPUTED_VALUE"""),0.666)</f>
        <v>0.666</v>
      </c>
      <c r="Y1476" s="14" t="str">
        <f>IFERROR(__xludf.DUMMYFUNCTION("""COMPUTED_VALUE"""),"Malaysia-Asia")</f>
        <v>Malaysia-Asia</v>
      </c>
      <c r="Z1476" s="14" t="str">
        <f>IFERROR(__xludf.DUMMYFUNCTION("""COMPUTED_VALUE"""),"Asia")</f>
        <v>Asia</v>
      </c>
      <c r="AA1476" s="14" t="str">
        <f>IFERROR(__xludf.DUMMYFUNCTION("""COMPUTED_VALUE"""),"2005")</f>
        <v>2005</v>
      </c>
      <c r="AB1476" s="15" t="str">
        <f>IFERROR(__xludf.DUMMYFUNCTION("ARRAYFORMULA(VLOOKUP(A1476,IMPORTRANGE(""https://docs.google.com/spreadsheets/d/1BuTWp7qHGjWhqrnf-OmePP568O4A5Am9ttzvVdP67zw/edit#gid=1931367683"" ,""ENERGY!$A$2:$F$2692""), {2,3,4,5,6},0))"),"Asia")</f>
        <v>Asia</v>
      </c>
      <c r="AC1476" s="14" t="str">
        <f>IFERROR(__xludf.DUMMYFUNCTION("""COMPUTED_VALUE"""),"Malaysia-Asia")</f>
        <v>Malaysia-Asia</v>
      </c>
      <c r="AD1476" s="14" t="str">
        <f>IFERROR(__xludf.DUMMYFUNCTION("""COMPUTED_VALUE"""),"2007")</f>
        <v>2007</v>
      </c>
      <c r="AE1476" s="14">
        <f>IFERROR(__xludf.DUMMYFUNCTION("""COMPUTED_VALUE"""),69970.0)</f>
        <v>69970</v>
      </c>
      <c r="AF1476" s="14">
        <f>IFERROR(__xludf.DUMMYFUNCTION("""COMPUTED_VALUE"""),205308.0)</f>
        <v>205308</v>
      </c>
    </row>
    <row r="1477">
      <c r="A1477" s="12">
        <v>1476.0</v>
      </c>
      <c r="B1477" s="12" t="s">
        <v>192</v>
      </c>
      <c r="C1477" s="5" t="s">
        <v>61</v>
      </c>
      <c r="D1477" s="11">
        <v>0.36</v>
      </c>
      <c r="E1477" s="11">
        <v>37.0</v>
      </c>
      <c r="F1477" s="8"/>
      <c r="G1477" s="11">
        <v>190.0</v>
      </c>
      <c r="H1477" s="11">
        <v>0.516</v>
      </c>
      <c r="I1477" s="11">
        <v>0.739</v>
      </c>
      <c r="J1477" s="9" t="s">
        <v>67</v>
      </c>
      <c r="K1477" s="14" t="str">
        <f>IFERROR(__xludf.DUMMYFUNCTION("ARRAYFORMULA(VLOOKUP(A1477,IMPORTRANGE(""https://docs.google.com/spreadsheets/d/1BuTWp7qHGjWhqrnf-OmePP568O4A5Am9ttzvVdP67zw/edit#gid=1603210130"", ""TOURISM!$A$2:$F$2692""), {2,3,4,5,6},0))"),"Asia")</f>
        <v>Asia</v>
      </c>
      <c r="L1477" s="14">
        <f>IFERROR(__xludf.DUMMYFUNCTION("""COMPUTED_VALUE"""),1.228E10)</f>
        <v>12280000000</v>
      </c>
      <c r="M1477" s="14" t="str">
        <f>IFERROR(__xludf.DUMMYFUNCTION("""COMPUTED_VALUE"""),"Malaysia-Asia")</f>
        <v>Malaysia-Asia</v>
      </c>
      <c r="N1477" s="14" t="str">
        <f>IFERROR(__xludf.DUMMYFUNCTION("""COMPUTED_VALUE"""),"2006")</f>
        <v>2006</v>
      </c>
      <c r="O1477" s="14">
        <f>IFERROR(__xludf.DUMMYFUNCTION("""COMPUTED_VALUE"""),5.085E9)</f>
        <v>5085000000</v>
      </c>
      <c r="P1477" s="15">
        <f>IFERROR(__xludf.DUMMYFUNCTION("ARRAYFORMULA(VLOOKUP(A1477,IMPORTRANGE(""https://docs.google.com/spreadsheets/d/1BuTWp7qHGjWhqrnf-OmePP568O4A5Am9ttzvVdP67zw/edit#gid=771602874"" ,""HUMAN RESOURCES!$A$2:$M$2692""), {2,3,4,5,6,7,8,9,10,11,12,13},0))"),0.018)</f>
        <v>0.018</v>
      </c>
      <c r="Q1477" s="14">
        <f>IFERROR(__xludf.DUMMYFUNCTION("""COMPUTED_VALUE"""),0.007)</f>
        <v>0.007</v>
      </c>
      <c r="R1477" s="14">
        <f>IFERROR(__xludf.DUMMYFUNCTION("""COMPUTED_VALUE"""),76.0)</f>
        <v>76</v>
      </c>
      <c r="S1477" s="14">
        <f>IFERROR(__xludf.DUMMYFUNCTION("""COMPUTED_VALUE"""),72.0)</f>
        <v>72</v>
      </c>
      <c r="T1477" s="14">
        <f>IFERROR(__xludf.DUMMYFUNCTION("""COMPUTED_VALUE"""),0.297)</f>
        <v>0.297</v>
      </c>
      <c r="U1477" s="14">
        <f>IFERROR(__xludf.DUMMYFUNCTION("""COMPUTED_VALUE"""),0.659)</f>
        <v>0.659</v>
      </c>
      <c r="V1477" s="14">
        <f>IFERROR(__xludf.DUMMYFUNCTION("""COMPUTED_VALUE"""),0.045)</f>
        <v>0.045</v>
      </c>
      <c r="W1477" s="14">
        <f>IFERROR(__xludf.DUMMYFUNCTION("""COMPUTED_VALUE"""),2.6327098E7)</f>
        <v>26327098</v>
      </c>
      <c r="X1477" s="14">
        <f>IFERROR(__xludf.DUMMYFUNCTION("""COMPUTED_VALUE"""),0.675)</f>
        <v>0.675</v>
      </c>
      <c r="Y1477" s="14" t="str">
        <f>IFERROR(__xludf.DUMMYFUNCTION("""COMPUTED_VALUE"""),"Malaysia-Asia")</f>
        <v>Malaysia-Asia</v>
      </c>
      <c r="Z1477" s="14" t="str">
        <f>IFERROR(__xludf.DUMMYFUNCTION("""COMPUTED_VALUE"""),"Asia")</f>
        <v>Asia</v>
      </c>
      <c r="AA1477" s="14" t="str">
        <f>IFERROR(__xludf.DUMMYFUNCTION("""COMPUTED_VALUE"""),"2006")</f>
        <v>2006</v>
      </c>
      <c r="AB1477" s="15" t="str">
        <f>IFERROR(__xludf.DUMMYFUNCTION("ARRAYFORMULA(VLOOKUP(A1477,IMPORTRANGE(""https://docs.google.com/spreadsheets/d/1BuTWp7qHGjWhqrnf-OmePP568O4A5Am9ttzvVdP67zw/edit#gid=1931367683"" ,""ENERGY!$A$2:$F$2692""), {2,3,4,5,6},0))"),"Asia")</f>
        <v>Asia</v>
      </c>
      <c r="AC1477" s="14" t="str">
        <f>IFERROR(__xludf.DUMMYFUNCTION("""COMPUTED_VALUE"""),"Malaysia-Asia")</f>
        <v>Malaysia-Asia</v>
      </c>
      <c r="AD1477" s="14" t="str">
        <f>IFERROR(__xludf.DUMMYFUNCTION("""COMPUTED_VALUE"""),"2011")</f>
        <v>2011</v>
      </c>
      <c r="AE1477" s="14">
        <f>IFERROR(__xludf.DUMMYFUNCTION("""COMPUTED_VALUE"""),63715.0)</f>
        <v>63715</v>
      </c>
      <c r="AF1477" s="14">
        <f>IFERROR(__xludf.DUMMYFUNCTION("""COMPUTED_VALUE"""),170648.0)</f>
        <v>170648</v>
      </c>
    </row>
    <row r="1478">
      <c r="A1478" s="12">
        <v>1477.0</v>
      </c>
      <c r="B1478" s="12" t="s">
        <v>192</v>
      </c>
      <c r="C1478" s="5" t="s">
        <v>61</v>
      </c>
      <c r="D1478" s="11">
        <v>0.36</v>
      </c>
      <c r="E1478" s="11">
        <v>31.0</v>
      </c>
      <c r="F1478" s="8"/>
      <c r="G1478" s="11">
        <v>166.0</v>
      </c>
      <c r="H1478" s="11">
        <v>0.557</v>
      </c>
      <c r="I1478" s="11">
        <v>0.871</v>
      </c>
      <c r="J1478" s="9" t="s">
        <v>68</v>
      </c>
      <c r="K1478" s="14" t="str">
        <f>IFERROR(__xludf.DUMMYFUNCTION("ARRAYFORMULA(VLOOKUP(A1478,IMPORTRANGE(""https://docs.google.com/spreadsheets/d/1BuTWp7qHGjWhqrnf-OmePP568O4A5Am9ttzvVdP67zw/edit#gid=1603210130"", ""TOURISM!$A$2:$F$2692""), {2,3,4,5,6},0))"),"Asia")</f>
        <v>Asia</v>
      </c>
      <c r="L1478" s="14">
        <f>IFERROR(__xludf.DUMMYFUNCTION("""COMPUTED_VALUE"""),1.7948E10)</f>
        <v>17948000000</v>
      </c>
      <c r="M1478" s="14" t="str">
        <f>IFERROR(__xludf.DUMMYFUNCTION("""COMPUTED_VALUE"""),"Malaysia-Asia")</f>
        <v>Malaysia-Asia</v>
      </c>
      <c r="N1478" s="14" t="str">
        <f>IFERROR(__xludf.DUMMYFUNCTION("""COMPUTED_VALUE"""),"2007")</f>
        <v>2007</v>
      </c>
      <c r="O1478" s="14">
        <f>IFERROR(__xludf.DUMMYFUNCTION("""COMPUTED_VALUE"""),6.6E9)</f>
        <v>6600000000</v>
      </c>
      <c r="P1478" s="15">
        <f>IFERROR(__xludf.DUMMYFUNCTION("ARRAYFORMULA(VLOOKUP(A1478,IMPORTRANGE(""https://docs.google.com/spreadsheets/d/1BuTWp7qHGjWhqrnf-OmePP568O4A5Am9ttzvVdP67zw/edit#gid=771602874"" ,""HUMAN RESOURCES!$A$2:$M$2692""), {2,3,4,5,6,7,8,9,10,11,12,13},0))"),0.018)</f>
        <v>0.018</v>
      </c>
      <c r="Q1478" s="14">
        <f>IFERROR(__xludf.DUMMYFUNCTION("""COMPUTED_VALUE"""),0.007)</f>
        <v>0.007</v>
      </c>
      <c r="R1478" s="14">
        <f>IFERROR(__xludf.DUMMYFUNCTION("""COMPUTED_VALUE"""),76.0)</f>
        <v>76</v>
      </c>
      <c r="S1478" s="14">
        <f>IFERROR(__xludf.DUMMYFUNCTION("""COMPUTED_VALUE"""),72.0)</f>
        <v>72</v>
      </c>
      <c r="T1478" s="14">
        <f>IFERROR(__xludf.DUMMYFUNCTION("""COMPUTED_VALUE"""),0.292)</f>
        <v>0.292</v>
      </c>
      <c r="U1478" s="14">
        <f>IFERROR(__xludf.DUMMYFUNCTION("""COMPUTED_VALUE"""),0.663)</f>
        <v>0.663</v>
      </c>
      <c r="V1478" s="14">
        <f>IFERROR(__xludf.DUMMYFUNCTION("""COMPUTED_VALUE"""),0.045)</f>
        <v>0.045</v>
      </c>
      <c r="W1478" s="14">
        <f>IFERROR(__xludf.DUMMYFUNCTION("""COMPUTED_VALUE"""),2.6813819E7)</f>
        <v>26813819</v>
      </c>
      <c r="X1478" s="14">
        <f>IFERROR(__xludf.DUMMYFUNCTION("""COMPUTED_VALUE"""),0.684)</f>
        <v>0.684</v>
      </c>
      <c r="Y1478" s="14" t="str">
        <f>IFERROR(__xludf.DUMMYFUNCTION("""COMPUTED_VALUE"""),"Malaysia-Asia")</f>
        <v>Malaysia-Asia</v>
      </c>
      <c r="Z1478" s="14" t="str">
        <f>IFERROR(__xludf.DUMMYFUNCTION("""COMPUTED_VALUE"""),"Asia")</f>
        <v>Asia</v>
      </c>
      <c r="AA1478" s="14" t="str">
        <f>IFERROR(__xludf.DUMMYFUNCTION("""COMPUTED_VALUE"""),"2007")</f>
        <v>2007</v>
      </c>
      <c r="AB1478" s="15" t="str">
        <f>IFERROR(__xludf.DUMMYFUNCTION("ARRAYFORMULA(VLOOKUP(A1478,IMPORTRANGE(""https://docs.google.com/spreadsheets/d/1BuTWp7qHGjWhqrnf-OmePP568O4A5Am9ttzvVdP67zw/edit#gid=1931367683"" ,""ENERGY!$A$2:$F$2692""), {2,3,4,5,6},0))"),"Asia")</f>
        <v>Asia</v>
      </c>
      <c r="AC1478" s="14" t="str">
        <f>IFERROR(__xludf.DUMMYFUNCTION("""COMPUTED_VALUE"""),"Malaysia-Asia")</f>
        <v>Malaysia-Asia</v>
      </c>
      <c r="AD1478" s="14" t="str">
        <f>IFERROR(__xludf.DUMMYFUNCTION("""COMPUTED_VALUE"""),"2009")</f>
        <v>2009</v>
      </c>
      <c r="AE1478" s="14">
        <f>IFERROR(__xludf.DUMMYFUNCTION("""COMPUTED_VALUE"""),63507.0)</f>
        <v>63507</v>
      </c>
      <c r="AF1478" s="14">
        <f>IFERROR(__xludf.DUMMYFUNCTION("""COMPUTED_VALUE"""),177373.0)</f>
        <v>177373</v>
      </c>
    </row>
    <row r="1479">
      <c r="A1479" s="12">
        <v>1478.0</v>
      </c>
      <c r="B1479" s="12" t="s">
        <v>192</v>
      </c>
      <c r="C1479" s="5" t="s">
        <v>61</v>
      </c>
      <c r="D1479" s="11">
        <v>0.345</v>
      </c>
      <c r="E1479" s="11">
        <v>20.0</v>
      </c>
      <c r="F1479" s="8"/>
      <c r="G1479" s="11">
        <v>145.0</v>
      </c>
      <c r="H1479" s="11">
        <v>0.558</v>
      </c>
      <c r="I1479" s="11">
        <v>1.015</v>
      </c>
      <c r="J1479" s="9" t="s">
        <v>69</v>
      </c>
      <c r="K1479" s="14" t="str">
        <f>IFERROR(__xludf.DUMMYFUNCTION("ARRAYFORMULA(VLOOKUP(A1479,IMPORTRANGE(""https://docs.google.com/spreadsheets/d/1BuTWp7qHGjWhqrnf-OmePP568O4A5Am9ttzvVdP67zw/edit#gid=1603210130"", ""TOURISM!$A$2:$F$2692""), {2,3,4,5,6},0))"),"Asia")</f>
        <v>Asia</v>
      </c>
      <c r="L1479" s="14">
        <f>IFERROR(__xludf.DUMMYFUNCTION("""COMPUTED_VALUE"""),1.8553E10)</f>
        <v>18553000000</v>
      </c>
      <c r="M1479" s="14" t="str">
        <f>IFERROR(__xludf.DUMMYFUNCTION("""COMPUTED_VALUE"""),"Malaysia-Asia")</f>
        <v>Malaysia-Asia</v>
      </c>
      <c r="N1479" s="14" t="str">
        <f>IFERROR(__xludf.DUMMYFUNCTION("""COMPUTED_VALUE"""),"2008")</f>
        <v>2008</v>
      </c>
      <c r="O1479" s="14">
        <f>IFERROR(__xludf.DUMMYFUNCTION("""COMPUTED_VALUE"""),7.724E9)</f>
        <v>7724000000</v>
      </c>
      <c r="P1479" s="15">
        <f>IFERROR(__xludf.DUMMYFUNCTION("ARRAYFORMULA(VLOOKUP(A1479,IMPORTRANGE(""https://docs.google.com/spreadsheets/d/1BuTWp7qHGjWhqrnf-OmePP568O4A5Am9ttzvVdP67zw/edit#gid=771602874"" ,""HUMAN RESOURCES!$A$2:$M$2692""), {2,3,4,5,6,7,8,9,10,11,12,13},0))"),0.018)</f>
        <v>0.018</v>
      </c>
      <c r="Q1479" s="14">
        <f>IFERROR(__xludf.DUMMYFUNCTION("""COMPUTED_VALUE"""),0.007)</f>
        <v>0.007</v>
      </c>
      <c r="R1479" s="14">
        <f>IFERROR(__xludf.DUMMYFUNCTION("""COMPUTED_VALUE"""),77.0)</f>
        <v>77</v>
      </c>
      <c r="S1479" s="14">
        <f>IFERROR(__xludf.DUMMYFUNCTION("""COMPUTED_VALUE"""),72.0)</f>
        <v>72</v>
      </c>
      <c r="T1479" s="14">
        <f>IFERROR(__xludf.DUMMYFUNCTION("""COMPUTED_VALUE"""),0.287)</f>
        <v>0.287</v>
      </c>
      <c r="U1479" s="14">
        <f>IFERROR(__xludf.DUMMYFUNCTION("""COMPUTED_VALUE"""),0.667)</f>
        <v>0.667</v>
      </c>
      <c r="V1479" s="14">
        <f>IFERROR(__xludf.DUMMYFUNCTION("""COMPUTED_VALUE"""),0.046)</f>
        <v>0.046</v>
      </c>
      <c r="W1479" s="14">
        <f>IFERROR(__xludf.DUMMYFUNCTION("""COMPUTED_VALUE"""),2.7302348E7)</f>
        <v>27302348</v>
      </c>
      <c r="X1479" s="14">
        <f>IFERROR(__xludf.DUMMYFUNCTION("""COMPUTED_VALUE"""),0.692)</f>
        <v>0.692</v>
      </c>
      <c r="Y1479" s="14" t="str">
        <f>IFERROR(__xludf.DUMMYFUNCTION("""COMPUTED_VALUE"""),"Malaysia-Asia")</f>
        <v>Malaysia-Asia</v>
      </c>
      <c r="Z1479" s="14" t="str">
        <f>IFERROR(__xludf.DUMMYFUNCTION("""COMPUTED_VALUE"""),"Asia")</f>
        <v>Asia</v>
      </c>
      <c r="AA1479" s="14" t="str">
        <f>IFERROR(__xludf.DUMMYFUNCTION("""COMPUTED_VALUE"""),"2008")</f>
        <v>2008</v>
      </c>
      <c r="AB1479" s="15" t="str">
        <f>IFERROR(__xludf.DUMMYFUNCTION("ARRAYFORMULA(VLOOKUP(A1479,IMPORTRANGE(""https://docs.google.com/spreadsheets/d/1BuTWp7qHGjWhqrnf-OmePP568O4A5Am9ttzvVdP67zw/edit#gid=1931367683"" ,""ENERGY!$A$2:$F$2692""), {2,3,4,5,6},0))"),"Asia")</f>
        <v>Asia</v>
      </c>
      <c r="AC1479" s="14" t="str">
        <f>IFERROR(__xludf.DUMMYFUNCTION("""COMPUTED_VALUE"""),"Malaysia-Asia")</f>
        <v>Malaysia-Asia</v>
      </c>
      <c r="AD1479" s="14" t="str">
        <f>IFERROR(__xludf.DUMMYFUNCTION("""COMPUTED_VALUE"""),"2006")</f>
        <v>2006</v>
      </c>
      <c r="AE1479" s="14">
        <f>IFERROR(__xludf.DUMMYFUNCTION("""COMPUTED_VALUE"""),58691.0)</f>
        <v>58691</v>
      </c>
      <c r="AF1479" s="14">
        <f>IFERROR(__xludf.DUMMYFUNCTION("""COMPUTED_VALUE"""),167333.0)</f>
        <v>167333</v>
      </c>
    </row>
    <row r="1480">
      <c r="A1480" s="12">
        <v>1479.0</v>
      </c>
      <c r="B1480" s="12" t="s">
        <v>192</v>
      </c>
      <c r="C1480" s="5" t="s">
        <v>61</v>
      </c>
      <c r="D1480" s="11">
        <v>0.342</v>
      </c>
      <c r="E1480" s="11">
        <v>18.0</v>
      </c>
      <c r="F1480" s="8"/>
      <c r="G1480" s="11">
        <v>145.0</v>
      </c>
      <c r="H1480" s="11">
        <v>0.559</v>
      </c>
      <c r="I1480" s="11">
        <v>1.085</v>
      </c>
      <c r="J1480" s="9" t="s">
        <v>70</v>
      </c>
      <c r="K1480" s="14" t="str">
        <f>IFERROR(__xludf.DUMMYFUNCTION("ARRAYFORMULA(VLOOKUP(A1480,IMPORTRANGE(""https://docs.google.com/spreadsheets/d/1BuTWp7qHGjWhqrnf-OmePP568O4A5Am9ttzvVdP67zw/edit#gid=1603210130"", ""TOURISM!$A$2:$F$2692""), {2,3,4,5,6},0))"),"Asia")</f>
        <v>Asia</v>
      </c>
      <c r="L1480" s="14">
        <f>IFERROR(__xludf.DUMMYFUNCTION("""COMPUTED_VALUE"""),1.7231E10)</f>
        <v>17231000000</v>
      </c>
      <c r="M1480" s="14" t="str">
        <f>IFERROR(__xludf.DUMMYFUNCTION("""COMPUTED_VALUE"""),"Malaysia-Asia")</f>
        <v>Malaysia-Asia</v>
      </c>
      <c r="N1480" s="14" t="str">
        <f>IFERROR(__xludf.DUMMYFUNCTION("""COMPUTED_VALUE"""),"2009")</f>
        <v>2009</v>
      </c>
      <c r="O1480" s="14">
        <f>IFERROR(__xludf.DUMMYFUNCTION("""COMPUTED_VALUE"""),7.196E9)</f>
        <v>7196000000</v>
      </c>
      <c r="P1480" s="15">
        <f>IFERROR(__xludf.DUMMYFUNCTION("ARRAYFORMULA(VLOOKUP(A1480,IMPORTRANGE(""https://docs.google.com/spreadsheets/d/1BuTWp7qHGjWhqrnf-OmePP568O4A5Am9ttzvVdP67zw/edit#gid=771602874"" ,""HUMAN RESOURCES!$A$2:$M$2692""), {2,3,4,5,6,7,8,9,10,11,12,13},0))"),0.018)</f>
        <v>0.018</v>
      </c>
      <c r="Q1480" s="14">
        <f>IFERROR(__xludf.DUMMYFUNCTION("""COMPUTED_VALUE"""),0.007)</f>
        <v>0.007</v>
      </c>
      <c r="R1480" s="14">
        <f>IFERROR(__xludf.DUMMYFUNCTION("""COMPUTED_VALUE"""),77.0)</f>
        <v>77</v>
      </c>
      <c r="S1480" s="14">
        <f>IFERROR(__xludf.DUMMYFUNCTION("""COMPUTED_VALUE"""),72.0)</f>
        <v>72</v>
      </c>
      <c r="T1480" s="14">
        <f>IFERROR(__xludf.DUMMYFUNCTION("""COMPUTED_VALUE"""),0.282)</f>
        <v>0.282</v>
      </c>
      <c r="U1480" s="14">
        <f>IFERROR(__xludf.DUMMYFUNCTION("""COMPUTED_VALUE"""),0.671)</f>
        <v>0.671</v>
      </c>
      <c r="V1480" s="14">
        <f>IFERROR(__xludf.DUMMYFUNCTION("""COMPUTED_VALUE"""),0.047)</f>
        <v>0.047</v>
      </c>
      <c r="W1480" s="14">
        <f>IFERROR(__xludf.DUMMYFUNCTION("""COMPUTED_VALUE"""),2.7790324E7)</f>
        <v>27790324</v>
      </c>
      <c r="X1480" s="14">
        <f>IFERROR(__xludf.DUMMYFUNCTION("""COMPUTED_VALUE"""),0.701)</f>
        <v>0.701</v>
      </c>
      <c r="Y1480" s="14" t="str">
        <f>IFERROR(__xludf.DUMMYFUNCTION("""COMPUTED_VALUE"""),"Malaysia-Asia")</f>
        <v>Malaysia-Asia</v>
      </c>
      <c r="Z1480" s="14" t="str">
        <f>IFERROR(__xludf.DUMMYFUNCTION("""COMPUTED_VALUE"""),"Asia")</f>
        <v>Asia</v>
      </c>
      <c r="AA1480" s="14" t="str">
        <f>IFERROR(__xludf.DUMMYFUNCTION("""COMPUTED_VALUE"""),"2009")</f>
        <v>2009</v>
      </c>
      <c r="AB1480" s="15" t="str">
        <f>IFERROR(__xludf.DUMMYFUNCTION("ARRAYFORMULA(VLOOKUP(A1480,IMPORTRANGE(""https://docs.google.com/spreadsheets/d/1BuTWp7qHGjWhqrnf-OmePP568O4A5Am9ttzvVdP67zw/edit#gid=1931367683"" ,""ENERGY!$A$2:$F$2692""), {2,3,4,5,6},0))"),"Asia")</f>
        <v>Asia</v>
      </c>
      <c r="AC1480" s="14" t="str">
        <f>IFERROR(__xludf.DUMMYFUNCTION("""COMPUTED_VALUE"""),"Malaysia-Asia")</f>
        <v>Malaysia-Asia</v>
      </c>
      <c r="AD1480" s="14" t="str">
        <f>IFERROR(__xludf.DUMMYFUNCTION("""COMPUTED_VALUE"""),"2010")</f>
        <v>2010</v>
      </c>
      <c r="AE1480" s="14">
        <f>IFERROR(__xludf.DUMMYFUNCTION("""COMPUTED_VALUE"""),54619.0)</f>
        <v>54619</v>
      </c>
      <c r="AF1480" s="14">
        <f>IFERROR(__xludf.DUMMYFUNCTION("""COMPUTED_VALUE"""),160266.0)</f>
        <v>160266</v>
      </c>
    </row>
    <row r="1481">
      <c r="A1481" s="12">
        <v>1480.0</v>
      </c>
      <c r="B1481" s="12" t="s">
        <v>192</v>
      </c>
      <c r="C1481" s="5" t="s">
        <v>61</v>
      </c>
      <c r="D1481" s="11">
        <v>0.337</v>
      </c>
      <c r="E1481" s="11">
        <v>17.0</v>
      </c>
      <c r="F1481" s="8"/>
      <c r="G1481" s="11">
        <v>145.0</v>
      </c>
      <c r="H1481" s="11">
        <v>0.563</v>
      </c>
      <c r="I1481" s="11">
        <v>1.197</v>
      </c>
      <c r="J1481" s="9" t="s">
        <v>71</v>
      </c>
      <c r="K1481" s="14" t="str">
        <f>IFERROR(__xludf.DUMMYFUNCTION("ARRAYFORMULA(VLOOKUP(A1481,IMPORTRANGE(""https://docs.google.com/spreadsheets/d/1BuTWp7qHGjWhqrnf-OmePP568O4A5Am9ttzvVdP67zw/edit#gid=1603210130"", ""TOURISM!$A$2:$F$2692""), {2,3,4,5,6},0))"),"Asia")</f>
        <v>Asia</v>
      </c>
      <c r="L1481" s="14">
        <f>IFERROR(__xludf.DUMMYFUNCTION("""COMPUTED_VALUE"""),1.8152E10)</f>
        <v>18152000000</v>
      </c>
      <c r="M1481" s="14" t="str">
        <f>IFERROR(__xludf.DUMMYFUNCTION("""COMPUTED_VALUE"""),"Malaysia-Asia")</f>
        <v>Malaysia-Asia</v>
      </c>
      <c r="N1481" s="14" t="str">
        <f>IFERROR(__xludf.DUMMYFUNCTION("""COMPUTED_VALUE"""),"2010")</f>
        <v>2010</v>
      </c>
      <c r="O1481" s="14">
        <f>IFERROR(__xludf.DUMMYFUNCTION("""COMPUTED_VALUE"""),8.324E9)</f>
        <v>8324000000</v>
      </c>
      <c r="P1481" s="15">
        <f>IFERROR(__xludf.DUMMYFUNCTION("ARRAYFORMULA(VLOOKUP(A1481,IMPORTRANGE(""https://docs.google.com/spreadsheets/d/1BuTWp7qHGjWhqrnf-OmePP568O4A5Am9ttzvVdP67zw/edit#gid=771602874"" ,""HUMAN RESOURCES!$A$2:$M$2692""), {2,3,4,5,6,7,8,9,10,11,12,13},0))"),0.018)</f>
        <v>0.018</v>
      </c>
      <c r="Q1481" s="14">
        <f>IFERROR(__xludf.DUMMYFUNCTION("""COMPUTED_VALUE"""),0.007)</f>
        <v>0.007</v>
      </c>
      <c r="R1481" s="14">
        <f>IFERROR(__xludf.DUMMYFUNCTION("""COMPUTED_VALUE"""),77.0)</f>
        <v>77</v>
      </c>
      <c r="S1481" s="14">
        <f>IFERROR(__xludf.DUMMYFUNCTION("""COMPUTED_VALUE"""),72.0)</f>
        <v>72</v>
      </c>
      <c r="T1481" s="14">
        <f>IFERROR(__xludf.DUMMYFUNCTION("""COMPUTED_VALUE"""),0.277)</f>
        <v>0.277</v>
      </c>
      <c r="U1481" s="14">
        <f>IFERROR(__xludf.DUMMYFUNCTION("""COMPUTED_VALUE"""),0.675)</f>
        <v>0.675</v>
      </c>
      <c r="V1481" s="14">
        <f>IFERROR(__xludf.DUMMYFUNCTION("""COMPUTED_VALUE"""),0.048)</f>
        <v>0.048</v>
      </c>
      <c r="W1481" s="14">
        <f>IFERROR(__xludf.DUMMYFUNCTION("""COMPUTED_VALUE"""),2.8275835E7)</f>
        <v>28275835</v>
      </c>
      <c r="X1481" s="14">
        <f>IFERROR(__xludf.DUMMYFUNCTION("""COMPUTED_VALUE"""),0.709)</f>
        <v>0.709</v>
      </c>
      <c r="Y1481" s="14" t="str">
        <f>IFERROR(__xludf.DUMMYFUNCTION("""COMPUTED_VALUE"""),"Malaysia-Asia")</f>
        <v>Malaysia-Asia</v>
      </c>
      <c r="Z1481" s="14" t="str">
        <f>IFERROR(__xludf.DUMMYFUNCTION("""COMPUTED_VALUE"""),"Asia")</f>
        <v>Asia</v>
      </c>
      <c r="AA1481" s="14" t="str">
        <f>IFERROR(__xludf.DUMMYFUNCTION("""COMPUTED_VALUE"""),"2010")</f>
        <v>2010</v>
      </c>
      <c r="AB1481" s="15" t="str">
        <f>IFERROR(__xludf.DUMMYFUNCTION("ARRAYFORMULA(VLOOKUP(A1481,IMPORTRANGE(""https://docs.google.com/spreadsheets/d/1BuTWp7qHGjWhqrnf-OmePP568O4A5Am9ttzvVdP67zw/edit#gid=1931367683"" ,""ENERGY!$A$2:$F$2692""), {2,3,4,5,6},0))"),"Asia")</f>
        <v>Asia</v>
      </c>
      <c r="AC1481" s="14" t="str">
        <f>IFERROR(__xludf.DUMMYFUNCTION("""COMPUTED_VALUE"""),"Malaysia-Asia")</f>
        <v>Malaysia-Asia</v>
      </c>
      <c r="AD1481" s="14" t="str">
        <f>IFERROR(__xludf.DUMMYFUNCTION("""COMPUTED_VALUE"""),"2012")</f>
        <v>2012</v>
      </c>
      <c r="AE1481" s="14">
        <f>IFERROR(__xludf.DUMMYFUNCTION("""COMPUTED_VALUE"""),51009.0)</f>
        <v>51009</v>
      </c>
      <c r="AF1481" s="14">
        <f>IFERROR(__xludf.DUMMYFUNCTION("""COMPUTED_VALUE"""),135129.0)</f>
        <v>135129</v>
      </c>
    </row>
    <row r="1482">
      <c r="A1482" s="12">
        <v>1481.0</v>
      </c>
      <c r="B1482" s="12" t="s">
        <v>192</v>
      </c>
      <c r="C1482" s="5" t="s">
        <v>61</v>
      </c>
      <c r="D1482" s="11">
        <v>0.34</v>
      </c>
      <c r="E1482" s="11">
        <v>6.0</v>
      </c>
      <c r="F1482" s="8"/>
      <c r="G1482" s="11">
        <v>133.0</v>
      </c>
      <c r="H1482" s="11">
        <v>0.61</v>
      </c>
      <c r="I1482" s="11">
        <v>1.275</v>
      </c>
      <c r="J1482" s="9" t="s">
        <v>72</v>
      </c>
      <c r="K1482" s="14" t="str">
        <f>IFERROR(__xludf.DUMMYFUNCTION("ARRAYFORMULA(VLOOKUP(A1482,IMPORTRANGE(""https://docs.google.com/spreadsheets/d/1BuTWp7qHGjWhqrnf-OmePP568O4A5Am9ttzvVdP67zw/edit#gid=1603210130"", ""TOURISM!$A$2:$F$2692""), {2,3,4,5,6},0))"),"Asia")</f>
        <v>Asia</v>
      </c>
      <c r="L1482" s="14">
        <f>IFERROR(__xludf.DUMMYFUNCTION("""COMPUTED_VALUE"""),1.9649E10)</f>
        <v>19649000000</v>
      </c>
      <c r="M1482" s="14" t="str">
        <f>IFERROR(__xludf.DUMMYFUNCTION("""COMPUTED_VALUE"""),"Malaysia-Asia")</f>
        <v>Malaysia-Asia</v>
      </c>
      <c r="N1482" s="14" t="str">
        <f>IFERROR(__xludf.DUMMYFUNCTION("""COMPUTED_VALUE"""),"2011")</f>
        <v>2011</v>
      </c>
      <c r="O1482" s="14">
        <f>IFERROR(__xludf.DUMMYFUNCTION("""COMPUTED_VALUE"""),1.018E10)</f>
        <v>10180000000</v>
      </c>
      <c r="P1482" s="15">
        <f>IFERROR(__xludf.DUMMYFUNCTION("ARRAYFORMULA(VLOOKUP(A1482,IMPORTRANGE(""https://docs.google.com/spreadsheets/d/1BuTWp7qHGjWhqrnf-OmePP568O4A5Am9ttzvVdP67zw/edit#gid=771602874"" ,""HUMAN RESOURCES!$A$2:$M$2692""), {2,3,4,5,6,7,8,9,10,11,12,13},0))"),0.018)</f>
        <v>0.018</v>
      </c>
      <c r="Q1482" s="14">
        <f>IFERROR(__xludf.DUMMYFUNCTION("""COMPUTED_VALUE"""),0.007)</f>
        <v>0.007</v>
      </c>
      <c r="R1482" s="14">
        <f>IFERROR(__xludf.DUMMYFUNCTION("""COMPUTED_VALUE"""),77.0)</f>
        <v>77</v>
      </c>
      <c r="S1482" s="14">
        <f>IFERROR(__xludf.DUMMYFUNCTION("""COMPUTED_VALUE"""),72.0)</f>
        <v>72</v>
      </c>
      <c r="T1482" s="14">
        <f>IFERROR(__xludf.DUMMYFUNCTION("""COMPUTED_VALUE"""),0.272)</f>
        <v>0.272</v>
      </c>
      <c r="U1482" s="14">
        <f>IFERROR(__xludf.DUMMYFUNCTION("""COMPUTED_VALUE"""),0.678)</f>
        <v>0.678</v>
      </c>
      <c r="V1482" s="14">
        <f>IFERROR(__xludf.DUMMYFUNCTION("""COMPUTED_VALUE"""),0.05)</f>
        <v>0.05</v>
      </c>
      <c r="W1482" s="14">
        <f>IFERROR(__xludf.DUMMYFUNCTION("""COMPUTED_VALUE"""),2.8758968E7)</f>
        <v>28758968</v>
      </c>
      <c r="X1482" s="14">
        <f>IFERROR(__xludf.DUMMYFUNCTION("""COMPUTED_VALUE"""),0.717)</f>
        <v>0.717</v>
      </c>
      <c r="Y1482" s="14" t="str">
        <f>IFERROR(__xludf.DUMMYFUNCTION("""COMPUTED_VALUE"""),"Malaysia-Asia")</f>
        <v>Malaysia-Asia</v>
      </c>
      <c r="Z1482" s="14" t="str">
        <f>IFERROR(__xludf.DUMMYFUNCTION("""COMPUTED_VALUE"""),"Asia")</f>
        <v>Asia</v>
      </c>
      <c r="AA1482" s="14" t="str">
        <f>IFERROR(__xludf.DUMMYFUNCTION("""COMPUTED_VALUE"""),"2011")</f>
        <v>2011</v>
      </c>
      <c r="AB1482" s="15" t="str">
        <f>IFERROR(__xludf.DUMMYFUNCTION("ARRAYFORMULA(VLOOKUP(A1482,IMPORTRANGE(""https://docs.google.com/spreadsheets/d/1BuTWp7qHGjWhqrnf-OmePP568O4A5Am9ttzvVdP67zw/edit#gid=1931367683"" ,""ENERGY!$A$2:$F$2692""), {2,3,4,5,6},0))"),"Asia")</f>
        <v>Asia</v>
      </c>
      <c r="AC1482" s="14" t="str">
        <f>IFERROR(__xludf.DUMMYFUNCTION("""COMPUTED_VALUE"""),"Malaysia-Asia")</f>
        <v>Malaysia-Asia</v>
      </c>
      <c r="AD1482" s="14" t="str">
        <f>IFERROR(__xludf.DUMMYFUNCTION("""COMPUTED_VALUE"""),"2006")</f>
        <v>2006</v>
      </c>
      <c r="AE1482" s="14">
        <f>IFERROR(__xludf.DUMMYFUNCTION("""COMPUTED_VALUE"""),49255.0)</f>
        <v>49255</v>
      </c>
      <c r="AF1482" s="14">
        <f>IFERROR(__xludf.DUMMYFUNCTION("""COMPUTED_VALUE"""),136717.0)</f>
        <v>136717</v>
      </c>
    </row>
    <row r="1483">
      <c r="A1483" s="12">
        <v>1482.0</v>
      </c>
      <c r="B1483" s="12" t="s">
        <v>192</v>
      </c>
      <c r="C1483" s="5" t="s">
        <v>61</v>
      </c>
      <c r="D1483" s="11">
        <v>0.245</v>
      </c>
      <c r="E1483" s="11">
        <v>6.0</v>
      </c>
      <c r="F1483" s="11">
        <v>8.0</v>
      </c>
      <c r="G1483" s="11">
        <v>133.0</v>
      </c>
      <c r="H1483" s="11">
        <v>0.658</v>
      </c>
      <c r="I1483" s="11">
        <v>1.413</v>
      </c>
      <c r="J1483" s="9" t="s">
        <v>73</v>
      </c>
      <c r="K1483" s="14" t="str">
        <f>IFERROR(__xludf.DUMMYFUNCTION("ARRAYFORMULA(VLOOKUP(A1483,IMPORTRANGE(""https://docs.google.com/spreadsheets/d/1BuTWp7qHGjWhqrnf-OmePP568O4A5Am9ttzvVdP67zw/edit#gid=1603210130"", ""TOURISM!$A$2:$F$2692""), {2,3,4,5,6},0))"),"Asia")</f>
        <v>Asia</v>
      </c>
      <c r="L1483" s="14">
        <f>IFERROR(__xludf.DUMMYFUNCTION("""COMPUTED_VALUE"""),2.0251E10)</f>
        <v>20251000000</v>
      </c>
      <c r="M1483" s="14" t="str">
        <f>IFERROR(__xludf.DUMMYFUNCTION("""COMPUTED_VALUE"""),"Malaysia-Asia")</f>
        <v>Malaysia-Asia</v>
      </c>
      <c r="N1483" s="14" t="str">
        <f>IFERROR(__xludf.DUMMYFUNCTION("""COMPUTED_VALUE"""),"2012")</f>
        <v>2012</v>
      </c>
      <c r="O1483" s="14">
        <f>IFERROR(__xludf.DUMMYFUNCTION("""COMPUTED_VALUE"""),1.1545E10)</f>
        <v>11545000000</v>
      </c>
      <c r="P1483" s="15">
        <f>IFERROR(__xludf.DUMMYFUNCTION("ARRAYFORMULA(VLOOKUP(A1483,IMPORTRANGE(""https://docs.google.com/spreadsheets/d/1BuTWp7qHGjWhqrnf-OmePP568O4A5Am9ttzvVdP67zw/edit#gid=771602874"" ,""HUMAN RESOURCES!$A$2:$M$2692""), {2,3,4,5,6,7,8,9,10,11,12,13},0))"),0.018)</f>
        <v>0.018</v>
      </c>
      <c r="Q1483" s="14">
        <f>IFERROR(__xludf.DUMMYFUNCTION("""COMPUTED_VALUE"""),0.007)</f>
        <v>0.007</v>
      </c>
      <c r="R1483" s="14">
        <f>IFERROR(__xludf.DUMMYFUNCTION("""COMPUTED_VALUE"""),77.0)</f>
        <v>77</v>
      </c>
      <c r="S1483" s="14">
        <f>IFERROR(__xludf.DUMMYFUNCTION("""COMPUTED_VALUE"""),73.0)</f>
        <v>73</v>
      </c>
      <c r="T1483" s="14">
        <f>IFERROR(__xludf.DUMMYFUNCTION("""COMPUTED_VALUE"""),0.267)</f>
        <v>0.267</v>
      </c>
      <c r="U1483" s="14">
        <f>IFERROR(__xludf.DUMMYFUNCTION("""COMPUTED_VALUE"""),0.682)</f>
        <v>0.682</v>
      </c>
      <c r="V1483" s="14">
        <f>IFERROR(__xludf.DUMMYFUNCTION("""COMPUTED_VALUE"""),0.052)</f>
        <v>0.052</v>
      </c>
      <c r="W1483" s="14">
        <f>IFERROR(__xludf.DUMMYFUNCTION("""COMPUTED_VALUE"""),2.9239927E7)</f>
        <v>29239927</v>
      </c>
      <c r="X1483" s="14">
        <f>IFERROR(__xludf.DUMMYFUNCTION("""COMPUTED_VALUE"""),0.725)</f>
        <v>0.725</v>
      </c>
      <c r="Y1483" s="14" t="str">
        <f>IFERROR(__xludf.DUMMYFUNCTION("""COMPUTED_VALUE"""),"Malaysia-Asia")</f>
        <v>Malaysia-Asia</v>
      </c>
      <c r="Z1483" s="14" t="str">
        <f>IFERROR(__xludf.DUMMYFUNCTION("""COMPUTED_VALUE"""),"Asia")</f>
        <v>Asia</v>
      </c>
      <c r="AA1483" s="14" t="str">
        <f>IFERROR(__xludf.DUMMYFUNCTION("""COMPUTED_VALUE"""),"2012")</f>
        <v>2012</v>
      </c>
      <c r="AB1483" s="15" t="str">
        <f>IFERROR(__xludf.DUMMYFUNCTION("ARRAYFORMULA(VLOOKUP(A1483,IMPORTRANGE(""https://docs.google.com/spreadsheets/d/1BuTWp7qHGjWhqrnf-OmePP568O4A5Am9ttzvVdP67zw/edit#gid=1931367683"" ,""ENERGY!$A$2:$F$2692""), {2,3,4,5,6},0))"),"Asia")</f>
        <v>Asia</v>
      </c>
      <c r="AC1483" s="14" t="str">
        <f>IFERROR(__xludf.DUMMYFUNCTION("""COMPUTED_VALUE"""),"Malaysia-Asia")</f>
        <v>Malaysia-Asia</v>
      </c>
      <c r="AD1483" s="14" t="str">
        <f>IFERROR(__xludf.DUMMYFUNCTION("""COMPUTED_VALUE"""),"2010")</f>
        <v>2010</v>
      </c>
      <c r="AE1483" s="14">
        <f>IFERROR(__xludf.DUMMYFUNCTION("""COMPUTED_VALUE"""),47110.0)</f>
        <v>47110</v>
      </c>
      <c r="AF1483" s="14">
        <f>IFERROR(__xludf.DUMMYFUNCTION("""COMPUTED_VALUE"""),126603.0)</f>
        <v>126603</v>
      </c>
    </row>
    <row r="1484">
      <c r="A1484" s="12">
        <v>1483.0</v>
      </c>
      <c r="B1484" s="12" t="s">
        <v>193</v>
      </c>
      <c r="C1484" s="5" t="s">
        <v>61</v>
      </c>
      <c r="D1484" s="8"/>
      <c r="E1484" s="8"/>
      <c r="F1484" s="8"/>
      <c r="G1484" s="8"/>
      <c r="H1484" s="11">
        <v>0.022</v>
      </c>
      <c r="I1484" s="11">
        <v>0.028</v>
      </c>
      <c r="J1484" s="9" t="s">
        <v>60</v>
      </c>
      <c r="K1484" s="14" t="str">
        <f>IFERROR(__xludf.DUMMYFUNCTION("ARRAYFORMULA(VLOOKUP(A1484,IMPORTRANGE(""https://docs.google.com/spreadsheets/d/1BuTWp7qHGjWhqrnf-OmePP568O4A5Am9ttzvVdP67zw/edit#gid=1603210130"", ""TOURISM!$A$2:$F$2692""), {2,3,4,5,6},0))"),"Asia")</f>
        <v>Asia</v>
      </c>
      <c r="L1484" s="14">
        <f>IFERROR(__xludf.DUMMYFUNCTION("""COMPUTED_VALUE"""),3.21E8)</f>
        <v>321000000</v>
      </c>
      <c r="M1484" s="14" t="str">
        <f>IFERROR(__xludf.DUMMYFUNCTION("""COMPUTED_VALUE"""),"Maldives-Asia")</f>
        <v>Maldives-Asia</v>
      </c>
      <c r="N1484" s="14" t="str">
        <f>IFERROR(__xludf.DUMMYFUNCTION("""COMPUTED_VALUE"""),"2000")</f>
        <v>2000</v>
      </c>
      <c r="O1484" s="14">
        <f>IFERROR(__xludf.DUMMYFUNCTION("""COMPUTED_VALUE"""),6.0E7)</f>
        <v>60000000</v>
      </c>
      <c r="P1484" s="15">
        <f>IFERROR(__xludf.DUMMYFUNCTION("ARRAYFORMULA(VLOOKUP(A1484,IMPORTRANGE(""https://docs.google.com/spreadsheets/d/1BuTWp7qHGjWhqrnf-OmePP568O4A5Am9ttzvVdP67zw/edit#gid=771602874"" ,""HUMAN RESOURCES!$A$2:$M$2692""), {2,3,4,5,6,7,8,9,10,11,12,13},0))"),0.025)</f>
        <v>0.025</v>
      </c>
      <c r="Q1484" s="14">
        <f>IFERROR(__xludf.DUMMYFUNCTION("""COMPUTED_VALUE"""),0.035)</f>
        <v>0.035</v>
      </c>
      <c r="R1484" s="14">
        <f>IFERROR(__xludf.DUMMYFUNCTION("""COMPUTED_VALUE"""),70.0)</f>
        <v>70</v>
      </c>
      <c r="S1484" s="14">
        <f>IFERROR(__xludf.DUMMYFUNCTION("""COMPUTED_VALUE"""),69.0)</f>
        <v>69</v>
      </c>
      <c r="T1484" s="14">
        <f>IFERROR(__xludf.DUMMYFUNCTION("""COMPUTED_VALUE"""),0.413)</f>
        <v>0.413</v>
      </c>
      <c r="U1484" s="14">
        <f>IFERROR(__xludf.DUMMYFUNCTION("""COMPUTED_VALUE"""),0.549)</f>
        <v>0.549</v>
      </c>
      <c r="V1484" s="14">
        <f>IFERROR(__xludf.DUMMYFUNCTION("""COMPUTED_VALUE"""),0.038)</f>
        <v>0.038</v>
      </c>
      <c r="W1484" s="14">
        <f>IFERROR(__xludf.DUMMYFUNCTION("""COMPUTED_VALUE"""),272745.0)</f>
        <v>272745</v>
      </c>
      <c r="X1484" s="14">
        <f>IFERROR(__xludf.DUMMYFUNCTION("""COMPUTED_VALUE"""),0.277)</f>
        <v>0.277</v>
      </c>
      <c r="Y1484" s="14" t="str">
        <f>IFERROR(__xludf.DUMMYFUNCTION("""COMPUTED_VALUE"""),"Maldives-Asia")</f>
        <v>Maldives-Asia</v>
      </c>
      <c r="Z1484" s="14" t="str">
        <f>IFERROR(__xludf.DUMMYFUNCTION("""COMPUTED_VALUE"""),"Asia")</f>
        <v>Asia</v>
      </c>
      <c r="AA1484" s="14" t="str">
        <f>IFERROR(__xludf.DUMMYFUNCTION("""COMPUTED_VALUE"""),"2000")</f>
        <v>2000</v>
      </c>
      <c r="AB1484" s="15" t="str">
        <f>IFERROR(__xludf.DUMMYFUNCTION("ARRAYFORMULA(VLOOKUP(A1484,IMPORTRANGE(""https://docs.google.com/spreadsheets/d/1BuTWp7qHGjWhqrnf-OmePP568O4A5Am9ttzvVdP67zw/edit#gid=1931367683"" ,""ENERGY!$A$2:$F$2692""), {2,3,4,5,6},0))"),"Asia")</f>
        <v>Asia</v>
      </c>
      <c r="AC1484" s="14" t="str">
        <f>IFERROR(__xludf.DUMMYFUNCTION("""COMPUTED_VALUE"""),"Maldives-Asia")</f>
        <v>Maldives-Asia</v>
      </c>
      <c r="AD1484" s="14" t="str">
        <f>IFERROR(__xludf.DUMMYFUNCTION("""COMPUTED_VALUE"""),"2000")</f>
        <v>2000</v>
      </c>
      <c r="AE1484" s="14"/>
      <c r="AF1484" s="14"/>
    </row>
    <row r="1485">
      <c r="A1485" s="12">
        <v>1484.0</v>
      </c>
      <c r="B1485" s="12" t="s">
        <v>193</v>
      </c>
      <c r="C1485" s="5" t="s">
        <v>61</v>
      </c>
      <c r="D1485" s="8"/>
      <c r="E1485" s="8"/>
      <c r="F1485" s="8"/>
      <c r="G1485" s="8"/>
      <c r="H1485" s="11">
        <v>0.036</v>
      </c>
      <c r="I1485" s="11">
        <v>0.068</v>
      </c>
      <c r="J1485" s="9" t="s">
        <v>62</v>
      </c>
      <c r="K1485" s="14" t="str">
        <f>IFERROR(__xludf.DUMMYFUNCTION("ARRAYFORMULA(VLOOKUP(A1485,IMPORTRANGE(""https://docs.google.com/spreadsheets/d/1BuTWp7qHGjWhqrnf-OmePP568O4A5Am9ttzvVdP67zw/edit#gid=1603210130"", ""TOURISM!$A$2:$F$2692""), {2,3,4,5,6},0))"),"Asia")</f>
        <v>Asia</v>
      </c>
      <c r="L1485" s="14">
        <f>IFERROR(__xludf.DUMMYFUNCTION("""COMPUTED_VALUE"""),3.27E8)</f>
        <v>327000000</v>
      </c>
      <c r="M1485" s="14" t="str">
        <f>IFERROR(__xludf.DUMMYFUNCTION("""COMPUTED_VALUE"""),"Maldives-Asia")</f>
        <v>Maldives-Asia</v>
      </c>
      <c r="N1485" s="14" t="str">
        <f>IFERROR(__xludf.DUMMYFUNCTION("""COMPUTED_VALUE"""),"2001")</f>
        <v>2001</v>
      </c>
      <c r="O1485" s="14">
        <f>IFERROR(__xludf.DUMMYFUNCTION("""COMPUTED_VALUE"""),5.9E7)</f>
        <v>59000000</v>
      </c>
      <c r="P1485" s="15">
        <f>IFERROR(__xludf.DUMMYFUNCTION("ARRAYFORMULA(VLOOKUP(A1485,IMPORTRANGE(""https://docs.google.com/spreadsheets/d/1BuTWp7qHGjWhqrnf-OmePP568O4A5Am9ttzvVdP67zw/edit#gid=771602874"" ,""HUMAN RESOURCES!$A$2:$M$2692""), {2,3,4,5,6,7,8,9,10,11,12,13},0))"),0.023)</f>
        <v>0.023</v>
      </c>
      <c r="Q1485" s="14">
        <f>IFERROR(__xludf.DUMMYFUNCTION("""COMPUTED_VALUE"""),0.032)</f>
        <v>0.032</v>
      </c>
      <c r="R1485" s="14">
        <f>IFERROR(__xludf.DUMMYFUNCTION("""COMPUTED_VALUE"""),72.0)</f>
        <v>72</v>
      </c>
      <c r="S1485" s="14">
        <f>IFERROR(__xludf.DUMMYFUNCTION("""COMPUTED_VALUE"""),70.0)</f>
        <v>70</v>
      </c>
      <c r="T1485" s="14">
        <f>IFERROR(__xludf.DUMMYFUNCTION("""COMPUTED_VALUE"""),0.399)</f>
        <v>0.399</v>
      </c>
      <c r="U1485" s="14">
        <f>IFERROR(__xludf.DUMMYFUNCTION("""COMPUTED_VALUE"""),0.561)</f>
        <v>0.561</v>
      </c>
      <c r="V1485" s="14">
        <f>IFERROR(__xludf.DUMMYFUNCTION("""COMPUTED_VALUE"""),0.039)</f>
        <v>0.039</v>
      </c>
      <c r="W1485" s="14">
        <f>IFERROR(__xludf.DUMMYFUNCTION("""COMPUTED_VALUE"""),277825.0)</f>
        <v>277825</v>
      </c>
      <c r="X1485" s="14">
        <f>IFERROR(__xludf.DUMMYFUNCTION("""COMPUTED_VALUE"""),0.289)</f>
        <v>0.289</v>
      </c>
      <c r="Y1485" s="14" t="str">
        <f>IFERROR(__xludf.DUMMYFUNCTION("""COMPUTED_VALUE"""),"Maldives-Asia")</f>
        <v>Maldives-Asia</v>
      </c>
      <c r="Z1485" s="14" t="str">
        <f>IFERROR(__xludf.DUMMYFUNCTION("""COMPUTED_VALUE"""),"Asia")</f>
        <v>Asia</v>
      </c>
      <c r="AA1485" s="14" t="str">
        <f>IFERROR(__xludf.DUMMYFUNCTION("""COMPUTED_VALUE"""),"2001")</f>
        <v>2001</v>
      </c>
      <c r="AB1485" s="15" t="str">
        <f>IFERROR(__xludf.DUMMYFUNCTION("ARRAYFORMULA(VLOOKUP(A1485,IMPORTRANGE(""https://docs.google.com/spreadsheets/d/1BuTWp7qHGjWhqrnf-OmePP568O4A5Am9ttzvVdP67zw/edit#gid=1931367683"" ,""ENERGY!$A$2:$F$2692""), {2,3,4,5,6},0))"),"Asia")</f>
        <v>Asia</v>
      </c>
      <c r="AC1485" s="14" t="str">
        <f>IFERROR(__xludf.DUMMYFUNCTION("""COMPUTED_VALUE"""),"Maldives-Asia")</f>
        <v>Maldives-Asia</v>
      </c>
      <c r="AD1485" s="14" t="str">
        <f>IFERROR(__xludf.DUMMYFUNCTION("""COMPUTED_VALUE"""),"2001")</f>
        <v>2001</v>
      </c>
      <c r="AE1485" s="14"/>
      <c r="AF1485" s="14"/>
    </row>
    <row r="1486">
      <c r="A1486" s="12">
        <v>1485.0</v>
      </c>
      <c r="B1486" s="12" t="s">
        <v>193</v>
      </c>
      <c r="C1486" s="5" t="s">
        <v>61</v>
      </c>
      <c r="D1486" s="8"/>
      <c r="E1486" s="8"/>
      <c r="F1486" s="8"/>
      <c r="G1486" s="8"/>
      <c r="H1486" s="11">
        <v>0.053</v>
      </c>
      <c r="I1486" s="11">
        <v>0.148</v>
      </c>
      <c r="J1486" s="9" t="s">
        <v>63</v>
      </c>
      <c r="K1486" s="14" t="str">
        <f>IFERROR(__xludf.DUMMYFUNCTION("ARRAYFORMULA(VLOOKUP(A1486,IMPORTRANGE(""https://docs.google.com/spreadsheets/d/1BuTWp7qHGjWhqrnf-OmePP568O4A5Am9ttzvVdP67zw/edit#gid=1603210130"", ""TOURISM!$A$2:$F$2692""), {2,3,4,5,6},0))"),"Asia")</f>
        <v>Asia</v>
      </c>
      <c r="L1486" s="14">
        <f>IFERROR(__xludf.DUMMYFUNCTION("""COMPUTED_VALUE"""),3.37E8)</f>
        <v>337000000</v>
      </c>
      <c r="M1486" s="14" t="str">
        <f>IFERROR(__xludf.DUMMYFUNCTION("""COMPUTED_VALUE"""),"Maldives-Asia")</f>
        <v>Maldives-Asia</v>
      </c>
      <c r="N1486" s="14" t="str">
        <f>IFERROR(__xludf.DUMMYFUNCTION("""COMPUTED_VALUE"""),"2002")</f>
        <v>2002</v>
      </c>
      <c r="O1486" s="14">
        <f>IFERROR(__xludf.DUMMYFUNCTION("""COMPUTED_VALUE"""),6.0E7)</f>
        <v>60000000</v>
      </c>
      <c r="P1486" s="15">
        <f>IFERROR(__xludf.DUMMYFUNCTION("ARRAYFORMULA(VLOOKUP(A1486,IMPORTRANGE(""https://docs.google.com/spreadsheets/d/1BuTWp7qHGjWhqrnf-OmePP568O4A5Am9ttzvVdP67zw/edit#gid=771602874"" ,""HUMAN RESOURCES!$A$2:$M$2692""), {2,3,4,5,6,7,8,9,10,11,12,13},0))"),0.022)</f>
        <v>0.022</v>
      </c>
      <c r="Q1486" s="14">
        <f>IFERROR(__xludf.DUMMYFUNCTION("""COMPUTED_VALUE"""),0.028)</f>
        <v>0.028</v>
      </c>
      <c r="R1486" s="14">
        <f>IFERROR(__xludf.DUMMYFUNCTION("""COMPUTED_VALUE"""),73.0)</f>
        <v>73</v>
      </c>
      <c r="S1486" s="14">
        <f>IFERROR(__xludf.DUMMYFUNCTION("""COMPUTED_VALUE"""),70.0)</f>
        <v>70</v>
      </c>
      <c r="T1486" s="14">
        <f>IFERROR(__xludf.DUMMYFUNCTION("""COMPUTED_VALUE"""),0.385)</f>
        <v>0.385</v>
      </c>
      <c r="U1486" s="14">
        <f>IFERROR(__xludf.DUMMYFUNCTION("""COMPUTED_VALUE"""),0.574)</f>
        <v>0.574</v>
      </c>
      <c r="V1486" s="14">
        <f>IFERROR(__xludf.DUMMYFUNCTION("""COMPUTED_VALUE"""),0.041)</f>
        <v>0.041</v>
      </c>
      <c r="W1486" s="14">
        <f>IFERROR(__xludf.DUMMYFUNCTION("""COMPUTED_VALUE"""),282743.0)</f>
        <v>282743</v>
      </c>
      <c r="X1486" s="14">
        <f>IFERROR(__xludf.DUMMYFUNCTION("""COMPUTED_VALUE"""),0.3)</f>
        <v>0.3</v>
      </c>
      <c r="Y1486" s="14" t="str">
        <f>IFERROR(__xludf.DUMMYFUNCTION("""COMPUTED_VALUE"""),"Maldives-Asia")</f>
        <v>Maldives-Asia</v>
      </c>
      <c r="Z1486" s="14" t="str">
        <f>IFERROR(__xludf.DUMMYFUNCTION("""COMPUTED_VALUE"""),"Asia")</f>
        <v>Asia</v>
      </c>
      <c r="AA1486" s="14" t="str">
        <f>IFERROR(__xludf.DUMMYFUNCTION("""COMPUTED_VALUE"""),"2002")</f>
        <v>2002</v>
      </c>
      <c r="AB1486" s="15" t="str">
        <f>IFERROR(__xludf.DUMMYFUNCTION("ARRAYFORMULA(VLOOKUP(A1486,IMPORTRANGE(""https://docs.google.com/spreadsheets/d/1BuTWp7qHGjWhqrnf-OmePP568O4A5Am9ttzvVdP67zw/edit#gid=1931367683"" ,""ENERGY!$A$2:$F$2692""), {2,3,4,5,6},0))"),"Asia")</f>
        <v>Asia</v>
      </c>
      <c r="AC1486" s="14" t="str">
        <f>IFERROR(__xludf.DUMMYFUNCTION("""COMPUTED_VALUE"""),"Maldives-Asia")</f>
        <v>Maldives-Asia</v>
      </c>
      <c r="AD1486" s="14" t="str">
        <f>IFERROR(__xludf.DUMMYFUNCTION("""COMPUTED_VALUE"""),"2002")</f>
        <v>2002</v>
      </c>
      <c r="AE1486" s="14"/>
      <c r="AF1486" s="14">
        <f>IFERROR(__xludf.DUMMYFUNCTION("""COMPUTED_VALUE"""),1074.0)</f>
        <v>1074</v>
      </c>
    </row>
    <row r="1487">
      <c r="A1487" s="12">
        <v>1486.0</v>
      </c>
      <c r="B1487" s="12" t="s">
        <v>193</v>
      </c>
      <c r="C1487" s="5" t="s">
        <v>61</v>
      </c>
      <c r="D1487" s="8"/>
      <c r="E1487" s="11">
        <v>13.0</v>
      </c>
      <c r="F1487" s="8"/>
      <c r="G1487" s="8"/>
      <c r="H1487" s="11">
        <v>0.06</v>
      </c>
      <c r="I1487" s="11">
        <v>0.231</v>
      </c>
      <c r="J1487" s="9" t="s">
        <v>64</v>
      </c>
      <c r="K1487" s="14" t="str">
        <f>IFERROR(__xludf.DUMMYFUNCTION("ARRAYFORMULA(VLOOKUP(A1487,IMPORTRANGE(""https://docs.google.com/spreadsheets/d/1BuTWp7qHGjWhqrnf-OmePP568O4A5Am9ttzvVdP67zw/edit#gid=1603210130"", ""TOURISM!$A$2:$F$2692""), {2,3,4,5,6},0))"),"Asia")</f>
        <v>Asia</v>
      </c>
      <c r="L1487" s="14">
        <f>IFERROR(__xludf.DUMMYFUNCTION("""COMPUTED_VALUE"""),4.02E8)</f>
        <v>402000000</v>
      </c>
      <c r="M1487" s="14" t="str">
        <f>IFERROR(__xludf.DUMMYFUNCTION("""COMPUTED_VALUE"""),"Maldives-Asia")</f>
        <v>Maldives-Asia</v>
      </c>
      <c r="N1487" s="14" t="str">
        <f>IFERROR(__xludf.DUMMYFUNCTION("""COMPUTED_VALUE"""),"2003")</f>
        <v>2003</v>
      </c>
      <c r="O1487" s="14">
        <f>IFERROR(__xludf.DUMMYFUNCTION("""COMPUTED_VALUE"""),6.0E7)</f>
        <v>60000000</v>
      </c>
      <c r="P1487" s="15">
        <f>IFERROR(__xludf.DUMMYFUNCTION("ARRAYFORMULA(VLOOKUP(A1487,IMPORTRANGE(""https://docs.google.com/spreadsheets/d/1BuTWp7qHGjWhqrnf-OmePP568O4A5Am9ttzvVdP67zw/edit#gid=771602874"" ,""HUMAN RESOURCES!$A$2:$M$2692""), {2,3,4,5,6,7,8,9,10,11,12,13},0))"),0.022)</f>
        <v>0.022</v>
      </c>
      <c r="Q1487" s="14">
        <f>IFERROR(__xludf.DUMMYFUNCTION("""COMPUTED_VALUE"""),0.025)</f>
        <v>0.025</v>
      </c>
      <c r="R1487" s="14">
        <f>IFERROR(__xludf.DUMMYFUNCTION("""COMPUTED_VALUE"""),74.0)</f>
        <v>74</v>
      </c>
      <c r="S1487" s="14">
        <f>IFERROR(__xludf.DUMMYFUNCTION("""COMPUTED_VALUE"""),71.0)</f>
        <v>71</v>
      </c>
      <c r="T1487" s="14">
        <f>IFERROR(__xludf.DUMMYFUNCTION("""COMPUTED_VALUE"""),0.37)</f>
        <v>0.37</v>
      </c>
      <c r="U1487" s="14">
        <f>IFERROR(__xludf.DUMMYFUNCTION("""COMPUTED_VALUE"""),0.587)</f>
        <v>0.587</v>
      </c>
      <c r="V1487" s="14">
        <f>IFERROR(__xludf.DUMMYFUNCTION("""COMPUTED_VALUE"""),0.043)</f>
        <v>0.043</v>
      </c>
      <c r="W1487" s="14">
        <f>IFERROR(__xludf.DUMMYFUNCTION("""COMPUTED_VALUE"""),287594.0)</f>
        <v>287594</v>
      </c>
      <c r="X1487" s="14">
        <f>IFERROR(__xludf.DUMMYFUNCTION("""COMPUTED_VALUE"""),0.313)</f>
        <v>0.313</v>
      </c>
      <c r="Y1487" s="14" t="str">
        <f>IFERROR(__xludf.DUMMYFUNCTION("""COMPUTED_VALUE"""),"Maldives-Asia")</f>
        <v>Maldives-Asia</v>
      </c>
      <c r="Z1487" s="14" t="str">
        <f>IFERROR(__xludf.DUMMYFUNCTION("""COMPUTED_VALUE"""),"Asia")</f>
        <v>Asia</v>
      </c>
      <c r="AA1487" s="14" t="str">
        <f>IFERROR(__xludf.DUMMYFUNCTION("""COMPUTED_VALUE"""),"2003")</f>
        <v>2003</v>
      </c>
      <c r="AB1487" s="15" t="str">
        <f>IFERROR(__xludf.DUMMYFUNCTION("ARRAYFORMULA(VLOOKUP(A1487,IMPORTRANGE(""https://docs.google.com/spreadsheets/d/1BuTWp7qHGjWhqrnf-OmePP568O4A5Am9ttzvVdP67zw/edit#gid=1931367683"" ,""ENERGY!$A$2:$F$2692""), {2,3,4,5,6},0))"),"Asia")</f>
        <v>Asia</v>
      </c>
      <c r="AC1487" s="14" t="str">
        <f>IFERROR(__xludf.DUMMYFUNCTION("""COMPUTED_VALUE"""),"Maldives-Asia")</f>
        <v>Maldives-Asia</v>
      </c>
      <c r="AD1487" s="14" t="str">
        <f>IFERROR(__xludf.DUMMYFUNCTION("""COMPUTED_VALUE"""),"2003")</f>
        <v>2003</v>
      </c>
      <c r="AE1487" s="14"/>
      <c r="AF1487" s="14">
        <f>IFERROR(__xludf.DUMMYFUNCTION("""COMPUTED_VALUE"""),1067.0)</f>
        <v>1067</v>
      </c>
    </row>
    <row r="1488">
      <c r="A1488" s="12">
        <v>1487.0</v>
      </c>
      <c r="B1488" s="12" t="s">
        <v>193</v>
      </c>
      <c r="C1488" s="5" t="s">
        <v>61</v>
      </c>
      <c r="D1488" s="8"/>
      <c r="E1488" s="11">
        <v>9.0</v>
      </c>
      <c r="F1488" s="8"/>
      <c r="G1488" s="8"/>
      <c r="H1488" s="11">
        <v>0.066</v>
      </c>
      <c r="I1488" s="11">
        <v>0.387</v>
      </c>
      <c r="J1488" s="9" t="s">
        <v>65</v>
      </c>
      <c r="K1488" s="14" t="str">
        <f>IFERROR(__xludf.DUMMYFUNCTION("ARRAYFORMULA(VLOOKUP(A1488,IMPORTRANGE(""https://docs.google.com/spreadsheets/d/1BuTWp7qHGjWhqrnf-OmePP568O4A5Am9ttzvVdP67zw/edit#gid=1603210130"", ""TOURISM!$A$2:$F$2692""), {2,3,4,5,6},0))"),"Asia")</f>
        <v>Asia</v>
      </c>
      <c r="L1488" s="14">
        <f>IFERROR(__xludf.DUMMYFUNCTION("""COMPUTED_VALUE"""),4.71E8)</f>
        <v>471000000</v>
      </c>
      <c r="M1488" s="14" t="str">
        <f>IFERROR(__xludf.DUMMYFUNCTION("""COMPUTED_VALUE"""),"Maldives-Asia")</f>
        <v>Maldives-Asia</v>
      </c>
      <c r="N1488" s="14" t="str">
        <f>IFERROR(__xludf.DUMMYFUNCTION("""COMPUTED_VALUE"""),"2004")</f>
        <v>2004</v>
      </c>
      <c r="O1488" s="14">
        <f>IFERROR(__xludf.DUMMYFUNCTION("""COMPUTED_VALUE"""),7.5E7)</f>
        <v>75000000</v>
      </c>
      <c r="P1488" s="15">
        <f>IFERROR(__xludf.DUMMYFUNCTION("ARRAYFORMULA(VLOOKUP(A1488,IMPORTRANGE(""https://docs.google.com/spreadsheets/d/1BuTWp7qHGjWhqrnf-OmePP568O4A5Am9ttzvVdP67zw/edit#gid=771602874"" ,""HUMAN RESOURCES!$A$2:$M$2692""), {2,3,4,5,6,7,8,9,10,11,12,13},0))"),0.021)</f>
        <v>0.021</v>
      </c>
      <c r="Q1488" s="14">
        <f>IFERROR(__xludf.DUMMYFUNCTION("""COMPUTED_VALUE"""),0.022)</f>
        <v>0.022</v>
      </c>
      <c r="R1488" s="14">
        <f>IFERROR(__xludf.DUMMYFUNCTION("""COMPUTED_VALUE"""),75.0)</f>
        <v>75</v>
      </c>
      <c r="S1488" s="14">
        <f>IFERROR(__xludf.DUMMYFUNCTION("""COMPUTED_VALUE"""),72.0)</f>
        <v>72</v>
      </c>
      <c r="T1488" s="14">
        <f>IFERROR(__xludf.DUMMYFUNCTION("""COMPUTED_VALUE"""),0.356)</f>
        <v>0.356</v>
      </c>
      <c r="U1488" s="14">
        <f>IFERROR(__xludf.DUMMYFUNCTION("""COMPUTED_VALUE"""),0.599)</f>
        <v>0.599</v>
      </c>
      <c r="V1488" s="14">
        <f>IFERROR(__xludf.DUMMYFUNCTION("""COMPUTED_VALUE"""),0.044)</f>
        <v>0.044</v>
      </c>
      <c r="W1488" s="14">
        <f>IFERROR(__xludf.DUMMYFUNCTION("""COMPUTED_VALUE"""),292505.0)</f>
        <v>292505</v>
      </c>
      <c r="X1488" s="14">
        <f>IFERROR(__xludf.DUMMYFUNCTION("""COMPUTED_VALUE"""),0.325)</f>
        <v>0.325</v>
      </c>
      <c r="Y1488" s="14" t="str">
        <f>IFERROR(__xludf.DUMMYFUNCTION("""COMPUTED_VALUE"""),"Maldives-Asia")</f>
        <v>Maldives-Asia</v>
      </c>
      <c r="Z1488" s="14" t="str">
        <f>IFERROR(__xludf.DUMMYFUNCTION("""COMPUTED_VALUE"""),"Asia")</f>
        <v>Asia</v>
      </c>
      <c r="AA1488" s="14" t="str">
        <f>IFERROR(__xludf.DUMMYFUNCTION("""COMPUTED_VALUE"""),"2004")</f>
        <v>2004</v>
      </c>
      <c r="AB1488" s="15" t="str">
        <f>IFERROR(__xludf.DUMMYFUNCTION("ARRAYFORMULA(VLOOKUP(A1488,IMPORTRANGE(""https://docs.google.com/spreadsheets/d/1BuTWp7qHGjWhqrnf-OmePP568O4A5Am9ttzvVdP67zw/edit#gid=1931367683"" ,""ENERGY!$A$2:$F$2692""), {2,3,4,5,6},0))"),"Asia")</f>
        <v>Asia</v>
      </c>
      <c r="AC1488" s="14" t="str">
        <f>IFERROR(__xludf.DUMMYFUNCTION("""COMPUTED_VALUE"""),"Maldives-Asia")</f>
        <v>Maldives-Asia</v>
      </c>
      <c r="AD1488" s="14" t="str">
        <f>IFERROR(__xludf.DUMMYFUNCTION("""COMPUTED_VALUE"""),"2004")</f>
        <v>2004</v>
      </c>
      <c r="AE1488" s="14"/>
      <c r="AF1488" s="14">
        <f>IFERROR(__xludf.DUMMYFUNCTION("""COMPUTED_VALUE"""),1008.0)</f>
        <v>1008</v>
      </c>
    </row>
    <row r="1489">
      <c r="A1489" s="12">
        <v>1488.0</v>
      </c>
      <c r="B1489" s="12" t="s">
        <v>193</v>
      </c>
      <c r="C1489" s="5" t="s">
        <v>61</v>
      </c>
      <c r="D1489" s="11">
        <v>0.093</v>
      </c>
      <c r="E1489" s="11">
        <v>9.0</v>
      </c>
      <c r="F1489" s="8"/>
      <c r="G1489" s="8"/>
      <c r="H1489" s="11">
        <v>0.069</v>
      </c>
      <c r="I1489" s="11">
        <v>0.684</v>
      </c>
      <c r="J1489" s="9" t="s">
        <v>66</v>
      </c>
      <c r="K1489" s="14" t="str">
        <f>IFERROR(__xludf.DUMMYFUNCTION("ARRAYFORMULA(VLOOKUP(A1489,IMPORTRANGE(""https://docs.google.com/spreadsheets/d/1BuTWp7qHGjWhqrnf-OmePP568O4A5Am9ttzvVdP67zw/edit#gid=1603210130"", ""TOURISM!$A$2:$F$2692""), {2,3,4,5,6},0))"),"Asia")</f>
        <v>Asia</v>
      </c>
      <c r="L1489" s="14">
        <f>IFERROR(__xludf.DUMMYFUNCTION("""COMPUTED_VALUE"""),8.26E8)</f>
        <v>826000000</v>
      </c>
      <c r="M1489" s="14" t="str">
        <f>IFERROR(__xludf.DUMMYFUNCTION("""COMPUTED_VALUE"""),"Maldives-Asia")</f>
        <v>Maldives-Asia</v>
      </c>
      <c r="N1489" s="14" t="str">
        <f>IFERROR(__xludf.DUMMYFUNCTION("""COMPUTED_VALUE"""),"2005")</f>
        <v>2005</v>
      </c>
      <c r="O1489" s="14">
        <f>IFERROR(__xludf.DUMMYFUNCTION("""COMPUTED_VALUE"""),9.4E7)</f>
        <v>94000000</v>
      </c>
      <c r="P1489" s="15">
        <f>IFERROR(__xludf.DUMMYFUNCTION("ARRAYFORMULA(VLOOKUP(A1489,IMPORTRANGE(""https://docs.google.com/spreadsheets/d/1BuTWp7qHGjWhqrnf-OmePP568O4A5Am9ttzvVdP67zw/edit#gid=771602874"" ,""HUMAN RESOURCES!$A$2:$M$2692""), {2,3,4,5,6,7,8,9,10,11,12,13},0))"),0.021)</f>
        <v>0.021</v>
      </c>
      <c r="Q1489" s="14">
        <f>IFERROR(__xludf.DUMMYFUNCTION("""COMPUTED_VALUE"""),0.019)</f>
        <v>0.019</v>
      </c>
      <c r="R1489" s="14">
        <f>IFERROR(__xludf.DUMMYFUNCTION("""COMPUTED_VALUE"""),75.0)</f>
        <v>75</v>
      </c>
      <c r="S1489" s="14">
        <f>IFERROR(__xludf.DUMMYFUNCTION("""COMPUTED_VALUE"""),73.0)</f>
        <v>73</v>
      </c>
      <c r="T1489" s="14">
        <f>IFERROR(__xludf.DUMMYFUNCTION("""COMPUTED_VALUE"""),0.343)</f>
        <v>0.343</v>
      </c>
      <c r="U1489" s="14">
        <f>IFERROR(__xludf.DUMMYFUNCTION("""COMPUTED_VALUE"""),0.611)</f>
        <v>0.611</v>
      </c>
      <c r="V1489" s="14">
        <f>IFERROR(__xludf.DUMMYFUNCTION("""COMPUTED_VALUE"""),0.046)</f>
        <v>0.046</v>
      </c>
      <c r="W1489" s="14">
        <f>IFERROR(__xludf.DUMMYFUNCTION("""COMPUTED_VALUE"""),297576.0)</f>
        <v>297576</v>
      </c>
      <c r="X1489" s="14">
        <f>IFERROR(__xludf.DUMMYFUNCTION("""COMPUTED_VALUE"""),0.338)</f>
        <v>0.338</v>
      </c>
      <c r="Y1489" s="14" t="str">
        <f>IFERROR(__xludf.DUMMYFUNCTION("""COMPUTED_VALUE"""),"Maldives-Asia")</f>
        <v>Maldives-Asia</v>
      </c>
      <c r="Z1489" s="14" t="str">
        <f>IFERROR(__xludf.DUMMYFUNCTION("""COMPUTED_VALUE"""),"Asia")</f>
        <v>Asia</v>
      </c>
      <c r="AA1489" s="14" t="str">
        <f>IFERROR(__xludf.DUMMYFUNCTION("""COMPUTED_VALUE"""),"2005")</f>
        <v>2005</v>
      </c>
      <c r="AB1489" s="15" t="str">
        <f>IFERROR(__xludf.DUMMYFUNCTION("ARRAYFORMULA(VLOOKUP(A1489,IMPORTRANGE(""https://docs.google.com/spreadsheets/d/1BuTWp7qHGjWhqrnf-OmePP568O4A5Am9ttzvVdP67zw/edit#gid=1931367683"" ,""ENERGY!$A$2:$F$2692""), {2,3,4,5,6},0))"),"Asia")</f>
        <v>Asia</v>
      </c>
      <c r="AC1489" s="14" t="str">
        <f>IFERROR(__xludf.DUMMYFUNCTION("""COMPUTED_VALUE"""),"Maldives-Asia")</f>
        <v>Maldives-Asia</v>
      </c>
      <c r="AD1489" s="14" t="str">
        <f>IFERROR(__xludf.DUMMYFUNCTION("""COMPUTED_VALUE"""),"2007")</f>
        <v>2007</v>
      </c>
      <c r="AE1489" s="14">
        <f>IFERROR(__xludf.DUMMYFUNCTION("""COMPUTED_VALUE"""),299.0)</f>
        <v>299</v>
      </c>
      <c r="AF1489" s="14">
        <f>IFERROR(__xludf.DUMMYFUNCTION("""COMPUTED_VALUE"""),917.0)</f>
        <v>917</v>
      </c>
    </row>
    <row r="1490">
      <c r="A1490" s="12">
        <v>1489.0</v>
      </c>
      <c r="B1490" s="12" t="s">
        <v>193</v>
      </c>
      <c r="C1490" s="5" t="s">
        <v>61</v>
      </c>
      <c r="D1490" s="11">
        <v>0.093</v>
      </c>
      <c r="E1490" s="11">
        <v>9.0</v>
      </c>
      <c r="F1490" s="8"/>
      <c r="G1490" s="8"/>
      <c r="H1490" s="11">
        <v>0.11</v>
      </c>
      <c r="I1490" s="11">
        <v>0.895</v>
      </c>
      <c r="J1490" s="9" t="s">
        <v>67</v>
      </c>
      <c r="K1490" s="14" t="str">
        <f>IFERROR(__xludf.DUMMYFUNCTION("ARRAYFORMULA(VLOOKUP(A1490,IMPORTRANGE(""https://docs.google.com/spreadsheets/d/1BuTWp7qHGjWhqrnf-OmePP568O4A5Am9ttzvVdP67zw/edit#gid=1603210130"", ""TOURISM!$A$2:$F$2692""), {2,3,4,5,6},0))"),"Asia")</f>
        <v>Asia</v>
      </c>
      <c r="L1490" s="14">
        <f>IFERROR(__xludf.DUMMYFUNCTION("""COMPUTED_VALUE"""),1.235E9)</f>
        <v>1235000000</v>
      </c>
      <c r="M1490" s="14" t="str">
        <f>IFERROR(__xludf.DUMMYFUNCTION("""COMPUTED_VALUE"""),"Maldives-Asia")</f>
        <v>Maldives-Asia</v>
      </c>
      <c r="N1490" s="14" t="str">
        <f>IFERROR(__xludf.DUMMYFUNCTION("""COMPUTED_VALUE"""),"2006")</f>
        <v>2006</v>
      </c>
      <c r="O1490" s="14">
        <f>IFERROR(__xludf.DUMMYFUNCTION("""COMPUTED_VALUE"""),1.06E8)</f>
        <v>106000000</v>
      </c>
      <c r="P1490" s="15">
        <f>IFERROR(__xludf.DUMMYFUNCTION("ARRAYFORMULA(VLOOKUP(A1490,IMPORTRANGE(""https://docs.google.com/spreadsheets/d/1BuTWp7qHGjWhqrnf-OmePP568O4A5Am9ttzvVdP67zw/edit#gid=771602874"" ,""HUMAN RESOURCES!$A$2:$M$2692""), {2,3,4,5,6,7,8,9,10,11,12,13},0))"),0.021)</f>
        <v>0.021</v>
      </c>
      <c r="Q1490" s="14">
        <f>IFERROR(__xludf.DUMMYFUNCTION("""COMPUTED_VALUE"""),0.017)</f>
        <v>0.017</v>
      </c>
      <c r="R1490" s="14">
        <f>IFERROR(__xludf.DUMMYFUNCTION("""COMPUTED_VALUE"""),76.0)</f>
        <v>76</v>
      </c>
      <c r="S1490" s="14">
        <f>IFERROR(__xludf.DUMMYFUNCTION("""COMPUTED_VALUE"""),74.0)</f>
        <v>74</v>
      </c>
      <c r="T1490" s="14">
        <f>IFERROR(__xludf.DUMMYFUNCTION("""COMPUTED_VALUE"""),0.332)</f>
        <v>0.332</v>
      </c>
      <c r="U1490" s="14">
        <f>IFERROR(__xludf.DUMMYFUNCTION("""COMPUTED_VALUE"""),0.621)</f>
        <v>0.621</v>
      </c>
      <c r="V1490" s="14">
        <f>IFERROR(__xludf.DUMMYFUNCTION("""COMPUTED_VALUE"""),0.047)</f>
        <v>0.047</v>
      </c>
      <c r="W1490" s="14">
        <f>IFERROR(__xludf.DUMMYFUNCTION("""COMPUTED_VALUE"""),302825.0)</f>
        <v>302825</v>
      </c>
      <c r="X1490" s="14">
        <f>IFERROR(__xludf.DUMMYFUNCTION("""COMPUTED_VALUE"""),0.35)</f>
        <v>0.35</v>
      </c>
      <c r="Y1490" s="14" t="str">
        <f>IFERROR(__xludf.DUMMYFUNCTION("""COMPUTED_VALUE"""),"Maldives-Asia")</f>
        <v>Maldives-Asia</v>
      </c>
      <c r="Z1490" s="14" t="str">
        <f>IFERROR(__xludf.DUMMYFUNCTION("""COMPUTED_VALUE"""),"Asia")</f>
        <v>Asia</v>
      </c>
      <c r="AA1490" s="14" t="str">
        <f>IFERROR(__xludf.DUMMYFUNCTION("""COMPUTED_VALUE"""),"2006")</f>
        <v>2006</v>
      </c>
      <c r="AB1490" s="15" t="str">
        <f>IFERROR(__xludf.DUMMYFUNCTION("ARRAYFORMULA(VLOOKUP(A1490,IMPORTRANGE(""https://docs.google.com/spreadsheets/d/1BuTWp7qHGjWhqrnf-OmePP568O4A5Am9ttzvVdP67zw/edit#gid=1931367683"" ,""ENERGY!$A$2:$F$2692""), {2,3,4,5,6},0))"),"Asia")</f>
        <v>Asia</v>
      </c>
      <c r="AC1490" s="14" t="str">
        <f>IFERROR(__xludf.DUMMYFUNCTION("""COMPUTED_VALUE"""),"Maldives-Asia")</f>
        <v>Maldives-Asia</v>
      </c>
      <c r="AD1490" s="14" t="str">
        <f>IFERROR(__xludf.DUMMYFUNCTION("""COMPUTED_VALUE"""),"2011")</f>
        <v>2011</v>
      </c>
      <c r="AE1490" s="14">
        <f>IFERROR(__xludf.DUMMYFUNCTION("""COMPUTED_VALUE"""),288.0)</f>
        <v>288</v>
      </c>
      <c r="AF1490" s="14">
        <f>IFERROR(__xludf.DUMMYFUNCTION("""COMPUTED_VALUE"""),887.0)</f>
        <v>887</v>
      </c>
    </row>
    <row r="1491">
      <c r="A1491" s="12">
        <v>1490.0</v>
      </c>
      <c r="B1491" s="12" t="s">
        <v>193</v>
      </c>
      <c r="C1491" s="5" t="s">
        <v>61</v>
      </c>
      <c r="D1491" s="11">
        <v>0.093</v>
      </c>
      <c r="E1491" s="11">
        <v>9.0</v>
      </c>
      <c r="F1491" s="8"/>
      <c r="G1491" s="8"/>
      <c r="H1491" s="11">
        <v>0.163</v>
      </c>
      <c r="I1491" s="11">
        <v>1.017</v>
      </c>
      <c r="J1491" s="9" t="s">
        <v>68</v>
      </c>
      <c r="K1491" s="14" t="str">
        <f>IFERROR(__xludf.DUMMYFUNCTION("ARRAYFORMULA(VLOOKUP(A1491,IMPORTRANGE(""https://docs.google.com/spreadsheets/d/1BuTWp7qHGjWhqrnf-OmePP568O4A5Am9ttzvVdP67zw/edit#gid=1603210130"", ""TOURISM!$A$2:$F$2692""), {2,3,4,5,6},0))"),"Asia")</f>
        <v>Asia</v>
      </c>
      <c r="L1491" s="14">
        <f>IFERROR(__xludf.DUMMYFUNCTION("""COMPUTED_VALUE"""),1.515E9)</f>
        <v>1515000000</v>
      </c>
      <c r="M1491" s="14" t="str">
        <f>IFERROR(__xludf.DUMMYFUNCTION("""COMPUTED_VALUE"""),"Maldives-Asia")</f>
        <v>Maldives-Asia</v>
      </c>
      <c r="N1491" s="14" t="str">
        <f>IFERROR(__xludf.DUMMYFUNCTION("""COMPUTED_VALUE"""),"2007")</f>
        <v>2007</v>
      </c>
      <c r="O1491" s="14">
        <f>IFERROR(__xludf.DUMMYFUNCTION("""COMPUTED_VALUE"""),1.52E8)</f>
        <v>152000000</v>
      </c>
      <c r="P1491" s="15">
        <f>IFERROR(__xludf.DUMMYFUNCTION("ARRAYFORMULA(VLOOKUP(A1491,IMPORTRANGE(""https://docs.google.com/spreadsheets/d/1BuTWp7qHGjWhqrnf-OmePP568O4A5Am9ttzvVdP67zw/edit#gid=771602874"" ,""HUMAN RESOURCES!$A$2:$M$2692""), {2,3,4,5,6,7,8,9,10,11,12,13},0))"),0.022)</f>
        <v>0.022</v>
      </c>
      <c r="Q1491" s="14">
        <f>IFERROR(__xludf.DUMMYFUNCTION("""COMPUTED_VALUE"""),0.015)</f>
        <v>0.015</v>
      </c>
      <c r="R1491" s="14">
        <f>IFERROR(__xludf.DUMMYFUNCTION("""COMPUTED_VALUE"""),77.0)</f>
        <v>77</v>
      </c>
      <c r="S1491" s="14">
        <f>IFERROR(__xludf.DUMMYFUNCTION("""COMPUTED_VALUE"""),74.0)</f>
        <v>74</v>
      </c>
      <c r="T1491" s="14">
        <f>IFERROR(__xludf.DUMMYFUNCTION("""COMPUTED_VALUE"""),0.322)</f>
        <v>0.322</v>
      </c>
      <c r="U1491" s="14">
        <f>IFERROR(__xludf.DUMMYFUNCTION("""COMPUTED_VALUE"""),0.63)</f>
        <v>0.63</v>
      </c>
      <c r="V1491" s="14">
        <f>IFERROR(__xludf.DUMMYFUNCTION("""COMPUTED_VALUE"""),0.048)</f>
        <v>0.048</v>
      </c>
      <c r="W1491" s="14">
        <f>IFERROR(__xludf.DUMMYFUNCTION("""COMPUTED_VALUE"""),308239.0)</f>
        <v>308239</v>
      </c>
      <c r="X1491" s="14">
        <f>IFERROR(__xludf.DUMMYFUNCTION("""COMPUTED_VALUE"""),0.363)</f>
        <v>0.363</v>
      </c>
      <c r="Y1491" s="14" t="str">
        <f>IFERROR(__xludf.DUMMYFUNCTION("""COMPUTED_VALUE"""),"Maldives-Asia")</f>
        <v>Maldives-Asia</v>
      </c>
      <c r="Z1491" s="14" t="str">
        <f>IFERROR(__xludf.DUMMYFUNCTION("""COMPUTED_VALUE"""),"Asia")</f>
        <v>Asia</v>
      </c>
      <c r="AA1491" s="14" t="str">
        <f>IFERROR(__xludf.DUMMYFUNCTION("""COMPUTED_VALUE"""),"2007")</f>
        <v>2007</v>
      </c>
      <c r="AB1491" s="15" t="str">
        <f>IFERROR(__xludf.DUMMYFUNCTION("ARRAYFORMULA(VLOOKUP(A1491,IMPORTRANGE(""https://docs.google.com/spreadsheets/d/1BuTWp7qHGjWhqrnf-OmePP568O4A5Am9ttzvVdP67zw/edit#gid=1931367683"" ,""ENERGY!$A$2:$F$2692""), {2,3,4,5,6},0))"),"Asia")</f>
        <v>Asia</v>
      </c>
      <c r="AC1491" s="14" t="str">
        <f>IFERROR(__xludf.DUMMYFUNCTION("""COMPUTED_VALUE"""),"Maldives-Asia")</f>
        <v>Maldives-Asia</v>
      </c>
      <c r="AD1491" s="14" t="str">
        <f>IFERROR(__xludf.DUMMYFUNCTION("""COMPUTED_VALUE"""),"2009")</f>
        <v>2009</v>
      </c>
      <c r="AE1491" s="14">
        <f>IFERROR(__xludf.DUMMYFUNCTION("""COMPUTED_VALUE"""),225.0)</f>
        <v>225</v>
      </c>
      <c r="AF1491" s="14">
        <f>IFERROR(__xludf.DUMMYFUNCTION("""COMPUTED_VALUE"""),700.0)</f>
        <v>700</v>
      </c>
    </row>
    <row r="1492">
      <c r="A1492" s="12">
        <v>1491.0</v>
      </c>
      <c r="B1492" s="12" t="s">
        <v>193</v>
      </c>
      <c r="C1492" s="5" t="s">
        <v>61</v>
      </c>
      <c r="D1492" s="11">
        <v>0.093</v>
      </c>
      <c r="E1492" s="11">
        <v>9.0</v>
      </c>
      <c r="F1492" s="8"/>
      <c r="G1492" s="8"/>
      <c r="H1492" s="11">
        <v>0.232</v>
      </c>
      <c r="I1492" s="11">
        <v>1.388</v>
      </c>
      <c r="J1492" s="9" t="s">
        <v>69</v>
      </c>
      <c r="K1492" s="14" t="str">
        <f>IFERROR(__xludf.DUMMYFUNCTION("ARRAYFORMULA(VLOOKUP(A1492,IMPORTRANGE(""https://docs.google.com/spreadsheets/d/1BuTWp7qHGjWhqrnf-OmePP568O4A5Am9ttzvVdP67zw/edit#gid=1603210130"", ""TOURISM!$A$2:$F$2692""), {2,3,4,5,6},0))"),"Asia")</f>
        <v>Asia</v>
      </c>
      <c r="L1492" s="14">
        <f>IFERROR(__xludf.DUMMYFUNCTION("""COMPUTED_VALUE"""),1.559E9)</f>
        <v>1559000000</v>
      </c>
      <c r="M1492" s="14" t="str">
        <f>IFERROR(__xludf.DUMMYFUNCTION("""COMPUTED_VALUE"""),"Maldives-Asia")</f>
        <v>Maldives-Asia</v>
      </c>
      <c r="N1492" s="14" t="str">
        <f>IFERROR(__xludf.DUMMYFUNCTION("""COMPUTED_VALUE"""),"2008")</f>
        <v>2008</v>
      </c>
      <c r="O1492" s="14">
        <f>IFERROR(__xludf.DUMMYFUNCTION("""COMPUTED_VALUE"""),2.11E8)</f>
        <v>211000000</v>
      </c>
      <c r="P1492" s="15">
        <f>IFERROR(__xludf.DUMMYFUNCTION("ARRAYFORMULA(VLOOKUP(A1492,IMPORTRANGE(""https://docs.google.com/spreadsheets/d/1BuTWp7qHGjWhqrnf-OmePP568O4A5Am9ttzvVdP67zw/edit#gid=771602874"" ,""HUMAN RESOURCES!$A$2:$M$2692""), {2,3,4,5,6,7,8,9,10,11,12,13},0))"),0.022)</f>
        <v>0.022</v>
      </c>
      <c r="Q1492" s="14">
        <f>IFERROR(__xludf.DUMMYFUNCTION("""COMPUTED_VALUE"""),0.014)</f>
        <v>0.014</v>
      </c>
      <c r="R1492" s="14">
        <f>IFERROR(__xludf.DUMMYFUNCTION("""COMPUTED_VALUE"""),77.0)</f>
        <v>77</v>
      </c>
      <c r="S1492" s="14">
        <f>IFERROR(__xludf.DUMMYFUNCTION("""COMPUTED_VALUE"""),75.0)</f>
        <v>75</v>
      </c>
      <c r="T1492" s="14">
        <f>IFERROR(__xludf.DUMMYFUNCTION("""COMPUTED_VALUE"""),0.313)</f>
        <v>0.313</v>
      </c>
      <c r="U1492" s="14">
        <f>IFERROR(__xludf.DUMMYFUNCTION("""COMPUTED_VALUE"""),0.637)</f>
        <v>0.637</v>
      </c>
      <c r="V1492" s="14">
        <f>IFERROR(__xludf.DUMMYFUNCTION("""COMPUTED_VALUE"""),0.049)</f>
        <v>0.049</v>
      </c>
      <c r="W1492" s="14">
        <f>IFERROR(__xludf.DUMMYFUNCTION("""COMPUTED_VALUE"""),313843.0)</f>
        <v>313843</v>
      </c>
      <c r="X1492" s="14">
        <f>IFERROR(__xludf.DUMMYFUNCTION("""COMPUTED_VALUE"""),0.376)</f>
        <v>0.376</v>
      </c>
      <c r="Y1492" s="14" t="str">
        <f>IFERROR(__xludf.DUMMYFUNCTION("""COMPUTED_VALUE"""),"Maldives-Asia")</f>
        <v>Maldives-Asia</v>
      </c>
      <c r="Z1492" s="14" t="str">
        <f>IFERROR(__xludf.DUMMYFUNCTION("""COMPUTED_VALUE"""),"Asia")</f>
        <v>Asia</v>
      </c>
      <c r="AA1492" s="14" t="str">
        <f>IFERROR(__xludf.DUMMYFUNCTION("""COMPUTED_VALUE"""),"2008")</f>
        <v>2008</v>
      </c>
      <c r="AB1492" s="15" t="str">
        <f>IFERROR(__xludf.DUMMYFUNCTION("ARRAYFORMULA(VLOOKUP(A1492,IMPORTRANGE(""https://docs.google.com/spreadsheets/d/1BuTWp7qHGjWhqrnf-OmePP568O4A5Am9ttzvVdP67zw/edit#gid=1931367683"" ,""ENERGY!$A$2:$F$2692""), {2,3,4,5,6},0))"),"Asia")</f>
        <v>Asia</v>
      </c>
      <c r="AC1492" s="14" t="str">
        <f>IFERROR(__xludf.DUMMYFUNCTION("""COMPUTED_VALUE"""),"Maldives-Asia")</f>
        <v>Maldives-Asia</v>
      </c>
      <c r="AD1492" s="14" t="str">
        <f>IFERROR(__xludf.DUMMYFUNCTION("""COMPUTED_VALUE"""),"2006")</f>
        <v>2006</v>
      </c>
      <c r="AE1492" s="14">
        <f>IFERROR(__xludf.DUMMYFUNCTION("""COMPUTED_VALUE"""),250.0)</f>
        <v>250</v>
      </c>
      <c r="AF1492" s="14">
        <f>IFERROR(__xludf.DUMMYFUNCTION("""COMPUTED_VALUE"""),777.0)</f>
        <v>777</v>
      </c>
    </row>
    <row r="1493">
      <c r="A1493" s="12">
        <v>1492.0</v>
      </c>
      <c r="B1493" s="12" t="s">
        <v>193</v>
      </c>
      <c r="C1493" s="5" t="s">
        <v>61</v>
      </c>
      <c r="D1493" s="11">
        <v>0.093</v>
      </c>
      <c r="E1493" s="11">
        <v>9.0</v>
      </c>
      <c r="F1493" s="8"/>
      <c r="G1493" s="8"/>
      <c r="H1493" s="11">
        <v>0.248</v>
      </c>
      <c r="I1493" s="11">
        <v>1.432</v>
      </c>
      <c r="J1493" s="9" t="s">
        <v>70</v>
      </c>
      <c r="K1493" s="14" t="str">
        <f>IFERROR(__xludf.DUMMYFUNCTION("ARRAYFORMULA(VLOOKUP(A1493,IMPORTRANGE(""https://docs.google.com/spreadsheets/d/1BuTWp7qHGjWhqrnf-OmePP568O4A5Am9ttzvVdP67zw/edit#gid=1603210130"", ""TOURISM!$A$2:$F$2692""), {2,3,4,5,6},0))"),"Asia")</f>
        <v>Asia</v>
      </c>
      <c r="L1493" s="14">
        <f>IFERROR(__xludf.DUMMYFUNCTION("""COMPUTED_VALUE"""),1.473E9)</f>
        <v>1473000000</v>
      </c>
      <c r="M1493" s="14" t="str">
        <f>IFERROR(__xludf.DUMMYFUNCTION("""COMPUTED_VALUE"""),"Maldives-Asia")</f>
        <v>Maldives-Asia</v>
      </c>
      <c r="N1493" s="14" t="str">
        <f>IFERROR(__xludf.DUMMYFUNCTION("""COMPUTED_VALUE"""),"2009")</f>
        <v>2009</v>
      </c>
      <c r="O1493" s="14">
        <f>IFERROR(__xludf.DUMMYFUNCTION("""COMPUTED_VALUE"""),2.12E8)</f>
        <v>212000000</v>
      </c>
      <c r="P1493" s="15">
        <f>IFERROR(__xludf.DUMMYFUNCTION("ARRAYFORMULA(VLOOKUP(A1493,IMPORTRANGE(""https://docs.google.com/spreadsheets/d/1BuTWp7qHGjWhqrnf-OmePP568O4A5Am9ttzvVdP67zw/edit#gid=771602874"" ,""HUMAN RESOURCES!$A$2:$M$2692""), {2,3,4,5,6,7,8,9,10,11,12,13},0))"),0.022)</f>
        <v>0.022</v>
      </c>
      <c r="Q1493" s="14">
        <f>IFERROR(__xludf.DUMMYFUNCTION("""COMPUTED_VALUE"""),0.012)</f>
        <v>0.012</v>
      </c>
      <c r="R1493" s="14">
        <f>IFERROR(__xludf.DUMMYFUNCTION("""COMPUTED_VALUE"""),77.0)</f>
        <v>77</v>
      </c>
      <c r="S1493" s="14">
        <f>IFERROR(__xludf.DUMMYFUNCTION("""COMPUTED_VALUE"""),75.0)</f>
        <v>75</v>
      </c>
      <c r="T1493" s="14">
        <f>IFERROR(__xludf.DUMMYFUNCTION("""COMPUTED_VALUE"""),0.306)</f>
        <v>0.306</v>
      </c>
      <c r="U1493" s="14">
        <f>IFERROR(__xludf.DUMMYFUNCTION("""COMPUTED_VALUE"""),0.644)</f>
        <v>0.644</v>
      </c>
      <c r="V1493" s="14">
        <f>IFERROR(__xludf.DUMMYFUNCTION("""COMPUTED_VALUE"""),0.05)</f>
        <v>0.05</v>
      </c>
      <c r="W1493" s="14">
        <f>IFERROR(__xludf.DUMMYFUNCTION("""COMPUTED_VALUE"""),319660.0)</f>
        <v>319660</v>
      </c>
      <c r="X1493" s="14">
        <f>IFERROR(__xludf.DUMMYFUNCTION("""COMPUTED_VALUE"""),0.388)</f>
        <v>0.388</v>
      </c>
      <c r="Y1493" s="14" t="str">
        <f>IFERROR(__xludf.DUMMYFUNCTION("""COMPUTED_VALUE"""),"Maldives-Asia")</f>
        <v>Maldives-Asia</v>
      </c>
      <c r="Z1493" s="14" t="str">
        <f>IFERROR(__xludf.DUMMYFUNCTION("""COMPUTED_VALUE"""),"Asia")</f>
        <v>Asia</v>
      </c>
      <c r="AA1493" s="14" t="str">
        <f>IFERROR(__xludf.DUMMYFUNCTION("""COMPUTED_VALUE"""),"2009")</f>
        <v>2009</v>
      </c>
      <c r="AB1493" s="15" t="str">
        <f>IFERROR(__xludf.DUMMYFUNCTION("ARRAYFORMULA(VLOOKUP(A1493,IMPORTRANGE(""https://docs.google.com/spreadsheets/d/1BuTWp7qHGjWhqrnf-OmePP568O4A5Am9ttzvVdP67zw/edit#gid=1931367683"" ,""ENERGY!$A$2:$F$2692""), {2,3,4,5,6},0))"),"Asia")</f>
        <v>Asia</v>
      </c>
      <c r="AC1493" s="14" t="str">
        <f>IFERROR(__xludf.DUMMYFUNCTION("""COMPUTED_VALUE"""),"Maldives-Asia")</f>
        <v>Maldives-Asia</v>
      </c>
      <c r="AD1493" s="14" t="str">
        <f>IFERROR(__xludf.DUMMYFUNCTION("""COMPUTED_VALUE"""),"2010")</f>
        <v>2010</v>
      </c>
      <c r="AE1493" s="14"/>
      <c r="AF1493" s="14">
        <f>IFERROR(__xludf.DUMMYFUNCTION("""COMPUTED_VALUE"""),598.0)</f>
        <v>598</v>
      </c>
    </row>
    <row r="1494">
      <c r="A1494" s="12">
        <v>1493.0</v>
      </c>
      <c r="B1494" s="12" t="s">
        <v>193</v>
      </c>
      <c r="C1494" s="5" t="s">
        <v>61</v>
      </c>
      <c r="D1494" s="11">
        <v>0.093</v>
      </c>
      <c r="E1494" s="11">
        <v>9.0</v>
      </c>
      <c r="F1494" s="8"/>
      <c r="G1494" s="8"/>
      <c r="H1494" s="11">
        <v>0.265</v>
      </c>
      <c r="I1494" s="11">
        <v>1.518</v>
      </c>
      <c r="J1494" s="9" t="s">
        <v>71</v>
      </c>
      <c r="K1494" s="14" t="str">
        <f>IFERROR(__xludf.DUMMYFUNCTION("ARRAYFORMULA(VLOOKUP(A1494,IMPORTRANGE(""https://docs.google.com/spreadsheets/d/1BuTWp7qHGjWhqrnf-OmePP568O4A5Am9ttzvVdP67zw/edit#gid=1603210130"", ""TOURISM!$A$2:$F$2692""), {2,3,4,5,6},0))"),"Asia")</f>
        <v>Asia</v>
      </c>
      <c r="L1494" s="14">
        <f>IFERROR(__xludf.DUMMYFUNCTION("""COMPUTED_VALUE"""),1.713E9)</f>
        <v>1713000000</v>
      </c>
      <c r="M1494" s="14" t="str">
        <f>IFERROR(__xludf.DUMMYFUNCTION("""COMPUTED_VALUE"""),"Maldives-Asia")</f>
        <v>Maldives-Asia</v>
      </c>
      <c r="N1494" s="14" t="str">
        <f>IFERROR(__xludf.DUMMYFUNCTION("""COMPUTED_VALUE"""),"2010")</f>
        <v>2010</v>
      </c>
      <c r="O1494" s="14">
        <f>IFERROR(__xludf.DUMMYFUNCTION("""COMPUTED_VALUE"""),2.52E8)</f>
        <v>252000000</v>
      </c>
      <c r="P1494" s="15">
        <f>IFERROR(__xludf.DUMMYFUNCTION("ARRAYFORMULA(VLOOKUP(A1494,IMPORTRANGE(""https://docs.google.com/spreadsheets/d/1BuTWp7qHGjWhqrnf-OmePP568O4A5Am9ttzvVdP67zw/edit#gid=771602874"" ,""HUMAN RESOURCES!$A$2:$M$2692""), {2,3,4,5,6,7,8,9,10,11,12,13},0))"),0.022)</f>
        <v>0.022</v>
      </c>
      <c r="Q1494" s="14">
        <f>IFERROR(__xludf.DUMMYFUNCTION("""COMPUTED_VALUE"""),0.011)</f>
        <v>0.011</v>
      </c>
      <c r="R1494" s="14">
        <f>IFERROR(__xludf.DUMMYFUNCTION("""COMPUTED_VALUE"""),78.0)</f>
        <v>78</v>
      </c>
      <c r="S1494" s="14">
        <f>IFERROR(__xludf.DUMMYFUNCTION("""COMPUTED_VALUE"""),76.0)</f>
        <v>76</v>
      </c>
      <c r="T1494" s="14">
        <f>IFERROR(__xludf.DUMMYFUNCTION("""COMPUTED_VALUE"""),0.3)</f>
        <v>0.3</v>
      </c>
      <c r="U1494" s="14">
        <f>IFERROR(__xludf.DUMMYFUNCTION("""COMPUTED_VALUE"""),0.65)</f>
        <v>0.65</v>
      </c>
      <c r="V1494" s="14">
        <f>IFERROR(__xludf.DUMMYFUNCTION("""COMPUTED_VALUE"""),0.05)</f>
        <v>0.05</v>
      </c>
      <c r="W1494" s="14">
        <f>IFERROR(__xludf.DUMMYFUNCTION("""COMPUTED_VALUE"""),325694.0)</f>
        <v>325694</v>
      </c>
      <c r="X1494" s="14">
        <f>IFERROR(__xludf.DUMMYFUNCTION("""COMPUTED_VALUE"""),0.4)</f>
        <v>0.4</v>
      </c>
      <c r="Y1494" s="14" t="str">
        <f>IFERROR(__xludf.DUMMYFUNCTION("""COMPUTED_VALUE"""),"Maldives-Asia")</f>
        <v>Maldives-Asia</v>
      </c>
      <c r="Z1494" s="14" t="str">
        <f>IFERROR(__xludf.DUMMYFUNCTION("""COMPUTED_VALUE"""),"Asia")</f>
        <v>Asia</v>
      </c>
      <c r="AA1494" s="14" t="str">
        <f>IFERROR(__xludf.DUMMYFUNCTION("""COMPUTED_VALUE"""),"2010")</f>
        <v>2010</v>
      </c>
      <c r="AB1494" s="15" t="str">
        <f>IFERROR(__xludf.DUMMYFUNCTION("ARRAYFORMULA(VLOOKUP(A1494,IMPORTRANGE(""https://docs.google.com/spreadsheets/d/1BuTWp7qHGjWhqrnf-OmePP568O4A5Am9ttzvVdP67zw/edit#gid=1931367683"" ,""ENERGY!$A$2:$F$2692""), {2,3,4,5,6},0))"),"Asia")</f>
        <v>Asia</v>
      </c>
      <c r="AC1494" s="14" t="str">
        <f>IFERROR(__xludf.DUMMYFUNCTION("""COMPUTED_VALUE"""),"Maldives-Asia")</f>
        <v>Maldives-Asia</v>
      </c>
      <c r="AD1494" s="14" t="str">
        <f>IFERROR(__xludf.DUMMYFUNCTION("""COMPUTED_VALUE"""),"2005")</f>
        <v>2005</v>
      </c>
      <c r="AE1494" s="14"/>
      <c r="AF1494" s="14">
        <f>IFERROR(__xludf.DUMMYFUNCTION("""COMPUTED_VALUE"""),689.0)</f>
        <v>689</v>
      </c>
    </row>
    <row r="1495">
      <c r="A1495" s="12">
        <v>1494.0</v>
      </c>
      <c r="B1495" s="12" t="s">
        <v>193</v>
      </c>
      <c r="C1495" s="5" t="s">
        <v>61</v>
      </c>
      <c r="D1495" s="11">
        <v>0.093</v>
      </c>
      <c r="E1495" s="11">
        <v>9.0</v>
      </c>
      <c r="F1495" s="8"/>
      <c r="G1495" s="8"/>
      <c r="H1495" s="11">
        <v>0.34</v>
      </c>
      <c r="I1495" s="11">
        <v>1.598</v>
      </c>
      <c r="J1495" s="9" t="s">
        <v>72</v>
      </c>
      <c r="K1495" s="14" t="str">
        <f>IFERROR(__xludf.DUMMYFUNCTION("ARRAYFORMULA(VLOOKUP(A1495,IMPORTRANGE(""https://docs.google.com/spreadsheets/d/1BuTWp7qHGjWhqrnf-OmePP568O4A5Am9ttzvVdP67zw/edit#gid=1603210130"", ""TOURISM!$A$2:$F$2692""), {2,3,4,5,6},0))"),"Asia")</f>
        <v>Asia</v>
      </c>
      <c r="L1495" s="14">
        <f>IFERROR(__xludf.DUMMYFUNCTION("""COMPUTED_VALUE"""),1.868E9)</f>
        <v>1868000000</v>
      </c>
      <c r="M1495" s="14" t="str">
        <f>IFERROR(__xludf.DUMMYFUNCTION("""COMPUTED_VALUE"""),"Maldives-Asia")</f>
        <v>Maldives-Asia</v>
      </c>
      <c r="N1495" s="14" t="str">
        <f>IFERROR(__xludf.DUMMYFUNCTION("""COMPUTED_VALUE"""),"2011")</f>
        <v>2011</v>
      </c>
      <c r="O1495" s="14">
        <f>IFERROR(__xludf.DUMMYFUNCTION("""COMPUTED_VALUE"""),2.56E8)</f>
        <v>256000000</v>
      </c>
      <c r="P1495" s="15">
        <f>IFERROR(__xludf.DUMMYFUNCTION("ARRAYFORMULA(VLOOKUP(A1495,IMPORTRANGE(""https://docs.google.com/spreadsheets/d/1BuTWp7qHGjWhqrnf-OmePP568O4A5Am9ttzvVdP67zw/edit#gid=771602874"" ,""HUMAN RESOURCES!$A$2:$M$2692""), {2,3,4,5,6,7,8,9,10,11,12,13},0))"),0.022)</f>
        <v>0.022</v>
      </c>
      <c r="Q1495" s="14">
        <f>IFERROR(__xludf.DUMMYFUNCTION("""COMPUTED_VALUE"""),0.01)</f>
        <v>0.01</v>
      </c>
      <c r="R1495" s="14">
        <f>IFERROR(__xludf.DUMMYFUNCTION("""COMPUTED_VALUE"""),78.0)</f>
        <v>78</v>
      </c>
      <c r="S1495" s="14">
        <f>IFERROR(__xludf.DUMMYFUNCTION("""COMPUTED_VALUE"""),76.0)</f>
        <v>76</v>
      </c>
      <c r="T1495" s="14">
        <f>IFERROR(__xludf.DUMMYFUNCTION("""COMPUTED_VALUE"""),0.294)</f>
        <v>0.294</v>
      </c>
      <c r="U1495" s="14">
        <f>IFERROR(__xludf.DUMMYFUNCTION("""COMPUTED_VALUE"""),0.655)</f>
        <v>0.655</v>
      </c>
      <c r="V1495" s="14">
        <f>IFERROR(__xludf.DUMMYFUNCTION("""COMPUTED_VALUE"""),0.05)</f>
        <v>0.05</v>
      </c>
      <c r="W1495" s="14">
        <f>IFERROR(__xludf.DUMMYFUNCTION("""COMPUTED_VALUE"""),331964.0)</f>
        <v>331964</v>
      </c>
      <c r="X1495" s="14">
        <f>IFERROR(__xludf.DUMMYFUNCTION("""COMPUTED_VALUE"""),0.412)</f>
        <v>0.412</v>
      </c>
      <c r="Y1495" s="14" t="str">
        <f>IFERROR(__xludf.DUMMYFUNCTION("""COMPUTED_VALUE"""),"Maldives-Asia")</f>
        <v>Maldives-Asia</v>
      </c>
      <c r="Z1495" s="14" t="str">
        <f>IFERROR(__xludf.DUMMYFUNCTION("""COMPUTED_VALUE"""),"Asia")</f>
        <v>Asia</v>
      </c>
      <c r="AA1495" s="14" t="str">
        <f>IFERROR(__xludf.DUMMYFUNCTION("""COMPUTED_VALUE"""),"2011")</f>
        <v>2011</v>
      </c>
      <c r="AB1495" s="15" t="str">
        <f>IFERROR(__xludf.DUMMYFUNCTION("ARRAYFORMULA(VLOOKUP(A1495,IMPORTRANGE(""https://docs.google.com/spreadsheets/d/1BuTWp7qHGjWhqrnf-OmePP568O4A5Am9ttzvVdP67zw/edit#gid=1931367683"" ,""ENERGY!$A$2:$F$2692""), {2,3,4,5,6},0))"),"Asia")</f>
        <v>Asia</v>
      </c>
      <c r="AC1495" s="14" t="str">
        <f>IFERROR(__xludf.DUMMYFUNCTION("""COMPUTED_VALUE"""),"Maldives-Asia")</f>
        <v>Maldives-Asia</v>
      </c>
      <c r="AD1495" s="14" t="str">
        <f>IFERROR(__xludf.DUMMYFUNCTION("""COMPUTED_VALUE"""),"2006")</f>
        <v>2006</v>
      </c>
      <c r="AE1495" s="14"/>
      <c r="AF1495" s="14">
        <f>IFERROR(__xludf.DUMMYFUNCTION("""COMPUTED_VALUE"""),576.0)</f>
        <v>576</v>
      </c>
    </row>
    <row r="1496">
      <c r="A1496" s="12">
        <v>1495.0</v>
      </c>
      <c r="B1496" s="12" t="s">
        <v>193</v>
      </c>
      <c r="C1496" s="5" t="s">
        <v>61</v>
      </c>
      <c r="D1496" s="11">
        <v>0.268</v>
      </c>
      <c r="E1496" s="11">
        <v>9.0</v>
      </c>
      <c r="F1496" s="11">
        <v>81.0</v>
      </c>
      <c r="G1496" s="11">
        <v>252.0</v>
      </c>
      <c r="H1496" s="11">
        <v>0.389</v>
      </c>
      <c r="I1496" s="11">
        <v>1.656</v>
      </c>
      <c r="J1496" s="9" t="s">
        <v>73</v>
      </c>
      <c r="K1496" s="14" t="str">
        <f>IFERROR(__xludf.DUMMYFUNCTION("ARRAYFORMULA(VLOOKUP(A1496,IMPORTRANGE(""https://docs.google.com/spreadsheets/d/1BuTWp7qHGjWhqrnf-OmePP568O4A5Am9ttzvVdP67zw/edit#gid=1603210130"", ""TOURISM!$A$2:$F$2692""), {2,3,4,5,6},0))"),"Asia")</f>
        <v>Asia</v>
      </c>
      <c r="L1496" s="14">
        <f>IFERROR(__xludf.DUMMYFUNCTION("""COMPUTED_VALUE"""),1.873E9)</f>
        <v>1873000000</v>
      </c>
      <c r="M1496" s="14" t="str">
        <f>IFERROR(__xludf.DUMMYFUNCTION("""COMPUTED_VALUE"""),"Maldives-Asia")</f>
        <v>Maldives-Asia</v>
      </c>
      <c r="N1496" s="14" t="str">
        <f>IFERROR(__xludf.DUMMYFUNCTION("""COMPUTED_VALUE"""),"2012")</f>
        <v>2012</v>
      </c>
      <c r="O1496" s="14">
        <f>IFERROR(__xludf.DUMMYFUNCTION("""COMPUTED_VALUE"""),2.7E8)</f>
        <v>270000000</v>
      </c>
      <c r="P1496" s="15">
        <f>IFERROR(__xludf.DUMMYFUNCTION("ARRAYFORMULA(VLOOKUP(A1496,IMPORTRANGE(""https://docs.google.com/spreadsheets/d/1BuTWp7qHGjWhqrnf-OmePP568O4A5Am9ttzvVdP67zw/edit#gid=771602874"" ,""HUMAN RESOURCES!$A$2:$M$2692""), {2,3,4,5,6,7,8,9,10,11,12,13},0))"),0.022)</f>
        <v>0.022</v>
      </c>
      <c r="Q1496" s="14">
        <f>IFERROR(__xludf.DUMMYFUNCTION("""COMPUTED_VALUE"""),0.009)</f>
        <v>0.009</v>
      </c>
      <c r="R1496" s="14">
        <f>IFERROR(__xludf.DUMMYFUNCTION("""COMPUTED_VALUE"""),79.0)</f>
        <v>79</v>
      </c>
      <c r="S1496" s="14">
        <f>IFERROR(__xludf.DUMMYFUNCTION("""COMPUTED_VALUE"""),77.0)</f>
        <v>77</v>
      </c>
      <c r="T1496" s="14">
        <f>IFERROR(__xludf.DUMMYFUNCTION("""COMPUTED_VALUE"""),0.29)</f>
        <v>0.29</v>
      </c>
      <c r="U1496" s="14">
        <f>IFERROR(__xludf.DUMMYFUNCTION("""COMPUTED_VALUE"""),0.66)</f>
        <v>0.66</v>
      </c>
      <c r="V1496" s="14">
        <f>IFERROR(__xludf.DUMMYFUNCTION("""COMPUTED_VALUE"""),0.05)</f>
        <v>0.05</v>
      </c>
      <c r="W1496" s="14">
        <f>IFERROR(__xludf.DUMMYFUNCTION("""COMPUTED_VALUE"""),338442.0)</f>
        <v>338442</v>
      </c>
      <c r="X1496" s="14">
        <f>IFERROR(__xludf.DUMMYFUNCTION("""COMPUTED_VALUE"""),0.423)</f>
        <v>0.423</v>
      </c>
      <c r="Y1496" s="14" t="str">
        <f>IFERROR(__xludf.DUMMYFUNCTION("""COMPUTED_VALUE"""),"Maldives-Asia")</f>
        <v>Maldives-Asia</v>
      </c>
      <c r="Z1496" s="14" t="str">
        <f>IFERROR(__xludf.DUMMYFUNCTION("""COMPUTED_VALUE"""),"Asia")</f>
        <v>Asia</v>
      </c>
      <c r="AA1496" s="14" t="str">
        <f>IFERROR(__xludf.DUMMYFUNCTION("""COMPUTED_VALUE"""),"2012")</f>
        <v>2012</v>
      </c>
      <c r="AB1496" s="15" t="str">
        <f>IFERROR(__xludf.DUMMYFUNCTION("ARRAYFORMULA(VLOOKUP(A1496,IMPORTRANGE(""https://docs.google.com/spreadsheets/d/1BuTWp7qHGjWhqrnf-OmePP568O4A5Am9ttzvVdP67zw/edit#gid=1931367683"" ,""ENERGY!$A$2:$F$2692""), {2,3,4,5,6},0))"),"Asia")</f>
        <v>Asia</v>
      </c>
      <c r="AC1496" s="14" t="str">
        <f>IFERROR(__xludf.DUMMYFUNCTION("""COMPUTED_VALUE"""),"Maldives-Asia")</f>
        <v>Maldives-Asia</v>
      </c>
      <c r="AD1496" s="14" t="str">
        <f>IFERROR(__xludf.DUMMYFUNCTION("""COMPUTED_VALUE"""),"2010")</f>
        <v>2010</v>
      </c>
      <c r="AE1496" s="14"/>
      <c r="AF1496" s="14">
        <f>IFERROR(__xludf.DUMMYFUNCTION("""COMPUTED_VALUE"""),499.0)</f>
        <v>499</v>
      </c>
    </row>
    <row r="1497">
      <c r="A1497" s="12">
        <v>1496.0</v>
      </c>
      <c r="B1497" s="12" t="s">
        <v>194</v>
      </c>
      <c r="C1497" s="5" t="s">
        <v>77</v>
      </c>
      <c r="D1497" s="8"/>
      <c r="E1497" s="8"/>
      <c r="F1497" s="8"/>
      <c r="G1497" s="8"/>
      <c r="H1497" s="11">
        <v>0.001</v>
      </c>
      <c r="I1497" s="11">
        <v>0.001</v>
      </c>
      <c r="J1497" s="9" t="s">
        <v>60</v>
      </c>
      <c r="K1497" s="14" t="str">
        <f>IFERROR(__xludf.DUMMYFUNCTION("ARRAYFORMULA(VLOOKUP(A1497,IMPORTRANGE(""https://docs.google.com/spreadsheets/d/1BuTWp7qHGjWhqrnf-OmePP568O4A5Am9ttzvVdP67zw/edit#gid=1603210130"", ""TOURISM!$A$2:$F$2692""), {2,3,4,5,6},0))"),"Africa")</f>
        <v>Africa</v>
      </c>
      <c r="L1497" s="14">
        <f>IFERROR(__xludf.DUMMYFUNCTION("""COMPUTED_VALUE"""),4.7E7)</f>
        <v>47000000</v>
      </c>
      <c r="M1497" s="14" t="str">
        <f>IFERROR(__xludf.DUMMYFUNCTION("""COMPUTED_VALUE"""),"Mali-Africa")</f>
        <v>Mali-Africa</v>
      </c>
      <c r="N1497" s="14" t="str">
        <f>IFERROR(__xludf.DUMMYFUNCTION("""COMPUTED_VALUE"""),"2000")</f>
        <v>2000</v>
      </c>
      <c r="O1497" s="14">
        <f>IFERROR(__xludf.DUMMYFUNCTION("""COMPUTED_VALUE"""),6.6E7)</f>
        <v>66000000</v>
      </c>
      <c r="P1497" s="15">
        <f>IFERROR(__xludf.DUMMYFUNCTION("ARRAYFORMULA(VLOOKUP(A1497,IMPORTRANGE(""https://docs.google.com/spreadsheets/d/1BuTWp7qHGjWhqrnf-OmePP568O4A5Am9ttzvVdP67zw/edit#gid=771602874"" ,""HUMAN RESOURCES!$A$2:$M$2692""), {2,3,4,5,6,7,8,9,10,11,12,13},0))"),0.048)</f>
        <v>0.048</v>
      </c>
      <c r="Q1497" s="14">
        <f>IFERROR(__xludf.DUMMYFUNCTION("""COMPUTED_VALUE"""),0.116)</f>
        <v>0.116</v>
      </c>
      <c r="R1497" s="14">
        <f>IFERROR(__xludf.DUMMYFUNCTION("""COMPUTED_VALUE"""),49.0)</f>
        <v>49</v>
      </c>
      <c r="S1497" s="14">
        <f>IFERROR(__xludf.DUMMYFUNCTION("""COMPUTED_VALUE"""),49.0)</f>
        <v>49</v>
      </c>
      <c r="T1497" s="14">
        <f>IFERROR(__xludf.DUMMYFUNCTION("""COMPUTED_VALUE"""),0.461)</f>
        <v>0.461</v>
      </c>
      <c r="U1497" s="14">
        <f>IFERROR(__xludf.DUMMYFUNCTION("""COMPUTED_VALUE"""),0.504)</f>
        <v>0.504</v>
      </c>
      <c r="V1497" s="14">
        <f>IFERROR(__xludf.DUMMYFUNCTION("""COMPUTED_VALUE"""),0.035)</f>
        <v>0.035</v>
      </c>
      <c r="W1497" s="14">
        <f>IFERROR(__xludf.DUMMYFUNCTION("""COMPUTED_VALUE"""),1.0260577E7)</f>
        <v>10260577</v>
      </c>
      <c r="X1497" s="14">
        <f>IFERROR(__xludf.DUMMYFUNCTION("""COMPUTED_VALUE"""),0.284)</f>
        <v>0.284</v>
      </c>
      <c r="Y1497" s="14" t="str">
        <f>IFERROR(__xludf.DUMMYFUNCTION("""COMPUTED_VALUE"""),"Mali-Africa")</f>
        <v>Mali-Africa</v>
      </c>
      <c r="Z1497" s="14" t="str">
        <f>IFERROR(__xludf.DUMMYFUNCTION("""COMPUTED_VALUE"""),"Africa")</f>
        <v>Africa</v>
      </c>
      <c r="AA1497" s="14" t="str">
        <f>IFERROR(__xludf.DUMMYFUNCTION("""COMPUTED_VALUE"""),"2000")</f>
        <v>2000</v>
      </c>
      <c r="AB1497" s="15" t="str">
        <f>IFERROR(__xludf.DUMMYFUNCTION("ARRAYFORMULA(VLOOKUP(A1497,IMPORTRANGE(""https://docs.google.com/spreadsheets/d/1BuTWp7qHGjWhqrnf-OmePP568O4A5Am9ttzvVdP67zw/edit#gid=1931367683"" ,""ENERGY!$A$2:$F$2692""), {2,3,4,5,6},0))"),"Africa")</f>
        <v>Africa</v>
      </c>
      <c r="AC1497" s="14" t="str">
        <f>IFERROR(__xludf.DUMMYFUNCTION("""COMPUTED_VALUE"""),"Mali-Africa")</f>
        <v>Mali-Africa</v>
      </c>
      <c r="AD1497" s="14" t="str">
        <f>IFERROR(__xludf.DUMMYFUNCTION("""COMPUTED_VALUE"""),"2000")</f>
        <v>2000</v>
      </c>
      <c r="AE1497" s="14"/>
      <c r="AF1497" s="14"/>
    </row>
    <row r="1498">
      <c r="A1498" s="12">
        <v>1497.0</v>
      </c>
      <c r="B1498" s="12" t="s">
        <v>194</v>
      </c>
      <c r="C1498" s="5" t="s">
        <v>77</v>
      </c>
      <c r="D1498" s="8"/>
      <c r="E1498" s="8"/>
      <c r="F1498" s="8"/>
      <c r="G1498" s="8"/>
      <c r="H1498" s="11">
        <v>0.002</v>
      </c>
      <c r="I1498" s="11">
        <v>0.002</v>
      </c>
      <c r="J1498" s="9" t="s">
        <v>62</v>
      </c>
      <c r="K1498" s="14" t="str">
        <f>IFERROR(__xludf.DUMMYFUNCTION("ARRAYFORMULA(VLOOKUP(A1498,IMPORTRANGE(""https://docs.google.com/spreadsheets/d/1BuTWp7qHGjWhqrnf-OmePP568O4A5Am9ttzvVdP67zw/edit#gid=1603210130"", ""TOURISM!$A$2:$F$2692""), {2,3,4,5,6},0))"),"Africa")</f>
        <v>Africa</v>
      </c>
      <c r="L1498" s="14">
        <f>IFERROR(__xludf.DUMMYFUNCTION("""COMPUTED_VALUE"""),9.1E7)</f>
        <v>91000000</v>
      </c>
      <c r="M1498" s="14" t="str">
        <f>IFERROR(__xludf.DUMMYFUNCTION("""COMPUTED_VALUE"""),"Mali-Africa")</f>
        <v>Mali-Africa</v>
      </c>
      <c r="N1498" s="14" t="str">
        <f>IFERROR(__xludf.DUMMYFUNCTION("""COMPUTED_VALUE"""),"2001")</f>
        <v>2001</v>
      </c>
      <c r="O1498" s="14">
        <f>IFERROR(__xludf.DUMMYFUNCTION("""COMPUTED_VALUE"""),6.5E7)</f>
        <v>65000000</v>
      </c>
      <c r="P1498" s="15">
        <f>IFERROR(__xludf.DUMMYFUNCTION("ARRAYFORMULA(VLOOKUP(A1498,IMPORTRANGE(""https://docs.google.com/spreadsheets/d/1BuTWp7qHGjWhqrnf-OmePP568O4A5Am9ttzvVdP67zw/edit#gid=771602874"" ,""HUMAN RESOURCES!$A$2:$M$2692""), {2,3,4,5,6,7,8,9,10,11,12,13},0))"),0.048)</f>
        <v>0.048</v>
      </c>
      <c r="Q1498" s="14">
        <f>IFERROR(__xludf.DUMMYFUNCTION("""COMPUTED_VALUE"""),0.113)</f>
        <v>0.113</v>
      </c>
      <c r="R1498" s="14">
        <f>IFERROR(__xludf.DUMMYFUNCTION("""COMPUTED_VALUE"""),49.0)</f>
        <v>49</v>
      </c>
      <c r="S1498" s="14">
        <f>IFERROR(__xludf.DUMMYFUNCTION("""COMPUTED_VALUE"""),50.0)</f>
        <v>50</v>
      </c>
      <c r="T1498" s="14">
        <f>IFERROR(__xludf.DUMMYFUNCTION("""COMPUTED_VALUE"""),0.461)</f>
        <v>0.461</v>
      </c>
      <c r="U1498" s="14">
        <f>IFERROR(__xludf.DUMMYFUNCTION("""COMPUTED_VALUE"""),0.505)</f>
        <v>0.505</v>
      </c>
      <c r="V1498" s="14">
        <f>IFERROR(__xludf.DUMMYFUNCTION("""COMPUTED_VALUE"""),0.034)</f>
        <v>0.034</v>
      </c>
      <c r="W1498" s="14">
        <f>IFERROR(__xludf.DUMMYFUNCTION("""COMPUTED_VALUE"""),1.0562768E7)</f>
        <v>10562768</v>
      </c>
      <c r="X1498" s="14">
        <f>IFERROR(__xludf.DUMMYFUNCTION("""COMPUTED_VALUE"""),0.291)</f>
        <v>0.291</v>
      </c>
      <c r="Y1498" s="14" t="str">
        <f>IFERROR(__xludf.DUMMYFUNCTION("""COMPUTED_VALUE"""),"Mali-Africa")</f>
        <v>Mali-Africa</v>
      </c>
      <c r="Z1498" s="14" t="str">
        <f>IFERROR(__xludf.DUMMYFUNCTION("""COMPUTED_VALUE"""),"Africa")</f>
        <v>Africa</v>
      </c>
      <c r="AA1498" s="14" t="str">
        <f>IFERROR(__xludf.DUMMYFUNCTION("""COMPUTED_VALUE"""),"2001")</f>
        <v>2001</v>
      </c>
      <c r="AB1498" s="15" t="str">
        <f>IFERROR(__xludf.DUMMYFUNCTION("ARRAYFORMULA(VLOOKUP(A1498,IMPORTRANGE(""https://docs.google.com/spreadsheets/d/1BuTWp7qHGjWhqrnf-OmePP568O4A5Am9ttzvVdP67zw/edit#gid=1931367683"" ,""ENERGY!$A$2:$F$2692""), {2,3,4,5,6},0))"),"Africa")</f>
        <v>Africa</v>
      </c>
      <c r="AC1498" s="14" t="str">
        <f>IFERROR(__xludf.DUMMYFUNCTION("""COMPUTED_VALUE"""),"Mali-Africa")</f>
        <v>Mali-Africa</v>
      </c>
      <c r="AD1498" s="14" t="str">
        <f>IFERROR(__xludf.DUMMYFUNCTION("""COMPUTED_VALUE"""),"2001")</f>
        <v>2001</v>
      </c>
      <c r="AE1498" s="14"/>
      <c r="AF1498" s="14"/>
    </row>
    <row r="1499">
      <c r="A1499" s="12">
        <v>1498.0</v>
      </c>
      <c r="B1499" s="12" t="s">
        <v>194</v>
      </c>
      <c r="C1499" s="5" t="s">
        <v>77</v>
      </c>
      <c r="D1499" s="8"/>
      <c r="E1499" s="8"/>
      <c r="F1499" s="8"/>
      <c r="G1499" s="8"/>
      <c r="H1499" s="11">
        <v>0.002</v>
      </c>
      <c r="I1499" s="11">
        <v>0.004</v>
      </c>
      <c r="J1499" s="9" t="s">
        <v>63</v>
      </c>
      <c r="K1499" s="14" t="str">
        <f>IFERROR(__xludf.DUMMYFUNCTION("ARRAYFORMULA(VLOOKUP(A1499,IMPORTRANGE(""https://docs.google.com/spreadsheets/d/1BuTWp7qHGjWhqrnf-OmePP568O4A5Am9ttzvVdP67zw/edit#gid=1603210130"", ""TOURISM!$A$2:$F$2692""), {2,3,4,5,6},0))"),"Africa")</f>
        <v>Africa</v>
      </c>
      <c r="L1499" s="14">
        <f>IFERROR(__xludf.DUMMYFUNCTION("""COMPUTED_VALUE"""),1.05E8)</f>
        <v>105000000</v>
      </c>
      <c r="M1499" s="14" t="str">
        <f>IFERROR(__xludf.DUMMYFUNCTION("""COMPUTED_VALUE"""),"Mali-Africa")</f>
        <v>Mali-Africa</v>
      </c>
      <c r="N1499" s="14" t="str">
        <f>IFERROR(__xludf.DUMMYFUNCTION("""COMPUTED_VALUE"""),"2002")</f>
        <v>2002</v>
      </c>
      <c r="O1499" s="14">
        <f>IFERROR(__xludf.DUMMYFUNCTION("""COMPUTED_VALUE"""),6.2E7)</f>
        <v>62000000</v>
      </c>
      <c r="P1499" s="15">
        <f>IFERROR(__xludf.DUMMYFUNCTION("ARRAYFORMULA(VLOOKUP(A1499,IMPORTRANGE(""https://docs.google.com/spreadsheets/d/1BuTWp7qHGjWhqrnf-OmePP568O4A5Am9ttzvVdP67zw/edit#gid=771602874"" ,""HUMAN RESOURCES!$A$2:$M$2692""), {2,3,4,5,6,7,8,9,10,11,12,13},0))"),0.048)</f>
        <v>0.048</v>
      </c>
      <c r="Q1499" s="14">
        <f>IFERROR(__xludf.DUMMYFUNCTION("""COMPUTED_VALUE"""),0.109)</f>
        <v>0.109</v>
      </c>
      <c r="R1499" s="14">
        <f>IFERROR(__xludf.DUMMYFUNCTION("""COMPUTED_VALUE"""),50.0)</f>
        <v>50</v>
      </c>
      <c r="S1499" s="14">
        <f>IFERROR(__xludf.DUMMYFUNCTION("""COMPUTED_VALUE"""),50.0)</f>
        <v>50</v>
      </c>
      <c r="T1499" s="14">
        <f>IFERROR(__xludf.DUMMYFUNCTION("""COMPUTED_VALUE"""),0.461)</f>
        <v>0.461</v>
      </c>
      <c r="U1499" s="14">
        <f>IFERROR(__xludf.DUMMYFUNCTION("""COMPUTED_VALUE"""),0.506)</f>
        <v>0.506</v>
      </c>
      <c r="V1499" s="14">
        <f>IFERROR(__xludf.DUMMYFUNCTION("""COMPUTED_VALUE"""),0.033)</f>
        <v>0.033</v>
      </c>
      <c r="W1499" s="14">
        <f>IFERROR(__xludf.DUMMYFUNCTION("""COMPUTED_VALUE"""),1.0882662E7)</f>
        <v>10882662</v>
      </c>
      <c r="X1499" s="14">
        <f>IFERROR(__xludf.DUMMYFUNCTION("""COMPUTED_VALUE"""),0.298)</f>
        <v>0.298</v>
      </c>
      <c r="Y1499" s="14" t="str">
        <f>IFERROR(__xludf.DUMMYFUNCTION("""COMPUTED_VALUE"""),"Mali-Africa")</f>
        <v>Mali-Africa</v>
      </c>
      <c r="Z1499" s="14" t="str">
        <f>IFERROR(__xludf.DUMMYFUNCTION("""COMPUTED_VALUE"""),"Africa")</f>
        <v>Africa</v>
      </c>
      <c r="AA1499" s="14" t="str">
        <f>IFERROR(__xludf.DUMMYFUNCTION("""COMPUTED_VALUE"""),"2002")</f>
        <v>2002</v>
      </c>
      <c r="AB1499" s="15" t="str">
        <f>IFERROR(__xludf.DUMMYFUNCTION("ARRAYFORMULA(VLOOKUP(A1499,IMPORTRANGE(""https://docs.google.com/spreadsheets/d/1BuTWp7qHGjWhqrnf-OmePP568O4A5Am9ttzvVdP67zw/edit#gid=1931367683"" ,""ENERGY!$A$2:$F$2692""), {2,3,4,5,6},0))"),"Africa")</f>
        <v>Africa</v>
      </c>
      <c r="AC1499" s="14" t="str">
        <f>IFERROR(__xludf.DUMMYFUNCTION("""COMPUTED_VALUE"""),"Mali-Africa")</f>
        <v>Mali-Africa</v>
      </c>
      <c r="AD1499" s="14" t="str">
        <f>IFERROR(__xludf.DUMMYFUNCTION("""COMPUTED_VALUE"""),"2002")</f>
        <v>2002</v>
      </c>
      <c r="AE1499" s="14"/>
      <c r="AF1499" s="14">
        <f>IFERROR(__xludf.DUMMYFUNCTION("""COMPUTED_VALUE"""),623.0)</f>
        <v>623</v>
      </c>
    </row>
    <row r="1500">
      <c r="A1500" s="12">
        <v>1499.0</v>
      </c>
      <c r="B1500" s="12" t="s">
        <v>194</v>
      </c>
      <c r="C1500" s="5" t="s">
        <v>77</v>
      </c>
      <c r="D1500" s="8"/>
      <c r="E1500" s="11">
        <v>41.0</v>
      </c>
      <c r="F1500" s="8"/>
      <c r="G1500" s="8"/>
      <c r="H1500" s="11">
        <v>0.003</v>
      </c>
      <c r="I1500" s="11">
        <v>0.022</v>
      </c>
      <c r="J1500" s="9" t="s">
        <v>64</v>
      </c>
      <c r="K1500" s="14" t="str">
        <f>IFERROR(__xludf.DUMMYFUNCTION("ARRAYFORMULA(VLOOKUP(A1500,IMPORTRANGE(""https://docs.google.com/spreadsheets/d/1BuTWp7qHGjWhqrnf-OmePP568O4A5Am9ttzvVdP67zw/edit#gid=1603210130"", ""TOURISM!$A$2:$F$2692""), {2,3,4,5,6},0))"),"Africa")</f>
        <v>Africa</v>
      </c>
      <c r="L1500" s="14">
        <f>IFERROR(__xludf.DUMMYFUNCTION("""COMPUTED_VALUE"""),1.36E8)</f>
        <v>136000000</v>
      </c>
      <c r="M1500" s="14" t="str">
        <f>IFERROR(__xludf.DUMMYFUNCTION("""COMPUTED_VALUE"""),"Mali-Africa")</f>
        <v>Mali-Africa</v>
      </c>
      <c r="N1500" s="14" t="str">
        <f>IFERROR(__xludf.DUMMYFUNCTION("""COMPUTED_VALUE"""),"2003")</f>
        <v>2003</v>
      </c>
      <c r="O1500" s="14">
        <f>IFERROR(__xludf.DUMMYFUNCTION("""COMPUTED_VALUE"""),9.4E7)</f>
        <v>94000000</v>
      </c>
      <c r="P1500" s="15">
        <f>IFERROR(__xludf.DUMMYFUNCTION("ARRAYFORMULA(VLOOKUP(A1500,IMPORTRANGE(""https://docs.google.com/spreadsheets/d/1BuTWp7qHGjWhqrnf-OmePP568O4A5Am9ttzvVdP67zw/edit#gid=771602874"" ,""HUMAN RESOURCES!$A$2:$M$2692""), {2,3,4,5,6,7,8,9,10,11,12,13},0))"),0.048)</f>
        <v>0.048</v>
      </c>
      <c r="Q1500" s="14">
        <f>IFERROR(__xludf.DUMMYFUNCTION("""COMPUTED_VALUE"""),0.105)</f>
        <v>0.105</v>
      </c>
      <c r="R1500" s="14">
        <f>IFERROR(__xludf.DUMMYFUNCTION("""COMPUTED_VALUE"""),50.0)</f>
        <v>50</v>
      </c>
      <c r="S1500" s="14">
        <f>IFERROR(__xludf.DUMMYFUNCTION("""COMPUTED_VALUE"""),51.0)</f>
        <v>51</v>
      </c>
      <c r="T1500" s="14">
        <f>IFERROR(__xludf.DUMMYFUNCTION("""COMPUTED_VALUE"""),0.462)</f>
        <v>0.462</v>
      </c>
      <c r="U1500" s="14">
        <f>IFERROR(__xludf.DUMMYFUNCTION("""COMPUTED_VALUE"""),0.506)</f>
        <v>0.506</v>
      </c>
      <c r="V1500" s="14">
        <f>IFERROR(__xludf.DUMMYFUNCTION("""COMPUTED_VALUE"""),0.032)</f>
        <v>0.032</v>
      </c>
      <c r="W1500" s="14">
        <f>IFERROR(__xludf.DUMMYFUNCTION("""COMPUTED_VALUE"""),1.1219737E7)</f>
        <v>11219737</v>
      </c>
      <c r="X1500" s="14">
        <f>IFERROR(__xludf.DUMMYFUNCTION("""COMPUTED_VALUE"""),0.305)</f>
        <v>0.305</v>
      </c>
      <c r="Y1500" s="14" t="str">
        <f>IFERROR(__xludf.DUMMYFUNCTION("""COMPUTED_VALUE"""),"Mali-Africa")</f>
        <v>Mali-Africa</v>
      </c>
      <c r="Z1500" s="14" t="str">
        <f>IFERROR(__xludf.DUMMYFUNCTION("""COMPUTED_VALUE"""),"Africa")</f>
        <v>Africa</v>
      </c>
      <c r="AA1500" s="14" t="str">
        <f>IFERROR(__xludf.DUMMYFUNCTION("""COMPUTED_VALUE"""),"2003")</f>
        <v>2003</v>
      </c>
      <c r="AB1500" s="15" t="str">
        <f>IFERROR(__xludf.DUMMYFUNCTION("ARRAYFORMULA(VLOOKUP(A1500,IMPORTRANGE(""https://docs.google.com/spreadsheets/d/1BuTWp7qHGjWhqrnf-OmePP568O4A5Am9ttzvVdP67zw/edit#gid=1931367683"" ,""ENERGY!$A$2:$F$2692""), {2,3,4,5,6},0))"),"Africa")</f>
        <v>Africa</v>
      </c>
      <c r="AC1500" s="14" t="str">
        <f>IFERROR(__xludf.DUMMYFUNCTION("""COMPUTED_VALUE"""),"Mali-Africa")</f>
        <v>Mali-Africa</v>
      </c>
      <c r="AD1500" s="14" t="str">
        <f>IFERROR(__xludf.DUMMYFUNCTION("""COMPUTED_VALUE"""),"2003")</f>
        <v>2003</v>
      </c>
      <c r="AE1500" s="14"/>
      <c r="AF1500" s="14">
        <f>IFERROR(__xludf.DUMMYFUNCTION("""COMPUTED_VALUE"""),612.0)</f>
        <v>612</v>
      </c>
    </row>
    <row r="1501">
      <c r="A1501" s="12">
        <v>1500.0</v>
      </c>
      <c r="B1501" s="12" t="s">
        <v>194</v>
      </c>
      <c r="C1501" s="5" t="s">
        <v>77</v>
      </c>
      <c r="D1501" s="8"/>
      <c r="E1501" s="11">
        <v>41.0</v>
      </c>
      <c r="F1501" s="8"/>
      <c r="G1501" s="8"/>
      <c r="H1501" s="11">
        <v>0.004</v>
      </c>
      <c r="I1501" s="11">
        <v>0.035</v>
      </c>
      <c r="J1501" s="9" t="s">
        <v>65</v>
      </c>
      <c r="K1501" s="14" t="str">
        <f>IFERROR(__xludf.DUMMYFUNCTION("ARRAYFORMULA(VLOOKUP(A1501,IMPORTRANGE(""https://docs.google.com/spreadsheets/d/1BuTWp7qHGjWhqrnf-OmePP568O4A5Am9ttzvVdP67zw/edit#gid=1603210130"", ""TOURISM!$A$2:$F$2692""), {2,3,4,5,6},0))"),"Africa")</f>
        <v>Africa</v>
      </c>
      <c r="L1501" s="14">
        <f>IFERROR(__xludf.DUMMYFUNCTION("""COMPUTED_VALUE"""),1.42E8)</f>
        <v>142000000</v>
      </c>
      <c r="M1501" s="14" t="str">
        <f>IFERROR(__xludf.DUMMYFUNCTION("""COMPUTED_VALUE"""),"Mali-Africa")</f>
        <v>Mali-Africa</v>
      </c>
      <c r="N1501" s="14" t="str">
        <f>IFERROR(__xludf.DUMMYFUNCTION("""COMPUTED_VALUE"""),"2004")</f>
        <v>2004</v>
      </c>
      <c r="O1501" s="14">
        <f>IFERROR(__xludf.DUMMYFUNCTION("""COMPUTED_VALUE"""),1.25E8)</f>
        <v>125000000</v>
      </c>
      <c r="P1501" s="15">
        <f>IFERROR(__xludf.DUMMYFUNCTION("ARRAYFORMULA(VLOOKUP(A1501,IMPORTRANGE(""https://docs.google.com/spreadsheets/d/1BuTWp7qHGjWhqrnf-OmePP568O4A5Am9ttzvVdP67zw/edit#gid=771602874"" ,""HUMAN RESOURCES!$A$2:$M$2692""), {2,3,4,5,6,7,8,9,10,11,12,13},0))"),0.048)</f>
        <v>0.048</v>
      </c>
      <c r="Q1501" s="14">
        <f>IFERROR(__xludf.DUMMYFUNCTION("""COMPUTED_VALUE"""),0.101)</f>
        <v>0.101</v>
      </c>
      <c r="R1501" s="14">
        <f>IFERROR(__xludf.DUMMYFUNCTION("""COMPUTED_VALUE"""),51.0)</f>
        <v>51</v>
      </c>
      <c r="S1501" s="14">
        <f>IFERROR(__xludf.DUMMYFUNCTION("""COMPUTED_VALUE"""),51.0)</f>
        <v>51</v>
      </c>
      <c r="T1501" s="14">
        <f>IFERROR(__xludf.DUMMYFUNCTION("""COMPUTED_VALUE"""),0.462)</f>
        <v>0.462</v>
      </c>
      <c r="U1501" s="14">
        <f>IFERROR(__xludf.DUMMYFUNCTION("""COMPUTED_VALUE"""),0.506)</f>
        <v>0.506</v>
      </c>
      <c r="V1501" s="14">
        <f>IFERROR(__xludf.DUMMYFUNCTION("""COMPUTED_VALUE"""),0.031)</f>
        <v>0.031</v>
      </c>
      <c r="W1501" s="14">
        <f>IFERROR(__xludf.DUMMYFUNCTION("""COMPUTED_VALUE"""),1.1572936E7)</f>
        <v>11572936</v>
      </c>
      <c r="X1501" s="14">
        <f>IFERROR(__xludf.DUMMYFUNCTION("""COMPUTED_VALUE"""),0.313)</f>
        <v>0.313</v>
      </c>
      <c r="Y1501" s="14" t="str">
        <f>IFERROR(__xludf.DUMMYFUNCTION("""COMPUTED_VALUE"""),"Mali-Africa")</f>
        <v>Mali-Africa</v>
      </c>
      <c r="Z1501" s="14" t="str">
        <f>IFERROR(__xludf.DUMMYFUNCTION("""COMPUTED_VALUE"""),"Africa")</f>
        <v>Africa</v>
      </c>
      <c r="AA1501" s="14" t="str">
        <f>IFERROR(__xludf.DUMMYFUNCTION("""COMPUTED_VALUE"""),"2004")</f>
        <v>2004</v>
      </c>
      <c r="AB1501" s="15" t="str">
        <f>IFERROR(__xludf.DUMMYFUNCTION("ARRAYFORMULA(VLOOKUP(A1501,IMPORTRANGE(""https://docs.google.com/spreadsheets/d/1BuTWp7qHGjWhqrnf-OmePP568O4A5Am9ttzvVdP67zw/edit#gid=1931367683"" ,""ENERGY!$A$2:$F$2692""), {2,3,4,5,6},0))"),"Africa")</f>
        <v>Africa</v>
      </c>
      <c r="AC1501" s="14" t="str">
        <f>IFERROR(__xludf.DUMMYFUNCTION("""COMPUTED_VALUE"""),"Mali-Africa")</f>
        <v>Mali-Africa</v>
      </c>
      <c r="AD1501" s="14" t="str">
        <f>IFERROR(__xludf.DUMMYFUNCTION("""COMPUTED_VALUE"""),"2004")</f>
        <v>2004</v>
      </c>
      <c r="AE1501" s="14"/>
      <c r="AF1501" s="14">
        <f>IFERROR(__xludf.DUMMYFUNCTION("""COMPUTED_VALUE"""),594.0)</f>
        <v>594</v>
      </c>
    </row>
    <row r="1502">
      <c r="A1502" s="12">
        <v>1501.0</v>
      </c>
      <c r="B1502" s="12" t="s">
        <v>194</v>
      </c>
      <c r="C1502" s="5" t="s">
        <v>77</v>
      </c>
      <c r="D1502" s="11">
        <v>0.514</v>
      </c>
      <c r="E1502" s="11">
        <v>41.0</v>
      </c>
      <c r="F1502" s="8"/>
      <c r="G1502" s="11">
        <v>270.0</v>
      </c>
      <c r="H1502" s="11">
        <v>0.005</v>
      </c>
      <c r="I1502" s="11">
        <v>0.064</v>
      </c>
      <c r="J1502" s="9" t="s">
        <v>66</v>
      </c>
      <c r="K1502" s="14" t="str">
        <f>IFERROR(__xludf.DUMMYFUNCTION("ARRAYFORMULA(VLOOKUP(A1502,IMPORTRANGE(""https://docs.google.com/spreadsheets/d/1BuTWp7qHGjWhqrnf-OmePP568O4A5Am9ttzvVdP67zw/edit#gid=1603210130"", ""TOURISM!$A$2:$F$2692""), {2,3,4,5,6},0))"),"Africa")</f>
        <v>Africa</v>
      </c>
      <c r="L1502" s="14">
        <f>IFERROR(__xludf.DUMMYFUNCTION("""COMPUTED_VALUE"""),1.49E8)</f>
        <v>149000000</v>
      </c>
      <c r="M1502" s="14" t="str">
        <f>IFERROR(__xludf.DUMMYFUNCTION("""COMPUTED_VALUE"""),"Mali-Africa")</f>
        <v>Mali-Africa</v>
      </c>
      <c r="N1502" s="14" t="str">
        <f>IFERROR(__xludf.DUMMYFUNCTION("""COMPUTED_VALUE"""),"2005")</f>
        <v>2005</v>
      </c>
      <c r="O1502" s="14">
        <f>IFERROR(__xludf.DUMMYFUNCTION("""COMPUTED_VALUE"""),1.33E8)</f>
        <v>133000000</v>
      </c>
      <c r="P1502" s="15">
        <f>IFERROR(__xludf.DUMMYFUNCTION("ARRAYFORMULA(VLOOKUP(A1502,IMPORTRANGE(""https://docs.google.com/spreadsheets/d/1BuTWp7qHGjWhqrnf-OmePP568O4A5Am9ttzvVdP67zw/edit#gid=771602874"" ,""HUMAN RESOURCES!$A$2:$M$2692""), {2,3,4,5,6,7,8,9,10,11,12,13},0))"),0.048)</f>
        <v>0.048</v>
      </c>
      <c r="Q1502" s="14">
        <f>IFERROR(__xludf.DUMMYFUNCTION("""COMPUTED_VALUE"""),0.097)</f>
        <v>0.097</v>
      </c>
      <c r="R1502" s="14">
        <f>IFERROR(__xludf.DUMMYFUNCTION("""COMPUTED_VALUE"""),51.0)</f>
        <v>51</v>
      </c>
      <c r="S1502" s="14">
        <f>IFERROR(__xludf.DUMMYFUNCTION("""COMPUTED_VALUE"""),52.0)</f>
        <v>52</v>
      </c>
      <c r="T1502" s="14">
        <f>IFERROR(__xludf.DUMMYFUNCTION("""COMPUTED_VALUE"""),0.463)</f>
        <v>0.463</v>
      </c>
      <c r="U1502" s="14">
        <f>IFERROR(__xludf.DUMMYFUNCTION("""COMPUTED_VALUE"""),0.506)</f>
        <v>0.506</v>
      </c>
      <c r="V1502" s="14">
        <f>IFERROR(__xludf.DUMMYFUNCTION("""COMPUTED_VALUE"""),0.031)</f>
        <v>0.031</v>
      </c>
      <c r="W1502" s="14">
        <f>IFERROR(__xludf.DUMMYFUNCTION("""COMPUTED_VALUE"""),1.1941258E7)</f>
        <v>11941258</v>
      </c>
      <c r="X1502" s="14">
        <f>IFERROR(__xludf.DUMMYFUNCTION("""COMPUTED_VALUE"""),0.321)</f>
        <v>0.321</v>
      </c>
      <c r="Y1502" s="14" t="str">
        <f>IFERROR(__xludf.DUMMYFUNCTION("""COMPUTED_VALUE"""),"Mali-Africa")</f>
        <v>Mali-Africa</v>
      </c>
      <c r="Z1502" s="14" t="str">
        <f>IFERROR(__xludf.DUMMYFUNCTION("""COMPUTED_VALUE"""),"Africa")</f>
        <v>Africa</v>
      </c>
      <c r="AA1502" s="14" t="str">
        <f>IFERROR(__xludf.DUMMYFUNCTION("""COMPUTED_VALUE"""),"2005")</f>
        <v>2005</v>
      </c>
      <c r="AB1502" s="15" t="str">
        <f>IFERROR(__xludf.DUMMYFUNCTION("ARRAYFORMULA(VLOOKUP(A1502,IMPORTRANGE(""https://docs.google.com/spreadsheets/d/1BuTWp7qHGjWhqrnf-OmePP568O4A5Am9ttzvVdP67zw/edit#gid=1931367683"" ,""ENERGY!$A$2:$F$2692""), {2,3,4,5,6},0))"),"Africa")</f>
        <v>Africa</v>
      </c>
      <c r="AC1502" s="14" t="str">
        <f>IFERROR(__xludf.DUMMYFUNCTION("""COMPUTED_VALUE"""),"Mali-Africa")</f>
        <v>Mali-Africa</v>
      </c>
      <c r="AD1502" s="14" t="str">
        <f>IFERROR(__xludf.DUMMYFUNCTION("""COMPUTED_VALUE"""),"2007")</f>
        <v>2007</v>
      </c>
      <c r="AE1502" s="14"/>
      <c r="AF1502" s="14">
        <f>IFERROR(__xludf.DUMMYFUNCTION("""COMPUTED_VALUE"""),579.0)</f>
        <v>579</v>
      </c>
    </row>
    <row r="1503">
      <c r="A1503" s="12">
        <v>1502.0</v>
      </c>
      <c r="B1503" s="12" t="s">
        <v>194</v>
      </c>
      <c r="C1503" s="5" t="s">
        <v>77</v>
      </c>
      <c r="D1503" s="11">
        <v>0.514</v>
      </c>
      <c r="E1503" s="11">
        <v>41.0</v>
      </c>
      <c r="F1503" s="8"/>
      <c r="G1503" s="11">
        <v>270.0</v>
      </c>
      <c r="H1503" s="11">
        <v>0.007</v>
      </c>
      <c r="I1503" s="11">
        <v>0.123</v>
      </c>
      <c r="J1503" s="9" t="s">
        <v>67</v>
      </c>
      <c r="K1503" s="14" t="str">
        <f>IFERROR(__xludf.DUMMYFUNCTION("ARRAYFORMULA(VLOOKUP(A1503,IMPORTRANGE(""https://docs.google.com/spreadsheets/d/1BuTWp7qHGjWhqrnf-OmePP568O4A5Am9ttzvVdP67zw/edit#gid=1603210130"", ""TOURISM!$A$2:$F$2692""), {2,3,4,5,6},0))"),"Africa")</f>
        <v>Africa</v>
      </c>
      <c r="L1503" s="14">
        <f>IFERROR(__xludf.DUMMYFUNCTION("""COMPUTED_VALUE"""),1.75E8)</f>
        <v>175000000</v>
      </c>
      <c r="M1503" s="14" t="str">
        <f>IFERROR(__xludf.DUMMYFUNCTION("""COMPUTED_VALUE"""),"Mali-Africa")</f>
        <v>Mali-Africa</v>
      </c>
      <c r="N1503" s="14" t="str">
        <f>IFERROR(__xludf.DUMMYFUNCTION("""COMPUTED_VALUE"""),"2006")</f>
        <v>2006</v>
      </c>
      <c r="O1503" s="14">
        <f>IFERROR(__xludf.DUMMYFUNCTION("""COMPUTED_VALUE"""),1.96E8)</f>
        <v>196000000</v>
      </c>
      <c r="P1503" s="15">
        <f>IFERROR(__xludf.DUMMYFUNCTION("ARRAYFORMULA(VLOOKUP(A1503,IMPORTRANGE(""https://docs.google.com/spreadsheets/d/1BuTWp7qHGjWhqrnf-OmePP568O4A5Am9ttzvVdP67zw/edit#gid=771602874"" ,""HUMAN RESOURCES!$A$2:$M$2692""), {2,3,4,5,6,7,8,9,10,11,12,13},0))"),0.048)</f>
        <v>0.048</v>
      </c>
      <c r="Q1503" s="14">
        <f>IFERROR(__xludf.DUMMYFUNCTION("""COMPUTED_VALUE"""),0.093)</f>
        <v>0.093</v>
      </c>
      <c r="R1503" s="14">
        <f>IFERROR(__xludf.DUMMYFUNCTION("""COMPUTED_VALUE"""),52.0)</f>
        <v>52</v>
      </c>
      <c r="S1503" s="14">
        <f>IFERROR(__xludf.DUMMYFUNCTION("""COMPUTED_VALUE"""),52.0)</f>
        <v>52</v>
      </c>
      <c r="T1503" s="14">
        <f>IFERROR(__xludf.DUMMYFUNCTION("""COMPUTED_VALUE"""),0.464)</f>
        <v>0.464</v>
      </c>
      <c r="U1503" s="14">
        <f>IFERROR(__xludf.DUMMYFUNCTION("""COMPUTED_VALUE"""),0.506)</f>
        <v>0.506</v>
      </c>
      <c r="V1503" s="14">
        <f>IFERROR(__xludf.DUMMYFUNCTION("""COMPUTED_VALUE"""),0.03)</f>
        <v>0.03</v>
      </c>
      <c r="W1503" s="14">
        <f>IFERROR(__xludf.DUMMYFUNCTION("""COMPUTED_VALUE"""),1.2325545E7)</f>
        <v>12325545</v>
      </c>
      <c r="X1503" s="14">
        <f>IFERROR(__xludf.DUMMYFUNCTION("""COMPUTED_VALUE"""),0.328)</f>
        <v>0.328</v>
      </c>
      <c r="Y1503" s="14" t="str">
        <f>IFERROR(__xludf.DUMMYFUNCTION("""COMPUTED_VALUE"""),"Mali-Africa")</f>
        <v>Mali-Africa</v>
      </c>
      <c r="Z1503" s="14" t="str">
        <f>IFERROR(__xludf.DUMMYFUNCTION("""COMPUTED_VALUE"""),"Africa")</f>
        <v>Africa</v>
      </c>
      <c r="AA1503" s="14" t="str">
        <f>IFERROR(__xludf.DUMMYFUNCTION("""COMPUTED_VALUE"""),"2006")</f>
        <v>2006</v>
      </c>
      <c r="AB1503" s="15" t="str">
        <f>IFERROR(__xludf.DUMMYFUNCTION("ARRAYFORMULA(VLOOKUP(A1503,IMPORTRANGE(""https://docs.google.com/spreadsheets/d/1BuTWp7qHGjWhqrnf-OmePP568O4A5Am9ttzvVdP67zw/edit#gid=1931367683"" ,""ENERGY!$A$2:$F$2692""), {2,3,4,5,6},0))"),"Africa")</f>
        <v>Africa</v>
      </c>
      <c r="AC1503" s="14" t="str">
        <f>IFERROR(__xludf.DUMMYFUNCTION("""COMPUTED_VALUE"""),"Mali-Africa")</f>
        <v>Mali-Africa</v>
      </c>
      <c r="AD1503" s="14" t="str">
        <f>IFERROR(__xludf.DUMMYFUNCTION("""COMPUTED_VALUE"""),"2011")</f>
        <v>2011</v>
      </c>
      <c r="AE1503" s="14"/>
      <c r="AF1503" s="14">
        <f>IFERROR(__xludf.DUMMYFUNCTION("""COMPUTED_VALUE"""),568.0)</f>
        <v>568</v>
      </c>
    </row>
    <row r="1504">
      <c r="A1504" s="12">
        <v>1503.0</v>
      </c>
      <c r="B1504" s="12" t="s">
        <v>194</v>
      </c>
      <c r="C1504" s="5" t="s">
        <v>77</v>
      </c>
      <c r="D1504" s="11">
        <v>0.514</v>
      </c>
      <c r="E1504" s="11">
        <v>25.0</v>
      </c>
      <c r="F1504" s="8"/>
      <c r="G1504" s="11">
        <v>270.0</v>
      </c>
      <c r="H1504" s="11">
        <v>0.008</v>
      </c>
      <c r="I1504" s="11">
        <v>0.199</v>
      </c>
      <c r="J1504" s="9" t="s">
        <v>68</v>
      </c>
      <c r="K1504" s="14" t="str">
        <f>IFERROR(__xludf.DUMMYFUNCTION("ARRAYFORMULA(VLOOKUP(A1504,IMPORTRANGE(""https://docs.google.com/spreadsheets/d/1BuTWp7qHGjWhqrnf-OmePP568O4A5Am9ttzvVdP67zw/edit#gid=1603210130"", ""TOURISM!$A$2:$F$2692""), {2,3,4,5,6},0))"),"Africa")</f>
        <v>Africa</v>
      </c>
      <c r="L1504" s="14">
        <f>IFERROR(__xludf.DUMMYFUNCTION("""COMPUTED_VALUE"""),2.27E8)</f>
        <v>227000000</v>
      </c>
      <c r="M1504" s="14" t="str">
        <f>IFERROR(__xludf.DUMMYFUNCTION("""COMPUTED_VALUE"""),"Mali-Africa")</f>
        <v>Mali-Africa</v>
      </c>
      <c r="N1504" s="14" t="str">
        <f>IFERROR(__xludf.DUMMYFUNCTION("""COMPUTED_VALUE"""),"2007")</f>
        <v>2007</v>
      </c>
      <c r="O1504" s="14">
        <f>IFERROR(__xludf.DUMMYFUNCTION("""COMPUTED_VALUE"""),2.01E8)</f>
        <v>201000000</v>
      </c>
      <c r="P1504" s="15">
        <f>IFERROR(__xludf.DUMMYFUNCTION("ARRAYFORMULA(VLOOKUP(A1504,IMPORTRANGE(""https://docs.google.com/spreadsheets/d/1BuTWp7qHGjWhqrnf-OmePP568O4A5Am9ttzvVdP67zw/edit#gid=771602874"" ,""HUMAN RESOURCES!$A$2:$M$2692""), {2,3,4,5,6,7,8,9,10,11,12,13},0))"),0.048)</f>
        <v>0.048</v>
      </c>
      <c r="Q1504" s="14">
        <f>IFERROR(__xludf.DUMMYFUNCTION("""COMPUTED_VALUE"""),0.09)</f>
        <v>0.09</v>
      </c>
      <c r="R1504" s="14">
        <f>IFERROR(__xludf.DUMMYFUNCTION("""COMPUTED_VALUE"""),52.0)</f>
        <v>52</v>
      </c>
      <c r="S1504" s="14">
        <f>IFERROR(__xludf.DUMMYFUNCTION("""COMPUTED_VALUE"""),53.0)</f>
        <v>53</v>
      </c>
      <c r="T1504" s="14">
        <f>IFERROR(__xludf.DUMMYFUNCTION("""COMPUTED_VALUE"""),0.464)</f>
        <v>0.464</v>
      </c>
      <c r="U1504" s="14">
        <f>IFERROR(__xludf.DUMMYFUNCTION("""COMPUTED_VALUE"""),0.506)</f>
        <v>0.506</v>
      </c>
      <c r="V1504" s="14">
        <f>IFERROR(__xludf.DUMMYFUNCTION("""COMPUTED_VALUE"""),0.03)</f>
        <v>0.03</v>
      </c>
      <c r="W1504" s="14">
        <f>IFERROR(__xludf.DUMMYFUNCTION("""COMPUTED_VALUE"""),1.2725629E7)</f>
        <v>12725629</v>
      </c>
      <c r="X1504" s="14">
        <f>IFERROR(__xludf.DUMMYFUNCTION("""COMPUTED_VALUE"""),0.336)</f>
        <v>0.336</v>
      </c>
      <c r="Y1504" s="14" t="str">
        <f>IFERROR(__xludf.DUMMYFUNCTION("""COMPUTED_VALUE"""),"Mali-Africa")</f>
        <v>Mali-Africa</v>
      </c>
      <c r="Z1504" s="14" t="str">
        <f>IFERROR(__xludf.DUMMYFUNCTION("""COMPUTED_VALUE"""),"Africa")</f>
        <v>Africa</v>
      </c>
      <c r="AA1504" s="14" t="str">
        <f>IFERROR(__xludf.DUMMYFUNCTION("""COMPUTED_VALUE"""),"2007")</f>
        <v>2007</v>
      </c>
      <c r="AB1504" s="15" t="str">
        <f>IFERROR(__xludf.DUMMYFUNCTION("ARRAYFORMULA(VLOOKUP(A1504,IMPORTRANGE(""https://docs.google.com/spreadsheets/d/1BuTWp7qHGjWhqrnf-OmePP568O4A5Am9ttzvVdP67zw/edit#gid=1931367683"" ,""ENERGY!$A$2:$F$2692""), {2,3,4,5,6},0))"),"Africa")</f>
        <v>Africa</v>
      </c>
      <c r="AC1504" s="14" t="str">
        <f>IFERROR(__xludf.DUMMYFUNCTION("""COMPUTED_VALUE"""),"Mali-Africa")</f>
        <v>Mali-Africa</v>
      </c>
      <c r="AD1504" s="14" t="str">
        <f>IFERROR(__xludf.DUMMYFUNCTION("""COMPUTED_VALUE"""),"2009")</f>
        <v>2009</v>
      </c>
      <c r="AE1504" s="14"/>
      <c r="AF1504" s="14">
        <f>IFERROR(__xludf.DUMMYFUNCTION("""COMPUTED_VALUE"""),568.0)</f>
        <v>568</v>
      </c>
    </row>
    <row r="1505">
      <c r="A1505" s="12">
        <v>1504.0</v>
      </c>
      <c r="B1505" s="12" t="s">
        <v>194</v>
      </c>
      <c r="C1505" s="5" t="s">
        <v>77</v>
      </c>
      <c r="D1505" s="11">
        <v>0.514</v>
      </c>
      <c r="E1505" s="11">
        <v>25.0</v>
      </c>
      <c r="F1505" s="8"/>
      <c r="G1505" s="11">
        <v>270.0</v>
      </c>
      <c r="H1505" s="11">
        <v>0.016</v>
      </c>
      <c r="I1505" s="11">
        <v>0.262</v>
      </c>
      <c r="J1505" s="9" t="s">
        <v>69</v>
      </c>
      <c r="K1505" s="14" t="str">
        <f>IFERROR(__xludf.DUMMYFUNCTION("ARRAYFORMULA(VLOOKUP(A1505,IMPORTRANGE(""https://docs.google.com/spreadsheets/d/1BuTWp7qHGjWhqrnf-OmePP568O4A5Am9ttzvVdP67zw/edit#gid=1603210130"", ""TOURISM!$A$2:$F$2692""), {2,3,4,5,6},0))"),"Africa")</f>
        <v>Africa</v>
      </c>
      <c r="L1505" s="14">
        <f>IFERROR(__xludf.DUMMYFUNCTION("""COMPUTED_VALUE"""),2.86E8)</f>
        <v>286000000</v>
      </c>
      <c r="M1505" s="14" t="str">
        <f>IFERROR(__xludf.DUMMYFUNCTION("""COMPUTED_VALUE"""),"Mali-Africa")</f>
        <v>Mali-Africa</v>
      </c>
      <c r="N1505" s="14" t="str">
        <f>IFERROR(__xludf.DUMMYFUNCTION("""COMPUTED_VALUE"""),"2008")</f>
        <v>2008</v>
      </c>
      <c r="O1505" s="14">
        <f>IFERROR(__xludf.DUMMYFUNCTION("""COMPUTED_VALUE"""),2.28E8)</f>
        <v>228000000</v>
      </c>
      <c r="P1505" s="15">
        <f>IFERROR(__xludf.DUMMYFUNCTION("ARRAYFORMULA(VLOOKUP(A1505,IMPORTRANGE(""https://docs.google.com/spreadsheets/d/1BuTWp7qHGjWhqrnf-OmePP568O4A5Am9ttzvVdP67zw/edit#gid=771602874"" ,""HUMAN RESOURCES!$A$2:$M$2692""), {2,3,4,5,6,7,8,9,10,11,12,13},0))"),0.048)</f>
        <v>0.048</v>
      </c>
      <c r="Q1505" s="14">
        <f>IFERROR(__xludf.DUMMYFUNCTION("""COMPUTED_VALUE"""),0.088)</f>
        <v>0.088</v>
      </c>
      <c r="R1505" s="14">
        <f>IFERROR(__xludf.DUMMYFUNCTION("""COMPUTED_VALUE"""),53.0)</f>
        <v>53</v>
      </c>
      <c r="S1505" s="14">
        <f>IFERROR(__xludf.DUMMYFUNCTION("""COMPUTED_VALUE"""),53.0)</f>
        <v>53</v>
      </c>
      <c r="T1505" s="14">
        <f>IFERROR(__xludf.DUMMYFUNCTION("""COMPUTED_VALUE"""),0.465)</f>
        <v>0.465</v>
      </c>
      <c r="U1505" s="14">
        <f>IFERROR(__xludf.DUMMYFUNCTION("""COMPUTED_VALUE"""),0.505)</f>
        <v>0.505</v>
      </c>
      <c r="V1505" s="14">
        <f>IFERROR(__xludf.DUMMYFUNCTION("""COMPUTED_VALUE"""),0.03)</f>
        <v>0.03</v>
      </c>
      <c r="W1505" s="14">
        <f>IFERROR(__xludf.DUMMYFUNCTION("""COMPUTED_VALUE"""),1.3138299E7)</f>
        <v>13138299</v>
      </c>
      <c r="X1505" s="14">
        <f>IFERROR(__xludf.DUMMYFUNCTION("""COMPUTED_VALUE"""),0.344)</f>
        <v>0.344</v>
      </c>
      <c r="Y1505" s="14" t="str">
        <f>IFERROR(__xludf.DUMMYFUNCTION("""COMPUTED_VALUE"""),"Mali-Africa")</f>
        <v>Mali-Africa</v>
      </c>
      <c r="Z1505" s="14" t="str">
        <f>IFERROR(__xludf.DUMMYFUNCTION("""COMPUTED_VALUE"""),"Africa")</f>
        <v>Africa</v>
      </c>
      <c r="AA1505" s="14" t="str">
        <f>IFERROR(__xludf.DUMMYFUNCTION("""COMPUTED_VALUE"""),"2008")</f>
        <v>2008</v>
      </c>
      <c r="AB1505" s="15" t="str">
        <f>IFERROR(__xludf.DUMMYFUNCTION("ARRAYFORMULA(VLOOKUP(A1505,IMPORTRANGE(""https://docs.google.com/spreadsheets/d/1BuTWp7qHGjWhqrnf-OmePP568O4A5Am9ttzvVdP67zw/edit#gid=1931367683"" ,""ENERGY!$A$2:$F$2692""), {2,3,4,5,6},0))"),"Africa")</f>
        <v>Africa</v>
      </c>
      <c r="AC1505" s="14" t="str">
        <f>IFERROR(__xludf.DUMMYFUNCTION("""COMPUTED_VALUE"""),"Mali-Africa")</f>
        <v>Mali-Africa</v>
      </c>
      <c r="AD1505" s="14" t="str">
        <f>IFERROR(__xludf.DUMMYFUNCTION("""COMPUTED_VALUE"""),"2006")</f>
        <v>2006</v>
      </c>
      <c r="AE1505" s="14"/>
      <c r="AF1505" s="14">
        <f>IFERROR(__xludf.DUMMYFUNCTION("""COMPUTED_VALUE"""),565.0)</f>
        <v>565</v>
      </c>
    </row>
    <row r="1506">
      <c r="A1506" s="12">
        <v>1505.0</v>
      </c>
      <c r="B1506" s="12" t="s">
        <v>194</v>
      </c>
      <c r="C1506" s="5" t="s">
        <v>77</v>
      </c>
      <c r="D1506" s="11">
        <v>0.514</v>
      </c>
      <c r="E1506" s="11">
        <v>8.0</v>
      </c>
      <c r="F1506" s="8"/>
      <c r="G1506" s="11">
        <v>270.0</v>
      </c>
      <c r="H1506" s="11">
        <v>0.018</v>
      </c>
      <c r="I1506" s="11">
        <v>0.329</v>
      </c>
      <c r="J1506" s="9" t="s">
        <v>70</v>
      </c>
      <c r="K1506" s="14" t="str">
        <f>IFERROR(__xludf.DUMMYFUNCTION("ARRAYFORMULA(VLOOKUP(A1506,IMPORTRANGE(""https://docs.google.com/spreadsheets/d/1BuTWp7qHGjWhqrnf-OmePP568O4A5Am9ttzvVdP67zw/edit#gid=1603210130"", ""TOURISM!$A$2:$F$2692""), {2,3,4,5,6},0))"),"Africa")</f>
        <v>Africa</v>
      </c>
      <c r="L1506" s="14">
        <f>IFERROR(__xludf.DUMMYFUNCTION("""COMPUTED_VALUE"""),2.9E8)</f>
        <v>290000000</v>
      </c>
      <c r="M1506" s="14" t="str">
        <f>IFERROR(__xludf.DUMMYFUNCTION("""COMPUTED_VALUE"""),"Mali-Africa")</f>
        <v>Mali-Africa</v>
      </c>
      <c r="N1506" s="14" t="str">
        <f>IFERROR(__xludf.DUMMYFUNCTION("""COMPUTED_VALUE"""),"2009")</f>
        <v>2009</v>
      </c>
      <c r="O1506" s="14">
        <f>IFERROR(__xludf.DUMMYFUNCTION("""COMPUTED_VALUE"""),2.31E8)</f>
        <v>231000000</v>
      </c>
      <c r="P1506" s="15">
        <f>IFERROR(__xludf.DUMMYFUNCTION("ARRAYFORMULA(VLOOKUP(A1506,IMPORTRANGE(""https://docs.google.com/spreadsheets/d/1BuTWp7qHGjWhqrnf-OmePP568O4A5Am9ttzvVdP67zw/edit#gid=771602874"" ,""HUMAN RESOURCES!$A$2:$M$2692""), {2,3,4,5,6,7,8,9,10,11,12,13},0))"),0.048)</f>
        <v>0.048</v>
      </c>
      <c r="Q1506" s="14">
        <f>IFERROR(__xludf.DUMMYFUNCTION("""COMPUTED_VALUE"""),0.085)</f>
        <v>0.085</v>
      </c>
      <c r="R1506" s="14">
        <f>IFERROR(__xludf.DUMMYFUNCTION("""COMPUTED_VALUE"""),53.0)</f>
        <v>53</v>
      </c>
      <c r="S1506" s="14">
        <f>IFERROR(__xludf.DUMMYFUNCTION("""COMPUTED_VALUE"""),54.0)</f>
        <v>54</v>
      </c>
      <c r="T1506" s="14">
        <f>IFERROR(__xludf.DUMMYFUNCTION("""COMPUTED_VALUE"""),0.467)</f>
        <v>0.467</v>
      </c>
      <c r="U1506" s="14">
        <f>IFERROR(__xludf.DUMMYFUNCTION("""COMPUTED_VALUE"""),0.504)</f>
        <v>0.504</v>
      </c>
      <c r="V1506" s="14">
        <f>IFERROR(__xludf.DUMMYFUNCTION("""COMPUTED_VALUE"""),0.029)</f>
        <v>0.029</v>
      </c>
      <c r="W1506" s="14">
        <f>IFERROR(__xludf.DUMMYFUNCTION("""COMPUTED_VALUE"""),1.3559296E7)</f>
        <v>13559296</v>
      </c>
      <c r="X1506" s="14">
        <f>IFERROR(__xludf.DUMMYFUNCTION("""COMPUTED_VALUE"""),0.352)</f>
        <v>0.352</v>
      </c>
      <c r="Y1506" s="14" t="str">
        <f>IFERROR(__xludf.DUMMYFUNCTION("""COMPUTED_VALUE"""),"Mali-Africa")</f>
        <v>Mali-Africa</v>
      </c>
      <c r="Z1506" s="14" t="str">
        <f>IFERROR(__xludf.DUMMYFUNCTION("""COMPUTED_VALUE"""),"Africa")</f>
        <v>Africa</v>
      </c>
      <c r="AA1506" s="14" t="str">
        <f>IFERROR(__xludf.DUMMYFUNCTION("""COMPUTED_VALUE"""),"2009")</f>
        <v>2009</v>
      </c>
      <c r="AB1506" s="15" t="str">
        <f>IFERROR(__xludf.DUMMYFUNCTION("ARRAYFORMULA(VLOOKUP(A1506,IMPORTRANGE(""https://docs.google.com/spreadsheets/d/1BuTWp7qHGjWhqrnf-OmePP568O4A5Am9ttzvVdP67zw/edit#gid=1931367683"" ,""ENERGY!$A$2:$F$2692""), {2,3,4,5,6},0))"),"Africa")</f>
        <v>Africa</v>
      </c>
      <c r="AC1506" s="14" t="str">
        <f>IFERROR(__xludf.DUMMYFUNCTION("""COMPUTED_VALUE"""),"Mali-Africa")</f>
        <v>Mali-Africa</v>
      </c>
      <c r="AD1506" s="14" t="str">
        <f>IFERROR(__xludf.DUMMYFUNCTION("""COMPUTED_VALUE"""),"2010")</f>
        <v>2010</v>
      </c>
      <c r="AE1506" s="14"/>
      <c r="AF1506" s="14">
        <f>IFERROR(__xludf.DUMMYFUNCTION("""COMPUTED_VALUE"""),539.0)</f>
        <v>539</v>
      </c>
    </row>
    <row r="1507">
      <c r="A1507" s="12">
        <v>1506.0</v>
      </c>
      <c r="B1507" s="12" t="s">
        <v>194</v>
      </c>
      <c r="C1507" s="5" t="s">
        <v>77</v>
      </c>
      <c r="D1507" s="11">
        <v>0.514</v>
      </c>
      <c r="E1507" s="11">
        <v>8.0</v>
      </c>
      <c r="F1507" s="8"/>
      <c r="G1507" s="11">
        <v>270.0</v>
      </c>
      <c r="H1507" s="11">
        <v>0.019</v>
      </c>
      <c r="I1507" s="11">
        <v>0.532</v>
      </c>
      <c r="J1507" s="9" t="s">
        <v>71</v>
      </c>
      <c r="K1507" s="14" t="str">
        <f>IFERROR(__xludf.DUMMYFUNCTION("ARRAYFORMULA(VLOOKUP(A1507,IMPORTRANGE(""https://docs.google.com/spreadsheets/d/1BuTWp7qHGjWhqrnf-OmePP568O4A5Am9ttzvVdP67zw/edit#gid=1603210130"", ""TOURISM!$A$2:$F$2692""), {2,3,4,5,6},0))"),"Africa")</f>
        <v>Africa</v>
      </c>
      <c r="L1507" s="14">
        <f>IFERROR(__xludf.DUMMYFUNCTION("""COMPUTED_VALUE"""),2.96E8)</f>
        <v>296000000</v>
      </c>
      <c r="M1507" s="14" t="str">
        <f>IFERROR(__xludf.DUMMYFUNCTION("""COMPUTED_VALUE"""),"Mali-Africa")</f>
        <v>Mali-Africa</v>
      </c>
      <c r="N1507" s="14" t="str">
        <f>IFERROR(__xludf.DUMMYFUNCTION("""COMPUTED_VALUE"""),"2010")</f>
        <v>2010</v>
      </c>
      <c r="O1507" s="14">
        <f>IFERROR(__xludf.DUMMYFUNCTION("""COMPUTED_VALUE"""),2.35E8)</f>
        <v>235000000</v>
      </c>
      <c r="P1507" s="15">
        <f>IFERROR(__xludf.DUMMYFUNCTION("ARRAYFORMULA(VLOOKUP(A1507,IMPORTRANGE(""https://docs.google.com/spreadsheets/d/1BuTWp7qHGjWhqrnf-OmePP568O4A5Am9ttzvVdP67zw/edit#gid=771602874"" ,""HUMAN RESOURCES!$A$2:$M$2692""), {2,3,4,5,6,7,8,9,10,11,12,13},0))"),0.048)</f>
        <v>0.048</v>
      </c>
      <c r="Q1507" s="14">
        <f>IFERROR(__xludf.DUMMYFUNCTION("""COMPUTED_VALUE"""),0.083)</f>
        <v>0.083</v>
      </c>
      <c r="R1507" s="14">
        <f>IFERROR(__xludf.DUMMYFUNCTION("""COMPUTED_VALUE"""),54.0)</f>
        <v>54</v>
      </c>
      <c r="S1507" s="14">
        <f>IFERROR(__xludf.DUMMYFUNCTION("""COMPUTED_VALUE"""),54.0)</f>
        <v>54</v>
      </c>
      <c r="T1507" s="14">
        <f>IFERROR(__xludf.DUMMYFUNCTION("""COMPUTED_VALUE"""),0.468)</f>
        <v>0.468</v>
      </c>
      <c r="U1507" s="14">
        <f>IFERROR(__xludf.DUMMYFUNCTION("""COMPUTED_VALUE"""),0.503)</f>
        <v>0.503</v>
      </c>
      <c r="V1507" s="14">
        <f>IFERROR(__xludf.DUMMYFUNCTION("""COMPUTED_VALUE"""),0.029)</f>
        <v>0.029</v>
      </c>
      <c r="W1507" s="14">
        <f>IFERROR(__xludf.DUMMYFUNCTION("""COMPUTED_VALUE"""),1.3985961E7)</f>
        <v>13985961</v>
      </c>
      <c r="X1507" s="14">
        <f>IFERROR(__xludf.DUMMYFUNCTION("""COMPUTED_VALUE"""),0.36)</f>
        <v>0.36</v>
      </c>
      <c r="Y1507" s="14" t="str">
        <f>IFERROR(__xludf.DUMMYFUNCTION("""COMPUTED_VALUE"""),"Mali-Africa")</f>
        <v>Mali-Africa</v>
      </c>
      <c r="Z1507" s="14" t="str">
        <f>IFERROR(__xludf.DUMMYFUNCTION("""COMPUTED_VALUE"""),"Africa")</f>
        <v>Africa</v>
      </c>
      <c r="AA1507" s="14" t="str">
        <f>IFERROR(__xludf.DUMMYFUNCTION("""COMPUTED_VALUE"""),"2010")</f>
        <v>2010</v>
      </c>
      <c r="AB1507" s="15" t="str">
        <f>IFERROR(__xludf.DUMMYFUNCTION("ARRAYFORMULA(VLOOKUP(A1507,IMPORTRANGE(""https://docs.google.com/spreadsheets/d/1BuTWp7qHGjWhqrnf-OmePP568O4A5Am9ttzvVdP67zw/edit#gid=1931367683"" ,""ENERGY!$A$2:$F$2692""), {2,3,4,5,6},0))"),"Africa")</f>
        <v>Africa</v>
      </c>
      <c r="AC1507" s="14" t="str">
        <f>IFERROR(__xludf.DUMMYFUNCTION("""COMPUTED_VALUE"""),"Mali-Africa")</f>
        <v>Mali-Africa</v>
      </c>
      <c r="AD1507" s="14" t="str">
        <f>IFERROR(__xludf.DUMMYFUNCTION("""COMPUTED_VALUE"""),"2005")</f>
        <v>2005</v>
      </c>
      <c r="AE1507" s="14"/>
      <c r="AF1507" s="14">
        <f>IFERROR(__xludf.DUMMYFUNCTION("""COMPUTED_VALUE"""),554.0)</f>
        <v>554</v>
      </c>
    </row>
    <row r="1508">
      <c r="A1508" s="12">
        <v>1507.0</v>
      </c>
      <c r="B1508" s="12" t="s">
        <v>194</v>
      </c>
      <c r="C1508" s="5" t="s">
        <v>77</v>
      </c>
      <c r="D1508" s="11">
        <v>0.511</v>
      </c>
      <c r="E1508" s="11">
        <v>8.0</v>
      </c>
      <c r="F1508" s="8"/>
      <c r="G1508" s="11">
        <v>270.0</v>
      </c>
      <c r="H1508" s="11">
        <v>0.02</v>
      </c>
      <c r="I1508" s="11">
        <v>0.751</v>
      </c>
      <c r="J1508" s="9" t="s">
        <v>72</v>
      </c>
      <c r="K1508" s="14" t="str">
        <f>IFERROR(__xludf.DUMMYFUNCTION("ARRAYFORMULA(VLOOKUP(A1508,IMPORTRANGE(""https://docs.google.com/spreadsheets/d/1BuTWp7qHGjWhqrnf-OmePP568O4A5Am9ttzvVdP67zw/edit#gid=1603210130"", ""TOURISM!$A$2:$F$2692""), {2,3,4,5,6},0))"),"Africa")</f>
        <v>Africa</v>
      </c>
      <c r="L1508" s="14">
        <f>IFERROR(__xludf.DUMMYFUNCTION("""COMPUTED_VALUE"""),2.74E8)</f>
        <v>274000000</v>
      </c>
      <c r="M1508" s="14" t="str">
        <f>IFERROR(__xludf.DUMMYFUNCTION("""COMPUTED_VALUE"""),"Mali-Africa")</f>
        <v>Mali-Africa</v>
      </c>
      <c r="N1508" s="14" t="str">
        <f>IFERROR(__xludf.DUMMYFUNCTION("""COMPUTED_VALUE"""),"2011")</f>
        <v>2011</v>
      </c>
      <c r="O1508" s="14">
        <f>IFERROR(__xludf.DUMMYFUNCTION("""COMPUTED_VALUE"""),2.24E8)</f>
        <v>224000000</v>
      </c>
      <c r="P1508" s="15">
        <f>IFERROR(__xludf.DUMMYFUNCTION("ARRAYFORMULA(VLOOKUP(A1508,IMPORTRANGE(""https://docs.google.com/spreadsheets/d/1BuTWp7qHGjWhqrnf-OmePP568O4A5Am9ttzvVdP67zw/edit#gid=771602874"" ,""HUMAN RESOURCES!$A$2:$M$2692""), {2,3,4,5,6,7,8,9,10,11,12,13},0))"),0.048)</f>
        <v>0.048</v>
      </c>
      <c r="Q1508" s="14">
        <f>IFERROR(__xludf.DUMMYFUNCTION("""COMPUTED_VALUE"""),0.081)</f>
        <v>0.081</v>
      </c>
      <c r="R1508" s="14">
        <f>IFERROR(__xludf.DUMMYFUNCTION("""COMPUTED_VALUE"""),54.0)</f>
        <v>54</v>
      </c>
      <c r="S1508" s="14">
        <f>IFERROR(__xludf.DUMMYFUNCTION("""COMPUTED_VALUE"""),54.0)</f>
        <v>54</v>
      </c>
      <c r="T1508" s="14">
        <f>IFERROR(__xludf.DUMMYFUNCTION("""COMPUTED_VALUE"""),0.47)</f>
        <v>0.47</v>
      </c>
      <c r="U1508" s="14">
        <f>IFERROR(__xludf.DUMMYFUNCTION("""COMPUTED_VALUE"""),0.502)</f>
        <v>0.502</v>
      </c>
      <c r="V1508" s="14">
        <f>IFERROR(__xludf.DUMMYFUNCTION("""COMPUTED_VALUE"""),0.029)</f>
        <v>0.029</v>
      </c>
      <c r="W1508" s="14">
        <f>IFERROR(__xludf.DUMMYFUNCTION("""COMPUTED_VALUE"""),1.4416737E7)</f>
        <v>14416737</v>
      </c>
      <c r="X1508" s="14">
        <f>IFERROR(__xludf.DUMMYFUNCTION("""COMPUTED_VALUE"""),0.368)</f>
        <v>0.368</v>
      </c>
      <c r="Y1508" s="14" t="str">
        <f>IFERROR(__xludf.DUMMYFUNCTION("""COMPUTED_VALUE"""),"Mali-Africa")</f>
        <v>Mali-Africa</v>
      </c>
      <c r="Z1508" s="14" t="str">
        <f>IFERROR(__xludf.DUMMYFUNCTION("""COMPUTED_VALUE"""),"Africa")</f>
        <v>Africa</v>
      </c>
      <c r="AA1508" s="14" t="str">
        <f>IFERROR(__xludf.DUMMYFUNCTION("""COMPUTED_VALUE"""),"2011")</f>
        <v>2011</v>
      </c>
      <c r="AB1508" s="15" t="str">
        <f>IFERROR(__xludf.DUMMYFUNCTION("ARRAYFORMULA(VLOOKUP(A1508,IMPORTRANGE(""https://docs.google.com/spreadsheets/d/1BuTWp7qHGjWhqrnf-OmePP568O4A5Am9ttzvVdP67zw/edit#gid=1931367683"" ,""ENERGY!$A$2:$F$2692""), {2,3,4,5,6},0))"),"Africa")</f>
        <v>Africa</v>
      </c>
      <c r="AC1508" s="14" t="str">
        <f>IFERROR(__xludf.DUMMYFUNCTION("""COMPUTED_VALUE"""),"Mali-Africa")</f>
        <v>Mali-Africa</v>
      </c>
      <c r="AD1508" s="14" t="str">
        <f>IFERROR(__xludf.DUMMYFUNCTION("""COMPUTED_VALUE"""),"2006")</f>
        <v>2006</v>
      </c>
      <c r="AE1508" s="14"/>
      <c r="AF1508" s="14">
        <f>IFERROR(__xludf.DUMMYFUNCTION("""COMPUTED_VALUE"""),546.0)</f>
        <v>546</v>
      </c>
    </row>
    <row r="1509">
      <c r="A1509" s="12">
        <v>1508.0</v>
      </c>
      <c r="B1509" s="12" t="s">
        <v>194</v>
      </c>
      <c r="C1509" s="5" t="s">
        <v>77</v>
      </c>
      <c r="D1509" s="11">
        <v>0.511</v>
      </c>
      <c r="E1509" s="11">
        <v>8.0</v>
      </c>
      <c r="F1509" s="11">
        <v>153.0</v>
      </c>
      <c r="G1509" s="11">
        <v>270.0</v>
      </c>
      <c r="H1509" s="11">
        <v>0.022</v>
      </c>
      <c r="I1509" s="11">
        <v>0.984</v>
      </c>
      <c r="J1509" s="9" t="s">
        <v>73</v>
      </c>
      <c r="K1509" s="14" t="str">
        <f>IFERROR(__xludf.DUMMYFUNCTION("ARRAYFORMULA(VLOOKUP(A1509,IMPORTRANGE(""https://docs.google.com/spreadsheets/d/1BuTWp7qHGjWhqrnf-OmePP568O4A5Am9ttzvVdP67zw/edit#gid=1603210130"", ""TOURISM!$A$2:$F$2692""), {2,3,4,5,6},0))"),"Africa")</f>
        <v>Africa</v>
      </c>
      <c r="L1509" s="14"/>
      <c r="M1509" s="14" t="str">
        <f>IFERROR(__xludf.DUMMYFUNCTION("""COMPUTED_VALUE"""),"Mali-Africa")</f>
        <v>Mali-Africa</v>
      </c>
      <c r="N1509" s="14" t="str">
        <f>IFERROR(__xludf.DUMMYFUNCTION("""COMPUTED_VALUE"""),"2012")</f>
        <v>2012</v>
      </c>
      <c r="O1509" s="14"/>
      <c r="P1509" s="15">
        <f>IFERROR(__xludf.DUMMYFUNCTION("ARRAYFORMULA(VLOOKUP(A1509,IMPORTRANGE(""https://docs.google.com/spreadsheets/d/1BuTWp7qHGjWhqrnf-OmePP568O4A5Am9ttzvVdP67zw/edit#gid=771602874"" ,""HUMAN RESOURCES!$A$2:$M$2692""), {2,3,4,5,6,7,8,9,10,11,12,13},0))"),0.047)</f>
        <v>0.047</v>
      </c>
      <c r="Q1509" s="14">
        <f>IFERROR(__xludf.DUMMYFUNCTION("""COMPUTED_VALUE"""),0.079)</f>
        <v>0.079</v>
      </c>
      <c r="R1509" s="14">
        <f>IFERROR(__xludf.DUMMYFUNCTION("""COMPUTED_VALUE"""),54.0)</f>
        <v>54</v>
      </c>
      <c r="S1509" s="14">
        <f>IFERROR(__xludf.DUMMYFUNCTION("""COMPUTED_VALUE"""),55.0)</f>
        <v>55</v>
      </c>
      <c r="T1509" s="14">
        <f>IFERROR(__xludf.DUMMYFUNCTION("""COMPUTED_VALUE"""),0.471)</f>
        <v>0.471</v>
      </c>
      <c r="U1509" s="14">
        <f>IFERROR(__xludf.DUMMYFUNCTION("""COMPUTED_VALUE"""),0.5)</f>
        <v>0.5</v>
      </c>
      <c r="V1509" s="14">
        <f>IFERROR(__xludf.DUMMYFUNCTION("""COMPUTED_VALUE"""),0.028)</f>
        <v>0.028</v>
      </c>
      <c r="W1509" s="14">
        <f>IFERROR(__xludf.DUMMYFUNCTION("""COMPUTED_VALUE"""),1.4853572E7)</f>
        <v>14853572</v>
      </c>
      <c r="X1509" s="14">
        <f>IFERROR(__xludf.DUMMYFUNCTION("""COMPUTED_VALUE"""),0.376)</f>
        <v>0.376</v>
      </c>
      <c r="Y1509" s="14" t="str">
        <f>IFERROR(__xludf.DUMMYFUNCTION("""COMPUTED_VALUE"""),"Mali-Africa")</f>
        <v>Mali-Africa</v>
      </c>
      <c r="Z1509" s="14" t="str">
        <f>IFERROR(__xludf.DUMMYFUNCTION("""COMPUTED_VALUE"""),"Africa")</f>
        <v>Africa</v>
      </c>
      <c r="AA1509" s="14" t="str">
        <f>IFERROR(__xludf.DUMMYFUNCTION("""COMPUTED_VALUE"""),"2012")</f>
        <v>2012</v>
      </c>
      <c r="AB1509" s="15" t="str">
        <f>IFERROR(__xludf.DUMMYFUNCTION("ARRAYFORMULA(VLOOKUP(A1509,IMPORTRANGE(""https://docs.google.com/spreadsheets/d/1BuTWp7qHGjWhqrnf-OmePP568O4A5Am9ttzvVdP67zw/edit#gid=1931367683"" ,""ENERGY!$A$2:$F$2692""), {2,3,4,5,6},0))"),"Africa")</f>
        <v>Africa</v>
      </c>
      <c r="AC1509" s="14" t="str">
        <f>IFERROR(__xludf.DUMMYFUNCTION("""COMPUTED_VALUE"""),"Mali-Africa")</f>
        <v>Mali-Africa</v>
      </c>
      <c r="AD1509" s="14" t="str">
        <f>IFERROR(__xludf.DUMMYFUNCTION("""COMPUTED_VALUE"""),"2010")</f>
        <v>2010</v>
      </c>
      <c r="AE1509" s="14"/>
      <c r="AF1509" s="14">
        <f>IFERROR(__xludf.DUMMYFUNCTION("""COMPUTED_VALUE"""),543.0)</f>
        <v>543</v>
      </c>
    </row>
    <row r="1510">
      <c r="A1510" s="12">
        <v>1509.0</v>
      </c>
      <c r="B1510" s="12" t="s">
        <v>195</v>
      </c>
      <c r="C1510" s="5" t="s">
        <v>75</v>
      </c>
      <c r="D1510" s="8"/>
      <c r="E1510" s="8"/>
      <c r="F1510" s="8"/>
      <c r="G1510" s="8"/>
      <c r="H1510" s="11">
        <v>0.131</v>
      </c>
      <c r="I1510" s="11">
        <v>0.281</v>
      </c>
      <c r="J1510" s="9" t="s">
        <v>60</v>
      </c>
      <c r="K1510" s="14" t="str">
        <f>IFERROR(__xludf.DUMMYFUNCTION("ARRAYFORMULA(VLOOKUP(A1510,IMPORTRANGE(""https://docs.google.com/spreadsheets/d/1BuTWp7qHGjWhqrnf-OmePP568O4A5Am9ttzvVdP67zw/edit#gid=1603210130"", ""TOURISM!$A$2:$F$2692""), {2,3,4,5,6},0))"),"Europe")</f>
        <v>Europe</v>
      </c>
      <c r="L1510" s="14">
        <f>IFERROR(__xludf.DUMMYFUNCTION("""COMPUTED_VALUE"""),7.31E8)</f>
        <v>731000000</v>
      </c>
      <c r="M1510" s="14" t="str">
        <f>IFERROR(__xludf.DUMMYFUNCTION("""COMPUTED_VALUE"""),"Malta-Europe")</f>
        <v>Malta-Europe</v>
      </c>
      <c r="N1510" s="14" t="str">
        <f>IFERROR(__xludf.DUMMYFUNCTION("""COMPUTED_VALUE"""),"2000")</f>
        <v>2000</v>
      </c>
      <c r="O1510" s="14">
        <f>IFERROR(__xludf.DUMMYFUNCTION("""COMPUTED_VALUE"""),2.24E8)</f>
        <v>224000000</v>
      </c>
      <c r="P1510" s="15">
        <f>IFERROR(__xludf.DUMMYFUNCTION("ARRAYFORMULA(VLOOKUP(A1510,IMPORTRANGE(""https://docs.google.com/spreadsheets/d/1BuTWp7qHGjWhqrnf-OmePP568O4A5Am9ttzvVdP67zw/edit#gid=771602874"" ,""HUMAN RESOURCES!$A$2:$M$2692""), {2,3,4,5,6,7,8,9,10,11,12,13},0))"),0.012)</f>
        <v>0.012</v>
      </c>
      <c r="Q1510" s="14">
        <f>IFERROR(__xludf.DUMMYFUNCTION("""COMPUTED_VALUE"""),0.007)</f>
        <v>0.007</v>
      </c>
      <c r="R1510" s="14">
        <f>IFERROR(__xludf.DUMMYFUNCTION("""COMPUTED_VALUE"""),80.0)</f>
        <v>80</v>
      </c>
      <c r="S1510" s="14">
        <f>IFERROR(__xludf.DUMMYFUNCTION("""COMPUTED_VALUE"""),76.0)</f>
        <v>76</v>
      </c>
      <c r="T1510" s="14">
        <f>IFERROR(__xludf.DUMMYFUNCTION("""COMPUTED_VALUE"""),0.207)</f>
        <v>0.207</v>
      </c>
      <c r="U1510" s="14">
        <f>IFERROR(__xludf.DUMMYFUNCTION("""COMPUTED_VALUE"""),0.686)</f>
        <v>0.686</v>
      </c>
      <c r="V1510" s="14">
        <f>IFERROR(__xludf.DUMMYFUNCTION("""COMPUTED_VALUE"""),0.107)</f>
        <v>0.107</v>
      </c>
      <c r="W1510" s="14">
        <f>IFERROR(__xludf.DUMMYFUNCTION("""COMPUTED_VALUE"""),381363.0)</f>
        <v>381363</v>
      </c>
      <c r="X1510" s="14">
        <f>IFERROR(__xludf.DUMMYFUNCTION("""COMPUTED_VALUE"""),0.924)</f>
        <v>0.924</v>
      </c>
      <c r="Y1510" s="14" t="str">
        <f>IFERROR(__xludf.DUMMYFUNCTION("""COMPUTED_VALUE"""),"Malta-Europe")</f>
        <v>Malta-Europe</v>
      </c>
      <c r="Z1510" s="14" t="str">
        <f>IFERROR(__xludf.DUMMYFUNCTION("""COMPUTED_VALUE"""),"Europe")</f>
        <v>Europe</v>
      </c>
      <c r="AA1510" s="14" t="str">
        <f>IFERROR(__xludf.DUMMYFUNCTION("""COMPUTED_VALUE"""),"2000")</f>
        <v>2000</v>
      </c>
      <c r="AB1510" s="15" t="str">
        <f>IFERROR(__xludf.DUMMYFUNCTION("ARRAYFORMULA(VLOOKUP(A1510,IMPORTRANGE(""https://docs.google.com/spreadsheets/d/1BuTWp7qHGjWhqrnf-OmePP568O4A5Am9ttzvVdP67zw/edit#gid=1931367683"" ,""ENERGY!$A$2:$F$2692""), {2,3,4,5,6},0))"),"Europe")</f>
        <v>Europe</v>
      </c>
      <c r="AC1510" s="14" t="str">
        <f>IFERROR(__xludf.DUMMYFUNCTION("""COMPUTED_VALUE"""),"Malta-Europe")</f>
        <v>Malta-Europe</v>
      </c>
      <c r="AD1510" s="14" t="str">
        <f>IFERROR(__xludf.DUMMYFUNCTION("""COMPUTED_VALUE"""),"2000")</f>
        <v>2000</v>
      </c>
      <c r="AE1510" s="14"/>
      <c r="AF1510" s="14"/>
    </row>
    <row r="1511">
      <c r="A1511" s="12">
        <v>1510.0</v>
      </c>
      <c r="B1511" s="12" t="s">
        <v>195</v>
      </c>
      <c r="C1511" s="5" t="s">
        <v>75</v>
      </c>
      <c r="D1511" s="8"/>
      <c r="E1511" s="8"/>
      <c r="F1511" s="8"/>
      <c r="G1511" s="8"/>
      <c r="H1511" s="11">
        <v>0.179</v>
      </c>
      <c r="I1511" s="11">
        <v>0.585</v>
      </c>
      <c r="J1511" s="9" t="s">
        <v>62</v>
      </c>
      <c r="K1511" s="14" t="str">
        <f>IFERROR(__xludf.DUMMYFUNCTION("ARRAYFORMULA(VLOOKUP(A1511,IMPORTRANGE(""https://docs.google.com/spreadsheets/d/1BuTWp7qHGjWhqrnf-OmePP568O4A5Am9ttzvVdP67zw/edit#gid=1603210130"", ""TOURISM!$A$2:$F$2692""), {2,3,4,5,6},0))"),"Europe")</f>
        <v>Europe</v>
      </c>
      <c r="L1511" s="14">
        <f>IFERROR(__xludf.DUMMYFUNCTION("""COMPUTED_VALUE"""),7.04E8)</f>
        <v>704000000</v>
      </c>
      <c r="M1511" s="14" t="str">
        <f>IFERROR(__xludf.DUMMYFUNCTION("""COMPUTED_VALUE"""),"Malta-Europe")</f>
        <v>Malta-Europe</v>
      </c>
      <c r="N1511" s="14" t="str">
        <f>IFERROR(__xludf.DUMMYFUNCTION("""COMPUTED_VALUE"""),"2001")</f>
        <v>2001</v>
      </c>
      <c r="O1511" s="14">
        <f>IFERROR(__xludf.DUMMYFUNCTION("""COMPUTED_VALUE"""),2.04E8)</f>
        <v>204000000</v>
      </c>
      <c r="P1511" s="15">
        <f>IFERROR(__xludf.DUMMYFUNCTION("ARRAYFORMULA(VLOOKUP(A1511,IMPORTRANGE(""https://docs.google.com/spreadsheets/d/1BuTWp7qHGjWhqrnf-OmePP568O4A5Am9ttzvVdP67zw/edit#gid=771602874"" ,""HUMAN RESOURCES!$A$2:$M$2692""), {2,3,4,5,6,7,8,9,10,11,12,13},0))"),0.01)</f>
        <v>0.01</v>
      </c>
      <c r="Q1511" s="14">
        <f>IFERROR(__xludf.DUMMYFUNCTION("""COMPUTED_VALUE"""),0.007)</f>
        <v>0.007</v>
      </c>
      <c r="R1511" s="14">
        <f>IFERROR(__xludf.DUMMYFUNCTION("""COMPUTED_VALUE"""),81.0)</f>
        <v>81</v>
      </c>
      <c r="S1511" s="14">
        <f>IFERROR(__xludf.DUMMYFUNCTION("""COMPUTED_VALUE"""),77.0)</f>
        <v>77</v>
      </c>
      <c r="T1511" s="14">
        <f>IFERROR(__xludf.DUMMYFUNCTION("""COMPUTED_VALUE"""),0.2)</f>
        <v>0.2</v>
      </c>
      <c r="U1511" s="14">
        <f>IFERROR(__xludf.DUMMYFUNCTION("""COMPUTED_VALUE"""),0.688)</f>
        <v>0.688</v>
      </c>
      <c r="V1511" s="14">
        <f>IFERROR(__xludf.DUMMYFUNCTION("""COMPUTED_VALUE"""),0.111)</f>
        <v>0.111</v>
      </c>
      <c r="W1511" s="14">
        <f>IFERROR(__xludf.DUMMYFUNCTION("""COMPUTED_VALUE"""),393028.0)</f>
        <v>393028</v>
      </c>
      <c r="X1511" s="14">
        <f>IFERROR(__xludf.DUMMYFUNCTION("""COMPUTED_VALUE"""),0.926)</f>
        <v>0.926</v>
      </c>
      <c r="Y1511" s="14" t="str">
        <f>IFERROR(__xludf.DUMMYFUNCTION("""COMPUTED_VALUE"""),"Malta-Europe")</f>
        <v>Malta-Europe</v>
      </c>
      <c r="Z1511" s="14" t="str">
        <f>IFERROR(__xludf.DUMMYFUNCTION("""COMPUTED_VALUE"""),"Europe")</f>
        <v>Europe</v>
      </c>
      <c r="AA1511" s="14" t="str">
        <f>IFERROR(__xludf.DUMMYFUNCTION("""COMPUTED_VALUE"""),"2001")</f>
        <v>2001</v>
      </c>
      <c r="AB1511" s="15" t="str">
        <f>IFERROR(__xludf.DUMMYFUNCTION("ARRAYFORMULA(VLOOKUP(A1511,IMPORTRANGE(""https://docs.google.com/spreadsheets/d/1BuTWp7qHGjWhqrnf-OmePP568O4A5Am9ttzvVdP67zw/edit#gid=1931367683"" ,""ENERGY!$A$2:$F$2692""), {2,3,4,5,6},0))"),"Europe")</f>
        <v>Europe</v>
      </c>
      <c r="AC1511" s="14" t="str">
        <f>IFERROR(__xludf.DUMMYFUNCTION("""COMPUTED_VALUE"""),"Malta-Europe")</f>
        <v>Malta-Europe</v>
      </c>
      <c r="AD1511" s="14" t="str">
        <f>IFERROR(__xludf.DUMMYFUNCTION("""COMPUTED_VALUE"""),"2001")</f>
        <v>2001</v>
      </c>
      <c r="AE1511" s="14">
        <f>IFERROR(__xludf.DUMMYFUNCTION("""COMPUTED_VALUE"""),857.0)</f>
        <v>857</v>
      </c>
      <c r="AF1511" s="14"/>
    </row>
    <row r="1512">
      <c r="A1512" s="12">
        <v>1511.0</v>
      </c>
      <c r="B1512" s="12" t="s">
        <v>195</v>
      </c>
      <c r="C1512" s="5" t="s">
        <v>75</v>
      </c>
      <c r="D1512" s="8"/>
      <c r="E1512" s="8"/>
      <c r="F1512" s="8"/>
      <c r="G1512" s="8"/>
      <c r="H1512" s="11">
        <v>0.289</v>
      </c>
      <c r="I1512" s="11">
        <v>0.674</v>
      </c>
      <c r="J1512" s="9" t="s">
        <v>63</v>
      </c>
      <c r="K1512" s="14" t="str">
        <f>IFERROR(__xludf.DUMMYFUNCTION("ARRAYFORMULA(VLOOKUP(A1512,IMPORTRANGE(""https://docs.google.com/spreadsheets/d/1BuTWp7qHGjWhqrnf-OmePP568O4A5Am9ttzvVdP67zw/edit#gid=1603210130"", ""TOURISM!$A$2:$F$2692""), {2,3,4,5,6},0))"),"Europe")</f>
        <v>Europe</v>
      </c>
      <c r="L1512" s="14">
        <f>IFERROR(__xludf.DUMMYFUNCTION("""COMPUTED_VALUE"""),7.57E8)</f>
        <v>757000000</v>
      </c>
      <c r="M1512" s="14" t="str">
        <f>IFERROR(__xludf.DUMMYFUNCTION("""COMPUTED_VALUE"""),"Malta-Europe")</f>
        <v>Malta-Europe</v>
      </c>
      <c r="N1512" s="14" t="str">
        <f>IFERROR(__xludf.DUMMYFUNCTION("""COMPUTED_VALUE"""),"2002")</f>
        <v>2002</v>
      </c>
      <c r="O1512" s="14">
        <f>IFERROR(__xludf.DUMMYFUNCTION("""COMPUTED_VALUE"""),1.8E8)</f>
        <v>180000000</v>
      </c>
      <c r="P1512" s="15">
        <f>IFERROR(__xludf.DUMMYFUNCTION("ARRAYFORMULA(VLOOKUP(A1512,IMPORTRANGE(""https://docs.google.com/spreadsheets/d/1BuTWp7qHGjWhqrnf-OmePP568O4A5Am9ttzvVdP67zw/edit#gid=771602874"" ,""HUMAN RESOURCES!$A$2:$M$2692""), {2,3,4,5,6,7,8,9,10,11,12,13},0))"),0.01)</f>
        <v>0.01</v>
      </c>
      <c r="Q1512" s="14">
        <f>IFERROR(__xludf.DUMMYFUNCTION("""COMPUTED_VALUE"""),0.006)</f>
        <v>0.006</v>
      </c>
      <c r="R1512" s="14">
        <f>IFERROR(__xludf.DUMMYFUNCTION("""COMPUTED_VALUE"""),81.0)</f>
        <v>81</v>
      </c>
      <c r="S1512" s="14">
        <f>IFERROR(__xludf.DUMMYFUNCTION("""COMPUTED_VALUE"""),76.0)</f>
        <v>76</v>
      </c>
      <c r="T1512" s="14">
        <f>IFERROR(__xludf.DUMMYFUNCTION("""COMPUTED_VALUE"""),0.193)</f>
        <v>0.193</v>
      </c>
      <c r="U1512" s="14">
        <f>IFERROR(__xludf.DUMMYFUNCTION("""COMPUTED_VALUE"""),0.69)</f>
        <v>0.69</v>
      </c>
      <c r="V1512" s="14">
        <f>IFERROR(__xludf.DUMMYFUNCTION("""COMPUTED_VALUE"""),0.117)</f>
        <v>0.117</v>
      </c>
      <c r="W1512" s="14">
        <f>IFERROR(__xludf.DUMMYFUNCTION("""COMPUTED_VALUE"""),395969.0)</f>
        <v>395969</v>
      </c>
      <c r="X1512" s="14">
        <f>IFERROR(__xludf.DUMMYFUNCTION("""COMPUTED_VALUE"""),0.929)</f>
        <v>0.929</v>
      </c>
      <c r="Y1512" s="14" t="str">
        <f>IFERROR(__xludf.DUMMYFUNCTION("""COMPUTED_VALUE"""),"Malta-Europe")</f>
        <v>Malta-Europe</v>
      </c>
      <c r="Z1512" s="14" t="str">
        <f>IFERROR(__xludf.DUMMYFUNCTION("""COMPUTED_VALUE"""),"Europe")</f>
        <v>Europe</v>
      </c>
      <c r="AA1512" s="14" t="str">
        <f>IFERROR(__xludf.DUMMYFUNCTION("""COMPUTED_VALUE"""),"2002")</f>
        <v>2002</v>
      </c>
      <c r="AB1512" s="15" t="str">
        <f>IFERROR(__xludf.DUMMYFUNCTION("ARRAYFORMULA(VLOOKUP(A1512,IMPORTRANGE(""https://docs.google.com/spreadsheets/d/1BuTWp7qHGjWhqrnf-OmePP568O4A5Am9ttzvVdP67zw/edit#gid=1931367683"" ,""ENERGY!$A$2:$F$2692""), {2,3,4,5,6},0))"),"Europe")</f>
        <v>Europe</v>
      </c>
      <c r="AC1512" s="14" t="str">
        <f>IFERROR(__xludf.DUMMYFUNCTION("""COMPUTED_VALUE"""),"Malta-Europe")</f>
        <v>Malta-Europe</v>
      </c>
      <c r="AD1512" s="14" t="str">
        <f>IFERROR(__xludf.DUMMYFUNCTION("""COMPUTED_VALUE"""),"2002")</f>
        <v>2002</v>
      </c>
      <c r="AE1512" s="14">
        <f>IFERROR(__xludf.DUMMYFUNCTION("""COMPUTED_VALUE"""),848.0)</f>
        <v>848</v>
      </c>
      <c r="AF1512" s="14">
        <f>IFERROR(__xludf.DUMMYFUNCTION("""COMPUTED_VALUE"""),2589.0)</f>
        <v>2589</v>
      </c>
    </row>
    <row r="1513">
      <c r="A1513" s="12">
        <v>1512.0</v>
      </c>
      <c r="B1513" s="12" t="s">
        <v>195</v>
      </c>
      <c r="C1513" s="5" t="s">
        <v>75</v>
      </c>
      <c r="D1513" s="8"/>
      <c r="E1513" s="8"/>
      <c r="F1513" s="8"/>
      <c r="G1513" s="8"/>
      <c r="H1513" s="11">
        <v>0.316</v>
      </c>
      <c r="I1513" s="11">
        <v>0.704</v>
      </c>
      <c r="J1513" s="9" t="s">
        <v>64</v>
      </c>
      <c r="K1513" s="14" t="str">
        <f>IFERROR(__xludf.DUMMYFUNCTION("ARRAYFORMULA(VLOOKUP(A1513,IMPORTRANGE(""https://docs.google.com/spreadsheets/d/1BuTWp7qHGjWhqrnf-OmePP568O4A5Am9ttzvVdP67zw/edit#gid=1603210130"", ""TOURISM!$A$2:$F$2692""), {2,3,4,5,6},0))"),"Europe")</f>
        <v>Europe</v>
      </c>
      <c r="L1513" s="14">
        <f>IFERROR(__xludf.DUMMYFUNCTION("""COMPUTED_VALUE"""),8.69E8)</f>
        <v>869000000</v>
      </c>
      <c r="M1513" s="14" t="str">
        <f>IFERROR(__xludf.DUMMYFUNCTION("""COMPUTED_VALUE"""),"Malta-Europe")</f>
        <v>Malta-Europe</v>
      </c>
      <c r="N1513" s="14" t="str">
        <f>IFERROR(__xludf.DUMMYFUNCTION("""COMPUTED_VALUE"""),"2003")</f>
        <v>2003</v>
      </c>
      <c r="O1513" s="14">
        <f>IFERROR(__xludf.DUMMYFUNCTION("""COMPUTED_VALUE"""),2.38E8)</f>
        <v>238000000</v>
      </c>
      <c r="P1513" s="15">
        <f>IFERROR(__xludf.DUMMYFUNCTION("ARRAYFORMULA(VLOOKUP(A1513,IMPORTRANGE(""https://docs.google.com/spreadsheets/d/1BuTWp7qHGjWhqrnf-OmePP568O4A5Am9ttzvVdP67zw/edit#gid=771602874"" ,""HUMAN RESOURCES!$A$2:$M$2692""), {2,3,4,5,6,7,8,9,10,11,12,13},0))"),0.01)</f>
        <v>0.01</v>
      </c>
      <c r="Q1513" s="14">
        <f>IFERROR(__xludf.DUMMYFUNCTION("""COMPUTED_VALUE"""),0.006)</f>
        <v>0.006</v>
      </c>
      <c r="R1513" s="14">
        <f>IFERROR(__xludf.DUMMYFUNCTION("""COMPUTED_VALUE"""),81.0)</f>
        <v>81</v>
      </c>
      <c r="S1513" s="14">
        <f>IFERROR(__xludf.DUMMYFUNCTION("""COMPUTED_VALUE"""),76.0)</f>
        <v>76</v>
      </c>
      <c r="T1513" s="14">
        <f>IFERROR(__xludf.DUMMYFUNCTION("""COMPUTED_VALUE"""),0.185)</f>
        <v>0.185</v>
      </c>
      <c r="U1513" s="14">
        <f>IFERROR(__xludf.DUMMYFUNCTION("""COMPUTED_VALUE"""),0.691)</f>
        <v>0.691</v>
      </c>
      <c r="V1513" s="14">
        <f>IFERROR(__xludf.DUMMYFUNCTION("""COMPUTED_VALUE"""),0.123)</f>
        <v>0.123</v>
      </c>
      <c r="W1513" s="14">
        <f>IFERROR(__xludf.DUMMYFUNCTION("""COMPUTED_VALUE"""),398582.0)</f>
        <v>398582</v>
      </c>
      <c r="X1513" s="14">
        <f>IFERROR(__xludf.DUMMYFUNCTION("""COMPUTED_VALUE"""),0.932)</f>
        <v>0.932</v>
      </c>
      <c r="Y1513" s="14" t="str">
        <f>IFERROR(__xludf.DUMMYFUNCTION("""COMPUTED_VALUE"""),"Malta-Europe")</f>
        <v>Malta-Europe</v>
      </c>
      <c r="Z1513" s="14" t="str">
        <f>IFERROR(__xludf.DUMMYFUNCTION("""COMPUTED_VALUE"""),"Europe")</f>
        <v>Europe</v>
      </c>
      <c r="AA1513" s="14" t="str">
        <f>IFERROR(__xludf.DUMMYFUNCTION("""COMPUTED_VALUE"""),"2003")</f>
        <v>2003</v>
      </c>
      <c r="AB1513" s="15" t="str">
        <f>IFERROR(__xludf.DUMMYFUNCTION("ARRAYFORMULA(VLOOKUP(A1513,IMPORTRANGE(""https://docs.google.com/spreadsheets/d/1BuTWp7qHGjWhqrnf-OmePP568O4A5Am9ttzvVdP67zw/edit#gid=1931367683"" ,""ENERGY!$A$2:$F$2692""), {2,3,4,5,6},0))"),"Europe")</f>
        <v>Europe</v>
      </c>
      <c r="AC1513" s="14" t="str">
        <f>IFERROR(__xludf.DUMMYFUNCTION("""COMPUTED_VALUE"""),"Malta-Europe")</f>
        <v>Malta-Europe</v>
      </c>
      <c r="AD1513" s="14" t="str">
        <f>IFERROR(__xludf.DUMMYFUNCTION("""COMPUTED_VALUE"""),"2003")</f>
        <v>2003</v>
      </c>
      <c r="AE1513" s="14">
        <f>IFERROR(__xludf.DUMMYFUNCTION("""COMPUTED_VALUE"""),777.0)</f>
        <v>777</v>
      </c>
      <c r="AF1513" s="14">
        <f>IFERROR(__xludf.DUMMYFUNCTION("""COMPUTED_VALUE"""),2497.0)</f>
        <v>2497</v>
      </c>
    </row>
    <row r="1514">
      <c r="A1514" s="12">
        <v>1513.0</v>
      </c>
      <c r="B1514" s="12" t="s">
        <v>195</v>
      </c>
      <c r="C1514" s="5" t="s">
        <v>75</v>
      </c>
      <c r="D1514" s="8"/>
      <c r="E1514" s="8"/>
      <c r="F1514" s="8"/>
      <c r="G1514" s="8"/>
      <c r="H1514" s="11">
        <v>0.346</v>
      </c>
      <c r="I1514" s="11">
        <v>0.741</v>
      </c>
      <c r="J1514" s="9" t="s">
        <v>65</v>
      </c>
      <c r="K1514" s="14" t="str">
        <f>IFERROR(__xludf.DUMMYFUNCTION("ARRAYFORMULA(VLOOKUP(A1514,IMPORTRANGE(""https://docs.google.com/spreadsheets/d/1BuTWp7qHGjWhqrnf-OmePP568O4A5Am9ttzvVdP67zw/edit#gid=1603210130"", ""TOURISM!$A$2:$F$2692""), {2,3,4,5,6},0))"),"Europe")</f>
        <v>Europe</v>
      </c>
      <c r="L1514" s="14">
        <f>IFERROR(__xludf.DUMMYFUNCTION("""COMPUTED_VALUE"""),9.49E8)</f>
        <v>949000000</v>
      </c>
      <c r="M1514" s="14" t="str">
        <f>IFERROR(__xludf.DUMMYFUNCTION("""COMPUTED_VALUE"""),"Malta-Europe")</f>
        <v>Malta-Europe</v>
      </c>
      <c r="N1514" s="14" t="str">
        <f>IFERROR(__xludf.DUMMYFUNCTION("""COMPUTED_VALUE"""),"2004")</f>
        <v>2004</v>
      </c>
      <c r="O1514" s="14">
        <f>IFERROR(__xludf.DUMMYFUNCTION("""COMPUTED_VALUE"""),2.91E8)</f>
        <v>291000000</v>
      </c>
      <c r="P1514" s="15">
        <f>IFERROR(__xludf.DUMMYFUNCTION("ARRAYFORMULA(VLOOKUP(A1514,IMPORTRANGE(""https://docs.google.com/spreadsheets/d/1BuTWp7qHGjWhqrnf-OmePP568O4A5Am9ttzvVdP67zw/edit#gid=771602874"" ,""HUMAN RESOURCES!$A$2:$M$2692""), {2,3,4,5,6,7,8,9,10,11,12,13},0))"),0.01)</f>
        <v>0.01</v>
      </c>
      <c r="Q1514" s="14">
        <f>IFERROR(__xludf.DUMMYFUNCTION("""COMPUTED_VALUE"""),0.006)</f>
        <v>0.006</v>
      </c>
      <c r="R1514" s="14">
        <f>IFERROR(__xludf.DUMMYFUNCTION("""COMPUTED_VALUE"""),81.0)</f>
        <v>81</v>
      </c>
      <c r="S1514" s="14">
        <f>IFERROR(__xludf.DUMMYFUNCTION("""COMPUTED_VALUE"""),77.0)</f>
        <v>77</v>
      </c>
      <c r="T1514" s="14">
        <f>IFERROR(__xludf.DUMMYFUNCTION("""COMPUTED_VALUE"""),0.178)</f>
        <v>0.178</v>
      </c>
      <c r="U1514" s="14">
        <f>IFERROR(__xludf.DUMMYFUNCTION("""COMPUTED_VALUE"""),0.693)</f>
        <v>0.693</v>
      </c>
      <c r="V1514" s="14">
        <f>IFERROR(__xludf.DUMMYFUNCTION("""COMPUTED_VALUE"""),0.129)</f>
        <v>0.129</v>
      </c>
      <c r="W1514" s="14">
        <f>IFERROR(__xludf.DUMMYFUNCTION("""COMPUTED_VALUE"""),401268.0)</f>
        <v>401268</v>
      </c>
      <c r="X1514" s="14">
        <f>IFERROR(__xludf.DUMMYFUNCTION("""COMPUTED_VALUE"""),0.934)</f>
        <v>0.934</v>
      </c>
      <c r="Y1514" s="14" t="str">
        <f>IFERROR(__xludf.DUMMYFUNCTION("""COMPUTED_VALUE"""),"Malta-Europe")</f>
        <v>Malta-Europe</v>
      </c>
      <c r="Z1514" s="14" t="str">
        <f>IFERROR(__xludf.DUMMYFUNCTION("""COMPUTED_VALUE"""),"Europe")</f>
        <v>Europe</v>
      </c>
      <c r="AA1514" s="14" t="str">
        <f>IFERROR(__xludf.DUMMYFUNCTION("""COMPUTED_VALUE"""),"2004")</f>
        <v>2004</v>
      </c>
      <c r="AB1514" s="15" t="str">
        <f>IFERROR(__xludf.DUMMYFUNCTION("ARRAYFORMULA(VLOOKUP(A1514,IMPORTRANGE(""https://docs.google.com/spreadsheets/d/1BuTWp7qHGjWhqrnf-OmePP568O4A5Am9ttzvVdP67zw/edit#gid=1931367683"" ,""ENERGY!$A$2:$F$2692""), {2,3,4,5,6},0))"),"Europe")</f>
        <v>Europe</v>
      </c>
      <c r="AC1514" s="14" t="str">
        <f>IFERROR(__xludf.DUMMYFUNCTION("""COMPUTED_VALUE"""),"Malta-Europe")</f>
        <v>Malta-Europe</v>
      </c>
      <c r="AD1514" s="14" t="str">
        <f>IFERROR(__xludf.DUMMYFUNCTION("""COMPUTED_VALUE"""),"2004")</f>
        <v>2004</v>
      </c>
      <c r="AE1514" s="14">
        <f>IFERROR(__xludf.DUMMYFUNCTION("""COMPUTED_VALUE"""),837.0)</f>
        <v>837</v>
      </c>
      <c r="AF1514" s="14">
        <f>IFERROR(__xludf.DUMMYFUNCTION("""COMPUTED_VALUE"""),2560.0)</f>
        <v>2560</v>
      </c>
    </row>
    <row r="1515">
      <c r="A1515" s="12">
        <v>1514.0</v>
      </c>
      <c r="B1515" s="12" t="s">
        <v>195</v>
      </c>
      <c r="C1515" s="5" t="s">
        <v>75</v>
      </c>
      <c r="D1515" s="8"/>
      <c r="E1515" s="8"/>
      <c r="F1515" s="8"/>
      <c r="G1515" s="8"/>
      <c r="H1515" s="11">
        <v>0.412</v>
      </c>
      <c r="I1515" s="11">
        <v>0.781</v>
      </c>
      <c r="J1515" s="9" t="s">
        <v>66</v>
      </c>
      <c r="K1515" s="14" t="str">
        <f>IFERROR(__xludf.DUMMYFUNCTION("ARRAYFORMULA(VLOOKUP(A1515,IMPORTRANGE(""https://docs.google.com/spreadsheets/d/1BuTWp7qHGjWhqrnf-OmePP568O4A5Am9ttzvVdP67zw/edit#gid=1603210130"", ""TOURISM!$A$2:$F$2692""), {2,3,4,5,6},0))"),"Europe")</f>
        <v>Europe</v>
      </c>
      <c r="L1515" s="14">
        <f>IFERROR(__xludf.DUMMYFUNCTION("""COMPUTED_VALUE"""),9.24E8)</f>
        <v>924000000</v>
      </c>
      <c r="M1515" s="14" t="str">
        <f>IFERROR(__xludf.DUMMYFUNCTION("""COMPUTED_VALUE"""),"Malta-Europe")</f>
        <v>Malta-Europe</v>
      </c>
      <c r="N1515" s="14" t="str">
        <f>IFERROR(__xludf.DUMMYFUNCTION("""COMPUTED_VALUE"""),"2005")</f>
        <v>2005</v>
      </c>
      <c r="O1515" s="14">
        <f>IFERROR(__xludf.DUMMYFUNCTION("""COMPUTED_VALUE"""),3.11E8)</f>
        <v>311000000</v>
      </c>
      <c r="P1515" s="15">
        <f>IFERROR(__xludf.DUMMYFUNCTION("ARRAYFORMULA(VLOOKUP(A1515,IMPORTRANGE(""https://docs.google.com/spreadsheets/d/1BuTWp7qHGjWhqrnf-OmePP568O4A5Am9ttzvVdP67zw/edit#gid=771602874"" ,""HUMAN RESOURCES!$A$2:$M$2692""), {2,3,4,5,6,7,8,9,10,11,12,13},0))"),0.01)</f>
        <v>0.01</v>
      </c>
      <c r="Q1515" s="14">
        <f>IFERROR(__xludf.DUMMYFUNCTION("""COMPUTED_VALUE"""),0.006)</f>
        <v>0.006</v>
      </c>
      <c r="R1515" s="14">
        <f>IFERROR(__xludf.DUMMYFUNCTION("""COMPUTED_VALUE"""),81.0)</f>
        <v>81</v>
      </c>
      <c r="S1515" s="14">
        <f>IFERROR(__xludf.DUMMYFUNCTION("""COMPUTED_VALUE"""),77.0)</f>
        <v>77</v>
      </c>
      <c r="T1515" s="14">
        <f>IFERROR(__xludf.DUMMYFUNCTION("""COMPUTED_VALUE"""),0.173)</f>
        <v>0.173</v>
      </c>
      <c r="U1515" s="14">
        <f>IFERROR(__xludf.DUMMYFUNCTION("""COMPUTED_VALUE"""),0.694)</f>
        <v>0.694</v>
      </c>
      <c r="V1515" s="14">
        <f>IFERROR(__xludf.DUMMYFUNCTION("""COMPUTED_VALUE"""),0.133)</f>
        <v>0.133</v>
      </c>
      <c r="W1515" s="14">
        <f>IFERROR(__xludf.DUMMYFUNCTION("""COMPUTED_VALUE"""),403834.0)</f>
        <v>403834</v>
      </c>
      <c r="X1515" s="14">
        <f>IFERROR(__xludf.DUMMYFUNCTION("""COMPUTED_VALUE"""),0.936)</f>
        <v>0.936</v>
      </c>
      <c r="Y1515" s="14" t="str">
        <f>IFERROR(__xludf.DUMMYFUNCTION("""COMPUTED_VALUE"""),"Malta-Europe")</f>
        <v>Malta-Europe</v>
      </c>
      <c r="Z1515" s="14" t="str">
        <f>IFERROR(__xludf.DUMMYFUNCTION("""COMPUTED_VALUE"""),"Europe")</f>
        <v>Europe</v>
      </c>
      <c r="AA1515" s="14" t="str">
        <f>IFERROR(__xludf.DUMMYFUNCTION("""COMPUTED_VALUE"""),"2005")</f>
        <v>2005</v>
      </c>
      <c r="AB1515" s="15" t="str">
        <f>IFERROR(__xludf.DUMMYFUNCTION("ARRAYFORMULA(VLOOKUP(A1515,IMPORTRANGE(""https://docs.google.com/spreadsheets/d/1BuTWp7qHGjWhqrnf-OmePP568O4A5Am9ttzvVdP67zw/edit#gid=1931367683"" ,""ENERGY!$A$2:$F$2692""), {2,3,4,5,6},0))"),"Europe")</f>
        <v>Europe</v>
      </c>
      <c r="AC1515" s="14" t="str">
        <f>IFERROR(__xludf.DUMMYFUNCTION("""COMPUTED_VALUE"""),"Malta-Europe")</f>
        <v>Malta-Europe</v>
      </c>
      <c r="AD1515" s="14" t="str">
        <f>IFERROR(__xludf.DUMMYFUNCTION("""COMPUTED_VALUE"""),"2007")</f>
        <v>2007</v>
      </c>
      <c r="AE1515" s="14">
        <f>IFERROR(__xludf.DUMMYFUNCTION("""COMPUTED_VALUE"""),878.0)</f>
        <v>878</v>
      </c>
      <c r="AF1515" s="14">
        <f>IFERROR(__xludf.DUMMYFUNCTION("""COMPUTED_VALUE"""),2725.0)</f>
        <v>2725</v>
      </c>
    </row>
    <row r="1516">
      <c r="A1516" s="12">
        <v>1515.0</v>
      </c>
      <c r="B1516" s="12" t="s">
        <v>195</v>
      </c>
      <c r="C1516" s="5" t="s">
        <v>75</v>
      </c>
      <c r="D1516" s="8"/>
      <c r="E1516" s="8"/>
      <c r="F1516" s="8"/>
      <c r="G1516" s="8"/>
      <c r="H1516" s="11">
        <v>0.404</v>
      </c>
      <c r="I1516" s="11">
        <v>0.832</v>
      </c>
      <c r="J1516" s="9" t="s">
        <v>67</v>
      </c>
      <c r="K1516" s="14" t="str">
        <f>IFERROR(__xludf.DUMMYFUNCTION("ARRAYFORMULA(VLOOKUP(A1516,IMPORTRANGE(""https://docs.google.com/spreadsheets/d/1BuTWp7qHGjWhqrnf-OmePP568O4A5Am9ttzvVdP67zw/edit#gid=1603210130"", ""TOURISM!$A$2:$F$2692""), {2,3,4,5,6},0))"),"Europe")</f>
        <v>Europe</v>
      </c>
      <c r="L1516" s="14">
        <f>IFERROR(__xludf.DUMMYFUNCTION("""COMPUTED_VALUE"""),9.66E8)</f>
        <v>966000000</v>
      </c>
      <c r="M1516" s="14" t="str">
        <f>IFERROR(__xludf.DUMMYFUNCTION("""COMPUTED_VALUE"""),"Malta-Europe")</f>
        <v>Malta-Europe</v>
      </c>
      <c r="N1516" s="14" t="str">
        <f>IFERROR(__xludf.DUMMYFUNCTION("""COMPUTED_VALUE"""),"2006")</f>
        <v>2006</v>
      </c>
      <c r="O1516" s="14">
        <f>IFERROR(__xludf.DUMMYFUNCTION("""COMPUTED_VALUE"""),3.62E8)</f>
        <v>362000000</v>
      </c>
      <c r="P1516" s="15">
        <f>IFERROR(__xludf.DUMMYFUNCTION("ARRAYFORMULA(VLOOKUP(A1516,IMPORTRANGE(""https://docs.google.com/spreadsheets/d/1BuTWp7qHGjWhqrnf-OmePP568O4A5Am9ttzvVdP67zw/edit#gid=771602874"" ,""HUMAN RESOURCES!$A$2:$M$2692""), {2,3,4,5,6,7,8,9,10,11,12,13},0))"),0.009)</f>
        <v>0.009</v>
      </c>
      <c r="Q1516" s="14">
        <f>IFERROR(__xludf.DUMMYFUNCTION("""COMPUTED_VALUE"""),0.006)</f>
        <v>0.006</v>
      </c>
      <c r="R1516" s="14">
        <f>IFERROR(__xludf.DUMMYFUNCTION("""COMPUTED_VALUE"""),82.0)</f>
        <v>82</v>
      </c>
      <c r="S1516" s="14">
        <f>IFERROR(__xludf.DUMMYFUNCTION("""COMPUTED_VALUE"""),77.0)</f>
        <v>77</v>
      </c>
      <c r="T1516" s="14">
        <f>IFERROR(__xludf.DUMMYFUNCTION("""COMPUTED_VALUE"""),0.168)</f>
        <v>0.168</v>
      </c>
      <c r="U1516" s="14">
        <f>IFERROR(__xludf.DUMMYFUNCTION("""COMPUTED_VALUE"""),0.696)</f>
        <v>0.696</v>
      </c>
      <c r="V1516" s="14">
        <f>IFERROR(__xludf.DUMMYFUNCTION("""COMPUTED_VALUE"""),0.136)</f>
        <v>0.136</v>
      </c>
      <c r="W1516" s="14">
        <f>IFERROR(__xludf.DUMMYFUNCTION("""COMPUTED_VALUE"""),405308.0)</f>
        <v>405308</v>
      </c>
      <c r="X1516" s="14">
        <f>IFERROR(__xludf.DUMMYFUNCTION("""COMPUTED_VALUE"""),0.939)</f>
        <v>0.939</v>
      </c>
      <c r="Y1516" s="14" t="str">
        <f>IFERROR(__xludf.DUMMYFUNCTION("""COMPUTED_VALUE"""),"Malta-Europe")</f>
        <v>Malta-Europe</v>
      </c>
      <c r="Z1516" s="14" t="str">
        <f>IFERROR(__xludf.DUMMYFUNCTION("""COMPUTED_VALUE"""),"Europe")</f>
        <v>Europe</v>
      </c>
      <c r="AA1516" s="14" t="str">
        <f>IFERROR(__xludf.DUMMYFUNCTION("""COMPUTED_VALUE"""),"2006")</f>
        <v>2006</v>
      </c>
      <c r="AB1516" s="15" t="str">
        <f>IFERROR(__xludf.DUMMYFUNCTION("ARRAYFORMULA(VLOOKUP(A1516,IMPORTRANGE(""https://docs.google.com/spreadsheets/d/1BuTWp7qHGjWhqrnf-OmePP568O4A5Am9ttzvVdP67zw/edit#gid=1931367683"" ,""ENERGY!$A$2:$F$2692""), {2,3,4,5,6},0))"),"Europe")</f>
        <v>Europe</v>
      </c>
      <c r="AC1516" s="14" t="str">
        <f>IFERROR(__xludf.DUMMYFUNCTION("""COMPUTED_VALUE"""),"Malta-Europe")</f>
        <v>Malta-Europe</v>
      </c>
      <c r="AD1516" s="14" t="str">
        <f>IFERROR(__xludf.DUMMYFUNCTION("""COMPUTED_VALUE"""),"2011")</f>
        <v>2011</v>
      </c>
      <c r="AE1516" s="14">
        <f>IFERROR(__xludf.DUMMYFUNCTION("""COMPUTED_VALUE"""),834.0)</f>
        <v>834</v>
      </c>
      <c r="AF1516" s="14">
        <f>IFERROR(__xludf.DUMMYFUNCTION("""COMPUTED_VALUE"""),2574.0)</f>
        <v>2574</v>
      </c>
    </row>
    <row r="1517">
      <c r="A1517" s="12">
        <v>1516.0</v>
      </c>
      <c r="B1517" s="12" t="s">
        <v>195</v>
      </c>
      <c r="C1517" s="5" t="s">
        <v>75</v>
      </c>
      <c r="D1517" s="8"/>
      <c r="E1517" s="8"/>
      <c r="F1517" s="8"/>
      <c r="G1517" s="8"/>
      <c r="H1517" s="11">
        <v>0.469</v>
      </c>
      <c r="I1517" s="11">
        <v>0.88</v>
      </c>
      <c r="J1517" s="9" t="s">
        <v>68</v>
      </c>
      <c r="K1517" s="14" t="str">
        <f>IFERROR(__xludf.DUMMYFUNCTION("ARRAYFORMULA(VLOOKUP(A1517,IMPORTRANGE(""https://docs.google.com/spreadsheets/d/1BuTWp7qHGjWhqrnf-OmePP568O4A5Am9ttzvVdP67zw/edit#gid=1603210130"", ""TOURISM!$A$2:$F$2692""), {2,3,4,5,6},0))"),"Europe")</f>
        <v>Europe</v>
      </c>
      <c r="L1517" s="14">
        <f>IFERROR(__xludf.DUMMYFUNCTION("""COMPUTED_VALUE"""),1.185E9)</f>
        <v>1185000000</v>
      </c>
      <c r="M1517" s="14" t="str">
        <f>IFERROR(__xludf.DUMMYFUNCTION("""COMPUTED_VALUE"""),"Malta-Europe")</f>
        <v>Malta-Europe</v>
      </c>
      <c r="N1517" s="14" t="str">
        <f>IFERROR(__xludf.DUMMYFUNCTION("""COMPUTED_VALUE"""),"2007")</f>
        <v>2007</v>
      </c>
      <c r="O1517" s="14">
        <f>IFERROR(__xludf.DUMMYFUNCTION("""COMPUTED_VALUE"""),2.84E8)</f>
        <v>284000000</v>
      </c>
      <c r="P1517" s="15">
        <f>IFERROR(__xludf.DUMMYFUNCTION("ARRAYFORMULA(VLOOKUP(A1517,IMPORTRANGE(""https://docs.google.com/spreadsheets/d/1BuTWp7qHGjWhqrnf-OmePP568O4A5Am9ttzvVdP67zw/edit#gid=771602874"" ,""HUMAN RESOURCES!$A$2:$M$2692""), {2,3,4,5,6,7,8,9,10,11,12,13},0))"),0.009)</f>
        <v>0.009</v>
      </c>
      <c r="Q1517" s="14">
        <f>IFERROR(__xludf.DUMMYFUNCTION("""COMPUTED_VALUE"""),0.006)</f>
        <v>0.006</v>
      </c>
      <c r="R1517" s="14">
        <f>IFERROR(__xludf.DUMMYFUNCTION("""COMPUTED_VALUE"""),82.0)</f>
        <v>82</v>
      </c>
      <c r="S1517" s="14">
        <f>IFERROR(__xludf.DUMMYFUNCTION("""COMPUTED_VALUE"""),78.0)</f>
        <v>78</v>
      </c>
      <c r="T1517" s="14">
        <f>IFERROR(__xludf.DUMMYFUNCTION("""COMPUTED_VALUE"""),0.164)</f>
        <v>0.164</v>
      </c>
      <c r="U1517" s="14">
        <f>IFERROR(__xludf.DUMMYFUNCTION("""COMPUTED_VALUE"""),0.698)</f>
        <v>0.698</v>
      </c>
      <c r="V1517" s="14">
        <f>IFERROR(__xludf.DUMMYFUNCTION("""COMPUTED_VALUE"""),0.138)</f>
        <v>0.138</v>
      </c>
      <c r="W1517" s="14">
        <f>IFERROR(__xludf.DUMMYFUNCTION("""COMPUTED_VALUE"""),406724.0)</f>
        <v>406724</v>
      </c>
      <c r="X1517" s="14">
        <f>IFERROR(__xludf.DUMMYFUNCTION("""COMPUTED_VALUE"""),0.941)</f>
        <v>0.941</v>
      </c>
      <c r="Y1517" s="14" t="str">
        <f>IFERROR(__xludf.DUMMYFUNCTION("""COMPUTED_VALUE"""),"Malta-Europe")</f>
        <v>Malta-Europe</v>
      </c>
      <c r="Z1517" s="14" t="str">
        <f>IFERROR(__xludf.DUMMYFUNCTION("""COMPUTED_VALUE"""),"Europe")</f>
        <v>Europe</v>
      </c>
      <c r="AA1517" s="14" t="str">
        <f>IFERROR(__xludf.DUMMYFUNCTION("""COMPUTED_VALUE"""),"2007")</f>
        <v>2007</v>
      </c>
      <c r="AB1517" s="15" t="str">
        <f>IFERROR(__xludf.DUMMYFUNCTION("ARRAYFORMULA(VLOOKUP(A1517,IMPORTRANGE(""https://docs.google.com/spreadsheets/d/1BuTWp7qHGjWhqrnf-OmePP568O4A5Am9ttzvVdP67zw/edit#gid=1931367683"" ,""ENERGY!$A$2:$F$2692""), {2,3,4,5,6},0))"),"Europe")</f>
        <v>Europe</v>
      </c>
      <c r="AC1517" s="14" t="str">
        <f>IFERROR(__xludf.DUMMYFUNCTION("""COMPUTED_VALUE"""),"Malta-Europe")</f>
        <v>Malta-Europe</v>
      </c>
      <c r="AD1517" s="14" t="str">
        <f>IFERROR(__xludf.DUMMYFUNCTION("""COMPUTED_VALUE"""),"2009")</f>
        <v>2009</v>
      </c>
      <c r="AE1517" s="14">
        <f>IFERROR(__xludf.DUMMYFUNCTION("""COMPUTED_VALUE"""),881.0)</f>
        <v>881</v>
      </c>
      <c r="AF1517" s="14">
        <f>IFERROR(__xludf.DUMMYFUNCTION("""COMPUTED_VALUE"""),2699.0)</f>
        <v>2699</v>
      </c>
    </row>
    <row r="1518">
      <c r="A1518" s="12">
        <v>1517.0</v>
      </c>
      <c r="B1518" s="12" t="s">
        <v>195</v>
      </c>
      <c r="C1518" s="5" t="s">
        <v>75</v>
      </c>
      <c r="D1518" s="8"/>
      <c r="E1518" s="8"/>
      <c r="F1518" s="8"/>
      <c r="G1518" s="8"/>
      <c r="H1518" s="11">
        <v>0.501</v>
      </c>
      <c r="I1518" s="11">
        <v>0.916</v>
      </c>
      <c r="J1518" s="9" t="s">
        <v>69</v>
      </c>
      <c r="K1518" s="14" t="str">
        <f>IFERROR(__xludf.DUMMYFUNCTION("ARRAYFORMULA(VLOOKUP(A1518,IMPORTRANGE(""https://docs.google.com/spreadsheets/d/1BuTWp7qHGjWhqrnf-OmePP568O4A5Am9ttzvVdP67zw/edit#gid=1603210130"", ""TOURISM!$A$2:$F$2692""), {2,3,4,5,6},0))"),"Europe")</f>
        <v>Europe</v>
      </c>
      <c r="L1518" s="14">
        <f>IFERROR(__xludf.DUMMYFUNCTION("""COMPUTED_VALUE"""),1.336E9)</f>
        <v>1336000000</v>
      </c>
      <c r="M1518" s="14" t="str">
        <f>IFERROR(__xludf.DUMMYFUNCTION("""COMPUTED_VALUE"""),"Malta-Europe")</f>
        <v>Malta-Europe</v>
      </c>
      <c r="N1518" s="14" t="str">
        <f>IFERROR(__xludf.DUMMYFUNCTION("""COMPUTED_VALUE"""),"2008")</f>
        <v>2008</v>
      </c>
      <c r="O1518" s="14">
        <f>IFERROR(__xludf.DUMMYFUNCTION("""COMPUTED_VALUE"""),3.61E8)</f>
        <v>361000000</v>
      </c>
      <c r="P1518" s="15">
        <f>IFERROR(__xludf.DUMMYFUNCTION("ARRAYFORMULA(VLOOKUP(A1518,IMPORTRANGE(""https://docs.google.com/spreadsheets/d/1BuTWp7qHGjWhqrnf-OmePP568O4A5Am9ttzvVdP67zw/edit#gid=771602874"" ,""HUMAN RESOURCES!$A$2:$M$2692""), {2,3,4,5,6,7,8,9,10,11,12,13},0))"),0.01)</f>
        <v>0.01</v>
      </c>
      <c r="Q1518" s="14">
        <f>IFERROR(__xludf.DUMMYFUNCTION("""COMPUTED_VALUE"""),0.006)</f>
        <v>0.006</v>
      </c>
      <c r="R1518" s="14">
        <f>IFERROR(__xludf.DUMMYFUNCTION("""COMPUTED_VALUE"""),82.0)</f>
        <v>82</v>
      </c>
      <c r="S1518" s="14">
        <f>IFERROR(__xludf.DUMMYFUNCTION("""COMPUTED_VALUE"""),77.0)</f>
        <v>77</v>
      </c>
      <c r="T1518" s="14">
        <f>IFERROR(__xludf.DUMMYFUNCTION("""COMPUTED_VALUE"""),0.162)</f>
        <v>0.162</v>
      </c>
      <c r="U1518" s="14">
        <f>IFERROR(__xludf.DUMMYFUNCTION("""COMPUTED_VALUE"""),0.699)</f>
        <v>0.699</v>
      </c>
      <c r="V1518" s="14">
        <f>IFERROR(__xludf.DUMMYFUNCTION("""COMPUTED_VALUE"""),0.139)</f>
        <v>0.139</v>
      </c>
      <c r="W1518" s="14">
        <f>IFERROR(__xludf.DUMMYFUNCTION("""COMPUTED_VALUE"""),409379.0)</f>
        <v>409379</v>
      </c>
      <c r="X1518" s="14">
        <f>IFERROR(__xludf.DUMMYFUNCTION("""COMPUTED_VALUE"""),0.943)</f>
        <v>0.943</v>
      </c>
      <c r="Y1518" s="14" t="str">
        <f>IFERROR(__xludf.DUMMYFUNCTION("""COMPUTED_VALUE"""),"Malta-Europe")</f>
        <v>Malta-Europe</v>
      </c>
      <c r="Z1518" s="14" t="str">
        <f>IFERROR(__xludf.DUMMYFUNCTION("""COMPUTED_VALUE"""),"Europe")</f>
        <v>Europe</v>
      </c>
      <c r="AA1518" s="14" t="str">
        <f>IFERROR(__xludf.DUMMYFUNCTION("""COMPUTED_VALUE"""),"2008")</f>
        <v>2008</v>
      </c>
      <c r="AB1518" s="15" t="str">
        <f>IFERROR(__xludf.DUMMYFUNCTION("ARRAYFORMULA(VLOOKUP(A1518,IMPORTRANGE(""https://docs.google.com/spreadsheets/d/1BuTWp7qHGjWhqrnf-OmePP568O4A5Am9ttzvVdP67zw/edit#gid=1931367683"" ,""ENERGY!$A$2:$F$2692""), {2,3,4,5,6},0))"),"Europe")</f>
        <v>Europe</v>
      </c>
      <c r="AC1518" s="14" t="str">
        <f>IFERROR(__xludf.DUMMYFUNCTION("""COMPUTED_VALUE"""),"Malta-Europe")</f>
        <v>Malta-Europe</v>
      </c>
      <c r="AD1518" s="14" t="str">
        <f>IFERROR(__xludf.DUMMYFUNCTION("""COMPUTED_VALUE"""),"2006")</f>
        <v>2006</v>
      </c>
      <c r="AE1518" s="14">
        <f>IFERROR(__xludf.DUMMYFUNCTION("""COMPUTED_VALUE"""),830.0)</f>
        <v>830</v>
      </c>
      <c r="AF1518" s="14">
        <f>IFERROR(__xludf.DUMMYFUNCTION("""COMPUTED_VALUE"""),2574.0)</f>
        <v>2574</v>
      </c>
    </row>
    <row r="1519">
      <c r="A1519" s="12">
        <v>1518.0</v>
      </c>
      <c r="B1519" s="12" t="s">
        <v>195</v>
      </c>
      <c r="C1519" s="5" t="s">
        <v>75</v>
      </c>
      <c r="D1519" s="8"/>
      <c r="E1519" s="8"/>
      <c r="F1519" s="8"/>
      <c r="G1519" s="8"/>
      <c r="H1519" s="11">
        <v>0.589</v>
      </c>
      <c r="I1519" s="11">
        <v>0.998</v>
      </c>
      <c r="J1519" s="9" t="s">
        <v>70</v>
      </c>
      <c r="K1519" s="14" t="str">
        <f>IFERROR(__xludf.DUMMYFUNCTION("ARRAYFORMULA(VLOOKUP(A1519,IMPORTRANGE(""https://docs.google.com/spreadsheets/d/1BuTWp7qHGjWhqrnf-OmePP568O4A5Am9ttzvVdP67zw/edit#gid=1603210130"", ""TOURISM!$A$2:$F$2692""), {2,3,4,5,6},0))"),"Europe")</f>
        <v>Europe</v>
      </c>
      <c r="L1519" s="14">
        <f>IFERROR(__xludf.DUMMYFUNCTION("""COMPUTED_VALUE"""),1.117E9)</f>
        <v>1117000000</v>
      </c>
      <c r="M1519" s="14" t="str">
        <f>IFERROR(__xludf.DUMMYFUNCTION("""COMPUTED_VALUE"""),"Malta-Europe")</f>
        <v>Malta-Europe</v>
      </c>
      <c r="N1519" s="14" t="str">
        <f>IFERROR(__xludf.DUMMYFUNCTION("""COMPUTED_VALUE"""),"2009")</f>
        <v>2009</v>
      </c>
      <c r="O1519" s="14">
        <f>IFERROR(__xludf.DUMMYFUNCTION("""COMPUTED_VALUE"""),3.62E8)</f>
        <v>362000000</v>
      </c>
      <c r="P1519" s="15">
        <f>IFERROR(__xludf.DUMMYFUNCTION("ARRAYFORMULA(VLOOKUP(A1519,IMPORTRANGE(""https://docs.google.com/spreadsheets/d/1BuTWp7qHGjWhqrnf-OmePP568O4A5Am9ttzvVdP67zw/edit#gid=771602874"" ,""HUMAN RESOURCES!$A$2:$M$2692""), {2,3,4,5,6,7,8,9,10,11,12,13},0))"),0.01)</f>
        <v>0.01</v>
      </c>
      <c r="Q1519" s="14">
        <f>IFERROR(__xludf.DUMMYFUNCTION("""COMPUTED_VALUE"""),0.006)</f>
        <v>0.006</v>
      </c>
      <c r="R1519" s="14">
        <f>IFERROR(__xludf.DUMMYFUNCTION("""COMPUTED_VALUE"""),83.0)</f>
        <v>83</v>
      </c>
      <c r="S1519" s="14">
        <f>IFERROR(__xludf.DUMMYFUNCTION("""COMPUTED_VALUE"""),78.0)</f>
        <v>78</v>
      </c>
      <c r="T1519" s="14">
        <f>IFERROR(__xludf.DUMMYFUNCTION("""COMPUTED_VALUE"""),0.159)</f>
        <v>0.159</v>
      </c>
      <c r="U1519" s="14">
        <f>IFERROR(__xludf.DUMMYFUNCTION("""COMPUTED_VALUE"""),0.699)</f>
        <v>0.699</v>
      </c>
      <c r="V1519" s="14">
        <f>IFERROR(__xludf.DUMMYFUNCTION("""COMPUTED_VALUE"""),0.141)</f>
        <v>0.141</v>
      </c>
      <c r="W1519" s="14">
        <f>IFERROR(__xludf.DUMMYFUNCTION("""COMPUTED_VALUE"""),412477.0)</f>
        <v>412477</v>
      </c>
      <c r="X1519" s="14">
        <f>IFERROR(__xludf.DUMMYFUNCTION("""COMPUTED_VALUE"""),0.945)</f>
        <v>0.945</v>
      </c>
      <c r="Y1519" s="14" t="str">
        <f>IFERROR(__xludf.DUMMYFUNCTION("""COMPUTED_VALUE"""),"Malta-Europe")</f>
        <v>Malta-Europe</v>
      </c>
      <c r="Z1519" s="14" t="str">
        <f>IFERROR(__xludf.DUMMYFUNCTION("""COMPUTED_VALUE"""),"Europe")</f>
        <v>Europe</v>
      </c>
      <c r="AA1519" s="14" t="str">
        <f>IFERROR(__xludf.DUMMYFUNCTION("""COMPUTED_VALUE"""),"2009")</f>
        <v>2009</v>
      </c>
      <c r="AB1519" s="15" t="str">
        <f>IFERROR(__xludf.DUMMYFUNCTION("ARRAYFORMULA(VLOOKUP(A1519,IMPORTRANGE(""https://docs.google.com/spreadsheets/d/1BuTWp7qHGjWhqrnf-OmePP568O4A5Am9ttzvVdP67zw/edit#gid=1931367683"" ,""ENERGY!$A$2:$F$2692""), {2,3,4,5,6},0))"),"Europe")</f>
        <v>Europe</v>
      </c>
      <c r="AC1519" s="14" t="str">
        <f>IFERROR(__xludf.DUMMYFUNCTION("""COMPUTED_VALUE"""),"Malta-Europe")</f>
        <v>Malta-Europe</v>
      </c>
      <c r="AD1519" s="14" t="str">
        <f>IFERROR(__xludf.DUMMYFUNCTION("""COMPUTED_VALUE"""),"2010")</f>
        <v>2010</v>
      </c>
      <c r="AE1519" s="14">
        <f>IFERROR(__xludf.DUMMYFUNCTION("""COMPUTED_VALUE"""),826.0)</f>
        <v>826</v>
      </c>
      <c r="AF1519" s="14">
        <f>IFERROR(__xludf.DUMMYFUNCTION("""COMPUTED_VALUE"""),2582.0)</f>
        <v>2582</v>
      </c>
    </row>
    <row r="1520">
      <c r="A1520" s="12">
        <v>1519.0</v>
      </c>
      <c r="B1520" s="12" t="s">
        <v>195</v>
      </c>
      <c r="C1520" s="5" t="s">
        <v>75</v>
      </c>
      <c r="D1520" s="8"/>
      <c r="E1520" s="8"/>
      <c r="F1520" s="8"/>
      <c r="G1520" s="8"/>
      <c r="H1520" s="11">
        <v>0.63</v>
      </c>
      <c r="I1520" s="11">
        <v>1.073</v>
      </c>
      <c r="J1520" s="9" t="s">
        <v>71</v>
      </c>
      <c r="K1520" s="14" t="str">
        <f>IFERROR(__xludf.DUMMYFUNCTION("ARRAYFORMULA(VLOOKUP(A1520,IMPORTRANGE(""https://docs.google.com/spreadsheets/d/1BuTWp7qHGjWhqrnf-OmePP568O4A5Am9ttzvVdP67zw/edit#gid=1603210130"", ""TOURISM!$A$2:$F$2692""), {2,3,4,5,6},0))"),"Europe")</f>
        <v>Europe</v>
      </c>
      <c r="L1520" s="14">
        <f>IFERROR(__xludf.DUMMYFUNCTION("""COMPUTED_VALUE"""),1.238E9)</f>
        <v>1238000000</v>
      </c>
      <c r="M1520" s="14" t="str">
        <f>IFERROR(__xludf.DUMMYFUNCTION("""COMPUTED_VALUE"""),"Malta-Europe")</f>
        <v>Malta-Europe</v>
      </c>
      <c r="N1520" s="14" t="str">
        <f>IFERROR(__xludf.DUMMYFUNCTION("""COMPUTED_VALUE"""),"2010")</f>
        <v>2010</v>
      </c>
      <c r="O1520" s="14">
        <f>IFERROR(__xludf.DUMMYFUNCTION("""COMPUTED_VALUE"""),3.66E8)</f>
        <v>366000000</v>
      </c>
      <c r="P1520" s="15">
        <f>IFERROR(__xludf.DUMMYFUNCTION("ARRAYFORMULA(VLOOKUP(A1520,IMPORTRANGE(""https://docs.google.com/spreadsheets/d/1BuTWp7qHGjWhqrnf-OmePP568O4A5Am9ttzvVdP67zw/edit#gid=771602874"" ,""HUMAN RESOURCES!$A$2:$M$2692""), {2,3,4,5,6,7,8,9,10,11,12,13},0))"),0.009)</f>
        <v>0.009</v>
      </c>
      <c r="Q1520" s="14">
        <f>IFERROR(__xludf.DUMMYFUNCTION("""COMPUTED_VALUE"""),0.006)</f>
        <v>0.006</v>
      </c>
      <c r="R1520" s="14">
        <f>IFERROR(__xludf.DUMMYFUNCTION("""COMPUTED_VALUE"""),84.0)</f>
        <v>84</v>
      </c>
      <c r="S1520" s="14">
        <f>IFERROR(__xludf.DUMMYFUNCTION("""COMPUTED_VALUE"""),79.0)</f>
        <v>79</v>
      </c>
      <c r="T1520" s="14">
        <f>IFERROR(__xludf.DUMMYFUNCTION("""COMPUTED_VALUE"""),0.156)</f>
        <v>0.156</v>
      </c>
      <c r="U1520" s="14">
        <f>IFERROR(__xludf.DUMMYFUNCTION("""COMPUTED_VALUE"""),0.699)</f>
        <v>0.699</v>
      </c>
      <c r="V1520" s="14">
        <f>IFERROR(__xludf.DUMMYFUNCTION("""COMPUTED_VALUE"""),0.145)</f>
        <v>0.145</v>
      </c>
      <c r="W1520" s="14">
        <f>IFERROR(__xludf.DUMMYFUNCTION("""COMPUTED_VALUE"""),414508.0)</f>
        <v>414508</v>
      </c>
      <c r="X1520" s="14">
        <f>IFERROR(__xludf.DUMMYFUNCTION("""COMPUTED_VALUE"""),0.947)</f>
        <v>0.947</v>
      </c>
      <c r="Y1520" s="14" t="str">
        <f>IFERROR(__xludf.DUMMYFUNCTION("""COMPUTED_VALUE"""),"Malta-Europe")</f>
        <v>Malta-Europe</v>
      </c>
      <c r="Z1520" s="14" t="str">
        <f>IFERROR(__xludf.DUMMYFUNCTION("""COMPUTED_VALUE"""),"Europe")</f>
        <v>Europe</v>
      </c>
      <c r="AA1520" s="14" t="str">
        <f>IFERROR(__xludf.DUMMYFUNCTION("""COMPUTED_VALUE"""),"2010")</f>
        <v>2010</v>
      </c>
      <c r="AB1520" s="15" t="str">
        <f>IFERROR(__xludf.DUMMYFUNCTION("ARRAYFORMULA(VLOOKUP(A1520,IMPORTRANGE(""https://docs.google.com/spreadsheets/d/1BuTWp7qHGjWhqrnf-OmePP568O4A5Am9ttzvVdP67zw/edit#gid=1931367683"" ,""ENERGY!$A$2:$F$2692""), {2,3,4,5,6},0))"),"Europe")</f>
        <v>Europe</v>
      </c>
      <c r="AC1520" s="14" t="str">
        <f>IFERROR(__xludf.DUMMYFUNCTION("""COMPUTED_VALUE"""),"Malta-Europe")</f>
        <v>Malta-Europe</v>
      </c>
      <c r="AD1520" s="14" t="str">
        <f>IFERROR(__xludf.DUMMYFUNCTION("""COMPUTED_VALUE"""),"2005")</f>
        <v>2005</v>
      </c>
      <c r="AE1520" s="14">
        <f>IFERROR(__xludf.DUMMYFUNCTION("""COMPUTED_VALUE"""),734.0)</f>
        <v>734</v>
      </c>
      <c r="AF1520" s="14">
        <f>IFERROR(__xludf.DUMMYFUNCTION("""COMPUTED_VALUE"""),2299.0)</f>
        <v>2299</v>
      </c>
    </row>
    <row r="1521">
      <c r="A1521" s="12">
        <v>1520.0</v>
      </c>
      <c r="B1521" s="12" t="s">
        <v>195</v>
      </c>
      <c r="C1521" s="5" t="s">
        <v>75</v>
      </c>
      <c r="D1521" s="11">
        <v>0.41</v>
      </c>
      <c r="E1521" s="11">
        <v>40.0</v>
      </c>
      <c r="F1521" s="8"/>
      <c r="G1521" s="11">
        <v>139.0</v>
      </c>
      <c r="H1521" s="11">
        <v>0.68</v>
      </c>
      <c r="I1521" s="11">
        <v>1.224</v>
      </c>
      <c r="J1521" s="9" t="s">
        <v>72</v>
      </c>
      <c r="K1521" s="14" t="str">
        <f>IFERROR(__xludf.DUMMYFUNCTION("ARRAYFORMULA(VLOOKUP(A1521,IMPORTRANGE(""https://docs.google.com/spreadsheets/d/1BuTWp7qHGjWhqrnf-OmePP568O4A5Am9ttzvVdP67zw/edit#gid=1603210130"", ""TOURISM!$A$2:$F$2692""), {2,3,4,5,6},0))"),"Europe")</f>
        <v>Europe</v>
      </c>
      <c r="L1521" s="14">
        <f>IFERROR(__xludf.DUMMYFUNCTION("""COMPUTED_VALUE"""),1.465E9)</f>
        <v>1465000000</v>
      </c>
      <c r="M1521" s="14" t="str">
        <f>IFERROR(__xludf.DUMMYFUNCTION("""COMPUTED_VALUE"""),"Malta-Europe")</f>
        <v>Malta-Europe</v>
      </c>
      <c r="N1521" s="14" t="str">
        <f>IFERROR(__xludf.DUMMYFUNCTION("""COMPUTED_VALUE"""),"2011")</f>
        <v>2011</v>
      </c>
      <c r="O1521" s="14">
        <f>IFERROR(__xludf.DUMMYFUNCTION("""COMPUTED_VALUE"""),4.01E8)</f>
        <v>401000000</v>
      </c>
      <c r="P1521" s="15">
        <f>IFERROR(__xludf.DUMMYFUNCTION("ARRAYFORMULA(VLOOKUP(A1521,IMPORTRANGE(""https://docs.google.com/spreadsheets/d/1BuTWp7qHGjWhqrnf-OmePP568O4A5Am9ttzvVdP67zw/edit#gid=771602874"" ,""HUMAN RESOURCES!$A$2:$M$2692""), {2,3,4,5,6,7,8,9,10,11,12,13},0))"),0.01)</f>
        <v>0.01</v>
      </c>
      <c r="Q1521" s="14">
        <f>IFERROR(__xludf.DUMMYFUNCTION("""COMPUTED_VALUE"""),0.005)</f>
        <v>0.005</v>
      </c>
      <c r="R1521" s="14">
        <f>IFERROR(__xludf.DUMMYFUNCTION("""COMPUTED_VALUE"""),83.0)</f>
        <v>83</v>
      </c>
      <c r="S1521" s="14">
        <f>IFERROR(__xludf.DUMMYFUNCTION("""COMPUTED_VALUE"""),79.0)</f>
        <v>79</v>
      </c>
      <c r="T1521" s="14">
        <f>IFERROR(__xludf.DUMMYFUNCTION("""COMPUTED_VALUE"""),0.153)</f>
        <v>0.153</v>
      </c>
      <c r="U1521" s="14">
        <f>IFERROR(__xludf.DUMMYFUNCTION("""COMPUTED_VALUE"""),0.697)</f>
        <v>0.697</v>
      </c>
      <c r="V1521" s="14">
        <f>IFERROR(__xludf.DUMMYFUNCTION("""COMPUTED_VALUE"""),0.15)</f>
        <v>0.15</v>
      </c>
      <c r="W1521" s="14">
        <f>IFERROR(__xludf.DUMMYFUNCTION("""COMPUTED_VALUE"""),416268.0)</f>
        <v>416268</v>
      </c>
      <c r="X1521" s="14">
        <f>IFERROR(__xludf.DUMMYFUNCTION("""COMPUTED_VALUE"""),0.948)</f>
        <v>0.948</v>
      </c>
      <c r="Y1521" s="14" t="str">
        <f>IFERROR(__xludf.DUMMYFUNCTION("""COMPUTED_VALUE"""),"Malta-Europe")</f>
        <v>Malta-Europe</v>
      </c>
      <c r="Z1521" s="14" t="str">
        <f>IFERROR(__xludf.DUMMYFUNCTION("""COMPUTED_VALUE"""),"Europe")</f>
        <v>Europe</v>
      </c>
      <c r="AA1521" s="14" t="str">
        <f>IFERROR(__xludf.DUMMYFUNCTION("""COMPUTED_VALUE"""),"2011")</f>
        <v>2011</v>
      </c>
      <c r="AB1521" s="15" t="str">
        <f>IFERROR(__xludf.DUMMYFUNCTION("ARRAYFORMULA(VLOOKUP(A1521,IMPORTRANGE(""https://docs.google.com/spreadsheets/d/1BuTWp7qHGjWhqrnf-OmePP568O4A5Am9ttzvVdP67zw/edit#gid=1931367683"" ,""ENERGY!$A$2:$F$2692""), {2,3,4,5,6},0))"),"Europe")</f>
        <v>Europe</v>
      </c>
      <c r="AC1521" s="14" t="str">
        <f>IFERROR(__xludf.DUMMYFUNCTION("""COMPUTED_VALUE"""),"Malta-Europe")</f>
        <v>Malta-Europe</v>
      </c>
      <c r="AD1521" s="14" t="str">
        <f>IFERROR(__xludf.DUMMYFUNCTION("""COMPUTED_VALUE"""),"2006")</f>
        <v>2006</v>
      </c>
      <c r="AE1521" s="14">
        <f>IFERROR(__xludf.DUMMYFUNCTION("""COMPUTED_VALUE"""),787.0)</f>
        <v>787</v>
      </c>
      <c r="AF1521" s="14">
        <f>IFERROR(__xludf.DUMMYFUNCTION("""COMPUTED_VALUE"""),2486.0)</f>
        <v>2486</v>
      </c>
    </row>
    <row r="1522">
      <c r="A1522" s="12">
        <v>1521.0</v>
      </c>
      <c r="B1522" s="12" t="s">
        <v>195</v>
      </c>
      <c r="C1522" s="5" t="s">
        <v>75</v>
      </c>
      <c r="D1522" s="11">
        <v>0.409</v>
      </c>
      <c r="E1522" s="11">
        <v>40.0</v>
      </c>
      <c r="F1522" s="11">
        <v>100.0</v>
      </c>
      <c r="G1522" s="11">
        <v>139.0</v>
      </c>
      <c r="H1522" s="11">
        <v>0.682</v>
      </c>
      <c r="I1522" s="11">
        <v>1.244</v>
      </c>
      <c r="J1522" s="9" t="s">
        <v>73</v>
      </c>
      <c r="K1522" s="14" t="str">
        <f>IFERROR(__xludf.DUMMYFUNCTION("ARRAYFORMULA(VLOOKUP(A1522,IMPORTRANGE(""https://docs.google.com/spreadsheets/d/1BuTWp7qHGjWhqrnf-OmePP568O4A5Am9ttzvVdP67zw/edit#gid=1603210130"", ""TOURISM!$A$2:$F$2692""), {2,3,4,5,6},0))"),"Europe")</f>
        <v>Europe</v>
      </c>
      <c r="L1522" s="14">
        <f>IFERROR(__xludf.DUMMYFUNCTION("""COMPUTED_VALUE"""),1.451E9)</f>
        <v>1451000000</v>
      </c>
      <c r="M1522" s="14" t="str">
        <f>IFERROR(__xludf.DUMMYFUNCTION("""COMPUTED_VALUE"""),"Malta-Europe")</f>
        <v>Malta-Europe</v>
      </c>
      <c r="N1522" s="14" t="str">
        <f>IFERROR(__xludf.DUMMYFUNCTION("""COMPUTED_VALUE"""),"2012")</f>
        <v>2012</v>
      </c>
      <c r="O1522" s="14">
        <f>IFERROR(__xludf.DUMMYFUNCTION("""COMPUTED_VALUE"""),4.08E8)</f>
        <v>408000000</v>
      </c>
      <c r="P1522" s="15">
        <f>IFERROR(__xludf.DUMMYFUNCTION("ARRAYFORMULA(VLOOKUP(A1522,IMPORTRANGE(""https://docs.google.com/spreadsheets/d/1BuTWp7qHGjWhqrnf-OmePP568O4A5Am9ttzvVdP67zw/edit#gid=771602874"" ,""HUMAN RESOURCES!$A$2:$M$2692""), {2,3,4,5,6,7,8,9,10,11,12,13},0))"),0.01)</f>
        <v>0.01</v>
      </c>
      <c r="Q1522" s="14">
        <f>IFERROR(__xludf.DUMMYFUNCTION("""COMPUTED_VALUE"""),0.005)</f>
        <v>0.005</v>
      </c>
      <c r="R1522" s="14">
        <f>IFERROR(__xludf.DUMMYFUNCTION("""COMPUTED_VALUE"""),83.0)</f>
        <v>83</v>
      </c>
      <c r="S1522" s="14">
        <f>IFERROR(__xludf.DUMMYFUNCTION("""COMPUTED_VALUE"""),79.0)</f>
        <v>79</v>
      </c>
      <c r="T1522" s="14">
        <f>IFERROR(__xludf.DUMMYFUNCTION("""COMPUTED_VALUE"""),0.15)</f>
        <v>0.15</v>
      </c>
      <c r="U1522" s="14">
        <f>IFERROR(__xludf.DUMMYFUNCTION("""COMPUTED_VALUE"""),0.694)</f>
        <v>0.694</v>
      </c>
      <c r="V1522" s="14">
        <f>IFERROR(__xludf.DUMMYFUNCTION("""COMPUTED_VALUE"""),0.156)</f>
        <v>0.156</v>
      </c>
      <c r="W1522" s="14">
        <f>IFERROR(__xludf.DUMMYFUNCTION("""COMPUTED_VALUE"""),419455.0)</f>
        <v>419455</v>
      </c>
      <c r="X1522" s="14">
        <f>IFERROR(__xludf.DUMMYFUNCTION("""COMPUTED_VALUE"""),0.95)</f>
        <v>0.95</v>
      </c>
      <c r="Y1522" s="14" t="str">
        <f>IFERROR(__xludf.DUMMYFUNCTION("""COMPUTED_VALUE"""),"Malta-Europe")</f>
        <v>Malta-Europe</v>
      </c>
      <c r="Z1522" s="14" t="str">
        <f>IFERROR(__xludf.DUMMYFUNCTION("""COMPUTED_VALUE"""),"Europe")</f>
        <v>Europe</v>
      </c>
      <c r="AA1522" s="14" t="str">
        <f>IFERROR(__xludf.DUMMYFUNCTION("""COMPUTED_VALUE"""),"2012")</f>
        <v>2012</v>
      </c>
      <c r="AB1522" s="15" t="str">
        <f>IFERROR(__xludf.DUMMYFUNCTION("ARRAYFORMULA(VLOOKUP(A1522,IMPORTRANGE(""https://docs.google.com/spreadsheets/d/1BuTWp7qHGjWhqrnf-OmePP568O4A5Am9ttzvVdP67zw/edit#gid=1931367683"" ,""ENERGY!$A$2:$F$2692""), {2,3,4,5,6},0))"),"Europe")</f>
        <v>Europe</v>
      </c>
      <c r="AC1522" s="14" t="str">
        <f>IFERROR(__xludf.DUMMYFUNCTION("""COMPUTED_VALUE"""),"Malta-Europe")</f>
        <v>Malta-Europe</v>
      </c>
      <c r="AD1522" s="14" t="str">
        <f>IFERROR(__xludf.DUMMYFUNCTION("""COMPUTED_VALUE"""),"2010")</f>
        <v>2010</v>
      </c>
      <c r="AE1522" s="14">
        <f>IFERROR(__xludf.DUMMYFUNCTION("""COMPUTED_VALUE"""),676.0)</f>
        <v>676</v>
      </c>
      <c r="AF1522" s="14">
        <f>IFERROR(__xludf.DUMMYFUNCTION("""COMPUTED_VALUE"""),2065.0)</f>
        <v>2065</v>
      </c>
    </row>
    <row r="1523">
      <c r="A1523" s="12">
        <v>1522.0</v>
      </c>
      <c r="B1523" s="12" t="s">
        <v>196</v>
      </c>
      <c r="C1523" s="5" t="s">
        <v>80</v>
      </c>
      <c r="D1523" s="8"/>
      <c r="E1523" s="8"/>
      <c r="F1523" s="8"/>
      <c r="G1523" s="8"/>
      <c r="H1523" s="11">
        <v>0.015</v>
      </c>
      <c r="I1523" s="11">
        <v>0.009</v>
      </c>
      <c r="J1523" s="9" t="s">
        <v>60</v>
      </c>
      <c r="K1523" s="14" t="str">
        <f>IFERROR(__xludf.DUMMYFUNCTION("ARRAYFORMULA(VLOOKUP(A1523,IMPORTRANGE(""https://docs.google.com/spreadsheets/d/1BuTWp7qHGjWhqrnf-OmePP568O4A5Am9ttzvVdP67zw/edit#gid=1603210130"", ""TOURISM!$A$2:$F$2692""), {2,3,4,5,6},0))"),"Oceania")</f>
        <v>Oceania</v>
      </c>
      <c r="L1523" s="14">
        <f>IFERROR(__xludf.DUMMYFUNCTION("""COMPUTED_VALUE"""),3000000.0)</f>
        <v>3000000</v>
      </c>
      <c r="M1523" s="14" t="str">
        <f>IFERROR(__xludf.DUMMYFUNCTION("""COMPUTED_VALUE"""),"Marshall Islands-Oceania")</f>
        <v>Marshall Islands-Oceania</v>
      </c>
      <c r="N1523" s="14" t="str">
        <f>IFERROR(__xludf.DUMMYFUNCTION("""COMPUTED_VALUE"""),"2000")</f>
        <v>2000</v>
      </c>
      <c r="O1523" s="14">
        <f>IFERROR(__xludf.DUMMYFUNCTION("""COMPUTED_VALUE"""),200000.0)</f>
        <v>200000</v>
      </c>
      <c r="P1523" s="15" t="str">
        <f>IFERROR(__xludf.DUMMYFUNCTION("ARRAYFORMULA(VLOOKUP(A1523,IMPORTRANGE(""https://docs.google.com/spreadsheets/d/1BuTWp7qHGjWhqrnf-OmePP568O4A5Am9ttzvVdP67zw/edit#gid=771602874"" ,""HUMAN RESOURCES!$A$2:$M$2692""), {2,3,4,5,6,7,8,9,10,11,12,13},0))"),"")</f>
        <v/>
      </c>
      <c r="Q1523" s="14">
        <f>IFERROR(__xludf.DUMMYFUNCTION("""COMPUTED_VALUE"""),0.034)</f>
        <v>0.034</v>
      </c>
      <c r="R1523" s="14">
        <f>IFERROR(__xludf.DUMMYFUNCTION("""COMPUTED_VALUE"""),68.0)</f>
        <v>68</v>
      </c>
      <c r="S1523" s="14">
        <f>IFERROR(__xludf.DUMMYFUNCTION("""COMPUTED_VALUE"""),63.0)</f>
        <v>63</v>
      </c>
      <c r="T1523" s="14"/>
      <c r="U1523" s="14"/>
      <c r="V1523" s="14"/>
      <c r="W1523" s="14">
        <f>IFERROR(__xludf.DUMMYFUNCTION("""COMPUTED_VALUE"""),52161.0)</f>
        <v>52161</v>
      </c>
      <c r="X1523" s="14">
        <f>IFERROR(__xludf.DUMMYFUNCTION("""COMPUTED_VALUE"""),0.684)</f>
        <v>0.684</v>
      </c>
      <c r="Y1523" s="14" t="str">
        <f>IFERROR(__xludf.DUMMYFUNCTION("""COMPUTED_VALUE"""),"Marshall Islands-Oceania")</f>
        <v>Marshall Islands-Oceania</v>
      </c>
      <c r="Z1523" s="14" t="str">
        <f>IFERROR(__xludf.DUMMYFUNCTION("""COMPUTED_VALUE"""),"Oceania")</f>
        <v>Oceania</v>
      </c>
      <c r="AA1523" s="14" t="str">
        <f>IFERROR(__xludf.DUMMYFUNCTION("""COMPUTED_VALUE"""),"2000")</f>
        <v>2000</v>
      </c>
      <c r="AB1523" s="15" t="str">
        <f>IFERROR(__xludf.DUMMYFUNCTION("ARRAYFORMULA(VLOOKUP(A1523,IMPORTRANGE(""https://docs.google.com/spreadsheets/d/1BuTWp7qHGjWhqrnf-OmePP568O4A5Am9ttzvVdP67zw/edit#gid=1931367683"" ,""ENERGY!$A$2:$F$2692""), {2,3,4,5,6},0))"),"Oceania")</f>
        <v>Oceania</v>
      </c>
      <c r="AC1523" s="14" t="str">
        <f>IFERROR(__xludf.DUMMYFUNCTION("""COMPUTED_VALUE"""),"Marshall Islands-Oceania")</f>
        <v>Marshall Islands-Oceania</v>
      </c>
      <c r="AD1523" s="14" t="str">
        <f>IFERROR(__xludf.DUMMYFUNCTION("""COMPUTED_VALUE"""),"2000")</f>
        <v>2000</v>
      </c>
      <c r="AE1523" s="14"/>
      <c r="AF1523" s="14"/>
    </row>
    <row r="1524">
      <c r="A1524" s="12">
        <v>1523.0</v>
      </c>
      <c r="B1524" s="12" t="s">
        <v>196</v>
      </c>
      <c r="C1524" s="5" t="s">
        <v>80</v>
      </c>
      <c r="D1524" s="8"/>
      <c r="E1524" s="8"/>
      <c r="F1524" s="8"/>
      <c r="G1524" s="8"/>
      <c r="H1524" s="11">
        <v>0.017</v>
      </c>
      <c r="I1524" s="11">
        <v>0.009</v>
      </c>
      <c r="J1524" s="9" t="s">
        <v>62</v>
      </c>
      <c r="K1524" s="14" t="str">
        <f>IFERROR(__xludf.DUMMYFUNCTION("ARRAYFORMULA(VLOOKUP(A1524,IMPORTRANGE(""https://docs.google.com/spreadsheets/d/1BuTWp7qHGjWhqrnf-OmePP568O4A5Am9ttzvVdP67zw/edit#gid=1603210130"", ""TOURISM!$A$2:$F$2692""), {2,3,4,5,6},0))"),"Oceania")</f>
        <v>Oceania</v>
      </c>
      <c r="L1524" s="14">
        <f>IFERROR(__xludf.DUMMYFUNCTION("""COMPUTED_VALUE"""),3100000.0)</f>
        <v>3100000</v>
      </c>
      <c r="M1524" s="14" t="str">
        <f>IFERROR(__xludf.DUMMYFUNCTION("""COMPUTED_VALUE"""),"Marshall Islands-Oceania")</f>
        <v>Marshall Islands-Oceania</v>
      </c>
      <c r="N1524" s="14" t="str">
        <f>IFERROR(__xludf.DUMMYFUNCTION("""COMPUTED_VALUE"""),"2001")</f>
        <v>2001</v>
      </c>
      <c r="O1524" s="14">
        <f>IFERROR(__xludf.DUMMYFUNCTION("""COMPUTED_VALUE"""),300000.0)</f>
        <v>300000</v>
      </c>
      <c r="P1524" s="15" t="str">
        <f>IFERROR(__xludf.DUMMYFUNCTION("ARRAYFORMULA(VLOOKUP(A1524,IMPORTRANGE(""https://docs.google.com/spreadsheets/d/1BuTWp7qHGjWhqrnf-OmePP568O4A5Am9ttzvVdP67zw/edit#gid=771602874"" ,""HUMAN RESOURCES!$A$2:$M$2692""), {2,3,4,5,6,7,8,9,10,11,12,13},0))"),"")</f>
        <v/>
      </c>
      <c r="Q1524" s="14">
        <f>IFERROR(__xludf.DUMMYFUNCTION("""COMPUTED_VALUE"""),0.033)</f>
        <v>0.033</v>
      </c>
      <c r="R1524" s="14"/>
      <c r="S1524" s="14"/>
      <c r="T1524" s="14"/>
      <c r="U1524" s="14"/>
      <c r="V1524" s="14"/>
      <c r="W1524" s="14">
        <f>IFERROR(__xludf.DUMMYFUNCTION("""COMPUTED_VALUE"""),52184.0)</f>
        <v>52184</v>
      </c>
      <c r="X1524" s="14">
        <f>IFERROR(__xludf.DUMMYFUNCTION("""COMPUTED_VALUE"""),0.687)</f>
        <v>0.687</v>
      </c>
      <c r="Y1524" s="14" t="str">
        <f>IFERROR(__xludf.DUMMYFUNCTION("""COMPUTED_VALUE"""),"Marshall Islands-Oceania")</f>
        <v>Marshall Islands-Oceania</v>
      </c>
      <c r="Z1524" s="14" t="str">
        <f>IFERROR(__xludf.DUMMYFUNCTION("""COMPUTED_VALUE"""),"Oceania")</f>
        <v>Oceania</v>
      </c>
      <c r="AA1524" s="14" t="str">
        <f>IFERROR(__xludf.DUMMYFUNCTION("""COMPUTED_VALUE"""),"2001")</f>
        <v>2001</v>
      </c>
      <c r="AB1524" s="15" t="str">
        <f>IFERROR(__xludf.DUMMYFUNCTION("ARRAYFORMULA(VLOOKUP(A1524,IMPORTRANGE(""https://docs.google.com/spreadsheets/d/1BuTWp7qHGjWhqrnf-OmePP568O4A5Am9ttzvVdP67zw/edit#gid=1931367683"" ,""ENERGY!$A$2:$F$2692""), {2,3,4,5,6},0))"),"Oceania")</f>
        <v>Oceania</v>
      </c>
      <c r="AC1524" s="14" t="str">
        <f>IFERROR(__xludf.DUMMYFUNCTION("""COMPUTED_VALUE"""),"Marshall Islands-Oceania")</f>
        <v>Marshall Islands-Oceania</v>
      </c>
      <c r="AD1524" s="14" t="str">
        <f>IFERROR(__xludf.DUMMYFUNCTION("""COMPUTED_VALUE"""),"2001")</f>
        <v>2001</v>
      </c>
      <c r="AE1524" s="14"/>
      <c r="AF1524" s="14"/>
    </row>
    <row r="1525">
      <c r="A1525" s="12">
        <v>1524.0</v>
      </c>
      <c r="B1525" s="12" t="s">
        <v>196</v>
      </c>
      <c r="C1525" s="5" t="s">
        <v>80</v>
      </c>
      <c r="D1525" s="8"/>
      <c r="E1525" s="8"/>
      <c r="F1525" s="8"/>
      <c r="G1525" s="8"/>
      <c r="H1525" s="11">
        <v>0.023</v>
      </c>
      <c r="I1525" s="11">
        <v>0.011</v>
      </c>
      <c r="J1525" s="9" t="s">
        <v>63</v>
      </c>
      <c r="K1525" s="14" t="str">
        <f>IFERROR(__xludf.DUMMYFUNCTION("ARRAYFORMULA(VLOOKUP(A1525,IMPORTRANGE(""https://docs.google.com/spreadsheets/d/1BuTWp7qHGjWhqrnf-OmePP568O4A5Am9ttzvVdP67zw/edit#gid=1603210130"", ""TOURISM!$A$2:$F$2692""), {2,3,4,5,6},0))"),"Oceania")</f>
        <v>Oceania</v>
      </c>
      <c r="L1525" s="14">
        <f>IFERROR(__xludf.DUMMYFUNCTION("""COMPUTED_VALUE"""),3400000.0)</f>
        <v>3400000</v>
      </c>
      <c r="M1525" s="14" t="str">
        <f>IFERROR(__xludf.DUMMYFUNCTION("""COMPUTED_VALUE"""),"Marshall Islands-Oceania")</f>
        <v>Marshall Islands-Oceania</v>
      </c>
      <c r="N1525" s="14" t="str">
        <f>IFERROR(__xludf.DUMMYFUNCTION("""COMPUTED_VALUE"""),"2002")</f>
        <v>2002</v>
      </c>
      <c r="O1525" s="14">
        <f>IFERROR(__xludf.DUMMYFUNCTION("""COMPUTED_VALUE"""),300000.0)</f>
        <v>300000</v>
      </c>
      <c r="P1525" s="15" t="str">
        <f>IFERROR(__xludf.DUMMYFUNCTION("ARRAYFORMULA(VLOOKUP(A1525,IMPORTRANGE(""https://docs.google.com/spreadsheets/d/1BuTWp7qHGjWhqrnf-OmePP568O4A5Am9ttzvVdP67zw/edit#gid=771602874"" ,""HUMAN RESOURCES!$A$2:$M$2692""), {2,3,4,5,6,7,8,9,10,11,12,13},0))"),"")</f>
        <v/>
      </c>
      <c r="Q1525" s="14">
        <f>IFERROR(__xludf.DUMMYFUNCTION("""COMPUTED_VALUE"""),0.033)</f>
        <v>0.033</v>
      </c>
      <c r="R1525" s="14"/>
      <c r="S1525" s="14"/>
      <c r="T1525" s="14"/>
      <c r="U1525" s="14"/>
      <c r="V1525" s="14"/>
      <c r="W1525" s="14">
        <f>IFERROR(__xludf.DUMMYFUNCTION("""COMPUTED_VALUE"""),52161.0)</f>
        <v>52161</v>
      </c>
      <c r="X1525" s="14">
        <f>IFERROR(__xludf.DUMMYFUNCTION("""COMPUTED_VALUE"""),0.69)</f>
        <v>0.69</v>
      </c>
      <c r="Y1525" s="14" t="str">
        <f>IFERROR(__xludf.DUMMYFUNCTION("""COMPUTED_VALUE"""),"Marshall Islands-Oceania")</f>
        <v>Marshall Islands-Oceania</v>
      </c>
      <c r="Z1525" s="14" t="str">
        <f>IFERROR(__xludf.DUMMYFUNCTION("""COMPUTED_VALUE"""),"Oceania")</f>
        <v>Oceania</v>
      </c>
      <c r="AA1525" s="14" t="str">
        <f>IFERROR(__xludf.DUMMYFUNCTION("""COMPUTED_VALUE"""),"2002")</f>
        <v>2002</v>
      </c>
      <c r="AB1525" s="15" t="str">
        <f>IFERROR(__xludf.DUMMYFUNCTION("ARRAYFORMULA(VLOOKUP(A1525,IMPORTRANGE(""https://docs.google.com/spreadsheets/d/1BuTWp7qHGjWhqrnf-OmePP568O4A5Am9ttzvVdP67zw/edit#gid=1931367683"" ,""ENERGY!$A$2:$F$2692""), {2,3,4,5,6},0))"),"Oceania")</f>
        <v>Oceania</v>
      </c>
      <c r="AC1525" s="14" t="str">
        <f>IFERROR(__xludf.DUMMYFUNCTION("""COMPUTED_VALUE"""),"Marshall Islands-Oceania")</f>
        <v>Marshall Islands-Oceania</v>
      </c>
      <c r="AD1525" s="14" t="str">
        <f>IFERROR(__xludf.DUMMYFUNCTION("""COMPUTED_VALUE"""),"2002")</f>
        <v>2002</v>
      </c>
      <c r="AE1525" s="14"/>
      <c r="AF1525" s="14">
        <f>IFERROR(__xludf.DUMMYFUNCTION("""COMPUTED_VALUE"""),103.0)</f>
        <v>103</v>
      </c>
    </row>
    <row r="1526">
      <c r="A1526" s="12">
        <v>1525.0</v>
      </c>
      <c r="B1526" s="12" t="s">
        <v>196</v>
      </c>
      <c r="C1526" s="5" t="s">
        <v>80</v>
      </c>
      <c r="D1526" s="8"/>
      <c r="E1526" s="11">
        <v>17.0</v>
      </c>
      <c r="F1526" s="8"/>
      <c r="G1526" s="8"/>
      <c r="H1526" s="11">
        <v>0.026</v>
      </c>
      <c r="I1526" s="11">
        <v>0.011</v>
      </c>
      <c r="J1526" s="9" t="s">
        <v>64</v>
      </c>
      <c r="K1526" s="14" t="str">
        <f>IFERROR(__xludf.DUMMYFUNCTION("ARRAYFORMULA(VLOOKUP(A1526,IMPORTRANGE(""https://docs.google.com/spreadsheets/d/1BuTWp7qHGjWhqrnf-OmePP568O4A5Am9ttzvVdP67zw/edit#gid=1603210130"", ""TOURISM!$A$2:$F$2692""), {2,3,4,5,6},0))"),"Oceania")</f>
        <v>Oceania</v>
      </c>
      <c r="L1526" s="14">
        <f>IFERROR(__xludf.DUMMYFUNCTION("""COMPUTED_VALUE"""),4000000.0)</f>
        <v>4000000</v>
      </c>
      <c r="M1526" s="14" t="str">
        <f>IFERROR(__xludf.DUMMYFUNCTION("""COMPUTED_VALUE"""),"Marshall Islands-Oceania")</f>
        <v>Marshall Islands-Oceania</v>
      </c>
      <c r="N1526" s="14" t="str">
        <f>IFERROR(__xludf.DUMMYFUNCTION("""COMPUTED_VALUE"""),"2003")</f>
        <v>2003</v>
      </c>
      <c r="O1526" s="14">
        <f>IFERROR(__xludf.DUMMYFUNCTION("""COMPUTED_VALUE"""),300000.0)</f>
        <v>300000</v>
      </c>
      <c r="P1526" s="15" t="str">
        <f>IFERROR(__xludf.DUMMYFUNCTION("ARRAYFORMULA(VLOOKUP(A1526,IMPORTRANGE(""https://docs.google.com/spreadsheets/d/1BuTWp7qHGjWhqrnf-OmePP568O4A5Am9ttzvVdP67zw/edit#gid=771602874"" ,""HUMAN RESOURCES!$A$2:$M$2692""), {2,3,4,5,6,7,8,9,10,11,12,13},0))"),"")</f>
        <v/>
      </c>
      <c r="Q1526" s="14">
        <f>IFERROR(__xludf.DUMMYFUNCTION("""COMPUTED_VALUE"""),0.033)</f>
        <v>0.033</v>
      </c>
      <c r="R1526" s="14"/>
      <c r="S1526" s="14"/>
      <c r="T1526" s="14"/>
      <c r="U1526" s="14"/>
      <c r="V1526" s="14"/>
      <c r="W1526" s="14">
        <f>IFERROR(__xludf.DUMMYFUNCTION("""COMPUTED_VALUE"""),52115.0)</f>
        <v>52115</v>
      </c>
      <c r="X1526" s="14">
        <f>IFERROR(__xludf.DUMMYFUNCTION("""COMPUTED_VALUE"""),0.693)</f>
        <v>0.693</v>
      </c>
      <c r="Y1526" s="14" t="str">
        <f>IFERROR(__xludf.DUMMYFUNCTION("""COMPUTED_VALUE"""),"Marshall Islands-Oceania")</f>
        <v>Marshall Islands-Oceania</v>
      </c>
      <c r="Z1526" s="14" t="str">
        <f>IFERROR(__xludf.DUMMYFUNCTION("""COMPUTED_VALUE"""),"Oceania")</f>
        <v>Oceania</v>
      </c>
      <c r="AA1526" s="14" t="str">
        <f>IFERROR(__xludf.DUMMYFUNCTION("""COMPUTED_VALUE"""),"2003")</f>
        <v>2003</v>
      </c>
      <c r="AB1526" s="15" t="str">
        <f>IFERROR(__xludf.DUMMYFUNCTION("ARRAYFORMULA(VLOOKUP(A1526,IMPORTRANGE(""https://docs.google.com/spreadsheets/d/1BuTWp7qHGjWhqrnf-OmePP568O4A5Am9ttzvVdP67zw/edit#gid=1931367683"" ,""ENERGY!$A$2:$F$2692""), {2,3,4,5,6},0))"),"Oceania")</f>
        <v>Oceania</v>
      </c>
      <c r="AC1526" s="14" t="str">
        <f>IFERROR(__xludf.DUMMYFUNCTION("""COMPUTED_VALUE"""),"Marshall Islands-Oceania")</f>
        <v>Marshall Islands-Oceania</v>
      </c>
      <c r="AD1526" s="14" t="str">
        <f>IFERROR(__xludf.DUMMYFUNCTION("""COMPUTED_VALUE"""),"2003")</f>
        <v>2003</v>
      </c>
      <c r="AE1526" s="14"/>
      <c r="AF1526" s="14">
        <f>IFERROR(__xludf.DUMMYFUNCTION("""COMPUTED_VALUE"""),103.0)</f>
        <v>103</v>
      </c>
    </row>
    <row r="1527">
      <c r="A1527" s="12">
        <v>1526.0</v>
      </c>
      <c r="B1527" s="12" t="s">
        <v>196</v>
      </c>
      <c r="C1527" s="5" t="s">
        <v>80</v>
      </c>
      <c r="D1527" s="8"/>
      <c r="E1527" s="11">
        <v>17.0</v>
      </c>
      <c r="F1527" s="8"/>
      <c r="G1527" s="8"/>
      <c r="H1527" s="11">
        <v>0.036</v>
      </c>
      <c r="I1527" s="11">
        <v>0.012</v>
      </c>
      <c r="J1527" s="9" t="s">
        <v>65</v>
      </c>
      <c r="K1527" s="14" t="str">
        <f>IFERROR(__xludf.DUMMYFUNCTION("ARRAYFORMULA(VLOOKUP(A1527,IMPORTRANGE(""https://docs.google.com/spreadsheets/d/1BuTWp7qHGjWhqrnf-OmePP568O4A5Am9ttzvVdP67zw/edit#gid=1603210130"", ""TOURISM!$A$2:$F$2692""), {2,3,4,5,6},0))"),"Oceania")</f>
        <v>Oceania</v>
      </c>
      <c r="L1527" s="14">
        <f>IFERROR(__xludf.DUMMYFUNCTION("""COMPUTED_VALUE"""),5000000.0)</f>
        <v>5000000</v>
      </c>
      <c r="M1527" s="14" t="str">
        <f>IFERROR(__xludf.DUMMYFUNCTION("""COMPUTED_VALUE"""),"Marshall Islands-Oceania")</f>
        <v>Marshall Islands-Oceania</v>
      </c>
      <c r="N1527" s="14" t="str">
        <f>IFERROR(__xludf.DUMMYFUNCTION("""COMPUTED_VALUE"""),"2004")</f>
        <v>2004</v>
      </c>
      <c r="O1527" s="14">
        <f>IFERROR(__xludf.DUMMYFUNCTION("""COMPUTED_VALUE"""),400000.0)</f>
        <v>400000</v>
      </c>
      <c r="P1527" s="15" t="str">
        <f>IFERROR(__xludf.DUMMYFUNCTION("ARRAYFORMULA(VLOOKUP(A1527,IMPORTRANGE(""https://docs.google.com/spreadsheets/d/1BuTWp7qHGjWhqrnf-OmePP568O4A5Am9ttzvVdP67zw/edit#gid=771602874"" ,""HUMAN RESOURCES!$A$2:$M$2692""), {2,3,4,5,6,7,8,9,10,11,12,13},0))"),"")</f>
        <v/>
      </c>
      <c r="Q1527" s="14">
        <f>IFERROR(__xludf.DUMMYFUNCTION("""COMPUTED_VALUE"""),0.033)</f>
        <v>0.033</v>
      </c>
      <c r="R1527" s="14"/>
      <c r="S1527" s="14"/>
      <c r="T1527" s="14"/>
      <c r="U1527" s="14"/>
      <c r="V1527" s="14"/>
      <c r="W1527" s="14">
        <f>IFERROR(__xludf.DUMMYFUNCTION("""COMPUTED_VALUE"""),52074.0)</f>
        <v>52074</v>
      </c>
      <c r="X1527" s="14">
        <f>IFERROR(__xludf.DUMMYFUNCTION("""COMPUTED_VALUE"""),0.696)</f>
        <v>0.696</v>
      </c>
      <c r="Y1527" s="14" t="str">
        <f>IFERROR(__xludf.DUMMYFUNCTION("""COMPUTED_VALUE"""),"Marshall Islands-Oceania")</f>
        <v>Marshall Islands-Oceania</v>
      </c>
      <c r="Z1527" s="14" t="str">
        <f>IFERROR(__xludf.DUMMYFUNCTION("""COMPUTED_VALUE"""),"Oceania")</f>
        <v>Oceania</v>
      </c>
      <c r="AA1527" s="14" t="str">
        <f>IFERROR(__xludf.DUMMYFUNCTION("""COMPUTED_VALUE"""),"2004")</f>
        <v>2004</v>
      </c>
      <c r="AB1527" s="15" t="str">
        <f>IFERROR(__xludf.DUMMYFUNCTION("ARRAYFORMULA(VLOOKUP(A1527,IMPORTRANGE(""https://docs.google.com/spreadsheets/d/1BuTWp7qHGjWhqrnf-OmePP568O4A5Am9ttzvVdP67zw/edit#gid=1931367683"" ,""ENERGY!$A$2:$F$2692""), {2,3,4,5,6},0))"),"Oceania")</f>
        <v>Oceania</v>
      </c>
      <c r="AC1527" s="14" t="str">
        <f>IFERROR(__xludf.DUMMYFUNCTION("""COMPUTED_VALUE"""),"Marshall Islands-Oceania")</f>
        <v>Marshall Islands-Oceania</v>
      </c>
      <c r="AD1527" s="14" t="str">
        <f>IFERROR(__xludf.DUMMYFUNCTION("""COMPUTED_VALUE"""),"2004")</f>
        <v>2004</v>
      </c>
      <c r="AE1527" s="14"/>
      <c r="AF1527" s="14">
        <f>IFERROR(__xludf.DUMMYFUNCTION("""COMPUTED_VALUE"""),99.0)</f>
        <v>99</v>
      </c>
    </row>
    <row r="1528">
      <c r="A1528" s="12">
        <v>1527.0</v>
      </c>
      <c r="B1528" s="12" t="s">
        <v>196</v>
      </c>
      <c r="C1528" s="5" t="s">
        <v>80</v>
      </c>
      <c r="D1528" s="11">
        <v>0.648</v>
      </c>
      <c r="E1528" s="11">
        <v>17.0</v>
      </c>
      <c r="F1528" s="8"/>
      <c r="G1528" s="11">
        <v>128.0</v>
      </c>
      <c r="H1528" s="11">
        <v>0.039</v>
      </c>
      <c r="I1528" s="11">
        <v>0.013</v>
      </c>
      <c r="J1528" s="9" t="s">
        <v>66</v>
      </c>
      <c r="K1528" s="14" t="str">
        <f>IFERROR(__xludf.DUMMYFUNCTION("ARRAYFORMULA(VLOOKUP(A1528,IMPORTRANGE(""https://docs.google.com/spreadsheets/d/1BuTWp7qHGjWhqrnf-OmePP568O4A5Am9ttzvVdP67zw/edit#gid=1603210130"", ""TOURISM!$A$2:$F$2692""), {2,3,4,5,6},0))"),"Oceania")</f>
        <v>Oceania</v>
      </c>
      <c r="L1528" s="14">
        <f>IFERROR(__xludf.DUMMYFUNCTION("""COMPUTED_VALUE"""),5700000.0)</f>
        <v>5700000</v>
      </c>
      <c r="M1528" s="14" t="str">
        <f>IFERROR(__xludf.DUMMYFUNCTION("""COMPUTED_VALUE"""),"Marshall Islands-Oceania")</f>
        <v>Marshall Islands-Oceania</v>
      </c>
      <c r="N1528" s="14" t="str">
        <f>IFERROR(__xludf.DUMMYFUNCTION("""COMPUTED_VALUE"""),"2005")</f>
        <v>2005</v>
      </c>
      <c r="O1528" s="14">
        <f>IFERROR(__xludf.DUMMYFUNCTION("""COMPUTED_VALUE"""),400000.0)</f>
        <v>400000</v>
      </c>
      <c r="P1528" s="15">
        <f>IFERROR(__xludf.DUMMYFUNCTION("ARRAYFORMULA(VLOOKUP(A1528,IMPORTRANGE(""https://docs.google.com/spreadsheets/d/1BuTWp7qHGjWhqrnf-OmePP568O4A5Am9ttzvVdP67zw/edit#gid=771602874"" ,""HUMAN RESOURCES!$A$2:$M$2692""), {2,3,4,5,6,7,8,9,10,11,12,13},0))"),0.035)</f>
        <v>0.035</v>
      </c>
      <c r="Q1528" s="14">
        <f>IFERROR(__xludf.DUMMYFUNCTION("""COMPUTED_VALUE"""),0.033)</f>
        <v>0.033</v>
      </c>
      <c r="R1528" s="14"/>
      <c r="S1528" s="14"/>
      <c r="T1528" s="14"/>
      <c r="U1528" s="14"/>
      <c r="V1528" s="14"/>
      <c r="W1528" s="14">
        <f>IFERROR(__xludf.DUMMYFUNCTION("""COMPUTED_VALUE"""),52058.0)</f>
        <v>52058</v>
      </c>
      <c r="X1528" s="14">
        <f>IFERROR(__xludf.DUMMYFUNCTION("""COMPUTED_VALUE"""),0.699)</f>
        <v>0.699</v>
      </c>
      <c r="Y1528" s="14" t="str">
        <f>IFERROR(__xludf.DUMMYFUNCTION("""COMPUTED_VALUE"""),"Marshall Islands-Oceania")</f>
        <v>Marshall Islands-Oceania</v>
      </c>
      <c r="Z1528" s="14" t="str">
        <f>IFERROR(__xludf.DUMMYFUNCTION("""COMPUTED_VALUE"""),"Oceania")</f>
        <v>Oceania</v>
      </c>
      <c r="AA1528" s="14" t="str">
        <f>IFERROR(__xludf.DUMMYFUNCTION("""COMPUTED_VALUE"""),"2005")</f>
        <v>2005</v>
      </c>
      <c r="AB1528" s="15" t="str">
        <f>IFERROR(__xludf.DUMMYFUNCTION("ARRAYFORMULA(VLOOKUP(A1528,IMPORTRANGE(""https://docs.google.com/spreadsheets/d/1BuTWp7qHGjWhqrnf-OmePP568O4A5Am9ttzvVdP67zw/edit#gid=1931367683"" ,""ENERGY!$A$2:$F$2692""), {2,3,4,5,6},0))"),"Oceania")</f>
        <v>Oceania</v>
      </c>
      <c r="AC1528" s="14" t="str">
        <f>IFERROR(__xludf.DUMMYFUNCTION("""COMPUTED_VALUE"""),"Marshall Islands-Oceania")</f>
        <v>Marshall Islands-Oceania</v>
      </c>
      <c r="AD1528" s="14" t="str">
        <f>IFERROR(__xludf.DUMMYFUNCTION("""COMPUTED_VALUE"""),"2007")</f>
        <v>2007</v>
      </c>
      <c r="AE1528" s="14">
        <f>IFERROR(__xludf.DUMMYFUNCTION("""COMPUTED_VALUE"""),32.0)</f>
        <v>32</v>
      </c>
      <c r="AF1528" s="14">
        <f>IFERROR(__xludf.DUMMYFUNCTION("""COMPUTED_VALUE"""),99.0)</f>
        <v>99</v>
      </c>
    </row>
    <row r="1529">
      <c r="A1529" s="12">
        <v>1528.0</v>
      </c>
      <c r="B1529" s="12" t="s">
        <v>196</v>
      </c>
      <c r="C1529" s="5" t="s">
        <v>80</v>
      </c>
      <c r="D1529" s="11">
        <v>0.648</v>
      </c>
      <c r="E1529" s="11">
        <v>17.0</v>
      </c>
      <c r="F1529" s="8"/>
      <c r="G1529" s="11">
        <v>128.0</v>
      </c>
      <c r="H1529" s="11">
        <v>0.038</v>
      </c>
      <c r="I1529" s="8"/>
      <c r="J1529" s="9" t="s">
        <v>67</v>
      </c>
      <c r="K1529" s="14" t="str">
        <f>IFERROR(__xludf.DUMMYFUNCTION("ARRAYFORMULA(VLOOKUP(A1529,IMPORTRANGE(""https://docs.google.com/spreadsheets/d/1BuTWp7qHGjWhqrnf-OmePP568O4A5Am9ttzvVdP67zw/edit#gid=1603210130"", ""TOURISM!$A$2:$F$2692""), {2,3,4,5,6},0))"),"Oceania")</f>
        <v>Oceania</v>
      </c>
      <c r="L1529" s="14">
        <f>IFERROR(__xludf.DUMMYFUNCTION("""COMPUTED_VALUE"""),6600000.0)</f>
        <v>6600000</v>
      </c>
      <c r="M1529" s="14" t="str">
        <f>IFERROR(__xludf.DUMMYFUNCTION("""COMPUTED_VALUE"""),"Marshall Islands-Oceania")</f>
        <v>Marshall Islands-Oceania</v>
      </c>
      <c r="N1529" s="14" t="str">
        <f>IFERROR(__xludf.DUMMYFUNCTION("""COMPUTED_VALUE"""),"2006")</f>
        <v>2006</v>
      </c>
      <c r="O1529" s="14">
        <f>IFERROR(__xludf.DUMMYFUNCTION("""COMPUTED_VALUE"""),400000.0)</f>
        <v>400000</v>
      </c>
      <c r="P1529" s="15">
        <f>IFERROR(__xludf.DUMMYFUNCTION("ARRAYFORMULA(VLOOKUP(A1529,IMPORTRANGE(""https://docs.google.com/spreadsheets/d/1BuTWp7qHGjWhqrnf-OmePP568O4A5Am9ttzvVdP67zw/edit#gid=771602874"" ,""HUMAN RESOURCES!$A$2:$M$2692""), {2,3,4,5,6,7,8,9,10,11,12,13},0))"),0.035)</f>
        <v>0.035</v>
      </c>
      <c r="Q1529" s="14">
        <f>IFERROR(__xludf.DUMMYFUNCTION("""COMPUTED_VALUE"""),0.033)</f>
        <v>0.033</v>
      </c>
      <c r="R1529" s="14"/>
      <c r="S1529" s="14"/>
      <c r="T1529" s="14"/>
      <c r="U1529" s="14"/>
      <c r="V1529" s="14"/>
      <c r="W1529" s="14">
        <f>IFERROR(__xludf.DUMMYFUNCTION("""COMPUTED_VALUE"""),52084.0)</f>
        <v>52084</v>
      </c>
      <c r="X1529" s="14">
        <f>IFERROR(__xludf.DUMMYFUNCTION("""COMPUTED_VALUE"""),0.702)</f>
        <v>0.702</v>
      </c>
      <c r="Y1529" s="14" t="str">
        <f>IFERROR(__xludf.DUMMYFUNCTION("""COMPUTED_VALUE"""),"Marshall Islands-Oceania")</f>
        <v>Marshall Islands-Oceania</v>
      </c>
      <c r="Z1529" s="14" t="str">
        <f>IFERROR(__xludf.DUMMYFUNCTION("""COMPUTED_VALUE"""),"Oceania")</f>
        <v>Oceania</v>
      </c>
      <c r="AA1529" s="14" t="str">
        <f>IFERROR(__xludf.DUMMYFUNCTION("""COMPUTED_VALUE"""),"2006")</f>
        <v>2006</v>
      </c>
      <c r="AB1529" s="15" t="str">
        <f>IFERROR(__xludf.DUMMYFUNCTION("ARRAYFORMULA(VLOOKUP(A1529,IMPORTRANGE(""https://docs.google.com/spreadsheets/d/1BuTWp7qHGjWhqrnf-OmePP568O4A5Am9ttzvVdP67zw/edit#gid=1931367683"" ,""ENERGY!$A$2:$F$2692""), {2,3,4,5,6},0))"),"Oceania")</f>
        <v>Oceania</v>
      </c>
      <c r="AC1529" s="14" t="str">
        <f>IFERROR(__xludf.DUMMYFUNCTION("""COMPUTED_VALUE"""),"Marshall Islands-Oceania")</f>
        <v>Marshall Islands-Oceania</v>
      </c>
      <c r="AD1529" s="14" t="str">
        <f>IFERROR(__xludf.DUMMYFUNCTION("""COMPUTED_VALUE"""),"2011")</f>
        <v>2011</v>
      </c>
      <c r="AE1529" s="14">
        <f>IFERROR(__xludf.DUMMYFUNCTION("""COMPUTED_VALUE"""),30.0)</f>
        <v>30</v>
      </c>
      <c r="AF1529" s="14">
        <f>IFERROR(__xludf.DUMMYFUNCTION("""COMPUTED_VALUE"""),92.0)</f>
        <v>92</v>
      </c>
    </row>
    <row r="1530">
      <c r="A1530" s="12">
        <v>1529.0</v>
      </c>
      <c r="B1530" s="12" t="s">
        <v>196</v>
      </c>
      <c r="C1530" s="5" t="s">
        <v>80</v>
      </c>
      <c r="D1530" s="11">
        <v>0.648</v>
      </c>
      <c r="E1530" s="11">
        <v>17.0</v>
      </c>
      <c r="F1530" s="8"/>
      <c r="G1530" s="11">
        <v>128.0</v>
      </c>
      <c r="H1530" s="11">
        <v>0.04</v>
      </c>
      <c r="I1530" s="8"/>
      <c r="J1530" s="9" t="s">
        <v>68</v>
      </c>
      <c r="K1530" s="14" t="str">
        <f>IFERROR(__xludf.DUMMYFUNCTION("ARRAYFORMULA(VLOOKUP(A1530,IMPORTRANGE(""https://docs.google.com/spreadsheets/d/1BuTWp7qHGjWhqrnf-OmePP568O4A5Am9ttzvVdP67zw/edit#gid=1603210130"", ""TOURISM!$A$2:$F$2692""), {2,3,4,5,6},0))"),"Oceania")</f>
        <v>Oceania</v>
      </c>
      <c r="L1530" s="14">
        <f>IFERROR(__xludf.DUMMYFUNCTION("""COMPUTED_VALUE"""),4500000.0)</f>
        <v>4500000</v>
      </c>
      <c r="M1530" s="14" t="str">
        <f>IFERROR(__xludf.DUMMYFUNCTION("""COMPUTED_VALUE"""),"Marshall Islands-Oceania")</f>
        <v>Marshall Islands-Oceania</v>
      </c>
      <c r="N1530" s="14" t="str">
        <f>IFERROR(__xludf.DUMMYFUNCTION("""COMPUTED_VALUE"""),"2007")</f>
        <v>2007</v>
      </c>
      <c r="O1530" s="14"/>
      <c r="P1530" s="15">
        <f>IFERROR(__xludf.DUMMYFUNCTION("ARRAYFORMULA(VLOOKUP(A1530,IMPORTRANGE(""https://docs.google.com/spreadsheets/d/1BuTWp7qHGjWhqrnf-OmePP568O4A5Am9ttzvVdP67zw/edit#gid=771602874"" ,""HUMAN RESOURCES!$A$2:$M$2692""), {2,3,4,5,6,7,8,9,10,11,12,13},0))"),0.035)</f>
        <v>0.035</v>
      </c>
      <c r="Q1530" s="14">
        <f>IFERROR(__xludf.DUMMYFUNCTION("""COMPUTED_VALUE"""),0.032)</f>
        <v>0.032</v>
      </c>
      <c r="R1530" s="14"/>
      <c r="S1530" s="14"/>
      <c r="T1530" s="14"/>
      <c r="U1530" s="14"/>
      <c r="V1530" s="14"/>
      <c r="W1530" s="14">
        <f>IFERROR(__xludf.DUMMYFUNCTION("""COMPUTED_VALUE"""),52150.0)</f>
        <v>52150</v>
      </c>
      <c r="X1530" s="14">
        <f>IFERROR(__xludf.DUMMYFUNCTION("""COMPUTED_VALUE"""),0.705)</f>
        <v>0.705</v>
      </c>
      <c r="Y1530" s="14" t="str">
        <f>IFERROR(__xludf.DUMMYFUNCTION("""COMPUTED_VALUE"""),"Marshall Islands-Oceania")</f>
        <v>Marshall Islands-Oceania</v>
      </c>
      <c r="Z1530" s="14" t="str">
        <f>IFERROR(__xludf.DUMMYFUNCTION("""COMPUTED_VALUE"""),"Oceania")</f>
        <v>Oceania</v>
      </c>
      <c r="AA1530" s="14" t="str">
        <f>IFERROR(__xludf.DUMMYFUNCTION("""COMPUTED_VALUE"""),"2007")</f>
        <v>2007</v>
      </c>
      <c r="AB1530" s="15" t="str">
        <f>IFERROR(__xludf.DUMMYFUNCTION("ARRAYFORMULA(VLOOKUP(A1530,IMPORTRANGE(""https://docs.google.com/spreadsheets/d/1BuTWp7qHGjWhqrnf-OmePP568O4A5Am9ttzvVdP67zw/edit#gid=1931367683"" ,""ENERGY!$A$2:$F$2692""), {2,3,4,5,6},0))"),"Oceania")</f>
        <v>Oceania</v>
      </c>
      <c r="AC1530" s="14" t="str">
        <f>IFERROR(__xludf.DUMMYFUNCTION("""COMPUTED_VALUE"""),"Marshall Islands-Oceania")</f>
        <v>Marshall Islands-Oceania</v>
      </c>
      <c r="AD1530" s="14" t="str">
        <f>IFERROR(__xludf.DUMMYFUNCTION("""COMPUTED_VALUE"""),"2009")</f>
        <v>2009</v>
      </c>
      <c r="AE1530" s="14">
        <f>IFERROR(__xludf.DUMMYFUNCTION("""COMPUTED_VALUE"""),29.0)</f>
        <v>29</v>
      </c>
      <c r="AF1530" s="14">
        <f>IFERROR(__xludf.DUMMYFUNCTION("""COMPUTED_VALUE"""),84.0)</f>
        <v>84</v>
      </c>
    </row>
    <row r="1531">
      <c r="A1531" s="12">
        <v>1530.0</v>
      </c>
      <c r="B1531" s="12" t="s">
        <v>196</v>
      </c>
      <c r="C1531" s="5" t="s">
        <v>80</v>
      </c>
      <c r="D1531" s="11">
        <v>0.648</v>
      </c>
      <c r="E1531" s="11">
        <v>17.0</v>
      </c>
      <c r="F1531" s="8"/>
      <c r="G1531" s="11">
        <v>128.0</v>
      </c>
      <c r="H1531" s="11">
        <v>0.046</v>
      </c>
      <c r="I1531" s="8"/>
      <c r="J1531" s="9" t="s">
        <v>69</v>
      </c>
      <c r="K1531" s="14" t="str">
        <f>IFERROR(__xludf.DUMMYFUNCTION("ARRAYFORMULA(VLOOKUP(A1531,IMPORTRANGE(""https://docs.google.com/spreadsheets/d/1BuTWp7qHGjWhqrnf-OmePP568O4A5Am9ttzvVdP67zw/edit#gid=1603210130"", ""TOURISM!$A$2:$F$2692""), {2,3,4,5,6},0))"),"Oceania")</f>
        <v>Oceania</v>
      </c>
      <c r="L1531" s="14">
        <f>IFERROR(__xludf.DUMMYFUNCTION("""COMPUTED_VALUE"""),3000000.0)</f>
        <v>3000000</v>
      </c>
      <c r="M1531" s="14" t="str">
        <f>IFERROR(__xludf.DUMMYFUNCTION("""COMPUTED_VALUE"""),"Marshall Islands-Oceania")</f>
        <v>Marshall Islands-Oceania</v>
      </c>
      <c r="N1531" s="14" t="str">
        <f>IFERROR(__xludf.DUMMYFUNCTION("""COMPUTED_VALUE"""),"2008")</f>
        <v>2008</v>
      </c>
      <c r="O1531" s="14"/>
      <c r="P1531" s="15" t="str">
        <f>IFERROR(__xludf.DUMMYFUNCTION("ARRAYFORMULA(VLOOKUP(A1531,IMPORTRANGE(""https://docs.google.com/spreadsheets/d/1BuTWp7qHGjWhqrnf-OmePP568O4A5Am9ttzvVdP67zw/edit#gid=771602874"" ,""HUMAN RESOURCES!$A$2:$M$2692""), {2,3,4,5,6,7,8,9,10,11,12,13},0))"),"")</f>
        <v/>
      </c>
      <c r="Q1531" s="14">
        <f>IFERROR(__xludf.DUMMYFUNCTION("""COMPUTED_VALUE"""),0.032)</f>
        <v>0.032</v>
      </c>
      <c r="R1531" s="14"/>
      <c r="S1531" s="14"/>
      <c r="T1531" s="14"/>
      <c r="U1531" s="14"/>
      <c r="V1531" s="14"/>
      <c r="W1531" s="14">
        <f>IFERROR(__xludf.DUMMYFUNCTION("""COMPUTED_VALUE"""),52245.0)</f>
        <v>52245</v>
      </c>
      <c r="X1531" s="14">
        <f>IFERROR(__xludf.DUMMYFUNCTION("""COMPUTED_VALUE"""),0.708)</f>
        <v>0.708</v>
      </c>
      <c r="Y1531" s="14" t="str">
        <f>IFERROR(__xludf.DUMMYFUNCTION("""COMPUTED_VALUE"""),"Marshall Islands-Oceania")</f>
        <v>Marshall Islands-Oceania</v>
      </c>
      <c r="Z1531" s="14" t="str">
        <f>IFERROR(__xludf.DUMMYFUNCTION("""COMPUTED_VALUE"""),"Oceania")</f>
        <v>Oceania</v>
      </c>
      <c r="AA1531" s="14" t="str">
        <f>IFERROR(__xludf.DUMMYFUNCTION("""COMPUTED_VALUE"""),"2008")</f>
        <v>2008</v>
      </c>
      <c r="AB1531" s="15" t="str">
        <f>IFERROR(__xludf.DUMMYFUNCTION("ARRAYFORMULA(VLOOKUP(A1531,IMPORTRANGE(""https://docs.google.com/spreadsheets/d/1BuTWp7qHGjWhqrnf-OmePP568O4A5Am9ttzvVdP67zw/edit#gid=1931367683"" ,""ENERGY!$A$2:$F$2692""), {2,3,4,5,6},0))"),"Oceania")</f>
        <v>Oceania</v>
      </c>
      <c r="AC1531" s="14" t="str">
        <f>IFERROR(__xludf.DUMMYFUNCTION("""COMPUTED_VALUE"""),"Marshall Islands-Oceania")</f>
        <v>Marshall Islands-Oceania</v>
      </c>
      <c r="AD1531" s="14" t="str">
        <f>IFERROR(__xludf.DUMMYFUNCTION("""COMPUTED_VALUE"""),"2006")</f>
        <v>2006</v>
      </c>
      <c r="AE1531" s="14">
        <f>IFERROR(__xludf.DUMMYFUNCTION("""COMPUTED_VALUE"""),29.0)</f>
        <v>29</v>
      </c>
      <c r="AF1531" s="14">
        <f>IFERROR(__xludf.DUMMYFUNCTION("""COMPUTED_VALUE"""),88.0)</f>
        <v>88</v>
      </c>
    </row>
    <row r="1532">
      <c r="A1532" s="12">
        <v>1531.0</v>
      </c>
      <c r="B1532" s="12" t="s">
        <v>196</v>
      </c>
      <c r="C1532" s="5" t="s">
        <v>80</v>
      </c>
      <c r="D1532" s="11">
        <v>0.648</v>
      </c>
      <c r="E1532" s="11">
        <v>17.0</v>
      </c>
      <c r="F1532" s="8"/>
      <c r="G1532" s="11">
        <v>128.0</v>
      </c>
      <c r="H1532" s="11">
        <v>0.056</v>
      </c>
      <c r="I1532" s="8"/>
      <c r="J1532" s="9" t="s">
        <v>70</v>
      </c>
      <c r="K1532" s="14" t="str">
        <f>IFERROR(__xludf.DUMMYFUNCTION("ARRAYFORMULA(VLOOKUP(A1532,IMPORTRANGE(""https://docs.google.com/spreadsheets/d/1BuTWp7qHGjWhqrnf-OmePP568O4A5Am9ttzvVdP67zw/edit#gid=1603210130"", ""TOURISM!$A$2:$F$2692""), {2,3,4,5,6},0))"),"Oceania")</f>
        <v>Oceania</v>
      </c>
      <c r="L1532" s="14">
        <f>IFERROR(__xludf.DUMMYFUNCTION("""COMPUTED_VALUE"""),3500000.0)</f>
        <v>3500000</v>
      </c>
      <c r="M1532" s="14" t="str">
        <f>IFERROR(__xludf.DUMMYFUNCTION("""COMPUTED_VALUE"""),"Marshall Islands-Oceania")</f>
        <v>Marshall Islands-Oceania</v>
      </c>
      <c r="N1532" s="14" t="str">
        <f>IFERROR(__xludf.DUMMYFUNCTION("""COMPUTED_VALUE"""),"2009")</f>
        <v>2009</v>
      </c>
      <c r="O1532" s="14"/>
      <c r="P1532" s="15" t="str">
        <f>IFERROR(__xludf.DUMMYFUNCTION("ARRAYFORMULA(VLOOKUP(A1532,IMPORTRANGE(""https://docs.google.com/spreadsheets/d/1BuTWp7qHGjWhqrnf-OmePP568O4A5Am9ttzvVdP67zw/edit#gid=771602874"" ,""HUMAN RESOURCES!$A$2:$M$2692""), {2,3,4,5,6,7,8,9,10,11,12,13},0))"),"")</f>
        <v/>
      </c>
      <c r="Q1532" s="14">
        <f>IFERROR(__xludf.DUMMYFUNCTION("""COMPUTED_VALUE"""),0.032)</f>
        <v>0.032</v>
      </c>
      <c r="R1532" s="14"/>
      <c r="S1532" s="14"/>
      <c r="T1532" s="14"/>
      <c r="U1532" s="14"/>
      <c r="V1532" s="14"/>
      <c r="W1532" s="14">
        <f>IFERROR(__xludf.DUMMYFUNCTION("""COMPUTED_VALUE"""),52341.0)</f>
        <v>52341</v>
      </c>
      <c r="X1532" s="14">
        <f>IFERROR(__xludf.DUMMYFUNCTION("""COMPUTED_VALUE"""),0.711)</f>
        <v>0.711</v>
      </c>
      <c r="Y1532" s="14" t="str">
        <f>IFERROR(__xludf.DUMMYFUNCTION("""COMPUTED_VALUE"""),"Marshall Islands-Oceania")</f>
        <v>Marshall Islands-Oceania</v>
      </c>
      <c r="Z1532" s="14" t="str">
        <f>IFERROR(__xludf.DUMMYFUNCTION("""COMPUTED_VALUE"""),"Oceania")</f>
        <v>Oceania</v>
      </c>
      <c r="AA1532" s="14" t="str">
        <f>IFERROR(__xludf.DUMMYFUNCTION("""COMPUTED_VALUE"""),"2009")</f>
        <v>2009</v>
      </c>
      <c r="AB1532" s="15" t="str">
        <f>IFERROR(__xludf.DUMMYFUNCTION("ARRAYFORMULA(VLOOKUP(A1532,IMPORTRANGE(""https://docs.google.com/spreadsheets/d/1BuTWp7qHGjWhqrnf-OmePP568O4A5Am9ttzvVdP67zw/edit#gid=1931367683"" ,""ENERGY!$A$2:$F$2692""), {2,3,4,5,6},0))"),"Oceania")</f>
        <v>Oceania</v>
      </c>
      <c r="AC1532" s="14" t="str">
        <f>IFERROR(__xludf.DUMMYFUNCTION("""COMPUTED_VALUE"""),"Marshall Islands-Oceania")</f>
        <v>Marshall Islands-Oceania</v>
      </c>
      <c r="AD1532" s="14" t="str">
        <f>IFERROR(__xludf.DUMMYFUNCTION("""COMPUTED_VALUE"""),"2010")</f>
        <v>2010</v>
      </c>
      <c r="AE1532" s="14"/>
      <c r="AF1532" s="14">
        <f>IFERROR(__xludf.DUMMYFUNCTION("""COMPUTED_VALUE"""),84.0)</f>
        <v>84</v>
      </c>
    </row>
    <row r="1533">
      <c r="A1533" s="12">
        <v>1532.0</v>
      </c>
      <c r="B1533" s="12" t="s">
        <v>196</v>
      </c>
      <c r="C1533" s="5" t="s">
        <v>80</v>
      </c>
      <c r="D1533" s="11">
        <v>0.648</v>
      </c>
      <c r="E1533" s="11">
        <v>17.0</v>
      </c>
      <c r="F1533" s="8"/>
      <c r="G1533" s="11">
        <v>128.0</v>
      </c>
      <c r="H1533" s="11">
        <v>0.07</v>
      </c>
      <c r="I1533" s="8"/>
      <c r="J1533" s="9" t="s">
        <v>71</v>
      </c>
      <c r="K1533" s="14" t="str">
        <f>IFERROR(__xludf.DUMMYFUNCTION("ARRAYFORMULA(VLOOKUP(A1533,IMPORTRANGE(""https://docs.google.com/spreadsheets/d/1BuTWp7qHGjWhqrnf-OmePP568O4A5Am9ttzvVdP67zw/edit#gid=1603210130"", ""TOURISM!$A$2:$F$2692""), {2,3,4,5,6},0))"),"Oceania")</f>
        <v>Oceania</v>
      </c>
      <c r="L1533" s="14">
        <f>IFERROR(__xludf.DUMMYFUNCTION("""COMPUTED_VALUE"""),3300000.0)</f>
        <v>3300000</v>
      </c>
      <c r="M1533" s="14" t="str">
        <f>IFERROR(__xludf.DUMMYFUNCTION("""COMPUTED_VALUE"""),"Marshall Islands-Oceania")</f>
        <v>Marshall Islands-Oceania</v>
      </c>
      <c r="N1533" s="14" t="str">
        <f>IFERROR(__xludf.DUMMYFUNCTION("""COMPUTED_VALUE"""),"2010")</f>
        <v>2010</v>
      </c>
      <c r="O1533" s="14"/>
      <c r="P1533" s="15" t="str">
        <f>IFERROR(__xludf.DUMMYFUNCTION("ARRAYFORMULA(VLOOKUP(A1533,IMPORTRANGE(""https://docs.google.com/spreadsheets/d/1BuTWp7qHGjWhqrnf-OmePP568O4A5Am9ttzvVdP67zw/edit#gid=771602874"" ,""HUMAN RESOURCES!$A$2:$M$2692""), {2,3,4,5,6,7,8,9,10,11,12,13},0))"),"")</f>
        <v/>
      </c>
      <c r="Q1533" s="14">
        <f>IFERROR(__xludf.DUMMYFUNCTION("""COMPUTED_VALUE"""),0.032)</f>
        <v>0.032</v>
      </c>
      <c r="R1533" s="14"/>
      <c r="S1533" s="14"/>
      <c r="T1533" s="14"/>
      <c r="U1533" s="14"/>
      <c r="V1533" s="14"/>
      <c r="W1533" s="14">
        <f>IFERROR(__xludf.DUMMYFUNCTION("""COMPUTED_VALUE"""),52428.0)</f>
        <v>52428</v>
      </c>
      <c r="X1533" s="14">
        <f>IFERROR(__xludf.DUMMYFUNCTION("""COMPUTED_VALUE"""),0.713)</f>
        <v>0.713</v>
      </c>
      <c r="Y1533" s="14" t="str">
        <f>IFERROR(__xludf.DUMMYFUNCTION("""COMPUTED_VALUE"""),"Marshall Islands-Oceania")</f>
        <v>Marshall Islands-Oceania</v>
      </c>
      <c r="Z1533" s="14" t="str">
        <f>IFERROR(__xludf.DUMMYFUNCTION("""COMPUTED_VALUE"""),"Oceania")</f>
        <v>Oceania</v>
      </c>
      <c r="AA1533" s="14" t="str">
        <f>IFERROR(__xludf.DUMMYFUNCTION("""COMPUTED_VALUE"""),"2010")</f>
        <v>2010</v>
      </c>
      <c r="AB1533" s="15" t="str">
        <f>IFERROR(__xludf.DUMMYFUNCTION("ARRAYFORMULA(VLOOKUP(A1533,IMPORTRANGE(""https://docs.google.com/spreadsheets/d/1BuTWp7qHGjWhqrnf-OmePP568O4A5Am9ttzvVdP67zw/edit#gid=1931367683"" ,""ENERGY!$A$2:$F$2692""), {2,3,4,5,6},0))"),"Oceania")</f>
        <v>Oceania</v>
      </c>
      <c r="AC1533" s="14" t="str">
        <f>IFERROR(__xludf.DUMMYFUNCTION("""COMPUTED_VALUE"""),"Marshall Islands-Oceania")</f>
        <v>Marshall Islands-Oceania</v>
      </c>
      <c r="AD1533" s="14" t="str">
        <f>IFERROR(__xludf.DUMMYFUNCTION("""COMPUTED_VALUE"""),"2005")</f>
        <v>2005</v>
      </c>
      <c r="AE1533" s="14"/>
      <c r="AF1533" s="14">
        <f>IFERROR(__xludf.DUMMYFUNCTION("""COMPUTED_VALUE"""),84.0)</f>
        <v>84</v>
      </c>
    </row>
    <row r="1534">
      <c r="A1534" s="12">
        <v>1533.0</v>
      </c>
      <c r="B1534" s="12" t="s">
        <v>196</v>
      </c>
      <c r="C1534" s="5" t="s">
        <v>80</v>
      </c>
      <c r="D1534" s="11">
        <v>0.648</v>
      </c>
      <c r="E1534" s="11">
        <v>17.0</v>
      </c>
      <c r="F1534" s="8"/>
      <c r="G1534" s="11">
        <v>128.0</v>
      </c>
      <c r="H1534" s="11">
        <v>0.081</v>
      </c>
      <c r="I1534" s="8"/>
      <c r="J1534" s="9" t="s">
        <v>72</v>
      </c>
      <c r="K1534" s="14" t="str">
        <f>IFERROR(__xludf.DUMMYFUNCTION("ARRAYFORMULA(VLOOKUP(A1534,IMPORTRANGE(""https://docs.google.com/spreadsheets/d/1BuTWp7qHGjWhqrnf-OmePP568O4A5Am9ttzvVdP67zw/edit#gid=1603210130"", ""TOURISM!$A$2:$F$2692""), {2,3,4,5,6},0))"),"Oceania")</f>
        <v>Oceania</v>
      </c>
      <c r="L1534" s="14"/>
      <c r="M1534" s="14" t="str">
        <f>IFERROR(__xludf.DUMMYFUNCTION("""COMPUTED_VALUE"""),"Marshall Islands-Oceania")</f>
        <v>Marshall Islands-Oceania</v>
      </c>
      <c r="N1534" s="14" t="str">
        <f>IFERROR(__xludf.DUMMYFUNCTION("""COMPUTED_VALUE"""),"2011")</f>
        <v>2011</v>
      </c>
      <c r="O1534" s="14"/>
      <c r="P1534" s="15" t="str">
        <f>IFERROR(__xludf.DUMMYFUNCTION("ARRAYFORMULA(VLOOKUP(A1534,IMPORTRANGE(""https://docs.google.com/spreadsheets/d/1BuTWp7qHGjWhqrnf-OmePP568O4A5Am9ttzvVdP67zw/edit#gid=771602874"" ,""HUMAN RESOURCES!$A$2:$M$2692""), {2,3,4,5,6,7,8,9,10,11,12,13},0))"),"")</f>
        <v/>
      </c>
      <c r="Q1534" s="14">
        <f>IFERROR(__xludf.DUMMYFUNCTION("""COMPUTED_VALUE"""),0.032)</f>
        <v>0.032</v>
      </c>
      <c r="R1534" s="14"/>
      <c r="S1534" s="14"/>
      <c r="T1534" s="14"/>
      <c r="U1534" s="14"/>
      <c r="V1534" s="14"/>
      <c r="W1534" s="14">
        <f>IFERROR(__xludf.DUMMYFUNCTION("""COMPUTED_VALUE"""),52495.0)</f>
        <v>52495</v>
      </c>
      <c r="X1534" s="14">
        <f>IFERROR(__xludf.DUMMYFUNCTION("""COMPUTED_VALUE"""),0.716)</f>
        <v>0.716</v>
      </c>
      <c r="Y1534" s="14" t="str">
        <f>IFERROR(__xludf.DUMMYFUNCTION("""COMPUTED_VALUE"""),"Marshall Islands-Oceania")</f>
        <v>Marshall Islands-Oceania</v>
      </c>
      <c r="Z1534" s="14" t="str">
        <f>IFERROR(__xludf.DUMMYFUNCTION("""COMPUTED_VALUE"""),"Oceania")</f>
        <v>Oceania</v>
      </c>
      <c r="AA1534" s="14" t="str">
        <f>IFERROR(__xludf.DUMMYFUNCTION("""COMPUTED_VALUE"""),"2011")</f>
        <v>2011</v>
      </c>
      <c r="AB1534" s="15" t="str">
        <f>IFERROR(__xludf.DUMMYFUNCTION("ARRAYFORMULA(VLOOKUP(A1534,IMPORTRANGE(""https://docs.google.com/spreadsheets/d/1BuTWp7qHGjWhqrnf-OmePP568O4A5Am9ttzvVdP67zw/edit#gid=1931367683"" ,""ENERGY!$A$2:$F$2692""), {2,3,4,5,6},0))"),"Oceania")</f>
        <v>Oceania</v>
      </c>
      <c r="AC1534" s="14" t="str">
        <f>IFERROR(__xludf.DUMMYFUNCTION("""COMPUTED_VALUE"""),"Marshall Islands-Oceania")</f>
        <v>Marshall Islands-Oceania</v>
      </c>
      <c r="AD1534" s="14" t="str">
        <f>IFERROR(__xludf.DUMMYFUNCTION("""COMPUTED_VALUE"""),"2006")</f>
        <v>2006</v>
      </c>
      <c r="AE1534" s="14"/>
      <c r="AF1534" s="14">
        <f>IFERROR(__xludf.DUMMYFUNCTION("""COMPUTED_VALUE"""),81.0)</f>
        <v>81</v>
      </c>
    </row>
    <row r="1535">
      <c r="A1535" s="12">
        <v>1534.0</v>
      </c>
      <c r="B1535" s="12" t="s">
        <v>196</v>
      </c>
      <c r="C1535" s="5" t="s">
        <v>80</v>
      </c>
      <c r="D1535" s="11">
        <v>0.648</v>
      </c>
      <c r="E1535" s="11">
        <v>17.0</v>
      </c>
      <c r="F1535" s="11">
        <v>110.0</v>
      </c>
      <c r="G1535" s="11">
        <v>128.0</v>
      </c>
      <c r="H1535" s="11">
        <v>0.1</v>
      </c>
      <c r="I1535" s="8"/>
      <c r="J1535" s="9" t="s">
        <v>73</v>
      </c>
      <c r="K1535" s="14" t="str">
        <f>IFERROR(__xludf.DUMMYFUNCTION("ARRAYFORMULA(VLOOKUP(A1535,IMPORTRANGE(""https://docs.google.com/spreadsheets/d/1BuTWp7qHGjWhqrnf-OmePP568O4A5Am9ttzvVdP67zw/edit#gid=1603210130"", ""TOURISM!$A$2:$F$2692""), {2,3,4,5,6},0))"),"Oceania")</f>
        <v>Oceania</v>
      </c>
      <c r="L1535" s="14"/>
      <c r="M1535" s="14" t="str">
        <f>IFERROR(__xludf.DUMMYFUNCTION("""COMPUTED_VALUE"""),"Marshall Islands-Oceania")</f>
        <v>Marshall Islands-Oceania</v>
      </c>
      <c r="N1535" s="14" t="str">
        <f>IFERROR(__xludf.DUMMYFUNCTION("""COMPUTED_VALUE"""),"2012")</f>
        <v>2012</v>
      </c>
      <c r="O1535" s="14"/>
      <c r="P1535" s="15" t="str">
        <f>IFERROR(__xludf.DUMMYFUNCTION("ARRAYFORMULA(VLOOKUP(A1535,IMPORTRANGE(""https://docs.google.com/spreadsheets/d/1BuTWp7qHGjWhqrnf-OmePP568O4A5Am9ttzvVdP67zw/edit#gid=771602874"" ,""HUMAN RESOURCES!$A$2:$M$2692""), {2,3,4,5,6,7,8,9,10,11,12,13},0))"),"")</f>
        <v/>
      </c>
      <c r="Q1535" s="14">
        <f>IFERROR(__xludf.DUMMYFUNCTION("""COMPUTED_VALUE"""),0.031)</f>
        <v>0.031</v>
      </c>
      <c r="R1535" s="14"/>
      <c r="S1535" s="14"/>
      <c r="T1535" s="14"/>
      <c r="U1535" s="14"/>
      <c r="V1535" s="14"/>
      <c r="W1535" s="14">
        <f>IFERROR(__xludf.DUMMYFUNCTION("""COMPUTED_VALUE"""),52555.0)</f>
        <v>52555</v>
      </c>
      <c r="X1535" s="14">
        <f>IFERROR(__xludf.DUMMYFUNCTION("""COMPUTED_VALUE"""),0.719)</f>
        <v>0.719</v>
      </c>
      <c r="Y1535" s="14" t="str">
        <f>IFERROR(__xludf.DUMMYFUNCTION("""COMPUTED_VALUE"""),"Marshall Islands-Oceania")</f>
        <v>Marshall Islands-Oceania</v>
      </c>
      <c r="Z1535" s="14" t="str">
        <f>IFERROR(__xludf.DUMMYFUNCTION("""COMPUTED_VALUE"""),"Oceania")</f>
        <v>Oceania</v>
      </c>
      <c r="AA1535" s="14" t="str">
        <f>IFERROR(__xludf.DUMMYFUNCTION("""COMPUTED_VALUE"""),"2012")</f>
        <v>2012</v>
      </c>
      <c r="AB1535" s="15" t="str">
        <f>IFERROR(__xludf.DUMMYFUNCTION("ARRAYFORMULA(VLOOKUP(A1535,IMPORTRANGE(""https://docs.google.com/spreadsheets/d/1BuTWp7qHGjWhqrnf-OmePP568O4A5Am9ttzvVdP67zw/edit#gid=1931367683"" ,""ENERGY!$A$2:$F$2692""), {2,3,4,5,6},0))"),"Oceania")</f>
        <v>Oceania</v>
      </c>
      <c r="AC1535" s="14" t="str">
        <f>IFERROR(__xludf.DUMMYFUNCTION("""COMPUTED_VALUE"""),"Marshall Islands-Oceania")</f>
        <v>Marshall Islands-Oceania</v>
      </c>
      <c r="AD1535" s="14" t="str">
        <f>IFERROR(__xludf.DUMMYFUNCTION("""COMPUTED_VALUE"""),"2010")</f>
        <v>2010</v>
      </c>
      <c r="AE1535" s="14"/>
      <c r="AF1535" s="14">
        <f>IFERROR(__xludf.DUMMYFUNCTION("""COMPUTED_VALUE"""),77.0)</f>
        <v>77</v>
      </c>
    </row>
    <row r="1536">
      <c r="A1536" s="12">
        <v>1535.0</v>
      </c>
      <c r="B1536" s="12" t="s">
        <v>197</v>
      </c>
      <c r="C1536" s="5" t="s">
        <v>77</v>
      </c>
      <c r="D1536" s="8"/>
      <c r="E1536" s="8"/>
      <c r="F1536" s="8"/>
      <c r="G1536" s="8"/>
      <c r="H1536" s="11">
        <v>0.002</v>
      </c>
      <c r="I1536" s="11">
        <v>0.006</v>
      </c>
      <c r="J1536" s="9" t="s">
        <v>60</v>
      </c>
      <c r="K1536" s="14" t="str">
        <f>IFERROR(__xludf.DUMMYFUNCTION("ARRAYFORMULA(VLOOKUP(A1536,IMPORTRANGE(""https://docs.google.com/spreadsheets/d/1BuTWp7qHGjWhqrnf-OmePP568O4A5Am9ttzvVdP67zw/edit#gid=1603210130"", ""TOURISM!$A$2:$F$2692""), {2,3,4,5,6},0))"),"Africa")</f>
        <v>Africa</v>
      </c>
      <c r="L1536" s="14"/>
      <c r="M1536" s="14" t="str">
        <f>IFERROR(__xludf.DUMMYFUNCTION("""COMPUTED_VALUE"""),"Mauritania-Africa")</f>
        <v>Mauritania-Africa</v>
      </c>
      <c r="N1536" s="14" t="str">
        <f>IFERROR(__xludf.DUMMYFUNCTION("""COMPUTED_VALUE"""),"2000")</f>
        <v>2000</v>
      </c>
      <c r="O1536" s="14"/>
      <c r="P1536" s="15">
        <f>IFERROR(__xludf.DUMMYFUNCTION("ARRAYFORMULA(VLOOKUP(A1536,IMPORTRANGE(""https://docs.google.com/spreadsheets/d/1BuTWp7qHGjWhqrnf-OmePP568O4A5Am9ttzvVdP67zw/edit#gid=771602874"" ,""HUMAN RESOURCES!$A$2:$M$2692""), {2,3,4,5,6,7,8,9,10,11,12,13},0))"),0.038)</f>
        <v>0.038</v>
      </c>
      <c r="Q1536" s="14">
        <f>IFERROR(__xludf.DUMMYFUNCTION("""COMPUTED_VALUE"""),0.076)</f>
        <v>0.076</v>
      </c>
      <c r="R1536" s="14">
        <f>IFERROR(__xludf.DUMMYFUNCTION("""COMPUTED_VALUE"""),61.0)</f>
        <v>61</v>
      </c>
      <c r="S1536" s="14">
        <f>IFERROR(__xludf.DUMMYFUNCTION("""COMPUTED_VALUE"""),58.0)</f>
        <v>58</v>
      </c>
      <c r="T1536" s="14">
        <f>IFERROR(__xludf.DUMMYFUNCTION("""COMPUTED_VALUE"""),0.428)</f>
        <v>0.428</v>
      </c>
      <c r="U1536" s="14">
        <f>IFERROR(__xludf.DUMMYFUNCTION("""COMPUTED_VALUE"""),0.54)</f>
        <v>0.54</v>
      </c>
      <c r="V1536" s="14">
        <f>IFERROR(__xludf.DUMMYFUNCTION("""COMPUTED_VALUE"""),0.032)</f>
        <v>0.032</v>
      </c>
      <c r="W1536" s="14">
        <f>IFERROR(__xludf.DUMMYFUNCTION("""COMPUTED_VALUE"""),2708095.0)</f>
        <v>2708095</v>
      </c>
      <c r="X1536" s="14">
        <f>IFERROR(__xludf.DUMMYFUNCTION("""COMPUTED_VALUE"""),0.492)</f>
        <v>0.492</v>
      </c>
      <c r="Y1536" s="14" t="str">
        <f>IFERROR(__xludf.DUMMYFUNCTION("""COMPUTED_VALUE"""),"Mauritania-Africa")</f>
        <v>Mauritania-Africa</v>
      </c>
      <c r="Z1536" s="14" t="str">
        <f>IFERROR(__xludf.DUMMYFUNCTION("""COMPUTED_VALUE"""),"Africa")</f>
        <v>Africa</v>
      </c>
      <c r="AA1536" s="14" t="str">
        <f>IFERROR(__xludf.DUMMYFUNCTION("""COMPUTED_VALUE"""),"2000")</f>
        <v>2000</v>
      </c>
      <c r="AB1536" s="15" t="str">
        <f>IFERROR(__xludf.DUMMYFUNCTION("ARRAYFORMULA(VLOOKUP(A1536,IMPORTRANGE(""https://docs.google.com/spreadsheets/d/1BuTWp7qHGjWhqrnf-OmePP568O4A5Am9ttzvVdP67zw/edit#gid=1931367683"" ,""ENERGY!$A$2:$F$2692""), {2,3,4,5,6},0))"),"Africa")</f>
        <v>Africa</v>
      </c>
      <c r="AC1536" s="14" t="str">
        <f>IFERROR(__xludf.DUMMYFUNCTION("""COMPUTED_VALUE"""),"Mauritania-Africa")</f>
        <v>Mauritania-Africa</v>
      </c>
      <c r="AD1536" s="14" t="str">
        <f>IFERROR(__xludf.DUMMYFUNCTION("""COMPUTED_VALUE"""),"2000")</f>
        <v>2000</v>
      </c>
      <c r="AE1536" s="14"/>
      <c r="AF1536" s="14"/>
    </row>
    <row r="1537">
      <c r="A1537" s="12">
        <v>1536.0</v>
      </c>
      <c r="B1537" s="12" t="s">
        <v>197</v>
      </c>
      <c r="C1537" s="5" t="s">
        <v>77</v>
      </c>
      <c r="D1537" s="8"/>
      <c r="E1537" s="8"/>
      <c r="F1537" s="8"/>
      <c r="G1537" s="8"/>
      <c r="H1537" s="11">
        <v>0.003</v>
      </c>
      <c r="I1537" s="11">
        <v>0.04</v>
      </c>
      <c r="J1537" s="9" t="s">
        <v>62</v>
      </c>
      <c r="K1537" s="14" t="str">
        <f>IFERROR(__xludf.DUMMYFUNCTION("ARRAYFORMULA(VLOOKUP(A1537,IMPORTRANGE(""https://docs.google.com/spreadsheets/d/1BuTWp7qHGjWhqrnf-OmePP568O4A5Am9ttzvVdP67zw/edit#gid=1603210130"", ""TOURISM!$A$2:$F$2692""), {2,3,4,5,6},0))"),"Africa")</f>
        <v>Africa</v>
      </c>
      <c r="L1537" s="14"/>
      <c r="M1537" s="14" t="str">
        <f>IFERROR(__xludf.DUMMYFUNCTION("""COMPUTED_VALUE"""),"Mauritania-Africa")</f>
        <v>Mauritania-Africa</v>
      </c>
      <c r="N1537" s="14" t="str">
        <f>IFERROR(__xludf.DUMMYFUNCTION("""COMPUTED_VALUE"""),"2001")</f>
        <v>2001</v>
      </c>
      <c r="O1537" s="14"/>
      <c r="P1537" s="15">
        <f>IFERROR(__xludf.DUMMYFUNCTION("ARRAYFORMULA(VLOOKUP(A1537,IMPORTRANGE(""https://docs.google.com/spreadsheets/d/1BuTWp7qHGjWhqrnf-OmePP568O4A5Am9ttzvVdP67zw/edit#gid=771602874"" ,""HUMAN RESOURCES!$A$2:$M$2692""), {2,3,4,5,6,7,8,9,10,11,12,13},0))"),0.038)</f>
        <v>0.038</v>
      </c>
      <c r="Q1537" s="14">
        <f>IFERROR(__xludf.DUMMYFUNCTION("""COMPUTED_VALUE"""),0.076)</f>
        <v>0.076</v>
      </c>
      <c r="R1537" s="14">
        <f>IFERROR(__xludf.DUMMYFUNCTION("""COMPUTED_VALUE"""),61.0)</f>
        <v>61</v>
      </c>
      <c r="S1537" s="14">
        <f>IFERROR(__xludf.DUMMYFUNCTION("""COMPUTED_VALUE"""),58.0)</f>
        <v>58</v>
      </c>
      <c r="T1537" s="14">
        <f>IFERROR(__xludf.DUMMYFUNCTION("""COMPUTED_VALUE"""),0.426)</f>
        <v>0.426</v>
      </c>
      <c r="U1537" s="14">
        <f>IFERROR(__xludf.DUMMYFUNCTION("""COMPUTED_VALUE"""),0.543)</f>
        <v>0.543</v>
      </c>
      <c r="V1537" s="14">
        <f>IFERROR(__xludf.DUMMYFUNCTION("""COMPUTED_VALUE"""),0.032)</f>
        <v>0.032</v>
      </c>
      <c r="W1537" s="14">
        <f>IFERROR(__xludf.DUMMYFUNCTION("""COMPUTED_VALUE"""),2791403.0)</f>
        <v>2791403</v>
      </c>
      <c r="X1537" s="14">
        <f>IFERROR(__xludf.DUMMYFUNCTION("""COMPUTED_VALUE"""),0.5)</f>
        <v>0.5</v>
      </c>
      <c r="Y1537" s="14" t="str">
        <f>IFERROR(__xludf.DUMMYFUNCTION("""COMPUTED_VALUE"""),"Mauritania-Africa")</f>
        <v>Mauritania-Africa</v>
      </c>
      <c r="Z1537" s="14" t="str">
        <f>IFERROR(__xludf.DUMMYFUNCTION("""COMPUTED_VALUE"""),"Africa")</f>
        <v>Africa</v>
      </c>
      <c r="AA1537" s="14" t="str">
        <f>IFERROR(__xludf.DUMMYFUNCTION("""COMPUTED_VALUE"""),"2001")</f>
        <v>2001</v>
      </c>
      <c r="AB1537" s="15" t="str">
        <f>IFERROR(__xludf.DUMMYFUNCTION("ARRAYFORMULA(VLOOKUP(A1537,IMPORTRANGE(""https://docs.google.com/spreadsheets/d/1BuTWp7qHGjWhqrnf-OmePP568O4A5Am9ttzvVdP67zw/edit#gid=1931367683"" ,""ENERGY!$A$2:$F$2692""), {2,3,4,5,6},0))"),"Africa")</f>
        <v>Africa</v>
      </c>
      <c r="AC1537" s="14" t="str">
        <f>IFERROR(__xludf.DUMMYFUNCTION("""COMPUTED_VALUE"""),"Mauritania-Africa")</f>
        <v>Mauritania-Africa</v>
      </c>
      <c r="AD1537" s="14" t="str">
        <f>IFERROR(__xludf.DUMMYFUNCTION("""COMPUTED_VALUE"""),"2001")</f>
        <v>2001</v>
      </c>
      <c r="AE1537" s="14"/>
      <c r="AF1537" s="14"/>
    </row>
    <row r="1538">
      <c r="A1538" s="12">
        <v>1537.0</v>
      </c>
      <c r="B1538" s="12" t="s">
        <v>197</v>
      </c>
      <c r="C1538" s="5" t="s">
        <v>77</v>
      </c>
      <c r="D1538" s="8"/>
      <c r="E1538" s="8"/>
      <c r="F1538" s="8"/>
      <c r="G1538" s="8"/>
      <c r="H1538" s="11">
        <v>0.004</v>
      </c>
      <c r="I1538" s="11">
        <v>0.086</v>
      </c>
      <c r="J1538" s="9" t="s">
        <v>63</v>
      </c>
      <c r="K1538" s="14" t="str">
        <f>IFERROR(__xludf.DUMMYFUNCTION("ARRAYFORMULA(VLOOKUP(A1538,IMPORTRANGE(""https://docs.google.com/spreadsheets/d/1BuTWp7qHGjWhqrnf-OmePP568O4A5Am9ttzvVdP67zw/edit#gid=1603210130"", ""TOURISM!$A$2:$F$2692""), {2,3,4,5,6},0))"),"Africa")</f>
        <v>Africa</v>
      </c>
      <c r="L1538" s="14"/>
      <c r="M1538" s="14" t="str">
        <f>IFERROR(__xludf.DUMMYFUNCTION("""COMPUTED_VALUE"""),"Mauritania-Africa")</f>
        <v>Mauritania-Africa</v>
      </c>
      <c r="N1538" s="14" t="str">
        <f>IFERROR(__xludf.DUMMYFUNCTION("""COMPUTED_VALUE"""),"2002")</f>
        <v>2002</v>
      </c>
      <c r="O1538" s="14"/>
      <c r="P1538" s="15">
        <f>IFERROR(__xludf.DUMMYFUNCTION("ARRAYFORMULA(VLOOKUP(A1538,IMPORTRANGE(""https://docs.google.com/spreadsheets/d/1BuTWp7qHGjWhqrnf-OmePP568O4A5Am9ttzvVdP67zw/edit#gid=771602874"" ,""HUMAN RESOURCES!$A$2:$M$2692""), {2,3,4,5,6,7,8,9,10,11,12,13},0))"),0.038)</f>
        <v>0.038</v>
      </c>
      <c r="Q1538" s="14">
        <f>IFERROR(__xludf.DUMMYFUNCTION("""COMPUTED_VALUE"""),0.076)</f>
        <v>0.076</v>
      </c>
      <c r="R1538" s="14">
        <f>IFERROR(__xludf.DUMMYFUNCTION("""COMPUTED_VALUE"""),61.0)</f>
        <v>61</v>
      </c>
      <c r="S1538" s="14">
        <f>IFERROR(__xludf.DUMMYFUNCTION("""COMPUTED_VALUE"""),58.0)</f>
        <v>58</v>
      </c>
      <c r="T1538" s="14">
        <f>IFERROR(__xludf.DUMMYFUNCTION("""COMPUTED_VALUE"""),0.423)</f>
        <v>0.423</v>
      </c>
      <c r="U1538" s="14">
        <f>IFERROR(__xludf.DUMMYFUNCTION("""COMPUTED_VALUE"""),0.545)</f>
        <v>0.545</v>
      </c>
      <c r="V1538" s="14">
        <f>IFERROR(__xludf.DUMMYFUNCTION("""COMPUTED_VALUE"""),0.032)</f>
        <v>0.032</v>
      </c>
      <c r="W1538" s="14">
        <f>IFERROR(__xludf.DUMMYFUNCTION("""COMPUTED_VALUE"""),2877431.0)</f>
        <v>2877431</v>
      </c>
      <c r="X1538" s="14">
        <f>IFERROR(__xludf.DUMMYFUNCTION("""COMPUTED_VALUE"""),0.508)</f>
        <v>0.508</v>
      </c>
      <c r="Y1538" s="14" t="str">
        <f>IFERROR(__xludf.DUMMYFUNCTION("""COMPUTED_VALUE"""),"Mauritania-Africa")</f>
        <v>Mauritania-Africa</v>
      </c>
      <c r="Z1538" s="14" t="str">
        <f>IFERROR(__xludf.DUMMYFUNCTION("""COMPUTED_VALUE"""),"Africa")</f>
        <v>Africa</v>
      </c>
      <c r="AA1538" s="14" t="str">
        <f>IFERROR(__xludf.DUMMYFUNCTION("""COMPUTED_VALUE"""),"2002")</f>
        <v>2002</v>
      </c>
      <c r="AB1538" s="15" t="str">
        <f>IFERROR(__xludf.DUMMYFUNCTION("ARRAYFORMULA(VLOOKUP(A1538,IMPORTRANGE(""https://docs.google.com/spreadsheets/d/1BuTWp7qHGjWhqrnf-OmePP568O4A5Am9ttzvVdP67zw/edit#gid=1931367683"" ,""ENERGY!$A$2:$F$2692""), {2,3,4,5,6},0))"),"Africa")</f>
        <v>Africa</v>
      </c>
      <c r="AC1538" s="14" t="str">
        <f>IFERROR(__xludf.DUMMYFUNCTION("""COMPUTED_VALUE"""),"Mauritania-Africa")</f>
        <v>Mauritania-Africa</v>
      </c>
      <c r="AD1538" s="14" t="str">
        <f>IFERROR(__xludf.DUMMYFUNCTION("""COMPUTED_VALUE"""),"2002")</f>
        <v>2002</v>
      </c>
      <c r="AE1538" s="14"/>
      <c r="AF1538" s="14">
        <f>IFERROR(__xludf.DUMMYFUNCTION("""COMPUTED_VALUE"""),2215.0)</f>
        <v>2215</v>
      </c>
    </row>
    <row r="1539">
      <c r="A1539" s="12">
        <v>1538.0</v>
      </c>
      <c r="B1539" s="12" t="s">
        <v>197</v>
      </c>
      <c r="C1539" s="5" t="s">
        <v>77</v>
      </c>
      <c r="D1539" s="8"/>
      <c r="E1539" s="11">
        <v>82.0</v>
      </c>
      <c r="F1539" s="8"/>
      <c r="G1539" s="8"/>
      <c r="H1539" s="11">
        <v>0.004</v>
      </c>
      <c r="I1539" s="11">
        <v>0.118</v>
      </c>
      <c r="J1539" s="9" t="s">
        <v>64</v>
      </c>
      <c r="K1539" s="14" t="str">
        <f>IFERROR(__xludf.DUMMYFUNCTION("ARRAYFORMULA(VLOOKUP(A1539,IMPORTRANGE(""https://docs.google.com/spreadsheets/d/1BuTWp7qHGjWhqrnf-OmePP568O4A5Am9ttzvVdP67zw/edit#gid=1603210130"", ""TOURISM!$A$2:$F$2692""), {2,3,4,5,6},0))"),"Africa")</f>
        <v>Africa</v>
      </c>
      <c r="L1539" s="14"/>
      <c r="M1539" s="14" t="str">
        <f>IFERROR(__xludf.DUMMYFUNCTION("""COMPUTED_VALUE"""),"Mauritania-Africa")</f>
        <v>Mauritania-Africa</v>
      </c>
      <c r="N1539" s="14" t="str">
        <f>IFERROR(__xludf.DUMMYFUNCTION("""COMPUTED_VALUE"""),"2003")</f>
        <v>2003</v>
      </c>
      <c r="O1539" s="14"/>
      <c r="P1539" s="15">
        <f>IFERROR(__xludf.DUMMYFUNCTION("ARRAYFORMULA(VLOOKUP(A1539,IMPORTRANGE(""https://docs.google.com/spreadsheets/d/1BuTWp7qHGjWhqrnf-OmePP568O4A5Am9ttzvVdP67zw/edit#gid=771602874"" ,""HUMAN RESOURCES!$A$2:$M$2692""), {2,3,4,5,6,7,8,9,10,11,12,13},0))"),0.037)</f>
        <v>0.037</v>
      </c>
      <c r="Q1539" s="14">
        <f>IFERROR(__xludf.DUMMYFUNCTION("""COMPUTED_VALUE"""),0.076)</f>
        <v>0.076</v>
      </c>
      <c r="R1539" s="14">
        <f>IFERROR(__xludf.DUMMYFUNCTION("""COMPUTED_VALUE"""),62.0)</f>
        <v>62</v>
      </c>
      <c r="S1539" s="14">
        <f>IFERROR(__xludf.DUMMYFUNCTION("""COMPUTED_VALUE"""),59.0)</f>
        <v>59</v>
      </c>
      <c r="T1539" s="14">
        <f>IFERROR(__xludf.DUMMYFUNCTION("""COMPUTED_VALUE"""),0.42)</f>
        <v>0.42</v>
      </c>
      <c r="U1539" s="14">
        <f>IFERROR(__xludf.DUMMYFUNCTION("""COMPUTED_VALUE"""),0.548)</f>
        <v>0.548</v>
      </c>
      <c r="V1539" s="14">
        <f>IFERROR(__xludf.DUMMYFUNCTION("""COMPUTED_VALUE"""),0.032)</f>
        <v>0.032</v>
      </c>
      <c r="W1539" s="14">
        <f>IFERROR(__xludf.DUMMYFUNCTION("""COMPUTED_VALUE"""),2965667.0)</f>
        <v>2965667</v>
      </c>
      <c r="X1539" s="14">
        <f>IFERROR(__xludf.DUMMYFUNCTION("""COMPUTED_VALUE"""),0.516)</f>
        <v>0.516</v>
      </c>
      <c r="Y1539" s="14" t="str">
        <f>IFERROR(__xludf.DUMMYFUNCTION("""COMPUTED_VALUE"""),"Mauritania-Africa")</f>
        <v>Mauritania-Africa</v>
      </c>
      <c r="Z1539" s="14" t="str">
        <f>IFERROR(__xludf.DUMMYFUNCTION("""COMPUTED_VALUE"""),"Africa")</f>
        <v>Africa</v>
      </c>
      <c r="AA1539" s="14" t="str">
        <f>IFERROR(__xludf.DUMMYFUNCTION("""COMPUTED_VALUE"""),"2003")</f>
        <v>2003</v>
      </c>
      <c r="AB1539" s="15" t="str">
        <f>IFERROR(__xludf.DUMMYFUNCTION("ARRAYFORMULA(VLOOKUP(A1539,IMPORTRANGE(""https://docs.google.com/spreadsheets/d/1BuTWp7qHGjWhqrnf-OmePP568O4A5Am9ttzvVdP67zw/edit#gid=1931367683"" ,""ENERGY!$A$2:$F$2692""), {2,3,4,5,6},0))"),"Africa")</f>
        <v>Africa</v>
      </c>
      <c r="AC1539" s="14" t="str">
        <f>IFERROR(__xludf.DUMMYFUNCTION("""COMPUTED_VALUE"""),"Mauritania-Africa")</f>
        <v>Mauritania-Africa</v>
      </c>
      <c r="AD1539" s="14" t="str">
        <f>IFERROR(__xludf.DUMMYFUNCTION("""COMPUTED_VALUE"""),"2003")</f>
        <v>2003</v>
      </c>
      <c r="AE1539" s="14"/>
      <c r="AF1539" s="14">
        <f>IFERROR(__xludf.DUMMYFUNCTION("""COMPUTED_VALUE"""),2211.0)</f>
        <v>2211</v>
      </c>
    </row>
    <row r="1540">
      <c r="A1540" s="12">
        <v>1539.0</v>
      </c>
      <c r="B1540" s="12" t="s">
        <v>197</v>
      </c>
      <c r="C1540" s="5" t="s">
        <v>77</v>
      </c>
      <c r="D1540" s="8"/>
      <c r="E1540" s="11">
        <v>82.0</v>
      </c>
      <c r="F1540" s="8"/>
      <c r="G1540" s="8"/>
      <c r="H1540" s="11">
        <v>0.005</v>
      </c>
      <c r="I1540" s="11">
        <v>0.171</v>
      </c>
      <c r="J1540" s="9" t="s">
        <v>65</v>
      </c>
      <c r="K1540" s="14" t="str">
        <f>IFERROR(__xludf.DUMMYFUNCTION("ARRAYFORMULA(VLOOKUP(A1540,IMPORTRANGE(""https://docs.google.com/spreadsheets/d/1BuTWp7qHGjWhqrnf-OmePP568O4A5Am9ttzvVdP67zw/edit#gid=1603210130"", ""TOURISM!$A$2:$F$2692""), {2,3,4,5,6},0))"),"Africa")</f>
        <v>Africa</v>
      </c>
      <c r="L1540" s="14"/>
      <c r="M1540" s="14" t="str">
        <f>IFERROR(__xludf.DUMMYFUNCTION("""COMPUTED_VALUE"""),"Mauritania-Africa")</f>
        <v>Mauritania-Africa</v>
      </c>
      <c r="N1540" s="14" t="str">
        <f>IFERROR(__xludf.DUMMYFUNCTION("""COMPUTED_VALUE"""),"2004")</f>
        <v>2004</v>
      </c>
      <c r="O1540" s="14"/>
      <c r="P1540" s="15">
        <f>IFERROR(__xludf.DUMMYFUNCTION("ARRAYFORMULA(VLOOKUP(A1540,IMPORTRANGE(""https://docs.google.com/spreadsheets/d/1BuTWp7qHGjWhqrnf-OmePP568O4A5Am9ttzvVdP67zw/edit#gid=771602874"" ,""HUMAN RESOURCES!$A$2:$M$2692""), {2,3,4,5,6,7,8,9,10,11,12,13},0))"),0.037)</f>
        <v>0.037</v>
      </c>
      <c r="Q1540" s="14">
        <f>IFERROR(__xludf.DUMMYFUNCTION("""COMPUTED_VALUE"""),0.075)</f>
        <v>0.075</v>
      </c>
      <c r="R1540" s="14">
        <f>IFERROR(__xludf.DUMMYFUNCTION("""COMPUTED_VALUE"""),62.0)</f>
        <v>62</v>
      </c>
      <c r="S1540" s="14">
        <f>IFERROR(__xludf.DUMMYFUNCTION("""COMPUTED_VALUE"""),59.0)</f>
        <v>59</v>
      </c>
      <c r="T1540" s="14">
        <f>IFERROR(__xludf.DUMMYFUNCTION("""COMPUTED_VALUE"""),0.418)</f>
        <v>0.418</v>
      </c>
      <c r="U1540" s="14">
        <f>IFERROR(__xludf.DUMMYFUNCTION("""COMPUTED_VALUE"""),0.551)</f>
        <v>0.551</v>
      </c>
      <c r="V1540" s="14">
        <f>IFERROR(__xludf.DUMMYFUNCTION("""COMPUTED_VALUE"""),0.032)</f>
        <v>0.032</v>
      </c>
      <c r="W1540" s="14">
        <f>IFERROR(__xludf.DUMMYFUNCTION("""COMPUTED_VALUE"""),3055425.0)</f>
        <v>3055425</v>
      </c>
      <c r="X1540" s="14">
        <f>IFERROR(__xludf.DUMMYFUNCTION("""COMPUTED_VALUE"""),0.524)</f>
        <v>0.524</v>
      </c>
      <c r="Y1540" s="14" t="str">
        <f>IFERROR(__xludf.DUMMYFUNCTION("""COMPUTED_VALUE"""),"Mauritania-Africa")</f>
        <v>Mauritania-Africa</v>
      </c>
      <c r="Z1540" s="14" t="str">
        <f>IFERROR(__xludf.DUMMYFUNCTION("""COMPUTED_VALUE"""),"Africa")</f>
        <v>Africa</v>
      </c>
      <c r="AA1540" s="14" t="str">
        <f>IFERROR(__xludf.DUMMYFUNCTION("""COMPUTED_VALUE"""),"2004")</f>
        <v>2004</v>
      </c>
      <c r="AB1540" s="15" t="str">
        <f>IFERROR(__xludf.DUMMYFUNCTION("ARRAYFORMULA(VLOOKUP(A1540,IMPORTRANGE(""https://docs.google.com/spreadsheets/d/1BuTWp7qHGjWhqrnf-OmePP568O4A5Am9ttzvVdP67zw/edit#gid=1931367683"" ,""ENERGY!$A$2:$F$2692""), {2,3,4,5,6},0))"),"Africa")</f>
        <v>Africa</v>
      </c>
      <c r="AC1540" s="14" t="str">
        <f>IFERROR(__xludf.DUMMYFUNCTION("""COMPUTED_VALUE"""),"Mauritania-Africa")</f>
        <v>Mauritania-Africa</v>
      </c>
      <c r="AD1540" s="14" t="str">
        <f>IFERROR(__xludf.DUMMYFUNCTION("""COMPUTED_VALUE"""),"2004")</f>
        <v>2004</v>
      </c>
      <c r="AE1540" s="14"/>
      <c r="AF1540" s="14">
        <f>IFERROR(__xludf.DUMMYFUNCTION("""COMPUTED_VALUE"""),2021.0)</f>
        <v>2021</v>
      </c>
    </row>
    <row r="1541">
      <c r="A1541" s="12">
        <v>1540.0</v>
      </c>
      <c r="B1541" s="12" t="s">
        <v>197</v>
      </c>
      <c r="C1541" s="5" t="s">
        <v>77</v>
      </c>
      <c r="D1541" s="11">
        <v>0.947</v>
      </c>
      <c r="E1541" s="11">
        <v>82.0</v>
      </c>
      <c r="F1541" s="8"/>
      <c r="G1541" s="11">
        <v>696.0</v>
      </c>
      <c r="H1541" s="11">
        <v>0.007</v>
      </c>
      <c r="I1541" s="11">
        <v>0.237</v>
      </c>
      <c r="J1541" s="9" t="s">
        <v>66</v>
      </c>
      <c r="K1541" s="14" t="str">
        <f>IFERROR(__xludf.DUMMYFUNCTION("ARRAYFORMULA(VLOOKUP(A1541,IMPORTRANGE(""https://docs.google.com/spreadsheets/d/1BuTWp7qHGjWhqrnf-OmePP568O4A5Am9ttzvVdP67zw/edit#gid=1603210130"", ""TOURISM!$A$2:$F$2692""), {2,3,4,5,6},0))"),"Africa")</f>
        <v>Africa</v>
      </c>
      <c r="L1541" s="14"/>
      <c r="M1541" s="14" t="str">
        <f>IFERROR(__xludf.DUMMYFUNCTION("""COMPUTED_VALUE"""),"Mauritania-Africa")</f>
        <v>Mauritania-Africa</v>
      </c>
      <c r="N1541" s="14" t="str">
        <f>IFERROR(__xludf.DUMMYFUNCTION("""COMPUTED_VALUE"""),"2005")</f>
        <v>2005</v>
      </c>
      <c r="O1541" s="14"/>
      <c r="P1541" s="15">
        <f>IFERROR(__xludf.DUMMYFUNCTION("ARRAYFORMULA(VLOOKUP(A1541,IMPORTRANGE(""https://docs.google.com/spreadsheets/d/1BuTWp7qHGjWhqrnf-OmePP568O4A5Am9ttzvVdP67zw/edit#gid=771602874"" ,""HUMAN RESOURCES!$A$2:$M$2692""), {2,3,4,5,6,7,8,9,10,11,12,13},0))"),0.037)</f>
        <v>0.037</v>
      </c>
      <c r="Q1541" s="14">
        <f>IFERROR(__xludf.DUMMYFUNCTION("""COMPUTED_VALUE"""),0.075)</f>
        <v>0.075</v>
      </c>
      <c r="R1541" s="14">
        <f>IFERROR(__xludf.DUMMYFUNCTION("""COMPUTED_VALUE"""),62.0)</f>
        <v>62</v>
      </c>
      <c r="S1541" s="14">
        <f>IFERROR(__xludf.DUMMYFUNCTION("""COMPUTED_VALUE"""),59.0)</f>
        <v>59</v>
      </c>
      <c r="T1541" s="14">
        <f>IFERROR(__xludf.DUMMYFUNCTION("""COMPUTED_VALUE"""),0.416)</f>
        <v>0.416</v>
      </c>
      <c r="U1541" s="14">
        <f>IFERROR(__xludf.DUMMYFUNCTION("""COMPUTED_VALUE"""),0.553)</f>
        <v>0.553</v>
      </c>
      <c r="V1541" s="14">
        <f>IFERROR(__xludf.DUMMYFUNCTION("""COMPUTED_VALUE"""),0.031)</f>
        <v>0.031</v>
      </c>
      <c r="W1541" s="14">
        <f>IFERROR(__xludf.DUMMYFUNCTION("""COMPUTED_VALUE"""),3146164.0)</f>
        <v>3146164</v>
      </c>
      <c r="X1541" s="14">
        <f>IFERROR(__xludf.DUMMYFUNCTION("""COMPUTED_VALUE"""),0.531)</f>
        <v>0.531</v>
      </c>
      <c r="Y1541" s="14" t="str">
        <f>IFERROR(__xludf.DUMMYFUNCTION("""COMPUTED_VALUE"""),"Mauritania-Africa")</f>
        <v>Mauritania-Africa</v>
      </c>
      <c r="Z1541" s="14" t="str">
        <f>IFERROR(__xludf.DUMMYFUNCTION("""COMPUTED_VALUE"""),"Africa")</f>
        <v>Africa</v>
      </c>
      <c r="AA1541" s="14" t="str">
        <f>IFERROR(__xludf.DUMMYFUNCTION("""COMPUTED_VALUE"""),"2005")</f>
        <v>2005</v>
      </c>
      <c r="AB1541" s="15" t="str">
        <f>IFERROR(__xludf.DUMMYFUNCTION("ARRAYFORMULA(VLOOKUP(A1541,IMPORTRANGE(""https://docs.google.com/spreadsheets/d/1BuTWp7qHGjWhqrnf-OmePP568O4A5Am9ttzvVdP67zw/edit#gid=1931367683"" ,""ENERGY!$A$2:$F$2692""), {2,3,4,5,6},0))"),"Africa")</f>
        <v>Africa</v>
      </c>
      <c r="AC1541" s="14" t="str">
        <f>IFERROR(__xludf.DUMMYFUNCTION("""COMPUTED_VALUE"""),"Mauritania-Africa")</f>
        <v>Mauritania-Africa</v>
      </c>
      <c r="AD1541" s="14" t="str">
        <f>IFERROR(__xludf.DUMMYFUNCTION("""COMPUTED_VALUE"""),"2007")</f>
        <v>2007</v>
      </c>
      <c r="AE1541" s="14"/>
      <c r="AF1541" s="14">
        <f>IFERROR(__xludf.DUMMYFUNCTION("""COMPUTED_VALUE"""),1914.0)</f>
        <v>1914</v>
      </c>
    </row>
    <row r="1542">
      <c r="A1542" s="12">
        <v>1541.0</v>
      </c>
      <c r="B1542" s="12" t="s">
        <v>197</v>
      </c>
      <c r="C1542" s="5" t="s">
        <v>77</v>
      </c>
      <c r="D1542" s="11">
        <v>0.947</v>
      </c>
      <c r="E1542" s="11">
        <v>82.0</v>
      </c>
      <c r="F1542" s="8"/>
      <c r="G1542" s="11">
        <v>696.0</v>
      </c>
      <c r="H1542" s="11">
        <v>0.01</v>
      </c>
      <c r="I1542" s="11">
        <v>0.327</v>
      </c>
      <c r="J1542" s="9" t="s">
        <v>67</v>
      </c>
      <c r="K1542" s="14" t="str">
        <f>IFERROR(__xludf.DUMMYFUNCTION("ARRAYFORMULA(VLOOKUP(A1542,IMPORTRANGE(""https://docs.google.com/spreadsheets/d/1BuTWp7qHGjWhqrnf-OmePP568O4A5Am9ttzvVdP67zw/edit#gid=1603210130"", ""TOURISM!$A$2:$F$2692""), {2,3,4,5,6},0))"),"Africa")</f>
        <v>Africa</v>
      </c>
      <c r="L1542" s="14"/>
      <c r="M1542" s="14" t="str">
        <f>IFERROR(__xludf.DUMMYFUNCTION("""COMPUTED_VALUE"""),"Mauritania-Africa")</f>
        <v>Mauritania-Africa</v>
      </c>
      <c r="N1542" s="14" t="str">
        <f>IFERROR(__xludf.DUMMYFUNCTION("""COMPUTED_VALUE"""),"2006")</f>
        <v>2006</v>
      </c>
      <c r="O1542" s="14"/>
      <c r="P1542" s="15">
        <f>IFERROR(__xludf.DUMMYFUNCTION("ARRAYFORMULA(VLOOKUP(A1542,IMPORTRANGE(""https://docs.google.com/spreadsheets/d/1BuTWp7qHGjWhqrnf-OmePP568O4A5Am9ttzvVdP67zw/edit#gid=771602874"" ,""HUMAN RESOURCES!$A$2:$M$2692""), {2,3,4,5,6,7,8,9,10,11,12,13},0))"),0.037)</f>
        <v>0.037</v>
      </c>
      <c r="Q1542" s="14">
        <f>IFERROR(__xludf.DUMMYFUNCTION("""COMPUTED_VALUE"""),0.074)</f>
        <v>0.074</v>
      </c>
      <c r="R1542" s="14">
        <f>IFERROR(__xludf.DUMMYFUNCTION("""COMPUTED_VALUE"""),62.0)</f>
        <v>62</v>
      </c>
      <c r="S1542" s="14">
        <f>IFERROR(__xludf.DUMMYFUNCTION("""COMPUTED_VALUE"""),59.0)</f>
        <v>59</v>
      </c>
      <c r="T1542" s="14">
        <f>IFERROR(__xludf.DUMMYFUNCTION("""COMPUTED_VALUE"""),0.413)</f>
        <v>0.413</v>
      </c>
      <c r="U1542" s="14">
        <f>IFERROR(__xludf.DUMMYFUNCTION("""COMPUTED_VALUE"""),0.555)</f>
        <v>0.555</v>
      </c>
      <c r="V1542" s="14">
        <f>IFERROR(__xludf.DUMMYFUNCTION("""COMPUTED_VALUE"""),0.031)</f>
        <v>0.031</v>
      </c>
      <c r="W1542" s="14">
        <f>IFERROR(__xludf.DUMMYFUNCTION("""COMPUTED_VALUE"""),3237713.0)</f>
        <v>3237713</v>
      </c>
      <c r="X1542" s="14">
        <f>IFERROR(__xludf.DUMMYFUNCTION("""COMPUTED_VALUE"""),0.539)</f>
        <v>0.539</v>
      </c>
      <c r="Y1542" s="14" t="str">
        <f>IFERROR(__xludf.DUMMYFUNCTION("""COMPUTED_VALUE"""),"Mauritania-Africa")</f>
        <v>Mauritania-Africa</v>
      </c>
      <c r="Z1542" s="14" t="str">
        <f>IFERROR(__xludf.DUMMYFUNCTION("""COMPUTED_VALUE"""),"Africa")</f>
        <v>Africa</v>
      </c>
      <c r="AA1542" s="14" t="str">
        <f>IFERROR(__xludf.DUMMYFUNCTION("""COMPUTED_VALUE"""),"2006")</f>
        <v>2006</v>
      </c>
      <c r="AB1542" s="15" t="str">
        <f>IFERROR(__xludf.DUMMYFUNCTION("ARRAYFORMULA(VLOOKUP(A1542,IMPORTRANGE(""https://docs.google.com/spreadsheets/d/1BuTWp7qHGjWhqrnf-OmePP568O4A5Am9ttzvVdP67zw/edit#gid=1931367683"" ,""ENERGY!$A$2:$F$2692""), {2,3,4,5,6},0))"),"Africa")</f>
        <v>Africa</v>
      </c>
      <c r="AC1542" s="14" t="str">
        <f>IFERROR(__xludf.DUMMYFUNCTION("""COMPUTED_VALUE"""),"Mauritania-Africa")</f>
        <v>Mauritania-Africa</v>
      </c>
      <c r="AD1542" s="14" t="str">
        <f>IFERROR(__xludf.DUMMYFUNCTION("""COMPUTED_VALUE"""),"2011")</f>
        <v>2011</v>
      </c>
      <c r="AE1542" s="14"/>
      <c r="AF1542" s="14">
        <f>IFERROR(__xludf.DUMMYFUNCTION("""COMPUTED_VALUE"""),1676.0)</f>
        <v>1676</v>
      </c>
    </row>
    <row r="1543">
      <c r="A1543" s="12">
        <v>1542.0</v>
      </c>
      <c r="B1543" s="12" t="s">
        <v>197</v>
      </c>
      <c r="C1543" s="5" t="s">
        <v>77</v>
      </c>
      <c r="D1543" s="11">
        <v>0.947</v>
      </c>
      <c r="E1543" s="11">
        <v>65.0</v>
      </c>
      <c r="F1543" s="8"/>
      <c r="G1543" s="11">
        <v>696.0</v>
      </c>
      <c r="H1543" s="11">
        <v>0.014</v>
      </c>
      <c r="I1543" s="11">
        <v>0.425</v>
      </c>
      <c r="J1543" s="9" t="s">
        <v>68</v>
      </c>
      <c r="K1543" s="14" t="str">
        <f>IFERROR(__xludf.DUMMYFUNCTION("ARRAYFORMULA(VLOOKUP(A1543,IMPORTRANGE(""https://docs.google.com/spreadsheets/d/1BuTWp7qHGjWhqrnf-OmePP568O4A5Am9ttzvVdP67zw/edit#gid=1603210130"", ""TOURISM!$A$2:$F$2692""), {2,3,4,5,6},0))"),"Africa")</f>
        <v>Africa</v>
      </c>
      <c r="L1543" s="14"/>
      <c r="M1543" s="14" t="str">
        <f>IFERROR(__xludf.DUMMYFUNCTION("""COMPUTED_VALUE"""),"Mauritania-Africa")</f>
        <v>Mauritania-Africa</v>
      </c>
      <c r="N1543" s="14" t="str">
        <f>IFERROR(__xludf.DUMMYFUNCTION("""COMPUTED_VALUE"""),"2007")</f>
        <v>2007</v>
      </c>
      <c r="O1543" s="14"/>
      <c r="P1543" s="15">
        <f>IFERROR(__xludf.DUMMYFUNCTION("ARRAYFORMULA(VLOOKUP(A1543,IMPORTRANGE(""https://docs.google.com/spreadsheets/d/1BuTWp7qHGjWhqrnf-OmePP568O4A5Am9ttzvVdP67zw/edit#gid=771602874"" ,""HUMAN RESOURCES!$A$2:$M$2692""), {2,3,4,5,6,7,8,9,10,11,12,13},0))"),0.036)</f>
        <v>0.036</v>
      </c>
      <c r="Q1543" s="14">
        <f>IFERROR(__xludf.DUMMYFUNCTION("""COMPUTED_VALUE"""),0.073)</f>
        <v>0.073</v>
      </c>
      <c r="R1543" s="14">
        <f>IFERROR(__xludf.DUMMYFUNCTION("""COMPUTED_VALUE"""),62.0)</f>
        <v>62</v>
      </c>
      <c r="S1543" s="14">
        <f>IFERROR(__xludf.DUMMYFUNCTION("""COMPUTED_VALUE"""),59.0)</f>
        <v>59</v>
      </c>
      <c r="T1543" s="14">
        <f>IFERROR(__xludf.DUMMYFUNCTION("""COMPUTED_VALUE"""),0.411)</f>
        <v>0.411</v>
      </c>
      <c r="U1543" s="14">
        <f>IFERROR(__xludf.DUMMYFUNCTION("""COMPUTED_VALUE"""),0.557)</f>
        <v>0.557</v>
      </c>
      <c r="V1543" s="14">
        <f>IFERROR(__xludf.DUMMYFUNCTION("""COMPUTED_VALUE"""),0.031)</f>
        <v>0.031</v>
      </c>
      <c r="W1543" s="14">
        <f>IFERROR(__xludf.DUMMYFUNCTION("""COMPUTED_VALUE"""),3330037.0)</f>
        <v>3330037</v>
      </c>
      <c r="X1543" s="14">
        <f>IFERROR(__xludf.DUMMYFUNCTION("""COMPUTED_VALUE"""),0.546)</f>
        <v>0.546</v>
      </c>
      <c r="Y1543" s="14" t="str">
        <f>IFERROR(__xludf.DUMMYFUNCTION("""COMPUTED_VALUE"""),"Mauritania-Africa")</f>
        <v>Mauritania-Africa</v>
      </c>
      <c r="Z1543" s="14" t="str">
        <f>IFERROR(__xludf.DUMMYFUNCTION("""COMPUTED_VALUE"""),"Africa")</f>
        <v>Africa</v>
      </c>
      <c r="AA1543" s="14" t="str">
        <f>IFERROR(__xludf.DUMMYFUNCTION("""COMPUTED_VALUE"""),"2007")</f>
        <v>2007</v>
      </c>
      <c r="AB1543" s="15" t="str">
        <f>IFERROR(__xludf.DUMMYFUNCTION("ARRAYFORMULA(VLOOKUP(A1543,IMPORTRANGE(""https://docs.google.com/spreadsheets/d/1BuTWp7qHGjWhqrnf-OmePP568O4A5Am9ttzvVdP67zw/edit#gid=1931367683"" ,""ENERGY!$A$2:$F$2692""), {2,3,4,5,6},0))"),"Africa")</f>
        <v>Africa</v>
      </c>
      <c r="AC1543" s="14" t="str">
        <f>IFERROR(__xludf.DUMMYFUNCTION("""COMPUTED_VALUE"""),"Mauritania-Africa")</f>
        <v>Mauritania-Africa</v>
      </c>
      <c r="AD1543" s="14" t="str">
        <f>IFERROR(__xludf.DUMMYFUNCTION("""COMPUTED_VALUE"""),"2009")</f>
        <v>2009</v>
      </c>
      <c r="AE1543" s="14"/>
      <c r="AF1543" s="14">
        <f>IFERROR(__xludf.DUMMYFUNCTION("""COMPUTED_VALUE"""),1676.0)</f>
        <v>1676</v>
      </c>
    </row>
    <row r="1544">
      <c r="A1544" s="12">
        <v>1543.0</v>
      </c>
      <c r="B1544" s="12" t="s">
        <v>197</v>
      </c>
      <c r="C1544" s="5" t="s">
        <v>77</v>
      </c>
      <c r="D1544" s="11">
        <v>0.858</v>
      </c>
      <c r="E1544" s="11">
        <v>19.0</v>
      </c>
      <c r="F1544" s="8"/>
      <c r="G1544" s="11">
        <v>696.0</v>
      </c>
      <c r="H1544" s="11">
        <v>0.019</v>
      </c>
      <c r="I1544" s="11">
        <v>0.611</v>
      </c>
      <c r="J1544" s="9" t="s">
        <v>69</v>
      </c>
      <c r="K1544" s="14" t="str">
        <f>IFERROR(__xludf.DUMMYFUNCTION("ARRAYFORMULA(VLOOKUP(A1544,IMPORTRANGE(""https://docs.google.com/spreadsheets/d/1BuTWp7qHGjWhqrnf-OmePP568O4A5Am9ttzvVdP67zw/edit#gid=1603210130"", ""TOURISM!$A$2:$F$2692""), {2,3,4,5,6},0))"),"Africa")</f>
        <v>Africa</v>
      </c>
      <c r="L1544" s="14"/>
      <c r="M1544" s="14" t="str">
        <f>IFERROR(__xludf.DUMMYFUNCTION("""COMPUTED_VALUE"""),"Mauritania-Africa")</f>
        <v>Mauritania-Africa</v>
      </c>
      <c r="N1544" s="14" t="str">
        <f>IFERROR(__xludf.DUMMYFUNCTION("""COMPUTED_VALUE"""),"2008")</f>
        <v>2008</v>
      </c>
      <c r="O1544" s="14"/>
      <c r="P1544" s="15">
        <f>IFERROR(__xludf.DUMMYFUNCTION("ARRAYFORMULA(VLOOKUP(A1544,IMPORTRANGE(""https://docs.google.com/spreadsheets/d/1BuTWp7qHGjWhqrnf-OmePP568O4A5Am9ttzvVdP67zw/edit#gid=771602874"" ,""HUMAN RESOURCES!$A$2:$M$2692""), {2,3,4,5,6,7,8,9,10,11,12,13},0))"),0.036)</f>
        <v>0.036</v>
      </c>
      <c r="Q1544" s="14">
        <f>IFERROR(__xludf.DUMMYFUNCTION("""COMPUTED_VALUE"""),0.072)</f>
        <v>0.072</v>
      </c>
      <c r="R1544" s="14">
        <f>IFERROR(__xludf.DUMMYFUNCTION("""COMPUTED_VALUE"""),62.0)</f>
        <v>62</v>
      </c>
      <c r="S1544" s="14">
        <f>IFERROR(__xludf.DUMMYFUNCTION("""COMPUTED_VALUE"""),59.0)</f>
        <v>59</v>
      </c>
      <c r="T1544" s="14">
        <f>IFERROR(__xludf.DUMMYFUNCTION("""COMPUTED_VALUE"""),0.409)</f>
        <v>0.409</v>
      </c>
      <c r="U1544" s="14">
        <f>IFERROR(__xludf.DUMMYFUNCTION("""COMPUTED_VALUE"""),0.559)</f>
        <v>0.559</v>
      </c>
      <c r="V1544" s="14">
        <f>IFERROR(__xludf.DUMMYFUNCTION("""COMPUTED_VALUE"""),0.031)</f>
        <v>0.031</v>
      </c>
      <c r="W1544" s="14">
        <f>IFERROR(__xludf.DUMMYFUNCTION("""COMPUTED_VALUE"""),3422901.0)</f>
        <v>3422901</v>
      </c>
      <c r="X1544" s="14">
        <f>IFERROR(__xludf.DUMMYFUNCTION("""COMPUTED_VALUE"""),0.553)</f>
        <v>0.553</v>
      </c>
      <c r="Y1544" s="14" t="str">
        <f>IFERROR(__xludf.DUMMYFUNCTION("""COMPUTED_VALUE"""),"Mauritania-Africa")</f>
        <v>Mauritania-Africa</v>
      </c>
      <c r="Z1544" s="14" t="str">
        <f>IFERROR(__xludf.DUMMYFUNCTION("""COMPUTED_VALUE"""),"Africa")</f>
        <v>Africa</v>
      </c>
      <c r="AA1544" s="14" t="str">
        <f>IFERROR(__xludf.DUMMYFUNCTION("""COMPUTED_VALUE"""),"2008")</f>
        <v>2008</v>
      </c>
      <c r="AB1544" s="15" t="str">
        <f>IFERROR(__xludf.DUMMYFUNCTION("ARRAYFORMULA(VLOOKUP(A1544,IMPORTRANGE(""https://docs.google.com/spreadsheets/d/1BuTWp7qHGjWhqrnf-OmePP568O4A5Am9ttzvVdP67zw/edit#gid=1931367683"" ,""ENERGY!$A$2:$F$2692""), {2,3,4,5,6},0))"),"Africa")</f>
        <v>Africa</v>
      </c>
      <c r="AC1544" s="14" t="str">
        <f>IFERROR(__xludf.DUMMYFUNCTION("""COMPUTED_VALUE"""),"Mauritania-Africa")</f>
        <v>Mauritania-Africa</v>
      </c>
      <c r="AD1544" s="14" t="str">
        <f>IFERROR(__xludf.DUMMYFUNCTION("""COMPUTED_VALUE"""),"2006")</f>
        <v>2006</v>
      </c>
      <c r="AE1544" s="14"/>
      <c r="AF1544" s="14">
        <f>IFERROR(__xludf.DUMMYFUNCTION("""COMPUTED_VALUE"""),1632.0)</f>
        <v>1632</v>
      </c>
    </row>
    <row r="1545">
      <c r="A1545" s="12">
        <v>1544.0</v>
      </c>
      <c r="B1545" s="12" t="s">
        <v>197</v>
      </c>
      <c r="C1545" s="5" t="s">
        <v>77</v>
      </c>
      <c r="D1545" s="11">
        <v>0.858</v>
      </c>
      <c r="E1545" s="11">
        <v>19.0</v>
      </c>
      <c r="F1545" s="8"/>
      <c r="G1545" s="11">
        <v>696.0</v>
      </c>
      <c r="H1545" s="11">
        <v>0.023</v>
      </c>
      <c r="I1545" s="11">
        <v>0.621</v>
      </c>
      <c r="J1545" s="9" t="s">
        <v>70</v>
      </c>
      <c r="K1545" s="14" t="str">
        <f>IFERROR(__xludf.DUMMYFUNCTION("ARRAYFORMULA(VLOOKUP(A1545,IMPORTRANGE(""https://docs.google.com/spreadsheets/d/1BuTWp7qHGjWhqrnf-OmePP568O4A5Am9ttzvVdP67zw/edit#gid=1603210130"", ""TOURISM!$A$2:$F$2692""), {2,3,4,5,6},0))"),"Africa")</f>
        <v>Africa</v>
      </c>
      <c r="L1545" s="14"/>
      <c r="M1545" s="14" t="str">
        <f>IFERROR(__xludf.DUMMYFUNCTION("""COMPUTED_VALUE"""),"Mauritania-Africa")</f>
        <v>Mauritania-Africa</v>
      </c>
      <c r="N1545" s="14" t="str">
        <f>IFERROR(__xludf.DUMMYFUNCTION("""COMPUTED_VALUE"""),"2009")</f>
        <v>2009</v>
      </c>
      <c r="O1545" s="14"/>
      <c r="P1545" s="15">
        <f>IFERROR(__xludf.DUMMYFUNCTION("ARRAYFORMULA(VLOOKUP(A1545,IMPORTRANGE(""https://docs.google.com/spreadsheets/d/1BuTWp7qHGjWhqrnf-OmePP568O4A5Am9ttzvVdP67zw/edit#gid=771602874"" ,""HUMAN RESOURCES!$A$2:$M$2692""), {2,3,4,5,6,7,8,9,10,11,12,13},0))"),0.036)</f>
        <v>0.036</v>
      </c>
      <c r="Q1545" s="14">
        <f>IFERROR(__xludf.DUMMYFUNCTION("""COMPUTED_VALUE"""),0.071)</f>
        <v>0.071</v>
      </c>
      <c r="R1545" s="14">
        <f>IFERROR(__xludf.DUMMYFUNCTION("""COMPUTED_VALUE"""),62.0)</f>
        <v>62</v>
      </c>
      <c r="S1545" s="14">
        <f>IFERROR(__xludf.DUMMYFUNCTION("""COMPUTED_VALUE"""),59.0)</f>
        <v>59</v>
      </c>
      <c r="T1545" s="14">
        <f>IFERROR(__xludf.DUMMYFUNCTION("""COMPUTED_VALUE"""),0.407)</f>
        <v>0.407</v>
      </c>
      <c r="U1545" s="14">
        <f>IFERROR(__xludf.DUMMYFUNCTION("""COMPUTED_VALUE"""),0.561)</f>
        <v>0.561</v>
      </c>
      <c r="V1545" s="14">
        <f>IFERROR(__xludf.DUMMYFUNCTION("""COMPUTED_VALUE"""),0.031)</f>
        <v>0.031</v>
      </c>
      <c r="W1545" s="14">
        <f>IFERROR(__xludf.DUMMYFUNCTION("""COMPUTED_VALUE"""),3516077.0)</f>
        <v>3516077</v>
      </c>
      <c r="X1545" s="14">
        <f>IFERROR(__xludf.DUMMYFUNCTION("""COMPUTED_VALUE"""),0.56)</f>
        <v>0.56</v>
      </c>
      <c r="Y1545" s="14" t="str">
        <f>IFERROR(__xludf.DUMMYFUNCTION("""COMPUTED_VALUE"""),"Mauritania-Africa")</f>
        <v>Mauritania-Africa</v>
      </c>
      <c r="Z1545" s="14" t="str">
        <f>IFERROR(__xludf.DUMMYFUNCTION("""COMPUTED_VALUE"""),"Africa")</f>
        <v>Africa</v>
      </c>
      <c r="AA1545" s="14" t="str">
        <f>IFERROR(__xludf.DUMMYFUNCTION("""COMPUTED_VALUE"""),"2009")</f>
        <v>2009</v>
      </c>
      <c r="AB1545" s="15" t="str">
        <f>IFERROR(__xludf.DUMMYFUNCTION("ARRAYFORMULA(VLOOKUP(A1545,IMPORTRANGE(""https://docs.google.com/spreadsheets/d/1BuTWp7qHGjWhqrnf-OmePP568O4A5Am9ttzvVdP67zw/edit#gid=1931367683"" ,""ENERGY!$A$2:$F$2692""), {2,3,4,5,6},0))"),"Africa")</f>
        <v>Africa</v>
      </c>
      <c r="AC1545" s="14" t="str">
        <f>IFERROR(__xludf.DUMMYFUNCTION("""COMPUTED_VALUE"""),"Mauritania-Africa")</f>
        <v>Mauritania-Africa</v>
      </c>
      <c r="AD1545" s="14" t="str">
        <f>IFERROR(__xludf.DUMMYFUNCTION("""COMPUTED_VALUE"""),"2010")</f>
        <v>2010</v>
      </c>
      <c r="AE1545" s="14"/>
      <c r="AF1545" s="14">
        <f>IFERROR(__xludf.DUMMYFUNCTION("""COMPUTED_VALUE"""),1474.0)</f>
        <v>1474</v>
      </c>
    </row>
    <row r="1546">
      <c r="A1546" s="12">
        <v>1545.0</v>
      </c>
      <c r="B1546" s="12" t="s">
        <v>197</v>
      </c>
      <c r="C1546" s="5" t="s">
        <v>77</v>
      </c>
      <c r="D1546" s="11">
        <v>0.682</v>
      </c>
      <c r="E1546" s="11">
        <v>19.0</v>
      </c>
      <c r="F1546" s="8"/>
      <c r="G1546" s="11">
        <v>696.0</v>
      </c>
      <c r="H1546" s="11">
        <v>0.04</v>
      </c>
      <c r="I1546" s="11">
        <v>0.769</v>
      </c>
      <c r="J1546" s="9" t="s">
        <v>71</v>
      </c>
      <c r="K1546" s="14" t="str">
        <f>IFERROR(__xludf.DUMMYFUNCTION("ARRAYFORMULA(VLOOKUP(A1546,IMPORTRANGE(""https://docs.google.com/spreadsheets/d/1BuTWp7qHGjWhqrnf-OmePP568O4A5Am9ttzvVdP67zw/edit#gid=1603210130"", ""TOURISM!$A$2:$F$2692""), {2,3,4,5,6},0))"),"Africa")</f>
        <v>Africa</v>
      </c>
      <c r="L1546" s="14"/>
      <c r="M1546" s="14" t="str">
        <f>IFERROR(__xludf.DUMMYFUNCTION("""COMPUTED_VALUE"""),"Mauritania-Africa")</f>
        <v>Mauritania-Africa</v>
      </c>
      <c r="N1546" s="14" t="str">
        <f>IFERROR(__xludf.DUMMYFUNCTION("""COMPUTED_VALUE"""),"2010")</f>
        <v>2010</v>
      </c>
      <c r="O1546" s="14"/>
      <c r="P1546" s="15">
        <f>IFERROR(__xludf.DUMMYFUNCTION("ARRAYFORMULA(VLOOKUP(A1546,IMPORTRANGE(""https://docs.google.com/spreadsheets/d/1BuTWp7qHGjWhqrnf-OmePP568O4A5Am9ttzvVdP67zw/edit#gid=771602874"" ,""HUMAN RESOURCES!$A$2:$M$2692""), {2,3,4,5,6,7,8,9,10,11,12,13},0))"),0.035)</f>
        <v>0.035</v>
      </c>
      <c r="Q1546" s="14">
        <f>IFERROR(__xludf.DUMMYFUNCTION("""COMPUTED_VALUE"""),0.07)</f>
        <v>0.07</v>
      </c>
      <c r="R1546" s="14">
        <f>IFERROR(__xludf.DUMMYFUNCTION("""COMPUTED_VALUE"""),63.0)</f>
        <v>63</v>
      </c>
      <c r="S1546" s="14">
        <f>IFERROR(__xludf.DUMMYFUNCTION("""COMPUTED_VALUE"""),60.0)</f>
        <v>60</v>
      </c>
      <c r="T1546" s="14">
        <f>IFERROR(__xludf.DUMMYFUNCTION("""COMPUTED_VALUE"""),0.406)</f>
        <v>0.406</v>
      </c>
      <c r="U1546" s="14">
        <f>IFERROR(__xludf.DUMMYFUNCTION("""COMPUTED_VALUE"""),0.563)</f>
        <v>0.563</v>
      </c>
      <c r="V1546" s="14">
        <f>IFERROR(__xludf.DUMMYFUNCTION("""COMPUTED_VALUE"""),0.031)</f>
        <v>0.031</v>
      </c>
      <c r="W1546" s="14">
        <f>IFERROR(__xludf.DUMMYFUNCTION("""COMPUTED_VALUE"""),3609420.0)</f>
        <v>3609420</v>
      </c>
      <c r="X1546" s="14">
        <f>IFERROR(__xludf.DUMMYFUNCTION("""COMPUTED_VALUE"""),0.567)</f>
        <v>0.567</v>
      </c>
      <c r="Y1546" s="14" t="str">
        <f>IFERROR(__xludf.DUMMYFUNCTION("""COMPUTED_VALUE"""),"Mauritania-Africa")</f>
        <v>Mauritania-Africa</v>
      </c>
      <c r="Z1546" s="14" t="str">
        <f>IFERROR(__xludf.DUMMYFUNCTION("""COMPUTED_VALUE"""),"Africa")</f>
        <v>Africa</v>
      </c>
      <c r="AA1546" s="14" t="str">
        <f>IFERROR(__xludf.DUMMYFUNCTION("""COMPUTED_VALUE"""),"2010")</f>
        <v>2010</v>
      </c>
      <c r="AB1546" s="15" t="str">
        <f>IFERROR(__xludf.DUMMYFUNCTION("ARRAYFORMULA(VLOOKUP(A1546,IMPORTRANGE(""https://docs.google.com/spreadsheets/d/1BuTWp7qHGjWhqrnf-OmePP568O4A5Am9ttzvVdP67zw/edit#gid=1931367683"" ,""ENERGY!$A$2:$F$2692""), {2,3,4,5,6},0))"),"Africa")</f>
        <v>Africa</v>
      </c>
      <c r="AC1546" s="14" t="str">
        <f>IFERROR(__xludf.DUMMYFUNCTION("""COMPUTED_VALUE"""),"Mauritania-Africa")</f>
        <v>Mauritania-Africa</v>
      </c>
      <c r="AD1546" s="14" t="str">
        <f>IFERROR(__xludf.DUMMYFUNCTION("""COMPUTED_VALUE"""),"2005")</f>
        <v>2005</v>
      </c>
      <c r="AE1546" s="14"/>
      <c r="AF1546" s="14">
        <f>IFERROR(__xludf.DUMMYFUNCTION("""COMPUTED_VALUE"""),1434.0)</f>
        <v>1434</v>
      </c>
    </row>
    <row r="1547">
      <c r="A1547" s="12">
        <v>1546.0</v>
      </c>
      <c r="B1547" s="12" t="s">
        <v>197</v>
      </c>
      <c r="C1547" s="5" t="s">
        <v>77</v>
      </c>
      <c r="D1547" s="11">
        <v>0.682</v>
      </c>
      <c r="E1547" s="11">
        <v>19.0</v>
      </c>
      <c r="F1547" s="8"/>
      <c r="G1547" s="11">
        <v>696.0</v>
      </c>
      <c r="H1547" s="11">
        <v>0.045</v>
      </c>
      <c r="I1547" s="11">
        <v>0.895</v>
      </c>
      <c r="J1547" s="9" t="s">
        <v>72</v>
      </c>
      <c r="K1547" s="14" t="str">
        <f>IFERROR(__xludf.DUMMYFUNCTION("ARRAYFORMULA(VLOOKUP(A1547,IMPORTRANGE(""https://docs.google.com/spreadsheets/d/1BuTWp7qHGjWhqrnf-OmePP568O4A5Am9ttzvVdP67zw/edit#gid=1603210130"", ""TOURISM!$A$2:$F$2692""), {2,3,4,5,6},0))"),"Africa")</f>
        <v>Africa</v>
      </c>
      <c r="L1547" s="14"/>
      <c r="M1547" s="14" t="str">
        <f>IFERROR(__xludf.DUMMYFUNCTION("""COMPUTED_VALUE"""),"Mauritania-Africa")</f>
        <v>Mauritania-Africa</v>
      </c>
      <c r="N1547" s="14" t="str">
        <f>IFERROR(__xludf.DUMMYFUNCTION("""COMPUTED_VALUE"""),"2011")</f>
        <v>2011</v>
      </c>
      <c r="O1547" s="14"/>
      <c r="P1547" s="15">
        <f>IFERROR(__xludf.DUMMYFUNCTION("ARRAYFORMULA(VLOOKUP(A1547,IMPORTRANGE(""https://docs.google.com/spreadsheets/d/1BuTWp7qHGjWhqrnf-OmePP568O4A5Am9ttzvVdP67zw/edit#gid=771602874"" ,""HUMAN RESOURCES!$A$2:$M$2692""), {2,3,4,5,6,7,8,9,10,11,12,13},0))"),0.035)</f>
        <v>0.035</v>
      </c>
      <c r="Q1547" s="14">
        <f>IFERROR(__xludf.DUMMYFUNCTION("""COMPUTED_VALUE"""),0.069)</f>
        <v>0.069</v>
      </c>
      <c r="R1547" s="14">
        <f>IFERROR(__xludf.DUMMYFUNCTION("""COMPUTED_VALUE"""),63.0)</f>
        <v>63</v>
      </c>
      <c r="S1547" s="14">
        <f>IFERROR(__xludf.DUMMYFUNCTION("""COMPUTED_VALUE"""),60.0)</f>
        <v>60</v>
      </c>
      <c r="T1547" s="14">
        <f>IFERROR(__xludf.DUMMYFUNCTION("""COMPUTED_VALUE"""),0.404)</f>
        <v>0.404</v>
      </c>
      <c r="U1547" s="14">
        <f>IFERROR(__xludf.DUMMYFUNCTION("""COMPUTED_VALUE"""),0.565)</f>
        <v>0.565</v>
      </c>
      <c r="V1547" s="14">
        <f>IFERROR(__xludf.DUMMYFUNCTION("""COMPUTED_VALUE"""),0.031)</f>
        <v>0.031</v>
      </c>
      <c r="W1547" s="14">
        <f>IFERROR(__xludf.DUMMYFUNCTION("""COMPUTED_VALUE"""),3702763.0)</f>
        <v>3702763</v>
      </c>
      <c r="X1547" s="14">
        <f>IFERROR(__xludf.DUMMYFUNCTION("""COMPUTED_VALUE"""),0.573)</f>
        <v>0.573</v>
      </c>
      <c r="Y1547" s="14" t="str">
        <f>IFERROR(__xludf.DUMMYFUNCTION("""COMPUTED_VALUE"""),"Mauritania-Africa")</f>
        <v>Mauritania-Africa</v>
      </c>
      <c r="Z1547" s="14" t="str">
        <f>IFERROR(__xludf.DUMMYFUNCTION("""COMPUTED_VALUE"""),"Africa")</f>
        <v>Africa</v>
      </c>
      <c r="AA1547" s="14" t="str">
        <f>IFERROR(__xludf.DUMMYFUNCTION("""COMPUTED_VALUE"""),"2011")</f>
        <v>2011</v>
      </c>
      <c r="AB1547" s="15" t="str">
        <f>IFERROR(__xludf.DUMMYFUNCTION("ARRAYFORMULA(VLOOKUP(A1547,IMPORTRANGE(""https://docs.google.com/spreadsheets/d/1BuTWp7qHGjWhqrnf-OmePP568O4A5Am9ttzvVdP67zw/edit#gid=1931367683"" ,""ENERGY!$A$2:$F$2692""), {2,3,4,5,6},0))"),"Africa")</f>
        <v>Africa</v>
      </c>
      <c r="AC1547" s="14" t="str">
        <f>IFERROR(__xludf.DUMMYFUNCTION("""COMPUTED_VALUE"""),"Mauritania-Africa")</f>
        <v>Mauritania-Africa</v>
      </c>
      <c r="AD1547" s="14" t="str">
        <f>IFERROR(__xludf.DUMMYFUNCTION("""COMPUTED_VALUE"""),"2006")</f>
        <v>2006</v>
      </c>
      <c r="AE1547" s="14"/>
      <c r="AF1547" s="14">
        <f>IFERROR(__xludf.DUMMYFUNCTION("""COMPUTED_VALUE"""),1349.0)</f>
        <v>1349</v>
      </c>
    </row>
    <row r="1548">
      <c r="A1548" s="12">
        <v>1547.0</v>
      </c>
      <c r="B1548" s="12" t="s">
        <v>197</v>
      </c>
      <c r="C1548" s="5" t="s">
        <v>77</v>
      </c>
      <c r="D1548" s="11">
        <v>0.682</v>
      </c>
      <c r="E1548" s="11">
        <v>19.0</v>
      </c>
      <c r="F1548" s="11">
        <v>171.0</v>
      </c>
      <c r="G1548" s="11">
        <v>696.0</v>
      </c>
      <c r="H1548" s="11">
        <v>0.054</v>
      </c>
      <c r="I1548" s="11">
        <v>1.06</v>
      </c>
      <c r="J1548" s="9" t="s">
        <v>73</v>
      </c>
      <c r="K1548" s="14" t="str">
        <f>IFERROR(__xludf.DUMMYFUNCTION("ARRAYFORMULA(VLOOKUP(A1548,IMPORTRANGE(""https://docs.google.com/spreadsheets/d/1BuTWp7qHGjWhqrnf-OmePP568O4A5Am9ttzvVdP67zw/edit#gid=1603210130"", ""TOURISM!$A$2:$F$2692""), {2,3,4,5,6},0))"),"Africa")</f>
        <v>Africa</v>
      </c>
      <c r="L1548" s="14"/>
      <c r="M1548" s="14" t="str">
        <f>IFERROR(__xludf.DUMMYFUNCTION("""COMPUTED_VALUE"""),"Mauritania-Africa")</f>
        <v>Mauritania-Africa</v>
      </c>
      <c r="N1548" s="14" t="str">
        <f>IFERROR(__xludf.DUMMYFUNCTION("""COMPUTED_VALUE"""),"2012")</f>
        <v>2012</v>
      </c>
      <c r="O1548" s="14"/>
      <c r="P1548" s="15">
        <f>IFERROR(__xludf.DUMMYFUNCTION("ARRAYFORMULA(VLOOKUP(A1548,IMPORTRANGE(""https://docs.google.com/spreadsheets/d/1BuTWp7qHGjWhqrnf-OmePP568O4A5Am9ttzvVdP67zw/edit#gid=771602874"" ,""HUMAN RESOURCES!$A$2:$M$2692""), {2,3,4,5,6,7,8,9,10,11,12,13},0))"),0.034)</f>
        <v>0.034</v>
      </c>
      <c r="Q1548" s="14">
        <f>IFERROR(__xludf.DUMMYFUNCTION("""COMPUTED_VALUE"""),0.068)</f>
        <v>0.068</v>
      </c>
      <c r="R1548" s="14">
        <f>IFERROR(__xludf.DUMMYFUNCTION("""COMPUTED_VALUE"""),63.0)</f>
        <v>63</v>
      </c>
      <c r="S1548" s="14">
        <f>IFERROR(__xludf.DUMMYFUNCTION("""COMPUTED_VALUE"""),60.0)</f>
        <v>60</v>
      </c>
      <c r="T1548" s="14">
        <f>IFERROR(__xludf.DUMMYFUNCTION("""COMPUTED_VALUE"""),0.402)</f>
        <v>0.402</v>
      </c>
      <c r="U1548" s="14">
        <f>IFERROR(__xludf.DUMMYFUNCTION("""COMPUTED_VALUE"""),0.566)</f>
        <v>0.566</v>
      </c>
      <c r="V1548" s="14">
        <f>IFERROR(__xludf.DUMMYFUNCTION("""COMPUTED_VALUE"""),0.032)</f>
        <v>0.032</v>
      </c>
      <c r="W1548" s="14">
        <f>IFERROR(__xludf.DUMMYFUNCTION("""COMPUTED_VALUE"""),3796141.0)</f>
        <v>3796141</v>
      </c>
      <c r="X1548" s="14">
        <f>IFERROR(__xludf.DUMMYFUNCTION("""COMPUTED_VALUE"""),0.58)</f>
        <v>0.58</v>
      </c>
      <c r="Y1548" s="14" t="str">
        <f>IFERROR(__xludf.DUMMYFUNCTION("""COMPUTED_VALUE"""),"Mauritania-Africa")</f>
        <v>Mauritania-Africa</v>
      </c>
      <c r="Z1548" s="14" t="str">
        <f>IFERROR(__xludf.DUMMYFUNCTION("""COMPUTED_VALUE"""),"Africa")</f>
        <v>Africa</v>
      </c>
      <c r="AA1548" s="14" t="str">
        <f>IFERROR(__xludf.DUMMYFUNCTION("""COMPUTED_VALUE"""),"2012")</f>
        <v>2012</v>
      </c>
      <c r="AB1548" s="15" t="str">
        <f>IFERROR(__xludf.DUMMYFUNCTION("ARRAYFORMULA(VLOOKUP(A1548,IMPORTRANGE(""https://docs.google.com/spreadsheets/d/1BuTWp7qHGjWhqrnf-OmePP568O4A5Am9ttzvVdP67zw/edit#gid=1931367683"" ,""ENERGY!$A$2:$F$2692""), {2,3,4,5,6},0))"),"Africa")</f>
        <v>Africa</v>
      </c>
      <c r="AC1548" s="14" t="str">
        <f>IFERROR(__xludf.DUMMYFUNCTION("""COMPUTED_VALUE"""),"Mauritania-Africa")</f>
        <v>Mauritania-Africa</v>
      </c>
      <c r="AD1548" s="14" t="str">
        <f>IFERROR(__xludf.DUMMYFUNCTION("""COMPUTED_VALUE"""),"2010")</f>
        <v>2010</v>
      </c>
      <c r="AE1548" s="14"/>
      <c r="AF1548" s="14">
        <f>IFERROR(__xludf.DUMMYFUNCTION("""COMPUTED_VALUE"""),1236.0)</f>
        <v>1236</v>
      </c>
    </row>
    <row r="1549">
      <c r="A1549" s="12">
        <v>1548.0</v>
      </c>
      <c r="B1549" s="12" t="s">
        <v>198</v>
      </c>
      <c r="C1549" s="5" t="s">
        <v>77</v>
      </c>
      <c r="D1549" s="8"/>
      <c r="E1549" s="8"/>
      <c r="F1549" s="8"/>
      <c r="G1549" s="8"/>
      <c r="H1549" s="11">
        <v>0.073</v>
      </c>
      <c r="I1549" s="11">
        <v>0.152</v>
      </c>
      <c r="J1549" s="9" t="s">
        <v>60</v>
      </c>
      <c r="K1549" s="14" t="str">
        <f>IFERROR(__xludf.DUMMYFUNCTION("ARRAYFORMULA(VLOOKUP(A1549,IMPORTRANGE(""https://docs.google.com/spreadsheets/d/1BuTWp7qHGjWhqrnf-OmePP568O4A5Am9ttzvVdP67zw/edit#gid=1603210130"", ""TOURISM!$A$2:$F$2692""), {2,3,4,5,6},0))"),"Africa")</f>
        <v>Africa</v>
      </c>
      <c r="L1549" s="14">
        <f>IFERROR(__xludf.DUMMYFUNCTION("""COMPUTED_VALUE"""),7.32E8)</f>
        <v>732000000</v>
      </c>
      <c r="M1549" s="14" t="str">
        <f>IFERROR(__xludf.DUMMYFUNCTION("""COMPUTED_VALUE"""),"Mauritius-Africa")</f>
        <v>Mauritius-Africa</v>
      </c>
      <c r="N1549" s="14" t="str">
        <f>IFERROR(__xludf.DUMMYFUNCTION("""COMPUTED_VALUE"""),"2000")</f>
        <v>2000</v>
      </c>
      <c r="O1549" s="14">
        <f>IFERROR(__xludf.DUMMYFUNCTION("""COMPUTED_VALUE"""),2.03E8)</f>
        <v>203000000</v>
      </c>
      <c r="P1549" s="15">
        <f>IFERROR(__xludf.DUMMYFUNCTION("ARRAYFORMULA(VLOOKUP(A1549,IMPORTRANGE(""https://docs.google.com/spreadsheets/d/1BuTWp7qHGjWhqrnf-OmePP568O4A5Am9ttzvVdP67zw/edit#gid=771602874"" ,""HUMAN RESOURCES!$A$2:$M$2692""), {2,3,4,5,6,7,8,9,10,11,12,13},0))"),0.017)</f>
        <v>0.017</v>
      </c>
      <c r="Q1549" s="14">
        <f>IFERROR(__xludf.DUMMYFUNCTION("""COMPUTED_VALUE"""),0.016)</f>
        <v>0.016</v>
      </c>
      <c r="R1549" s="14">
        <f>IFERROR(__xludf.DUMMYFUNCTION("""COMPUTED_VALUE"""),75.0)</f>
        <v>75</v>
      </c>
      <c r="S1549" s="14">
        <f>IFERROR(__xludf.DUMMYFUNCTION("""COMPUTED_VALUE"""),68.0)</f>
        <v>68</v>
      </c>
      <c r="T1549" s="14">
        <f>IFERROR(__xludf.DUMMYFUNCTION("""COMPUTED_VALUE"""),0.258)</f>
        <v>0.258</v>
      </c>
      <c r="U1549" s="14">
        <f>IFERROR(__xludf.DUMMYFUNCTION("""COMPUTED_VALUE"""),0.681)</f>
        <v>0.681</v>
      </c>
      <c r="V1549" s="14">
        <f>IFERROR(__xludf.DUMMYFUNCTION("""COMPUTED_VALUE"""),0.061)</f>
        <v>0.061</v>
      </c>
      <c r="W1549" s="14">
        <f>IFERROR(__xludf.DUMMYFUNCTION("""COMPUTED_VALUE"""),1186873.0)</f>
        <v>1186873</v>
      </c>
      <c r="X1549" s="14">
        <f>IFERROR(__xludf.DUMMYFUNCTION("""COMPUTED_VALUE"""),0.427)</f>
        <v>0.427</v>
      </c>
      <c r="Y1549" s="14" t="str">
        <f>IFERROR(__xludf.DUMMYFUNCTION("""COMPUTED_VALUE"""),"Mauritius-Africa")</f>
        <v>Mauritius-Africa</v>
      </c>
      <c r="Z1549" s="14" t="str">
        <f>IFERROR(__xludf.DUMMYFUNCTION("""COMPUTED_VALUE"""),"Africa")</f>
        <v>Africa</v>
      </c>
      <c r="AA1549" s="14" t="str">
        <f>IFERROR(__xludf.DUMMYFUNCTION("""COMPUTED_VALUE"""),"2000")</f>
        <v>2000</v>
      </c>
      <c r="AB1549" s="15" t="str">
        <f>IFERROR(__xludf.DUMMYFUNCTION("ARRAYFORMULA(VLOOKUP(A1549,IMPORTRANGE(""https://docs.google.com/spreadsheets/d/1BuTWp7qHGjWhqrnf-OmePP568O4A5Am9ttzvVdP67zw/edit#gid=1931367683"" ,""ENERGY!$A$2:$F$2692""), {2,3,4,5,6},0))"),"Africa")</f>
        <v>Africa</v>
      </c>
      <c r="AC1549" s="14" t="str">
        <f>IFERROR(__xludf.DUMMYFUNCTION("""COMPUTED_VALUE"""),"Mauritius-Africa")</f>
        <v>Mauritius-Africa</v>
      </c>
      <c r="AD1549" s="14" t="str">
        <f>IFERROR(__xludf.DUMMYFUNCTION("""COMPUTED_VALUE"""),"2000")</f>
        <v>2000</v>
      </c>
      <c r="AE1549" s="14"/>
      <c r="AF1549" s="14"/>
    </row>
    <row r="1550">
      <c r="A1550" s="12">
        <v>1549.0</v>
      </c>
      <c r="B1550" s="12" t="s">
        <v>198</v>
      </c>
      <c r="C1550" s="5" t="s">
        <v>77</v>
      </c>
      <c r="D1550" s="8"/>
      <c r="E1550" s="8"/>
      <c r="F1550" s="8"/>
      <c r="G1550" s="8"/>
      <c r="H1550" s="11">
        <v>0.088</v>
      </c>
      <c r="I1550" s="11">
        <v>0.228</v>
      </c>
      <c r="J1550" s="9" t="s">
        <v>62</v>
      </c>
      <c r="K1550" s="14" t="str">
        <f>IFERROR(__xludf.DUMMYFUNCTION("ARRAYFORMULA(VLOOKUP(A1550,IMPORTRANGE(""https://docs.google.com/spreadsheets/d/1BuTWp7qHGjWhqrnf-OmePP568O4A5Am9ttzvVdP67zw/edit#gid=1603210130"", ""TOURISM!$A$2:$F$2692""), {2,3,4,5,6},0))"),"Africa")</f>
        <v>Africa</v>
      </c>
      <c r="L1550" s="14">
        <f>IFERROR(__xludf.DUMMYFUNCTION("""COMPUTED_VALUE"""),8.2E8)</f>
        <v>820000000</v>
      </c>
      <c r="M1550" s="14" t="str">
        <f>IFERROR(__xludf.DUMMYFUNCTION("""COMPUTED_VALUE"""),"Mauritius-Africa")</f>
        <v>Mauritius-Africa</v>
      </c>
      <c r="N1550" s="14" t="str">
        <f>IFERROR(__xludf.DUMMYFUNCTION("""COMPUTED_VALUE"""),"2001")</f>
        <v>2001</v>
      </c>
      <c r="O1550" s="14">
        <f>IFERROR(__xludf.DUMMYFUNCTION("""COMPUTED_VALUE"""),2.16E8)</f>
        <v>216000000</v>
      </c>
      <c r="P1550" s="15">
        <f>IFERROR(__xludf.DUMMYFUNCTION("ARRAYFORMULA(VLOOKUP(A1550,IMPORTRANGE(""https://docs.google.com/spreadsheets/d/1BuTWp7qHGjWhqrnf-OmePP568O4A5Am9ttzvVdP67zw/edit#gid=771602874"" ,""HUMAN RESOURCES!$A$2:$M$2692""), {2,3,4,5,6,7,8,9,10,11,12,13},0))"),0.016)</f>
        <v>0.016</v>
      </c>
      <c r="Q1550" s="14">
        <f>IFERROR(__xludf.DUMMYFUNCTION("""COMPUTED_VALUE"""),0.015)</f>
        <v>0.015</v>
      </c>
      <c r="R1550" s="14">
        <f>IFERROR(__xludf.DUMMYFUNCTION("""COMPUTED_VALUE"""),75.0)</f>
        <v>75</v>
      </c>
      <c r="S1550" s="14">
        <f>IFERROR(__xludf.DUMMYFUNCTION("""COMPUTED_VALUE"""),68.0)</f>
        <v>68</v>
      </c>
      <c r="T1550" s="14">
        <f>IFERROR(__xludf.DUMMYFUNCTION("""COMPUTED_VALUE"""),0.255)</f>
        <v>0.255</v>
      </c>
      <c r="U1550" s="14">
        <f>IFERROR(__xludf.DUMMYFUNCTION("""COMPUTED_VALUE"""),0.683)</f>
        <v>0.683</v>
      </c>
      <c r="V1550" s="14">
        <f>IFERROR(__xludf.DUMMYFUNCTION("""COMPUTED_VALUE"""),0.063)</f>
        <v>0.063</v>
      </c>
      <c r="W1550" s="14">
        <f>IFERROR(__xludf.DUMMYFUNCTION("""COMPUTED_VALUE"""),1199881.0)</f>
        <v>1199881</v>
      </c>
      <c r="X1550" s="14">
        <f>IFERROR(__xludf.DUMMYFUNCTION("""COMPUTED_VALUE"""),0.425)</f>
        <v>0.425</v>
      </c>
      <c r="Y1550" s="14" t="str">
        <f>IFERROR(__xludf.DUMMYFUNCTION("""COMPUTED_VALUE"""),"Mauritius-Africa")</f>
        <v>Mauritius-Africa</v>
      </c>
      <c r="Z1550" s="14" t="str">
        <f>IFERROR(__xludf.DUMMYFUNCTION("""COMPUTED_VALUE"""),"Africa")</f>
        <v>Africa</v>
      </c>
      <c r="AA1550" s="14" t="str">
        <f>IFERROR(__xludf.DUMMYFUNCTION("""COMPUTED_VALUE"""),"2001")</f>
        <v>2001</v>
      </c>
      <c r="AB1550" s="15" t="str">
        <f>IFERROR(__xludf.DUMMYFUNCTION("ARRAYFORMULA(VLOOKUP(A1550,IMPORTRANGE(""https://docs.google.com/spreadsheets/d/1BuTWp7qHGjWhqrnf-OmePP568O4A5Am9ttzvVdP67zw/edit#gid=1931367683"" ,""ENERGY!$A$2:$F$2692""), {2,3,4,5,6},0))"),"Africa")</f>
        <v>Africa</v>
      </c>
      <c r="AC1550" s="14" t="str">
        <f>IFERROR(__xludf.DUMMYFUNCTION("""COMPUTED_VALUE"""),"Mauritius-Africa")</f>
        <v>Mauritius-Africa</v>
      </c>
      <c r="AD1550" s="14" t="str">
        <f>IFERROR(__xludf.DUMMYFUNCTION("""COMPUTED_VALUE"""),"2001")</f>
        <v>2001</v>
      </c>
      <c r="AE1550" s="14"/>
      <c r="AF1550" s="14"/>
    </row>
    <row r="1551">
      <c r="A1551" s="12">
        <v>1550.0</v>
      </c>
      <c r="B1551" s="12" t="s">
        <v>198</v>
      </c>
      <c r="C1551" s="5" t="s">
        <v>77</v>
      </c>
      <c r="D1551" s="8"/>
      <c r="E1551" s="8"/>
      <c r="F1551" s="8"/>
      <c r="G1551" s="8"/>
      <c r="H1551" s="11">
        <v>0.103</v>
      </c>
      <c r="I1551" s="11">
        <v>0.29</v>
      </c>
      <c r="J1551" s="9" t="s">
        <v>63</v>
      </c>
      <c r="K1551" s="14" t="str">
        <f>IFERROR(__xludf.DUMMYFUNCTION("ARRAYFORMULA(VLOOKUP(A1551,IMPORTRANGE(""https://docs.google.com/spreadsheets/d/1BuTWp7qHGjWhqrnf-OmePP568O4A5Am9ttzvVdP67zw/edit#gid=1603210130"", ""TOURISM!$A$2:$F$2692""), {2,3,4,5,6},0))"),"Africa")</f>
        <v>Africa</v>
      </c>
      <c r="L1551" s="14">
        <f>IFERROR(__xludf.DUMMYFUNCTION("""COMPUTED_VALUE"""),8.29E8)</f>
        <v>829000000</v>
      </c>
      <c r="M1551" s="14" t="str">
        <f>IFERROR(__xludf.DUMMYFUNCTION("""COMPUTED_VALUE"""),"Mauritius-Africa")</f>
        <v>Mauritius-Africa</v>
      </c>
      <c r="N1551" s="14" t="str">
        <f>IFERROR(__xludf.DUMMYFUNCTION("""COMPUTED_VALUE"""),"2002")</f>
        <v>2002</v>
      </c>
      <c r="O1551" s="14">
        <f>IFERROR(__xludf.DUMMYFUNCTION("""COMPUTED_VALUE"""),2.23E8)</f>
        <v>223000000</v>
      </c>
      <c r="P1551" s="15">
        <f>IFERROR(__xludf.DUMMYFUNCTION("ARRAYFORMULA(VLOOKUP(A1551,IMPORTRANGE(""https://docs.google.com/spreadsheets/d/1BuTWp7qHGjWhqrnf-OmePP568O4A5Am9ttzvVdP67zw/edit#gid=771602874"" ,""HUMAN RESOURCES!$A$2:$M$2692""), {2,3,4,5,6,7,8,9,10,11,12,13},0))"),0.017)</f>
        <v>0.017</v>
      </c>
      <c r="Q1551" s="14">
        <f>IFERROR(__xludf.DUMMYFUNCTION("""COMPUTED_VALUE"""),0.014)</f>
        <v>0.014</v>
      </c>
      <c r="R1551" s="14">
        <f>IFERROR(__xludf.DUMMYFUNCTION("""COMPUTED_VALUE"""),76.0)</f>
        <v>76</v>
      </c>
      <c r="S1551" s="14">
        <f>IFERROR(__xludf.DUMMYFUNCTION("""COMPUTED_VALUE"""),69.0)</f>
        <v>69</v>
      </c>
      <c r="T1551" s="14">
        <f>IFERROR(__xludf.DUMMYFUNCTION("""COMPUTED_VALUE"""),0.252)</f>
        <v>0.252</v>
      </c>
      <c r="U1551" s="14">
        <f>IFERROR(__xludf.DUMMYFUNCTION("""COMPUTED_VALUE"""),0.685)</f>
        <v>0.685</v>
      </c>
      <c r="V1551" s="14">
        <f>IFERROR(__xludf.DUMMYFUNCTION("""COMPUTED_VALUE"""),0.064)</f>
        <v>0.064</v>
      </c>
      <c r="W1551" s="14">
        <f>IFERROR(__xludf.DUMMYFUNCTION("""COMPUTED_VALUE"""),1210196.0)</f>
        <v>1210196</v>
      </c>
      <c r="X1551" s="14">
        <f>IFERROR(__xludf.DUMMYFUNCTION("""COMPUTED_VALUE"""),0.423)</f>
        <v>0.423</v>
      </c>
      <c r="Y1551" s="14" t="str">
        <f>IFERROR(__xludf.DUMMYFUNCTION("""COMPUTED_VALUE"""),"Mauritius-Africa")</f>
        <v>Mauritius-Africa</v>
      </c>
      <c r="Z1551" s="14" t="str">
        <f>IFERROR(__xludf.DUMMYFUNCTION("""COMPUTED_VALUE"""),"Africa")</f>
        <v>Africa</v>
      </c>
      <c r="AA1551" s="14" t="str">
        <f>IFERROR(__xludf.DUMMYFUNCTION("""COMPUTED_VALUE"""),"2002")</f>
        <v>2002</v>
      </c>
      <c r="AB1551" s="15" t="str">
        <f>IFERROR(__xludf.DUMMYFUNCTION("ARRAYFORMULA(VLOOKUP(A1551,IMPORTRANGE(""https://docs.google.com/spreadsheets/d/1BuTWp7qHGjWhqrnf-OmePP568O4A5Am9ttzvVdP67zw/edit#gid=1931367683"" ,""ENERGY!$A$2:$F$2692""), {2,3,4,5,6},0))"),"Africa")</f>
        <v>Africa</v>
      </c>
      <c r="AC1551" s="14" t="str">
        <f>IFERROR(__xludf.DUMMYFUNCTION("""COMPUTED_VALUE"""),"Mauritius-Africa")</f>
        <v>Mauritius-Africa</v>
      </c>
      <c r="AD1551" s="14" t="str">
        <f>IFERROR(__xludf.DUMMYFUNCTION("""COMPUTED_VALUE"""),"2002")</f>
        <v>2002</v>
      </c>
      <c r="AE1551" s="14"/>
      <c r="AF1551" s="14">
        <f>IFERROR(__xludf.DUMMYFUNCTION("""COMPUTED_VALUE"""),4118.0)</f>
        <v>4118</v>
      </c>
    </row>
    <row r="1552">
      <c r="A1552" s="12">
        <v>1551.0</v>
      </c>
      <c r="B1552" s="12" t="s">
        <v>198</v>
      </c>
      <c r="C1552" s="5" t="s">
        <v>77</v>
      </c>
      <c r="D1552" s="8"/>
      <c r="E1552" s="8"/>
      <c r="F1552" s="8"/>
      <c r="G1552" s="8"/>
      <c r="H1552" s="11">
        <v>0.122</v>
      </c>
      <c r="I1552" s="11">
        <v>0.384</v>
      </c>
      <c r="J1552" s="9" t="s">
        <v>64</v>
      </c>
      <c r="K1552" s="14" t="str">
        <f>IFERROR(__xludf.DUMMYFUNCTION("ARRAYFORMULA(VLOOKUP(A1552,IMPORTRANGE(""https://docs.google.com/spreadsheets/d/1BuTWp7qHGjWhqrnf-OmePP568O4A5Am9ttzvVdP67zw/edit#gid=1603210130"", ""TOURISM!$A$2:$F$2692""), {2,3,4,5,6},0))"),"Africa")</f>
        <v>Africa</v>
      </c>
      <c r="L1552" s="14">
        <f>IFERROR(__xludf.DUMMYFUNCTION("""COMPUTED_VALUE"""),9.6E8)</f>
        <v>960000000</v>
      </c>
      <c r="M1552" s="14" t="str">
        <f>IFERROR(__xludf.DUMMYFUNCTION("""COMPUTED_VALUE"""),"Mauritius-Africa")</f>
        <v>Mauritius-Africa</v>
      </c>
      <c r="N1552" s="14" t="str">
        <f>IFERROR(__xludf.DUMMYFUNCTION("""COMPUTED_VALUE"""),"2003")</f>
        <v>2003</v>
      </c>
      <c r="O1552" s="14">
        <f>IFERROR(__xludf.DUMMYFUNCTION("""COMPUTED_VALUE"""),2.36E8)</f>
        <v>236000000</v>
      </c>
      <c r="P1552" s="15">
        <f>IFERROR(__xludf.DUMMYFUNCTION("ARRAYFORMULA(VLOOKUP(A1552,IMPORTRANGE(""https://docs.google.com/spreadsheets/d/1BuTWp7qHGjWhqrnf-OmePP568O4A5Am9ttzvVdP67zw/edit#gid=771602874"" ,""HUMAN RESOURCES!$A$2:$M$2692""), {2,3,4,5,6,7,8,9,10,11,12,13},0))"),0.016)</f>
        <v>0.016</v>
      </c>
      <c r="Q1552" s="14">
        <f>IFERROR(__xludf.DUMMYFUNCTION("""COMPUTED_VALUE"""),0.014)</f>
        <v>0.014</v>
      </c>
      <c r="R1552" s="14">
        <f>IFERROR(__xludf.DUMMYFUNCTION("""COMPUTED_VALUE"""),76.0)</f>
        <v>76</v>
      </c>
      <c r="S1552" s="14">
        <f>IFERROR(__xludf.DUMMYFUNCTION("""COMPUTED_VALUE"""),69.0)</f>
        <v>69</v>
      </c>
      <c r="T1552" s="14">
        <f>IFERROR(__xludf.DUMMYFUNCTION("""COMPUTED_VALUE"""),0.249)</f>
        <v>0.249</v>
      </c>
      <c r="U1552" s="14">
        <f>IFERROR(__xludf.DUMMYFUNCTION("""COMPUTED_VALUE"""),0.687)</f>
        <v>0.687</v>
      </c>
      <c r="V1552" s="14">
        <f>IFERROR(__xludf.DUMMYFUNCTION("""COMPUTED_VALUE"""),0.064)</f>
        <v>0.064</v>
      </c>
      <c r="W1552" s="14">
        <f>IFERROR(__xludf.DUMMYFUNCTION("""COMPUTED_VALUE"""),1222811.0)</f>
        <v>1222811</v>
      </c>
      <c r="X1552" s="14">
        <f>IFERROR(__xludf.DUMMYFUNCTION("""COMPUTED_VALUE"""),0.42)</f>
        <v>0.42</v>
      </c>
      <c r="Y1552" s="14" t="str">
        <f>IFERROR(__xludf.DUMMYFUNCTION("""COMPUTED_VALUE"""),"Mauritius-Africa")</f>
        <v>Mauritius-Africa</v>
      </c>
      <c r="Z1552" s="14" t="str">
        <f>IFERROR(__xludf.DUMMYFUNCTION("""COMPUTED_VALUE"""),"Africa")</f>
        <v>Africa</v>
      </c>
      <c r="AA1552" s="14" t="str">
        <f>IFERROR(__xludf.DUMMYFUNCTION("""COMPUTED_VALUE"""),"2003")</f>
        <v>2003</v>
      </c>
      <c r="AB1552" s="15" t="str">
        <f>IFERROR(__xludf.DUMMYFUNCTION("ARRAYFORMULA(VLOOKUP(A1552,IMPORTRANGE(""https://docs.google.com/spreadsheets/d/1BuTWp7qHGjWhqrnf-OmePP568O4A5Am9ttzvVdP67zw/edit#gid=1931367683"" ,""ENERGY!$A$2:$F$2692""), {2,3,4,5,6},0))"),"Africa")</f>
        <v>Africa</v>
      </c>
      <c r="AC1552" s="14" t="str">
        <f>IFERROR(__xludf.DUMMYFUNCTION("""COMPUTED_VALUE"""),"Mauritius-Africa")</f>
        <v>Mauritius-Africa</v>
      </c>
      <c r="AD1552" s="14" t="str">
        <f>IFERROR(__xludf.DUMMYFUNCTION("""COMPUTED_VALUE"""),"2003")</f>
        <v>2003</v>
      </c>
      <c r="AE1552" s="14"/>
      <c r="AF1552" s="14">
        <f>IFERROR(__xludf.DUMMYFUNCTION("""COMPUTED_VALUE"""),3865.0)</f>
        <v>3865</v>
      </c>
    </row>
    <row r="1553">
      <c r="A1553" s="12">
        <v>1552.0</v>
      </c>
      <c r="B1553" s="12" t="s">
        <v>198</v>
      </c>
      <c r="C1553" s="5" t="s">
        <v>77</v>
      </c>
      <c r="D1553" s="8"/>
      <c r="E1553" s="11">
        <v>46.0</v>
      </c>
      <c r="F1553" s="8"/>
      <c r="G1553" s="8"/>
      <c r="H1553" s="11">
        <v>0.137</v>
      </c>
      <c r="I1553" s="11">
        <v>0.453</v>
      </c>
      <c r="J1553" s="9" t="s">
        <v>65</v>
      </c>
      <c r="K1553" s="14" t="str">
        <f>IFERROR(__xludf.DUMMYFUNCTION("ARRAYFORMULA(VLOOKUP(A1553,IMPORTRANGE(""https://docs.google.com/spreadsheets/d/1BuTWp7qHGjWhqrnf-OmePP568O4A5Am9ttzvVdP67zw/edit#gid=1603210130"", ""TOURISM!$A$2:$F$2692""), {2,3,4,5,6},0))"),"Africa")</f>
        <v>Africa</v>
      </c>
      <c r="L1553" s="14">
        <f>IFERROR(__xludf.DUMMYFUNCTION("""COMPUTED_VALUE"""),1.156E9)</f>
        <v>1156000000</v>
      </c>
      <c r="M1553" s="14" t="str">
        <f>IFERROR(__xludf.DUMMYFUNCTION("""COMPUTED_VALUE"""),"Mauritius-Africa")</f>
        <v>Mauritius-Africa</v>
      </c>
      <c r="N1553" s="14" t="str">
        <f>IFERROR(__xludf.DUMMYFUNCTION("""COMPUTED_VALUE"""),"2004")</f>
        <v>2004</v>
      </c>
      <c r="O1553" s="14">
        <f>IFERROR(__xludf.DUMMYFUNCTION("""COMPUTED_VALUE"""),2.77E8)</f>
        <v>277000000</v>
      </c>
      <c r="P1553" s="15">
        <f>IFERROR(__xludf.DUMMYFUNCTION("ARRAYFORMULA(VLOOKUP(A1553,IMPORTRANGE(""https://docs.google.com/spreadsheets/d/1BuTWp7qHGjWhqrnf-OmePP568O4A5Am9ttzvVdP67zw/edit#gid=771602874"" ,""HUMAN RESOURCES!$A$2:$M$2692""), {2,3,4,5,6,7,8,9,10,11,12,13},0))"),0.016)</f>
        <v>0.016</v>
      </c>
      <c r="Q1553" s="14">
        <f>IFERROR(__xludf.DUMMYFUNCTION("""COMPUTED_VALUE"""),0.014)</f>
        <v>0.014</v>
      </c>
      <c r="R1553" s="14">
        <f>IFERROR(__xludf.DUMMYFUNCTION("""COMPUTED_VALUE"""),76.0)</f>
        <v>76</v>
      </c>
      <c r="S1553" s="14">
        <f>IFERROR(__xludf.DUMMYFUNCTION("""COMPUTED_VALUE"""),69.0)</f>
        <v>69</v>
      </c>
      <c r="T1553" s="14">
        <f>IFERROR(__xludf.DUMMYFUNCTION("""COMPUTED_VALUE"""),0.246)</f>
        <v>0.246</v>
      </c>
      <c r="U1553" s="14">
        <f>IFERROR(__xludf.DUMMYFUNCTION("""COMPUTED_VALUE"""),0.689)</f>
        <v>0.689</v>
      </c>
      <c r="V1553" s="14">
        <f>IFERROR(__xludf.DUMMYFUNCTION("""COMPUTED_VALUE"""),0.065)</f>
        <v>0.065</v>
      </c>
      <c r="W1553" s="14">
        <f>IFERROR(__xludf.DUMMYFUNCTION("""COMPUTED_VALUE"""),1233386.0)</f>
        <v>1233386</v>
      </c>
      <c r="X1553" s="14">
        <f>IFERROR(__xludf.DUMMYFUNCTION("""COMPUTED_VALUE"""),0.418)</f>
        <v>0.418</v>
      </c>
      <c r="Y1553" s="14" t="str">
        <f>IFERROR(__xludf.DUMMYFUNCTION("""COMPUTED_VALUE"""),"Mauritius-Africa")</f>
        <v>Mauritius-Africa</v>
      </c>
      <c r="Z1553" s="14" t="str">
        <f>IFERROR(__xludf.DUMMYFUNCTION("""COMPUTED_VALUE"""),"Africa")</f>
        <v>Africa</v>
      </c>
      <c r="AA1553" s="14" t="str">
        <f>IFERROR(__xludf.DUMMYFUNCTION("""COMPUTED_VALUE"""),"2004")</f>
        <v>2004</v>
      </c>
      <c r="AB1553" s="15" t="str">
        <f>IFERROR(__xludf.DUMMYFUNCTION("ARRAYFORMULA(VLOOKUP(A1553,IMPORTRANGE(""https://docs.google.com/spreadsheets/d/1BuTWp7qHGjWhqrnf-OmePP568O4A5Am9ttzvVdP67zw/edit#gid=1931367683"" ,""ENERGY!$A$2:$F$2692""), {2,3,4,5,6},0))"),"Africa")</f>
        <v>Africa</v>
      </c>
      <c r="AC1553" s="14" t="str">
        <f>IFERROR(__xludf.DUMMYFUNCTION("""COMPUTED_VALUE"""),"Mauritius-Africa")</f>
        <v>Mauritius-Africa</v>
      </c>
      <c r="AD1553" s="14" t="str">
        <f>IFERROR(__xludf.DUMMYFUNCTION("""COMPUTED_VALUE"""),"2004")</f>
        <v>2004</v>
      </c>
      <c r="AE1553" s="14"/>
      <c r="AF1553" s="14">
        <f>IFERROR(__xludf.DUMMYFUNCTION("""COMPUTED_VALUE"""),3953.0)</f>
        <v>3953</v>
      </c>
    </row>
    <row r="1554">
      <c r="A1554" s="12">
        <v>1553.0</v>
      </c>
      <c r="B1554" s="12" t="s">
        <v>198</v>
      </c>
      <c r="C1554" s="5" t="s">
        <v>77</v>
      </c>
      <c r="D1554" s="11">
        <v>0.262</v>
      </c>
      <c r="E1554" s="11">
        <v>46.0</v>
      </c>
      <c r="F1554" s="8"/>
      <c r="G1554" s="11">
        <v>161.0</v>
      </c>
      <c r="H1554" s="11">
        <v>0.152</v>
      </c>
      <c r="I1554" s="11">
        <v>0.542</v>
      </c>
      <c r="J1554" s="9" t="s">
        <v>66</v>
      </c>
      <c r="K1554" s="14" t="str">
        <f>IFERROR(__xludf.DUMMYFUNCTION("ARRAYFORMULA(VLOOKUP(A1554,IMPORTRANGE(""https://docs.google.com/spreadsheets/d/1BuTWp7qHGjWhqrnf-OmePP568O4A5Am9ttzvVdP67zw/edit#gid=1603210130"", ""TOURISM!$A$2:$F$2692""), {2,3,4,5,6},0))"),"Africa")</f>
        <v>Africa</v>
      </c>
      <c r="L1554" s="14">
        <f>IFERROR(__xludf.DUMMYFUNCTION("""COMPUTED_VALUE"""),1.189E9)</f>
        <v>1189000000</v>
      </c>
      <c r="M1554" s="14" t="str">
        <f>IFERROR(__xludf.DUMMYFUNCTION("""COMPUTED_VALUE"""),"Mauritius-Africa")</f>
        <v>Mauritius-Africa</v>
      </c>
      <c r="N1554" s="14" t="str">
        <f>IFERROR(__xludf.DUMMYFUNCTION("""COMPUTED_VALUE"""),"2005")</f>
        <v>2005</v>
      </c>
      <c r="O1554" s="14">
        <f>IFERROR(__xludf.DUMMYFUNCTION("""COMPUTED_VALUE"""),2.95E8)</f>
        <v>295000000</v>
      </c>
      <c r="P1554" s="15">
        <f>IFERROR(__xludf.DUMMYFUNCTION("ARRAYFORMULA(VLOOKUP(A1554,IMPORTRANGE(""https://docs.google.com/spreadsheets/d/1BuTWp7qHGjWhqrnf-OmePP568O4A5Am9ttzvVdP67zw/edit#gid=771602874"" ,""HUMAN RESOURCES!$A$2:$M$2692""), {2,3,4,5,6,7,8,9,10,11,12,13},0))"),0.015)</f>
        <v>0.015</v>
      </c>
      <c r="Q1554" s="14">
        <f>IFERROR(__xludf.DUMMYFUNCTION("""COMPUTED_VALUE"""),0.014)</f>
        <v>0.014</v>
      </c>
      <c r="R1554" s="14">
        <f>IFERROR(__xludf.DUMMYFUNCTION("""COMPUTED_VALUE"""),76.0)</f>
        <v>76</v>
      </c>
      <c r="S1554" s="14">
        <f>IFERROR(__xludf.DUMMYFUNCTION("""COMPUTED_VALUE"""),69.0)</f>
        <v>69</v>
      </c>
      <c r="T1554" s="14">
        <f>IFERROR(__xludf.DUMMYFUNCTION("""COMPUTED_VALUE"""),0.242)</f>
        <v>0.242</v>
      </c>
      <c r="U1554" s="14">
        <f>IFERROR(__xludf.DUMMYFUNCTION("""COMPUTED_VALUE"""),0.692)</f>
        <v>0.692</v>
      </c>
      <c r="V1554" s="14">
        <f>IFERROR(__xludf.DUMMYFUNCTION("""COMPUTED_VALUE"""),0.066)</f>
        <v>0.066</v>
      </c>
      <c r="W1554" s="14">
        <f>IFERROR(__xludf.DUMMYFUNCTION("""COMPUTED_VALUE"""),1243253.0)</f>
        <v>1243253</v>
      </c>
      <c r="X1554" s="14">
        <f>IFERROR(__xludf.DUMMYFUNCTION("""COMPUTED_VALUE"""),0.416)</f>
        <v>0.416</v>
      </c>
      <c r="Y1554" s="14" t="str">
        <f>IFERROR(__xludf.DUMMYFUNCTION("""COMPUTED_VALUE"""),"Mauritius-Africa")</f>
        <v>Mauritius-Africa</v>
      </c>
      <c r="Z1554" s="14" t="str">
        <f>IFERROR(__xludf.DUMMYFUNCTION("""COMPUTED_VALUE"""),"Africa")</f>
        <v>Africa</v>
      </c>
      <c r="AA1554" s="14" t="str">
        <f>IFERROR(__xludf.DUMMYFUNCTION("""COMPUTED_VALUE"""),"2005")</f>
        <v>2005</v>
      </c>
      <c r="AB1554" s="15" t="str">
        <f>IFERROR(__xludf.DUMMYFUNCTION("ARRAYFORMULA(VLOOKUP(A1554,IMPORTRANGE(""https://docs.google.com/spreadsheets/d/1BuTWp7qHGjWhqrnf-OmePP568O4A5Am9ttzvVdP67zw/edit#gid=1931367683"" ,""ENERGY!$A$2:$F$2692""), {2,3,4,5,6},0))"),"Africa")</f>
        <v>Africa</v>
      </c>
      <c r="AC1554" s="14" t="str">
        <f>IFERROR(__xludf.DUMMYFUNCTION("""COMPUTED_VALUE"""),"Mauritius-Africa")</f>
        <v>Mauritius-Africa</v>
      </c>
      <c r="AD1554" s="14" t="str">
        <f>IFERROR(__xludf.DUMMYFUNCTION("""COMPUTED_VALUE"""),"2007")</f>
        <v>2007</v>
      </c>
      <c r="AE1554" s="14">
        <f>IFERROR(__xludf.DUMMYFUNCTION("""COMPUTED_VALUE"""),1194.0)</f>
        <v>1194</v>
      </c>
      <c r="AF1554" s="14">
        <f>IFERROR(__xludf.DUMMYFUNCTION("""COMPUTED_VALUE"""),3887.0)</f>
        <v>3887</v>
      </c>
    </row>
    <row r="1555">
      <c r="A1555" s="12">
        <v>1554.0</v>
      </c>
      <c r="B1555" s="12" t="s">
        <v>198</v>
      </c>
      <c r="C1555" s="5" t="s">
        <v>77</v>
      </c>
      <c r="D1555" s="11">
        <v>0.26</v>
      </c>
      <c r="E1555" s="11">
        <v>46.0</v>
      </c>
      <c r="F1555" s="8"/>
      <c r="G1555" s="11">
        <v>161.0</v>
      </c>
      <c r="H1555" s="11">
        <v>0.167</v>
      </c>
      <c r="I1555" s="11">
        <v>0.635</v>
      </c>
      <c r="J1555" s="9" t="s">
        <v>67</v>
      </c>
      <c r="K1555" s="14" t="str">
        <f>IFERROR(__xludf.DUMMYFUNCTION("ARRAYFORMULA(VLOOKUP(A1555,IMPORTRANGE(""https://docs.google.com/spreadsheets/d/1BuTWp7qHGjWhqrnf-OmePP568O4A5Am9ttzvVdP67zw/edit#gid=1603210130"", ""TOURISM!$A$2:$F$2692""), {2,3,4,5,6},0))"),"Africa")</f>
        <v>Africa</v>
      </c>
      <c r="L1555" s="14">
        <f>IFERROR(__xludf.DUMMYFUNCTION("""COMPUTED_VALUE"""),1.302E9)</f>
        <v>1302000000</v>
      </c>
      <c r="M1555" s="14" t="str">
        <f>IFERROR(__xludf.DUMMYFUNCTION("""COMPUTED_VALUE"""),"Mauritius-Africa")</f>
        <v>Mauritius-Africa</v>
      </c>
      <c r="N1555" s="14" t="str">
        <f>IFERROR(__xludf.DUMMYFUNCTION("""COMPUTED_VALUE"""),"2006")</f>
        <v>2006</v>
      </c>
      <c r="O1555" s="14">
        <f>IFERROR(__xludf.DUMMYFUNCTION("""COMPUTED_VALUE"""),3.47E8)</f>
        <v>347000000</v>
      </c>
      <c r="P1555" s="15">
        <f>IFERROR(__xludf.DUMMYFUNCTION("ARRAYFORMULA(VLOOKUP(A1555,IMPORTRANGE(""https://docs.google.com/spreadsheets/d/1BuTWp7qHGjWhqrnf-OmePP568O4A5Am9ttzvVdP67zw/edit#gid=771602874"" ,""HUMAN RESOURCES!$A$2:$M$2692""), {2,3,4,5,6,7,8,9,10,11,12,13},0))"),0.014)</f>
        <v>0.014</v>
      </c>
      <c r="Q1555" s="14">
        <f>IFERROR(__xludf.DUMMYFUNCTION("""COMPUTED_VALUE"""),0.014)</f>
        <v>0.014</v>
      </c>
      <c r="R1555" s="14">
        <f>IFERROR(__xludf.DUMMYFUNCTION("""COMPUTED_VALUE"""),76.0)</f>
        <v>76</v>
      </c>
      <c r="S1555" s="14">
        <f>IFERROR(__xludf.DUMMYFUNCTION("""COMPUTED_VALUE"""),69.0)</f>
        <v>69</v>
      </c>
      <c r="T1555" s="14">
        <f>IFERROR(__xludf.DUMMYFUNCTION("""COMPUTED_VALUE"""),0.236)</f>
        <v>0.236</v>
      </c>
      <c r="U1555" s="14">
        <f>IFERROR(__xludf.DUMMYFUNCTION("""COMPUTED_VALUE"""),0.696)</f>
        <v>0.696</v>
      </c>
      <c r="V1555" s="14">
        <f>IFERROR(__xludf.DUMMYFUNCTION("""COMPUTED_VALUE"""),0.068)</f>
        <v>0.068</v>
      </c>
      <c r="W1555" s="14">
        <f>IFERROR(__xludf.DUMMYFUNCTION("""COMPUTED_VALUE"""),1252698.0)</f>
        <v>1252698</v>
      </c>
      <c r="X1555" s="14">
        <f>IFERROR(__xludf.DUMMYFUNCTION("""COMPUTED_VALUE"""),0.414)</f>
        <v>0.414</v>
      </c>
      <c r="Y1555" s="14" t="str">
        <f>IFERROR(__xludf.DUMMYFUNCTION("""COMPUTED_VALUE"""),"Mauritius-Africa")</f>
        <v>Mauritius-Africa</v>
      </c>
      <c r="Z1555" s="14" t="str">
        <f>IFERROR(__xludf.DUMMYFUNCTION("""COMPUTED_VALUE"""),"Africa")</f>
        <v>Africa</v>
      </c>
      <c r="AA1555" s="14" t="str">
        <f>IFERROR(__xludf.DUMMYFUNCTION("""COMPUTED_VALUE"""),"2006")</f>
        <v>2006</v>
      </c>
      <c r="AB1555" s="15" t="str">
        <f>IFERROR(__xludf.DUMMYFUNCTION("ARRAYFORMULA(VLOOKUP(A1555,IMPORTRANGE(""https://docs.google.com/spreadsheets/d/1BuTWp7qHGjWhqrnf-OmePP568O4A5Am9ttzvVdP67zw/edit#gid=1931367683"" ,""ENERGY!$A$2:$F$2692""), {2,3,4,5,6},0))"),"Africa")</f>
        <v>Africa</v>
      </c>
      <c r="AC1555" s="14" t="str">
        <f>IFERROR(__xludf.DUMMYFUNCTION("""COMPUTED_VALUE"""),"Mauritius-Africa")</f>
        <v>Mauritius-Africa</v>
      </c>
      <c r="AD1555" s="14" t="str">
        <f>IFERROR(__xludf.DUMMYFUNCTION("""COMPUTED_VALUE"""),"2011")</f>
        <v>2011</v>
      </c>
      <c r="AE1555" s="14">
        <f>IFERROR(__xludf.DUMMYFUNCTION("""COMPUTED_VALUE"""),1173.0)</f>
        <v>1173</v>
      </c>
      <c r="AF1555" s="14">
        <f>IFERROR(__xludf.DUMMYFUNCTION("""COMPUTED_VALUE"""),3777.0)</f>
        <v>3777</v>
      </c>
    </row>
    <row r="1556">
      <c r="A1556" s="12">
        <v>1555.0</v>
      </c>
      <c r="B1556" s="12" t="s">
        <v>198</v>
      </c>
      <c r="C1556" s="5" t="s">
        <v>77</v>
      </c>
      <c r="D1556" s="11">
        <v>0.242</v>
      </c>
      <c r="E1556" s="11">
        <v>7.0</v>
      </c>
      <c r="F1556" s="8"/>
      <c r="G1556" s="11">
        <v>161.0</v>
      </c>
      <c r="H1556" s="11">
        <v>0.202</v>
      </c>
      <c r="I1556" s="11">
        <v>0.761</v>
      </c>
      <c r="J1556" s="9" t="s">
        <v>68</v>
      </c>
      <c r="K1556" s="14" t="str">
        <f>IFERROR(__xludf.DUMMYFUNCTION("ARRAYFORMULA(VLOOKUP(A1556,IMPORTRANGE(""https://docs.google.com/spreadsheets/d/1BuTWp7qHGjWhqrnf-OmePP568O4A5Am9ttzvVdP67zw/edit#gid=1603210130"", ""TOURISM!$A$2:$F$2692""), {2,3,4,5,6},0))"),"Africa")</f>
        <v>Africa</v>
      </c>
      <c r="L1556" s="14">
        <f>IFERROR(__xludf.DUMMYFUNCTION("""COMPUTED_VALUE"""),1.663E9)</f>
        <v>1663000000</v>
      </c>
      <c r="M1556" s="14" t="str">
        <f>IFERROR(__xludf.DUMMYFUNCTION("""COMPUTED_VALUE"""),"Mauritius-Africa")</f>
        <v>Mauritius-Africa</v>
      </c>
      <c r="N1556" s="14" t="str">
        <f>IFERROR(__xludf.DUMMYFUNCTION("""COMPUTED_VALUE"""),"2007")</f>
        <v>2007</v>
      </c>
      <c r="O1556" s="14">
        <f>IFERROR(__xludf.DUMMYFUNCTION("""COMPUTED_VALUE"""),3.84E8)</f>
        <v>384000000</v>
      </c>
      <c r="P1556" s="15">
        <f>IFERROR(__xludf.DUMMYFUNCTION("ARRAYFORMULA(VLOOKUP(A1556,IMPORTRANGE(""https://docs.google.com/spreadsheets/d/1BuTWp7qHGjWhqrnf-OmePP568O4A5Am9ttzvVdP67zw/edit#gid=771602874"" ,""HUMAN RESOURCES!$A$2:$M$2692""), {2,3,4,5,6,7,8,9,10,11,12,13},0))"),0.014)</f>
        <v>0.014</v>
      </c>
      <c r="Q1556" s="14">
        <f>IFERROR(__xludf.DUMMYFUNCTION("""COMPUTED_VALUE"""),0.014)</f>
        <v>0.014</v>
      </c>
      <c r="R1556" s="14">
        <f>IFERROR(__xludf.DUMMYFUNCTION("""COMPUTED_VALUE"""),76.0)</f>
        <v>76</v>
      </c>
      <c r="S1556" s="14">
        <f>IFERROR(__xludf.DUMMYFUNCTION("""COMPUTED_VALUE"""),69.0)</f>
        <v>69</v>
      </c>
      <c r="T1556" s="14">
        <f>IFERROR(__xludf.DUMMYFUNCTION("""COMPUTED_VALUE"""),0.23)</f>
        <v>0.23</v>
      </c>
      <c r="U1556" s="14">
        <f>IFERROR(__xludf.DUMMYFUNCTION("""COMPUTED_VALUE"""),0.7)</f>
        <v>0.7</v>
      </c>
      <c r="V1556" s="14">
        <f>IFERROR(__xludf.DUMMYFUNCTION("""COMPUTED_VALUE"""),0.07)</f>
        <v>0.07</v>
      </c>
      <c r="W1556" s="14">
        <f>IFERROR(__xludf.DUMMYFUNCTION("""COMPUTED_VALUE"""),1260403.0)</f>
        <v>1260403</v>
      </c>
      <c r="X1556" s="14">
        <f>IFERROR(__xludf.DUMMYFUNCTION("""COMPUTED_VALUE"""),0.412)</f>
        <v>0.412</v>
      </c>
      <c r="Y1556" s="14" t="str">
        <f>IFERROR(__xludf.DUMMYFUNCTION("""COMPUTED_VALUE"""),"Mauritius-Africa")</f>
        <v>Mauritius-Africa</v>
      </c>
      <c r="Z1556" s="14" t="str">
        <f>IFERROR(__xludf.DUMMYFUNCTION("""COMPUTED_VALUE"""),"Africa")</f>
        <v>Africa</v>
      </c>
      <c r="AA1556" s="14" t="str">
        <f>IFERROR(__xludf.DUMMYFUNCTION("""COMPUTED_VALUE"""),"2007")</f>
        <v>2007</v>
      </c>
      <c r="AB1556" s="15" t="str">
        <f>IFERROR(__xludf.DUMMYFUNCTION("ARRAYFORMULA(VLOOKUP(A1556,IMPORTRANGE(""https://docs.google.com/spreadsheets/d/1BuTWp7qHGjWhqrnf-OmePP568O4A5Am9ttzvVdP67zw/edit#gid=1931367683"" ,""ENERGY!$A$2:$F$2692""), {2,3,4,5,6},0))"),"Africa")</f>
        <v>Africa</v>
      </c>
      <c r="AC1556" s="14" t="str">
        <f>IFERROR(__xludf.DUMMYFUNCTION("""COMPUTED_VALUE"""),"Mauritius-Africa")</f>
        <v>Mauritius-Africa</v>
      </c>
      <c r="AD1556" s="14" t="str">
        <f>IFERROR(__xludf.DUMMYFUNCTION("""COMPUTED_VALUE"""),"2009")</f>
        <v>2009</v>
      </c>
      <c r="AE1556" s="14">
        <f>IFERROR(__xludf.DUMMYFUNCTION("""COMPUTED_VALUE"""),1077.0)</f>
        <v>1077</v>
      </c>
      <c r="AF1556" s="14">
        <f>IFERROR(__xludf.DUMMYFUNCTION("""COMPUTED_VALUE"""),3410.0)</f>
        <v>3410</v>
      </c>
    </row>
    <row r="1557">
      <c r="A1557" s="12">
        <v>1556.0</v>
      </c>
      <c r="B1557" s="12" t="s">
        <v>198</v>
      </c>
      <c r="C1557" s="5" t="s">
        <v>77</v>
      </c>
      <c r="D1557" s="11">
        <v>0.258</v>
      </c>
      <c r="E1557" s="11">
        <v>6.0</v>
      </c>
      <c r="F1557" s="8"/>
      <c r="G1557" s="11">
        <v>161.0</v>
      </c>
      <c r="H1557" s="11">
        <v>0.218</v>
      </c>
      <c r="I1557" s="11">
        <v>0.845</v>
      </c>
      <c r="J1557" s="9" t="s">
        <v>69</v>
      </c>
      <c r="K1557" s="14" t="str">
        <f>IFERROR(__xludf.DUMMYFUNCTION("ARRAYFORMULA(VLOOKUP(A1557,IMPORTRANGE(""https://docs.google.com/spreadsheets/d/1BuTWp7qHGjWhqrnf-OmePP568O4A5Am9ttzvVdP67zw/edit#gid=1603210130"", ""TOURISM!$A$2:$F$2692""), {2,3,4,5,6},0))"),"Africa")</f>
        <v>Africa</v>
      </c>
      <c r="L1557" s="14">
        <f>IFERROR(__xludf.DUMMYFUNCTION("""COMPUTED_VALUE"""),1.823E9)</f>
        <v>1823000000</v>
      </c>
      <c r="M1557" s="14" t="str">
        <f>IFERROR(__xludf.DUMMYFUNCTION("""COMPUTED_VALUE"""),"Mauritius-Africa")</f>
        <v>Mauritius-Africa</v>
      </c>
      <c r="N1557" s="14" t="str">
        <f>IFERROR(__xludf.DUMMYFUNCTION("""COMPUTED_VALUE"""),"2008")</f>
        <v>2008</v>
      </c>
      <c r="O1557" s="14">
        <f>IFERROR(__xludf.DUMMYFUNCTION("""COMPUTED_VALUE"""),4.89E8)</f>
        <v>489000000</v>
      </c>
      <c r="P1557" s="15">
        <f>IFERROR(__xludf.DUMMYFUNCTION("ARRAYFORMULA(VLOOKUP(A1557,IMPORTRANGE(""https://docs.google.com/spreadsheets/d/1BuTWp7qHGjWhqrnf-OmePP568O4A5Am9ttzvVdP67zw/edit#gid=771602874"" ,""HUMAN RESOURCES!$A$2:$M$2692""), {2,3,4,5,6,7,8,9,10,11,12,13},0))"),0.013)</f>
        <v>0.013</v>
      </c>
      <c r="Q1557" s="14">
        <f>IFERROR(__xludf.DUMMYFUNCTION("""COMPUTED_VALUE"""),0.014)</f>
        <v>0.014</v>
      </c>
      <c r="R1557" s="14">
        <f>IFERROR(__xludf.DUMMYFUNCTION("""COMPUTED_VALUE"""),76.0)</f>
        <v>76</v>
      </c>
      <c r="S1557" s="14">
        <f>IFERROR(__xludf.DUMMYFUNCTION("""COMPUTED_VALUE"""),69.0)</f>
        <v>69</v>
      </c>
      <c r="T1557" s="14">
        <f>IFERROR(__xludf.DUMMYFUNCTION("""COMPUTED_VALUE"""),0.224)</f>
        <v>0.224</v>
      </c>
      <c r="U1557" s="14">
        <f>IFERROR(__xludf.DUMMYFUNCTION("""COMPUTED_VALUE"""),0.704)</f>
        <v>0.704</v>
      </c>
      <c r="V1557" s="14">
        <f>IFERROR(__xludf.DUMMYFUNCTION("""COMPUTED_VALUE"""),0.072)</f>
        <v>0.072</v>
      </c>
      <c r="W1557" s="14">
        <f>IFERROR(__xludf.DUMMYFUNCTION("""COMPUTED_VALUE"""),1268565.0)</f>
        <v>1268565</v>
      </c>
      <c r="X1557" s="14">
        <f>IFERROR(__xludf.DUMMYFUNCTION("""COMPUTED_VALUE"""),0.41)</f>
        <v>0.41</v>
      </c>
      <c r="Y1557" s="14" t="str">
        <f>IFERROR(__xludf.DUMMYFUNCTION("""COMPUTED_VALUE"""),"Mauritius-Africa")</f>
        <v>Mauritius-Africa</v>
      </c>
      <c r="Z1557" s="14" t="str">
        <f>IFERROR(__xludf.DUMMYFUNCTION("""COMPUTED_VALUE"""),"Africa")</f>
        <v>Africa</v>
      </c>
      <c r="AA1557" s="14" t="str">
        <f>IFERROR(__xludf.DUMMYFUNCTION("""COMPUTED_VALUE"""),"2008")</f>
        <v>2008</v>
      </c>
      <c r="AB1557" s="15" t="str">
        <f>IFERROR(__xludf.DUMMYFUNCTION("ARRAYFORMULA(VLOOKUP(A1557,IMPORTRANGE(""https://docs.google.com/spreadsheets/d/1BuTWp7qHGjWhqrnf-OmePP568O4A5Am9ttzvVdP67zw/edit#gid=1931367683"" ,""ENERGY!$A$2:$F$2692""), {2,3,4,5,6},0))"),"Africa")</f>
        <v>Africa</v>
      </c>
      <c r="AC1557" s="14" t="str">
        <f>IFERROR(__xludf.DUMMYFUNCTION("""COMPUTED_VALUE"""),"Mauritius-Africa")</f>
        <v>Mauritius-Africa</v>
      </c>
      <c r="AD1557" s="14" t="str">
        <f>IFERROR(__xludf.DUMMYFUNCTION("""COMPUTED_VALUE"""),"2006")</f>
        <v>2006</v>
      </c>
      <c r="AE1557" s="14">
        <f>IFERROR(__xludf.DUMMYFUNCTION("""COMPUTED_VALUE"""),1019.0)</f>
        <v>1019</v>
      </c>
      <c r="AF1557" s="14">
        <f>IFERROR(__xludf.DUMMYFUNCTION("""COMPUTED_VALUE"""),3194.0)</f>
        <v>3194</v>
      </c>
    </row>
    <row r="1558">
      <c r="A1558" s="12">
        <v>1557.0</v>
      </c>
      <c r="B1558" s="12" t="s">
        <v>198</v>
      </c>
      <c r="C1558" s="5" t="s">
        <v>77</v>
      </c>
      <c r="D1558" s="11">
        <v>0.26</v>
      </c>
      <c r="E1558" s="11">
        <v>6.0</v>
      </c>
      <c r="F1558" s="8"/>
      <c r="G1558" s="11">
        <v>161.0</v>
      </c>
      <c r="H1558" s="11">
        <v>0.225</v>
      </c>
      <c r="I1558" s="11">
        <v>0.886</v>
      </c>
      <c r="J1558" s="9" t="s">
        <v>70</v>
      </c>
      <c r="K1558" s="14" t="str">
        <f>IFERROR(__xludf.DUMMYFUNCTION("ARRAYFORMULA(VLOOKUP(A1558,IMPORTRANGE(""https://docs.google.com/spreadsheets/d/1BuTWp7qHGjWhqrnf-OmePP568O4A5Am9ttzvVdP67zw/edit#gid=1603210130"", ""TOURISM!$A$2:$F$2692""), {2,3,4,5,6},0))"),"Africa")</f>
        <v>Africa</v>
      </c>
      <c r="L1558" s="14">
        <f>IFERROR(__xludf.DUMMYFUNCTION("""COMPUTED_VALUE"""),1.39E9)</f>
        <v>1390000000</v>
      </c>
      <c r="M1558" s="14" t="str">
        <f>IFERROR(__xludf.DUMMYFUNCTION("""COMPUTED_VALUE"""),"Mauritius-Africa")</f>
        <v>Mauritius-Africa</v>
      </c>
      <c r="N1558" s="14" t="str">
        <f>IFERROR(__xludf.DUMMYFUNCTION("""COMPUTED_VALUE"""),"2009")</f>
        <v>2009</v>
      </c>
      <c r="O1558" s="14">
        <f>IFERROR(__xludf.DUMMYFUNCTION("""COMPUTED_VALUE"""),3.84E8)</f>
        <v>384000000</v>
      </c>
      <c r="P1558" s="15">
        <f>IFERROR(__xludf.DUMMYFUNCTION("ARRAYFORMULA(VLOOKUP(A1558,IMPORTRANGE(""https://docs.google.com/spreadsheets/d/1BuTWp7qHGjWhqrnf-OmePP568O4A5Am9ttzvVdP67zw/edit#gid=771602874"" ,""HUMAN RESOURCES!$A$2:$M$2692""), {2,3,4,5,6,7,8,9,10,11,12,13},0))"),0.012)</f>
        <v>0.012</v>
      </c>
      <c r="Q1558" s="14">
        <f>IFERROR(__xludf.DUMMYFUNCTION("""COMPUTED_VALUE"""),0.014)</f>
        <v>0.014</v>
      </c>
      <c r="R1558" s="14">
        <f>IFERROR(__xludf.DUMMYFUNCTION("""COMPUTED_VALUE"""),77.0)</f>
        <v>77</v>
      </c>
      <c r="S1558" s="14">
        <f>IFERROR(__xludf.DUMMYFUNCTION("""COMPUTED_VALUE"""),69.0)</f>
        <v>69</v>
      </c>
      <c r="T1558" s="14">
        <f>IFERROR(__xludf.DUMMYFUNCTION("""COMPUTED_VALUE"""),0.217)</f>
        <v>0.217</v>
      </c>
      <c r="U1558" s="14">
        <f>IFERROR(__xludf.DUMMYFUNCTION("""COMPUTED_VALUE"""),0.708)</f>
        <v>0.708</v>
      </c>
      <c r="V1558" s="14">
        <f>IFERROR(__xludf.DUMMYFUNCTION("""COMPUTED_VALUE"""),0.075)</f>
        <v>0.075</v>
      </c>
      <c r="W1558" s="14">
        <f>IFERROR(__xludf.DUMMYFUNCTION("""COMPUTED_VALUE"""),1275032.0)</f>
        <v>1275032</v>
      </c>
      <c r="X1558" s="14">
        <f>IFERROR(__xludf.DUMMYFUNCTION("""COMPUTED_VALUE"""),0.408)</f>
        <v>0.408</v>
      </c>
      <c r="Y1558" s="14" t="str">
        <f>IFERROR(__xludf.DUMMYFUNCTION("""COMPUTED_VALUE"""),"Mauritius-Africa")</f>
        <v>Mauritius-Africa</v>
      </c>
      <c r="Z1558" s="14" t="str">
        <f>IFERROR(__xludf.DUMMYFUNCTION("""COMPUTED_VALUE"""),"Africa")</f>
        <v>Africa</v>
      </c>
      <c r="AA1558" s="14" t="str">
        <f>IFERROR(__xludf.DUMMYFUNCTION("""COMPUTED_VALUE"""),"2009")</f>
        <v>2009</v>
      </c>
      <c r="AB1558" s="15" t="str">
        <f>IFERROR(__xludf.DUMMYFUNCTION("ARRAYFORMULA(VLOOKUP(A1558,IMPORTRANGE(""https://docs.google.com/spreadsheets/d/1BuTWp7qHGjWhqrnf-OmePP568O4A5Am9ttzvVdP67zw/edit#gid=1931367683"" ,""ENERGY!$A$2:$F$2692""), {2,3,4,5,6},0))"),"Africa")</f>
        <v>Africa</v>
      </c>
      <c r="AC1558" s="14" t="str">
        <f>IFERROR(__xludf.DUMMYFUNCTION("""COMPUTED_VALUE"""),"Mauritius-Africa")</f>
        <v>Mauritius-Africa</v>
      </c>
      <c r="AD1558" s="14" t="str">
        <f>IFERROR(__xludf.DUMMYFUNCTION("""COMPUTED_VALUE"""),"2010")</f>
        <v>2010</v>
      </c>
      <c r="AE1558" s="14"/>
      <c r="AF1558" s="14">
        <f>IFERROR(__xludf.DUMMYFUNCTION("""COMPUTED_VALUE"""),3146.0)</f>
        <v>3146</v>
      </c>
    </row>
    <row r="1559">
      <c r="A1559" s="12">
        <v>1558.0</v>
      </c>
      <c r="B1559" s="12" t="s">
        <v>198</v>
      </c>
      <c r="C1559" s="5" t="s">
        <v>77</v>
      </c>
      <c r="D1559" s="11">
        <v>0.272</v>
      </c>
      <c r="E1559" s="11">
        <v>6.0</v>
      </c>
      <c r="F1559" s="8"/>
      <c r="G1559" s="11">
        <v>161.0</v>
      </c>
      <c r="H1559" s="11">
        <v>0.283</v>
      </c>
      <c r="I1559" s="11">
        <v>0.968</v>
      </c>
      <c r="J1559" s="9" t="s">
        <v>71</v>
      </c>
      <c r="K1559" s="14" t="str">
        <f>IFERROR(__xludf.DUMMYFUNCTION("ARRAYFORMULA(VLOOKUP(A1559,IMPORTRANGE(""https://docs.google.com/spreadsheets/d/1BuTWp7qHGjWhqrnf-OmePP568O4A5Am9ttzvVdP67zw/edit#gid=1603210130"", ""TOURISM!$A$2:$F$2692""), {2,3,4,5,6},0))"),"Africa")</f>
        <v>Africa</v>
      </c>
      <c r="L1559" s="14">
        <f>IFERROR(__xludf.DUMMYFUNCTION("""COMPUTED_VALUE"""),1.585E9)</f>
        <v>1585000000</v>
      </c>
      <c r="M1559" s="14" t="str">
        <f>IFERROR(__xludf.DUMMYFUNCTION("""COMPUTED_VALUE"""),"Mauritius-Africa")</f>
        <v>Mauritius-Africa</v>
      </c>
      <c r="N1559" s="14" t="str">
        <f>IFERROR(__xludf.DUMMYFUNCTION("""COMPUTED_VALUE"""),"2010")</f>
        <v>2010</v>
      </c>
      <c r="O1559" s="14">
        <f>IFERROR(__xludf.DUMMYFUNCTION("""COMPUTED_VALUE"""),4.23E8)</f>
        <v>423000000</v>
      </c>
      <c r="P1559" s="15">
        <f>IFERROR(__xludf.DUMMYFUNCTION("ARRAYFORMULA(VLOOKUP(A1559,IMPORTRANGE(""https://docs.google.com/spreadsheets/d/1BuTWp7qHGjWhqrnf-OmePP568O4A5Am9ttzvVdP67zw/edit#gid=771602874"" ,""HUMAN RESOURCES!$A$2:$M$2692""), {2,3,4,5,6,7,8,9,10,11,12,13},0))"),0.012)</f>
        <v>0.012</v>
      </c>
      <c r="Q1559" s="14">
        <f>IFERROR(__xludf.DUMMYFUNCTION("""COMPUTED_VALUE"""),0.013)</f>
        <v>0.013</v>
      </c>
      <c r="R1559" s="14">
        <f>IFERROR(__xludf.DUMMYFUNCTION("""COMPUTED_VALUE"""),77.0)</f>
        <v>77</v>
      </c>
      <c r="S1559" s="14">
        <f>IFERROR(__xludf.DUMMYFUNCTION("""COMPUTED_VALUE"""),69.0)</f>
        <v>69</v>
      </c>
      <c r="T1559" s="14">
        <f>IFERROR(__xludf.DUMMYFUNCTION("""COMPUTED_VALUE"""),0.212)</f>
        <v>0.212</v>
      </c>
      <c r="U1559" s="14">
        <f>IFERROR(__xludf.DUMMYFUNCTION("""COMPUTED_VALUE"""),0.711)</f>
        <v>0.711</v>
      </c>
      <c r="V1559" s="14">
        <f>IFERROR(__xludf.DUMMYFUNCTION("""COMPUTED_VALUE"""),0.077)</f>
        <v>0.077</v>
      </c>
      <c r="W1559" s="14">
        <f>IFERROR(__xludf.DUMMYFUNCTION("""COMPUTED_VALUE"""),1280924.0)</f>
        <v>1280924</v>
      </c>
      <c r="X1559" s="14">
        <f>IFERROR(__xludf.DUMMYFUNCTION("""COMPUTED_VALUE"""),0.406)</f>
        <v>0.406</v>
      </c>
      <c r="Y1559" s="14" t="str">
        <f>IFERROR(__xludf.DUMMYFUNCTION("""COMPUTED_VALUE"""),"Mauritius-Africa")</f>
        <v>Mauritius-Africa</v>
      </c>
      <c r="Z1559" s="14" t="str">
        <f>IFERROR(__xludf.DUMMYFUNCTION("""COMPUTED_VALUE"""),"Africa")</f>
        <v>Africa</v>
      </c>
      <c r="AA1559" s="14" t="str">
        <f>IFERROR(__xludf.DUMMYFUNCTION("""COMPUTED_VALUE"""),"2010")</f>
        <v>2010</v>
      </c>
      <c r="AB1559" s="15" t="str">
        <f>IFERROR(__xludf.DUMMYFUNCTION("ARRAYFORMULA(VLOOKUP(A1559,IMPORTRANGE(""https://docs.google.com/spreadsheets/d/1BuTWp7qHGjWhqrnf-OmePP568O4A5Am9ttzvVdP67zw/edit#gid=1931367683"" ,""ENERGY!$A$2:$F$2692""), {2,3,4,5,6},0))"),"Africa")</f>
        <v>Africa</v>
      </c>
      <c r="AC1559" s="14" t="str">
        <f>IFERROR(__xludf.DUMMYFUNCTION("""COMPUTED_VALUE"""),"Mauritius-Africa")</f>
        <v>Mauritius-Africa</v>
      </c>
      <c r="AD1559" s="14" t="str">
        <f>IFERROR(__xludf.DUMMYFUNCTION("""COMPUTED_VALUE"""),"2005")</f>
        <v>2005</v>
      </c>
      <c r="AE1559" s="14"/>
      <c r="AF1559" s="14">
        <f>IFERROR(__xludf.DUMMYFUNCTION("""COMPUTED_VALUE"""),2981.0)</f>
        <v>2981</v>
      </c>
    </row>
    <row r="1560">
      <c r="A1560" s="12">
        <v>1559.0</v>
      </c>
      <c r="B1560" s="12" t="s">
        <v>198</v>
      </c>
      <c r="C1560" s="5" t="s">
        <v>77</v>
      </c>
      <c r="D1560" s="11">
        <v>0.277</v>
      </c>
      <c r="E1560" s="11">
        <v>6.0</v>
      </c>
      <c r="F1560" s="8"/>
      <c r="G1560" s="11">
        <v>161.0</v>
      </c>
      <c r="H1560" s="11">
        <v>0.35</v>
      </c>
      <c r="I1560" s="11">
        <v>1.048</v>
      </c>
      <c r="J1560" s="9" t="s">
        <v>72</v>
      </c>
      <c r="K1560" s="14" t="str">
        <f>IFERROR(__xludf.DUMMYFUNCTION("ARRAYFORMULA(VLOOKUP(A1560,IMPORTRANGE(""https://docs.google.com/spreadsheets/d/1BuTWp7qHGjWhqrnf-OmePP568O4A5Am9ttzvVdP67zw/edit#gid=1603210130"", ""TOURISM!$A$2:$F$2692""), {2,3,4,5,6},0))"),"Africa")</f>
        <v>Africa</v>
      </c>
      <c r="L1560" s="14">
        <f>IFERROR(__xludf.DUMMYFUNCTION("""COMPUTED_VALUE"""),1.808E9)</f>
        <v>1808000000</v>
      </c>
      <c r="M1560" s="14" t="str">
        <f>IFERROR(__xludf.DUMMYFUNCTION("""COMPUTED_VALUE"""),"Mauritius-Africa")</f>
        <v>Mauritius-Africa</v>
      </c>
      <c r="N1560" s="14" t="str">
        <f>IFERROR(__xludf.DUMMYFUNCTION("""COMPUTED_VALUE"""),"2011")</f>
        <v>2011</v>
      </c>
      <c r="O1560" s="14">
        <f>IFERROR(__xludf.DUMMYFUNCTION("""COMPUTED_VALUE"""),4.27E8)</f>
        <v>427000000</v>
      </c>
      <c r="P1560" s="15">
        <f>IFERROR(__xludf.DUMMYFUNCTION("ARRAYFORMULA(VLOOKUP(A1560,IMPORTRANGE(""https://docs.google.com/spreadsheets/d/1BuTWp7qHGjWhqrnf-OmePP568O4A5Am9ttzvVdP67zw/edit#gid=771602874"" ,""HUMAN RESOURCES!$A$2:$M$2692""), {2,3,4,5,6,7,8,9,10,11,12,13},0))"),0.011)</f>
        <v>0.011</v>
      </c>
      <c r="Q1560" s="14">
        <f>IFERROR(__xludf.DUMMYFUNCTION("""COMPUTED_VALUE"""),0.013)</f>
        <v>0.013</v>
      </c>
      <c r="R1560" s="14">
        <f>IFERROR(__xludf.DUMMYFUNCTION("""COMPUTED_VALUE"""),77.0)</f>
        <v>77</v>
      </c>
      <c r="S1560" s="14">
        <f>IFERROR(__xludf.DUMMYFUNCTION("""COMPUTED_VALUE"""),70.0)</f>
        <v>70</v>
      </c>
      <c r="T1560" s="14">
        <f>IFERROR(__xludf.DUMMYFUNCTION("""COMPUTED_VALUE"""),0.206)</f>
        <v>0.206</v>
      </c>
      <c r="U1560" s="14">
        <f>IFERROR(__xludf.DUMMYFUNCTION("""COMPUTED_VALUE"""),0.713)</f>
        <v>0.713</v>
      </c>
      <c r="V1560" s="14">
        <f>IFERROR(__xludf.DUMMYFUNCTION("""COMPUTED_VALUE"""),0.08)</f>
        <v>0.08</v>
      </c>
      <c r="W1560" s="14">
        <f>IFERROR(__xludf.DUMMYFUNCTION("""COMPUTED_VALUE"""),1286051.0)</f>
        <v>1286051</v>
      </c>
      <c r="X1560" s="14">
        <f>IFERROR(__xludf.DUMMYFUNCTION("""COMPUTED_VALUE"""),0.404)</f>
        <v>0.404</v>
      </c>
      <c r="Y1560" s="14" t="str">
        <f>IFERROR(__xludf.DUMMYFUNCTION("""COMPUTED_VALUE"""),"Mauritius-Africa")</f>
        <v>Mauritius-Africa</v>
      </c>
      <c r="Z1560" s="14" t="str">
        <f>IFERROR(__xludf.DUMMYFUNCTION("""COMPUTED_VALUE"""),"Africa")</f>
        <v>Africa</v>
      </c>
      <c r="AA1560" s="14" t="str">
        <f>IFERROR(__xludf.DUMMYFUNCTION("""COMPUTED_VALUE"""),"2011")</f>
        <v>2011</v>
      </c>
      <c r="AB1560" s="15" t="str">
        <f>IFERROR(__xludf.DUMMYFUNCTION("ARRAYFORMULA(VLOOKUP(A1560,IMPORTRANGE(""https://docs.google.com/spreadsheets/d/1BuTWp7qHGjWhqrnf-OmePP568O4A5Am9ttzvVdP67zw/edit#gid=1931367683"" ,""ENERGY!$A$2:$F$2692""), {2,3,4,5,6},0))"),"Africa")</f>
        <v>Africa</v>
      </c>
      <c r="AC1560" s="14" t="str">
        <f>IFERROR(__xludf.DUMMYFUNCTION("""COMPUTED_VALUE"""),"Mauritius-Africa")</f>
        <v>Mauritius-Africa</v>
      </c>
      <c r="AD1560" s="14" t="str">
        <f>IFERROR(__xludf.DUMMYFUNCTION("""COMPUTED_VALUE"""),"2006")</f>
        <v>2006</v>
      </c>
      <c r="AE1560" s="14"/>
      <c r="AF1560" s="14">
        <f>IFERROR(__xludf.DUMMYFUNCTION("""COMPUTED_VALUE"""),2967.0)</f>
        <v>2967</v>
      </c>
    </row>
    <row r="1561">
      <c r="A1561" s="12">
        <v>1560.0</v>
      </c>
      <c r="B1561" s="12" t="s">
        <v>198</v>
      </c>
      <c r="C1561" s="5" t="s">
        <v>77</v>
      </c>
      <c r="D1561" s="11">
        <v>0.275</v>
      </c>
      <c r="E1561" s="11">
        <v>6.0</v>
      </c>
      <c r="F1561" s="11">
        <v>20.0</v>
      </c>
      <c r="G1561" s="11">
        <v>161.0</v>
      </c>
      <c r="H1561" s="11">
        <v>0.354</v>
      </c>
      <c r="I1561" s="11">
        <v>1.199</v>
      </c>
      <c r="J1561" s="9" t="s">
        <v>73</v>
      </c>
      <c r="K1561" s="14" t="str">
        <f>IFERROR(__xludf.DUMMYFUNCTION("ARRAYFORMULA(VLOOKUP(A1561,IMPORTRANGE(""https://docs.google.com/spreadsheets/d/1BuTWp7qHGjWhqrnf-OmePP568O4A5Am9ttzvVdP67zw/edit#gid=1603210130"", ""TOURISM!$A$2:$F$2692""), {2,3,4,5,6},0))"),"Africa")</f>
        <v>Africa</v>
      </c>
      <c r="L1561" s="14">
        <f>IFERROR(__xludf.DUMMYFUNCTION("""COMPUTED_VALUE"""),1.778E9)</f>
        <v>1778000000</v>
      </c>
      <c r="M1561" s="14" t="str">
        <f>IFERROR(__xludf.DUMMYFUNCTION("""COMPUTED_VALUE"""),"Mauritius-Africa")</f>
        <v>Mauritius-Africa</v>
      </c>
      <c r="N1561" s="14" t="str">
        <f>IFERROR(__xludf.DUMMYFUNCTION("""COMPUTED_VALUE"""),"2012")</f>
        <v>2012</v>
      </c>
      <c r="O1561" s="14">
        <f>IFERROR(__xludf.DUMMYFUNCTION("""COMPUTED_VALUE"""),3.94E8)</f>
        <v>394000000</v>
      </c>
      <c r="P1561" s="15">
        <f>IFERROR(__xludf.DUMMYFUNCTION("ARRAYFORMULA(VLOOKUP(A1561,IMPORTRANGE(""https://docs.google.com/spreadsheets/d/1BuTWp7qHGjWhqrnf-OmePP568O4A5Am9ttzvVdP67zw/edit#gid=771602874"" ,""HUMAN RESOURCES!$A$2:$M$2692""), {2,3,4,5,6,7,8,9,10,11,12,13},0))"),0.011)</f>
        <v>0.011</v>
      </c>
      <c r="Q1561" s="14">
        <f>IFERROR(__xludf.DUMMYFUNCTION("""COMPUTED_VALUE"""),0.013)</f>
        <v>0.013</v>
      </c>
      <c r="R1561" s="14">
        <f>IFERROR(__xludf.DUMMYFUNCTION("""COMPUTED_VALUE"""),77.0)</f>
        <v>77</v>
      </c>
      <c r="S1561" s="14">
        <f>IFERROR(__xludf.DUMMYFUNCTION("""COMPUTED_VALUE"""),70.0)</f>
        <v>70</v>
      </c>
      <c r="T1561" s="14">
        <f>IFERROR(__xludf.DUMMYFUNCTION("""COMPUTED_VALUE"""),0.202)</f>
        <v>0.202</v>
      </c>
      <c r="U1561" s="14">
        <f>IFERROR(__xludf.DUMMYFUNCTION("""COMPUTED_VALUE"""),0.715)</f>
        <v>0.715</v>
      </c>
      <c r="V1561" s="14">
        <f>IFERROR(__xludf.DUMMYFUNCTION("""COMPUTED_VALUE"""),0.084)</f>
        <v>0.084</v>
      </c>
      <c r="W1561" s="14">
        <f>IFERROR(__xludf.DUMMYFUNCTION("""COMPUTED_VALUE"""),1291167.0)</f>
        <v>1291167</v>
      </c>
      <c r="X1561" s="14">
        <f>IFERROR(__xludf.DUMMYFUNCTION("""COMPUTED_VALUE"""),0.402)</f>
        <v>0.402</v>
      </c>
      <c r="Y1561" s="14" t="str">
        <f>IFERROR(__xludf.DUMMYFUNCTION("""COMPUTED_VALUE"""),"Mauritius-Africa")</f>
        <v>Mauritius-Africa</v>
      </c>
      <c r="Z1561" s="14" t="str">
        <f>IFERROR(__xludf.DUMMYFUNCTION("""COMPUTED_VALUE"""),"Africa")</f>
        <v>Africa</v>
      </c>
      <c r="AA1561" s="14" t="str">
        <f>IFERROR(__xludf.DUMMYFUNCTION("""COMPUTED_VALUE"""),"2012")</f>
        <v>2012</v>
      </c>
      <c r="AB1561" s="15" t="str">
        <f>IFERROR(__xludf.DUMMYFUNCTION("ARRAYFORMULA(VLOOKUP(A1561,IMPORTRANGE(""https://docs.google.com/spreadsheets/d/1BuTWp7qHGjWhqrnf-OmePP568O4A5Am9ttzvVdP67zw/edit#gid=1931367683"" ,""ENERGY!$A$2:$F$2692""), {2,3,4,5,6},0))"),"Africa")</f>
        <v>Africa</v>
      </c>
      <c r="AC1561" s="14" t="str">
        <f>IFERROR(__xludf.DUMMYFUNCTION("""COMPUTED_VALUE"""),"Mauritius-Africa")</f>
        <v>Mauritius-Africa</v>
      </c>
      <c r="AD1561" s="14" t="str">
        <f>IFERROR(__xludf.DUMMYFUNCTION("""COMPUTED_VALUE"""),"2011")</f>
        <v>2011</v>
      </c>
      <c r="AE1561" s="14"/>
      <c r="AF1561" s="14">
        <f>IFERROR(__xludf.DUMMYFUNCTION("""COMPUTED_VALUE"""),2769.0)</f>
        <v>2769</v>
      </c>
    </row>
    <row r="1562">
      <c r="A1562" s="12">
        <v>1561.0</v>
      </c>
      <c r="B1562" s="12" t="s">
        <v>199</v>
      </c>
      <c r="C1562" s="5" t="s">
        <v>84</v>
      </c>
      <c r="D1562" s="8"/>
      <c r="E1562" s="8"/>
      <c r="F1562" s="8"/>
      <c r="G1562" s="8"/>
      <c r="H1562" s="11">
        <v>0.051</v>
      </c>
      <c r="I1562" s="11">
        <v>0.136</v>
      </c>
      <c r="J1562" s="9" t="s">
        <v>60</v>
      </c>
      <c r="K1562" s="14" t="str">
        <f>IFERROR(__xludf.DUMMYFUNCTION("ARRAYFORMULA(VLOOKUP(A1562,IMPORTRANGE(""https://docs.google.com/spreadsheets/d/1BuTWp7qHGjWhqrnf-OmePP568O4A5Am9ttzvVdP67zw/edit#gid=1603210130"", ""TOURISM!$A$2:$F$2692""), {2,3,4,5,6},0))"),"The Americas")</f>
        <v>The Americas</v>
      </c>
      <c r="L1562" s="14">
        <f>IFERROR(__xludf.DUMMYFUNCTION("""COMPUTED_VALUE"""),9.133E9)</f>
        <v>9133000000</v>
      </c>
      <c r="M1562" s="14" t="str">
        <f>IFERROR(__xludf.DUMMYFUNCTION("""COMPUTED_VALUE"""),"Mexico-The Americas")</f>
        <v>Mexico-The Americas</v>
      </c>
      <c r="N1562" s="14" t="str">
        <f>IFERROR(__xludf.DUMMYFUNCTION("""COMPUTED_VALUE"""),"2000")</f>
        <v>2000</v>
      </c>
      <c r="O1562" s="14">
        <f>IFERROR(__xludf.DUMMYFUNCTION("""COMPUTED_VALUE"""),6.365E9)</f>
        <v>6365000000</v>
      </c>
      <c r="P1562" s="15">
        <f>IFERROR(__xludf.DUMMYFUNCTION("ARRAYFORMULA(VLOOKUP(A1562,IMPORTRANGE(""https://docs.google.com/spreadsheets/d/1BuTWp7qHGjWhqrnf-OmePP568O4A5Am9ttzvVdP67zw/edit#gid=771602874"" ,""HUMAN RESOURCES!$A$2:$M$2692""), {2,3,4,5,6,7,8,9,10,11,12,13},0))"),0.024)</f>
        <v>0.024</v>
      </c>
      <c r="Q1562" s="14">
        <f>IFERROR(__xludf.DUMMYFUNCTION("""COMPUTED_VALUE"""),0.022)</f>
        <v>0.022</v>
      </c>
      <c r="R1562" s="14">
        <f>IFERROR(__xludf.DUMMYFUNCTION("""COMPUTED_VALUE"""),77.0)</f>
        <v>77</v>
      </c>
      <c r="S1562" s="14">
        <f>IFERROR(__xludf.DUMMYFUNCTION("""COMPUTED_VALUE"""),72.0)</f>
        <v>72</v>
      </c>
      <c r="T1562" s="14">
        <f>IFERROR(__xludf.DUMMYFUNCTION("""COMPUTED_VALUE"""),0.341)</f>
        <v>0.341</v>
      </c>
      <c r="U1562" s="14">
        <f>IFERROR(__xludf.DUMMYFUNCTION("""COMPUTED_VALUE"""),0.61)</f>
        <v>0.61</v>
      </c>
      <c r="V1562" s="14">
        <f>IFERROR(__xludf.DUMMYFUNCTION("""COMPUTED_VALUE"""),0.049)</f>
        <v>0.049</v>
      </c>
      <c r="W1562" s="14">
        <f>IFERROR(__xludf.DUMMYFUNCTION("""COMPUTED_VALUE"""),1.03873607E8)</f>
        <v>103873607</v>
      </c>
      <c r="X1562" s="14">
        <f>IFERROR(__xludf.DUMMYFUNCTION("""COMPUTED_VALUE"""),0.747)</f>
        <v>0.747</v>
      </c>
      <c r="Y1562" s="14" t="str">
        <f>IFERROR(__xludf.DUMMYFUNCTION("""COMPUTED_VALUE"""),"Mexico-The Americas")</f>
        <v>Mexico-The Americas</v>
      </c>
      <c r="Z1562" s="14" t="str">
        <f>IFERROR(__xludf.DUMMYFUNCTION("""COMPUTED_VALUE"""),"The Americas")</f>
        <v>The Americas</v>
      </c>
      <c r="AA1562" s="14" t="str">
        <f>IFERROR(__xludf.DUMMYFUNCTION("""COMPUTED_VALUE"""),"2000")</f>
        <v>2000</v>
      </c>
      <c r="AB1562" s="15" t="str">
        <f>IFERROR(__xludf.DUMMYFUNCTION("ARRAYFORMULA(VLOOKUP(A1562,IMPORTRANGE(""https://docs.google.com/spreadsheets/d/1BuTWp7qHGjWhqrnf-OmePP568O4A5Am9ttzvVdP67zw/edit#gid=1931367683"" ,""ENERGY!$A$2:$F$2692""), {2,3,4,5,6},0))"),"The Americas")</f>
        <v>The Americas</v>
      </c>
      <c r="AC1562" s="14" t="str">
        <f>IFERROR(__xludf.DUMMYFUNCTION("""COMPUTED_VALUE"""),"Mexico-The Americas")</f>
        <v>Mexico-The Americas</v>
      </c>
      <c r="AD1562" s="14" t="str">
        <f>IFERROR(__xludf.DUMMYFUNCTION("""COMPUTED_VALUE"""),"2000")</f>
        <v>2000</v>
      </c>
      <c r="AE1562" s="14">
        <f>IFERROR(__xludf.DUMMYFUNCTION("""COMPUTED_VALUE"""),191924.0)</f>
        <v>191924</v>
      </c>
      <c r="AF1562" s="14"/>
    </row>
    <row r="1563">
      <c r="A1563" s="12">
        <v>1562.0</v>
      </c>
      <c r="B1563" s="12" t="s">
        <v>199</v>
      </c>
      <c r="C1563" s="5" t="s">
        <v>84</v>
      </c>
      <c r="D1563" s="8"/>
      <c r="E1563" s="8"/>
      <c r="F1563" s="8"/>
      <c r="G1563" s="8"/>
      <c r="H1563" s="11">
        <v>0.07</v>
      </c>
      <c r="I1563" s="11">
        <v>0.207</v>
      </c>
      <c r="J1563" s="9" t="s">
        <v>62</v>
      </c>
      <c r="K1563" s="14" t="str">
        <f>IFERROR(__xludf.DUMMYFUNCTION("ARRAYFORMULA(VLOOKUP(A1563,IMPORTRANGE(""https://docs.google.com/spreadsheets/d/1BuTWp7qHGjWhqrnf-OmePP568O4A5Am9ttzvVdP67zw/edit#gid=1603210130"", ""TOURISM!$A$2:$F$2692""), {2,3,4,5,6},0))"),"The Americas")</f>
        <v>The Americas</v>
      </c>
      <c r="L1563" s="14">
        <f>IFERROR(__xludf.DUMMYFUNCTION("""COMPUTED_VALUE"""),9.19E9)</f>
        <v>9190000000</v>
      </c>
      <c r="M1563" s="14" t="str">
        <f>IFERROR(__xludf.DUMMYFUNCTION("""COMPUTED_VALUE"""),"Mexico-The Americas")</f>
        <v>Mexico-The Americas</v>
      </c>
      <c r="N1563" s="14" t="str">
        <f>IFERROR(__xludf.DUMMYFUNCTION("""COMPUTED_VALUE"""),"2001")</f>
        <v>2001</v>
      </c>
      <c r="O1563" s="14">
        <f>IFERROR(__xludf.DUMMYFUNCTION("""COMPUTED_VALUE"""),6.685E9)</f>
        <v>6685000000</v>
      </c>
      <c r="P1563" s="15">
        <f>IFERROR(__xludf.DUMMYFUNCTION("ARRAYFORMULA(VLOOKUP(A1563,IMPORTRANGE(""https://docs.google.com/spreadsheets/d/1BuTWp7qHGjWhqrnf-OmePP568O4A5Am9ttzvVdP67zw/edit#gid=771602874"" ,""HUMAN RESOURCES!$A$2:$M$2692""), {2,3,4,5,6,7,8,9,10,11,12,13},0))"),0.024)</f>
        <v>0.024</v>
      </c>
      <c r="Q1563" s="14">
        <f>IFERROR(__xludf.DUMMYFUNCTION("""COMPUTED_VALUE"""),0.02)</f>
        <v>0.02</v>
      </c>
      <c r="R1563" s="14">
        <f>IFERROR(__xludf.DUMMYFUNCTION("""COMPUTED_VALUE"""),77.0)</f>
        <v>77</v>
      </c>
      <c r="S1563" s="14">
        <f>IFERROR(__xludf.DUMMYFUNCTION("""COMPUTED_VALUE"""),72.0)</f>
        <v>72</v>
      </c>
      <c r="T1563" s="14">
        <f>IFERROR(__xludf.DUMMYFUNCTION("""COMPUTED_VALUE"""),0.337)</f>
        <v>0.337</v>
      </c>
      <c r="U1563" s="14">
        <f>IFERROR(__xludf.DUMMYFUNCTION("""COMPUTED_VALUE"""),0.613)</f>
        <v>0.613</v>
      </c>
      <c r="V1563" s="14">
        <f>IFERROR(__xludf.DUMMYFUNCTION("""COMPUTED_VALUE"""),0.05)</f>
        <v>0.05</v>
      </c>
      <c r="W1563" s="14">
        <f>IFERROR(__xludf.DUMMYFUNCTION("""COMPUTED_VALUE"""),1.05339877E8)</f>
        <v>105339877</v>
      </c>
      <c r="X1563" s="14">
        <f>IFERROR(__xludf.DUMMYFUNCTION("""COMPUTED_VALUE"""),0.75)</f>
        <v>0.75</v>
      </c>
      <c r="Y1563" s="14" t="str">
        <f>IFERROR(__xludf.DUMMYFUNCTION("""COMPUTED_VALUE"""),"Mexico-The Americas")</f>
        <v>Mexico-The Americas</v>
      </c>
      <c r="Z1563" s="14" t="str">
        <f>IFERROR(__xludf.DUMMYFUNCTION("""COMPUTED_VALUE"""),"The Americas")</f>
        <v>The Americas</v>
      </c>
      <c r="AA1563" s="14" t="str">
        <f>IFERROR(__xludf.DUMMYFUNCTION("""COMPUTED_VALUE"""),"2001")</f>
        <v>2001</v>
      </c>
      <c r="AB1563" s="15" t="str">
        <f>IFERROR(__xludf.DUMMYFUNCTION("ARRAYFORMULA(VLOOKUP(A1563,IMPORTRANGE(""https://docs.google.com/spreadsheets/d/1BuTWp7qHGjWhqrnf-OmePP568O4A5Am9ttzvVdP67zw/edit#gid=1931367683"" ,""ENERGY!$A$2:$F$2692""), {2,3,4,5,6},0))"),"The Americas")</f>
        <v>The Americas</v>
      </c>
      <c r="AC1563" s="14" t="str">
        <f>IFERROR(__xludf.DUMMYFUNCTION("""COMPUTED_VALUE"""),"Mexico-The Americas")</f>
        <v>Mexico-The Americas</v>
      </c>
      <c r="AD1563" s="14" t="str">
        <f>IFERROR(__xludf.DUMMYFUNCTION("""COMPUTED_VALUE"""),"2001")</f>
        <v>2001</v>
      </c>
      <c r="AE1563" s="14">
        <f>IFERROR(__xludf.DUMMYFUNCTION("""COMPUTED_VALUE"""),186171.0)</f>
        <v>186171</v>
      </c>
      <c r="AF1563" s="14"/>
    </row>
    <row r="1564">
      <c r="A1564" s="12">
        <v>1563.0</v>
      </c>
      <c r="B1564" s="12" t="s">
        <v>199</v>
      </c>
      <c r="C1564" s="5" t="s">
        <v>84</v>
      </c>
      <c r="D1564" s="8"/>
      <c r="E1564" s="8"/>
      <c r="F1564" s="8"/>
      <c r="G1564" s="8"/>
      <c r="H1564" s="11">
        <v>0.119</v>
      </c>
      <c r="I1564" s="11">
        <v>0.243</v>
      </c>
      <c r="J1564" s="9" t="s">
        <v>63</v>
      </c>
      <c r="K1564" s="14" t="str">
        <f>IFERROR(__xludf.DUMMYFUNCTION("ARRAYFORMULA(VLOOKUP(A1564,IMPORTRANGE(""https://docs.google.com/spreadsheets/d/1BuTWp7qHGjWhqrnf-OmePP568O4A5Am9ttzvVdP67zw/edit#gid=1603210130"", ""TOURISM!$A$2:$F$2692""), {2,3,4,5,6},0))"),"The Americas")</f>
        <v>The Americas</v>
      </c>
      <c r="L1564" s="14">
        <f>IFERROR(__xludf.DUMMYFUNCTION("""COMPUTED_VALUE"""),9.547E9)</f>
        <v>9547000000</v>
      </c>
      <c r="M1564" s="14" t="str">
        <f>IFERROR(__xludf.DUMMYFUNCTION("""COMPUTED_VALUE"""),"Mexico-The Americas")</f>
        <v>Mexico-The Americas</v>
      </c>
      <c r="N1564" s="14" t="str">
        <f>IFERROR(__xludf.DUMMYFUNCTION("""COMPUTED_VALUE"""),"2002")</f>
        <v>2002</v>
      </c>
      <c r="O1564" s="14">
        <f>IFERROR(__xludf.DUMMYFUNCTION("""COMPUTED_VALUE"""),7.087E9)</f>
        <v>7087000000</v>
      </c>
      <c r="P1564" s="15">
        <f>IFERROR(__xludf.DUMMYFUNCTION("ARRAYFORMULA(VLOOKUP(A1564,IMPORTRANGE(""https://docs.google.com/spreadsheets/d/1BuTWp7qHGjWhqrnf-OmePP568O4A5Am9ttzvVdP67zw/edit#gid=771602874"" ,""HUMAN RESOURCES!$A$2:$M$2692""), {2,3,4,5,6,7,8,9,10,11,12,13},0))"),0.023)</f>
        <v>0.023</v>
      </c>
      <c r="Q1564" s="14">
        <f>IFERROR(__xludf.DUMMYFUNCTION("""COMPUTED_VALUE"""),0.019)</f>
        <v>0.019</v>
      </c>
      <c r="R1564" s="14">
        <f>IFERROR(__xludf.DUMMYFUNCTION("""COMPUTED_VALUE"""),77.0)</f>
        <v>77</v>
      </c>
      <c r="S1564" s="14">
        <f>IFERROR(__xludf.DUMMYFUNCTION("""COMPUTED_VALUE"""),72.0)</f>
        <v>72</v>
      </c>
      <c r="T1564" s="14">
        <f>IFERROR(__xludf.DUMMYFUNCTION("""COMPUTED_VALUE"""),0.334)</f>
        <v>0.334</v>
      </c>
      <c r="U1564" s="14">
        <f>IFERROR(__xludf.DUMMYFUNCTION("""COMPUTED_VALUE"""),0.615)</f>
        <v>0.615</v>
      </c>
      <c r="V1564" s="14">
        <f>IFERROR(__xludf.DUMMYFUNCTION("""COMPUTED_VALUE"""),0.051)</f>
        <v>0.051</v>
      </c>
      <c r="W1564" s="14">
        <f>IFERROR(__xludf.DUMMYFUNCTION("""COMPUTED_VALUE"""),1.06723661E8)</f>
        <v>106723661</v>
      </c>
      <c r="X1564" s="14">
        <f>IFERROR(__xludf.DUMMYFUNCTION("""COMPUTED_VALUE"""),0.754)</f>
        <v>0.754</v>
      </c>
      <c r="Y1564" s="14" t="str">
        <f>IFERROR(__xludf.DUMMYFUNCTION("""COMPUTED_VALUE"""),"Mexico-The Americas")</f>
        <v>Mexico-The Americas</v>
      </c>
      <c r="Z1564" s="14" t="str">
        <f>IFERROR(__xludf.DUMMYFUNCTION("""COMPUTED_VALUE"""),"The Americas")</f>
        <v>The Americas</v>
      </c>
      <c r="AA1564" s="14" t="str">
        <f>IFERROR(__xludf.DUMMYFUNCTION("""COMPUTED_VALUE"""),"2002")</f>
        <v>2002</v>
      </c>
      <c r="AB1564" s="15" t="str">
        <f>IFERROR(__xludf.DUMMYFUNCTION("ARRAYFORMULA(VLOOKUP(A1564,IMPORTRANGE(""https://docs.google.com/spreadsheets/d/1BuTWp7qHGjWhqrnf-OmePP568O4A5Am9ttzvVdP67zw/edit#gid=1931367683"" ,""ENERGY!$A$2:$F$2692""), {2,3,4,5,6},0))"),"The Americas")</f>
        <v>The Americas</v>
      </c>
      <c r="AC1564" s="14" t="str">
        <f>IFERROR(__xludf.DUMMYFUNCTION("""COMPUTED_VALUE"""),"Mexico-The Americas")</f>
        <v>Mexico-The Americas</v>
      </c>
      <c r="AD1564" s="14" t="str">
        <f>IFERROR(__xludf.DUMMYFUNCTION("""COMPUTED_VALUE"""),"2002")</f>
        <v>2002</v>
      </c>
      <c r="AE1564" s="14">
        <f>IFERROR(__xludf.DUMMYFUNCTION("""COMPUTED_VALUE"""),178924.0)</f>
        <v>178924</v>
      </c>
      <c r="AF1564" s="14">
        <f>IFERROR(__xludf.DUMMYFUNCTION("""COMPUTED_VALUE"""),443674.0)</f>
        <v>443674</v>
      </c>
    </row>
    <row r="1565">
      <c r="A1565" s="12">
        <v>1564.0</v>
      </c>
      <c r="B1565" s="12" t="s">
        <v>199</v>
      </c>
      <c r="C1565" s="5" t="s">
        <v>84</v>
      </c>
      <c r="D1565" s="8"/>
      <c r="E1565" s="11">
        <v>58.0</v>
      </c>
      <c r="F1565" s="8"/>
      <c r="G1565" s="8"/>
      <c r="H1565" s="11">
        <v>0.129</v>
      </c>
      <c r="I1565" s="11">
        <v>0.279</v>
      </c>
      <c r="J1565" s="9" t="s">
        <v>64</v>
      </c>
      <c r="K1565" s="14" t="str">
        <f>IFERROR(__xludf.DUMMYFUNCTION("ARRAYFORMULA(VLOOKUP(A1565,IMPORTRANGE(""https://docs.google.com/spreadsheets/d/1BuTWp7qHGjWhqrnf-OmePP568O4A5Am9ttzvVdP67zw/edit#gid=1603210130"", ""TOURISM!$A$2:$F$2692""), {2,3,4,5,6},0))"),"The Americas")</f>
        <v>The Americas</v>
      </c>
      <c r="L1565" s="14">
        <f>IFERROR(__xludf.DUMMYFUNCTION("""COMPUTED_VALUE"""),1.0058E10)</f>
        <v>10058000000</v>
      </c>
      <c r="M1565" s="14" t="str">
        <f>IFERROR(__xludf.DUMMYFUNCTION("""COMPUTED_VALUE"""),"Mexico-The Americas")</f>
        <v>Mexico-The Americas</v>
      </c>
      <c r="N1565" s="14" t="str">
        <f>IFERROR(__xludf.DUMMYFUNCTION("""COMPUTED_VALUE"""),"2003")</f>
        <v>2003</v>
      </c>
      <c r="O1565" s="14">
        <f>IFERROR(__xludf.DUMMYFUNCTION("""COMPUTED_VALUE"""),7.252E9)</f>
        <v>7252000000</v>
      </c>
      <c r="P1565" s="15">
        <f>IFERROR(__xludf.DUMMYFUNCTION("ARRAYFORMULA(VLOOKUP(A1565,IMPORTRANGE(""https://docs.google.com/spreadsheets/d/1BuTWp7qHGjWhqrnf-OmePP568O4A5Am9ttzvVdP67zw/edit#gid=771602874"" ,""HUMAN RESOURCES!$A$2:$M$2692""), {2,3,4,5,6,7,8,9,10,11,12,13},0))"),0.023)</f>
        <v>0.023</v>
      </c>
      <c r="Q1565" s="14">
        <f>IFERROR(__xludf.DUMMYFUNCTION("""COMPUTED_VALUE"""),0.018)</f>
        <v>0.018</v>
      </c>
      <c r="R1565" s="14">
        <f>IFERROR(__xludf.DUMMYFUNCTION("""COMPUTED_VALUE"""),78.0)</f>
        <v>78</v>
      </c>
      <c r="S1565" s="14">
        <f>IFERROR(__xludf.DUMMYFUNCTION("""COMPUTED_VALUE"""),73.0)</f>
        <v>73</v>
      </c>
      <c r="T1565" s="14">
        <f>IFERROR(__xludf.DUMMYFUNCTION("""COMPUTED_VALUE"""),0.33)</f>
        <v>0.33</v>
      </c>
      <c r="U1565" s="14">
        <f>IFERROR(__xludf.DUMMYFUNCTION("""COMPUTED_VALUE"""),0.618)</f>
        <v>0.618</v>
      </c>
      <c r="V1565" s="14">
        <f>IFERROR(__xludf.DUMMYFUNCTION("""COMPUTED_VALUE"""),0.051)</f>
        <v>0.051</v>
      </c>
      <c r="W1565" s="14">
        <f>IFERROR(__xludf.DUMMYFUNCTION("""COMPUTED_VALUE"""),1.08056312E8)</f>
        <v>108056312</v>
      </c>
      <c r="X1565" s="14">
        <f>IFERROR(__xludf.DUMMYFUNCTION("""COMPUTED_VALUE"""),0.757)</f>
        <v>0.757</v>
      </c>
      <c r="Y1565" s="14" t="str">
        <f>IFERROR(__xludf.DUMMYFUNCTION("""COMPUTED_VALUE"""),"Mexico-The Americas")</f>
        <v>Mexico-The Americas</v>
      </c>
      <c r="Z1565" s="14" t="str">
        <f>IFERROR(__xludf.DUMMYFUNCTION("""COMPUTED_VALUE"""),"The Americas")</f>
        <v>The Americas</v>
      </c>
      <c r="AA1565" s="14" t="str">
        <f>IFERROR(__xludf.DUMMYFUNCTION("""COMPUTED_VALUE"""),"2003")</f>
        <v>2003</v>
      </c>
      <c r="AB1565" s="15" t="str">
        <f>IFERROR(__xludf.DUMMYFUNCTION("ARRAYFORMULA(VLOOKUP(A1565,IMPORTRANGE(""https://docs.google.com/spreadsheets/d/1BuTWp7qHGjWhqrnf-OmePP568O4A5Am9ttzvVdP67zw/edit#gid=1931367683"" ,""ENERGY!$A$2:$F$2692""), {2,3,4,5,6},0))"),"The Americas")</f>
        <v>The Americas</v>
      </c>
      <c r="AC1565" s="14" t="str">
        <f>IFERROR(__xludf.DUMMYFUNCTION("""COMPUTED_VALUE"""),"Mexico-The Americas")</f>
        <v>Mexico-The Americas</v>
      </c>
      <c r="AD1565" s="14" t="str">
        <f>IFERROR(__xludf.DUMMYFUNCTION("""COMPUTED_VALUE"""),"2003")</f>
        <v>2003</v>
      </c>
      <c r="AE1565" s="14">
        <f>IFERROR(__xludf.DUMMYFUNCTION("""COMPUTED_VALUE"""),175752.0)</f>
        <v>175752</v>
      </c>
      <c r="AF1565" s="14">
        <f>IFERROR(__xludf.DUMMYFUNCTION("""COMPUTED_VALUE"""),446237.0)</f>
        <v>446237</v>
      </c>
    </row>
    <row r="1566">
      <c r="A1566" s="12">
        <v>1565.0</v>
      </c>
      <c r="B1566" s="12" t="s">
        <v>199</v>
      </c>
      <c r="C1566" s="5" t="s">
        <v>84</v>
      </c>
      <c r="D1566" s="8"/>
      <c r="E1566" s="11">
        <v>58.0</v>
      </c>
      <c r="F1566" s="8"/>
      <c r="G1566" s="8"/>
      <c r="H1566" s="11">
        <v>0.141</v>
      </c>
      <c r="I1566" s="11">
        <v>0.352</v>
      </c>
      <c r="J1566" s="9" t="s">
        <v>65</v>
      </c>
      <c r="K1566" s="14" t="str">
        <f>IFERROR(__xludf.DUMMYFUNCTION("ARRAYFORMULA(VLOOKUP(A1566,IMPORTRANGE(""https://docs.google.com/spreadsheets/d/1BuTWp7qHGjWhqrnf-OmePP568O4A5Am9ttzvVdP67zw/edit#gid=1603210130"", ""TOURISM!$A$2:$F$2692""), {2,3,4,5,6},0))"),"The Americas")</f>
        <v>The Americas</v>
      </c>
      <c r="L1566" s="14">
        <f>IFERROR(__xludf.DUMMYFUNCTION("""COMPUTED_VALUE"""),1.161E10)</f>
        <v>11610000000</v>
      </c>
      <c r="M1566" s="14" t="str">
        <f>IFERROR(__xludf.DUMMYFUNCTION("""COMPUTED_VALUE"""),"Mexico-The Americas")</f>
        <v>Mexico-The Americas</v>
      </c>
      <c r="N1566" s="14" t="str">
        <f>IFERROR(__xludf.DUMMYFUNCTION("""COMPUTED_VALUE"""),"2004")</f>
        <v>2004</v>
      </c>
      <c r="O1566" s="14">
        <f>IFERROR(__xludf.DUMMYFUNCTION("""COMPUTED_VALUE"""),8.034E9)</f>
        <v>8034000000</v>
      </c>
      <c r="P1566" s="15">
        <f>IFERROR(__xludf.DUMMYFUNCTION("ARRAYFORMULA(VLOOKUP(A1566,IMPORTRANGE(""https://docs.google.com/spreadsheets/d/1BuTWp7qHGjWhqrnf-OmePP568O4A5Am9ttzvVdP67zw/edit#gid=771602874"" ,""HUMAN RESOURCES!$A$2:$M$2692""), {2,3,4,5,6,7,8,9,10,11,12,13},0))"),0.022)</f>
        <v>0.022</v>
      </c>
      <c r="Q1566" s="14">
        <f>IFERROR(__xludf.DUMMYFUNCTION("""COMPUTED_VALUE"""),0.017)</f>
        <v>0.017</v>
      </c>
      <c r="R1566" s="14">
        <f>IFERROR(__xludf.DUMMYFUNCTION("""COMPUTED_VALUE"""),78.0)</f>
        <v>78</v>
      </c>
      <c r="S1566" s="14">
        <f>IFERROR(__xludf.DUMMYFUNCTION("""COMPUTED_VALUE"""),73.0)</f>
        <v>73</v>
      </c>
      <c r="T1566" s="14">
        <f>IFERROR(__xludf.DUMMYFUNCTION("""COMPUTED_VALUE"""),0.327)</f>
        <v>0.327</v>
      </c>
      <c r="U1566" s="14">
        <f>IFERROR(__xludf.DUMMYFUNCTION("""COMPUTED_VALUE"""),0.621)</f>
        <v>0.621</v>
      </c>
      <c r="V1566" s="14">
        <f>IFERROR(__xludf.DUMMYFUNCTION("""COMPUTED_VALUE"""),0.052)</f>
        <v>0.052</v>
      </c>
      <c r="W1566" s="14">
        <f>IFERROR(__xludf.DUMMYFUNCTION("""COMPUTED_VALUE"""),1.0938155E8)</f>
        <v>109381550</v>
      </c>
      <c r="X1566" s="14">
        <f>IFERROR(__xludf.DUMMYFUNCTION("""COMPUTED_VALUE"""),0.76)</f>
        <v>0.76</v>
      </c>
      <c r="Y1566" s="14" t="str">
        <f>IFERROR(__xludf.DUMMYFUNCTION("""COMPUTED_VALUE"""),"Mexico-The Americas")</f>
        <v>Mexico-The Americas</v>
      </c>
      <c r="Z1566" s="14" t="str">
        <f>IFERROR(__xludf.DUMMYFUNCTION("""COMPUTED_VALUE"""),"The Americas")</f>
        <v>The Americas</v>
      </c>
      <c r="AA1566" s="14" t="str">
        <f>IFERROR(__xludf.DUMMYFUNCTION("""COMPUTED_VALUE"""),"2004")</f>
        <v>2004</v>
      </c>
      <c r="AB1566" s="15" t="str">
        <f>IFERROR(__xludf.DUMMYFUNCTION("ARRAYFORMULA(VLOOKUP(A1566,IMPORTRANGE(""https://docs.google.com/spreadsheets/d/1BuTWp7qHGjWhqrnf-OmePP568O4A5Am9ttzvVdP67zw/edit#gid=1931367683"" ,""ENERGY!$A$2:$F$2692""), {2,3,4,5,6},0))"),"The Americas")</f>
        <v>The Americas</v>
      </c>
      <c r="AC1566" s="14" t="str">
        <f>IFERROR(__xludf.DUMMYFUNCTION("""COMPUTED_VALUE"""),"Mexico-The Americas")</f>
        <v>Mexico-The Americas</v>
      </c>
      <c r="AD1566" s="14" t="str">
        <f>IFERROR(__xludf.DUMMYFUNCTION("""COMPUTED_VALUE"""),"2004")</f>
        <v>2004</v>
      </c>
      <c r="AE1566" s="14">
        <f>IFERROR(__xludf.DUMMYFUNCTION("""COMPUTED_VALUE"""),181876.0)</f>
        <v>181876</v>
      </c>
      <c r="AF1566" s="14">
        <f>IFERROR(__xludf.DUMMYFUNCTION("""COMPUTED_VALUE"""),471444.0)</f>
        <v>471444</v>
      </c>
    </row>
    <row r="1567">
      <c r="A1567" s="12">
        <v>1566.0</v>
      </c>
      <c r="B1567" s="12" t="s">
        <v>199</v>
      </c>
      <c r="C1567" s="5" t="s">
        <v>84</v>
      </c>
      <c r="D1567" s="11">
        <v>0.557</v>
      </c>
      <c r="E1567" s="11">
        <v>58.0</v>
      </c>
      <c r="F1567" s="8"/>
      <c r="G1567" s="11">
        <v>552.0</v>
      </c>
      <c r="H1567" s="11">
        <v>0.172</v>
      </c>
      <c r="I1567" s="11">
        <v>0.426</v>
      </c>
      <c r="J1567" s="9" t="s">
        <v>66</v>
      </c>
      <c r="K1567" s="14" t="str">
        <f>IFERROR(__xludf.DUMMYFUNCTION("ARRAYFORMULA(VLOOKUP(A1567,IMPORTRANGE(""https://docs.google.com/spreadsheets/d/1BuTWp7qHGjWhqrnf-OmePP568O4A5Am9ttzvVdP67zw/edit#gid=1603210130"", ""TOURISM!$A$2:$F$2692""), {2,3,4,5,6},0))"),"The Americas")</f>
        <v>The Americas</v>
      </c>
      <c r="L1567" s="14">
        <f>IFERROR(__xludf.DUMMYFUNCTION("""COMPUTED_VALUE"""),1.2801E10)</f>
        <v>12801000000</v>
      </c>
      <c r="M1567" s="14" t="str">
        <f>IFERROR(__xludf.DUMMYFUNCTION("""COMPUTED_VALUE"""),"Mexico-The Americas")</f>
        <v>Mexico-The Americas</v>
      </c>
      <c r="N1567" s="14" t="str">
        <f>IFERROR(__xludf.DUMMYFUNCTION("""COMPUTED_VALUE"""),"2005")</f>
        <v>2005</v>
      </c>
      <c r="O1567" s="14">
        <f>IFERROR(__xludf.DUMMYFUNCTION("""COMPUTED_VALUE"""),8.951E9)</f>
        <v>8951000000</v>
      </c>
      <c r="P1567" s="15">
        <f>IFERROR(__xludf.DUMMYFUNCTION("ARRAYFORMULA(VLOOKUP(A1567,IMPORTRANGE(""https://docs.google.com/spreadsheets/d/1BuTWp7qHGjWhqrnf-OmePP568O4A5Am9ttzvVdP67zw/edit#gid=771602874"" ,""HUMAN RESOURCES!$A$2:$M$2692""), {2,3,4,5,6,7,8,9,10,11,12,13},0))"),0.022)</f>
        <v>0.022</v>
      </c>
      <c r="Q1567" s="14">
        <f>IFERROR(__xludf.DUMMYFUNCTION("""COMPUTED_VALUE"""),0.017)</f>
        <v>0.017</v>
      </c>
      <c r="R1567" s="14">
        <f>IFERROR(__xludf.DUMMYFUNCTION("""COMPUTED_VALUE"""),78.0)</f>
        <v>78</v>
      </c>
      <c r="S1567" s="14">
        <f>IFERROR(__xludf.DUMMYFUNCTION("""COMPUTED_VALUE"""),73.0)</f>
        <v>73</v>
      </c>
      <c r="T1567" s="14">
        <f>IFERROR(__xludf.DUMMYFUNCTION("""COMPUTED_VALUE"""),0.323)</f>
        <v>0.323</v>
      </c>
      <c r="U1567" s="14">
        <f>IFERROR(__xludf.DUMMYFUNCTION("""COMPUTED_VALUE"""),0.624)</f>
        <v>0.624</v>
      </c>
      <c r="V1567" s="14">
        <f>IFERROR(__xludf.DUMMYFUNCTION("""COMPUTED_VALUE"""),0.053)</f>
        <v>0.053</v>
      </c>
      <c r="W1567" s="14">
        <f>IFERROR(__xludf.DUMMYFUNCTION("""COMPUTED_VALUE"""),1.10731826E8)</f>
        <v>110731826</v>
      </c>
      <c r="X1567" s="14">
        <f>IFERROR(__xludf.DUMMYFUNCTION("""COMPUTED_VALUE"""),0.763)</f>
        <v>0.763</v>
      </c>
      <c r="Y1567" s="14" t="str">
        <f>IFERROR(__xludf.DUMMYFUNCTION("""COMPUTED_VALUE"""),"Mexico-The Americas")</f>
        <v>Mexico-The Americas</v>
      </c>
      <c r="Z1567" s="14" t="str">
        <f>IFERROR(__xludf.DUMMYFUNCTION("""COMPUTED_VALUE"""),"The Americas")</f>
        <v>The Americas</v>
      </c>
      <c r="AA1567" s="14" t="str">
        <f>IFERROR(__xludf.DUMMYFUNCTION("""COMPUTED_VALUE"""),"2005")</f>
        <v>2005</v>
      </c>
      <c r="AB1567" s="15" t="str">
        <f>IFERROR(__xludf.DUMMYFUNCTION("ARRAYFORMULA(VLOOKUP(A1567,IMPORTRANGE(""https://docs.google.com/spreadsheets/d/1BuTWp7qHGjWhqrnf-OmePP568O4A5Am9ttzvVdP67zw/edit#gid=1931367683"" ,""ENERGY!$A$2:$F$2692""), {2,3,4,5,6},0))"),"The Americas")</f>
        <v>The Americas</v>
      </c>
      <c r="AC1567" s="14" t="str">
        <f>IFERROR(__xludf.DUMMYFUNCTION("""COMPUTED_VALUE"""),"Mexico-The Americas")</f>
        <v>Mexico-The Americas</v>
      </c>
      <c r="AD1567" s="14" t="str">
        <f>IFERROR(__xludf.DUMMYFUNCTION("""COMPUTED_VALUE"""),"2007")</f>
        <v>2007</v>
      </c>
      <c r="AE1567" s="14">
        <f>IFERROR(__xludf.DUMMYFUNCTION("""COMPUTED_VALUE"""),176711.0)</f>
        <v>176711</v>
      </c>
      <c r="AF1567" s="14">
        <f>IFERROR(__xludf.DUMMYFUNCTION("""COMPUTED_VALUE"""),455845.0)</f>
        <v>455845</v>
      </c>
    </row>
    <row r="1568">
      <c r="A1568" s="12">
        <v>1567.0</v>
      </c>
      <c r="B1568" s="12" t="s">
        <v>199</v>
      </c>
      <c r="C1568" s="5" t="s">
        <v>84</v>
      </c>
      <c r="D1568" s="11">
        <v>0.531</v>
      </c>
      <c r="E1568" s="11">
        <v>25.0</v>
      </c>
      <c r="F1568" s="8"/>
      <c r="G1568" s="11">
        <v>560.0</v>
      </c>
      <c r="H1568" s="11">
        <v>0.195</v>
      </c>
      <c r="I1568" s="11">
        <v>0.494</v>
      </c>
      <c r="J1568" s="9" t="s">
        <v>67</v>
      </c>
      <c r="K1568" s="14" t="str">
        <f>IFERROR(__xludf.DUMMYFUNCTION("ARRAYFORMULA(VLOOKUP(A1568,IMPORTRANGE(""https://docs.google.com/spreadsheets/d/1BuTWp7qHGjWhqrnf-OmePP568O4A5Am9ttzvVdP67zw/edit#gid=1603210130"", ""TOURISM!$A$2:$F$2692""), {2,3,4,5,6},0))"),"The Americas")</f>
        <v>The Americas</v>
      </c>
      <c r="L1568" s="14">
        <f>IFERROR(__xludf.DUMMYFUNCTION("""COMPUTED_VALUE"""),1.3329E10)</f>
        <v>13329000000</v>
      </c>
      <c r="M1568" s="14" t="str">
        <f>IFERROR(__xludf.DUMMYFUNCTION("""COMPUTED_VALUE"""),"Mexico-The Americas")</f>
        <v>Mexico-The Americas</v>
      </c>
      <c r="N1568" s="14" t="str">
        <f>IFERROR(__xludf.DUMMYFUNCTION("""COMPUTED_VALUE"""),"2006")</f>
        <v>2006</v>
      </c>
      <c r="O1568" s="14">
        <f>IFERROR(__xludf.DUMMYFUNCTION("""COMPUTED_VALUE"""),9.387E9)</f>
        <v>9387000000</v>
      </c>
      <c r="P1568" s="15">
        <f>IFERROR(__xludf.DUMMYFUNCTION("ARRAYFORMULA(VLOOKUP(A1568,IMPORTRANGE(""https://docs.google.com/spreadsheets/d/1BuTWp7qHGjWhqrnf-OmePP568O4A5Am9ttzvVdP67zw/edit#gid=771602874"" ,""HUMAN RESOURCES!$A$2:$M$2692""), {2,3,4,5,6,7,8,9,10,11,12,13},0))"),0.021)</f>
        <v>0.021</v>
      </c>
      <c r="Q1568" s="14">
        <f>IFERROR(__xludf.DUMMYFUNCTION("""COMPUTED_VALUE"""),0.016)</f>
        <v>0.016</v>
      </c>
      <c r="R1568" s="14">
        <f>IFERROR(__xludf.DUMMYFUNCTION("""COMPUTED_VALUE"""),78.0)</f>
        <v>78</v>
      </c>
      <c r="S1568" s="14">
        <f>IFERROR(__xludf.DUMMYFUNCTION("""COMPUTED_VALUE"""),73.0)</f>
        <v>73</v>
      </c>
      <c r="T1568" s="14">
        <f>IFERROR(__xludf.DUMMYFUNCTION("""COMPUTED_VALUE"""),0.319)</f>
        <v>0.319</v>
      </c>
      <c r="U1568" s="14">
        <f>IFERROR(__xludf.DUMMYFUNCTION("""COMPUTED_VALUE"""),0.627)</f>
        <v>0.627</v>
      </c>
      <c r="V1568" s="14">
        <f>IFERROR(__xludf.DUMMYFUNCTION("""COMPUTED_VALUE"""),0.054)</f>
        <v>0.054</v>
      </c>
      <c r="W1568" s="14">
        <f>IFERROR(__xludf.DUMMYFUNCTION("""COMPUTED_VALUE"""),1.12116694E8)</f>
        <v>112116694</v>
      </c>
      <c r="X1568" s="14">
        <f>IFERROR(__xludf.DUMMYFUNCTION("""COMPUTED_VALUE"""),0.766)</f>
        <v>0.766</v>
      </c>
      <c r="Y1568" s="14" t="str">
        <f>IFERROR(__xludf.DUMMYFUNCTION("""COMPUTED_VALUE"""),"Mexico-The Americas")</f>
        <v>Mexico-The Americas</v>
      </c>
      <c r="Z1568" s="14" t="str">
        <f>IFERROR(__xludf.DUMMYFUNCTION("""COMPUTED_VALUE"""),"The Americas")</f>
        <v>The Americas</v>
      </c>
      <c r="AA1568" s="14" t="str">
        <f>IFERROR(__xludf.DUMMYFUNCTION("""COMPUTED_VALUE"""),"2006")</f>
        <v>2006</v>
      </c>
      <c r="AB1568" s="15" t="str">
        <f>IFERROR(__xludf.DUMMYFUNCTION("ARRAYFORMULA(VLOOKUP(A1568,IMPORTRANGE(""https://docs.google.com/spreadsheets/d/1BuTWp7qHGjWhqrnf-OmePP568O4A5Am9ttzvVdP67zw/edit#gid=1931367683"" ,""ENERGY!$A$2:$F$2692""), {2,3,4,5,6},0))"),"The Americas")</f>
        <v>The Americas</v>
      </c>
      <c r="AC1568" s="14" t="str">
        <f>IFERROR(__xludf.DUMMYFUNCTION("""COMPUTED_VALUE"""),"Mexico-The Americas")</f>
        <v>Mexico-The Americas</v>
      </c>
      <c r="AD1568" s="14" t="str">
        <f>IFERROR(__xludf.DUMMYFUNCTION("""COMPUTED_VALUE"""),"2011")</f>
        <v>2011</v>
      </c>
      <c r="AE1568" s="14">
        <f>IFERROR(__xludf.DUMMYFUNCTION("""COMPUTED_VALUE"""),172307.0)</f>
        <v>172307</v>
      </c>
      <c r="AF1568" s="14">
        <f>IFERROR(__xludf.DUMMYFUNCTION("""COMPUTED_VALUE"""),441796.0)</f>
        <v>441796</v>
      </c>
    </row>
    <row r="1569">
      <c r="A1569" s="12">
        <v>1568.0</v>
      </c>
      <c r="B1569" s="12" t="s">
        <v>199</v>
      </c>
      <c r="C1569" s="5" t="s">
        <v>84</v>
      </c>
      <c r="D1569" s="11">
        <v>0.523</v>
      </c>
      <c r="E1569" s="11">
        <v>25.0</v>
      </c>
      <c r="F1569" s="8"/>
      <c r="G1569" s="11">
        <v>485.0</v>
      </c>
      <c r="H1569" s="11">
        <v>0.208</v>
      </c>
      <c r="I1569" s="11">
        <v>0.586</v>
      </c>
      <c r="J1569" s="9" t="s">
        <v>68</v>
      </c>
      <c r="K1569" s="14" t="str">
        <f>IFERROR(__xludf.DUMMYFUNCTION("ARRAYFORMULA(VLOOKUP(A1569,IMPORTRANGE(""https://docs.google.com/spreadsheets/d/1BuTWp7qHGjWhqrnf-OmePP568O4A5Am9ttzvVdP67zw/edit#gid=1603210130"", ""TOURISM!$A$2:$F$2692""), {2,3,4,5,6},0))"),"The Americas")</f>
        <v>The Americas</v>
      </c>
      <c r="L1569" s="14">
        <f>IFERROR(__xludf.DUMMYFUNCTION("""COMPUTED_VALUE"""),1.4055E10)</f>
        <v>14055000000</v>
      </c>
      <c r="M1569" s="14" t="str">
        <f>IFERROR(__xludf.DUMMYFUNCTION("""COMPUTED_VALUE"""),"Mexico-The Americas")</f>
        <v>Mexico-The Americas</v>
      </c>
      <c r="N1569" s="14" t="str">
        <f>IFERROR(__xludf.DUMMYFUNCTION("""COMPUTED_VALUE"""),"2007")</f>
        <v>2007</v>
      </c>
      <c r="O1569" s="14">
        <f>IFERROR(__xludf.DUMMYFUNCTION("""COMPUTED_VALUE"""),9.918E9)</f>
        <v>9918000000</v>
      </c>
      <c r="P1569" s="15">
        <f>IFERROR(__xludf.DUMMYFUNCTION("ARRAYFORMULA(VLOOKUP(A1569,IMPORTRANGE(""https://docs.google.com/spreadsheets/d/1BuTWp7qHGjWhqrnf-OmePP568O4A5Am9ttzvVdP67zw/edit#gid=771602874"" ,""HUMAN RESOURCES!$A$2:$M$2692""), {2,3,4,5,6,7,8,9,10,11,12,13},0))"),0.021)</f>
        <v>0.021</v>
      </c>
      <c r="Q1569" s="14">
        <f>IFERROR(__xludf.DUMMYFUNCTION("""COMPUTED_VALUE"""),0.016)</f>
        <v>0.016</v>
      </c>
      <c r="R1569" s="14">
        <f>IFERROR(__xludf.DUMMYFUNCTION("""COMPUTED_VALUE"""),78.0)</f>
        <v>78</v>
      </c>
      <c r="S1569" s="14">
        <f>IFERROR(__xludf.DUMMYFUNCTION("""COMPUTED_VALUE"""),74.0)</f>
        <v>74</v>
      </c>
      <c r="T1569" s="14">
        <f>IFERROR(__xludf.DUMMYFUNCTION("""COMPUTED_VALUE"""),0.314)</f>
        <v>0.314</v>
      </c>
      <c r="U1569" s="14">
        <f>IFERROR(__xludf.DUMMYFUNCTION("""COMPUTED_VALUE"""),0.63)</f>
        <v>0.63</v>
      </c>
      <c r="V1569" s="14">
        <f>IFERROR(__xludf.DUMMYFUNCTION("""COMPUTED_VALUE"""),0.056)</f>
        <v>0.056</v>
      </c>
      <c r="W1569" s="14">
        <f>IFERROR(__xludf.DUMMYFUNCTION("""COMPUTED_VALUE"""),1.13529819E8)</f>
        <v>113529819</v>
      </c>
      <c r="X1569" s="14">
        <f>IFERROR(__xludf.DUMMYFUNCTION("""COMPUTED_VALUE"""),0.769)</f>
        <v>0.769</v>
      </c>
      <c r="Y1569" s="14" t="str">
        <f>IFERROR(__xludf.DUMMYFUNCTION("""COMPUTED_VALUE"""),"Mexico-The Americas")</f>
        <v>Mexico-The Americas</v>
      </c>
      <c r="Z1569" s="14" t="str">
        <f>IFERROR(__xludf.DUMMYFUNCTION("""COMPUTED_VALUE"""),"The Americas")</f>
        <v>The Americas</v>
      </c>
      <c r="AA1569" s="14" t="str">
        <f>IFERROR(__xludf.DUMMYFUNCTION("""COMPUTED_VALUE"""),"2007")</f>
        <v>2007</v>
      </c>
      <c r="AB1569" s="15" t="str">
        <f>IFERROR(__xludf.DUMMYFUNCTION("ARRAYFORMULA(VLOOKUP(A1569,IMPORTRANGE(""https://docs.google.com/spreadsheets/d/1BuTWp7qHGjWhqrnf-OmePP568O4A5Am9ttzvVdP67zw/edit#gid=1931367683"" ,""ENERGY!$A$2:$F$2692""), {2,3,4,5,6},0))"),"The Americas")</f>
        <v>The Americas</v>
      </c>
      <c r="AC1569" s="14" t="str">
        <f>IFERROR(__xludf.DUMMYFUNCTION("""COMPUTED_VALUE"""),"Mexico-The Americas")</f>
        <v>Mexico-The Americas</v>
      </c>
      <c r="AD1569" s="14" t="str">
        <f>IFERROR(__xludf.DUMMYFUNCTION("""COMPUTED_VALUE"""),"2009")</f>
        <v>2009</v>
      </c>
      <c r="AE1569" s="14">
        <f>IFERROR(__xludf.DUMMYFUNCTION("""COMPUTED_VALUE"""),170263.0)</f>
        <v>170263</v>
      </c>
      <c r="AF1569" s="14">
        <f>IFERROR(__xludf.DUMMYFUNCTION("""COMPUTED_VALUE"""),435046.0)</f>
        <v>435046</v>
      </c>
    </row>
    <row r="1570">
      <c r="A1570" s="12">
        <v>1569.0</v>
      </c>
      <c r="B1570" s="12" t="s">
        <v>199</v>
      </c>
      <c r="C1570" s="5" t="s">
        <v>84</v>
      </c>
      <c r="D1570" s="11">
        <v>0.515</v>
      </c>
      <c r="E1570" s="11">
        <v>26.0</v>
      </c>
      <c r="F1570" s="8"/>
      <c r="G1570" s="11">
        <v>549.0</v>
      </c>
      <c r="H1570" s="11">
        <v>0.217</v>
      </c>
      <c r="I1570" s="11">
        <v>0.655</v>
      </c>
      <c r="J1570" s="9" t="s">
        <v>69</v>
      </c>
      <c r="K1570" s="14" t="str">
        <f>IFERROR(__xludf.DUMMYFUNCTION("ARRAYFORMULA(VLOOKUP(A1570,IMPORTRANGE(""https://docs.google.com/spreadsheets/d/1BuTWp7qHGjWhqrnf-OmePP568O4A5Am9ttzvVdP67zw/edit#gid=1603210130"", ""TOURISM!$A$2:$F$2692""), {2,3,4,5,6},0))"),"The Americas")</f>
        <v>The Americas</v>
      </c>
      <c r="L1570" s="14">
        <f>IFERROR(__xludf.DUMMYFUNCTION("""COMPUTED_VALUE"""),1.4726E10)</f>
        <v>14726000000</v>
      </c>
      <c r="M1570" s="14" t="str">
        <f>IFERROR(__xludf.DUMMYFUNCTION("""COMPUTED_VALUE"""),"Mexico-The Americas")</f>
        <v>Mexico-The Americas</v>
      </c>
      <c r="N1570" s="14" t="str">
        <f>IFERROR(__xludf.DUMMYFUNCTION("""COMPUTED_VALUE"""),"2008")</f>
        <v>2008</v>
      </c>
      <c r="O1570" s="14">
        <f>IFERROR(__xludf.DUMMYFUNCTION("""COMPUTED_VALUE"""),1.0246E10)</f>
        <v>10246000000</v>
      </c>
      <c r="P1570" s="15">
        <f>IFERROR(__xludf.DUMMYFUNCTION("ARRAYFORMULA(VLOOKUP(A1570,IMPORTRANGE(""https://docs.google.com/spreadsheets/d/1BuTWp7qHGjWhqrnf-OmePP568O4A5Am9ttzvVdP67zw/edit#gid=771602874"" ,""HUMAN RESOURCES!$A$2:$M$2692""), {2,3,4,5,6,7,8,9,10,11,12,13},0))"),0.02)</f>
        <v>0.02</v>
      </c>
      <c r="Q1570" s="14">
        <f>IFERROR(__xludf.DUMMYFUNCTION("""COMPUTED_VALUE"""),0.015)</f>
        <v>0.015</v>
      </c>
      <c r="R1570" s="14">
        <f>IFERROR(__xludf.DUMMYFUNCTION("""COMPUTED_VALUE"""),79.0)</f>
        <v>79</v>
      </c>
      <c r="S1570" s="14">
        <f>IFERROR(__xludf.DUMMYFUNCTION("""COMPUTED_VALUE"""),74.0)</f>
        <v>74</v>
      </c>
      <c r="T1570" s="14">
        <f>IFERROR(__xludf.DUMMYFUNCTION("""COMPUTED_VALUE"""),0.31)</f>
        <v>0.31</v>
      </c>
      <c r="U1570" s="14">
        <f>IFERROR(__xludf.DUMMYFUNCTION("""COMPUTED_VALUE"""),0.633)</f>
        <v>0.633</v>
      </c>
      <c r="V1570" s="14">
        <f>IFERROR(__xludf.DUMMYFUNCTION("""COMPUTED_VALUE"""),0.057)</f>
        <v>0.057</v>
      </c>
      <c r="W1570" s="14">
        <f>IFERROR(__xludf.DUMMYFUNCTION("""COMPUTED_VALUE"""),1.14968039E8)</f>
        <v>114968039</v>
      </c>
      <c r="X1570" s="14">
        <f>IFERROR(__xludf.DUMMYFUNCTION("""COMPUTED_VALUE"""),0.772)</f>
        <v>0.772</v>
      </c>
      <c r="Y1570" s="14" t="str">
        <f>IFERROR(__xludf.DUMMYFUNCTION("""COMPUTED_VALUE"""),"Mexico-The Americas")</f>
        <v>Mexico-The Americas</v>
      </c>
      <c r="Z1570" s="14" t="str">
        <f>IFERROR(__xludf.DUMMYFUNCTION("""COMPUTED_VALUE"""),"The Americas")</f>
        <v>The Americas</v>
      </c>
      <c r="AA1570" s="14" t="str">
        <f>IFERROR(__xludf.DUMMYFUNCTION("""COMPUTED_VALUE"""),"2008")</f>
        <v>2008</v>
      </c>
      <c r="AB1570" s="15" t="str">
        <f>IFERROR(__xludf.DUMMYFUNCTION("ARRAYFORMULA(VLOOKUP(A1570,IMPORTRANGE(""https://docs.google.com/spreadsheets/d/1BuTWp7qHGjWhqrnf-OmePP568O4A5Am9ttzvVdP67zw/edit#gid=1931367683"" ,""ENERGY!$A$2:$F$2692""), {2,3,4,5,6},0))"),"The Americas")</f>
        <v>The Americas</v>
      </c>
      <c r="AC1570" s="14" t="str">
        <f>IFERROR(__xludf.DUMMYFUNCTION("""COMPUTED_VALUE"""),"Mexico-The Americas")</f>
        <v>Mexico-The Americas</v>
      </c>
      <c r="AD1570" s="14" t="str">
        <f>IFERROR(__xludf.DUMMYFUNCTION("""COMPUTED_VALUE"""),"2006")</f>
        <v>2006</v>
      </c>
      <c r="AE1570" s="14">
        <f>IFERROR(__xludf.DUMMYFUNCTION("""COMPUTED_VALUE"""),159324.0)</f>
        <v>159324</v>
      </c>
      <c r="AF1570" s="14">
        <f>IFERROR(__xludf.DUMMYFUNCTION("""COMPUTED_VALUE"""),410744.0)</f>
        <v>410744</v>
      </c>
    </row>
    <row r="1571">
      <c r="A1571" s="12">
        <v>1570.0</v>
      </c>
      <c r="B1571" s="12" t="s">
        <v>199</v>
      </c>
      <c r="C1571" s="5" t="s">
        <v>84</v>
      </c>
      <c r="D1571" s="11">
        <v>0.51</v>
      </c>
      <c r="E1571" s="11">
        <v>11.0</v>
      </c>
      <c r="F1571" s="8"/>
      <c r="G1571" s="11">
        <v>517.0</v>
      </c>
      <c r="H1571" s="11">
        <v>0.263</v>
      </c>
      <c r="I1571" s="11">
        <v>0.715</v>
      </c>
      <c r="J1571" s="9" t="s">
        <v>70</v>
      </c>
      <c r="K1571" s="14" t="str">
        <f>IFERROR(__xludf.DUMMYFUNCTION("ARRAYFORMULA(VLOOKUP(A1571,IMPORTRANGE(""https://docs.google.com/spreadsheets/d/1BuTWp7qHGjWhqrnf-OmePP568O4A5Am9ttzvVdP67zw/edit#gid=1603210130"", ""TOURISM!$A$2:$F$2692""), {2,3,4,5,6},0))"),"The Americas")</f>
        <v>The Americas</v>
      </c>
      <c r="L1571" s="14">
        <f>IFERROR(__xludf.DUMMYFUNCTION("""COMPUTED_VALUE"""),1.2542E10)</f>
        <v>12542000000</v>
      </c>
      <c r="M1571" s="14" t="str">
        <f>IFERROR(__xludf.DUMMYFUNCTION("""COMPUTED_VALUE"""),"Mexico-The Americas")</f>
        <v>Mexico-The Americas</v>
      </c>
      <c r="N1571" s="14" t="str">
        <f>IFERROR(__xludf.DUMMYFUNCTION("""COMPUTED_VALUE"""),"2009")</f>
        <v>2009</v>
      </c>
      <c r="O1571" s="14">
        <f>IFERROR(__xludf.DUMMYFUNCTION("""COMPUTED_VALUE"""),8.737E9)</f>
        <v>8737000000</v>
      </c>
      <c r="P1571" s="15">
        <f>IFERROR(__xludf.DUMMYFUNCTION("ARRAYFORMULA(VLOOKUP(A1571,IMPORTRANGE(""https://docs.google.com/spreadsheets/d/1BuTWp7qHGjWhqrnf-OmePP568O4A5Am9ttzvVdP67zw/edit#gid=771602874"" ,""HUMAN RESOURCES!$A$2:$M$2692""), {2,3,4,5,6,7,8,9,10,11,12,13},0))"),0.02)</f>
        <v>0.02</v>
      </c>
      <c r="Q1571" s="14">
        <f>IFERROR(__xludf.DUMMYFUNCTION("""COMPUTED_VALUE"""),0.015)</f>
        <v>0.015</v>
      </c>
      <c r="R1571" s="14">
        <f>IFERROR(__xludf.DUMMYFUNCTION("""COMPUTED_VALUE"""),79.0)</f>
        <v>79</v>
      </c>
      <c r="S1571" s="14">
        <f>IFERROR(__xludf.DUMMYFUNCTION("""COMPUTED_VALUE"""),74.0)</f>
        <v>74</v>
      </c>
      <c r="T1571" s="14">
        <f>IFERROR(__xludf.DUMMYFUNCTION("""COMPUTED_VALUE"""),0.305)</f>
        <v>0.305</v>
      </c>
      <c r="U1571" s="14">
        <f>IFERROR(__xludf.DUMMYFUNCTION("""COMPUTED_VALUE"""),0.636)</f>
        <v>0.636</v>
      </c>
      <c r="V1571" s="14">
        <f>IFERROR(__xludf.DUMMYFUNCTION("""COMPUTED_VALUE"""),0.058)</f>
        <v>0.058</v>
      </c>
      <c r="W1571" s="14">
        <f>IFERROR(__xludf.DUMMYFUNCTION("""COMPUTED_VALUE"""),1.16422752E8)</f>
        <v>116422752</v>
      </c>
      <c r="X1571" s="14">
        <f>IFERROR(__xludf.DUMMYFUNCTION("""COMPUTED_VALUE"""),0.775)</f>
        <v>0.775</v>
      </c>
      <c r="Y1571" s="14" t="str">
        <f>IFERROR(__xludf.DUMMYFUNCTION("""COMPUTED_VALUE"""),"Mexico-The Americas")</f>
        <v>Mexico-The Americas</v>
      </c>
      <c r="Z1571" s="14" t="str">
        <f>IFERROR(__xludf.DUMMYFUNCTION("""COMPUTED_VALUE"""),"The Americas")</f>
        <v>The Americas</v>
      </c>
      <c r="AA1571" s="14" t="str">
        <f>IFERROR(__xludf.DUMMYFUNCTION("""COMPUTED_VALUE"""),"2009")</f>
        <v>2009</v>
      </c>
      <c r="AB1571" s="15" t="str">
        <f>IFERROR(__xludf.DUMMYFUNCTION("ARRAYFORMULA(VLOOKUP(A1571,IMPORTRANGE(""https://docs.google.com/spreadsheets/d/1BuTWp7qHGjWhqrnf-OmePP568O4A5Am9ttzvVdP67zw/edit#gid=1931367683"" ,""ENERGY!$A$2:$F$2692""), {2,3,4,5,6},0))"),"The Americas")</f>
        <v>The Americas</v>
      </c>
      <c r="AC1571" s="14" t="str">
        <f>IFERROR(__xludf.DUMMYFUNCTION("""COMPUTED_VALUE"""),"Mexico-The Americas")</f>
        <v>Mexico-The Americas</v>
      </c>
      <c r="AD1571" s="14" t="str">
        <f>IFERROR(__xludf.DUMMYFUNCTION("""COMPUTED_VALUE"""),"2010")</f>
        <v>2010</v>
      </c>
      <c r="AE1571" s="14">
        <f>IFERROR(__xludf.DUMMYFUNCTION("""COMPUTED_VALUE"""),153665.0)</f>
        <v>153665</v>
      </c>
      <c r="AF1571" s="14">
        <f>IFERROR(__xludf.DUMMYFUNCTION("""COMPUTED_VALUE"""),405633.0)</f>
        <v>405633</v>
      </c>
    </row>
    <row r="1572">
      <c r="A1572" s="12">
        <v>1571.0</v>
      </c>
      <c r="B1572" s="12" t="s">
        <v>199</v>
      </c>
      <c r="C1572" s="5" t="s">
        <v>84</v>
      </c>
      <c r="D1572" s="11">
        <v>0.505</v>
      </c>
      <c r="E1572" s="11">
        <v>7.0</v>
      </c>
      <c r="F1572" s="8"/>
      <c r="G1572" s="11">
        <v>404.0</v>
      </c>
      <c r="H1572" s="11">
        <v>0.311</v>
      </c>
      <c r="I1572" s="11">
        <v>0.775</v>
      </c>
      <c r="J1572" s="9" t="s">
        <v>71</v>
      </c>
      <c r="K1572" s="14" t="str">
        <f>IFERROR(__xludf.DUMMYFUNCTION("ARRAYFORMULA(VLOOKUP(A1572,IMPORTRANGE(""https://docs.google.com/spreadsheets/d/1BuTWp7qHGjWhqrnf-OmePP568O4A5Am9ttzvVdP67zw/edit#gid=1603210130"", ""TOURISM!$A$2:$F$2692""), {2,3,4,5,6},0))"),"The Americas")</f>
        <v>The Americas</v>
      </c>
      <c r="L1572" s="14">
        <f>IFERROR(__xludf.DUMMYFUNCTION("""COMPUTED_VALUE"""),1.2628E10)</f>
        <v>12628000000</v>
      </c>
      <c r="M1572" s="14" t="str">
        <f>IFERROR(__xludf.DUMMYFUNCTION("""COMPUTED_VALUE"""),"Mexico-The Americas")</f>
        <v>Mexico-The Americas</v>
      </c>
      <c r="N1572" s="14" t="str">
        <f>IFERROR(__xludf.DUMMYFUNCTION("""COMPUTED_VALUE"""),"2010")</f>
        <v>2010</v>
      </c>
      <c r="O1572" s="14">
        <f>IFERROR(__xludf.DUMMYFUNCTION("""COMPUTED_VALUE"""),9.001E9)</f>
        <v>9001000000</v>
      </c>
      <c r="P1572" s="15">
        <f>IFERROR(__xludf.DUMMYFUNCTION("ARRAYFORMULA(VLOOKUP(A1572,IMPORTRANGE(""https://docs.google.com/spreadsheets/d/1BuTWp7qHGjWhqrnf-OmePP568O4A5Am9ttzvVdP67zw/edit#gid=771602874"" ,""HUMAN RESOURCES!$A$2:$M$2692""), {2,3,4,5,6,7,8,9,10,11,12,13},0))"),0.02)</f>
        <v>0.02</v>
      </c>
      <c r="Q1572" s="14">
        <f>IFERROR(__xludf.DUMMYFUNCTION("""COMPUTED_VALUE"""),0.014)</f>
        <v>0.014</v>
      </c>
      <c r="R1572" s="14">
        <f>IFERROR(__xludf.DUMMYFUNCTION("""COMPUTED_VALUE"""),79.0)</f>
        <v>79</v>
      </c>
      <c r="S1572" s="14">
        <f>IFERROR(__xludf.DUMMYFUNCTION("""COMPUTED_VALUE"""),74.0)</f>
        <v>74</v>
      </c>
      <c r="T1572" s="14">
        <f>IFERROR(__xludf.DUMMYFUNCTION("""COMPUTED_VALUE"""),0.3)</f>
        <v>0.3</v>
      </c>
      <c r="U1572" s="14">
        <f>IFERROR(__xludf.DUMMYFUNCTION("""COMPUTED_VALUE"""),0.64)</f>
        <v>0.64</v>
      </c>
      <c r="V1572" s="14">
        <f>IFERROR(__xludf.DUMMYFUNCTION("""COMPUTED_VALUE"""),0.06)</f>
        <v>0.06</v>
      </c>
      <c r="W1572" s="14">
        <f>IFERROR(__xludf.DUMMYFUNCTION("""COMPUTED_VALUE"""),1.17886404E8)</f>
        <v>117886404</v>
      </c>
      <c r="X1572" s="14">
        <f>IFERROR(__xludf.DUMMYFUNCTION("""COMPUTED_VALUE"""),0.778)</f>
        <v>0.778</v>
      </c>
      <c r="Y1572" s="14" t="str">
        <f>IFERROR(__xludf.DUMMYFUNCTION("""COMPUTED_VALUE"""),"Mexico-The Americas")</f>
        <v>Mexico-The Americas</v>
      </c>
      <c r="Z1572" s="14" t="str">
        <f>IFERROR(__xludf.DUMMYFUNCTION("""COMPUTED_VALUE"""),"The Americas")</f>
        <v>The Americas</v>
      </c>
      <c r="AA1572" s="14" t="str">
        <f>IFERROR(__xludf.DUMMYFUNCTION("""COMPUTED_VALUE"""),"2010")</f>
        <v>2010</v>
      </c>
      <c r="AB1572" s="15" t="str">
        <f>IFERROR(__xludf.DUMMYFUNCTION("ARRAYFORMULA(VLOOKUP(A1572,IMPORTRANGE(""https://docs.google.com/spreadsheets/d/1BuTWp7qHGjWhqrnf-OmePP568O4A5Am9ttzvVdP67zw/edit#gid=1931367683"" ,""ENERGY!$A$2:$F$2692""), {2,3,4,5,6},0))"),"The Americas")</f>
        <v>The Americas</v>
      </c>
      <c r="AC1572" s="14" t="str">
        <f>IFERROR(__xludf.DUMMYFUNCTION("""COMPUTED_VALUE"""),"Mexico-The Americas")</f>
        <v>Mexico-The Americas</v>
      </c>
      <c r="AD1572" s="14" t="str">
        <f>IFERROR(__xludf.DUMMYFUNCTION("""COMPUTED_VALUE"""),"2005")</f>
        <v>2005</v>
      </c>
      <c r="AE1572" s="14">
        <f>IFERROR(__xludf.DUMMYFUNCTION("""COMPUTED_VALUE"""),150843.0)</f>
        <v>150843</v>
      </c>
      <c r="AF1572" s="14">
        <f>IFERROR(__xludf.DUMMYFUNCTION("""COMPUTED_VALUE"""),391251.0)</f>
        <v>391251</v>
      </c>
    </row>
    <row r="1573">
      <c r="A1573" s="12">
        <v>1572.0</v>
      </c>
      <c r="B1573" s="12" t="s">
        <v>199</v>
      </c>
      <c r="C1573" s="5" t="s">
        <v>84</v>
      </c>
      <c r="D1573" s="11">
        <v>0.527</v>
      </c>
      <c r="E1573" s="11">
        <v>6.0</v>
      </c>
      <c r="F1573" s="8"/>
      <c r="G1573" s="11">
        <v>347.0</v>
      </c>
      <c r="H1573" s="11">
        <v>0.372</v>
      </c>
      <c r="I1573" s="11">
        <v>0.792</v>
      </c>
      <c r="J1573" s="9" t="s">
        <v>72</v>
      </c>
      <c r="K1573" s="14" t="str">
        <f>IFERROR(__xludf.DUMMYFUNCTION("ARRAYFORMULA(VLOOKUP(A1573,IMPORTRANGE(""https://docs.google.com/spreadsheets/d/1BuTWp7qHGjWhqrnf-OmePP568O4A5Am9ttzvVdP67zw/edit#gid=1603210130"", ""TOURISM!$A$2:$F$2692""), {2,3,4,5,6},0))"),"The Americas")</f>
        <v>The Americas</v>
      </c>
      <c r="L1573" s="14">
        <f>IFERROR(__xludf.DUMMYFUNCTION("""COMPUTED_VALUE"""),1.2458E10)</f>
        <v>12458000000</v>
      </c>
      <c r="M1573" s="14" t="str">
        <f>IFERROR(__xludf.DUMMYFUNCTION("""COMPUTED_VALUE"""),"Mexico-The Americas")</f>
        <v>Mexico-The Americas</v>
      </c>
      <c r="N1573" s="14" t="str">
        <f>IFERROR(__xludf.DUMMYFUNCTION("""COMPUTED_VALUE"""),"2011")</f>
        <v>2011</v>
      </c>
      <c r="O1573" s="14">
        <f>IFERROR(__xludf.DUMMYFUNCTION("""COMPUTED_VALUE"""),9.704E9)</f>
        <v>9704000000</v>
      </c>
      <c r="P1573" s="15">
        <f>IFERROR(__xludf.DUMMYFUNCTION("ARRAYFORMULA(VLOOKUP(A1573,IMPORTRANGE(""https://docs.google.com/spreadsheets/d/1BuTWp7qHGjWhqrnf-OmePP568O4A5Am9ttzvVdP67zw/edit#gid=771602874"" ,""HUMAN RESOURCES!$A$2:$M$2692""), {2,3,4,5,6,7,8,9,10,11,12,13},0))"),0.019)</f>
        <v>0.019</v>
      </c>
      <c r="Q1573" s="14">
        <f>IFERROR(__xludf.DUMMYFUNCTION("""COMPUTED_VALUE"""),0.014)</f>
        <v>0.014</v>
      </c>
      <c r="R1573" s="14">
        <f>IFERROR(__xludf.DUMMYFUNCTION("""COMPUTED_VALUE"""),79.0)</f>
        <v>79</v>
      </c>
      <c r="S1573" s="14">
        <f>IFERROR(__xludf.DUMMYFUNCTION("""COMPUTED_VALUE"""),75.0)</f>
        <v>75</v>
      </c>
      <c r="T1573" s="14">
        <f>IFERROR(__xludf.DUMMYFUNCTION("""COMPUTED_VALUE"""),0.295)</f>
        <v>0.295</v>
      </c>
      <c r="U1573" s="14">
        <f>IFERROR(__xludf.DUMMYFUNCTION("""COMPUTED_VALUE"""),0.643)</f>
        <v>0.643</v>
      </c>
      <c r="V1573" s="14">
        <f>IFERROR(__xludf.DUMMYFUNCTION("""COMPUTED_VALUE"""),0.061)</f>
        <v>0.061</v>
      </c>
      <c r="W1573" s="14">
        <f>IFERROR(__xludf.DUMMYFUNCTION("""COMPUTED_VALUE"""),1.19361233E8)</f>
        <v>119361233</v>
      </c>
      <c r="X1573" s="14">
        <f>IFERROR(__xludf.DUMMYFUNCTION("""COMPUTED_VALUE"""),0.781)</f>
        <v>0.781</v>
      </c>
      <c r="Y1573" s="14" t="str">
        <f>IFERROR(__xludf.DUMMYFUNCTION("""COMPUTED_VALUE"""),"Mexico-The Americas")</f>
        <v>Mexico-The Americas</v>
      </c>
      <c r="Z1573" s="14" t="str">
        <f>IFERROR(__xludf.DUMMYFUNCTION("""COMPUTED_VALUE"""),"The Americas")</f>
        <v>The Americas</v>
      </c>
      <c r="AA1573" s="14" t="str">
        <f>IFERROR(__xludf.DUMMYFUNCTION("""COMPUTED_VALUE"""),"2011")</f>
        <v>2011</v>
      </c>
      <c r="AB1573" s="15" t="str">
        <f>IFERROR(__xludf.DUMMYFUNCTION("ARRAYFORMULA(VLOOKUP(A1573,IMPORTRANGE(""https://docs.google.com/spreadsheets/d/1BuTWp7qHGjWhqrnf-OmePP568O4A5Am9ttzvVdP67zw/edit#gid=1931367683"" ,""ENERGY!$A$2:$F$2692""), {2,3,4,5,6},0))"),"The Americas")</f>
        <v>The Americas</v>
      </c>
      <c r="AC1573" s="14" t="str">
        <f>IFERROR(__xludf.DUMMYFUNCTION("""COMPUTED_VALUE"""),"Mexico-The Americas")</f>
        <v>Mexico-The Americas</v>
      </c>
      <c r="AD1573" s="14" t="str">
        <f>IFERROR(__xludf.DUMMYFUNCTION("""COMPUTED_VALUE"""),"2006")</f>
        <v>2006</v>
      </c>
      <c r="AE1573" s="14">
        <f>IFERROR(__xludf.DUMMYFUNCTION("""COMPUTED_VALUE"""),146302.0)</f>
        <v>146302</v>
      </c>
      <c r="AF1573" s="14">
        <f>IFERROR(__xludf.DUMMYFUNCTION("""COMPUTED_VALUE"""),394800.0)</f>
        <v>394800</v>
      </c>
    </row>
    <row r="1574">
      <c r="A1574" s="12">
        <v>1573.0</v>
      </c>
      <c r="B1574" s="12" t="s">
        <v>199</v>
      </c>
      <c r="C1574" s="5" t="s">
        <v>84</v>
      </c>
      <c r="D1574" s="11">
        <v>0.525</v>
      </c>
      <c r="E1574" s="11">
        <v>6.0</v>
      </c>
      <c r="F1574" s="11">
        <v>51.0</v>
      </c>
      <c r="G1574" s="11">
        <v>337.0</v>
      </c>
      <c r="H1574" s="11">
        <v>0.398</v>
      </c>
      <c r="I1574" s="11">
        <v>0.834</v>
      </c>
      <c r="J1574" s="9" t="s">
        <v>73</v>
      </c>
      <c r="K1574" s="14" t="str">
        <f>IFERROR(__xludf.DUMMYFUNCTION("ARRAYFORMULA(VLOOKUP(A1574,IMPORTRANGE(""https://docs.google.com/spreadsheets/d/1BuTWp7qHGjWhqrnf-OmePP568O4A5Am9ttzvVdP67zw/edit#gid=1603210130"", ""TOURISM!$A$2:$F$2692""), {2,3,4,5,6},0))"),"The Americas")</f>
        <v>The Americas</v>
      </c>
      <c r="L1574" s="14">
        <f>IFERROR(__xludf.DUMMYFUNCTION("""COMPUTED_VALUE"""),1.332E10)</f>
        <v>13320000000</v>
      </c>
      <c r="M1574" s="14" t="str">
        <f>IFERROR(__xludf.DUMMYFUNCTION("""COMPUTED_VALUE"""),"Mexico-The Americas")</f>
        <v>Mexico-The Americas</v>
      </c>
      <c r="N1574" s="14" t="str">
        <f>IFERROR(__xludf.DUMMYFUNCTION("""COMPUTED_VALUE"""),"2012")</f>
        <v>2012</v>
      </c>
      <c r="O1574" s="14">
        <f>IFERROR(__xludf.DUMMYFUNCTION("""COMPUTED_VALUE"""),1.0735E10)</f>
        <v>10735000000</v>
      </c>
      <c r="P1574" s="15">
        <f>IFERROR(__xludf.DUMMYFUNCTION("ARRAYFORMULA(VLOOKUP(A1574,IMPORTRANGE(""https://docs.google.com/spreadsheets/d/1BuTWp7qHGjWhqrnf-OmePP568O4A5Am9ttzvVdP67zw/edit#gid=771602874"" ,""HUMAN RESOURCES!$A$2:$M$2692""), {2,3,4,5,6,7,8,9,10,11,12,13},0))"),0.019)</f>
        <v>0.019</v>
      </c>
      <c r="Q1574" s="14">
        <f>IFERROR(__xludf.DUMMYFUNCTION("""COMPUTED_VALUE"""),0.013)</f>
        <v>0.013</v>
      </c>
      <c r="R1574" s="14">
        <f>IFERROR(__xludf.DUMMYFUNCTION("""COMPUTED_VALUE"""),80.0)</f>
        <v>80</v>
      </c>
      <c r="S1574" s="14">
        <f>IFERROR(__xludf.DUMMYFUNCTION("""COMPUTED_VALUE"""),75.0)</f>
        <v>75</v>
      </c>
      <c r="T1574" s="14">
        <f>IFERROR(__xludf.DUMMYFUNCTION("""COMPUTED_VALUE"""),0.29)</f>
        <v>0.29</v>
      </c>
      <c r="U1574" s="14">
        <f>IFERROR(__xludf.DUMMYFUNCTION("""COMPUTED_VALUE"""),0.647)</f>
        <v>0.647</v>
      </c>
      <c r="V1574" s="14">
        <f>IFERROR(__xludf.DUMMYFUNCTION("""COMPUTED_VALUE"""),0.063)</f>
        <v>0.063</v>
      </c>
      <c r="W1574" s="14">
        <f>IFERROR(__xludf.DUMMYFUNCTION("""COMPUTED_VALUE"""),1.20847477E8)</f>
        <v>120847477</v>
      </c>
      <c r="X1574" s="14">
        <f>IFERROR(__xludf.DUMMYFUNCTION("""COMPUTED_VALUE"""),0.784)</f>
        <v>0.784</v>
      </c>
      <c r="Y1574" s="14" t="str">
        <f>IFERROR(__xludf.DUMMYFUNCTION("""COMPUTED_VALUE"""),"Mexico-The Americas")</f>
        <v>Mexico-The Americas</v>
      </c>
      <c r="Z1574" s="14" t="str">
        <f>IFERROR(__xludf.DUMMYFUNCTION("""COMPUTED_VALUE"""),"The Americas")</f>
        <v>The Americas</v>
      </c>
      <c r="AA1574" s="14" t="str">
        <f>IFERROR(__xludf.DUMMYFUNCTION("""COMPUTED_VALUE"""),"2012")</f>
        <v>2012</v>
      </c>
      <c r="AB1574" s="15" t="str">
        <f>IFERROR(__xludf.DUMMYFUNCTION("ARRAYFORMULA(VLOOKUP(A1574,IMPORTRANGE(""https://docs.google.com/spreadsheets/d/1BuTWp7qHGjWhqrnf-OmePP568O4A5Am9ttzvVdP67zw/edit#gid=1931367683"" ,""ENERGY!$A$2:$F$2692""), {2,3,4,5,6},0))"),"The Americas")</f>
        <v>The Americas</v>
      </c>
      <c r="AC1574" s="14" t="str">
        <f>IFERROR(__xludf.DUMMYFUNCTION("""COMPUTED_VALUE"""),"Mexico-The Americas")</f>
        <v>Mexico-The Americas</v>
      </c>
      <c r="AD1574" s="14" t="str">
        <f>IFERROR(__xludf.DUMMYFUNCTION("""COMPUTED_VALUE"""),"2011")</f>
        <v>2011</v>
      </c>
      <c r="AE1574" s="14">
        <f>IFERROR(__xludf.DUMMYFUNCTION("""COMPUTED_VALUE"""),145384.0)</f>
        <v>145384</v>
      </c>
      <c r="AF1574" s="14">
        <f>IFERROR(__xludf.DUMMYFUNCTION("""COMPUTED_VALUE"""),381518.0)</f>
        <v>381518</v>
      </c>
    </row>
    <row r="1575">
      <c r="A1575" s="12">
        <v>1574.0</v>
      </c>
      <c r="B1575" s="12" t="s">
        <v>200</v>
      </c>
      <c r="C1575" s="5" t="s">
        <v>80</v>
      </c>
      <c r="D1575" s="8"/>
      <c r="E1575" s="8"/>
      <c r="F1575" s="8"/>
      <c r="G1575" s="8"/>
      <c r="H1575" s="11">
        <v>0.037</v>
      </c>
      <c r="I1575" s="8"/>
      <c r="J1575" s="9" t="s">
        <v>60</v>
      </c>
      <c r="K1575" s="14" t="str">
        <f>IFERROR(__xludf.DUMMYFUNCTION("ARRAYFORMULA(VLOOKUP(A1575,IMPORTRANGE(""https://docs.google.com/spreadsheets/d/1BuTWp7qHGjWhqrnf-OmePP568O4A5Am9ttzvVdP67zw/edit#gid=1603210130"", ""TOURISM!$A$2:$F$2692""), {2,3,4,5,6},0))"),"Oceania")</f>
        <v>Oceania</v>
      </c>
      <c r="L1575" s="14">
        <f>IFERROR(__xludf.DUMMYFUNCTION("""COMPUTED_VALUE"""),1.7E7)</f>
        <v>17000000</v>
      </c>
      <c r="M1575" s="14" t="str">
        <f>IFERROR(__xludf.DUMMYFUNCTION("""COMPUTED_VALUE"""),"Micronesia, Fed. Sts.-Oceania")</f>
        <v>Micronesia, Fed. Sts.-Oceania</v>
      </c>
      <c r="N1575" s="14" t="str">
        <f>IFERROR(__xludf.DUMMYFUNCTION("""COMPUTED_VALUE"""),"2000")</f>
        <v>2000</v>
      </c>
      <c r="O1575" s="14">
        <f>IFERROR(__xludf.DUMMYFUNCTION("""COMPUTED_VALUE"""),5000000.0)</f>
        <v>5000000</v>
      </c>
      <c r="P1575" s="15">
        <f>IFERROR(__xludf.DUMMYFUNCTION("ARRAYFORMULA(VLOOKUP(A1575,IMPORTRANGE(""https://docs.google.com/spreadsheets/d/1BuTWp7qHGjWhqrnf-OmePP568O4A5Am9ttzvVdP67zw/edit#gid=771602874"" ,""HUMAN RESOURCES!$A$2:$M$2692""), {2,3,4,5,6,7,8,9,10,11,12,13},0))"),0.03)</f>
        <v>0.03</v>
      </c>
      <c r="Q1575" s="14">
        <f>IFERROR(__xludf.DUMMYFUNCTION("""COMPUTED_VALUE"""),0.042)</f>
        <v>0.042</v>
      </c>
      <c r="R1575" s="14">
        <f>IFERROR(__xludf.DUMMYFUNCTION("""COMPUTED_VALUE"""),68.0)</f>
        <v>68</v>
      </c>
      <c r="S1575" s="14">
        <f>IFERROR(__xludf.DUMMYFUNCTION("""COMPUTED_VALUE"""),67.0)</f>
        <v>67</v>
      </c>
      <c r="T1575" s="14">
        <f>IFERROR(__xludf.DUMMYFUNCTION("""COMPUTED_VALUE"""),0.403)</f>
        <v>0.403</v>
      </c>
      <c r="U1575" s="14">
        <f>IFERROR(__xludf.DUMMYFUNCTION("""COMPUTED_VALUE"""),0.56)</f>
        <v>0.56</v>
      </c>
      <c r="V1575" s="14">
        <f>IFERROR(__xludf.DUMMYFUNCTION("""COMPUTED_VALUE"""),0.037)</f>
        <v>0.037</v>
      </c>
      <c r="W1575" s="14">
        <f>IFERROR(__xludf.DUMMYFUNCTION("""COMPUTED_VALUE"""),107430.0)</f>
        <v>107430</v>
      </c>
      <c r="X1575" s="14">
        <f>IFERROR(__xludf.DUMMYFUNCTION("""COMPUTED_VALUE"""),0.223)</f>
        <v>0.223</v>
      </c>
      <c r="Y1575" s="14" t="str">
        <f>IFERROR(__xludf.DUMMYFUNCTION("""COMPUTED_VALUE"""),"Micronesia, Fed. Sts.-Oceania")</f>
        <v>Micronesia, Fed. Sts.-Oceania</v>
      </c>
      <c r="Z1575" s="14" t="str">
        <f>IFERROR(__xludf.DUMMYFUNCTION("""COMPUTED_VALUE"""),"Oceania")</f>
        <v>Oceania</v>
      </c>
      <c r="AA1575" s="14" t="str">
        <f>IFERROR(__xludf.DUMMYFUNCTION("""COMPUTED_VALUE"""),"2000")</f>
        <v>2000</v>
      </c>
      <c r="AB1575" s="15" t="str">
        <f>IFERROR(__xludf.DUMMYFUNCTION("ARRAYFORMULA(VLOOKUP(A1575,IMPORTRANGE(""https://docs.google.com/spreadsheets/d/1BuTWp7qHGjWhqrnf-OmePP568O4A5Am9ttzvVdP67zw/edit#gid=1931367683"" ,""ENERGY!$A$2:$F$2692""), {2,3,4,5,6},0))"),"Oceania")</f>
        <v>Oceania</v>
      </c>
      <c r="AC1575" s="14" t="str">
        <f>IFERROR(__xludf.DUMMYFUNCTION("""COMPUTED_VALUE"""),"Micronesia, Fed. Sts.-Oceania")</f>
        <v>Micronesia, Fed. Sts.-Oceania</v>
      </c>
      <c r="AD1575" s="14" t="str">
        <f>IFERROR(__xludf.DUMMYFUNCTION("""COMPUTED_VALUE"""),"2000")</f>
        <v>2000</v>
      </c>
      <c r="AE1575" s="14"/>
      <c r="AF1575" s="14"/>
    </row>
    <row r="1576">
      <c r="A1576" s="12">
        <v>1575.0</v>
      </c>
      <c r="B1576" s="12" t="s">
        <v>200</v>
      </c>
      <c r="C1576" s="5" t="s">
        <v>80</v>
      </c>
      <c r="D1576" s="8"/>
      <c r="E1576" s="8"/>
      <c r="F1576" s="8"/>
      <c r="G1576" s="8"/>
      <c r="H1576" s="11">
        <v>0.047</v>
      </c>
      <c r="I1576" s="8"/>
      <c r="J1576" s="9" t="s">
        <v>62</v>
      </c>
      <c r="K1576" s="14" t="str">
        <f>IFERROR(__xludf.DUMMYFUNCTION("ARRAYFORMULA(VLOOKUP(A1576,IMPORTRANGE(""https://docs.google.com/spreadsheets/d/1BuTWp7qHGjWhqrnf-OmePP568O4A5Am9ttzvVdP67zw/edit#gid=1603210130"", ""TOURISM!$A$2:$F$2692""), {2,3,4,5,6},0))"),"Oceania")</f>
        <v>Oceania</v>
      </c>
      <c r="L1576" s="14">
        <f>IFERROR(__xludf.DUMMYFUNCTION("""COMPUTED_VALUE"""),1.5E7)</f>
        <v>15000000</v>
      </c>
      <c r="M1576" s="14" t="str">
        <f>IFERROR(__xludf.DUMMYFUNCTION("""COMPUTED_VALUE"""),"Micronesia, Fed. Sts.-Oceania")</f>
        <v>Micronesia, Fed. Sts.-Oceania</v>
      </c>
      <c r="N1576" s="14" t="str">
        <f>IFERROR(__xludf.DUMMYFUNCTION("""COMPUTED_VALUE"""),"2001")</f>
        <v>2001</v>
      </c>
      <c r="O1576" s="14">
        <f>IFERROR(__xludf.DUMMYFUNCTION("""COMPUTED_VALUE"""),5000000.0)</f>
        <v>5000000</v>
      </c>
      <c r="P1576" s="15">
        <f>IFERROR(__xludf.DUMMYFUNCTION("ARRAYFORMULA(VLOOKUP(A1576,IMPORTRANGE(""https://docs.google.com/spreadsheets/d/1BuTWp7qHGjWhqrnf-OmePP568O4A5Am9ttzvVdP67zw/edit#gid=771602874"" ,""HUMAN RESOURCES!$A$2:$M$2692""), {2,3,4,5,6,7,8,9,10,11,12,13},0))"),0.029)</f>
        <v>0.029</v>
      </c>
      <c r="Q1576" s="14">
        <f>IFERROR(__xludf.DUMMYFUNCTION("""COMPUTED_VALUE"""),0.041)</f>
        <v>0.041</v>
      </c>
      <c r="R1576" s="14">
        <f>IFERROR(__xludf.DUMMYFUNCTION("""COMPUTED_VALUE"""),68.0)</f>
        <v>68</v>
      </c>
      <c r="S1576" s="14">
        <f>IFERROR(__xludf.DUMMYFUNCTION("""COMPUTED_VALUE"""),67.0)</f>
        <v>67</v>
      </c>
      <c r="T1576" s="14">
        <f>IFERROR(__xludf.DUMMYFUNCTION("""COMPUTED_VALUE"""),0.399)</f>
        <v>0.399</v>
      </c>
      <c r="U1576" s="14">
        <f>IFERROR(__xludf.DUMMYFUNCTION("""COMPUTED_VALUE"""),0.563)</f>
        <v>0.563</v>
      </c>
      <c r="V1576" s="14">
        <f>IFERROR(__xludf.DUMMYFUNCTION("""COMPUTED_VALUE"""),0.038)</f>
        <v>0.038</v>
      </c>
      <c r="W1576" s="14">
        <f>IFERROR(__xludf.DUMMYFUNCTION("""COMPUTED_VALUE"""),107170.0)</f>
        <v>107170</v>
      </c>
      <c r="X1576" s="14">
        <f>IFERROR(__xludf.DUMMYFUNCTION("""COMPUTED_VALUE"""),0.223)</f>
        <v>0.223</v>
      </c>
      <c r="Y1576" s="14" t="str">
        <f>IFERROR(__xludf.DUMMYFUNCTION("""COMPUTED_VALUE"""),"Micronesia, Fed. Sts.-Oceania")</f>
        <v>Micronesia, Fed. Sts.-Oceania</v>
      </c>
      <c r="Z1576" s="14" t="str">
        <f>IFERROR(__xludf.DUMMYFUNCTION("""COMPUTED_VALUE"""),"Oceania")</f>
        <v>Oceania</v>
      </c>
      <c r="AA1576" s="14" t="str">
        <f>IFERROR(__xludf.DUMMYFUNCTION("""COMPUTED_VALUE"""),"2001")</f>
        <v>2001</v>
      </c>
      <c r="AB1576" s="15" t="str">
        <f>IFERROR(__xludf.DUMMYFUNCTION("ARRAYFORMULA(VLOOKUP(A1576,IMPORTRANGE(""https://docs.google.com/spreadsheets/d/1BuTWp7qHGjWhqrnf-OmePP568O4A5Am9ttzvVdP67zw/edit#gid=1931367683"" ,""ENERGY!$A$2:$F$2692""), {2,3,4,5,6},0))"),"Oceania")</f>
        <v>Oceania</v>
      </c>
      <c r="AC1576" s="14" t="str">
        <f>IFERROR(__xludf.DUMMYFUNCTION("""COMPUTED_VALUE"""),"Micronesia, Fed. Sts.-Oceania")</f>
        <v>Micronesia, Fed. Sts.-Oceania</v>
      </c>
      <c r="AD1576" s="14" t="str">
        <f>IFERROR(__xludf.DUMMYFUNCTION("""COMPUTED_VALUE"""),"2001")</f>
        <v>2001</v>
      </c>
      <c r="AE1576" s="14"/>
      <c r="AF1576" s="14"/>
    </row>
    <row r="1577">
      <c r="A1577" s="12">
        <v>1576.0</v>
      </c>
      <c r="B1577" s="12" t="s">
        <v>200</v>
      </c>
      <c r="C1577" s="5" t="s">
        <v>80</v>
      </c>
      <c r="D1577" s="8"/>
      <c r="E1577" s="8"/>
      <c r="F1577" s="8"/>
      <c r="G1577" s="8"/>
      <c r="H1577" s="11">
        <v>0.056</v>
      </c>
      <c r="I1577" s="11">
        <v>0.001</v>
      </c>
      <c r="J1577" s="9" t="s">
        <v>63</v>
      </c>
      <c r="K1577" s="14" t="str">
        <f>IFERROR(__xludf.DUMMYFUNCTION("ARRAYFORMULA(VLOOKUP(A1577,IMPORTRANGE(""https://docs.google.com/spreadsheets/d/1BuTWp7qHGjWhqrnf-OmePP568O4A5Am9ttzvVdP67zw/edit#gid=1603210130"", ""TOURISM!$A$2:$F$2692""), {2,3,4,5,6},0))"),"Oceania")</f>
        <v>Oceania</v>
      </c>
      <c r="L1577" s="14">
        <f>IFERROR(__xludf.DUMMYFUNCTION("""COMPUTED_VALUE"""),1.7E7)</f>
        <v>17000000</v>
      </c>
      <c r="M1577" s="14" t="str">
        <f>IFERROR(__xludf.DUMMYFUNCTION("""COMPUTED_VALUE"""),"Micronesia, Fed. Sts.-Oceania")</f>
        <v>Micronesia, Fed. Sts.-Oceania</v>
      </c>
      <c r="N1577" s="14" t="str">
        <f>IFERROR(__xludf.DUMMYFUNCTION("""COMPUTED_VALUE"""),"2002")</f>
        <v>2002</v>
      </c>
      <c r="O1577" s="14">
        <f>IFERROR(__xludf.DUMMYFUNCTION("""COMPUTED_VALUE"""),5000000.0)</f>
        <v>5000000</v>
      </c>
      <c r="P1577" s="15">
        <f>IFERROR(__xludf.DUMMYFUNCTION("ARRAYFORMULA(VLOOKUP(A1577,IMPORTRANGE(""https://docs.google.com/spreadsheets/d/1BuTWp7qHGjWhqrnf-OmePP568O4A5Am9ttzvVdP67zw/edit#gid=771602874"" ,""HUMAN RESOURCES!$A$2:$M$2692""), {2,3,4,5,6,7,8,9,10,11,12,13},0))"),0.028)</f>
        <v>0.028</v>
      </c>
      <c r="Q1577" s="14">
        <f>IFERROR(__xludf.DUMMYFUNCTION("""COMPUTED_VALUE"""),0.04)</f>
        <v>0.04</v>
      </c>
      <c r="R1577" s="14">
        <f>IFERROR(__xludf.DUMMYFUNCTION("""COMPUTED_VALUE"""),68.0)</f>
        <v>68</v>
      </c>
      <c r="S1577" s="14">
        <f>IFERROR(__xludf.DUMMYFUNCTION("""COMPUTED_VALUE"""),67.0)</f>
        <v>67</v>
      </c>
      <c r="T1577" s="14">
        <f>IFERROR(__xludf.DUMMYFUNCTION("""COMPUTED_VALUE"""),0.395)</f>
        <v>0.395</v>
      </c>
      <c r="U1577" s="14">
        <f>IFERROR(__xludf.DUMMYFUNCTION("""COMPUTED_VALUE"""),0.566)</f>
        <v>0.566</v>
      </c>
      <c r="V1577" s="14">
        <f>IFERROR(__xludf.DUMMYFUNCTION("""COMPUTED_VALUE"""),0.039)</f>
        <v>0.039</v>
      </c>
      <c r="W1577" s="14">
        <f>IFERROR(__xludf.DUMMYFUNCTION("""COMPUTED_VALUE"""),106983.0)</f>
        <v>106983</v>
      </c>
      <c r="X1577" s="14">
        <f>IFERROR(__xludf.DUMMYFUNCTION("""COMPUTED_VALUE"""),0.223)</f>
        <v>0.223</v>
      </c>
      <c r="Y1577" s="14" t="str">
        <f>IFERROR(__xludf.DUMMYFUNCTION("""COMPUTED_VALUE"""),"Micronesia, Fed. Sts.-Oceania")</f>
        <v>Micronesia, Fed. Sts.-Oceania</v>
      </c>
      <c r="Z1577" s="14" t="str">
        <f>IFERROR(__xludf.DUMMYFUNCTION("""COMPUTED_VALUE"""),"Oceania")</f>
        <v>Oceania</v>
      </c>
      <c r="AA1577" s="14" t="str">
        <f>IFERROR(__xludf.DUMMYFUNCTION("""COMPUTED_VALUE"""),"2002")</f>
        <v>2002</v>
      </c>
      <c r="AB1577" s="15" t="str">
        <f>IFERROR(__xludf.DUMMYFUNCTION("ARRAYFORMULA(VLOOKUP(A1577,IMPORTRANGE(""https://docs.google.com/spreadsheets/d/1BuTWp7qHGjWhqrnf-OmePP568O4A5Am9ttzvVdP67zw/edit#gid=1931367683"" ,""ENERGY!$A$2:$F$2692""), {2,3,4,5,6},0))"),"Oceania")</f>
        <v>Oceania</v>
      </c>
      <c r="AC1577" s="14" t="str">
        <f>IFERROR(__xludf.DUMMYFUNCTION("""COMPUTED_VALUE"""),"Micronesia, Fed. Sts.-Oceania")</f>
        <v>Micronesia, Fed. Sts.-Oceania</v>
      </c>
      <c r="AD1577" s="14" t="str">
        <f>IFERROR(__xludf.DUMMYFUNCTION("""COMPUTED_VALUE"""),"2002")</f>
        <v>2002</v>
      </c>
      <c r="AE1577" s="14"/>
      <c r="AF1577" s="14">
        <f>IFERROR(__xludf.DUMMYFUNCTION("""COMPUTED_VALUE"""),103.0)</f>
        <v>103</v>
      </c>
    </row>
    <row r="1578">
      <c r="A1578" s="12">
        <v>1577.0</v>
      </c>
      <c r="B1578" s="12" t="s">
        <v>200</v>
      </c>
      <c r="C1578" s="5" t="s">
        <v>80</v>
      </c>
      <c r="D1578" s="8"/>
      <c r="E1578" s="11">
        <v>16.0</v>
      </c>
      <c r="F1578" s="8"/>
      <c r="G1578" s="8"/>
      <c r="H1578" s="11">
        <v>0.092</v>
      </c>
      <c r="I1578" s="11">
        <v>0.055</v>
      </c>
      <c r="J1578" s="9" t="s">
        <v>64</v>
      </c>
      <c r="K1578" s="14" t="str">
        <f>IFERROR(__xludf.DUMMYFUNCTION("ARRAYFORMULA(VLOOKUP(A1578,IMPORTRANGE(""https://docs.google.com/spreadsheets/d/1BuTWp7qHGjWhqrnf-OmePP568O4A5Am9ttzvVdP67zw/edit#gid=1603210130"", ""TOURISM!$A$2:$F$2692""), {2,3,4,5,6},0))"),"Oceania")</f>
        <v>Oceania</v>
      </c>
      <c r="L1578" s="14">
        <f>IFERROR(__xludf.DUMMYFUNCTION("""COMPUTED_VALUE"""),1.7E7)</f>
        <v>17000000</v>
      </c>
      <c r="M1578" s="14" t="str">
        <f>IFERROR(__xludf.DUMMYFUNCTION("""COMPUTED_VALUE"""),"Micronesia, Fed. Sts.-Oceania")</f>
        <v>Micronesia, Fed. Sts.-Oceania</v>
      </c>
      <c r="N1578" s="14" t="str">
        <f>IFERROR(__xludf.DUMMYFUNCTION("""COMPUTED_VALUE"""),"2003")</f>
        <v>2003</v>
      </c>
      <c r="O1578" s="14">
        <f>IFERROR(__xludf.DUMMYFUNCTION("""COMPUTED_VALUE"""),6000000.0)</f>
        <v>6000000</v>
      </c>
      <c r="P1578" s="15">
        <f>IFERROR(__xludf.DUMMYFUNCTION("ARRAYFORMULA(VLOOKUP(A1578,IMPORTRANGE(""https://docs.google.com/spreadsheets/d/1BuTWp7qHGjWhqrnf-OmePP568O4A5Am9ttzvVdP67zw/edit#gid=771602874"" ,""HUMAN RESOURCES!$A$2:$M$2692""), {2,3,4,5,6,7,8,9,10,11,12,13},0))"),0.028)</f>
        <v>0.028</v>
      </c>
      <c r="Q1578" s="14">
        <f>IFERROR(__xludf.DUMMYFUNCTION("""COMPUTED_VALUE"""),0.039)</f>
        <v>0.039</v>
      </c>
      <c r="R1578" s="14">
        <f>IFERROR(__xludf.DUMMYFUNCTION("""COMPUTED_VALUE"""),68.0)</f>
        <v>68</v>
      </c>
      <c r="S1578" s="14">
        <f>IFERROR(__xludf.DUMMYFUNCTION("""COMPUTED_VALUE"""),67.0)</f>
        <v>67</v>
      </c>
      <c r="T1578" s="14">
        <f>IFERROR(__xludf.DUMMYFUNCTION("""COMPUTED_VALUE"""),0.393)</f>
        <v>0.393</v>
      </c>
      <c r="U1578" s="14">
        <f>IFERROR(__xludf.DUMMYFUNCTION("""COMPUTED_VALUE"""),0.568)</f>
        <v>0.568</v>
      </c>
      <c r="V1578" s="14">
        <f>IFERROR(__xludf.DUMMYFUNCTION("""COMPUTED_VALUE"""),0.039)</f>
        <v>0.039</v>
      </c>
      <c r="W1578" s="14">
        <f>IFERROR(__xludf.DUMMYFUNCTION("""COMPUTED_VALUE"""),106816.0)</f>
        <v>106816</v>
      </c>
      <c r="X1578" s="14">
        <f>IFERROR(__xludf.DUMMYFUNCTION("""COMPUTED_VALUE"""),0.223)</f>
        <v>0.223</v>
      </c>
      <c r="Y1578" s="14" t="str">
        <f>IFERROR(__xludf.DUMMYFUNCTION("""COMPUTED_VALUE"""),"Micronesia, Fed. Sts.-Oceania")</f>
        <v>Micronesia, Fed. Sts.-Oceania</v>
      </c>
      <c r="Z1578" s="14" t="str">
        <f>IFERROR(__xludf.DUMMYFUNCTION("""COMPUTED_VALUE"""),"Oceania")</f>
        <v>Oceania</v>
      </c>
      <c r="AA1578" s="14" t="str">
        <f>IFERROR(__xludf.DUMMYFUNCTION("""COMPUTED_VALUE"""),"2003")</f>
        <v>2003</v>
      </c>
      <c r="AB1578" s="15" t="str">
        <f>IFERROR(__xludf.DUMMYFUNCTION("ARRAYFORMULA(VLOOKUP(A1578,IMPORTRANGE(""https://docs.google.com/spreadsheets/d/1BuTWp7qHGjWhqrnf-OmePP568O4A5Am9ttzvVdP67zw/edit#gid=1931367683"" ,""ENERGY!$A$2:$F$2692""), {2,3,4,5,6},0))"),"Oceania")</f>
        <v>Oceania</v>
      </c>
      <c r="AC1578" s="14" t="str">
        <f>IFERROR(__xludf.DUMMYFUNCTION("""COMPUTED_VALUE"""),"Micronesia, Fed. Sts.-Oceania")</f>
        <v>Micronesia, Fed. Sts.-Oceania</v>
      </c>
      <c r="AD1578" s="14" t="str">
        <f>IFERROR(__xludf.DUMMYFUNCTION("""COMPUTED_VALUE"""),"2003")</f>
        <v>2003</v>
      </c>
      <c r="AE1578" s="14"/>
      <c r="AF1578" s="14">
        <f>IFERROR(__xludf.DUMMYFUNCTION("""COMPUTED_VALUE"""),99.0)</f>
        <v>99</v>
      </c>
    </row>
    <row r="1579">
      <c r="A1579" s="12">
        <v>1578.0</v>
      </c>
      <c r="B1579" s="12" t="s">
        <v>200</v>
      </c>
      <c r="C1579" s="5" t="s">
        <v>80</v>
      </c>
      <c r="D1579" s="8"/>
      <c r="E1579" s="11">
        <v>16.0</v>
      </c>
      <c r="F1579" s="8"/>
      <c r="G1579" s="8"/>
      <c r="H1579" s="11">
        <v>0.11</v>
      </c>
      <c r="I1579" s="11">
        <v>0.12</v>
      </c>
      <c r="J1579" s="9" t="s">
        <v>65</v>
      </c>
      <c r="K1579" s="14" t="str">
        <f>IFERROR(__xludf.DUMMYFUNCTION("ARRAYFORMULA(VLOOKUP(A1579,IMPORTRANGE(""https://docs.google.com/spreadsheets/d/1BuTWp7qHGjWhqrnf-OmePP568O4A5Am9ttzvVdP67zw/edit#gid=1603210130"", ""TOURISM!$A$2:$F$2692""), {2,3,4,5,6},0))"),"Oceania")</f>
        <v>Oceania</v>
      </c>
      <c r="L1579" s="14">
        <f>IFERROR(__xludf.DUMMYFUNCTION("""COMPUTED_VALUE"""),1.9E7)</f>
        <v>19000000</v>
      </c>
      <c r="M1579" s="14" t="str">
        <f>IFERROR(__xludf.DUMMYFUNCTION("""COMPUTED_VALUE"""),"Micronesia, Fed. Sts.-Oceania")</f>
        <v>Micronesia, Fed. Sts.-Oceania</v>
      </c>
      <c r="N1579" s="14" t="str">
        <f>IFERROR(__xludf.DUMMYFUNCTION("""COMPUTED_VALUE"""),"2004")</f>
        <v>2004</v>
      </c>
      <c r="O1579" s="14">
        <f>IFERROR(__xludf.DUMMYFUNCTION("""COMPUTED_VALUE"""),7000000.0)</f>
        <v>7000000</v>
      </c>
      <c r="P1579" s="15">
        <f>IFERROR(__xludf.DUMMYFUNCTION("ARRAYFORMULA(VLOOKUP(A1579,IMPORTRANGE(""https://docs.google.com/spreadsheets/d/1BuTWp7qHGjWhqrnf-OmePP568O4A5Am9ttzvVdP67zw/edit#gid=771602874"" ,""HUMAN RESOURCES!$A$2:$M$2692""), {2,3,4,5,6,7,8,9,10,11,12,13},0))"),0.027)</f>
        <v>0.027</v>
      </c>
      <c r="Q1579" s="14">
        <f>IFERROR(__xludf.DUMMYFUNCTION("""COMPUTED_VALUE"""),0.038)</f>
        <v>0.038</v>
      </c>
      <c r="R1579" s="14">
        <f>IFERROR(__xludf.DUMMYFUNCTION("""COMPUTED_VALUE"""),68.0)</f>
        <v>68</v>
      </c>
      <c r="S1579" s="14">
        <f>IFERROR(__xludf.DUMMYFUNCTION("""COMPUTED_VALUE"""),67.0)</f>
        <v>67</v>
      </c>
      <c r="T1579" s="14">
        <f>IFERROR(__xludf.DUMMYFUNCTION("""COMPUTED_VALUE"""),0.391)</f>
        <v>0.391</v>
      </c>
      <c r="U1579" s="14">
        <f>IFERROR(__xludf.DUMMYFUNCTION("""COMPUTED_VALUE"""),0.57)</f>
        <v>0.57</v>
      </c>
      <c r="V1579" s="14">
        <f>IFERROR(__xludf.DUMMYFUNCTION("""COMPUTED_VALUE"""),0.04)</f>
        <v>0.04</v>
      </c>
      <c r="W1579" s="14">
        <f>IFERROR(__xludf.DUMMYFUNCTION("""COMPUTED_VALUE"""),106575.0)</f>
        <v>106575</v>
      </c>
      <c r="X1579" s="14">
        <f>IFERROR(__xludf.DUMMYFUNCTION("""COMPUTED_VALUE"""),0.223)</f>
        <v>0.223</v>
      </c>
      <c r="Y1579" s="14" t="str">
        <f>IFERROR(__xludf.DUMMYFUNCTION("""COMPUTED_VALUE"""),"Micronesia, Fed. Sts.-Oceania")</f>
        <v>Micronesia, Fed. Sts.-Oceania</v>
      </c>
      <c r="Z1579" s="14" t="str">
        <f>IFERROR(__xludf.DUMMYFUNCTION("""COMPUTED_VALUE"""),"Oceania")</f>
        <v>Oceania</v>
      </c>
      <c r="AA1579" s="14" t="str">
        <f>IFERROR(__xludf.DUMMYFUNCTION("""COMPUTED_VALUE"""),"2004")</f>
        <v>2004</v>
      </c>
      <c r="AB1579" s="15" t="str">
        <f>IFERROR(__xludf.DUMMYFUNCTION("ARRAYFORMULA(VLOOKUP(A1579,IMPORTRANGE(""https://docs.google.com/spreadsheets/d/1BuTWp7qHGjWhqrnf-OmePP568O4A5Am9ttzvVdP67zw/edit#gid=1931367683"" ,""ENERGY!$A$2:$F$2692""), {2,3,4,5,6},0))"),"Oceania")</f>
        <v>Oceania</v>
      </c>
      <c r="AC1579" s="14" t="str">
        <f>IFERROR(__xludf.DUMMYFUNCTION("""COMPUTED_VALUE"""),"Micronesia, Fed. Sts.-Oceania")</f>
        <v>Micronesia, Fed. Sts.-Oceania</v>
      </c>
      <c r="AD1579" s="14" t="str">
        <f>IFERROR(__xludf.DUMMYFUNCTION("""COMPUTED_VALUE"""),"2004")</f>
        <v>2004</v>
      </c>
      <c r="AE1579" s="14"/>
      <c r="AF1579" s="14">
        <f>IFERROR(__xludf.DUMMYFUNCTION("""COMPUTED_VALUE"""),99.0)</f>
        <v>99</v>
      </c>
    </row>
    <row r="1580">
      <c r="A1580" s="12">
        <v>1579.0</v>
      </c>
      <c r="B1580" s="12" t="s">
        <v>200</v>
      </c>
      <c r="C1580" s="5" t="s">
        <v>80</v>
      </c>
      <c r="D1580" s="11">
        <v>0.596</v>
      </c>
      <c r="E1580" s="11">
        <v>16.0</v>
      </c>
      <c r="F1580" s="8"/>
      <c r="G1580" s="11">
        <v>128.0</v>
      </c>
      <c r="H1580" s="11">
        <v>0.119</v>
      </c>
      <c r="I1580" s="11">
        <v>0.133</v>
      </c>
      <c r="J1580" s="9" t="s">
        <v>66</v>
      </c>
      <c r="K1580" s="14" t="str">
        <f>IFERROR(__xludf.DUMMYFUNCTION("ARRAYFORMULA(VLOOKUP(A1580,IMPORTRANGE(""https://docs.google.com/spreadsheets/d/1BuTWp7qHGjWhqrnf-OmePP568O4A5Am9ttzvVdP67zw/edit#gid=1603210130"", ""TOURISM!$A$2:$F$2692""), {2,3,4,5,6},0))"),"Oceania")</f>
        <v>Oceania</v>
      </c>
      <c r="L1580" s="14">
        <f>IFERROR(__xludf.DUMMYFUNCTION("""COMPUTED_VALUE"""),2.1E7)</f>
        <v>21000000</v>
      </c>
      <c r="M1580" s="14" t="str">
        <f>IFERROR(__xludf.DUMMYFUNCTION("""COMPUTED_VALUE"""),"Micronesia, Fed. Sts.-Oceania")</f>
        <v>Micronesia, Fed. Sts.-Oceania</v>
      </c>
      <c r="N1580" s="14" t="str">
        <f>IFERROR(__xludf.DUMMYFUNCTION("""COMPUTED_VALUE"""),"2005")</f>
        <v>2005</v>
      </c>
      <c r="O1580" s="14">
        <f>IFERROR(__xludf.DUMMYFUNCTION("""COMPUTED_VALUE"""),7000000.0)</f>
        <v>7000000</v>
      </c>
      <c r="P1580" s="15">
        <f>IFERROR(__xludf.DUMMYFUNCTION("ARRAYFORMULA(VLOOKUP(A1580,IMPORTRANGE(""https://docs.google.com/spreadsheets/d/1BuTWp7qHGjWhqrnf-OmePP568O4A5Am9ttzvVdP67zw/edit#gid=771602874"" ,""HUMAN RESOURCES!$A$2:$M$2692""), {2,3,4,5,6,7,8,9,10,11,12,13},0))"),0.026)</f>
        <v>0.026</v>
      </c>
      <c r="Q1580" s="14">
        <f>IFERROR(__xludf.DUMMYFUNCTION("""COMPUTED_VALUE"""),0.037)</f>
        <v>0.037</v>
      </c>
      <c r="R1580" s="14">
        <f>IFERROR(__xludf.DUMMYFUNCTION("""COMPUTED_VALUE"""),69.0)</f>
        <v>69</v>
      </c>
      <c r="S1580" s="14">
        <f>IFERROR(__xludf.DUMMYFUNCTION("""COMPUTED_VALUE"""),67.0)</f>
        <v>67</v>
      </c>
      <c r="T1580" s="14">
        <f>IFERROR(__xludf.DUMMYFUNCTION("""COMPUTED_VALUE"""),0.388)</f>
        <v>0.388</v>
      </c>
      <c r="U1580" s="14">
        <f>IFERROR(__xludf.DUMMYFUNCTION("""COMPUTED_VALUE"""),0.572)</f>
        <v>0.572</v>
      </c>
      <c r="V1580" s="14">
        <f>IFERROR(__xludf.DUMMYFUNCTION("""COMPUTED_VALUE"""),0.04)</f>
        <v>0.04</v>
      </c>
      <c r="W1580" s="14">
        <f>IFERROR(__xludf.DUMMYFUNCTION("""COMPUTED_VALUE"""),106198.0)</f>
        <v>106198</v>
      </c>
      <c r="X1580" s="14">
        <f>IFERROR(__xludf.DUMMYFUNCTION("""COMPUTED_VALUE"""),0.223)</f>
        <v>0.223</v>
      </c>
      <c r="Y1580" s="14" t="str">
        <f>IFERROR(__xludf.DUMMYFUNCTION("""COMPUTED_VALUE"""),"Micronesia, Fed. Sts.-Oceania")</f>
        <v>Micronesia, Fed. Sts.-Oceania</v>
      </c>
      <c r="Z1580" s="14" t="str">
        <f>IFERROR(__xludf.DUMMYFUNCTION("""COMPUTED_VALUE"""),"Oceania")</f>
        <v>Oceania</v>
      </c>
      <c r="AA1580" s="14" t="str">
        <f>IFERROR(__xludf.DUMMYFUNCTION("""COMPUTED_VALUE"""),"2005")</f>
        <v>2005</v>
      </c>
      <c r="AB1580" s="15" t="str">
        <f>IFERROR(__xludf.DUMMYFUNCTION("ARRAYFORMULA(VLOOKUP(A1580,IMPORTRANGE(""https://docs.google.com/spreadsheets/d/1BuTWp7qHGjWhqrnf-OmePP568O4A5Am9ttzvVdP67zw/edit#gid=1931367683"" ,""ENERGY!$A$2:$F$2692""), {2,3,4,5,6},0))"),"Oceania")</f>
        <v>Oceania</v>
      </c>
      <c r="AC1580" s="14" t="str">
        <f>IFERROR(__xludf.DUMMYFUNCTION("""COMPUTED_VALUE"""),"Micronesia, Fed. Sts.-Oceania")</f>
        <v>Micronesia, Fed. Sts.-Oceania</v>
      </c>
      <c r="AD1580" s="14" t="str">
        <f>IFERROR(__xludf.DUMMYFUNCTION("""COMPUTED_VALUE"""),"2007")</f>
        <v>2007</v>
      </c>
      <c r="AE1580" s="14"/>
      <c r="AF1580" s="14">
        <f>IFERROR(__xludf.DUMMYFUNCTION("""COMPUTED_VALUE"""),99.0)</f>
        <v>99</v>
      </c>
    </row>
    <row r="1581">
      <c r="A1581" s="12">
        <v>1580.0</v>
      </c>
      <c r="B1581" s="12" t="s">
        <v>200</v>
      </c>
      <c r="C1581" s="5" t="s">
        <v>80</v>
      </c>
      <c r="D1581" s="11">
        <v>0.596</v>
      </c>
      <c r="E1581" s="11">
        <v>16.0</v>
      </c>
      <c r="F1581" s="8"/>
      <c r="G1581" s="11">
        <v>128.0</v>
      </c>
      <c r="H1581" s="11">
        <v>0.128</v>
      </c>
      <c r="I1581" s="11">
        <v>0.176</v>
      </c>
      <c r="J1581" s="9" t="s">
        <v>67</v>
      </c>
      <c r="K1581" s="14" t="str">
        <f>IFERROR(__xludf.DUMMYFUNCTION("ARRAYFORMULA(VLOOKUP(A1581,IMPORTRANGE(""https://docs.google.com/spreadsheets/d/1BuTWp7qHGjWhqrnf-OmePP568O4A5Am9ttzvVdP67zw/edit#gid=1603210130"", ""TOURISM!$A$2:$F$2692""), {2,3,4,5,6},0))"),"Oceania")</f>
        <v>Oceania</v>
      </c>
      <c r="L1581" s="14">
        <f>IFERROR(__xludf.DUMMYFUNCTION("""COMPUTED_VALUE"""),2.3E7)</f>
        <v>23000000</v>
      </c>
      <c r="M1581" s="14" t="str">
        <f>IFERROR(__xludf.DUMMYFUNCTION("""COMPUTED_VALUE"""),"Micronesia, Fed. Sts.-Oceania")</f>
        <v>Micronesia, Fed. Sts.-Oceania</v>
      </c>
      <c r="N1581" s="14" t="str">
        <f>IFERROR(__xludf.DUMMYFUNCTION("""COMPUTED_VALUE"""),"2006")</f>
        <v>2006</v>
      </c>
      <c r="O1581" s="14">
        <f>IFERROR(__xludf.DUMMYFUNCTION("""COMPUTED_VALUE"""),7000000.0)</f>
        <v>7000000</v>
      </c>
      <c r="P1581" s="15">
        <f>IFERROR(__xludf.DUMMYFUNCTION("ARRAYFORMULA(VLOOKUP(A1581,IMPORTRANGE(""https://docs.google.com/spreadsheets/d/1BuTWp7qHGjWhqrnf-OmePP568O4A5Am9ttzvVdP67zw/edit#gid=771602874"" ,""HUMAN RESOURCES!$A$2:$M$2692""), {2,3,4,5,6,7,8,9,10,11,12,13},0))"),0.025)</f>
        <v>0.025</v>
      </c>
      <c r="Q1581" s="14">
        <f>IFERROR(__xludf.DUMMYFUNCTION("""COMPUTED_VALUE"""),0.036)</f>
        <v>0.036</v>
      </c>
      <c r="R1581" s="14">
        <f>IFERROR(__xludf.DUMMYFUNCTION("""COMPUTED_VALUE"""),69.0)</f>
        <v>69</v>
      </c>
      <c r="S1581" s="14">
        <f>IFERROR(__xludf.DUMMYFUNCTION("""COMPUTED_VALUE"""),67.0)</f>
        <v>67</v>
      </c>
      <c r="T1581" s="14">
        <f>IFERROR(__xludf.DUMMYFUNCTION("""COMPUTED_VALUE"""),0.385)</f>
        <v>0.385</v>
      </c>
      <c r="U1581" s="14">
        <f>IFERROR(__xludf.DUMMYFUNCTION("""COMPUTED_VALUE"""),0.575)</f>
        <v>0.575</v>
      </c>
      <c r="V1581" s="14">
        <f>IFERROR(__xludf.DUMMYFUNCTION("""COMPUTED_VALUE"""),0.04)</f>
        <v>0.04</v>
      </c>
      <c r="W1581" s="14">
        <f>IFERROR(__xludf.DUMMYFUNCTION("""COMPUTED_VALUE"""),105686.0)</f>
        <v>105686</v>
      </c>
      <c r="X1581" s="14">
        <f>IFERROR(__xludf.DUMMYFUNCTION("""COMPUTED_VALUE"""),0.223)</f>
        <v>0.223</v>
      </c>
      <c r="Y1581" s="14" t="str">
        <f>IFERROR(__xludf.DUMMYFUNCTION("""COMPUTED_VALUE"""),"Micronesia, Fed. Sts.-Oceania")</f>
        <v>Micronesia, Fed. Sts.-Oceania</v>
      </c>
      <c r="Z1581" s="14" t="str">
        <f>IFERROR(__xludf.DUMMYFUNCTION("""COMPUTED_VALUE"""),"Oceania")</f>
        <v>Oceania</v>
      </c>
      <c r="AA1581" s="14" t="str">
        <f>IFERROR(__xludf.DUMMYFUNCTION("""COMPUTED_VALUE"""),"2006")</f>
        <v>2006</v>
      </c>
      <c r="AB1581" s="15" t="str">
        <f>IFERROR(__xludf.DUMMYFUNCTION("ARRAYFORMULA(VLOOKUP(A1581,IMPORTRANGE(""https://docs.google.com/spreadsheets/d/1BuTWp7qHGjWhqrnf-OmePP568O4A5Am9ttzvVdP67zw/edit#gid=1931367683"" ,""ENERGY!$A$2:$F$2692""), {2,3,4,5,6},0))"),"Oceania")</f>
        <v>Oceania</v>
      </c>
      <c r="AC1581" s="14" t="str">
        <f>IFERROR(__xludf.DUMMYFUNCTION("""COMPUTED_VALUE"""),"Micronesia, Fed. Sts.-Oceania")</f>
        <v>Micronesia, Fed. Sts.-Oceania</v>
      </c>
      <c r="AD1581" s="14" t="str">
        <f>IFERROR(__xludf.DUMMYFUNCTION("""COMPUTED_VALUE"""),"2011")</f>
        <v>2011</v>
      </c>
      <c r="AE1581" s="14"/>
      <c r="AF1581" s="14">
        <f>IFERROR(__xludf.DUMMYFUNCTION("""COMPUTED_VALUE"""),103.0)</f>
        <v>103</v>
      </c>
    </row>
    <row r="1582">
      <c r="A1582" s="12">
        <v>1581.0</v>
      </c>
      <c r="B1582" s="12" t="s">
        <v>200</v>
      </c>
      <c r="C1582" s="5" t="s">
        <v>80</v>
      </c>
      <c r="D1582" s="11">
        <v>0.587</v>
      </c>
      <c r="E1582" s="11">
        <v>16.0</v>
      </c>
      <c r="F1582" s="8"/>
      <c r="G1582" s="11">
        <v>128.0</v>
      </c>
      <c r="H1582" s="11">
        <v>0.136</v>
      </c>
      <c r="I1582" s="11">
        <v>0.261</v>
      </c>
      <c r="J1582" s="9" t="s">
        <v>68</v>
      </c>
      <c r="K1582" s="14" t="str">
        <f>IFERROR(__xludf.DUMMYFUNCTION("ARRAYFORMULA(VLOOKUP(A1582,IMPORTRANGE(""https://docs.google.com/spreadsheets/d/1BuTWp7qHGjWhqrnf-OmePP568O4A5Am9ttzvVdP67zw/edit#gid=1603210130"", ""TOURISM!$A$2:$F$2692""), {2,3,4,5,6},0))"),"Oceania")</f>
        <v>Oceania</v>
      </c>
      <c r="L1582" s="14">
        <f>IFERROR(__xludf.DUMMYFUNCTION("""COMPUTED_VALUE"""),2.5E7)</f>
        <v>25000000</v>
      </c>
      <c r="M1582" s="14" t="str">
        <f>IFERROR(__xludf.DUMMYFUNCTION("""COMPUTED_VALUE"""),"Micronesia, Fed. Sts.-Oceania")</f>
        <v>Micronesia, Fed. Sts.-Oceania</v>
      </c>
      <c r="N1582" s="14" t="str">
        <f>IFERROR(__xludf.DUMMYFUNCTION("""COMPUTED_VALUE"""),"2007")</f>
        <v>2007</v>
      </c>
      <c r="O1582" s="14">
        <f>IFERROR(__xludf.DUMMYFUNCTION("""COMPUTED_VALUE"""),7000000.0)</f>
        <v>7000000</v>
      </c>
      <c r="P1582" s="15">
        <f>IFERROR(__xludf.DUMMYFUNCTION("ARRAYFORMULA(VLOOKUP(A1582,IMPORTRANGE(""https://docs.google.com/spreadsheets/d/1BuTWp7qHGjWhqrnf-OmePP568O4A5Am9ttzvVdP67zw/edit#gid=771602874"" ,""HUMAN RESOURCES!$A$2:$M$2692""), {2,3,4,5,6,7,8,9,10,11,12,13},0))"),0.025)</f>
        <v>0.025</v>
      </c>
      <c r="Q1582" s="14">
        <f>IFERROR(__xludf.DUMMYFUNCTION("""COMPUTED_VALUE"""),0.035)</f>
        <v>0.035</v>
      </c>
      <c r="R1582" s="14">
        <f>IFERROR(__xludf.DUMMYFUNCTION("""COMPUTED_VALUE"""),69.0)</f>
        <v>69</v>
      </c>
      <c r="S1582" s="14">
        <f>IFERROR(__xludf.DUMMYFUNCTION("""COMPUTED_VALUE"""),67.0)</f>
        <v>67</v>
      </c>
      <c r="T1582" s="14">
        <f>IFERROR(__xludf.DUMMYFUNCTION("""COMPUTED_VALUE"""),0.382)</f>
        <v>0.382</v>
      </c>
      <c r="U1582" s="14">
        <f>IFERROR(__xludf.DUMMYFUNCTION("""COMPUTED_VALUE"""),0.579)</f>
        <v>0.579</v>
      </c>
      <c r="V1582" s="14">
        <f>IFERROR(__xludf.DUMMYFUNCTION("""COMPUTED_VALUE"""),0.039)</f>
        <v>0.039</v>
      </c>
      <c r="W1582" s="14">
        <f>IFERROR(__xludf.DUMMYFUNCTION("""COMPUTED_VALUE"""),105097.0)</f>
        <v>105097</v>
      </c>
      <c r="X1582" s="14">
        <f>IFERROR(__xludf.DUMMYFUNCTION("""COMPUTED_VALUE"""),0.223)</f>
        <v>0.223</v>
      </c>
      <c r="Y1582" s="14" t="str">
        <f>IFERROR(__xludf.DUMMYFUNCTION("""COMPUTED_VALUE"""),"Micronesia, Fed. Sts.-Oceania")</f>
        <v>Micronesia, Fed. Sts.-Oceania</v>
      </c>
      <c r="Z1582" s="14" t="str">
        <f>IFERROR(__xludf.DUMMYFUNCTION("""COMPUTED_VALUE"""),"Oceania")</f>
        <v>Oceania</v>
      </c>
      <c r="AA1582" s="14" t="str">
        <f>IFERROR(__xludf.DUMMYFUNCTION("""COMPUTED_VALUE"""),"2007")</f>
        <v>2007</v>
      </c>
      <c r="AB1582" s="15" t="str">
        <f>IFERROR(__xludf.DUMMYFUNCTION("ARRAYFORMULA(VLOOKUP(A1582,IMPORTRANGE(""https://docs.google.com/spreadsheets/d/1BuTWp7qHGjWhqrnf-OmePP568O4A5Am9ttzvVdP67zw/edit#gid=1931367683"" ,""ENERGY!$A$2:$F$2692""), {2,3,4,5,6},0))"),"Oceania")</f>
        <v>Oceania</v>
      </c>
      <c r="AC1582" s="14" t="str">
        <f>IFERROR(__xludf.DUMMYFUNCTION("""COMPUTED_VALUE"""),"Micronesia, Fed. Sts.-Oceania")</f>
        <v>Micronesia, Fed. Sts.-Oceania</v>
      </c>
      <c r="AD1582" s="14" t="str">
        <f>IFERROR(__xludf.DUMMYFUNCTION("""COMPUTED_VALUE"""),"2009")</f>
        <v>2009</v>
      </c>
      <c r="AE1582" s="14"/>
      <c r="AF1582" s="14">
        <f>IFERROR(__xludf.DUMMYFUNCTION("""COMPUTED_VALUE"""),117.0)</f>
        <v>117</v>
      </c>
    </row>
    <row r="1583">
      <c r="A1583" s="12">
        <v>1582.0</v>
      </c>
      <c r="B1583" s="12" t="s">
        <v>200</v>
      </c>
      <c r="C1583" s="5" t="s">
        <v>80</v>
      </c>
      <c r="D1583" s="11">
        <v>0.587</v>
      </c>
      <c r="E1583" s="11">
        <v>16.0</v>
      </c>
      <c r="F1583" s="8"/>
      <c r="G1583" s="11">
        <v>128.0</v>
      </c>
      <c r="H1583" s="11">
        <v>0.145</v>
      </c>
      <c r="I1583" s="11">
        <v>0.263</v>
      </c>
      <c r="J1583" s="9" t="s">
        <v>69</v>
      </c>
      <c r="K1583" s="14" t="str">
        <f>IFERROR(__xludf.DUMMYFUNCTION("ARRAYFORMULA(VLOOKUP(A1583,IMPORTRANGE(""https://docs.google.com/spreadsheets/d/1BuTWp7qHGjWhqrnf-OmePP568O4A5Am9ttzvVdP67zw/edit#gid=1603210130"", ""TOURISM!$A$2:$F$2692""), {2,3,4,5,6},0))"),"Oceania")</f>
        <v>Oceania</v>
      </c>
      <c r="L1583" s="14">
        <f>IFERROR(__xludf.DUMMYFUNCTION("""COMPUTED_VALUE"""),2.7E7)</f>
        <v>27000000</v>
      </c>
      <c r="M1583" s="14" t="str">
        <f>IFERROR(__xludf.DUMMYFUNCTION("""COMPUTED_VALUE"""),"Micronesia, Fed. Sts.-Oceania")</f>
        <v>Micronesia, Fed. Sts.-Oceania</v>
      </c>
      <c r="N1583" s="14" t="str">
        <f>IFERROR(__xludf.DUMMYFUNCTION("""COMPUTED_VALUE"""),"2008")</f>
        <v>2008</v>
      </c>
      <c r="O1583" s="14">
        <f>IFERROR(__xludf.DUMMYFUNCTION("""COMPUTED_VALUE"""),7000000.0)</f>
        <v>7000000</v>
      </c>
      <c r="P1583" s="15">
        <f>IFERROR(__xludf.DUMMYFUNCTION("ARRAYFORMULA(VLOOKUP(A1583,IMPORTRANGE(""https://docs.google.com/spreadsheets/d/1BuTWp7qHGjWhqrnf-OmePP568O4A5Am9ttzvVdP67zw/edit#gid=771602874"" ,""HUMAN RESOURCES!$A$2:$M$2692""), {2,3,4,5,6,7,8,9,10,11,12,13},0))"),0.024)</f>
        <v>0.024</v>
      </c>
      <c r="Q1583" s="14">
        <f>IFERROR(__xludf.DUMMYFUNCTION("""COMPUTED_VALUE"""),0.034)</f>
        <v>0.034</v>
      </c>
      <c r="R1583" s="14">
        <f>IFERROR(__xludf.DUMMYFUNCTION("""COMPUTED_VALUE"""),69.0)</f>
        <v>69</v>
      </c>
      <c r="S1583" s="14">
        <f>IFERROR(__xludf.DUMMYFUNCTION("""COMPUTED_VALUE"""),68.0)</f>
        <v>68</v>
      </c>
      <c r="T1583" s="14">
        <f>IFERROR(__xludf.DUMMYFUNCTION("""COMPUTED_VALUE"""),0.378)</f>
        <v>0.378</v>
      </c>
      <c r="U1583" s="14">
        <f>IFERROR(__xludf.DUMMYFUNCTION("""COMPUTED_VALUE"""),0.583)</f>
        <v>0.583</v>
      </c>
      <c r="V1583" s="14">
        <f>IFERROR(__xludf.DUMMYFUNCTION("""COMPUTED_VALUE"""),0.039)</f>
        <v>0.039</v>
      </c>
      <c r="W1583" s="14">
        <f>IFERROR(__xludf.DUMMYFUNCTION("""COMPUTED_VALUE"""),104498.0)</f>
        <v>104498</v>
      </c>
      <c r="X1583" s="14">
        <f>IFERROR(__xludf.DUMMYFUNCTION("""COMPUTED_VALUE"""),0.223)</f>
        <v>0.223</v>
      </c>
      <c r="Y1583" s="14" t="str">
        <f>IFERROR(__xludf.DUMMYFUNCTION("""COMPUTED_VALUE"""),"Micronesia, Fed. Sts.-Oceania")</f>
        <v>Micronesia, Fed. Sts.-Oceania</v>
      </c>
      <c r="Z1583" s="14" t="str">
        <f>IFERROR(__xludf.DUMMYFUNCTION("""COMPUTED_VALUE"""),"Oceania")</f>
        <v>Oceania</v>
      </c>
      <c r="AA1583" s="14" t="str">
        <f>IFERROR(__xludf.DUMMYFUNCTION("""COMPUTED_VALUE"""),"2008")</f>
        <v>2008</v>
      </c>
      <c r="AB1583" s="15" t="str">
        <f>IFERROR(__xludf.DUMMYFUNCTION("ARRAYFORMULA(VLOOKUP(A1583,IMPORTRANGE(""https://docs.google.com/spreadsheets/d/1BuTWp7qHGjWhqrnf-OmePP568O4A5Am9ttzvVdP67zw/edit#gid=1931367683"" ,""ENERGY!$A$2:$F$2692""), {2,3,4,5,6},0))"),"Oceania")</f>
        <v>Oceania</v>
      </c>
      <c r="AC1583" s="14" t="str">
        <f>IFERROR(__xludf.DUMMYFUNCTION("""COMPUTED_VALUE"""),"Micronesia, Fed. Sts.-Oceania")</f>
        <v>Micronesia, Fed. Sts.-Oceania</v>
      </c>
      <c r="AD1583" s="14" t="str">
        <f>IFERROR(__xludf.DUMMYFUNCTION("""COMPUTED_VALUE"""),"2006")</f>
        <v>2006</v>
      </c>
      <c r="AE1583" s="14"/>
      <c r="AF1583" s="14">
        <f>IFERROR(__xludf.DUMMYFUNCTION("""COMPUTED_VALUE"""),147.0)</f>
        <v>147</v>
      </c>
    </row>
    <row r="1584">
      <c r="A1584" s="12">
        <v>1583.0</v>
      </c>
      <c r="B1584" s="12" t="s">
        <v>200</v>
      </c>
      <c r="C1584" s="5" t="s">
        <v>80</v>
      </c>
      <c r="D1584" s="11">
        <v>0.587</v>
      </c>
      <c r="E1584" s="11">
        <v>16.0</v>
      </c>
      <c r="F1584" s="8"/>
      <c r="G1584" s="11">
        <v>128.0</v>
      </c>
      <c r="H1584" s="11">
        <v>0.154</v>
      </c>
      <c r="I1584" s="11">
        <v>0.264</v>
      </c>
      <c r="J1584" s="9" t="s">
        <v>70</v>
      </c>
      <c r="K1584" s="14" t="str">
        <f>IFERROR(__xludf.DUMMYFUNCTION("ARRAYFORMULA(VLOOKUP(A1584,IMPORTRANGE(""https://docs.google.com/spreadsheets/d/1BuTWp7qHGjWhqrnf-OmePP568O4A5Am9ttzvVdP67zw/edit#gid=1603210130"", ""TOURISM!$A$2:$F$2692""), {2,3,4,5,6},0))"),"Oceania")</f>
        <v>Oceania</v>
      </c>
      <c r="L1584" s="14">
        <f>IFERROR(__xludf.DUMMYFUNCTION("""COMPUTED_VALUE"""),2.7E7)</f>
        <v>27000000</v>
      </c>
      <c r="M1584" s="14" t="str">
        <f>IFERROR(__xludf.DUMMYFUNCTION("""COMPUTED_VALUE"""),"Micronesia, Fed. Sts.-Oceania")</f>
        <v>Micronesia, Fed. Sts.-Oceania</v>
      </c>
      <c r="N1584" s="14" t="str">
        <f>IFERROR(__xludf.DUMMYFUNCTION("""COMPUTED_VALUE"""),"2009")</f>
        <v>2009</v>
      </c>
      <c r="O1584" s="14">
        <f>IFERROR(__xludf.DUMMYFUNCTION("""COMPUTED_VALUE"""),8000000.0)</f>
        <v>8000000</v>
      </c>
      <c r="P1584" s="15">
        <f>IFERROR(__xludf.DUMMYFUNCTION("ARRAYFORMULA(VLOOKUP(A1584,IMPORTRANGE(""https://docs.google.com/spreadsheets/d/1BuTWp7qHGjWhqrnf-OmePP568O4A5Am9ttzvVdP67zw/edit#gid=771602874"" ,""HUMAN RESOURCES!$A$2:$M$2692""), {2,3,4,5,6,7,8,9,10,11,12,13},0))"),0.024)</f>
        <v>0.024</v>
      </c>
      <c r="Q1584" s="14">
        <f>IFERROR(__xludf.DUMMYFUNCTION("""COMPUTED_VALUE"""),0.033)</f>
        <v>0.033</v>
      </c>
      <c r="R1584" s="14">
        <f>IFERROR(__xludf.DUMMYFUNCTION("""COMPUTED_VALUE"""),69.0)</f>
        <v>69</v>
      </c>
      <c r="S1584" s="14">
        <f>IFERROR(__xludf.DUMMYFUNCTION("""COMPUTED_VALUE"""),68.0)</f>
        <v>68</v>
      </c>
      <c r="T1584" s="14">
        <f>IFERROR(__xludf.DUMMYFUNCTION("""COMPUTED_VALUE"""),0.374)</f>
        <v>0.374</v>
      </c>
      <c r="U1584" s="14">
        <f>IFERROR(__xludf.DUMMYFUNCTION("""COMPUTED_VALUE"""),0.588)</f>
        <v>0.588</v>
      </c>
      <c r="V1584" s="14">
        <f>IFERROR(__xludf.DUMMYFUNCTION("""COMPUTED_VALUE"""),0.039)</f>
        <v>0.039</v>
      </c>
      <c r="W1584" s="14">
        <f>IFERROR(__xludf.DUMMYFUNCTION("""COMPUTED_VALUE"""),103983.0)</f>
        <v>103983</v>
      </c>
      <c r="X1584" s="14">
        <f>IFERROR(__xludf.DUMMYFUNCTION("""COMPUTED_VALUE"""),0.223)</f>
        <v>0.223</v>
      </c>
      <c r="Y1584" s="14" t="str">
        <f>IFERROR(__xludf.DUMMYFUNCTION("""COMPUTED_VALUE"""),"Micronesia, Fed. Sts.-Oceania")</f>
        <v>Micronesia, Fed. Sts.-Oceania</v>
      </c>
      <c r="Z1584" s="14" t="str">
        <f>IFERROR(__xludf.DUMMYFUNCTION("""COMPUTED_VALUE"""),"Oceania")</f>
        <v>Oceania</v>
      </c>
      <c r="AA1584" s="14" t="str">
        <f>IFERROR(__xludf.DUMMYFUNCTION("""COMPUTED_VALUE"""),"2009")</f>
        <v>2009</v>
      </c>
      <c r="AB1584" s="15" t="str">
        <f>IFERROR(__xludf.DUMMYFUNCTION("ARRAYFORMULA(VLOOKUP(A1584,IMPORTRANGE(""https://docs.google.com/spreadsheets/d/1BuTWp7qHGjWhqrnf-OmePP568O4A5Am9ttzvVdP67zw/edit#gid=1931367683"" ,""ENERGY!$A$2:$F$2692""), {2,3,4,5,6},0))"),"Oceania")</f>
        <v>Oceania</v>
      </c>
      <c r="AC1584" s="14" t="str">
        <f>IFERROR(__xludf.DUMMYFUNCTION("""COMPUTED_VALUE"""),"Micronesia, Fed. Sts.-Oceania")</f>
        <v>Micronesia, Fed. Sts.-Oceania</v>
      </c>
      <c r="AD1584" s="14" t="str">
        <f>IFERROR(__xludf.DUMMYFUNCTION("""COMPUTED_VALUE"""),"2011")</f>
        <v>2011</v>
      </c>
      <c r="AE1584" s="14"/>
      <c r="AF1584" s="14">
        <f>IFERROR(__xludf.DUMMYFUNCTION("""COMPUTED_VALUE"""),147.0)</f>
        <v>147</v>
      </c>
    </row>
    <row r="1585">
      <c r="A1585" s="12">
        <v>1584.0</v>
      </c>
      <c r="B1585" s="12" t="s">
        <v>200</v>
      </c>
      <c r="C1585" s="5" t="s">
        <v>80</v>
      </c>
      <c r="D1585" s="11">
        <v>0.587</v>
      </c>
      <c r="E1585" s="11">
        <v>16.0</v>
      </c>
      <c r="F1585" s="8"/>
      <c r="G1585" s="11">
        <v>128.0</v>
      </c>
      <c r="H1585" s="11">
        <v>0.2</v>
      </c>
      <c r="I1585" s="11">
        <v>0.266</v>
      </c>
      <c r="J1585" s="9" t="s">
        <v>71</v>
      </c>
      <c r="K1585" s="14" t="str">
        <f>IFERROR(__xludf.DUMMYFUNCTION("ARRAYFORMULA(VLOOKUP(A1585,IMPORTRANGE(""https://docs.google.com/spreadsheets/d/1BuTWp7qHGjWhqrnf-OmePP568O4A5Am9ttzvVdP67zw/edit#gid=1603210130"", ""TOURISM!$A$2:$F$2692""), {2,3,4,5,6},0))"),"Oceania")</f>
        <v>Oceania</v>
      </c>
      <c r="L1585" s="14">
        <f>IFERROR(__xludf.DUMMYFUNCTION("""COMPUTED_VALUE"""),2.9E7)</f>
        <v>29000000</v>
      </c>
      <c r="M1585" s="14" t="str">
        <f>IFERROR(__xludf.DUMMYFUNCTION("""COMPUTED_VALUE"""),"Micronesia, Fed. Sts.-Oceania")</f>
        <v>Micronesia, Fed. Sts.-Oceania</v>
      </c>
      <c r="N1585" s="14" t="str">
        <f>IFERROR(__xludf.DUMMYFUNCTION("""COMPUTED_VALUE"""),"2010")</f>
        <v>2010</v>
      </c>
      <c r="O1585" s="14">
        <f>IFERROR(__xludf.DUMMYFUNCTION("""COMPUTED_VALUE"""),8000000.0)</f>
        <v>8000000</v>
      </c>
      <c r="P1585" s="15">
        <f>IFERROR(__xludf.DUMMYFUNCTION("ARRAYFORMULA(VLOOKUP(A1585,IMPORTRANGE(""https://docs.google.com/spreadsheets/d/1BuTWp7qHGjWhqrnf-OmePP568O4A5Am9ttzvVdP67zw/edit#gid=771602874"" ,""HUMAN RESOURCES!$A$2:$M$2692""), {2,3,4,5,6,7,8,9,10,11,12,13},0))"),0.024)</f>
        <v>0.024</v>
      </c>
      <c r="Q1585" s="14">
        <f>IFERROR(__xludf.DUMMYFUNCTION("""COMPUTED_VALUE"""),0.033)</f>
        <v>0.033</v>
      </c>
      <c r="R1585" s="14">
        <f>IFERROR(__xludf.DUMMYFUNCTION("""COMPUTED_VALUE"""),69.0)</f>
        <v>69</v>
      </c>
      <c r="S1585" s="14">
        <f>IFERROR(__xludf.DUMMYFUNCTION("""COMPUTED_VALUE"""),68.0)</f>
        <v>68</v>
      </c>
      <c r="T1585" s="14">
        <f>IFERROR(__xludf.DUMMYFUNCTION("""COMPUTED_VALUE"""),0.369)</f>
        <v>0.369</v>
      </c>
      <c r="U1585" s="14">
        <f>IFERROR(__xludf.DUMMYFUNCTION("""COMPUTED_VALUE"""),0.593)</f>
        <v>0.593</v>
      </c>
      <c r="V1585" s="14">
        <f>IFERROR(__xludf.DUMMYFUNCTION("""COMPUTED_VALUE"""),0.038)</f>
        <v>0.038</v>
      </c>
      <c r="W1585" s="14">
        <f>IFERROR(__xludf.DUMMYFUNCTION("""COMPUTED_VALUE"""),103619.0)</f>
        <v>103619</v>
      </c>
      <c r="X1585" s="14">
        <f>IFERROR(__xludf.DUMMYFUNCTION("""COMPUTED_VALUE"""),0.223)</f>
        <v>0.223</v>
      </c>
      <c r="Y1585" s="14" t="str">
        <f>IFERROR(__xludf.DUMMYFUNCTION("""COMPUTED_VALUE"""),"Micronesia, Fed. Sts.-Oceania")</f>
        <v>Micronesia, Fed. Sts.-Oceania</v>
      </c>
      <c r="Z1585" s="14" t="str">
        <f>IFERROR(__xludf.DUMMYFUNCTION("""COMPUTED_VALUE"""),"Oceania")</f>
        <v>Oceania</v>
      </c>
      <c r="AA1585" s="14" t="str">
        <f>IFERROR(__xludf.DUMMYFUNCTION("""COMPUTED_VALUE"""),"2010")</f>
        <v>2010</v>
      </c>
      <c r="AB1585" s="15" t="str">
        <f>IFERROR(__xludf.DUMMYFUNCTION("ARRAYFORMULA(VLOOKUP(A1585,IMPORTRANGE(""https://docs.google.com/spreadsheets/d/1BuTWp7qHGjWhqrnf-OmePP568O4A5Am9ttzvVdP67zw/edit#gid=1931367683"" ,""ENERGY!$A$2:$F$2692""), {2,3,4,5,6},0))"),"Oceania")</f>
        <v>Oceania</v>
      </c>
      <c r="AC1585" s="14" t="str">
        <f>IFERROR(__xludf.DUMMYFUNCTION("""COMPUTED_VALUE"""),"Micronesia, Fed. Sts.-Oceania")</f>
        <v>Micronesia, Fed. Sts.-Oceania</v>
      </c>
      <c r="AD1585" s="14" t="str">
        <f>IFERROR(__xludf.DUMMYFUNCTION("""COMPUTED_VALUE"""),"2005")</f>
        <v>2005</v>
      </c>
      <c r="AE1585" s="14"/>
      <c r="AF1585" s="14">
        <f>IFERROR(__xludf.DUMMYFUNCTION("""COMPUTED_VALUE"""),147.0)</f>
        <v>147</v>
      </c>
    </row>
    <row r="1586">
      <c r="A1586" s="12">
        <v>1585.0</v>
      </c>
      <c r="B1586" s="12" t="s">
        <v>200</v>
      </c>
      <c r="C1586" s="5" t="s">
        <v>80</v>
      </c>
      <c r="D1586" s="11">
        <v>0.59</v>
      </c>
      <c r="E1586" s="11">
        <v>16.0</v>
      </c>
      <c r="F1586" s="8"/>
      <c r="G1586" s="11">
        <v>128.0</v>
      </c>
      <c r="H1586" s="11">
        <v>0.228</v>
      </c>
      <c r="I1586" s="11">
        <v>0.267</v>
      </c>
      <c r="J1586" s="9" t="s">
        <v>72</v>
      </c>
      <c r="K1586" s="14" t="str">
        <f>IFERROR(__xludf.DUMMYFUNCTION("ARRAYFORMULA(VLOOKUP(A1586,IMPORTRANGE(""https://docs.google.com/spreadsheets/d/1BuTWp7qHGjWhqrnf-OmePP568O4A5Am9ttzvVdP67zw/edit#gid=1603210130"", ""TOURISM!$A$2:$F$2692""), {2,3,4,5,6},0))"),"Oceania")</f>
        <v>Oceania</v>
      </c>
      <c r="L1586" s="14">
        <f>IFERROR(__xludf.DUMMYFUNCTION("""COMPUTED_VALUE"""),2.6E7)</f>
        <v>26000000</v>
      </c>
      <c r="M1586" s="14" t="str">
        <f>IFERROR(__xludf.DUMMYFUNCTION("""COMPUTED_VALUE"""),"Micronesia, Fed. Sts.-Oceania")</f>
        <v>Micronesia, Fed. Sts.-Oceania</v>
      </c>
      <c r="N1586" s="14" t="str">
        <f>IFERROR(__xludf.DUMMYFUNCTION("""COMPUTED_VALUE"""),"2011")</f>
        <v>2011</v>
      </c>
      <c r="O1586" s="14">
        <f>IFERROR(__xludf.DUMMYFUNCTION("""COMPUTED_VALUE"""),8000000.0)</f>
        <v>8000000</v>
      </c>
      <c r="P1586" s="15">
        <f>IFERROR(__xludf.DUMMYFUNCTION("ARRAYFORMULA(VLOOKUP(A1586,IMPORTRANGE(""https://docs.google.com/spreadsheets/d/1BuTWp7qHGjWhqrnf-OmePP568O4A5Am9ttzvVdP67zw/edit#gid=771602874"" ,""HUMAN RESOURCES!$A$2:$M$2692""), {2,3,4,5,6,7,8,9,10,11,12,13},0))"),0.024)</f>
        <v>0.024</v>
      </c>
      <c r="Q1586" s="14">
        <f>IFERROR(__xludf.DUMMYFUNCTION("""COMPUTED_VALUE"""),0.032)</f>
        <v>0.032</v>
      </c>
      <c r="R1586" s="14">
        <f>IFERROR(__xludf.DUMMYFUNCTION("""COMPUTED_VALUE"""),70.0)</f>
        <v>70</v>
      </c>
      <c r="S1586" s="14">
        <f>IFERROR(__xludf.DUMMYFUNCTION("""COMPUTED_VALUE"""),68.0)</f>
        <v>68</v>
      </c>
      <c r="T1586" s="14">
        <f>IFERROR(__xludf.DUMMYFUNCTION("""COMPUTED_VALUE"""),0.364)</f>
        <v>0.364</v>
      </c>
      <c r="U1586" s="14">
        <f>IFERROR(__xludf.DUMMYFUNCTION("""COMPUTED_VALUE"""),0.597)</f>
        <v>0.597</v>
      </c>
      <c r="V1586" s="14">
        <f>IFERROR(__xludf.DUMMYFUNCTION("""COMPUTED_VALUE"""),0.039)</f>
        <v>0.039</v>
      </c>
      <c r="W1586" s="14">
        <f>IFERROR(__xludf.DUMMYFUNCTION("""COMPUTED_VALUE"""),103424.0)</f>
        <v>103424</v>
      </c>
      <c r="X1586" s="14">
        <f>IFERROR(__xludf.DUMMYFUNCTION("""COMPUTED_VALUE"""),0.223)</f>
        <v>0.223</v>
      </c>
      <c r="Y1586" s="14" t="str">
        <f>IFERROR(__xludf.DUMMYFUNCTION("""COMPUTED_VALUE"""),"Micronesia, Fed. Sts.-Oceania")</f>
        <v>Micronesia, Fed. Sts.-Oceania</v>
      </c>
      <c r="Z1586" s="14" t="str">
        <f>IFERROR(__xludf.DUMMYFUNCTION("""COMPUTED_VALUE"""),"Oceania")</f>
        <v>Oceania</v>
      </c>
      <c r="AA1586" s="14" t="str">
        <f>IFERROR(__xludf.DUMMYFUNCTION("""COMPUTED_VALUE"""),"2011")</f>
        <v>2011</v>
      </c>
      <c r="AB1586" s="15" t="str">
        <f>IFERROR(__xludf.DUMMYFUNCTION("ARRAYFORMULA(VLOOKUP(A1586,IMPORTRANGE(""https://docs.google.com/spreadsheets/d/1BuTWp7qHGjWhqrnf-OmePP568O4A5Am9ttzvVdP67zw/edit#gid=1931367683"" ,""ENERGY!$A$2:$F$2692""), {2,3,4,5,6},0))"),"Oceania")</f>
        <v>Oceania</v>
      </c>
      <c r="AC1586" s="14" t="str">
        <f>IFERROR(__xludf.DUMMYFUNCTION("""COMPUTED_VALUE"""),"Micronesia, Fed. Sts.-Oceania")</f>
        <v>Micronesia, Fed. Sts.-Oceania</v>
      </c>
      <c r="AD1586" s="14" t="str">
        <f>IFERROR(__xludf.DUMMYFUNCTION("""COMPUTED_VALUE"""),"2006")</f>
        <v>2006</v>
      </c>
      <c r="AE1586" s="14"/>
      <c r="AF1586" s="14">
        <f>IFERROR(__xludf.DUMMYFUNCTION("""COMPUTED_VALUE"""),176.0)</f>
        <v>176</v>
      </c>
    </row>
    <row r="1587">
      <c r="A1587" s="12">
        <v>1586.0</v>
      </c>
      <c r="B1587" s="12" t="s">
        <v>200</v>
      </c>
      <c r="C1587" s="5" t="s">
        <v>80</v>
      </c>
      <c r="D1587" s="11">
        <v>0.599</v>
      </c>
      <c r="E1587" s="11">
        <v>16.0</v>
      </c>
      <c r="F1587" s="11">
        <v>150.0</v>
      </c>
      <c r="G1587" s="11">
        <v>128.0</v>
      </c>
      <c r="H1587" s="11">
        <v>0.26</v>
      </c>
      <c r="I1587" s="11">
        <v>0.302</v>
      </c>
      <c r="J1587" s="9" t="s">
        <v>73</v>
      </c>
      <c r="K1587" s="14" t="str">
        <f>IFERROR(__xludf.DUMMYFUNCTION("ARRAYFORMULA(VLOOKUP(A1587,IMPORTRANGE(""https://docs.google.com/spreadsheets/d/1BuTWp7qHGjWhqrnf-OmePP568O4A5Am9ttzvVdP67zw/edit#gid=1603210130"", ""TOURISM!$A$2:$F$2692""), {2,3,4,5,6},0))"),"Oceania")</f>
        <v>Oceania</v>
      </c>
      <c r="L1587" s="14"/>
      <c r="M1587" s="14" t="str">
        <f>IFERROR(__xludf.DUMMYFUNCTION("""COMPUTED_VALUE"""),"Micronesia, Fed. Sts.-Oceania")</f>
        <v>Micronesia, Fed. Sts.-Oceania</v>
      </c>
      <c r="N1587" s="14" t="str">
        <f>IFERROR(__xludf.DUMMYFUNCTION("""COMPUTED_VALUE"""),"2012")</f>
        <v>2012</v>
      </c>
      <c r="O1587" s="14"/>
      <c r="P1587" s="15">
        <f>IFERROR(__xludf.DUMMYFUNCTION("ARRAYFORMULA(VLOOKUP(A1587,IMPORTRANGE(""https://docs.google.com/spreadsheets/d/1BuTWp7qHGjWhqrnf-OmePP568O4A5Am9ttzvVdP67zw/edit#gid=771602874"" ,""HUMAN RESOURCES!$A$2:$M$2692""), {2,3,4,5,6,7,8,9,10,11,12,13},0))"),0.024)</f>
        <v>0.024</v>
      </c>
      <c r="Q1587" s="14">
        <f>IFERROR(__xludf.DUMMYFUNCTION("""COMPUTED_VALUE"""),0.031)</f>
        <v>0.031</v>
      </c>
      <c r="R1587" s="14">
        <f>IFERROR(__xludf.DUMMYFUNCTION("""COMPUTED_VALUE"""),70.0)</f>
        <v>70</v>
      </c>
      <c r="S1587" s="14">
        <f>IFERROR(__xludf.DUMMYFUNCTION("""COMPUTED_VALUE"""),68.0)</f>
        <v>68</v>
      </c>
      <c r="T1587" s="14">
        <f>IFERROR(__xludf.DUMMYFUNCTION("""COMPUTED_VALUE"""),0.358)</f>
        <v>0.358</v>
      </c>
      <c r="U1587" s="14">
        <f>IFERROR(__xludf.DUMMYFUNCTION("""COMPUTED_VALUE"""),0.602)</f>
        <v>0.602</v>
      </c>
      <c r="V1587" s="14">
        <f>IFERROR(__xludf.DUMMYFUNCTION("""COMPUTED_VALUE"""),0.039)</f>
        <v>0.039</v>
      </c>
      <c r="W1587" s="14">
        <f>IFERROR(__xludf.DUMMYFUNCTION("""COMPUTED_VALUE"""),103395.0)</f>
        <v>103395</v>
      </c>
      <c r="X1587" s="14">
        <f>IFERROR(__xludf.DUMMYFUNCTION("""COMPUTED_VALUE"""),0.223)</f>
        <v>0.223</v>
      </c>
      <c r="Y1587" s="14" t="str">
        <f>IFERROR(__xludf.DUMMYFUNCTION("""COMPUTED_VALUE"""),"Micronesia, Fed. Sts.-Oceania")</f>
        <v>Micronesia, Fed. Sts.-Oceania</v>
      </c>
      <c r="Z1587" s="14" t="str">
        <f>IFERROR(__xludf.DUMMYFUNCTION("""COMPUTED_VALUE"""),"Oceania")</f>
        <v>Oceania</v>
      </c>
      <c r="AA1587" s="14" t="str">
        <f>IFERROR(__xludf.DUMMYFUNCTION("""COMPUTED_VALUE"""),"2012")</f>
        <v>2012</v>
      </c>
      <c r="AB1587" s="15" t="str">
        <f>IFERROR(__xludf.DUMMYFUNCTION("ARRAYFORMULA(VLOOKUP(A1587,IMPORTRANGE(""https://docs.google.com/spreadsheets/d/1BuTWp7qHGjWhqrnf-OmePP568O4A5Am9ttzvVdP67zw/edit#gid=1931367683"" ,""ENERGY!$A$2:$F$2692""), {2,3,4,5,6},0))"),"Oceania")</f>
        <v>Oceania</v>
      </c>
      <c r="AC1587" s="14" t="str">
        <f>IFERROR(__xludf.DUMMYFUNCTION("""COMPUTED_VALUE"""),"Micronesia, Fed. Sts.-Oceania")</f>
        <v>Micronesia, Fed. Sts.-Oceania</v>
      </c>
      <c r="AD1587" s="14" t="str">
        <f>IFERROR(__xludf.DUMMYFUNCTION("""COMPUTED_VALUE"""),"2011")</f>
        <v>2011</v>
      </c>
      <c r="AE1587" s="14"/>
      <c r="AF1587" s="14">
        <f>IFERROR(__xludf.DUMMYFUNCTION("""COMPUTED_VALUE"""),136.0)</f>
        <v>136</v>
      </c>
    </row>
    <row r="1588">
      <c r="A1588" s="12">
        <v>1587.0</v>
      </c>
      <c r="B1588" s="12" t="s">
        <v>201</v>
      </c>
      <c r="C1588" s="5" t="s">
        <v>75</v>
      </c>
      <c r="D1588" s="8"/>
      <c r="E1588" s="8"/>
      <c r="F1588" s="8"/>
      <c r="G1588" s="8"/>
      <c r="H1588" s="11">
        <v>0.013</v>
      </c>
      <c r="I1588" s="11">
        <v>0.034</v>
      </c>
      <c r="J1588" s="9" t="s">
        <v>60</v>
      </c>
      <c r="K1588" s="14" t="str">
        <f>IFERROR(__xludf.DUMMYFUNCTION("ARRAYFORMULA(VLOOKUP(A1588,IMPORTRANGE(""https://docs.google.com/spreadsheets/d/1BuTWp7qHGjWhqrnf-OmePP568O4A5Am9ttzvVdP67zw/edit#gid=1603210130"", ""TOURISM!$A$2:$F$2692""), {2,3,4,5,6},0))"),"Europe")</f>
        <v>Europe</v>
      </c>
      <c r="L1588" s="14">
        <f>IFERROR(__xludf.DUMMYFUNCTION("""COMPUTED_VALUE"""),5.7E7)</f>
        <v>57000000</v>
      </c>
      <c r="M1588" s="14" t="str">
        <f>IFERROR(__xludf.DUMMYFUNCTION("""COMPUTED_VALUE"""),"Moldova-Europe")</f>
        <v>Moldova-Europe</v>
      </c>
      <c r="N1588" s="14" t="str">
        <f>IFERROR(__xludf.DUMMYFUNCTION("""COMPUTED_VALUE"""),"2000")</f>
        <v>2000</v>
      </c>
      <c r="O1588" s="14">
        <f>IFERROR(__xludf.DUMMYFUNCTION("""COMPUTED_VALUE"""),8.6E7)</f>
        <v>86000000</v>
      </c>
      <c r="P1588" s="15">
        <f>IFERROR(__xludf.DUMMYFUNCTION("ARRAYFORMULA(VLOOKUP(A1588,IMPORTRANGE(""https://docs.google.com/spreadsheets/d/1BuTWp7qHGjWhqrnf-OmePP568O4A5Am9ttzvVdP67zw/edit#gid=771602874"" ,""HUMAN RESOURCES!$A$2:$M$2692""), {2,3,4,5,6,7,8,9,10,11,12,13},0))"),0.012)</f>
        <v>0.012</v>
      </c>
      <c r="Q1588" s="14">
        <f>IFERROR(__xludf.DUMMYFUNCTION("""COMPUTED_VALUE"""),0.025)</f>
        <v>0.025</v>
      </c>
      <c r="R1588" s="14">
        <f>IFERROR(__xludf.DUMMYFUNCTION("""COMPUTED_VALUE"""),71.0)</f>
        <v>71</v>
      </c>
      <c r="S1588" s="14">
        <f>IFERROR(__xludf.DUMMYFUNCTION("""COMPUTED_VALUE"""),63.0)</f>
        <v>63</v>
      </c>
      <c r="T1588" s="14">
        <f>IFERROR(__xludf.DUMMYFUNCTION("""COMPUTED_VALUE"""),0.237)</f>
        <v>0.237</v>
      </c>
      <c r="U1588" s="14">
        <f>IFERROR(__xludf.DUMMYFUNCTION("""COMPUTED_VALUE"""),0.663)</f>
        <v>0.663</v>
      </c>
      <c r="V1588" s="14">
        <f>IFERROR(__xludf.DUMMYFUNCTION("""COMPUTED_VALUE"""),0.1)</f>
        <v>0.1</v>
      </c>
      <c r="W1588" s="14">
        <f>IFERROR(__xludf.DUMMYFUNCTION("""COMPUTED_VALUE"""),3639592.0)</f>
        <v>3639592</v>
      </c>
      <c r="X1588" s="14">
        <f>IFERROR(__xludf.DUMMYFUNCTION("""COMPUTED_VALUE"""),0.458)</f>
        <v>0.458</v>
      </c>
      <c r="Y1588" s="14" t="str">
        <f>IFERROR(__xludf.DUMMYFUNCTION("""COMPUTED_VALUE"""),"Moldova-Europe")</f>
        <v>Moldova-Europe</v>
      </c>
      <c r="Z1588" s="14" t="str">
        <f>IFERROR(__xludf.DUMMYFUNCTION("""COMPUTED_VALUE"""),"Europe")</f>
        <v>Europe</v>
      </c>
      <c r="AA1588" s="14" t="str">
        <f>IFERROR(__xludf.DUMMYFUNCTION("""COMPUTED_VALUE"""),"2000")</f>
        <v>2000</v>
      </c>
      <c r="AB1588" s="15" t="str">
        <f>IFERROR(__xludf.DUMMYFUNCTION("ARRAYFORMULA(VLOOKUP(A1588,IMPORTRANGE(""https://docs.google.com/spreadsheets/d/1BuTWp7qHGjWhqrnf-OmePP568O4A5Am9ttzvVdP67zw/edit#gid=1931367683"" ,""ENERGY!$A$2:$F$2692""), {2,3,4,5,6},0))"),"Europe")</f>
        <v>Europe</v>
      </c>
      <c r="AC1588" s="14" t="str">
        <f>IFERROR(__xludf.DUMMYFUNCTION("""COMPUTED_VALUE"""),"Moldova-Europe")</f>
        <v>Moldova-Europe</v>
      </c>
      <c r="AD1588" s="14" t="str">
        <f>IFERROR(__xludf.DUMMYFUNCTION("""COMPUTED_VALUE"""),"2000")</f>
        <v>2000</v>
      </c>
      <c r="AE1588" s="14"/>
      <c r="AF1588" s="14"/>
    </row>
    <row r="1589">
      <c r="A1589" s="12">
        <v>1588.0</v>
      </c>
      <c r="B1589" s="12" t="s">
        <v>201</v>
      </c>
      <c r="C1589" s="5" t="s">
        <v>75</v>
      </c>
      <c r="D1589" s="8"/>
      <c r="E1589" s="8"/>
      <c r="F1589" s="8"/>
      <c r="G1589" s="8"/>
      <c r="H1589" s="11">
        <v>0.015</v>
      </c>
      <c r="I1589" s="11">
        <v>0.056</v>
      </c>
      <c r="J1589" s="9" t="s">
        <v>62</v>
      </c>
      <c r="K1589" s="14" t="str">
        <f>IFERROR(__xludf.DUMMYFUNCTION("ARRAYFORMULA(VLOOKUP(A1589,IMPORTRANGE(""https://docs.google.com/spreadsheets/d/1BuTWp7qHGjWhqrnf-OmePP568O4A5Am9ttzvVdP67zw/edit#gid=1603210130"", ""TOURISM!$A$2:$F$2692""), {2,3,4,5,6},0))"),"Europe")</f>
        <v>Europe</v>
      </c>
      <c r="L1589" s="14">
        <f>IFERROR(__xludf.DUMMYFUNCTION("""COMPUTED_VALUE"""),5.8E7)</f>
        <v>58000000</v>
      </c>
      <c r="M1589" s="14" t="str">
        <f>IFERROR(__xludf.DUMMYFUNCTION("""COMPUTED_VALUE"""),"Moldova-Europe")</f>
        <v>Moldova-Europe</v>
      </c>
      <c r="N1589" s="14" t="str">
        <f>IFERROR(__xludf.DUMMYFUNCTION("""COMPUTED_VALUE"""),"2001")</f>
        <v>2001</v>
      </c>
      <c r="O1589" s="14">
        <f>IFERROR(__xludf.DUMMYFUNCTION("""COMPUTED_VALUE"""),9.0E7)</f>
        <v>90000000</v>
      </c>
      <c r="P1589" s="15">
        <f>IFERROR(__xludf.DUMMYFUNCTION("ARRAYFORMULA(VLOOKUP(A1589,IMPORTRANGE(""https://docs.google.com/spreadsheets/d/1BuTWp7qHGjWhqrnf-OmePP568O4A5Am9ttzvVdP67zw/edit#gid=771602874"" ,""HUMAN RESOURCES!$A$2:$M$2692""), {2,3,4,5,6,7,8,9,10,11,12,13},0))"),0.012)</f>
        <v>0.012</v>
      </c>
      <c r="Q1589" s="14">
        <f>IFERROR(__xludf.DUMMYFUNCTION("""COMPUTED_VALUE"""),0.024)</f>
        <v>0.024</v>
      </c>
      <c r="R1589" s="14">
        <f>IFERROR(__xludf.DUMMYFUNCTION("""COMPUTED_VALUE"""),71.0)</f>
        <v>71</v>
      </c>
      <c r="S1589" s="14">
        <f>IFERROR(__xludf.DUMMYFUNCTION("""COMPUTED_VALUE"""),63.0)</f>
        <v>63</v>
      </c>
      <c r="T1589" s="14">
        <f>IFERROR(__xludf.DUMMYFUNCTION("""COMPUTED_VALUE"""),0.228)</f>
        <v>0.228</v>
      </c>
      <c r="U1589" s="14">
        <f>IFERROR(__xludf.DUMMYFUNCTION("""COMPUTED_VALUE"""),0.669)</f>
        <v>0.669</v>
      </c>
      <c r="V1589" s="14">
        <f>IFERROR(__xludf.DUMMYFUNCTION("""COMPUTED_VALUE"""),0.102)</f>
        <v>0.102</v>
      </c>
      <c r="W1589" s="14">
        <f>IFERROR(__xludf.DUMMYFUNCTION("""COMPUTED_VALUE"""),3631462.0)</f>
        <v>3631462</v>
      </c>
      <c r="X1589" s="14">
        <f>IFERROR(__xludf.DUMMYFUNCTION("""COMPUTED_VALUE"""),0.457)</f>
        <v>0.457</v>
      </c>
      <c r="Y1589" s="14" t="str">
        <f>IFERROR(__xludf.DUMMYFUNCTION("""COMPUTED_VALUE"""),"Moldova-Europe")</f>
        <v>Moldova-Europe</v>
      </c>
      <c r="Z1589" s="14" t="str">
        <f>IFERROR(__xludf.DUMMYFUNCTION("""COMPUTED_VALUE"""),"Europe")</f>
        <v>Europe</v>
      </c>
      <c r="AA1589" s="14" t="str">
        <f>IFERROR(__xludf.DUMMYFUNCTION("""COMPUTED_VALUE"""),"2001")</f>
        <v>2001</v>
      </c>
      <c r="AB1589" s="15" t="str">
        <f>IFERROR(__xludf.DUMMYFUNCTION("ARRAYFORMULA(VLOOKUP(A1589,IMPORTRANGE(""https://docs.google.com/spreadsheets/d/1BuTWp7qHGjWhqrnf-OmePP568O4A5Am9ttzvVdP67zw/edit#gid=1931367683"" ,""ENERGY!$A$2:$F$2692""), {2,3,4,5,6},0))"),"Europe")</f>
        <v>Europe</v>
      </c>
      <c r="AC1589" s="14" t="str">
        <f>IFERROR(__xludf.DUMMYFUNCTION("""COMPUTED_VALUE"""),"Moldova-Europe")</f>
        <v>Moldova-Europe</v>
      </c>
      <c r="AD1589" s="14" t="str">
        <f>IFERROR(__xludf.DUMMYFUNCTION("""COMPUTED_VALUE"""),"2001")</f>
        <v>2001</v>
      </c>
      <c r="AE1589" s="14">
        <f>IFERROR(__xludf.DUMMYFUNCTION("""COMPUTED_VALUE"""),3331.0)</f>
        <v>3331</v>
      </c>
      <c r="AF1589" s="14"/>
    </row>
    <row r="1590">
      <c r="A1590" s="12">
        <v>1589.0</v>
      </c>
      <c r="B1590" s="12" t="s">
        <v>201</v>
      </c>
      <c r="C1590" s="5" t="s">
        <v>75</v>
      </c>
      <c r="D1590" s="8"/>
      <c r="E1590" s="8"/>
      <c r="F1590" s="8"/>
      <c r="G1590" s="8"/>
      <c r="H1590" s="11">
        <v>0.038</v>
      </c>
      <c r="I1590" s="11">
        <v>0.085</v>
      </c>
      <c r="J1590" s="9" t="s">
        <v>63</v>
      </c>
      <c r="K1590" s="14" t="str">
        <f>IFERROR(__xludf.DUMMYFUNCTION("ARRAYFORMULA(VLOOKUP(A1590,IMPORTRANGE(""https://docs.google.com/spreadsheets/d/1BuTWp7qHGjWhqrnf-OmePP568O4A5Am9ttzvVdP67zw/edit#gid=1603210130"", ""TOURISM!$A$2:$F$2692""), {2,3,4,5,6},0))"),"Europe")</f>
        <v>Europe</v>
      </c>
      <c r="L1590" s="14">
        <f>IFERROR(__xludf.DUMMYFUNCTION("""COMPUTED_VALUE"""),7.2E7)</f>
        <v>72000000</v>
      </c>
      <c r="M1590" s="14" t="str">
        <f>IFERROR(__xludf.DUMMYFUNCTION("""COMPUTED_VALUE"""),"Moldova-Europe")</f>
        <v>Moldova-Europe</v>
      </c>
      <c r="N1590" s="14" t="str">
        <f>IFERROR(__xludf.DUMMYFUNCTION("""COMPUTED_VALUE"""),"2002")</f>
        <v>2002</v>
      </c>
      <c r="O1590" s="14">
        <f>IFERROR(__xludf.DUMMYFUNCTION("""COMPUTED_VALUE"""),1.09E8)</f>
        <v>109000000</v>
      </c>
      <c r="P1590" s="15">
        <f>IFERROR(__xludf.DUMMYFUNCTION("ARRAYFORMULA(VLOOKUP(A1590,IMPORTRANGE(""https://docs.google.com/spreadsheets/d/1BuTWp7qHGjWhqrnf-OmePP568O4A5Am9ttzvVdP67zw/edit#gid=771602874"" ,""HUMAN RESOURCES!$A$2:$M$2692""), {2,3,4,5,6,7,8,9,10,11,12,13},0))"),0.012)</f>
        <v>0.012</v>
      </c>
      <c r="Q1590" s="14">
        <f>IFERROR(__xludf.DUMMYFUNCTION("""COMPUTED_VALUE"""),0.023)</f>
        <v>0.023</v>
      </c>
      <c r="R1590" s="14">
        <f>IFERROR(__xludf.DUMMYFUNCTION("""COMPUTED_VALUE"""),71.0)</f>
        <v>71</v>
      </c>
      <c r="S1590" s="14">
        <f>IFERROR(__xludf.DUMMYFUNCTION("""COMPUTED_VALUE"""),63.0)</f>
        <v>63</v>
      </c>
      <c r="T1590" s="14">
        <f>IFERROR(__xludf.DUMMYFUNCTION("""COMPUTED_VALUE"""),0.219)</f>
        <v>0.219</v>
      </c>
      <c r="U1590" s="14">
        <f>IFERROR(__xludf.DUMMYFUNCTION("""COMPUTED_VALUE"""),0.676)</f>
        <v>0.676</v>
      </c>
      <c r="V1590" s="14">
        <f>IFERROR(__xludf.DUMMYFUNCTION("""COMPUTED_VALUE"""),0.105)</f>
        <v>0.105</v>
      </c>
      <c r="W1590" s="14">
        <f>IFERROR(__xludf.DUMMYFUNCTION("""COMPUTED_VALUE"""),3623062.0)</f>
        <v>3623062</v>
      </c>
      <c r="X1590" s="14">
        <f>IFERROR(__xludf.DUMMYFUNCTION("""COMPUTED_VALUE"""),0.456)</f>
        <v>0.456</v>
      </c>
      <c r="Y1590" s="14" t="str">
        <f>IFERROR(__xludf.DUMMYFUNCTION("""COMPUTED_VALUE"""),"Moldova-Europe")</f>
        <v>Moldova-Europe</v>
      </c>
      <c r="Z1590" s="14" t="str">
        <f>IFERROR(__xludf.DUMMYFUNCTION("""COMPUTED_VALUE"""),"Europe")</f>
        <v>Europe</v>
      </c>
      <c r="AA1590" s="14" t="str">
        <f>IFERROR(__xludf.DUMMYFUNCTION("""COMPUTED_VALUE"""),"2002")</f>
        <v>2002</v>
      </c>
      <c r="AB1590" s="15" t="str">
        <f>IFERROR(__xludf.DUMMYFUNCTION("ARRAYFORMULA(VLOOKUP(A1590,IMPORTRANGE(""https://docs.google.com/spreadsheets/d/1BuTWp7qHGjWhqrnf-OmePP568O4A5Am9ttzvVdP67zw/edit#gid=1931367683"" ,""ENERGY!$A$2:$F$2692""), {2,3,4,5,6},0))"),"Europe")</f>
        <v>Europe</v>
      </c>
      <c r="AC1590" s="14" t="str">
        <f>IFERROR(__xludf.DUMMYFUNCTION("""COMPUTED_VALUE"""),"Moldova-Europe")</f>
        <v>Moldova-Europe</v>
      </c>
      <c r="AD1590" s="14" t="str">
        <f>IFERROR(__xludf.DUMMYFUNCTION("""COMPUTED_VALUE"""),"2002")</f>
        <v>2002</v>
      </c>
      <c r="AE1590" s="14">
        <f>IFERROR(__xludf.DUMMYFUNCTION("""COMPUTED_VALUE"""),3426.0)</f>
        <v>3426</v>
      </c>
      <c r="AF1590" s="14">
        <f>IFERROR(__xludf.DUMMYFUNCTION("""COMPUTED_VALUE"""),4855.0)</f>
        <v>4855</v>
      </c>
    </row>
    <row r="1591">
      <c r="A1591" s="12">
        <v>1590.0</v>
      </c>
      <c r="B1591" s="12" t="s">
        <v>201</v>
      </c>
      <c r="C1591" s="5" t="s">
        <v>75</v>
      </c>
      <c r="D1591" s="8"/>
      <c r="E1591" s="11">
        <v>42.0</v>
      </c>
      <c r="F1591" s="8"/>
      <c r="G1591" s="8"/>
      <c r="H1591" s="11">
        <v>0.074</v>
      </c>
      <c r="I1591" s="11">
        <v>0.122</v>
      </c>
      <c r="J1591" s="9" t="s">
        <v>64</v>
      </c>
      <c r="K1591" s="14" t="str">
        <f>IFERROR(__xludf.DUMMYFUNCTION("ARRAYFORMULA(VLOOKUP(A1591,IMPORTRANGE(""https://docs.google.com/spreadsheets/d/1BuTWp7qHGjWhqrnf-OmePP568O4A5Am9ttzvVdP67zw/edit#gid=1603210130"", ""TOURISM!$A$2:$F$2692""), {2,3,4,5,6},0))"),"Europe")</f>
        <v>Europe</v>
      </c>
      <c r="L1591" s="14">
        <f>IFERROR(__xludf.DUMMYFUNCTION("""COMPUTED_VALUE"""),7.9E7)</f>
        <v>79000000</v>
      </c>
      <c r="M1591" s="14" t="str">
        <f>IFERROR(__xludf.DUMMYFUNCTION("""COMPUTED_VALUE"""),"Moldova-Europe")</f>
        <v>Moldova-Europe</v>
      </c>
      <c r="N1591" s="14" t="str">
        <f>IFERROR(__xludf.DUMMYFUNCTION("""COMPUTED_VALUE"""),"2003")</f>
        <v>2003</v>
      </c>
      <c r="O1591" s="14">
        <f>IFERROR(__xludf.DUMMYFUNCTION("""COMPUTED_VALUE"""),1.18E8)</f>
        <v>118000000</v>
      </c>
      <c r="P1591" s="15">
        <f>IFERROR(__xludf.DUMMYFUNCTION("ARRAYFORMULA(VLOOKUP(A1591,IMPORTRANGE(""https://docs.google.com/spreadsheets/d/1BuTWp7qHGjWhqrnf-OmePP568O4A5Am9ttzvVdP67zw/edit#gid=771602874"" ,""HUMAN RESOURCES!$A$2:$M$2692""), {2,3,4,5,6,7,8,9,10,11,12,13},0))"),0.012)</f>
        <v>0.012</v>
      </c>
      <c r="Q1591" s="14">
        <f>IFERROR(__xludf.DUMMYFUNCTION("""COMPUTED_VALUE"""),0.021)</f>
        <v>0.021</v>
      </c>
      <c r="R1591" s="14">
        <f>IFERROR(__xludf.DUMMYFUNCTION("""COMPUTED_VALUE"""),72.0)</f>
        <v>72</v>
      </c>
      <c r="S1591" s="14">
        <f>IFERROR(__xludf.DUMMYFUNCTION("""COMPUTED_VALUE"""),64.0)</f>
        <v>64</v>
      </c>
      <c r="T1591" s="14">
        <f>IFERROR(__xludf.DUMMYFUNCTION("""COMPUTED_VALUE"""),0.208)</f>
        <v>0.208</v>
      </c>
      <c r="U1591" s="14">
        <f>IFERROR(__xludf.DUMMYFUNCTION("""COMPUTED_VALUE"""),0.683)</f>
        <v>0.683</v>
      </c>
      <c r="V1591" s="14">
        <f>IFERROR(__xludf.DUMMYFUNCTION("""COMPUTED_VALUE"""),0.108)</f>
        <v>0.108</v>
      </c>
      <c r="W1591" s="14">
        <f>IFERROR(__xludf.DUMMYFUNCTION("""COMPUTED_VALUE"""),3612874.0)</f>
        <v>3612874</v>
      </c>
      <c r="X1591" s="14">
        <f>IFERROR(__xludf.DUMMYFUNCTION("""COMPUTED_VALUE"""),0.455)</f>
        <v>0.455</v>
      </c>
      <c r="Y1591" s="14" t="str">
        <f>IFERROR(__xludf.DUMMYFUNCTION("""COMPUTED_VALUE"""),"Moldova-Europe")</f>
        <v>Moldova-Europe</v>
      </c>
      <c r="Z1591" s="14" t="str">
        <f>IFERROR(__xludf.DUMMYFUNCTION("""COMPUTED_VALUE"""),"Europe")</f>
        <v>Europe</v>
      </c>
      <c r="AA1591" s="14" t="str">
        <f>IFERROR(__xludf.DUMMYFUNCTION("""COMPUTED_VALUE"""),"2003")</f>
        <v>2003</v>
      </c>
      <c r="AB1591" s="15" t="str">
        <f>IFERROR(__xludf.DUMMYFUNCTION("ARRAYFORMULA(VLOOKUP(A1591,IMPORTRANGE(""https://docs.google.com/spreadsheets/d/1BuTWp7qHGjWhqrnf-OmePP568O4A5Am9ttzvVdP67zw/edit#gid=1931367683"" ,""ENERGY!$A$2:$F$2692""), {2,3,4,5,6},0))"),"Europe")</f>
        <v>Europe</v>
      </c>
      <c r="AC1591" s="14" t="str">
        <f>IFERROR(__xludf.DUMMYFUNCTION("""COMPUTED_VALUE"""),"Moldova-Europe")</f>
        <v>Moldova-Europe</v>
      </c>
      <c r="AD1591" s="14" t="str">
        <f>IFERROR(__xludf.DUMMYFUNCTION("""COMPUTED_VALUE"""),"2003")</f>
        <v>2003</v>
      </c>
      <c r="AE1591" s="14">
        <f>IFERROR(__xludf.DUMMYFUNCTION("""COMPUTED_VALUE"""),3171.0)</f>
        <v>3171</v>
      </c>
      <c r="AF1591" s="14">
        <f>IFERROR(__xludf.DUMMYFUNCTION("""COMPUTED_VALUE"""),4547.0)</f>
        <v>4547</v>
      </c>
    </row>
    <row r="1592">
      <c r="A1592" s="12">
        <v>1591.0</v>
      </c>
      <c r="B1592" s="12" t="s">
        <v>201</v>
      </c>
      <c r="C1592" s="5" t="s">
        <v>75</v>
      </c>
      <c r="D1592" s="8"/>
      <c r="E1592" s="11">
        <v>30.0</v>
      </c>
      <c r="F1592" s="8"/>
      <c r="G1592" s="8"/>
      <c r="H1592" s="11">
        <v>0.106</v>
      </c>
      <c r="I1592" s="11">
        <v>0.206</v>
      </c>
      <c r="J1592" s="9" t="s">
        <v>65</v>
      </c>
      <c r="K1592" s="14" t="str">
        <f>IFERROR(__xludf.DUMMYFUNCTION("ARRAYFORMULA(VLOOKUP(A1592,IMPORTRANGE(""https://docs.google.com/spreadsheets/d/1BuTWp7qHGjWhqrnf-OmePP568O4A5Am9ttzvVdP67zw/edit#gid=1603210130"", ""TOURISM!$A$2:$F$2692""), {2,3,4,5,6},0))"),"Europe")</f>
        <v>Europe</v>
      </c>
      <c r="L1592" s="14">
        <f>IFERROR(__xludf.DUMMYFUNCTION("""COMPUTED_VALUE"""),1.12E8)</f>
        <v>112000000</v>
      </c>
      <c r="M1592" s="14" t="str">
        <f>IFERROR(__xludf.DUMMYFUNCTION("""COMPUTED_VALUE"""),"Moldova-Europe")</f>
        <v>Moldova-Europe</v>
      </c>
      <c r="N1592" s="14" t="str">
        <f>IFERROR(__xludf.DUMMYFUNCTION("""COMPUTED_VALUE"""),"2004")</f>
        <v>2004</v>
      </c>
      <c r="O1592" s="14">
        <f>IFERROR(__xludf.DUMMYFUNCTION("""COMPUTED_VALUE"""),1.35E8)</f>
        <v>135000000</v>
      </c>
      <c r="P1592" s="15">
        <f>IFERROR(__xludf.DUMMYFUNCTION("ARRAYFORMULA(VLOOKUP(A1592,IMPORTRANGE(""https://docs.google.com/spreadsheets/d/1BuTWp7qHGjWhqrnf-OmePP568O4A5Am9ttzvVdP67zw/edit#gid=771602874"" ,""HUMAN RESOURCES!$A$2:$M$2692""), {2,3,4,5,6,7,8,9,10,11,12,13},0))"),0.012)</f>
        <v>0.012</v>
      </c>
      <c r="Q1592" s="14">
        <f>IFERROR(__xludf.DUMMYFUNCTION("""COMPUTED_VALUE"""),0.02)</f>
        <v>0.02</v>
      </c>
      <c r="R1592" s="14">
        <f>IFERROR(__xludf.DUMMYFUNCTION("""COMPUTED_VALUE"""),72.0)</f>
        <v>72</v>
      </c>
      <c r="S1592" s="14">
        <f>IFERROR(__xludf.DUMMYFUNCTION("""COMPUTED_VALUE"""),64.0)</f>
        <v>64</v>
      </c>
      <c r="T1592" s="14">
        <f>IFERROR(__xludf.DUMMYFUNCTION("""COMPUTED_VALUE"""),0.198)</f>
        <v>0.198</v>
      </c>
      <c r="U1592" s="14">
        <f>IFERROR(__xludf.DUMMYFUNCTION("""COMPUTED_VALUE"""),0.691)</f>
        <v>0.691</v>
      </c>
      <c r="V1592" s="14">
        <f>IFERROR(__xludf.DUMMYFUNCTION("""COMPUTED_VALUE"""),0.111)</f>
        <v>0.111</v>
      </c>
      <c r="W1592" s="14">
        <f>IFERROR(__xludf.DUMMYFUNCTION("""COMPUTED_VALUE"""),3603945.0)</f>
        <v>3603945</v>
      </c>
      <c r="X1592" s="14">
        <f>IFERROR(__xludf.DUMMYFUNCTION("""COMPUTED_VALUE"""),0.454)</f>
        <v>0.454</v>
      </c>
      <c r="Y1592" s="14" t="str">
        <f>IFERROR(__xludf.DUMMYFUNCTION("""COMPUTED_VALUE"""),"Moldova-Europe")</f>
        <v>Moldova-Europe</v>
      </c>
      <c r="Z1592" s="14" t="str">
        <f>IFERROR(__xludf.DUMMYFUNCTION("""COMPUTED_VALUE"""),"Europe")</f>
        <v>Europe</v>
      </c>
      <c r="AA1592" s="14" t="str">
        <f>IFERROR(__xludf.DUMMYFUNCTION("""COMPUTED_VALUE"""),"2004")</f>
        <v>2004</v>
      </c>
      <c r="AB1592" s="15" t="str">
        <f>IFERROR(__xludf.DUMMYFUNCTION("ARRAYFORMULA(VLOOKUP(A1592,IMPORTRANGE(""https://docs.google.com/spreadsheets/d/1BuTWp7qHGjWhqrnf-OmePP568O4A5Am9ttzvVdP67zw/edit#gid=1931367683"" ,""ENERGY!$A$2:$F$2692""), {2,3,4,5,6},0))"),"Europe")</f>
        <v>Europe</v>
      </c>
      <c r="AC1592" s="14" t="str">
        <f>IFERROR(__xludf.DUMMYFUNCTION("""COMPUTED_VALUE"""),"Moldova-Europe")</f>
        <v>Moldova-Europe</v>
      </c>
      <c r="AD1592" s="14" t="str">
        <f>IFERROR(__xludf.DUMMYFUNCTION("""COMPUTED_VALUE"""),"2004")</f>
        <v>2004</v>
      </c>
      <c r="AE1592" s="14">
        <f>IFERROR(__xludf.DUMMYFUNCTION("""COMPUTED_VALUE"""),3363.0)</f>
        <v>3363</v>
      </c>
      <c r="AF1592" s="14">
        <f>IFERROR(__xludf.DUMMYFUNCTION("""COMPUTED_VALUE"""),4774.0)</f>
        <v>4774</v>
      </c>
    </row>
    <row r="1593">
      <c r="A1593" s="12">
        <v>1592.0</v>
      </c>
      <c r="B1593" s="12" t="s">
        <v>201</v>
      </c>
      <c r="C1593" s="5" t="s">
        <v>75</v>
      </c>
      <c r="D1593" s="11">
        <v>0.48</v>
      </c>
      <c r="E1593" s="11">
        <v>30.0</v>
      </c>
      <c r="F1593" s="8"/>
      <c r="G1593" s="11">
        <v>234.0</v>
      </c>
      <c r="H1593" s="11">
        <v>0.146</v>
      </c>
      <c r="I1593" s="11">
        <v>0.289</v>
      </c>
      <c r="J1593" s="9" t="s">
        <v>66</v>
      </c>
      <c r="K1593" s="14" t="str">
        <f>IFERROR(__xludf.DUMMYFUNCTION("ARRAYFORMULA(VLOOKUP(A1593,IMPORTRANGE(""https://docs.google.com/spreadsheets/d/1BuTWp7qHGjWhqrnf-OmePP568O4A5Am9ttzvVdP67zw/edit#gid=1603210130"", ""TOURISM!$A$2:$F$2692""), {2,3,4,5,6},0))"),"Europe")</f>
        <v>Europe</v>
      </c>
      <c r="L1593" s="14">
        <f>IFERROR(__xludf.DUMMYFUNCTION("""COMPUTED_VALUE"""),1.38E8)</f>
        <v>138000000</v>
      </c>
      <c r="M1593" s="14" t="str">
        <f>IFERROR(__xludf.DUMMYFUNCTION("""COMPUTED_VALUE"""),"Moldova-Europe")</f>
        <v>Moldova-Europe</v>
      </c>
      <c r="N1593" s="14" t="str">
        <f>IFERROR(__xludf.DUMMYFUNCTION("""COMPUTED_VALUE"""),"2005")</f>
        <v>2005</v>
      </c>
      <c r="O1593" s="14">
        <f>IFERROR(__xludf.DUMMYFUNCTION("""COMPUTED_VALUE"""),1.7E8)</f>
        <v>170000000</v>
      </c>
      <c r="P1593" s="15">
        <f>IFERROR(__xludf.DUMMYFUNCTION("ARRAYFORMULA(VLOOKUP(A1593,IMPORTRANGE(""https://docs.google.com/spreadsheets/d/1BuTWp7qHGjWhqrnf-OmePP568O4A5Am9ttzvVdP67zw/edit#gid=771602874"" ,""HUMAN RESOURCES!$A$2:$M$2692""), {2,3,4,5,6,7,8,9,10,11,12,13},0))"),0.012)</f>
        <v>0.012</v>
      </c>
      <c r="Q1593" s="14">
        <f>IFERROR(__xludf.DUMMYFUNCTION("""COMPUTED_VALUE"""),0.019)</f>
        <v>0.019</v>
      </c>
      <c r="R1593" s="14">
        <f>IFERROR(__xludf.DUMMYFUNCTION("""COMPUTED_VALUE"""),72.0)</f>
        <v>72</v>
      </c>
      <c r="S1593" s="14">
        <f>IFERROR(__xludf.DUMMYFUNCTION("""COMPUTED_VALUE"""),64.0)</f>
        <v>64</v>
      </c>
      <c r="T1593" s="14">
        <f>IFERROR(__xludf.DUMMYFUNCTION("""COMPUTED_VALUE"""),0.19)</f>
        <v>0.19</v>
      </c>
      <c r="U1593" s="14">
        <f>IFERROR(__xludf.DUMMYFUNCTION("""COMPUTED_VALUE"""),0.698)</f>
        <v>0.698</v>
      </c>
      <c r="V1593" s="14">
        <f>IFERROR(__xludf.DUMMYFUNCTION("""COMPUTED_VALUE"""),0.112)</f>
        <v>0.112</v>
      </c>
      <c r="W1593" s="14">
        <f>IFERROR(__xludf.DUMMYFUNCTION("""COMPUTED_VALUE"""),3595187.0)</f>
        <v>3595187</v>
      </c>
      <c r="X1593" s="14">
        <f>IFERROR(__xludf.DUMMYFUNCTION("""COMPUTED_VALUE"""),0.453)</f>
        <v>0.453</v>
      </c>
      <c r="Y1593" s="14" t="str">
        <f>IFERROR(__xludf.DUMMYFUNCTION("""COMPUTED_VALUE"""),"Moldova-Europe")</f>
        <v>Moldova-Europe</v>
      </c>
      <c r="Z1593" s="14" t="str">
        <f>IFERROR(__xludf.DUMMYFUNCTION("""COMPUTED_VALUE"""),"Europe")</f>
        <v>Europe</v>
      </c>
      <c r="AA1593" s="14" t="str">
        <f>IFERROR(__xludf.DUMMYFUNCTION("""COMPUTED_VALUE"""),"2005")</f>
        <v>2005</v>
      </c>
      <c r="AB1593" s="15" t="str">
        <f>IFERROR(__xludf.DUMMYFUNCTION("ARRAYFORMULA(VLOOKUP(A1593,IMPORTRANGE(""https://docs.google.com/spreadsheets/d/1BuTWp7qHGjWhqrnf-OmePP568O4A5Am9ttzvVdP67zw/edit#gid=1931367683"" ,""ENERGY!$A$2:$F$2692""), {2,3,4,5,6},0))"),"Europe")</f>
        <v>Europe</v>
      </c>
      <c r="AC1593" s="14" t="str">
        <f>IFERROR(__xludf.DUMMYFUNCTION("""COMPUTED_VALUE"""),"Moldova-Europe")</f>
        <v>Moldova-Europe</v>
      </c>
      <c r="AD1593" s="14" t="str">
        <f>IFERROR(__xludf.DUMMYFUNCTION("""COMPUTED_VALUE"""),"2007")</f>
        <v>2007</v>
      </c>
      <c r="AE1593" s="14">
        <f>IFERROR(__xludf.DUMMYFUNCTION("""COMPUTED_VALUE"""),3342.0)</f>
        <v>3342</v>
      </c>
      <c r="AF1593" s="14">
        <f>IFERROR(__xludf.DUMMYFUNCTION("""COMPUTED_VALUE"""),4686.0)</f>
        <v>4686</v>
      </c>
    </row>
    <row r="1594">
      <c r="A1594" s="12">
        <v>1593.0</v>
      </c>
      <c r="B1594" s="12" t="s">
        <v>201</v>
      </c>
      <c r="C1594" s="5" t="s">
        <v>75</v>
      </c>
      <c r="D1594" s="11">
        <v>0.459</v>
      </c>
      <c r="E1594" s="11">
        <v>30.0</v>
      </c>
      <c r="F1594" s="8"/>
      <c r="G1594" s="11">
        <v>232.0</v>
      </c>
      <c r="H1594" s="11">
        <v>0.196</v>
      </c>
      <c r="I1594" s="11">
        <v>0.366</v>
      </c>
      <c r="J1594" s="9" t="s">
        <v>67</v>
      </c>
      <c r="K1594" s="14" t="str">
        <f>IFERROR(__xludf.DUMMYFUNCTION("ARRAYFORMULA(VLOOKUP(A1594,IMPORTRANGE(""https://docs.google.com/spreadsheets/d/1BuTWp7qHGjWhqrnf-OmePP568O4A5Am9ttzvVdP67zw/edit#gid=1603210130"", ""TOURISM!$A$2:$F$2692""), {2,3,4,5,6},0))"),"Europe")</f>
        <v>Europe</v>
      </c>
      <c r="L1594" s="14">
        <f>IFERROR(__xludf.DUMMYFUNCTION("""COMPUTED_VALUE"""),1.5E8)</f>
        <v>150000000</v>
      </c>
      <c r="M1594" s="14" t="str">
        <f>IFERROR(__xludf.DUMMYFUNCTION("""COMPUTED_VALUE"""),"Moldova-Europe")</f>
        <v>Moldova-Europe</v>
      </c>
      <c r="N1594" s="14" t="str">
        <f>IFERROR(__xludf.DUMMYFUNCTION("""COMPUTED_VALUE"""),"2006")</f>
        <v>2006</v>
      </c>
      <c r="O1594" s="14">
        <f>IFERROR(__xludf.DUMMYFUNCTION("""COMPUTED_VALUE"""),2.24E8)</f>
        <v>224000000</v>
      </c>
      <c r="P1594" s="15">
        <f>IFERROR(__xludf.DUMMYFUNCTION("ARRAYFORMULA(VLOOKUP(A1594,IMPORTRANGE(""https://docs.google.com/spreadsheets/d/1BuTWp7qHGjWhqrnf-OmePP568O4A5Am9ttzvVdP67zw/edit#gid=771602874"" ,""HUMAN RESOURCES!$A$2:$M$2692""), {2,3,4,5,6,7,8,9,10,11,12,13},0))"),0.012)</f>
        <v>0.012</v>
      </c>
      <c r="Q1594" s="14">
        <f>IFERROR(__xludf.DUMMYFUNCTION("""COMPUTED_VALUE"""),0.018)</f>
        <v>0.018</v>
      </c>
      <c r="R1594" s="14">
        <f>IFERROR(__xludf.DUMMYFUNCTION("""COMPUTED_VALUE"""),72.0)</f>
        <v>72</v>
      </c>
      <c r="S1594" s="14">
        <f>IFERROR(__xludf.DUMMYFUNCTION("""COMPUTED_VALUE"""),64.0)</f>
        <v>64</v>
      </c>
      <c r="T1594" s="14">
        <f>IFERROR(__xludf.DUMMYFUNCTION("""COMPUTED_VALUE"""),0.182)</f>
        <v>0.182</v>
      </c>
      <c r="U1594" s="14">
        <f>IFERROR(__xludf.DUMMYFUNCTION("""COMPUTED_VALUE"""),0.705)</f>
        <v>0.705</v>
      </c>
      <c r="V1594" s="14">
        <f>IFERROR(__xludf.DUMMYFUNCTION("""COMPUTED_VALUE"""),0.113)</f>
        <v>0.113</v>
      </c>
      <c r="W1594" s="14">
        <f>IFERROR(__xludf.DUMMYFUNCTION("""COMPUTED_VALUE"""),3585209.0)</f>
        <v>3585209</v>
      </c>
      <c r="X1594" s="14">
        <f>IFERROR(__xludf.DUMMYFUNCTION("""COMPUTED_VALUE"""),0.452)</f>
        <v>0.452</v>
      </c>
      <c r="Y1594" s="14" t="str">
        <f>IFERROR(__xludf.DUMMYFUNCTION("""COMPUTED_VALUE"""),"Moldova-Europe")</f>
        <v>Moldova-Europe</v>
      </c>
      <c r="Z1594" s="14" t="str">
        <f>IFERROR(__xludf.DUMMYFUNCTION("""COMPUTED_VALUE"""),"Europe")</f>
        <v>Europe</v>
      </c>
      <c r="AA1594" s="14" t="str">
        <f>IFERROR(__xludf.DUMMYFUNCTION("""COMPUTED_VALUE"""),"2006")</f>
        <v>2006</v>
      </c>
      <c r="AB1594" s="15" t="str">
        <f>IFERROR(__xludf.DUMMYFUNCTION("ARRAYFORMULA(VLOOKUP(A1594,IMPORTRANGE(""https://docs.google.com/spreadsheets/d/1BuTWp7qHGjWhqrnf-OmePP568O4A5Am9ttzvVdP67zw/edit#gid=1931367683"" ,""ENERGY!$A$2:$F$2692""), {2,3,4,5,6},0))"),"Europe")</f>
        <v>Europe</v>
      </c>
      <c r="AC1594" s="14" t="str">
        <f>IFERROR(__xludf.DUMMYFUNCTION("""COMPUTED_VALUE"""),"Moldova-Europe")</f>
        <v>Moldova-Europe</v>
      </c>
      <c r="AD1594" s="14" t="str">
        <f>IFERROR(__xludf.DUMMYFUNCTION("""COMPUTED_VALUE"""),"2011")</f>
        <v>2011</v>
      </c>
      <c r="AE1594" s="14">
        <f>IFERROR(__xludf.DUMMYFUNCTION("""COMPUTED_VALUE"""),3441.0)</f>
        <v>3441</v>
      </c>
      <c r="AF1594" s="14">
        <f>IFERROR(__xludf.DUMMYFUNCTION("""COMPUTED_VALUE"""),4994.0)</f>
        <v>4994</v>
      </c>
    </row>
    <row r="1595">
      <c r="A1595" s="12">
        <v>1594.0</v>
      </c>
      <c r="B1595" s="12" t="s">
        <v>201</v>
      </c>
      <c r="C1595" s="5" t="s">
        <v>75</v>
      </c>
      <c r="D1595" s="11">
        <v>0.425</v>
      </c>
      <c r="E1595" s="11">
        <v>23.0</v>
      </c>
      <c r="F1595" s="8"/>
      <c r="G1595" s="11">
        <v>234.0</v>
      </c>
      <c r="H1595" s="11">
        <v>0.205</v>
      </c>
      <c r="I1595" s="11">
        <v>0.513</v>
      </c>
      <c r="J1595" s="9" t="s">
        <v>68</v>
      </c>
      <c r="K1595" s="14" t="str">
        <f>IFERROR(__xludf.DUMMYFUNCTION("ARRAYFORMULA(VLOOKUP(A1595,IMPORTRANGE(""https://docs.google.com/spreadsheets/d/1BuTWp7qHGjWhqrnf-OmePP568O4A5Am9ttzvVdP67zw/edit#gid=1603210130"", ""TOURISM!$A$2:$F$2692""), {2,3,4,5,6},0))"),"Europe")</f>
        <v>Europe</v>
      </c>
      <c r="L1595" s="14">
        <f>IFERROR(__xludf.DUMMYFUNCTION("""COMPUTED_VALUE"""),2.29E8)</f>
        <v>229000000</v>
      </c>
      <c r="M1595" s="14" t="str">
        <f>IFERROR(__xludf.DUMMYFUNCTION("""COMPUTED_VALUE"""),"Moldova-Europe")</f>
        <v>Moldova-Europe</v>
      </c>
      <c r="N1595" s="14" t="str">
        <f>IFERROR(__xludf.DUMMYFUNCTION("""COMPUTED_VALUE"""),"2007")</f>
        <v>2007</v>
      </c>
      <c r="O1595" s="14">
        <f>IFERROR(__xludf.DUMMYFUNCTION("""COMPUTED_VALUE"""),2.9E8)</f>
        <v>290000000</v>
      </c>
      <c r="P1595" s="15">
        <f>IFERROR(__xludf.DUMMYFUNCTION("ARRAYFORMULA(VLOOKUP(A1595,IMPORTRANGE(""https://docs.google.com/spreadsheets/d/1BuTWp7qHGjWhqrnf-OmePP568O4A5Am9ttzvVdP67zw/edit#gid=771602874"" ,""HUMAN RESOURCES!$A$2:$M$2692""), {2,3,4,5,6,7,8,9,10,11,12,13},0))"),0.012)</f>
        <v>0.012</v>
      </c>
      <c r="Q1595" s="14">
        <f>IFERROR(__xludf.DUMMYFUNCTION("""COMPUTED_VALUE"""),0.017)</f>
        <v>0.017</v>
      </c>
      <c r="R1595" s="14">
        <f>IFERROR(__xludf.DUMMYFUNCTION("""COMPUTED_VALUE"""),72.0)</f>
        <v>72</v>
      </c>
      <c r="S1595" s="14">
        <f>IFERROR(__xludf.DUMMYFUNCTION("""COMPUTED_VALUE"""),64.0)</f>
        <v>64</v>
      </c>
      <c r="T1595" s="14">
        <f>IFERROR(__xludf.DUMMYFUNCTION("""COMPUTED_VALUE"""),0.177)</f>
        <v>0.177</v>
      </c>
      <c r="U1595" s="14">
        <f>IFERROR(__xludf.DUMMYFUNCTION("""COMPUTED_VALUE"""),0.71)</f>
        <v>0.71</v>
      </c>
      <c r="V1595" s="14">
        <f>IFERROR(__xludf.DUMMYFUNCTION("""COMPUTED_VALUE"""),0.113)</f>
        <v>0.113</v>
      </c>
      <c r="W1595" s="14">
        <f>IFERROR(__xludf.DUMMYFUNCTION("""COMPUTED_VALUE"""),3576910.0)</f>
        <v>3576910</v>
      </c>
      <c r="X1595" s="14">
        <f>IFERROR(__xludf.DUMMYFUNCTION("""COMPUTED_VALUE"""),0.451)</f>
        <v>0.451</v>
      </c>
      <c r="Y1595" s="14" t="str">
        <f>IFERROR(__xludf.DUMMYFUNCTION("""COMPUTED_VALUE"""),"Moldova-Europe")</f>
        <v>Moldova-Europe</v>
      </c>
      <c r="Z1595" s="14" t="str">
        <f>IFERROR(__xludf.DUMMYFUNCTION("""COMPUTED_VALUE"""),"Europe")</f>
        <v>Europe</v>
      </c>
      <c r="AA1595" s="14" t="str">
        <f>IFERROR(__xludf.DUMMYFUNCTION("""COMPUTED_VALUE"""),"2007")</f>
        <v>2007</v>
      </c>
      <c r="AB1595" s="15" t="str">
        <f>IFERROR(__xludf.DUMMYFUNCTION("ARRAYFORMULA(VLOOKUP(A1595,IMPORTRANGE(""https://docs.google.com/spreadsheets/d/1BuTWp7qHGjWhqrnf-OmePP568O4A5Am9ttzvVdP67zw/edit#gid=1931367683"" ,""ENERGY!$A$2:$F$2692""), {2,3,4,5,6},0))"),"Europe")</f>
        <v>Europe</v>
      </c>
      <c r="AC1595" s="14" t="str">
        <f>IFERROR(__xludf.DUMMYFUNCTION("""COMPUTED_VALUE"""),"Moldova-Europe")</f>
        <v>Moldova-Europe</v>
      </c>
      <c r="AD1595" s="14" t="str">
        <f>IFERROR(__xludf.DUMMYFUNCTION("""COMPUTED_VALUE"""),"2009")</f>
        <v>2009</v>
      </c>
      <c r="AE1595" s="14">
        <f>IFERROR(__xludf.DUMMYFUNCTION("""COMPUTED_VALUE"""),3500.0)</f>
        <v>3500</v>
      </c>
      <c r="AF1595" s="14">
        <f>IFERROR(__xludf.DUMMYFUNCTION("""COMPUTED_VALUE"""),4895.0)</f>
        <v>4895</v>
      </c>
    </row>
    <row r="1596">
      <c r="A1596" s="12">
        <v>1595.0</v>
      </c>
      <c r="B1596" s="12" t="s">
        <v>201</v>
      </c>
      <c r="C1596" s="5" t="s">
        <v>75</v>
      </c>
      <c r="D1596" s="11">
        <v>0.42</v>
      </c>
      <c r="E1596" s="11">
        <v>15.0</v>
      </c>
      <c r="F1596" s="8"/>
      <c r="G1596" s="11">
        <v>234.0</v>
      </c>
      <c r="H1596" s="11">
        <v>0.234</v>
      </c>
      <c r="I1596" s="11">
        <v>0.666</v>
      </c>
      <c r="J1596" s="9" t="s">
        <v>69</v>
      </c>
      <c r="K1596" s="14" t="str">
        <f>IFERROR(__xludf.DUMMYFUNCTION("ARRAYFORMULA(VLOOKUP(A1596,IMPORTRANGE(""https://docs.google.com/spreadsheets/d/1BuTWp7qHGjWhqrnf-OmePP568O4A5Am9ttzvVdP67zw/edit#gid=1603210130"", ""TOURISM!$A$2:$F$2692""), {2,3,4,5,6},0))"),"Europe")</f>
        <v>Europe</v>
      </c>
      <c r="L1596" s="14">
        <f>IFERROR(__xludf.DUMMYFUNCTION("""COMPUTED_VALUE"""),2.93E8)</f>
        <v>293000000</v>
      </c>
      <c r="M1596" s="14" t="str">
        <f>IFERROR(__xludf.DUMMYFUNCTION("""COMPUTED_VALUE"""),"Moldova-Europe")</f>
        <v>Moldova-Europe</v>
      </c>
      <c r="N1596" s="14" t="str">
        <f>IFERROR(__xludf.DUMMYFUNCTION("""COMPUTED_VALUE"""),"2008")</f>
        <v>2008</v>
      </c>
      <c r="O1596" s="14">
        <f>IFERROR(__xludf.DUMMYFUNCTION("""COMPUTED_VALUE"""),3.59E8)</f>
        <v>359000000</v>
      </c>
      <c r="P1596" s="15">
        <f>IFERROR(__xludf.DUMMYFUNCTION("ARRAYFORMULA(VLOOKUP(A1596,IMPORTRANGE(""https://docs.google.com/spreadsheets/d/1BuTWp7qHGjWhqrnf-OmePP568O4A5Am9ttzvVdP67zw/edit#gid=771602874"" ,""HUMAN RESOURCES!$A$2:$M$2692""), {2,3,4,5,6,7,8,9,10,11,12,13},0))"),0.012)</f>
        <v>0.012</v>
      </c>
      <c r="Q1596" s="14">
        <f>IFERROR(__xludf.DUMMYFUNCTION("""COMPUTED_VALUE"""),0.016)</f>
        <v>0.016</v>
      </c>
      <c r="R1596" s="14">
        <f>IFERROR(__xludf.DUMMYFUNCTION("""COMPUTED_VALUE"""),72.0)</f>
        <v>72</v>
      </c>
      <c r="S1596" s="14">
        <f>IFERROR(__xludf.DUMMYFUNCTION("""COMPUTED_VALUE"""),64.0)</f>
        <v>64</v>
      </c>
      <c r="T1596" s="14">
        <f>IFERROR(__xludf.DUMMYFUNCTION("""COMPUTED_VALUE"""),0.172)</f>
        <v>0.172</v>
      </c>
      <c r="U1596" s="14">
        <f>IFERROR(__xludf.DUMMYFUNCTION("""COMPUTED_VALUE"""),0.715)</f>
        <v>0.715</v>
      </c>
      <c r="V1596" s="14">
        <f>IFERROR(__xludf.DUMMYFUNCTION("""COMPUTED_VALUE"""),0.112)</f>
        <v>0.112</v>
      </c>
      <c r="W1596" s="14">
        <f>IFERROR(__xludf.DUMMYFUNCTION("""COMPUTED_VALUE"""),3570108.0)</f>
        <v>3570108</v>
      </c>
      <c r="X1596" s="14">
        <f>IFERROR(__xludf.DUMMYFUNCTION("""COMPUTED_VALUE"""),0.45)</f>
        <v>0.45</v>
      </c>
      <c r="Y1596" s="14" t="str">
        <f>IFERROR(__xludf.DUMMYFUNCTION("""COMPUTED_VALUE"""),"Moldova-Europe")</f>
        <v>Moldova-Europe</v>
      </c>
      <c r="Z1596" s="14" t="str">
        <f>IFERROR(__xludf.DUMMYFUNCTION("""COMPUTED_VALUE"""),"Europe")</f>
        <v>Europe</v>
      </c>
      <c r="AA1596" s="14" t="str">
        <f>IFERROR(__xludf.DUMMYFUNCTION("""COMPUTED_VALUE"""),"2008")</f>
        <v>2008</v>
      </c>
      <c r="AB1596" s="15" t="str">
        <f>IFERROR(__xludf.DUMMYFUNCTION("ARRAYFORMULA(VLOOKUP(A1596,IMPORTRANGE(""https://docs.google.com/spreadsheets/d/1BuTWp7qHGjWhqrnf-OmePP568O4A5Am9ttzvVdP67zw/edit#gid=1931367683"" ,""ENERGY!$A$2:$F$2692""), {2,3,4,5,6},0))"),"Europe")</f>
        <v>Europe</v>
      </c>
      <c r="AC1596" s="14" t="str">
        <f>IFERROR(__xludf.DUMMYFUNCTION("""COMPUTED_VALUE"""),"Moldova-Europe")</f>
        <v>Moldova-Europe</v>
      </c>
      <c r="AD1596" s="14" t="str">
        <f>IFERROR(__xludf.DUMMYFUNCTION("""COMPUTED_VALUE"""),"2006")</f>
        <v>2006</v>
      </c>
      <c r="AE1596" s="14">
        <f>IFERROR(__xludf.DUMMYFUNCTION("""COMPUTED_VALUE"""),3377.0)</f>
        <v>3377</v>
      </c>
      <c r="AF1596" s="14">
        <f>IFERROR(__xludf.DUMMYFUNCTION("""COMPUTED_VALUE"""),4554.0)</f>
        <v>4554</v>
      </c>
    </row>
    <row r="1597">
      <c r="A1597" s="12">
        <v>1596.0</v>
      </c>
      <c r="B1597" s="12" t="s">
        <v>201</v>
      </c>
      <c r="C1597" s="5" t="s">
        <v>75</v>
      </c>
      <c r="D1597" s="11">
        <v>0.31</v>
      </c>
      <c r="E1597" s="11">
        <v>10.0</v>
      </c>
      <c r="F1597" s="8"/>
      <c r="G1597" s="11">
        <v>228.0</v>
      </c>
      <c r="H1597" s="11">
        <v>0.275</v>
      </c>
      <c r="I1597" s="11">
        <v>0.593</v>
      </c>
      <c r="J1597" s="9" t="s">
        <v>70</v>
      </c>
      <c r="K1597" s="14" t="str">
        <f>IFERROR(__xludf.DUMMYFUNCTION("ARRAYFORMULA(VLOOKUP(A1597,IMPORTRANGE(""https://docs.google.com/spreadsheets/d/1BuTWp7qHGjWhqrnf-OmePP568O4A5Am9ttzvVdP67zw/edit#gid=1603210130"", ""TOURISM!$A$2:$F$2692""), {2,3,4,5,6},0))"),"Europe")</f>
        <v>Europe</v>
      </c>
      <c r="L1597" s="14">
        <f>IFERROR(__xludf.DUMMYFUNCTION("""COMPUTED_VALUE"""),2.4E8)</f>
        <v>240000000</v>
      </c>
      <c r="M1597" s="14" t="str">
        <f>IFERROR(__xludf.DUMMYFUNCTION("""COMPUTED_VALUE"""),"Moldova-Europe")</f>
        <v>Moldova-Europe</v>
      </c>
      <c r="N1597" s="14" t="str">
        <f>IFERROR(__xludf.DUMMYFUNCTION("""COMPUTED_VALUE"""),"2009")</f>
        <v>2009</v>
      </c>
      <c r="O1597" s="14">
        <f>IFERROR(__xludf.DUMMYFUNCTION("""COMPUTED_VALUE"""),3.07E8)</f>
        <v>307000000</v>
      </c>
      <c r="P1597" s="15">
        <f>IFERROR(__xludf.DUMMYFUNCTION("ARRAYFORMULA(VLOOKUP(A1597,IMPORTRANGE(""https://docs.google.com/spreadsheets/d/1BuTWp7qHGjWhqrnf-OmePP568O4A5Am9ttzvVdP67zw/edit#gid=771602874"" ,""HUMAN RESOURCES!$A$2:$M$2692""), {2,3,4,5,6,7,8,9,10,11,12,13},0))"),0.012)</f>
        <v>0.012</v>
      </c>
      <c r="Q1597" s="14">
        <f>IFERROR(__xludf.DUMMYFUNCTION("""COMPUTED_VALUE"""),0.016)</f>
        <v>0.016</v>
      </c>
      <c r="R1597" s="14">
        <f>IFERROR(__xludf.DUMMYFUNCTION("""COMPUTED_VALUE"""),72.0)</f>
        <v>72</v>
      </c>
      <c r="S1597" s="14">
        <f>IFERROR(__xludf.DUMMYFUNCTION("""COMPUTED_VALUE"""),65.0)</f>
        <v>65</v>
      </c>
      <c r="T1597" s="14">
        <f>IFERROR(__xludf.DUMMYFUNCTION("""COMPUTED_VALUE"""),0.169)</f>
        <v>0.169</v>
      </c>
      <c r="U1597" s="14">
        <f>IFERROR(__xludf.DUMMYFUNCTION("""COMPUTED_VALUE"""),0.719)</f>
        <v>0.719</v>
      </c>
      <c r="V1597" s="14">
        <f>IFERROR(__xludf.DUMMYFUNCTION("""COMPUTED_VALUE"""),0.112)</f>
        <v>0.112</v>
      </c>
      <c r="W1597" s="14">
        <f>IFERROR(__xludf.DUMMYFUNCTION("""COMPUTED_VALUE"""),3565604.0)</f>
        <v>3565604</v>
      </c>
      <c r="X1597" s="14">
        <f>IFERROR(__xludf.DUMMYFUNCTION("""COMPUTED_VALUE"""),0.449)</f>
        <v>0.449</v>
      </c>
      <c r="Y1597" s="14" t="str">
        <f>IFERROR(__xludf.DUMMYFUNCTION("""COMPUTED_VALUE"""),"Moldova-Europe")</f>
        <v>Moldova-Europe</v>
      </c>
      <c r="Z1597" s="14" t="str">
        <f>IFERROR(__xludf.DUMMYFUNCTION("""COMPUTED_VALUE"""),"Europe")</f>
        <v>Europe</v>
      </c>
      <c r="AA1597" s="14" t="str">
        <f>IFERROR(__xludf.DUMMYFUNCTION("""COMPUTED_VALUE"""),"2009")</f>
        <v>2009</v>
      </c>
      <c r="AB1597" s="15" t="str">
        <f>IFERROR(__xludf.DUMMYFUNCTION("ARRAYFORMULA(VLOOKUP(A1597,IMPORTRANGE(""https://docs.google.com/spreadsheets/d/1BuTWp7qHGjWhqrnf-OmePP568O4A5Am9ttzvVdP67zw/edit#gid=1931367683"" ,""ENERGY!$A$2:$F$2692""), {2,3,4,5,6},0))"),"Europe")</f>
        <v>Europe</v>
      </c>
      <c r="AC1597" s="14" t="str">
        <f>IFERROR(__xludf.DUMMYFUNCTION("""COMPUTED_VALUE"""),"Moldova-Europe")</f>
        <v>Moldova-Europe</v>
      </c>
      <c r="AD1597" s="14" t="str">
        <f>IFERROR(__xludf.DUMMYFUNCTION("""COMPUTED_VALUE"""),"2011")</f>
        <v>2011</v>
      </c>
      <c r="AE1597" s="14">
        <f>IFERROR(__xludf.DUMMYFUNCTION("""COMPUTED_VALUE"""),3360.0)</f>
        <v>3360</v>
      </c>
      <c r="AF1597" s="14">
        <f>IFERROR(__xludf.DUMMYFUNCTION("""COMPUTED_VALUE"""),4290.0)</f>
        <v>4290</v>
      </c>
    </row>
    <row r="1598">
      <c r="A1598" s="12">
        <v>1597.0</v>
      </c>
      <c r="B1598" s="12" t="s">
        <v>201</v>
      </c>
      <c r="C1598" s="5" t="s">
        <v>75</v>
      </c>
      <c r="D1598" s="11">
        <v>0.304</v>
      </c>
      <c r="E1598" s="11">
        <v>10.0</v>
      </c>
      <c r="F1598" s="8"/>
      <c r="G1598" s="11">
        <v>228.0</v>
      </c>
      <c r="H1598" s="11">
        <v>0.323</v>
      </c>
      <c r="I1598" s="11">
        <v>0.714</v>
      </c>
      <c r="J1598" s="9" t="s">
        <v>71</v>
      </c>
      <c r="K1598" s="14" t="str">
        <f>IFERROR(__xludf.DUMMYFUNCTION("ARRAYFORMULA(VLOOKUP(A1598,IMPORTRANGE(""https://docs.google.com/spreadsheets/d/1BuTWp7qHGjWhqrnf-OmePP568O4A5Am9ttzvVdP67zw/edit#gid=1603210130"", ""TOURISM!$A$2:$F$2692""), {2,3,4,5,6},0))"),"Europe")</f>
        <v>Europe</v>
      </c>
      <c r="L1598" s="14">
        <f>IFERROR(__xludf.DUMMYFUNCTION("""COMPUTED_VALUE"""),2.32E8)</f>
        <v>232000000</v>
      </c>
      <c r="M1598" s="14" t="str">
        <f>IFERROR(__xludf.DUMMYFUNCTION("""COMPUTED_VALUE"""),"Moldova-Europe")</f>
        <v>Moldova-Europe</v>
      </c>
      <c r="N1598" s="14" t="str">
        <f>IFERROR(__xludf.DUMMYFUNCTION("""COMPUTED_VALUE"""),"2010")</f>
        <v>2010</v>
      </c>
      <c r="O1598" s="14">
        <f>IFERROR(__xludf.DUMMYFUNCTION("""COMPUTED_VALUE"""),3.24E8)</f>
        <v>324000000</v>
      </c>
      <c r="P1598" s="15">
        <f>IFERROR(__xludf.DUMMYFUNCTION("ARRAYFORMULA(VLOOKUP(A1598,IMPORTRANGE(""https://docs.google.com/spreadsheets/d/1BuTWp7qHGjWhqrnf-OmePP568O4A5Am9ttzvVdP67zw/edit#gid=771602874"" ,""HUMAN RESOURCES!$A$2:$M$2692""), {2,3,4,5,6,7,8,9,10,11,12,13},0))"),0.012)</f>
        <v>0.012</v>
      </c>
      <c r="Q1598" s="14">
        <f>IFERROR(__xludf.DUMMYFUNCTION("""COMPUTED_VALUE"""),0.015)</f>
        <v>0.015</v>
      </c>
      <c r="R1598" s="14">
        <f>IFERROR(__xludf.DUMMYFUNCTION("""COMPUTED_VALUE"""),72.0)</f>
        <v>72</v>
      </c>
      <c r="S1598" s="14">
        <f>IFERROR(__xludf.DUMMYFUNCTION("""COMPUTED_VALUE"""),65.0)</f>
        <v>65</v>
      </c>
      <c r="T1598" s="14">
        <f>IFERROR(__xludf.DUMMYFUNCTION("""COMPUTED_VALUE"""),0.167)</f>
        <v>0.167</v>
      </c>
      <c r="U1598" s="14">
        <f>IFERROR(__xludf.DUMMYFUNCTION("""COMPUTED_VALUE"""),0.722)</f>
        <v>0.722</v>
      </c>
      <c r="V1598" s="14">
        <f>IFERROR(__xludf.DUMMYFUNCTION("""COMPUTED_VALUE"""),0.112)</f>
        <v>0.112</v>
      </c>
      <c r="W1598" s="14">
        <f>IFERROR(__xludf.DUMMYFUNCTION("""COMPUTED_VALUE"""),3562045.0)</f>
        <v>3562045</v>
      </c>
      <c r="X1598" s="14">
        <f>IFERROR(__xludf.DUMMYFUNCTION("""COMPUTED_VALUE"""),0.449)</f>
        <v>0.449</v>
      </c>
      <c r="Y1598" s="14" t="str">
        <f>IFERROR(__xludf.DUMMYFUNCTION("""COMPUTED_VALUE"""),"Moldova-Europe")</f>
        <v>Moldova-Europe</v>
      </c>
      <c r="Z1598" s="14" t="str">
        <f>IFERROR(__xludf.DUMMYFUNCTION("""COMPUTED_VALUE"""),"Europe")</f>
        <v>Europe</v>
      </c>
      <c r="AA1598" s="14" t="str">
        <f>IFERROR(__xludf.DUMMYFUNCTION("""COMPUTED_VALUE"""),"2010")</f>
        <v>2010</v>
      </c>
      <c r="AB1598" s="15" t="str">
        <f>IFERROR(__xludf.DUMMYFUNCTION("ARRAYFORMULA(VLOOKUP(A1598,IMPORTRANGE(""https://docs.google.com/spreadsheets/d/1BuTWp7qHGjWhqrnf-OmePP568O4A5Am9ttzvVdP67zw/edit#gid=1931367683"" ,""ENERGY!$A$2:$F$2692""), {2,3,4,5,6},0))"),"Europe")</f>
        <v>Europe</v>
      </c>
      <c r="AC1598" s="14" t="str">
        <f>IFERROR(__xludf.DUMMYFUNCTION("""COMPUTED_VALUE"""),"Moldova-Europe")</f>
        <v>Moldova-Europe</v>
      </c>
      <c r="AD1598" s="14" t="str">
        <f>IFERROR(__xludf.DUMMYFUNCTION("""COMPUTED_VALUE"""),"2005")</f>
        <v>2005</v>
      </c>
      <c r="AE1598" s="14">
        <f>IFERROR(__xludf.DUMMYFUNCTION("""COMPUTED_VALUE"""),3096.0)</f>
        <v>3096</v>
      </c>
      <c r="AF1598" s="14">
        <f>IFERROR(__xludf.DUMMYFUNCTION("""COMPUTED_VALUE"""),3986.0)</f>
        <v>3986</v>
      </c>
    </row>
    <row r="1599">
      <c r="A1599" s="12">
        <v>1598.0</v>
      </c>
      <c r="B1599" s="12" t="s">
        <v>201</v>
      </c>
      <c r="C1599" s="5" t="s">
        <v>75</v>
      </c>
      <c r="D1599" s="11">
        <v>0.308</v>
      </c>
      <c r="E1599" s="11">
        <v>9.0</v>
      </c>
      <c r="F1599" s="8"/>
      <c r="G1599" s="11">
        <v>228.0</v>
      </c>
      <c r="H1599" s="11">
        <v>0.38</v>
      </c>
      <c r="I1599" s="11">
        <v>0.908</v>
      </c>
      <c r="J1599" s="9" t="s">
        <v>72</v>
      </c>
      <c r="K1599" s="14" t="str">
        <f>IFERROR(__xludf.DUMMYFUNCTION("ARRAYFORMULA(VLOOKUP(A1599,IMPORTRANGE(""https://docs.google.com/spreadsheets/d/1BuTWp7qHGjWhqrnf-OmePP568O4A5Am9ttzvVdP67zw/edit#gid=1603210130"", ""TOURISM!$A$2:$F$2692""), {2,3,4,5,6},0))"),"Europe")</f>
        <v>Europe</v>
      </c>
      <c r="L1599" s="14">
        <f>IFERROR(__xludf.DUMMYFUNCTION("""COMPUTED_VALUE"""),2.62E8)</f>
        <v>262000000</v>
      </c>
      <c r="M1599" s="14" t="str">
        <f>IFERROR(__xludf.DUMMYFUNCTION("""COMPUTED_VALUE"""),"Moldova-Europe")</f>
        <v>Moldova-Europe</v>
      </c>
      <c r="N1599" s="14" t="str">
        <f>IFERROR(__xludf.DUMMYFUNCTION("""COMPUTED_VALUE"""),"2011")</f>
        <v>2011</v>
      </c>
      <c r="O1599" s="14">
        <f>IFERROR(__xludf.DUMMYFUNCTION("""COMPUTED_VALUE"""),3.74E8)</f>
        <v>374000000</v>
      </c>
      <c r="P1599" s="15">
        <f>IFERROR(__xludf.DUMMYFUNCTION("ARRAYFORMULA(VLOOKUP(A1599,IMPORTRANGE(""https://docs.google.com/spreadsheets/d/1BuTWp7qHGjWhqrnf-OmePP568O4A5Am9ttzvVdP67zw/edit#gid=771602874"" ,""HUMAN RESOURCES!$A$2:$M$2692""), {2,3,4,5,6,7,8,9,10,11,12,13},0))"),0.012)</f>
        <v>0.012</v>
      </c>
      <c r="Q1599" s="14">
        <f>IFERROR(__xludf.DUMMYFUNCTION("""COMPUTED_VALUE"""),0.014)</f>
        <v>0.014</v>
      </c>
      <c r="R1599" s="14">
        <f>IFERROR(__xludf.DUMMYFUNCTION("""COMPUTED_VALUE"""),73.0)</f>
        <v>73</v>
      </c>
      <c r="S1599" s="14">
        <f>IFERROR(__xludf.DUMMYFUNCTION("""COMPUTED_VALUE"""),65.0)</f>
        <v>65</v>
      </c>
      <c r="T1599" s="14">
        <f>IFERROR(__xludf.DUMMYFUNCTION("""COMPUTED_VALUE"""),0.165)</f>
        <v>0.165</v>
      </c>
      <c r="U1599" s="14">
        <f>IFERROR(__xludf.DUMMYFUNCTION("""COMPUTED_VALUE"""),0.723)</f>
        <v>0.723</v>
      </c>
      <c r="V1599" s="14">
        <f>IFERROR(__xludf.DUMMYFUNCTION("""COMPUTED_VALUE"""),0.112)</f>
        <v>0.112</v>
      </c>
      <c r="W1599" s="14">
        <f>IFERROR(__xludf.DUMMYFUNCTION("""COMPUTED_VALUE"""),3559986.0)</f>
        <v>3559986</v>
      </c>
      <c r="X1599" s="14">
        <f>IFERROR(__xludf.DUMMYFUNCTION("""COMPUTED_VALUE"""),0.449)</f>
        <v>0.449</v>
      </c>
      <c r="Y1599" s="14" t="str">
        <f>IFERROR(__xludf.DUMMYFUNCTION("""COMPUTED_VALUE"""),"Moldova-Europe")</f>
        <v>Moldova-Europe</v>
      </c>
      <c r="Z1599" s="14" t="str">
        <f>IFERROR(__xludf.DUMMYFUNCTION("""COMPUTED_VALUE"""),"Europe")</f>
        <v>Europe</v>
      </c>
      <c r="AA1599" s="14" t="str">
        <f>IFERROR(__xludf.DUMMYFUNCTION("""COMPUTED_VALUE"""),"2011")</f>
        <v>2011</v>
      </c>
      <c r="AB1599" s="15" t="str">
        <f>IFERROR(__xludf.DUMMYFUNCTION("ARRAYFORMULA(VLOOKUP(A1599,IMPORTRANGE(""https://docs.google.com/spreadsheets/d/1BuTWp7qHGjWhqrnf-OmePP568O4A5Am9ttzvVdP67zw/edit#gid=1931367683"" ,""ENERGY!$A$2:$F$2692""), {2,3,4,5,6},0))"),"Europe")</f>
        <v>Europe</v>
      </c>
      <c r="AC1599" s="14" t="str">
        <f>IFERROR(__xludf.DUMMYFUNCTION("""COMPUTED_VALUE"""),"Moldova-Europe")</f>
        <v>Moldova-Europe</v>
      </c>
      <c r="AD1599" s="14" t="str">
        <f>IFERROR(__xludf.DUMMYFUNCTION("""COMPUTED_VALUE"""),"2006")</f>
        <v>2006</v>
      </c>
      <c r="AE1599" s="14">
        <f>IFERROR(__xludf.DUMMYFUNCTION("""COMPUTED_VALUE"""),3052.0)</f>
        <v>3052</v>
      </c>
      <c r="AF1599" s="14">
        <f>IFERROR(__xludf.DUMMYFUNCTION("""COMPUTED_VALUE"""),3715.0)</f>
        <v>3715</v>
      </c>
    </row>
    <row r="1600">
      <c r="A1600" s="12">
        <v>1599.0</v>
      </c>
      <c r="B1600" s="12" t="s">
        <v>201</v>
      </c>
      <c r="C1600" s="5" t="s">
        <v>75</v>
      </c>
      <c r="D1600" s="11">
        <v>0.308</v>
      </c>
      <c r="E1600" s="11">
        <v>9.0</v>
      </c>
      <c r="F1600" s="11">
        <v>86.0</v>
      </c>
      <c r="G1600" s="11">
        <v>220.0</v>
      </c>
      <c r="H1600" s="11">
        <v>0.434</v>
      </c>
      <c r="I1600" s="11">
        <v>1.02</v>
      </c>
      <c r="J1600" s="9" t="s">
        <v>73</v>
      </c>
      <c r="K1600" s="14" t="str">
        <f>IFERROR(__xludf.DUMMYFUNCTION("ARRAYFORMULA(VLOOKUP(A1600,IMPORTRANGE(""https://docs.google.com/spreadsheets/d/1BuTWp7qHGjWhqrnf-OmePP568O4A5Am9ttzvVdP67zw/edit#gid=1603210130"", ""TOURISM!$A$2:$F$2692""), {2,3,4,5,6},0))"),"Europe")</f>
        <v>Europe</v>
      </c>
      <c r="L1600" s="14">
        <f>IFERROR(__xludf.DUMMYFUNCTION("""COMPUTED_VALUE"""),2.94E8)</f>
        <v>294000000</v>
      </c>
      <c r="M1600" s="14" t="str">
        <f>IFERROR(__xludf.DUMMYFUNCTION("""COMPUTED_VALUE"""),"Moldova-Europe")</f>
        <v>Moldova-Europe</v>
      </c>
      <c r="N1600" s="14" t="str">
        <f>IFERROR(__xludf.DUMMYFUNCTION("""COMPUTED_VALUE"""),"2012")</f>
        <v>2012</v>
      </c>
      <c r="O1600" s="14">
        <f>IFERROR(__xludf.DUMMYFUNCTION("""COMPUTED_VALUE"""),4.2E8)</f>
        <v>420000000</v>
      </c>
      <c r="P1600" s="15">
        <f>IFERROR(__xludf.DUMMYFUNCTION("ARRAYFORMULA(VLOOKUP(A1600,IMPORTRANGE(""https://docs.google.com/spreadsheets/d/1BuTWp7qHGjWhqrnf-OmePP568O4A5Am9ttzvVdP67zw/edit#gid=771602874"" ,""HUMAN RESOURCES!$A$2:$M$2692""), {2,3,4,5,6,7,8,9,10,11,12,13},0))"),0.012)</f>
        <v>0.012</v>
      </c>
      <c r="Q1600" s="14">
        <f>IFERROR(__xludf.DUMMYFUNCTION("""COMPUTED_VALUE"""),0.014)</f>
        <v>0.014</v>
      </c>
      <c r="R1600" s="14">
        <f>IFERROR(__xludf.DUMMYFUNCTION("""COMPUTED_VALUE"""),73.0)</f>
        <v>73</v>
      </c>
      <c r="S1600" s="14">
        <f>IFERROR(__xludf.DUMMYFUNCTION("""COMPUTED_VALUE"""),65.0)</f>
        <v>65</v>
      </c>
      <c r="T1600" s="14">
        <f>IFERROR(__xludf.DUMMYFUNCTION("""COMPUTED_VALUE"""),0.165)</f>
        <v>0.165</v>
      </c>
      <c r="U1600" s="14">
        <f>IFERROR(__xludf.DUMMYFUNCTION("""COMPUTED_VALUE"""),0.722)</f>
        <v>0.722</v>
      </c>
      <c r="V1600" s="14">
        <f>IFERROR(__xludf.DUMMYFUNCTION("""COMPUTED_VALUE"""),0.112)</f>
        <v>0.112</v>
      </c>
      <c r="W1600" s="14">
        <f>IFERROR(__xludf.DUMMYFUNCTION("""COMPUTED_VALUE"""),3559519.0)</f>
        <v>3559519</v>
      </c>
      <c r="X1600" s="14">
        <f>IFERROR(__xludf.DUMMYFUNCTION("""COMPUTED_VALUE"""),0.449)</f>
        <v>0.449</v>
      </c>
      <c r="Y1600" s="14" t="str">
        <f>IFERROR(__xludf.DUMMYFUNCTION("""COMPUTED_VALUE"""),"Moldova-Europe")</f>
        <v>Moldova-Europe</v>
      </c>
      <c r="Z1600" s="14" t="str">
        <f>IFERROR(__xludf.DUMMYFUNCTION("""COMPUTED_VALUE"""),"Europe")</f>
        <v>Europe</v>
      </c>
      <c r="AA1600" s="14" t="str">
        <f>IFERROR(__xludf.DUMMYFUNCTION("""COMPUTED_VALUE"""),"2012")</f>
        <v>2012</v>
      </c>
      <c r="AB1600" s="15" t="str">
        <f>IFERROR(__xludf.DUMMYFUNCTION("ARRAYFORMULA(VLOOKUP(A1600,IMPORTRANGE(""https://docs.google.com/spreadsheets/d/1BuTWp7qHGjWhqrnf-OmePP568O4A5Am9ttzvVdP67zw/edit#gid=1931367683"" ,""ENERGY!$A$2:$F$2692""), {2,3,4,5,6},0))"),"Europe")</f>
        <v>Europe</v>
      </c>
      <c r="AC1600" s="14" t="str">
        <f>IFERROR(__xludf.DUMMYFUNCTION("""COMPUTED_VALUE"""),"Moldova-Europe")</f>
        <v>Moldova-Europe</v>
      </c>
      <c r="AD1600" s="14" t="str">
        <f>IFERROR(__xludf.DUMMYFUNCTION("""COMPUTED_VALUE"""),"2011")</f>
        <v>2011</v>
      </c>
      <c r="AE1600" s="14">
        <f>IFERROR(__xludf.DUMMYFUNCTION("""COMPUTED_VALUE"""),2883.0)</f>
        <v>2883</v>
      </c>
      <c r="AF1600" s="14">
        <f>IFERROR(__xludf.DUMMYFUNCTION("""COMPUTED_VALUE"""),3513.0)</f>
        <v>3513</v>
      </c>
    </row>
    <row r="1601">
      <c r="A1601" s="12">
        <v>1600.0</v>
      </c>
      <c r="B1601" s="12" t="s">
        <v>202</v>
      </c>
      <c r="C1601" s="5" t="s">
        <v>75</v>
      </c>
      <c r="D1601" s="8"/>
      <c r="E1601" s="8"/>
      <c r="F1601" s="8"/>
      <c r="G1601" s="8"/>
      <c r="H1601" s="11">
        <v>0.422</v>
      </c>
      <c r="I1601" s="11">
        <v>0.434</v>
      </c>
      <c r="J1601" s="9" t="s">
        <v>60</v>
      </c>
      <c r="K1601" s="14" t="str">
        <f>IFERROR(__xludf.DUMMYFUNCTION("ARRAYFORMULA(VLOOKUP(A1601,IMPORTRANGE(""https://docs.google.com/spreadsheets/d/1BuTWp7qHGjWhqrnf-OmePP568O4A5Am9ttzvVdP67zw/edit#gid=1603210130"", ""TOURISM!$A$2:$F$2692""), {2,3,4,5,6},0))"),"Europe")</f>
        <v>Europe</v>
      </c>
      <c r="L1601" s="14"/>
      <c r="M1601" s="14" t="str">
        <f>IFERROR(__xludf.DUMMYFUNCTION("""COMPUTED_VALUE"""),"Monaco-Europe")</f>
        <v>Monaco-Europe</v>
      </c>
      <c r="N1601" s="14" t="str">
        <f>IFERROR(__xludf.DUMMYFUNCTION("""COMPUTED_VALUE"""),"2000")</f>
        <v>2000</v>
      </c>
      <c r="O1601" s="14"/>
      <c r="P1601" s="15" t="str">
        <f>IFERROR(__xludf.DUMMYFUNCTION("ARRAYFORMULA(VLOOKUP(A1601,IMPORTRANGE(""https://docs.google.com/spreadsheets/d/1BuTWp7qHGjWhqrnf-OmePP568O4A5Am9ttzvVdP67zw/edit#gid=771602874"" ,""HUMAN RESOURCES!$A$2:$M$2692""), {2,3,4,5,6,7,8,9,10,11,12,13},0))"),"")</f>
        <v/>
      </c>
      <c r="Q1601" s="14">
        <f>IFERROR(__xludf.DUMMYFUNCTION("""COMPUTED_VALUE"""),0.004)</f>
        <v>0.004</v>
      </c>
      <c r="R1601" s="14"/>
      <c r="S1601" s="14"/>
      <c r="T1601" s="14"/>
      <c r="U1601" s="14"/>
      <c r="V1601" s="14"/>
      <c r="W1601" s="14">
        <f>IFERROR(__xludf.DUMMYFUNCTION("""COMPUTED_VALUE"""),32081.0)</f>
        <v>32081</v>
      </c>
      <c r="X1601" s="14">
        <f>IFERROR(__xludf.DUMMYFUNCTION("""COMPUTED_VALUE"""),1.0)</f>
        <v>1</v>
      </c>
      <c r="Y1601" s="14" t="str">
        <f>IFERROR(__xludf.DUMMYFUNCTION("""COMPUTED_VALUE"""),"Monaco-Europe")</f>
        <v>Monaco-Europe</v>
      </c>
      <c r="Z1601" s="14" t="str">
        <f>IFERROR(__xludf.DUMMYFUNCTION("""COMPUTED_VALUE"""),"Europe")</f>
        <v>Europe</v>
      </c>
      <c r="AA1601" s="14" t="str">
        <f>IFERROR(__xludf.DUMMYFUNCTION("""COMPUTED_VALUE"""),"2000")</f>
        <v>2000</v>
      </c>
      <c r="AB1601" s="15" t="str">
        <f>IFERROR(__xludf.DUMMYFUNCTION("ARRAYFORMULA(VLOOKUP(A1601,IMPORTRANGE(""https://docs.google.com/spreadsheets/d/1BuTWp7qHGjWhqrnf-OmePP568O4A5Am9ttzvVdP67zw/edit#gid=1931367683"" ,""ENERGY!$A$2:$F$2692""), {2,3,4,5,6},0))"),"Europe")</f>
        <v>Europe</v>
      </c>
      <c r="AC1601" s="14" t="str">
        <f>IFERROR(__xludf.DUMMYFUNCTION("""COMPUTED_VALUE"""),"Monaco-Europe")</f>
        <v>Monaco-Europe</v>
      </c>
      <c r="AD1601" s="14" t="str">
        <f>IFERROR(__xludf.DUMMYFUNCTION("""COMPUTED_VALUE"""),"2000")</f>
        <v>2000</v>
      </c>
      <c r="AE1601" s="14"/>
      <c r="AF1601" s="14"/>
    </row>
    <row r="1602">
      <c r="A1602" s="12">
        <v>1601.0</v>
      </c>
      <c r="B1602" s="12" t="s">
        <v>202</v>
      </c>
      <c r="C1602" s="5" t="s">
        <v>75</v>
      </c>
      <c r="D1602" s="8"/>
      <c r="E1602" s="8"/>
      <c r="F1602" s="8"/>
      <c r="G1602" s="8"/>
      <c r="H1602" s="11">
        <v>0.466</v>
      </c>
      <c r="I1602" s="11">
        <v>0.442</v>
      </c>
      <c r="J1602" s="9" t="s">
        <v>62</v>
      </c>
      <c r="K1602" s="14" t="str">
        <f>IFERROR(__xludf.DUMMYFUNCTION("ARRAYFORMULA(VLOOKUP(A1602,IMPORTRANGE(""https://docs.google.com/spreadsheets/d/1BuTWp7qHGjWhqrnf-OmePP568O4A5Am9ttzvVdP67zw/edit#gid=1603210130"", ""TOURISM!$A$2:$F$2692""), {2,3,4,5,6},0))"),"Europe")</f>
        <v>Europe</v>
      </c>
      <c r="L1602" s="14"/>
      <c r="M1602" s="14" t="str">
        <f>IFERROR(__xludf.DUMMYFUNCTION("""COMPUTED_VALUE"""),"Monaco-Europe")</f>
        <v>Monaco-Europe</v>
      </c>
      <c r="N1602" s="14" t="str">
        <f>IFERROR(__xludf.DUMMYFUNCTION("""COMPUTED_VALUE"""),"2001")</f>
        <v>2001</v>
      </c>
      <c r="O1602" s="14"/>
      <c r="P1602" s="15" t="str">
        <f>IFERROR(__xludf.DUMMYFUNCTION("ARRAYFORMULA(VLOOKUP(A1602,IMPORTRANGE(""https://docs.google.com/spreadsheets/d/1BuTWp7qHGjWhqrnf-OmePP568O4A5Am9ttzvVdP67zw/edit#gid=771602874"" ,""HUMAN RESOURCES!$A$2:$M$2692""), {2,3,4,5,6,7,8,9,10,11,12,13},0))"),"")</f>
        <v/>
      </c>
      <c r="Q1602" s="14">
        <f>IFERROR(__xludf.DUMMYFUNCTION("""COMPUTED_VALUE"""),0.004)</f>
        <v>0.004</v>
      </c>
      <c r="R1602" s="14"/>
      <c r="S1602" s="14"/>
      <c r="T1602" s="14"/>
      <c r="U1602" s="14"/>
      <c r="V1602" s="14"/>
      <c r="W1602" s="14">
        <f>IFERROR(__xludf.DUMMYFUNCTION("""COMPUTED_VALUE"""),32366.0)</f>
        <v>32366</v>
      </c>
      <c r="X1602" s="14">
        <f>IFERROR(__xludf.DUMMYFUNCTION("""COMPUTED_VALUE"""),1.0)</f>
        <v>1</v>
      </c>
      <c r="Y1602" s="14" t="str">
        <f>IFERROR(__xludf.DUMMYFUNCTION("""COMPUTED_VALUE"""),"Monaco-Europe")</f>
        <v>Monaco-Europe</v>
      </c>
      <c r="Z1602" s="14" t="str">
        <f>IFERROR(__xludf.DUMMYFUNCTION("""COMPUTED_VALUE"""),"Europe")</f>
        <v>Europe</v>
      </c>
      <c r="AA1602" s="14" t="str">
        <f>IFERROR(__xludf.DUMMYFUNCTION("""COMPUTED_VALUE"""),"2001")</f>
        <v>2001</v>
      </c>
      <c r="AB1602" s="15" t="str">
        <f>IFERROR(__xludf.DUMMYFUNCTION("ARRAYFORMULA(VLOOKUP(A1602,IMPORTRANGE(""https://docs.google.com/spreadsheets/d/1BuTWp7qHGjWhqrnf-OmePP568O4A5Am9ttzvVdP67zw/edit#gid=1931367683"" ,""ENERGY!$A$2:$F$2692""), {2,3,4,5,6},0))"),"Europe")</f>
        <v>Europe</v>
      </c>
      <c r="AC1602" s="14" t="str">
        <f>IFERROR(__xludf.DUMMYFUNCTION("""COMPUTED_VALUE"""),"Monaco-Europe")</f>
        <v>Monaco-Europe</v>
      </c>
      <c r="AD1602" s="14" t="str">
        <f>IFERROR(__xludf.DUMMYFUNCTION("""COMPUTED_VALUE"""),"2001")</f>
        <v>2001</v>
      </c>
      <c r="AE1602" s="14"/>
      <c r="AF1602" s="14"/>
    </row>
    <row r="1603">
      <c r="A1603" s="12">
        <v>1602.0</v>
      </c>
      <c r="B1603" s="12" t="s">
        <v>202</v>
      </c>
      <c r="C1603" s="5" t="s">
        <v>75</v>
      </c>
      <c r="D1603" s="8"/>
      <c r="E1603" s="8"/>
      <c r="F1603" s="8"/>
      <c r="G1603" s="8"/>
      <c r="H1603" s="11">
        <v>0.48</v>
      </c>
      <c r="I1603" s="11">
        <v>0.456</v>
      </c>
      <c r="J1603" s="9" t="s">
        <v>63</v>
      </c>
      <c r="K1603" s="14" t="str">
        <f>IFERROR(__xludf.DUMMYFUNCTION("ARRAYFORMULA(VLOOKUP(A1603,IMPORTRANGE(""https://docs.google.com/spreadsheets/d/1BuTWp7qHGjWhqrnf-OmePP568O4A5Am9ttzvVdP67zw/edit#gid=1603210130"", ""TOURISM!$A$2:$F$2692""), {2,3,4,5,6},0))"),"Europe")</f>
        <v>Europe</v>
      </c>
      <c r="L1603" s="14"/>
      <c r="M1603" s="14" t="str">
        <f>IFERROR(__xludf.DUMMYFUNCTION("""COMPUTED_VALUE"""),"Monaco-Europe")</f>
        <v>Monaco-Europe</v>
      </c>
      <c r="N1603" s="14" t="str">
        <f>IFERROR(__xludf.DUMMYFUNCTION("""COMPUTED_VALUE"""),"2002")</f>
        <v>2002</v>
      </c>
      <c r="O1603" s="14"/>
      <c r="P1603" s="15" t="str">
        <f>IFERROR(__xludf.DUMMYFUNCTION("ARRAYFORMULA(VLOOKUP(A1603,IMPORTRANGE(""https://docs.google.com/spreadsheets/d/1BuTWp7qHGjWhqrnf-OmePP568O4A5Am9ttzvVdP67zw/edit#gid=771602874"" ,""HUMAN RESOURCES!$A$2:$M$2692""), {2,3,4,5,6,7,8,9,10,11,12,13},0))"),"")</f>
        <v/>
      </c>
      <c r="Q1603" s="14">
        <f>IFERROR(__xludf.DUMMYFUNCTION("""COMPUTED_VALUE"""),0.004)</f>
        <v>0.004</v>
      </c>
      <c r="R1603" s="14"/>
      <c r="S1603" s="14"/>
      <c r="T1603" s="14"/>
      <c r="U1603" s="14"/>
      <c r="V1603" s="14"/>
      <c r="W1603" s="14">
        <f>IFERROR(__xludf.DUMMYFUNCTION("""COMPUTED_VALUE"""),32653.0)</f>
        <v>32653</v>
      </c>
      <c r="X1603" s="14">
        <f>IFERROR(__xludf.DUMMYFUNCTION("""COMPUTED_VALUE"""),1.0)</f>
        <v>1</v>
      </c>
      <c r="Y1603" s="14" t="str">
        <f>IFERROR(__xludf.DUMMYFUNCTION("""COMPUTED_VALUE"""),"Monaco-Europe")</f>
        <v>Monaco-Europe</v>
      </c>
      <c r="Z1603" s="14" t="str">
        <f>IFERROR(__xludf.DUMMYFUNCTION("""COMPUTED_VALUE"""),"Europe")</f>
        <v>Europe</v>
      </c>
      <c r="AA1603" s="14" t="str">
        <f>IFERROR(__xludf.DUMMYFUNCTION("""COMPUTED_VALUE"""),"2002")</f>
        <v>2002</v>
      </c>
      <c r="AB1603" s="15" t="str">
        <f>IFERROR(__xludf.DUMMYFUNCTION("ARRAYFORMULA(VLOOKUP(A1603,IMPORTRANGE(""https://docs.google.com/spreadsheets/d/1BuTWp7qHGjWhqrnf-OmePP568O4A5Am9ttzvVdP67zw/edit#gid=1931367683"" ,""ENERGY!$A$2:$F$2692""), {2,3,4,5,6},0))"),"Europe")</f>
        <v>Europe</v>
      </c>
      <c r="AC1603" s="14" t="str">
        <f>IFERROR(__xludf.DUMMYFUNCTION("""COMPUTED_VALUE"""),"Monaco-Europe")</f>
        <v>Monaco-Europe</v>
      </c>
      <c r="AD1603" s="14" t="str">
        <f>IFERROR(__xludf.DUMMYFUNCTION("""COMPUTED_VALUE"""),"2002")</f>
        <v>2002</v>
      </c>
      <c r="AE1603" s="14"/>
      <c r="AF1603" s="14"/>
    </row>
    <row r="1604">
      <c r="A1604" s="12">
        <v>1603.0</v>
      </c>
      <c r="B1604" s="12" t="s">
        <v>202</v>
      </c>
      <c r="C1604" s="5" t="s">
        <v>75</v>
      </c>
      <c r="D1604" s="8"/>
      <c r="E1604" s="8"/>
      <c r="F1604" s="8"/>
      <c r="G1604" s="8"/>
      <c r="H1604" s="11">
        <v>0.495</v>
      </c>
      <c r="I1604" s="11">
        <v>0.457</v>
      </c>
      <c r="J1604" s="9" t="s">
        <v>64</v>
      </c>
      <c r="K1604" s="14" t="str">
        <f>IFERROR(__xludf.DUMMYFUNCTION("ARRAYFORMULA(VLOOKUP(A1604,IMPORTRANGE(""https://docs.google.com/spreadsheets/d/1BuTWp7qHGjWhqrnf-OmePP568O4A5Am9ttzvVdP67zw/edit#gid=1603210130"", ""TOURISM!$A$2:$F$2692""), {2,3,4,5,6},0))"),"Europe")</f>
        <v>Europe</v>
      </c>
      <c r="L1604" s="14"/>
      <c r="M1604" s="14" t="str">
        <f>IFERROR(__xludf.DUMMYFUNCTION("""COMPUTED_VALUE"""),"Monaco-Europe")</f>
        <v>Monaco-Europe</v>
      </c>
      <c r="N1604" s="14" t="str">
        <f>IFERROR(__xludf.DUMMYFUNCTION("""COMPUTED_VALUE"""),"2003")</f>
        <v>2003</v>
      </c>
      <c r="O1604" s="14"/>
      <c r="P1604" s="15" t="str">
        <f>IFERROR(__xludf.DUMMYFUNCTION("ARRAYFORMULA(VLOOKUP(A1604,IMPORTRANGE(""https://docs.google.com/spreadsheets/d/1BuTWp7qHGjWhqrnf-OmePP568O4A5Am9ttzvVdP67zw/edit#gid=771602874"" ,""HUMAN RESOURCES!$A$2:$M$2692""), {2,3,4,5,6,7,8,9,10,11,12,13},0))"),"")</f>
        <v/>
      </c>
      <c r="Q1604" s="14">
        <f>IFERROR(__xludf.DUMMYFUNCTION("""COMPUTED_VALUE"""),0.004)</f>
        <v>0.004</v>
      </c>
      <c r="R1604" s="14"/>
      <c r="S1604" s="14"/>
      <c r="T1604" s="14"/>
      <c r="U1604" s="14"/>
      <c r="V1604" s="14"/>
      <c r="W1604" s="14">
        <f>IFERROR(__xludf.DUMMYFUNCTION("""COMPUTED_VALUE"""),32968.0)</f>
        <v>32968</v>
      </c>
      <c r="X1604" s="14">
        <f>IFERROR(__xludf.DUMMYFUNCTION("""COMPUTED_VALUE"""),1.0)</f>
        <v>1</v>
      </c>
      <c r="Y1604" s="14" t="str">
        <f>IFERROR(__xludf.DUMMYFUNCTION("""COMPUTED_VALUE"""),"Monaco-Europe")</f>
        <v>Monaco-Europe</v>
      </c>
      <c r="Z1604" s="14" t="str">
        <f>IFERROR(__xludf.DUMMYFUNCTION("""COMPUTED_VALUE"""),"Europe")</f>
        <v>Europe</v>
      </c>
      <c r="AA1604" s="14" t="str">
        <f>IFERROR(__xludf.DUMMYFUNCTION("""COMPUTED_VALUE"""),"2003")</f>
        <v>2003</v>
      </c>
      <c r="AB1604" s="15" t="str">
        <f>IFERROR(__xludf.DUMMYFUNCTION("ARRAYFORMULA(VLOOKUP(A1604,IMPORTRANGE(""https://docs.google.com/spreadsheets/d/1BuTWp7qHGjWhqrnf-OmePP568O4A5Am9ttzvVdP67zw/edit#gid=1931367683"" ,""ENERGY!$A$2:$F$2692""), {2,3,4,5,6},0))"),"Europe")</f>
        <v>Europe</v>
      </c>
      <c r="AC1604" s="14" t="str">
        <f>IFERROR(__xludf.DUMMYFUNCTION("""COMPUTED_VALUE"""),"Monaco-Europe")</f>
        <v>Monaco-Europe</v>
      </c>
      <c r="AD1604" s="14" t="str">
        <f>IFERROR(__xludf.DUMMYFUNCTION("""COMPUTED_VALUE"""),"2003")</f>
        <v>2003</v>
      </c>
      <c r="AE1604" s="14"/>
      <c r="AF1604" s="14"/>
    </row>
    <row r="1605">
      <c r="A1605" s="12">
        <v>1604.0</v>
      </c>
      <c r="B1605" s="12" t="s">
        <v>202</v>
      </c>
      <c r="C1605" s="5" t="s">
        <v>75</v>
      </c>
      <c r="D1605" s="8"/>
      <c r="E1605" s="8"/>
      <c r="F1605" s="8"/>
      <c r="G1605" s="8"/>
      <c r="H1605" s="11">
        <v>0.525</v>
      </c>
      <c r="I1605" s="11">
        <v>0.472</v>
      </c>
      <c r="J1605" s="9" t="s">
        <v>65</v>
      </c>
      <c r="K1605" s="14" t="str">
        <f>IFERROR(__xludf.DUMMYFUNCTION("ARRAYFORMULA(VLOOKUP(A1605,IMPORTRANGE(""https://docs.google.com/spreadsheets/d/1BuTWp7qHGjWhqrnf-OmePP568O4A5Am9ttzvVdP67zw/edit#gid=1603210130"", ""TOURISM!$A$2:$F$2692""), {2,3,4,5,6},0))"),"Europe")</f>
        <v>Europe</v>
      </c>
      <c r="L1605" s="14"/>
      <c r="M1605" s="14" t="str">
        <f>IFERROR(__xludf.DUMMYFUNCTION("""COMPUTED_VALUE"""),"Monaco-Europe")</f>
        <v>Monaco-Europe</v>
      </c>
      <c r="N1605" s="14" t="str">
        <f>IFERROR(__xludf.DUMMYFUNCTION("""COMPUTED_VALUE"""),"2004")</f>
        <v>2004</v>
      </c>
      <c r="O1605" s="14"/>
      <c r="P1605" s="15" t="str">
        <f>IFERROR(__xludf.DUMMYFUNCTION("ARRAYFORMULA(VLOOKUP(A1605,IMPORTRANGE(""https://docs.google.com/spreadsheets/d/1BuTWp7qHGjWhqrnf-OmePP568O4A5Am9ttzvVdP67zw/edit#gid=771602874"" ,""HUMAN RESOURCES!$A$2:$M$2692""), {2,3,4,5,6,7,8,9,10,11,12,13},0))"),"")</f>
        <v/>
      </c>
      <c r="Q1605" s="14">
        <f>IFERROR(__xludf.DUMMYFUNCTION("""COMPUTED_VALUE"""),0.004)</f>
        <v>0.004</v>
      </c>
      <c r="R1605" s="14"/>
      <c r="S1605" s="14"/>
      <c r="T1605" s="14"/>
      <c r="U1605" s="14"/>
      <c r="V1605" s="14"/>
      <c r="W1605" s="14">
        <f>IFERROR(__xludf.DUMMYFUNCTION("""COMPUTED_VALUE"""),33346.0)</f>
        <v>33346</v>
      </c>
      <c r="X1605" s="14">
        <f>IFERROR(__xludf.DUMMYFUNCTION("""COMPUTED_VALUE"""),1.0)</f>
        <v>1</v>
      </c>
      <c r="Y1605" s="14" t="str">
        <f>IFERROR(__xludf.DUMMYFUNCTION("""COMPUTED_VALUE"""),"Monaco-Europe")</f>
        <v>Monaco-Europe</v>
      </c>
      <c r="Z1605" s="14" t="str">
        <f>IFERROR(__xludf.DUMMYFUNCTION("""COMPUTED_VALUE"""),"Europe")</f>
        <v>Europe</v>
      </c>
      <c r="AA1605" s="14" t="str">
        <f>IFERROR(__xludf.DUMMYFUNCTION("""COMPUTED_VALUE"""),"2004")</f>
        <v>2004</v>
      </c>
      <c r="AB1605" s="15" t="str">
        <f>IFERROR(__xludf.DUMMYFUNCTION("ARRAYFORMULA(VLOOKUP(A1605,IMPORTRANGE(""https://docs.google.com/spreadsheets/d/1BuTWp7qHGjWhqrnf-OmePP568O4A5Am9ttzvVdP67zw/edit#gid=1931367683"" ,""ENERGY!$A$2:$F$2692""), {2,3,4,5,6},0))"),"Europe")</f>
        <v>Europe</v>
      </c>
      <c r="AC1605" s="14" t="str">
        <f>IFERROR(__xludf.DUMMYFUNCTION("""COMPUTED_VALUE"""),"Monaco-Europe")</f>
        <v>Monaco-Europe</v>
      </c>
      <c r="AD1605" s="14" t="str">
        <f>IFERROR(__xludf.DUMMYFUNCTION("""COMPUTED_VALUE"""),"2004")</f>
        <v>2004</v>
      </c>
      <c r="AE1605" s="14"/>
      <c r="AF1605" s="14"/>
    </row>
    <row r="1606">
      <c r="A1606" s="12">
        <v>1605.0</v>
      </c>
      <c r="B1606" s="12" t="s">
        <v>202</v>
      </c>
      <c r="C1606" s="5" t="s">
        <v>75</v>
      </c>
      <c r="D1606" s="8"/>
      <c r="E1606" s="8"/>
      <c r="F1606" s="8"/>
      <c r="G1606" s="8"/>
      <c r="H1606" s="11">
        <v>0.555</v>
      </c>
      <c r="I1606" s="11">
        <v>0.508</v>
      </c>
      <c r="J1606" s="9" t="s">
        <v>66</v>
      </c>
      <c r="K1606" s="14" t="str">
        <f>IFERROR(__xludf.DUMMYFUNCTION("ARRAYFORMULA(VLOOKUP(A1606,IMPORTRANGE(""https://docs.google.com/spreadsheets/d/1BuTWp7qHGjWhqrnf-OmePP568O4A5Am9ttzvVdP67zw/edit#gid=1603210130"", ""TOURISM!$A$2:$F$2692""), {2,3,4,5,6},0))"),"Europe")</f>
        <v>Europe</v>
      </c>
      <c r="L1606" s="14"/>
      <c r="M1606" s="14" t="str">
        <f>IFERROR(__xludf.DUMMYFUNCTION("""COMPUTED_VALUE"""),"Monaco-Europe")</f>
        <v>Monaco-Europe</v>
      </c>
      <c r="N1606" s="14" t="str">
        <f>IFERROR(__xludf.DUMMYFUNCTION("""COMPUTED_VALUE"""),"2005")</f>
        <v>2005</v>
      </c>
      <c r="O1606" s="14"/>
      <c r="P1606" s="15" t="str">
        <f>IFERROR(__xludf.DUMMYFUNCTION("ARRAYFORMULA(VLOOKUP(A1606,IMPORTRANGE(""https://docs.google.com/spreadsheets/d/1BuTWp7qHGjWhqrnf-OmePP568O4A5Am9ttzvVdP67zw/edit#gid=771602874"" ,""HUMAN RESOURCES!$A$2:$M$2692""), {2,3,4,5,6,7,8,9,10,11,12,13},0))"),"")</f>
        <v/>
      </c>
      <c r="Q1606" s="14">
        <f>IFERROR(__xludf.DUMMYFUNCTION("""COMPUTED_VALUE"""),0.004)</f>
        <v>0.004</v>
      </c>
      <c r="R1606" s="14"/>
      <c r="S1606" s="14"/>
      <c r="T1606" s="14"/>
      <c r="U1606" s="14"/>
      <c r="V1606" s="14"/>
      <c r="W1606" s="14">
        <f>IFERROR(__xludf.DUMMYFUNCTION("""COMPUTED_VALUE"""),33808.0)</f>
        <v>33808</v>
      </c>
      <c r="X1606" s="14">
        <f>IFERROR(__xludf.DUMMYFUNCTION("""COMPUTED_VALUE"""),1.0)</f>
        <v>1</v>
      </c>
      <c r="Y1606" s="14" t="str">
        <f>IFERROR(__xludf.DUMMYFUNCTION("""COMPUTED_VALUE"""),"Monaco-Europe")</f>
        <v>Monaco-Europe</v>
      </c>
      <c r="Z1606" s="14" t="str">
        <f>IFERROR(__xludf.DUMMYFUNCTION("""COMPUTED_VALUE"""),"Europe")</f>
        <v>Europe</v>
      </c>
      <c r="AA1606" s="14" t="str">
        <f>IFERROR(__xludf.DUMMYFUNCTION("""COMPUTED_VALUE"""),"2005")</f>
        <v>2005</v>
      </c>
      <c r="AB1606" s="15" t="str">
        <f>IFERROR(__xludf.DUMMYFUNCTION("ARRAYFORMULA(VLOOKUP(A1606,IMPORTRANGE(""https://docs.google.com/spreadsheets/d/1BuTWp7qHGjWhqrnf-OmePP568O4A5Am9ttzvVdP67zw/edit#gid=1931367683"" ,""ENERGY!$A$2:$F$2692""), {2,3,4,5,6},0))"),"Europe")</f>
        <v>Europe</v>
      </c>
      <c r="AC1606" s="14" t="str">
        <f>IFERROR(__xludf.DUMMYFUNCTION("""COMPUTED_VALUE"""),"Monaco-Europe")</f>
        <v>Monaco-Europe</v>
      </c>
      <c r="AD1606" s="14" t="str">
        <f>IFERROR(__xludf.DUMMYFUNCTION("""COMPUTED_VALUE"""),"2007")</f>
        <v>2007</v>
      </c>
      <c r="AE1606" s="14"/>
      <c r="AF1606" s="14"/>
    </row>
    <row r="1607">
      <c r="A1607" s="12">
        <v>1606.0</v>
      </c>
      <c r="B1607" s="12" t="s">
        <v>202</v>
      </c>
      <c r="C1607" s="5" t="s">
        <v>75</v>
      </c>
      <c r="D1607" s="8"/>
      <c r="E1607" s="8"/>
      <c r="F1607" s="8"/>
      <c r="G1607" s="8"/>
      <c r="H1607" s="11">
        <v>0.615</v>
      </c>
      <c r="I1607" s="11">
        <v>0.533</v>
      </c>
      <c r="J1607" s="9" t="s">
        <v>67</v>
      </c>
      <c r="K1607" s="14" t="str">
        <f>IFERROR(__xludf.DUMMYFUNCTION("ARRAYFORMULA(VLOOKUP(A1607,IMPORTRANGE(""https://docs.google.com/spreadsheets/d/1BuTWp7qHGjWhqrnf-OmePP568O4A5Am9ttzvVdP67zw/edit#gid=1603210130"", ""TOURISM!$A$2:$F$2692""), {2,3,4,5,6},0))"),"Europe")</f>
        <v>Europe</v>
      </c>
      <c r="L1607" s="14"/>
      <c r="M1607" s="14" t="str">
        <f>IFERROR(__xludf.DUMMYFUNCTION("""COMPUTED_VALUE"""),"Monaco-Europe")</f>
        <v>Monaco-Europe</v>
      </c>
      <c r="N1607" s="14" t="str">
        <f>IFERROR(__xludf.DUMMYFUNCTION("""COMPUTED_VALUE"""),"2006")</f>
        <v>2006</v>
      </c>
      <c r="O1607" s="14"/>
      <c r="P1607" s="15" t="str">
        <f>IFERROR(__xludf.DUMMYFUNCTION("ARRAYFORMULA(VLOOKUP(A1607,IMPORTRANGE(""https://docs.google.com/spreadsheets/d/1BuTWp7qHGjWhqrnf-OmePP568O4A5Am9ttzvVdP67zw/edit#gid=771602874"" ,""HUMAN RESOURCES!$A$2:$M$2692""), {2,3,4,5,6,7,8,9,10,11,12,13},0))"),"")</f>
        <v/>
      </c>
      <c r="Q1607" s="14">
        <f>IFERROR(__xludf.DUMMYFUNCTION("""COMPUTED_VALUE"""),0.004)</f>
        <v>0.004</v>
      </c>
      <c r="R1607" s="14"/>
      <c r="S1607" s="14"/>
      <c r="T1607" s="14"/>
      <c r="U1607" s="14"/>
      <c r="V1607" s="14"/>
      <c r="W1607" s="14">
        <f>IFERROR(__xludf.DUMMYFUNCTION("""COMPUTED_VALUE"""),34369.0)</f>
        <v>34369</v>
      </c>
      <c r="X1607" s="14">
        <f>IFERROR(__xludf.DUMMYFUNCTION("""COMPUTED_VALUE"""),1.0)</f>
        <v>1</v>
      </c>
      <c r="Y1607" s="14" t="str">
        <f>IFERROR(__xludf.DUMMYFUNCTION("""COMPUTED_VALUE"""),"Monaco-Europe")</f>
        <v>Monaco-Europe</v>
      </c>
      <c r="Z1607" s="14" t="str">
        <f>IFERROR(__xludf.DUMMYFUNCTION("""COMPUTED_VALUE"""),"Europe")</f>
        <v>Europe</v>
      </c>
      <c r="AA1607" s="14" t="str">
        <f>IFERROR(__xludf.DUMMYFUNCTION("""COMPUTED_VALUE"""),"2006")</f>
        <v>2006</v>
      </c>
      <c r="AB1607" s="15" t="str">
        <f>IFERROR(__xludf.DUMMYFUNCTION("ARRAYFORMULA(VLOOKUP(A1607,IMPORTRANGE(""https://docs.google.com/spreadsheets/d/1BuTWp7qHGjWhqrnf-OmePP568O4A5Am9ttzvVdP67zw/edit#gid=1931367683"" ,""ENERGY!$A$2:$F$2692""), {2,3,4,5,6},0))"),"Europe")</f>
        <v>Europe</v>
      </c>
      <c r="AC1607" s="14" t="str">
        <f>IFERROR(__xludf.DUMMYFUNCTION("""COMPUTED_VALUE"""),"Monaco-Europe")</f>
        <v>Monaco-Europe</v>
      </c>
      <c r="AD1607" s="14" t="str">
        <f>IFERROR(__xludf.DUMMYFUNCTION("""COMPUTED_VALUE"""),"2011")</f>
        <v>2011</v>
      </c>
      <c r="AE1607" s="14"/>
      <c r="AF1607" s="14"/>
    </row>
    <row r="1608">
      <c r="A1608" s="12">
        <v>1607.0</v>
      </c>
      <c r="B1608" s="12" t="s">
        <v>202</v>
      </c>
      <c r="C1608" s="5" t="s">
        <v>75</v>
      </c>
      <c r="D1608" s="8"/>
      <c r="E1608" s="8"/>
      <c r="F1608" s="8"/>
      <c r="G1608" s="8"/>
      <c r="H1608" s="11">
        <v>0.644</v>
      </c>
      <c r="I1608" s="11">
        <v>0.583</v>
      </c>
      <c r="J1608" s="9" t="s">
        <v>68</v>
      </c>
      <c r="K1608" s="14" t="str">
        <f>IFERROR(__xludf.DUMMYFUNCTION("ARRAYFORMULA(VLOOKUP(A1608,IMPORTRANGE(""https://docs.google.com/spreadsheets/d/1BuTWp7qHGjWhqrnf-OmePP568O4A5Am9ttzvVdP67zw/edit#gid=1603210130"", ""TOURISM!$A$2:$F$2692""), {2,3,4,5,6},0))"),"Europe")</f>
        <v>Europe</v>
      </c>
      <c r="L1608" s="14"/>
      <c r="M1608" s="14" t="str">
        <f>IFERROR(__xludf.DUMMYFUNCTION("""COMPUTED_VALUE"""),"Monaco-Europe")</f>
        <v>Monaco-Europe</v>
      </c>
      <c r="N1608" s="14" t="str">
        <f>IFERROR(__xludf.DUMMYFUNCTION("""COMPUTED_VALUE"""),"2007")</f>
        <v>2007</v>
      </c>
      <c r="O1608" s="14"/>
      <c r="P1608" s="15" t="str">
        <f>IFERROR(__xludf.DUMMYFUNCTION("ARRAYFORMULA(VLOOKUP(A1608,IMPORTRANGE(""https://docs.google.com/spreadsheets/d/1BuTWp7qHGjWhqrnf-OmePP568O4A5Am9ttzvVdP67zw/edit#gid=771602874"" ,""HUMAN RESOURCES!$A$2:$M$2692""), {2,3,4,5,6,7,8,9,10,11,12,13},0))"),"")</f>
        <v/>
      </c>
      <c r="Q1608" s="14">
        <f>IFERROR(__xludf.DUMMYFUNCTION("""COMPUTED_VALUE"""),0.004)</f>
        <v>0.004</v>
      </c>
      <c r="R1608" s="14"/>
      <c r="S1608" s="14"/>
      <c r="T1608" s="14"/>
      <c r="U1608" s="14"/>
      <c r="V1608" s="14"/>
      <c r="W1608" s="14">
        <f>IFERROR(__xludf.DUMMYFUNCTION("""COMPUTED_VALUE"""),35013.0)</f>
        <v>35013</v>
      </c>
      <c r="X1608" s="14">
        <f>IFERROR(__xludf.DUMMYFUNCTION("""COMPUTED_VALUE"""),1.0)</f>
        <v>1</v>
      </c>
      <c r="Y1608" s="14" t="str">
        <f>IFERROR(__xludf.DUMMYFUNCTION("""COMPUTED_VALUE"""),"Monaco-Europe")</f>
        <v>Monaco-Europe</v>
      </c>
      <c r="Z1608" s="14" t="str">
        <f>IFERROR(__xludf.DUMMYFUNCTION("""COMPUTED_VALUE"""),"Europe")</f>
        <v>Europe</v>
      </c>
      <c r="AA1608" s="14" t="str">
        <f>IFERROR(__xludf.DUMMYFUNCTION("""COMPUTED_VALUE"""),"2007")</f>
        <v>2007</v>
      </c>
      <c r="AB1608" s="15" t="str">
        <f>IFERROR(__xludf.DUMMYFUNCTION("ARRAYFORMULA(VLOOKUP(A1608,IMPORTRANGE(""https://docs.google.com/spreadsheets/d/1BuTWp7qHGjWhqrnf-OmePP568O4A5Am9ttzvVdP67zw/edit#gid=1931367683"" ,""ENERGY!$A$2:$F$2692""), {2,3,4,5,6},0))"),"Europe")</f>
        <v>Europe</v>
      </c>
      <c r="AC1608" s="14" t="str">
        <f>IFERROR(__xludf.DUMMYFUNCTION("""COMPUTED_VALUE"""),"Monaco-Europe")</f>
        <v>Monaco-Europe</v>
      </c>
      <c r="AD1608" s="14" t="str">
        <f>IFERROR(__xludf.DUMMYFUNCTION("""COMPUTED_VALUE"""),"2009")</f>
        <v>2009</v>
      </c>
      <c r="AE1608" s="14"/>
      <c r="AF1608" s="14"/>
    </row>
    <row r="1609">
      <c r="A1609" s="12">
        <v>1608.0</v>
      </c>
      <c r="B1609" s="12" t="s">
        <v>202</v>
      </c>
      <c r="C1609" s="5" t="s">
        <v>75</v>
      </c>
      <c r="D1609" s="8"/>
      <c r="E1609" s="8"/>
      <c r="F1609" s="8"/>
      <c r="G1609" s="8"/>
      <c r="H1609" s="11">
        <v>0.673</v>
      </c>
      <c r="I1609" s="11">
        <v>0.616</v>
      </c>
      <c r="J1609" s="9" t="s">
        <v>69</v>
      </c>
      <c r="K1609" s="14" t="str">
        <f>IFERROR(__xludf.DUMMYFUNCTION("ARRAYFORMULA(VLOOKUP(A1609,IMPORTRANGE(""https://docs.google.com/spreadsheets/d/1BuTWp7qHGjWhqrnf-OmePP568O4A5Am9ttzvVdP67zw/edit#gid=1603210130"", ""TOURISM!$A$2:$F$2692""), {2,3,4,5,6},0))"),"Europe")</f>
        <v>Europe</v>
      </c>
      <c r="L1609" s="14"/>
      <c r="M1609" s="14" t="str">
        <f>IFERROR(__xludf.DUMMYFUNCTION("""COMPUTED_VALUE"""),"Monaco-Europe")</f>
        <v>Monaco-Europe</v>
      </c>
      <c r="N1609" s="14" t="str">
        <f>IFERROR(__xludf.DUMMYFUNCTION("""COMPUTED_VALUE"""),"2008")</f>
        <v>2008</v>
      </c>
      <c r="O1609" s="14"/>
      <c r="P1609" s="15" t="str">
        <f>IFERROR(__xludf.DUMMYFUNCTION("ARRAYFORMULA(VLOOKUP(A1609,IMPORTRANGE(""https://docs.google.com/spreadsheets/d/1BuTWp7qHGjWhqrnf-OmePP568O4A5Am9ttzvVdP67zw/edit#gid=771602874"" ,""HUMAN RESOURCES!$A$2:$M$2692""), {2,3,4,5,6,7,8,9,10,11,12,13},0))"),"")</f>
        <v/>
      </c>
      <c r="Q1609" s="14">
        <f>IFERROR(__xludf.DUMMYFUNCTION("""COMPUTED_VALUE"""),0.003)</f>
        <v>0.003</v>
      </c>
      <c r="R1609" s="14"/>
      <c r="S1609" s="14"/>
      <c r="T1609" s="14"/>
      <c r="U1609" s="14"/>
      <c r="V1609" s="14"/>
      <c r="W1609" s="14">
        <f>IFERROR(__xludf.DUMMYFUNCTION("""COMPUTED_VALUE"""),35686.0)</f>
        <v>35686</v>
      </c>
      <c r="X1609" s="14">
        <f>IFERROR(__xludf.DUMMYFUNCTION("""COMPUTED_VALUE"""),1.0)</f>
        <v>1</v>
      </c>
      <c r="Y1609" s="14" t="str">
        <f>IFERROR(__xludf.DUMMYFUNCTION("""COMPUTED_VALUE"""),"Monaco-Europe")</f>
        <v>Monaco-Europe</v>
      </c>
      <c r="Z1609" s="14" t="str">
        <f>IFERROR(__xludf.DUMMYFUNCTION("""COMPUTED_VALUE"""),"Europe")</f>
        <v>Europe</v>
      </c>
      <c r="AA1609" s="14" t="str">
        <f>IFERROR(__xludf.DUMMYFUNCTION("""COMPUTED_VALUE"""),"2008")</f>
        <v>2008</v>
      </c>
      <c r="AB1609" s="15" t="str">
        <f>IFERROR(__xludf.DUMMYFUNCTION("ARRAYFORMULA(VLOOKUP(A1609,IMPORTRANGE(""https://docs.google.com/spreadsheets/d/1BuTWp7qHGjWhqrnf-OmePP568O4A5Am9ttzvVdP67zw/edit#gid=1931367683"" ,""ENERGY!$A$2:$F$2692""), {2,3,4,5,6},0))"),"Europe")</f>
        <v>Europe</v>
      </c>
      <c r="AC1609" s="14" t="str">
        <f>IFERROR(__xludf.DUMMYFUNCTION("""COMPUTED_VALUE"""),"Monaco-Europe")</f>
        <v>Monaco-Europe</v>
      </c>
      <c r="AD1609" s="14" t="str">
        <f>IFERROR(__xludf.DUMMYFUNCTION("""COMPUTED_VALUE"""),"2006")</f>
        <v>2006</v>
      </c>
      <c r="AE1609" s="14"/>
      <c r="AF1609" s="14"/>
    </row>
    <row r="1610">
      <c r="A1610" s="12">
        <v>1609.0</v>
      </c>
      <c r="B1610" s="12" t="s">
        <v>202</v>
      </c>
      <c r="C1610" s="5" t="s">
        <v>75</v>
      </c>
      <c r="D1610" s="8"/>
      <c r="E1610" s="8"/>
      <c r="F1610" s="8"/>
      <c r="G1610" s="8"/>
      <c r="H1610" s="11">
        <v>0.701</v>
      </c>
      <c r="I1610" s="11">
        <v>0.633</v>
      </c>
      <c r="J1610" s="9" t="s">
        <v>70</v>
      </c>
      <c r="K1610" s="14" t="str">
        <f>IFERROR(__xludf.DUMMYFUNCTION("ARRAYFORMULA(VLOOKUP(A1610,IMPORTRANGE(""https://docs.google.com/spreadsheets/d/1BuTWp7qHGjWhqrnf-OmePP568O4A5Am9ttzvVdP67zw/edit#gid=1603210130"", ""TOURISM!$A$2:$F$2692""), {2,3,4,5,6},0))"),"Europe")</f>
        <v>Europe</v>
      </c>
      <c r="L1610" s="14"/>
      <c r="M1610" s="14" t="str">
        <f>IFERROR(__xludf.DUMMYFUNCTION("""COMPUTED_VALUE"""),"Monaco-Europe")</f>
        <v>Monaco-Europe</v>
      </c>
      <c r="N1610" s="14" t="str">
        <f>IFERROR(__xludf.DUMMYFUNCTION("""COMPUTED_VALUE"""),"2009")</f>
        <v>2009</v>
      </c>
      <c r="O1610" s="14"/>
      <c r="P1610" s="15" t="str">
        <f>IFERROR(__xludf.DUMMYFUNCTION("ARRAYFORMULA(VLOOKUP(A1610,IMPORTRANGE(""https://docs.google.com/spreadsheets/d/1BuTWp7qHGjWhqrnf-OmePP568O4A5Am9ttzvVdP67zw/edit#gid=771602874"" ,""HUMAN RESOURCES!$A$2:$M$2692""), {2,3,4,5,6,7,8,9,10,11,12,13},0))"),"")</f>
        <v/>
      </c>
      <c r="Q1610" s="14">
        <f>IFERROR(__xludf.DUMMYFUNCTION("""COMPUTED_VALUE"""),0.003)</f>
        <v>0.003</v>
      </c>
      <c r="R1610" s="14"/>
      <c r="S1610" s="14"/>
      <c r="T1610" s="14"/>
      <c r="U1610" s="14"/>
      <c r="V1610" s="14"/>
      <c r="W1610" s="14">
        <f>IFERROR(__xludf.DUMMYFUNCTION("""COMPUTED_VALUE"""),36314.0)</f>
        <v>36314</v>
      </c>
      <c r="X1610" s="14">
        <f>IFERROR(__xludf.DUMMYFUNCTION("""COMPUTED_VALUE"""),1.0)</f>
        <v>1</v>
      </c>
      <c r="Y1610" s="14" t="str">
        <f>IFERROR(__xludf.DUMMYFUNCTION("""COMPUTED_VALUE"""),"Monaco-Europe")</f>
        <v>Monaco-Europe</v>
      </c>
      <c r="Z1610" s="14" t="str">
        <f>IFERROR(__xludf.DUMMYFUNCTION("""COMPUTED_VALUE"""),"Europe")</f>
        <v>Europe</v>
      </c>
      <c r="AA1610" s="14" t="str">
        <f>IFERROR(__xludf.DUMMYFUNCTION("""COMPUTED_VALUE"""),"2009")</f>
        <v>2009</v>
      </c>
      <c r="AB1610" s="15" t="str">
        <f>IFERROR(__xludf.DUMMYFUNCTION("ARRAYFORMULA(VLOOKUP(A1610,IMPORTRANGE(""https://docs.google.com/spreadsheets/d/1BuTWp7qHGjWhqrnf-OmePP568O4A5Am9ttzvVdP67zw/edit#gid=1931367683"" ,""ENERGY!$A$2:$F$2692""), {2,3,4,5,6},0))"),"Europe")</f>
        <v>Europe</v>
      </c>
      <c r="AC1610" s="14" t="str">
        <f>IFERROR(__xludf.DUMMYFUNCTION("""COMPUTED_VALUE"""),"Monaco-Europe")</f>
        <v>Monaco-Europe</v>
      </c>
      <c r="AD1610" s="14" t="str">
        <f>IFERROR(__xludf.DUMMYFUNCTION("""COMPUTED_VALUE"""),"2011")</f>
        <v>2011</v>
      </c>
      <c r="AE1610" s="14"/>
      <c r="AF1610" s="14"/>
    </row>
    <row r="1611">
      <c r="A1611" s="12">
        <v>1610.0</v>
      </c>
      <c r="B1611" s="12" t="s">
        <v>202</v>
      </c>
      <c r="C1611" s="5" t="s">
        <v>75</v>
      </c>
      <c r="D1611" s="8"/>
      <c r="E1611" s="8"/>
      <c r="F1611" s="8"/>
      <c r="G1611" s="8"/>
      <c r="H1611" s="11">
        <v>0.75</v>
      </c>
      <c r="I1611" s="11">
        <v>0.635</v>
      </c>
      <c r="J1611" s="9" t="s">
        <v>71</v>
      </c>
      <c r="K1611" s="14" t="str">
        <f>IFERROR(__xludf.DUMMYFUNCTION("ARRAYFORMULA(VLOOKUP(A1611,IMPORTRANGE(""https://docs.google.com/spreadsheets/d/1BuTWp7qHGjWhqrnf-OmePP568O4A5Am9ttzvVdP67zw/edit#gid=1603210130"", ""TOURISM!$A$2:$F$2692""), {2,3,4,5,6},0))"),"Europe")</f>
        <v>Europe</v>
      </c>
      <c r="L1611" s="14"/>
      <c r="M1611" s="14" t="str">
        <f>IFERROR(__xludf.DUMMYFUNCTION("""COMPUTED_VALUE"""),"Monaco-Europe")</f>
        <v>Monaco-Europe</v>
      </c>
      <c r="N1611" s="14" t="str">
        <f>IFERROR(__xludf.DUMMYFUNCTION("""COMPUTED_VALUE"""),"2010")</f>
        <v>2010</v>
      </c>
      <c r="O1611" s="14"/>
      <c r="P1611" s="15" t="str">
        <f>IFERROR(__xludf.DUMMYFUNCTION("ARRAYFORMULA(VLOOKUP(A1611,IMPORTRANGE(""https://docs.google.com/spreadsheets/d/1BuTWp7qHGjWhqrnf-OmePP568O4A5Am9ttzvVdP67zw/edit#gid=771602874"" ,""HUMAN RESOURCES!$A$2:$M$2692""), {2,3,4,5,6,7,8,9,10,11,12,13},0))"),"")</f>
        <v/>
      </c>
      <c r="Q1611" s="14">
        <f>IFERROR(__xludf.DUMMYFUNCTION("""COMPUTED_VALUE"""),0.003)</f>
        <v>0.003</v>
      </c>
      <c r="R1611" s="14"/>
      <c r="S1611" s="14"/>
      <c r="T1611" s="14"/>
      <c r="U1611" s="14"/>
      <c r="V1611" s="14"/>
      <c r="W1611" s="14">
        <f>IFERROR(__xludf.DUMMYFUNCTION("""COMPUTED_VALUE"""),36845.0)</f>
        <v>36845</v>
      </c>
      <c r="X1611" s="14">
        <f>IFERROR(__xludf.DUMMYFUNCTION("""COMPUTED_VALUE"""),1.0)</f>
        <v>1</v>
      </c>
      <c r="Y1611" s="14" t="str">
        <f>IFERROR(__xludf.DUMMYFUNCTION("""COMPUTED_VALUE"""),"Monaco-Europe")</f>
        <v>Monaco-Europe</v>
      </c>
      <c r="Z1611" s="14" t="str">
        <f>IFERROR(__xludf.DUMMYFUNCTION("""COMPUTED_VALUE"""),"Europe")</f>
        <v>Europe</v>
      </c>
      <c r="AA1611" s="14" t="str">
        <f>IFERROR(__xludf.DUMMYFUNCTION("""COMPUTED_VALUE"""),"2010")</f>
        <v>2010</v>
      </c>
      <c r="AB1611" s="15" t="str">
        <f>IFERROR(__xludf.DUMMYFUNCTION("ARRAYFORMULA(VLOOKUP(A1611,IMPORTRANGE(""https://docs.google.com/spreadsheets/d/1BuTWp7qHGjWhqrnf-OmePP568O4A5Am9ttzvVdP67zw/edit#gid=1931367683"" ,""ENERGY!$A$2:$F$2692""), {2,3,4,5,6},0))"),"Europe")</f>
        <v>Europe</v>
      </c>
      <c r="AC1611" s="14" t="str">
        <f>IFERROR(__xludf.DUMMYFUNCTION("""COMPUTED_VALUE"""),"Monaco-Europe")</f>
        <v>Monaco-Europe</v>
      </c>
      <c r="AD1611" s="14" t="str">
        <f>IFERROR(__xludf.DUMMYFUNCTION("""COMPUTED_VALUE"""),"2005")</f>
        <v>2005</v>
      </c>
      <c r="AE1611" s="14"/>
      <c r="AF1611" s="14"/>
    </row>
    <row r="1612">
      <c r="A1612" s="12">
        <v>1611.0</v>
      </c>
      <c r="B1612" s="12" t="s">
        <v>202</v>
      </c>
      <c r="C1612" s="5" t="s">
        <v>75</v>
      </c>
      <c r="D1612" s="8"/>
      <c r="E1612" s="8"/>
      <c r="F1612" s="8"/>
      <c r="G1612" s="8"/>
      <c r="H1612" s="11">
        <v>0.803</v>
      </c>
      <c r="I1612" s="11">
        <v>0.853</v>
      </c>
      <c r="J1612" s="9" t="s">
        <v>72</v>
      </c>
      <c r="K1612" s="14" t="str">
        <f>IFERROR(__xludf.DUMMYFUNCTION("ARRAYFORMULA(VLOOKUP(A1612,IMPORTRANGE(""https://docs.google.com/spreadsheets/d/1BuTWp7qHGjWhqrnf-OmePP568O4A5Am9ttzvVdP67zw/edit#gid=1603210130"", ""TOURISM!$A$2:$F$2692""), {2,3,4,5,6},0))"),"Europe")</f>
        <v>Europe</v>
      </c>
      <c r="L1612" s="14"/>
      <c r="M1612" s="14" t="str">
        <f>IFERROR(__xludf.DUMMYFUNCTION("""COMPUTED_VALUE"""),"Monaco-Europe")</f>
        <v>Monaco-Europe</v>
      </c>
      <c r="N1612" s="14" t="str">
        <f>IFERROR(__xludf.DUMMYFUNCTION("""COMPUTED_VALUE"""),"2011")</f>
        <v>2011</v>
      </c>
      <c r="O1612" s="14"/>
      <c r="P1612" s="15" t="str">
        <f>IFERROR(__xludf.DUMMYFUNCTION("ARRAYFORMULA(VLOOKUP(A1612,IMPORTRANGE(""https://docs.google.com/spreadsheets/d/1BuTWp7qHGjWhqrnf-OmePP568O4A5Am9ttzvVdP67zw/edit#gid=771602874"" ,""HUMAN RESOURCES!$A$2:$M$2692""), {2,3,4,5,6,7,8,9,10,11,12,13},0))"),"")</f>
        <v/>
      </c>
      <c r="Q1612" s="14">
        <f>IFERROR(__xludf.DUMMYFUNCTION("""COMPUTED_VALUE"""),0.003)</f>
        <v>0.003</v>
      </c>
      <c r="R1612" s="14"/>
      <c r="S1612" s="14"/>
      <c r="T1612" s="14"/>
      <c r="U1612" s="14"/>
      <c r="V1612" s="14"/>
      <c r="W1612" s="14">
        <f>IFERROR(__xludf.DUMMYFUNCTION("""COMPUTED_VALUE"""),37261.0)</f>
        <v>37261</v>
      </c>
      <c r="X1612" s="14">
        <f>IFERROR(__xludf.DUMMYFUNCTION("""COMPUTED_VALUE"""),1.0)</f>
        <v>1</v>
      </c>
      <c r="Y1612" s="14" t="str">
        <f>IFERROR(__xludf.DUMMYFUNCTION("""COMPUTED_VALUE"""),"Monaco-Europe")</f>
        <v>Monaco-Europe</v>
      </c>
      <c r="Z1612" s="14" t="str">
        <f>IFERROR(__xludf.DUMMYFUNCTION("""COMPUTED_VALUE"""),"Europe")</f>
        <v>Europe</v>
      </c>
      <c r="AA1612" s="14" t="str">
        <f>IFERROR(__xludf.DUMMYFUNCTION("""COMPUTED_VALUE"""),"2011")</f>
        <v>2011</v>
      </c>
      <c r="AB1612" s="15" t="str">
        <f>IFERROR(__xludf.DUMMYFUNCTION("ARRAYFORMULA(VLOOKUP(A1612,IMPORTRANGE(""https://docs.google.com/spreadsheets/d/1BuTWp7qHGjWhqrnf-OmePP568O4A5Am9ttzvVdP67zw/edit#gid=1931367683"" ,""ENERGY!$A$2:$F$2692""), {2,3,4,5,6},0))"),"Europe")</f>
        <v>Europe</v>
      </c>
      <c r="AC1612" s="14" t="str">
        <f>IFERROR(__xludf.DUMMYFUNCTION("""COMPUTED_VALUE"""),"Monaco-Europe")</f>
        <v>Monaco-Europe</v>
      </c>
      <c r="AD1612" s="14" t="str">
        <f>IFERROR(__xludf.DUMMYFUNCTION("""COMPUTED_VALUE"""),"2006")</f>
        <v>2006</v>
      </c>
      <c r="AE1612" s="14"/>
      <c r="AF1612" s="14"/>
    </row>
    <row r="1613">
      <c r="A1613" s="12">
        <v>1612.0</v>
      </c>
      <c r="B1613" s="12" t="s">
        <v>202</v>
      </c>
      <c r="C1613" s="5" t="s">
        <v>75</v>
      </c>
      <c r="D1613" s="8"/>
      <c r="E1613" s="8"/>
      <c r="F1613" s="8"/>
      <c r="G1613" s="8"/>
      <c r="H1613" s="11">
        <v>0.87</v>
      </c>
      <c r="I1613" s="11">
        <v>0.883</v>
      </c>
      <c r="J1613" s="9" t="s">
        <v>73</v>
      </c>
      <c r="K1613" s="14" t="str">
        <f>IFERROR(__xludf.DUMMYFUNCTION("ARRAYFORMULA(VLOOKUP(A1613,IMPORTRANGE(""https://docs.google.com/spreadsheets/d/1BuTWp7qHGjWhqrnf-OmePP568O4A5Am9ttzvVdP67zw/edit#gid=1603210130"", ""TOURISM!$A$2:$F$2692""), {2,3,4,5,6},0))"),"Europe")</f>
        <v>Europe</v>
      </c>
      <c r="L1613" s="14"/>
      <c r="M1613" s="14" t="str">
        <f>IFERROR(__xludf.DUMMYFUNCTION("""COMPUTED_VALUE"""),"Monaco-Europe")</f>
        <v>Monaco-Europe</v>
      </c>
      <c r="N1613" s="14" t="str">
        <f>IFERROR(__xludf.DUMMYFUNCTION("""COMPUTED_VALUE"""),"2012")</f>
        <v>2012</v>
      </c>
      <c r="O1613" s="14"/>
      <c r="P1613" s="15" t="str">
        <f>IFERROR(__xludf.DUMMYFUNCTION("ARRAYFORMULA(VLOOKUP(A1613,IMPORTRANGE(""https://docs.google.com/spreadsheets/d/1BuTWp7qHGjWhqrnf-OmePP568O4A5Am9ttzvVdP67zw/edit#gid=771602874"" ,""HUMAN RESOURCES!$A$2:$M$2692""), {2,3,4,5,6,7,8,9,10,11,12,13},0))"),"")</f>
        <v/>
      </c>
      <c r="Q1613" s="14">
        <f>IFERROR(__xludf.DUMMYFUNCTION("""COMPUTED_VALUE"""),0.003)</f>
        <v>0.003</v>
      </c>
      <c r="R1613" s="14"/>
      <c r="S1613" s="14"/>
      <c r="T1613" s="14"/>
      <c r="U1613" s="14"/>
      <c r="V1613" s="14"/>
      <c r="W1613" s="14">
        <f>IFERROR(__xludf.DUMMYFUNCTION("""COMPUTED_VALUE"""),37579.0)</f>
        <v>37579</v>
      </c>
      <c r="X1613" s="14">
        <f>IFERROR(__xludf.DUMMYFUNCTION("""COMPUTED_VALUE"""),1.0)</f>
        <v>1</v>
      </c>
      <c r="Y1613" s="14" t="str">
        <f>IFERROR(__xludf.DUMMYFUNCTION("""COMPUTED_VALUE"""),"Monaco-Europe")</f>
        <v>Monaco-Europe</v>
      </c>
      <c r="Z1613" s="14" t="str">
        <f>IFERROR(__xludf.DUMMYFUNCTION("""COMPUTED_VALUE"""),"Europe")</f>
        <v>Europe</v>
      </c>
      <c r="AA1613" s="14" t="str">
        <f>IFERROR(__xludf.DUMMYFUNCTION("""COMPUTED_VALUE"""),"2012")</f>
        <v>2012</v>
      </c>
      <c r="AB1613" s="15" t="str">
        <f>IFERROR(__xludf.DUMMYFUNCTION("ARRAYFORMULA(VLOOKUP(A1613,IMPORTRANGE(""https://docs.google.com/spreadsheets/d/1BuTWp7qHGjWhqrnf-OmePP568O4A5Am9ttzvVdP67zw/edit#gid=1931367683"" ,""ENERGY!$A$2:$F$2692""), {2,3,4,5,6},0))"),"Europe")</f>
        <v>Europe</v>
      </c>
      <c r="AC1613" s="14" t="str">
        <f>IFERROR(__xludf.DUMMYFUNCTION("""COMPUTED_VALUE"""),"Monaco-Europe")</f>
        <v>Monaco-Europe</v>
      </c>
      <c r="AD1613" s="14" t="str">
        <f>IFERROR(__xludf.DUMMYFUNCTION("""COMPUTED_VALUE"""),"2011")</f>
        <v>2011</v>
      </c>
      <c r="AE1613" s="14"/>
      <c r="AF1613" s="14"/>
    </row>
    <row r="1614">
      <c r="A1614" s="12">
        <v>1613.0</v>
      </c>
      <c r="B1614" s="12" t="s">
        <v>203</v>
      </c>
      <c r="C1614" s="5" t="s">
        <v>61</v>
      </c>
      <c r="D1614" s="8"/>
      <c r="E1614" s="8"/>
      <c r="F1614" s="8"/>
      <c r="G1614" s="8"/>
      <c r="H1614" s="11">
        <v>0.013</v>
      </c>
      <c r="I1614" s="11">
        <v>0.064</v>
      </c>
      <c r="J1614" s="9" t="s">
        <v>60</v>
      </c>
      <c r="K1614" s="14" t="str">
        <f>IFERROR(__xludf.DUMMYFUNCTION("ARRAYFORMULA(VLOOKUP(A1614,IMPORTRANGE(""https://docs.google.com/spreadsheets/d/1BuTWp7qHGjWhqrnf-OmePP568O4A5Am9ttzvVdP67zw/edit#gid=1603210130"", ""TOURISM!$A$2:$F$2692""), {2,3,4,5,6},0))"),"Asia")</f>
        <v>Asia</v>
      </c>
      <c r="L1614" s="14">
        <f>IFERROR(__xludf.DUMMYFUNCTION("""COMPUTED_VALUE"""),4.3E7)</f>
        <v>43000000</v>
      </c>
      <c r="M1614" s="14" t="str">
        <f>IFERROR(__xludf.DUMMYFUNCTION("""COMPUTED_VALUE"""),"Mongolia-Asia")</f>
        <v>Mongolia-Asia</v>
      </c>
      <c r="N1614" s="14" t="str">
        <f>IFERROR(__xludf.DUMMYFUNCTION("""COMPUTED_VALUE"""),"2000")</f>
        <v>2000</v>
      </c>
      <c r="O1614" s="14">
        <f>IFERROR(__xludf.DUMMYFUNCTION("""COMPUTED_VALUE"""),5.4E7)</f>
        <v>54000000</v>
      </c>
      <c r="P1614" s="15">
        <f>IFERROR(__xludf.DUMMYFUNCTION("ARRAYFORMULA(VLOOKUP(A1614,IMPORTRANGE(""https://docs.google.com/spreadsheets/d/1BuTWp7qHGjWhqrnf-OmePP568O4A5Am9ttzvVdP67zw/edit#gid=771602874"" ,""HUMAN RESOURCES!$A$2:$M$2692""), {2,3,4,5,6,7,8,9,10,11,12,13},0))"),0.019)</f>
        <v>0.019</v>
      </c>
      <c r="Q1614" s="14">
        <f>IFERROR(__xludf.DUMMYFUNCTION("""COMPUTED_VALUE"""),0.049)</f>
        <v>0.049</v>
      </c>
      <c r="R1614" s="14">
        <f>IFERROR(__xludf.DUMMYFUNCTION("""COMPUTED_VALUE"""),66.0)</f>
        <v>66</v>
      </c>
      <c r="S1614" s="14">
        <f>IFERROR(__xludf.DUMMYFUNCTION("""COMPUTED_VALUE"""),60.0)</f>
        <v>60</v>
      </c>
      <c r="T1614" s="14">
        <f>IFERROR(__xludf.DUMMYFUNCTION("""COMPUTED_VALUE"""),0.348)</f>
        <v>0.348</v>
      </c>
      <c r="U1614" s="14">
        <f>IFERROR(__xludf.DUMMYFUNCTION("""COMPUTED_VALUE"""),0.615)</f>
        <v>0.615</v>
      </c>
      <c r="V1614" s="14">
        <f>IFERROR(__xludf.DUMMYFUNCTION("""COMPUTED_VALUE"""),0.037)</f>
        <v>0.037</v>
      </c>
      <c r="W1614" s="14">
        <f>IFERROR(__xludf.DUMMYFUNCTION("""COMPUTED_VALUE"""),2397473.0)</f>
        <v>2397473</v>
      </c>
      <c r="X1614" s="14">
        <f>IFERROR(__xludf.DUMMYFUNCTION("""COMPUTED_VALUE"""),0.571)</f>
        <v>0.571</v>
      </c>
      <c r="Y1614" s="14" t="str">
        <f>IFERROR(__xludf.DUMMYFUNCTION("""COMPUTED_VALUE"""),"Mongolia-Asia")</f>
        <v>Mongolia-Asia</v>
      </c>
      <c r="Z1614" s="14" t="str">
        <f>IFERROR(__xludf.DUMMYFUNCTION("""COMPUTED_VALUE"""),"Asia")</f>
        <v>Asia</v>
      </c>
      <c r="AA1614" s="14" t="str">
        <f>IFERROR(__xludf.DUMMYFUNCTION("""COMPUTED_VALUE"""),"2000")</f>
        <v>2000</v>
      </c>
      <c r="AB1614" s="15" t="str">
        <f>IFERROR(__xludf.DUMMYFUNCTION("ARRAYFORMULA(VLOOKUP(A1614,IMPORTRANGE(""https://docs.google.com/spreadsheets/d/1BuTWp7qHGjWhqrnf-OmePP568O4A5Am9ttzvVdP67zw/edit#gid=1931367683"" ,""ENERGY!$A$2:$F$2692""), {2,3,4,5,6},0))"),"Asia")</f>
        <v>Asia</v>
      </c>
      <c r="AC1614" s="14" t="str">
        <f>IFERROR(__xludf.DUMMYFUNCTION("""COMPUTED_VALUE"""),"Mongolia-Asia")</f>
        <v>Mongolia-Asia</v>
      </c>
      <c r="AD1614" s="14" t="str">
        <f>IFERROR(__xludf.DUMMYFUNCTION("""COMPUTED_VALUE"""),"2000")</f>
        <v>2000</v>
      </c>
      <c r="AE1614" s="14"/>
      <c r="AF1614" s="14"/>
    </row>
    <row r="1615">
      <c r="A1615" s="12">
        <v>1614.0</v>
      </c>
      <c r="B1615" s="12" t="s">
        <v>203</v>
      </c>
      <c r="C1615" s="5" t="s">
        <v>61</v>
      </c>
      <c r="D1615" s="8"/>
      <c r="E1615" s="8"/>
      <c r="F1615" s="8"/>
      <c r="G1615" s="8"/>
      <c r="H1615" s="11">
        <v>0.017</v>
      </c>
      <c r="I1615" s="11">
        <v>0.081</v>
      </c>
      <c r="J1615" s="9" t="s">
        <v>62</v>
      </c>
      <c r="K1615" s="14" t="str">
        <f>IFERROR(__xludf.DUMMYFUNCTION("ARRAYFORMULA(VLOOKUP(A1615,IMPORTRANGE(""https://docs.google.com/spreadsheets/d/1BuTWp7qHGjWhqrnf-OmePP568O4A5Am9ttzvVdP67zw/edit#gid=1603210130"", ""TOURISM!$A$2:$F$2692""), {2,3,4,5,6},0))"),"Asia")</f>
        <v>Asia</v>
      </c>
      <c r="L1615" s="14">
        <f>IFERROR(__xludf.DUMMYFUNCTION("""COMPUTED_VALUE"""),4.9E7)</f>
        <v>49000000</v>
      </c>
      <c r="M1615" s="14" t="str">
        <f>IFERROR(__xludf.DUMMYFUNCTION("""COMPUTED_VALUE"""),"Mongolia-Asia")</f>
        <v>Mongolia-Asia</v>
      </c>
      <c r="N1615" s="14" t="str">
        <f>IFERROR(__xludf.DUMMYFUNCTION("""COMPUTED_VALUE"""),"2001")</f>
        <v>2001</v>
      </c>
      <c r="O1615" s="14">
        <f>IFERROR(__xludf.DUMMYFUNCTION("""COMPUTED_VALUE"""),5.9E7)</f>
        <v>59000000</v>
      </c>
      <c r="P1615" s="15">
        <f>IFERROR(__xludf.DUMMYFUNCTION("ARRAYFORMULA(VLOOKUP(A1615,IMPORTRANGE(""https://docs.google.com/spreadsheets/d/1BuTWp7qHGjWhqrnf-OmePP568O4A5Am9ttzvVdP67zw/edit#gid=771602874"" ,""HUMAN RESOURCES!$A$2:$M$2692""), {2,3,4,5,6,7,8,9,10,11,12,13},0))"),0.019)</f>
        <v>0.019</v>
      </c>
      <c r="Q1615" s="14">
        <f>IFERROR(__xludf.DUMMYFUNCTION("""COMPUTED_VALUE"""),0.047)</f>
        <v>0.047</v>
      </c>
      <c r="R1615" s="14">
        <f>IFERROR(__xludf.DUMMYFUNCTION("""COMPUTED_VALUE"""),67.0)</f>
        <v>67</v>
      </c>
      <c r="S1615" s="14">
        <f>IFERROR(__xludf.DUMMYFUNCTION("""COMPUTED_VALUE"""),60.0)</f>
        <v>60</v>
      </c>
      <c r="T1615" s="14">
        <f>IFERROR(__xludf.DUMMYFUNCTION("""COMPUTED_VALUE"""),0.336)</f>
        <v>0.336</v>
      </c>
      <c r="U1615" s="14">
        <f>IFERROR(__xludf.DUMMYFUNCTION("""COMPUTED_VALUE"""),0.627)</f>
        <v>0.627</v>
      </c>
      <c r="V1615" s="14">
        <f>IFERROR(__xludf.DUMMYFUNCTION("""COMPUTED_VALUE"""),0.037)</f>
        <v>0.037</v>
      </c>
      <c r="W1615" s="14">
        <f>IFERROR(__xludf.DUMMYFUNCTION("""COMPUTED_VALUE"""),2419669.0)</f>
        <v>2419669</v>
      </c>
      <c r="X1615" s="14">
        <f>IFERROR(__xludf.DUMMYFUNCTION("""COMPUTED_VALUE"""),0.582)</f>
        <v>0.582</v>
      </c>
      <c r="Y1615" s="14" t="str">
        <f>IFERROR(__xludf.DUMMYFUNCTION("""COMPUTED_VALUE"""),"Mongolia-Asia")</f>
        <v>Mongolia-Asia</v>
      </c>
      <c r="Z1615" s="14" t="str">
        <f>IFERROR(__xludf.DUMMYFUNCTION("""COMPUTED_VALUE"""),"Asia")</f>
        <v>Asia</v>
      </c>
      <c r="AA1615" s="14" t="str">
        <f>IFERROR(__xludf.DUMMYFUNCTION("""COMPUTED_VALUE"""),"2001")</f>
        <v>2001</v>
      </c>
      <c r="AB1615" s="15" t="str">
        <f>IFERROR(__xludf.DUMMYFUNCTION("ARRAYFORMULA(VLOOKUP(A1615,IMPORTRANGE(""https://docs.google.com/spreadsheets/d/1BuTWp7qHGjWhqrnf-OmePP568O4A5Am9ttzvVdP67zw/edit#gid=1931367683"" ,""ENERGY!$A$2:$F$2692""), {2,3,4,5,6},0))"),"Asia")</f>
        <v>Asia</v>
      </c>
      <c r="AC1615" s="14" t="str">
        <f>IFERROR(__xludf.DUMMYFUNCTION("""COMPUTED_VALUE"""),"Mongolia-Asia")</f>
        <v>Mongolia-Asia</v>
      </c>
      <c r="AD1615" s="14" t="str">
        <f>IFERROR(__xludf.DUMMYFUNCTION("""COMPUTED_VALUE"""),"2001")</f>
        <v>2001</v>
      </c>
      <c r="AE1615" s="14">
        <f>IFERROR(__xludf.DUMMYFUNCTION("""COMPUTED_VALUE"""),3607.0)</f>
        <v>3607</v>
      </c>
      <c r="AF1615" s="14"/>
    </row>
    <row r="1616">
      <c r="A1616" s="12">
        <v>1615.0</v>
      </c>
      <c r="B1616" s="12" t="s">
        <v>203</v>
      </c>
      <c r="C1616" s="5" t="s">
        <v>61</v>
      </c>
      <c r="D1616" s="8"/>
      <c r="E1616" s="8"/>
      <c r="F1616" s="8"/>
      <c r="G1616" s="8"/>
      <c r="H1616" s="11">
        <v>0.02</v>
      </c>
      <c r="I1616" s="11">
        <v>0.088</v>
      </c>
      <c r="J1616" s="9" t="s">
        <v>63</v>
      </c>
      <c r="K1616" s="14" t="str">
        <f>IFERROR(__xludf.DUMMYFUNCTION("ARRAYFORMULA(VLOOKUP(A1616,IMPORTRANGE(""https://docs.google.com/spreadsheets/d/1BuTWp7qHGjWhqrnf-OmePP568O4A5Am9ttzvVdP67zw/edit#gid=1603210130"", ""TOURISM!$A$2:$F$2692""), {2,3,4,5,6},0))"),"Asia")</f>
        <v>Asia</v>
      </c>
      <c r="L1616" s="14">
        <f>IFERROR(__xludf.DUMMYFUNCTION("""COMPUTED_VALUE"""),1.43E8)</f>
        <v>143000000</v>
      </c>
      <c r="M1616" s="14" t="str">
        <f>IFERROR(__xludf.DUMMYFUNCTION("""COMPUTED_VALUE"""),"Mongolia-Asia")</f>
        <v>Mongolia-Asia</v>
      </c>
      <c r="N1616" s="14" t="str">
        <f>IFERROR(__xludf.DUMMYFUNCTION("""COMPUTED_VALUE"""),"2002")</f>
        <v>2002</v>
      </c>
      <c r="O1616" s="14">
        <f>IFERROR(__xludf.DUMMYFUNCTION("""COMPUTED_VALUE"""),1.25E8)</f>
        <v>125000000</v>
      </c>
      <c r="P1616" s="15">
        <f>IFERROR(__xludf.DUMMYFUNCTION("ARRAYFORMULA(VLOOKUP(A1616,IMPORTRANGE(""https://docs.google.com/spreadsheets/d/1BuTWp7qHGjWhqrnf-OmePP568O4A5Am9ttzvVdP67zw/edit#gid=771602874"" ,""HUMAN RESOURCES!$A$2:$M$2692""), {2,3,4,5,6,7,8,9,10,11,12,13},0))"),0.019)</f>
        <v>0.019</v>
      </c>
      <c r="Q1616" s="14">
        <f>IFERROR(__xludf.DUMMYFUNCTION("""COMPUTED_VALUE"""),0.044)</f>
        <v>0.044</v>
      </c>
      <c r="R1616" s="14">
        <f>IFERROR(__xludf.DUMMYFUNCTION("""COMPUTED_VALUE"""),67.0)</f>
        <v>67</v>
      </c>
      <c r="S1616" s="14">
        <f>IFERROR(__xludf.DUMMYFUNCTION("""COMPUTED_VALUE"""),61.0)</f>
        <v>61</v>
      </c>
      <c r="T1616" s="14">
        <f>IFERROR(__xludf.DUMMYFUNCTION("""COMPUTED_VALUE"""),0.323)</f>
        <v>0.323</v>
      </c>
      <c r="U1616" s="14">
        <f>IFERROR(__xludf.DUMMYFUNCTION("""COMPUTED_VALUE"""),0.64)</f>
        <v>0.64</v>
      </c>
      <c r="V1616" s="14">
        <f>IFERROR(__xludf.DUMMYFUNCTION("""COMPUTED_VALUE"""),0.037)</f>
        <v>0.037</v>
      </c>
      <c r="W1616" s="14">
        <f>IFERROR(__xludf.DUMMYFUNCTION("""COMPUTED_VALUE"""),2443231.0)</f>
        <v>2443231</v>
      </c>
      <c r="X1616" s="14">
        <f>IFERROR(__xludf.DUMMYFUNCTION("""COMPUTED_VALUE"""),0.593)</f>
        <v>0.593</v>
      </c>
      <c r="Y1616" s="14" t="str">
        <f>IFERROR(__xludf.DUMMYFUNCTION("""COMPUTED_VALUE"""),"Mongolia-Asia")</f>
        <v>Mongolia-Asia</v>
      </c>
      <c r="Z1616" s="14" t="str">
        <f>IFERROR(__xludf.DUMMYFUNCTION("""COMPUTED_VALUE"""),"Asia")</f>
        <v>Asia</v>
      </c>
      <c r="AA1616" s="14" t="str">
        <f>IFERROR(__xludf.DUMMYFUNCTION("""COMPUTED_VALUE"""),"2002")</f>
        <v>2002</v>
      </c>
      <c r="AB1616" s="15" t="str">
        <f>IFERROR(__xludf.DUMMYFUNCTION("ARRAYFORMULA(VLOOKUP(A1616,IMPORTRANGE(""https://docs.google.com/spreadsheets/d/1BuTWp7qHGjWhqrnf-OmePP568O4A5Am9ttzvVdP67zw/edit#gid=1931367683"" ,""ENERGY!$A$2:$F$2692""), {2,3,4,5,6},0))"),"Asia")</f>
        <v>Asia</v>
      </c>
      <c r="AC1616" s="14" t="str">
        <f>IFERROR(__xludf.DUMMYFUNCTION("""COMPUTED_VALUE"""),"Mongolia-Asia")</f>
        <v>Mongolia-Asia</v>
      </c>
      <c r="AD1616" s="14" t="str">
        <f>IFERROR(__xludf.DUMMYFUNCTION("""COMPUTED_VALUE"""),"2002")</f>
        <v>2002</v>
      </c>
      <c r="AE1616" s="14">
        <f>IFERROR(__xludf.DUMMYFUNCTION("""COMPUTED_VALUE"""),3454.0)</f>
        <v>3454</v>
      </c>
      <c r="AF1616" s="14">
        <f>IFERROR(__xludf.DUMMYFUNCTION("""COMPUTED_VALUE"""),11511.0)</f>
        <v>11511</v>
      </c>
    </row>
    <row r="1617">
      <c r="A1617" s="12">
        <v>1616.0</v>
      </c>
      <c r="B1617" s="12" t="s">
        <v>203</v>
      </c>
      <c r="C1617" s="5" t="s">
        <v>61</v>
      </c>
      <c r="D1617" s="8"/>
      <c r="E1617" s="11">
        <v>20.0</v>
      </c>
      <c r="F1617" s="8"/>
      <c r="G1617" s="8"/>
      <c r="H1617" s="8"/>
      <c r="I1617" s="11">
        <v>0.129</v>
      </c>
      <c r="J1617" s="9" t="s">
        <v>64</v>
      </c>
      <c r="K1617" s="14" t="str">
        <f>IFERROR(__xludf.DUMMYFUNCTION("ARRAYFORMULA(VLOOKUP(A1617,IMPORTRANGE(""https://docs.google.com/spreadsheets/d/1BuTWp7qHGjWhqrnf-OmePP568O4A5Am9ttzvVdP67zw/edit#gid=1603210130"", ""TOURISM!$A$2:$F$2692""), {2,3,4,5,6},0))"),"Asia")</f>
        <v>Asia</v>
      </c>
      <c r="L1617" s="14">
        <f>IFERROR(__xludf.DUMMYFUNCTION("""COMPUTED_VALUE"""),1.54E8)</f>
        <v>154000000</v>
      </c>
      <c r="M1617" s="14" t="str">
        <f>IFERROR(__xludf.DUMMYFUNCTION("""COMPUTED_VALUE"""),"Mongolia-Asia")</f>
        <v>Mongolia-Asia</v>
      </c>
      <c r="N1617" s="14" t="str">
        <f>IFERROR(__xludf.DUMMYFUNCTION("""COMPUTED_VALUE"""),"2003")</f>
        <v>2003</v>
      </c>
      <c r="O1617" s="14">
        <f>IFERROR(__xludf.DUMMYFUNCTION("""COMPUTED_VALUE"""),1.44E8)</f>
        <v>144000000</v>
      </c>
      <c r="P1617" s="15">
        <f>IFERROR(__xludf.DUMMYFUNCTION("ARRAYFORMULA(VLOOKUP(A1617,IMPORTRANGE(""https://docs.google.com/spreadsheets/d/1BuTWp7qHGjWhqrnf-OmePP568O4A5Am9ttzvVdP67zw/edit#gid=771602874"" ,""HUMAN RESOURCES!$A$2:$M$2692""), {2,3,4,5,6,7,8,9,10,11,12,13},0))"),0.019)</f>
        <v>0.019</v>
      </c>
      <c r="Q1617" s="14">
        <f>IFERROR(__xludf.DUMMYFUNCTION("""COMPUTED_VALUE"""),0.042)</f>
        <v>0.042</v>
      </c>
      <c r="R1617" s="14">
        <f>IFERROR(__xludf.DUMMYFUNCTION("""COMPUTED_VALUE"""),68.0)</f>
        <v>68</v>
      </c>
      <c r="S1617" s="14">
        <f>IFERROR(__xludf.DUMMYFUNCTION("""COMPUTED_VALUE"""),61.0)</f>
        <v>61</v>
      </c>
      <c r="T1617" s="14">
        <f>IFERROR(__xludf.DUMMYFUNCTION("""COMPUTED_VALUE"""),0.311)</f>
        <v>0.311</v>
      </c>
      <c r="U1617" s="14">
        <f>IFERROR(__xludf.DUMMYFUNCTION("""COMPUTED_VALUE"""),0.652)</f>
        <v>0.652</v>
      </c>
      <c r="V1617" s="14">
        <f>IFERROR(__xludf.DUMMYFUNCTION("""COMPUTED_VALUE"""),0.037)</f>
        <v>0.037</v>
      </c>
      <c r="W1617" s="14">
        <f>IFERROR(__xludf.DUMMYFUNCTION("""COMPUTED_VALUE"""),2468595.0)</f>
        <v>2468595</v>
      </c>
      <c r="X1617" s="14">
        <f>IFERROR(__xludf.DUMMYFUNCTION("""COMPUTED_VALUE"""),0.604)</f>
        <v>0.604</v>
      </c>
      <c r="Y1617" s="14" t="str">
        <f>IFERROR(__xludf.DUMMYFUNCTION("""COMPUTED_VALUE"""),"Mongolia-Asia")</f>
        <v>Mongolia-Asia</v>
      </c>
      <c r="Z1617" s="14" t="str">
        <f>IFERROR(__xludf.DUMMYFUNCTION("""COMPUTED_VALUE"""),"Asia")</f>
        <v>Asia</v>
      </c>
      <c r="AA1617" s="14" t="str">
        <f>IFERROR(__xludf.DUMMYFUNCTION("""COMPUTED_VALUE"""),"2003")</f>
        <v>2003</v>
      </c>
      <c r="AB1617" s="15" t="str">
        <f>IFERROR(__xludf.DUMMYFUNCTION("ARRAYFORMULA(VLOOKUP(A1617,IMPORTRANGE(""https://docs.google.com/spreadsheets/d/1BuTWp7qHGjWhqrnf-OmePP568O4A5Am9ttzvVdP67zw/edit#gid=1931367683"" ,""ENERGY!$A$2:$F$2692""), {2,3,4,5,6},0))"),"Asia")</f>
        <v>Asia</v>
      </c>
      <c r="AC1617" s="14" t="str">
        <f>IFERROR(__xludf.DUMMYFUNCTION("""COMPUTED_VALUE"""),"Mongolia-Asia")</f>
        <v>Mongolia-Asia</v>
      </c>
      <c r="AD1617" s="14" t="str">
        <f>IFERROR(__xludf.DUMMYFUNCTION("""COMPUTED_VALUE"""),"2003")</f>
        <v>2003</v>
      </c>
      <c r="AE1617" s="14">
        <f>IFERROR(__xludf.DUMMYFUNCTION("""COMPUTED_VALUE"""),3252.0)</f>
        <v>3252</v>
      </c>
      <c r="AF1617" s="14">
        <f>IFERROR(__xludf.DUMMYFUNCTION("""COMPUTED_VALUE"""),11052.0)</f>
        <v>11052</v>
      </c>
    </row>
    <row r="1618">
      <c r="A1618" s="12">
        <v>1617.0</v>
      </c>
      <c r="B1618" s="12" t="s">
        <v>203</v>
      </c>
      <c r="C1618" s="5" t="s">
        <v>61</v>
      </c>
      <c r="D1618" s="8"/>
      <c r="E1618" s="11">
        <v>13.0</v>
      </c>
      <c r="F1618" s="8"/>
      <c r="G1618" s="8"/>
      <c r="H1618" s="8"/>
      <c r="I1618" s="11">
        <v>0.172</v>
      </c>
      <c r="J1618" s="9" t="s">
        <v>65</v>
      </c>
      <c r="K1618" s="14" t="str">
        <f>IFERROR(__xludf.DUMMYFUNCTION("ARRAYFORMULA(VLOOKUP(A1618,IMPORTRANGE(""https://docs.google.com/spreadsheets/d/1BuTWp7qHGjWhqrnf-OmePP568O4A5Am9ttzvVdP67zw/edit#gid=1603210130"", ""TOURISM!$A$2:$F$2692""), {2,3,4,5,6},0))"),"Asia")</f>
        <v>Asia</v>
      </c>
      <c r="L1618" s="14">
        <f>IFERROR(__xludf.DUMMYFUNCTION("""COMPUTED_VALUE"""),2.05E8)</f>
        <v>205000000</v>
      </c>
      <c r="M1618" s="14" t="str">
        <f>IFERROR(__xludf.DUMMYFUNCTION("""COMPUTED_VALUE"""),"Mongolia-Asia")</f>
        <v>Mongolia-Asia</v>
      </c>
      <c r="N1618" s="14" t="str">
        <f>IFERROR(__xludf.DUMMYFUNCTION("""COMPUTED_VALUE"""),"2004")</f>
        <v>2004</v>
      </c>
      <c r="O1618" s="14">
        <f>IFERROR(__xludf.DUMMYFUNCTION("""COMPUTED_VALUE"""),2.07E8)</f>
        <v>207000000</v>
      </c>
      <c r="P1618" s="15">
        <f>IFERROR(__xludf.DUMMYFUNCTION("ARRAYFORMULA(VLOOKUP(A1618,IMPORTRANGE(""https://docs.google.com/spreadsheets/d/1BuTWp7qHGjWhqrnf-OmePP568O4A5Am9ttzvVdP67zw/edit#gid=771602874"" ,""HUMAN RESOURCES!$A$2:$M$2692""), {2,3,4,5,6,7,8,9,10,11,12,13},0))"),0.02)</f>
        <v>0.02</v>
      </c>
      <c r="Q1618" s="14">
        <f>IFERROR(__xludf.DUMMYFUNCTION("""COMPUTED_VALUE"""),0.039)</f>
        <v>0.039</v>
      </c>
      <c r="R1618" s="14">
        <f>IFERROR(__xludf.DUMMYFUNCTION("""COMPUTED_VALUE"""),69.0)</f>
        <v>69</v>
      </c>
      <c r="S1618" s="14">
        <f>IFERROR(__xludf.DUMMYFUNCTION("""COMPUTED_VALUE"""),61.0)</f>
        <v>61</v>
      </c>
      <c r="T1618" s="14">
        <f>IFERROR(__xludf.DUMMYFUNCTION("""COMPUTED_VALUE"""),0.299)</f>
        <v>0.299</v>
      </c>
      <c r="U1618" s="14">
        <f>IFERROR(__xludf.DUMMYFUNCTION("""COMPUTED_VALUE"""),0.664)</f>
        <v>0.664</v>
      </c>
      <c r="V1618" s="14">
        <f>IFERROR(__xludf.DUMMYFUNCTION("""COMPUTED_VALUE"""),0.037)</f>
        <v>0.037</v>
      </c>
      <c r="W1618" s="14">
        <f>IFERROR(__xludf.DUMMYFUNCTION("""COMPUTED_VALUE"""),2496248.0)</f>
        <v>2496248</v>
      </c>
      <c r="X1618" s="14">
        <f>IFERROR(__xludf.DUMMYFUNCTION("""COMPUTED_VALUE"""),0.614)</f>
        <v>0.614</v>
      </c>
      <c r="Y1618" s="14" t="str">
        <f>IFERROR(__xludf.DUMMYFUNCTION("""COMPUTED_VALUE"""),"Mongolia-Asia")</f>
        <v>Mongolia-Asia</v>
      </c>
      <c r="Z1618" s="14" t="str">
        <f>IFERROR(__xludf.DUMMYFUNCTION("""COMPUTED_VALUE"""),"Asia")</f>
        <v>Asia</v>
      </c>
      <c r="AA1618" s="14" t="str">
        <f>IFERROR(__xludf.DUMMYFUNCTION("""COMPUTED_VALUE"""),"2004")</f>
        <v>2004</v>
      </c>
      <c r="AB1618" s="15" t="str">
        <f>IFERROR(__xludf.DUMMYFUNCTION("ARRAYFORMULA(VLOOKUP(A1618,IMPORTRANGE(""https://docs.google.com/spreadsheets/d/1BuTWp7qHGjWhqrnf-OmePP568O4A5Am9ttzvVdP67zw/edit#gid=1931367683"" ,""ENERGY!$A$2:$F$2692""), {2,3,4,5,6},0))"),"Asia")</f>
        <v>Asia</v>
      </c>
      <c r="AC1618" s="14" t="str">
        <f>IFERROR(__xludf.DUMMYFUNCTION("""COMPUTED_VALUE"""),"Mongolia-Asia")</f>
        <v>Mongolia-Asia</v>
      </c>
      <c r="AD1618" s="14" t="str">
        <f>IFERROR(__xludf.DUMMYFUNCTION("""COMPUTED_VALUE"""),"2004")</f>
        <v>2004</v>
      </c>
      <c r="AE1618" s="14">
        <f>IFERROR(__xludf.DUMMYFUNCTION("""COMPUTED_VALUE"""),3156.0)</f>
        <v>3156</v>
      </c>
      <c r="AF1618" s="14">
        <f>IFERROR(__xludf.DUMMYFUNCTION("""COMPUTED_VALUE"""),10029.0)</f>
        <v>10029</v>
      </c>
    </row>
    <row r="1619">
      <c r="A1619" s="12">
        <v>1618.0</v>
      </c>
      <c r="B1619" s="12" t="s">
        <v>203</v>
      </c>
      <c r="C1619" s="5" t="s">
        <v>61</v>
      </c>
      <c r="D1619" s="11">
        <v>0.398</v>
      </c>
      <c r="E1619" s="11">
        <v>13.0</v>
      </c>
      <c r="F1619" s="8"/>
      <c r="G1619" s="11">
        <v>204.0</v>
      </c>
      <c r="H1619" s="8"/>
      <c r="I1619" s="11">
        <v>0.221</v>
      </c>
      <c r="J1619" s="9" t="s">
        <v>66</v>
      </c>
      <c r="K1619" s="14" t="str">
        <f>IFERROR(__xludf.DUMMYFUNCTION("ARRAYFORMULA(VLOOKUP(A1619,IMPORTRANGE(""https://docs.google.com/spreadsheets/d/1BuTWp7qHGjWhqrnf-OmePP568O4A5Am9ttzvVdP67zw/edit#gid=1603210130"", ""TOURISM!$A$2:$F$2692""), {2,3,4,5,6},0))"),"Asia")</f>
        <v>Asia</v>
      </c>
      <c r="L1619" s="14">
        <f>IFERROR(__xludf.DUMMYFUNCTION("""COMPUTED_VALUE"""),2.03E8)</f>
        <v>203000000</v>
      </c>
      <c r="M1619" s="14" t="str">
        <f>IFERROR(__xludf.DUMMYFUNCTION("""COMPUTED_VALUE"""),"Mongolia-Asia")</f>
        <v>Mongolia-Asia</v>
      </c>
      <c r="N1619" s="14" t="str">
        <f>IFERROR(__xludf.DUMMYFUNCTION("""COMPUTED_VALUE"""),"2005")</f>
        <v>2005</v>
      </c>
      <c r="O1619" s="14">
        <f>IFERROR(__xludf.DUMMYFUNCTION("""COMPUTED_VALUE"""),1.73E8)</f>
        <v>173000000</v>
      </c>
      <c r="P1619" s="15">
        <f>IFERROR(__xludf.DUMMYFUNCTION("ARRAYFORMULA(VLOOKUP(A1619,IMPORTRANGE(""https://docs.google.com/spreadsheets/d/1BuTWp7qHGjWhqrnf-OmePP568O4A5Am9ttzvVdP67zw/edit#gid=771602874"" ,""HUMAN RESOURCES!$A$2:$M$2692""), {2,3,4,5,6,7,8,9,10,11,12,13},0))"),0.02)</f>
        <v>0.02</v>
      </c>
      <c r="Q1619" s="14">
        <f>IFERROR(__xludf.DUMMYFUNCTION("""COMPUTED_VALUE"""),0.037)</f>
        <v>0.037</v>
      </c>
      <c r="R1619" s="14">
        <f>IFERROR(__xludf.DUMMYFUNCTION("""COMPUTED_VALUE"""),69.0)</f>
        <v>69</v>
      </c>
      <c r="S1619" s="14">
        <f>IFERROR(__xludf.DUMMYFUNCTION("""COMPUTED_VALUE"""),62.0)</f>
        <v>62</v>
      </c>
      <c r="T1619" s="14">
        <f>IFERROR(__xludf.DUMMYFUNCTION("""COMPUTED_VALUE"""),0.289)</f>
        <v>0.289</v>
      </c>
      <c r="U1619" s="14">
        <f>IFERROR(__xludf.DUMMYFUNCTION("""COMPUTED_VALUE"""),0.673)</f>
        <v>0.673</v>
      </c>
      <c r="V1619" s="14">
        <f>IFERROR(__xludf.DUMMYFUNCTION("""COMPUTED_VALUE"""),0.037)</f>
        <v>0.037</v>
      </c>
      <c r="W1619" s="14">
        <f>IFERROR(__xludf.DUMMYFUNCTION("""COMPUTED_VALUE"""),2526502.0)</f>
        <v>2526502</v>
      </c>
      <c r="X1619" s="14">
        <f>IFERROR(__xludf.DUMMYFUNCTION("""COMPUTED_VALUE"""),0.625)</f>
        <v>0.625</v>
      </c>
      <c r="Y1619" s="14" t="str">
        <f>IFERROR(__xludf.DUMMYFUNCTION("""COMPUTED_VALUE"""),"Mongolia-Asia")</f>
        <v>Mongolia-Asia</v>
      </c>
      <c r="Z1619" s="14" t="str">
        <f>IFERROR(__xludf.DUMMYFUNCTION("""COMPUTED_VALUE"""),"Asia")</f>
        <v>Asia</v>
      </c>
      <c r="AA1619" s="14" t="str">
        <f>IFERROR(__xludf.DUMMYFUNCTION("""COMPUTED_VALUE"""),"2005")</f>
        <v>2005</v>
      </c>
      <c r="AB1619" s="15" t="str">
        <f>IFERROR(__xludf.DUMMYFUNCTION("ARRAYFORMULA(VLOOKUP(A1619,IMPORTRANGE(""https://docs.google.com/spreadsheets/d/1BuTWp7qHGjWhqrnf-OmePP568O4A5Am9ttzvVdP67zw/edit#gid=1931367683"" ,""ENERGY!$A$2:$F$2692""), {2,3,4,5,6},0))"),"Asia")</f>
        <v>Asia</v>
      </c>
      <c r="AC1619" s="14" t="str">
        <f>IFERROR(__xludf.DUMMYFUNCTION("""COMPUTED_VALUE"""),"Mongolia-Asia")</f>
        <v>Mongolia-Asia</v>
      </c>
      <c r="AD1619" s="14" t="str">
        <f>IFERROR(__xludf.DUMMYFUNCTION("""COMPUTED_VALUE"""),"2008")</f>
        <v>2008</v>
      </c>
      <c r="AE1619" s="14">
        <f>IFERROR(__xludf.DUMMYFUNCTION("""COMPUTED_VALUE"""),3114.0)</f>
        <v>3114</v>
      </c>
      <c r="AF1619" s="14">
        <f>IFERROR(__xludf.DUMMYFUNCTION("""COMPUTED_VALUE"""),10092.0)</f>
        <v>10092</v>
      </c>
    </row>
    <row r="1620">
      <c r="A1620" s="12">
        <v>1619.0</v>
      </c>
      <c r="B1620" s="12" t="s">
        <v>203</v>
      </c>
      <c r="C1620" s="5" t="s">
        <v>61</v>
      </c>
      <c r="D1620" s="11">
        <v>0.398</v>
      </c>
      <c r="E1620" s="11">
        <v>13.0</v>
      </c>
      <c r="F1620" s="8"/>
      <c r="G1620" s="11">
        <v>204.0</v>
      </c>
      <c r="H1620" s="8"/>
      <c r="I1620" s="11">
        <v>0.303</v>
      </c>
      <c r="J1620" s="9" t="s">
        <v>67</v>
      </c>
      <c r="K1620" s="14" t="str">
        <f>IFERROR(__xludf.DUMMYFUNCTION("ARRAYFORMULA(VLOOKUP(A1620,IMPORTRANGE(""https://docs.google.com/spreadsheets/d/1BuTWp7qHGjWhqrnf-OmePP568O4A5Am9ttzvVdP67zw/edit#gid=1603210130"", ""TOURISM!$A$2:$F$2692""), {2,3,4,5,6},0))"),"Asia")</f>
        <v>Asia</v>
      </c>
      <c r="L1620" s="14">
        <f>IFERROR(__xludf.DUMMYFUNCTION("""COMPUTED_VALUE"""),2.61E8)</f>
        <v>261000000</v>
      </c>
      <c r="M1620" s="14" t="str">
        <f>IFERROR(__xludf.DUMMYFUNCTION("""COMPUTED_VALUE"""),"Mongolia-Asia")</f>
        <v>Mongolia-Asia</v>
      </c>
      <c r="N1620" s="14" t="str">
        <f>IFERROR(__xludf.DUMMYFUNCTION("""COMPUTED_VALUE"""),"2006")</f>
        <v>2006</v>
      </c>
      <c r="O1620" s="14">
        <f>IFERROR(__xludf.DUMMYFUNCTION("""COMPUTED_VALUE"""),2.12E8)</f>
        <v>212000000</v>
      </c>
      <c r="P1620" s="15">
        <f>IFERROR(__xludf.DUMMYFUNCTION("ARRAYFORMULA(VLOOKUP(A1620,IMPORTRANGE(""https://docs.google.com/spreadsheets/d/1BuTWp7qHGjWhqrnf-OmePP568O4A5Am9ttzvVdP67zw/edit#gid=771602874"" ,""HUMAN RESOURCES!$A$2:$M$2692""), {2,3,4,5,6,7,8,9,10,11,12,13},0))"),0.021)</f>
        <v>0.021</v>
      </c>
      <c r="Q1620" s="14">
        <f>IFERROR(__xludf.DUMMYFUNCTION("""COMPUTED_VALUE"""),0.035)</f>
        <v>0.035</v>
      </c>
      <c r="R1620" s="14">
        <f>IFERROR(__xludf.DUMMYFUNCTION("""COMPUTED_VALUE"""),70.0)</f>
        <v>70</v>
      </c>
      <c r="S1620" s="14">
        <f>IFERROR(__xludf.DUMMYFUNCTION("""COMPUTED_VALUE"""),62.0)</f>
        <v>62</v>
      </c>
      <c r="T1620" s="14">
        <f>IFERROR(__xludf.DUMMYFUNCTION("""COMPUTED_VALUE"""),0.282)</f>
        <v>0.282</v>
      </c>
      <c r="U1620" s="14">
        <f>IFERROR(__xludf.DUMMYFUNCTION("""COMPUTED_VALUE"""),0.681)</f>
        <v>0.681</v>
      </c>
      <c r="V1620" s="14">
        <f>IFERROR(__xludf.DUMMYFUNCTION("""COMPUTED_VALUE"""),0.037)</f>
        <v>0.037</v>
      </c>
      <c r="W1620" s="14">
        <f>IFERROR(__xludf.DUMMYFUNCTION("""COMPUTED_VALUE"""),2559496.0)</f>
        <v>2559496</v>
      </c>
      <c r="X1620" s="14">
        <f>IFERROR(__xludf.DUMMYFUNCTION("""COMPUTED_VALUE"""),0.635)</f>
        <v>0.635</v>
      </c>
      <c r="Y1620" s="14" t="str">
        <f>IFERROR(__xludf.DUMMYFUNCTION("""COMPUTED_VALUE"""),"Mongolia-Asia")</f>
        <v>Mongolia-Asia</v>
      </c>
      <c r="Z1620" s="14" t="str">
        <f>IFERROR(__xludf.DUMMYFUNCTION("""COMPUTED_VALUE"""),"Asia")</f>
        <v>Asia</v>
      </c>
      <c r="AA1620" s="14" t="str">
        <f>IFERROR(__xludf.DUMMYFUNCTION("""COMPUTED_VALUE"""),"2006")</f>
        <v>2006</v>
      </c>
      <c r="AB1620" s="15" t="str">
        <f>IFERROR(__xludf.DUMMYFUNCTION("ARRAYFORMULA(VLOOKUP(A1620,IMPORTRANGE(""https://docs.google.com/spreadsheets/d/1BuTWp7qHGjWhqrnf-OmePP568O4A5Am9ttzvVdP67zw/edit#gid=1931367683"" ,""ENERGY!$A$2:$F$2692""), {2,3,4,5,6},0))"),"Asia")</f>
        <v>Asia</v>
      </c>
      <c r="AC1620" s="14" t="str">
        <f>IFERROR(__xludf.DUMMYFUNCTION("""COMPUTED_VALUE"""),"Mongolia-Asia")</f>
        <v>Mongolia-Asia</v>
      </c>
      <c r="AD1620" s="14" t="str">
        <f>IFERROR(__xludf.DUMMYFUNCTION("""COMPUTED_VALUE"""),"2011")</f>
        <v>2011</v>
      </c>
      <c r="AE1620" s="14">
        <f>IFERROR(__xludf.DUMMYFUNCTION("""COMPUTED_VALUE"""),2925.0)</f>
        <v>2925</v>
      </c>
      <c r="AF1620" s="14">
        <f>IFERROR(__xludf.DUMMYFUNCTION("""COMPUTED_VALUE"""),9498.0)</f>
        <v>9498</v>
      </c>
    </row>
    <row r="1621">
      <c r="A1621" s="12">
        <v>1620.0</v>
      </c>
      <c r="B1621" s="12" t="s">
        <v>203</v>
      </c>
      <c r="C1621" s="5" t="s">
        <v>61</v>
      </c>
      <c r="D1621" s="11">
        <v>0.398</v>
      </c>
      <c r="E1621" s="11">
        <v>13.0</v>
      </c>
      <c r="F1621" s="8"/>
      <c r="G1621" s="11">
        <v>204.0</v>
      </c>
      <c r="H1621" s="11">
        <v>0.09</v>
      </c>
      <c r="I1621" s="11">
        <v>0.46</v>
      </c>
      <c r="J1621" s="9" t="s">
        <v>68</v>
      </c>
      <c r="K1621" s="14" t="str">
        <f>IFERROR(__xludf.DUMMYFUNCTION("ARRAYFORMULA(VLOOKUP(A1621,IMPORTRANGE(""https://docs.google.com/spreadsheets/d/1BuTWp7qHGjWhqrnf-OmePP568O4A5Am9ttzvVdP67zw/edit#gid=1603210130"", ""TOURISM!$A$2:$F$2692""), {2,3,4,5,6},0))"),"Asia")</f>
        <v>Asia</v>
      </c>
      <c r="L1621" s="14">
        <f>IFERROR(__xludf.DUMMYFUNCTION("""COMPUTED_VALUE"""),3.54E8)</f>
        <v>354000000</v>
      </c>
      <c r="M1621" s="14" t="str">
        <f>IFERROR(__xludf.DUMMYFUNCTION("""COMPUTED_VALUE"""),"Mongolia-Asia")</f>
        <v>Mongolia-Asia</v>
      </c>
      <c r="N1621" s="14" t="str">
        <f>IFERROR(__xludf.DUMMYFUNCTION("""COMPUTED_VALUE"""),"2007")</f>
        <v>2007</v>
      </c>
      <c r="O1621" s="14">
        <f>IFERROR(__xludf.DUMMYFUNCTION("""COMPUTED_VALUE"""),2.27E8)</f>
        <v>227000000</v>
      </c>
      <c r="P1621" s="15">
        <f>IFERROR(__xludf.DUMMYFUNCTION("ARRAYFORMULA(VLOOKUP(A1621,IMPORTRANGE(""https://docs.google.com/spreadsheets/d/1BuTWp7qHGjWhqrnf-OmePP568O4A5Am9ttzvVdP67zw/edit#gid=771602874"" ,""HUMAN RESOURCES!$A$2:$M$2692""), {2,3,4,5,6,7,8,9,10,11,12,13},0))"),0.022)</f>
        <v>0.022</v>
      </c>
      <c r="Q1621" s="14">
        <f>IFERROR(__xludf.DUMMYFUNCTION("""COMPUTED_VALUE"""),0.033)</f>
        <v>0.033</v>
      </c>
      <c r="R1621" s="14">
        <f>IFERROR(__xludf.DUMMYFUNCTION("""COMPUTED_VALUE"""),70.0)</f>
        <v>70</v>
      </c>
      <c r="S1621" s="14">
        <f>IFERROR(__xludf.DUMMYFUNCTION("""COMPUTED_VALUE"""),62.0)</f>
        <v>62</v>
      </c>
      <c r="T1621" s="14">
        <f>IFERROR(__xludf.DUMMYFUNCTION("""COMPUTED_VALUE"""),0.276)</f>
        <v>0.276</v>
      </c>
      <c r="U1621" s="14">
        <f>IFERROR(__xludf.DUMMYFUNCTION("""COMPUTED_VALUE"""),0.686)</f>
        <v>0.686</v>
      </c>
      <c r="V1621" s="14">
        <f>IFERROR(__xludf.DUMMYFUNCTION("""COMPUTED_VALUE"""),0.038)</f>
        <v>0.038</v>
      </c>
      <c r="W1621" s="14">
        <f>IFERROR(__xludf.DUMMYFUNCTION("""COMPUTED_VALUE"""),2595068.0)</f>
        <v>2595068</v>
      </c>
      <c r="X1621" s="14">
        <f>IFERROR(__xludf.DUMMYFUNCTION("""COMPUTED_VALUE"""),0.646)</f>
        <v>0.646</v>
      </c>
      <c r="Y1621" s="14" t="str">
        <f>IFERROR(__xludf.DUMMYFUNCTION("""COMPUTED_VALUE"""),"Mongolia-Asia")</f>
        <v>Mongolia-Asia</v>
      </c>
      <c r="Z1621" s="14" t="str">
        <f>IFERROR(__xludf.DUMMYFUNCTION("""COMPUTED_VALUE"""),"Asia")</f>
        <v>Asia</v>
      </c>
      <c r="AA1621" s="14" t="str">
        <f>IFERROR(__xludf.DUMMYFUNCTION("""COMPUTED_VALUE"""),"2007")</f>
        <v>2007</v>
      </c>
      <c r="AB1621" s="15" t="str">
        <f>IFERROR(__xludf.DUMMYFUNCTION("ARRAYFORMULA(VLOOKUP(A1621,IMPORTRANGE(""https://docs.google.com/spreadsheets/d/1BuTWp7qHGjWhqrnf-OmePP568O4A5Am9ttzvVdP67zw/edit#gid=1931367683"" ,""ENERGY!$A$2:$F$2692""), {2,3,4,5,6},0))"),"Asia")</f>
        <v>Asia</v>
      </c>
      <c r="AC1621" s="14" t="str">
        <f>IFERROR(__xludf.DUMMYFUNCTION("""COMPUTED_VALUE"""),"Mongolia-Asia")</f>
        <v>Mongolia-Asia</v>
      </c>
      <c r="AD1621" s="14" t="str">
        <f>IFERROR(__xludf.DUMMYFUNCTION("""COMPUTED_VALUE"""),"2009")</f>
        <v>2009</v>
      </c>
      <c r="AE1621" s="14">
        <f>IFERROR(__xludf.DUMMYFUNCTION("""COMPUTED_VALUE"""),2625.0)</f>
        <v>2625</v>
      </c>
      <c r="AF1621" s="14">
        <f>IFERROR(__xludf.DUMMYFUNCTION("""COMPUTED_VALUE"""),8647.0)</f>
        <v>8647</v>
      </c>
    </row>
    <row r="1622">
      <c r="A1622" s="12">
        <v>1621.0</v>
      </c>
      <c r="B1622" s="12" t="s">
        <v>203</v>
      </c>
      <c r="C1622" s="5" t="s">
        <v>61</v>
      </c>
      <c r="D1622" s="11">
        <v>0.338</v>
      </c>
      <c r="E1622" s="11">
        <v>13.0</v>
      </c>
      <c r="F1622" s="8"/>
      <c r="G1622" s="11">
        <v>204.0</v>
      </c>
      <c r="H1622" s="11">
        <v>0.098</v>
      </c>
      <c r="I1622" s="11">
        <v>0.67</v>
      </c>
      <c r="J1622" s="9" t="s">
        <v>69</v>
      </c>
      <c r="K1622" s="14" t="str">
        <f>IFERROR(__xludf.DUMMYFUNCTION("ARRAYFORMULA(VLOOKUP(A1622,IMPORTRANGE(""https://docs.google.com/spreadsheets/d/1BuTWp7qHGjWhqrnf-OmePP568O4A5Am9ttzvVdP67zw/edit#gid=1603210130"", ""TOURISM!$A$2:$F$2692""), {2,3,4,5,6},0))"),"Asia")</f>
        <v>Asia</v>
      </c>
      <c r="L1622" s="14">
        <f>IFERROR(__xludf.DUMMYFUNCTION("""COMPUTED_VALUE"""),2.72E8)</f>
        <v>272000000</v>
      </c>
      <c r="M1622" s="14" t="str">
        <f>IFERROR(__xludf.DUMMYFUNCTION("""COMPUTED_VALUE"""),"Mongolia-Asia")</f>
        <v>Mongolia-Asia</v>
      </c>
      <c r="N1622" s="14" t="str">
        <f>IFERROR(__xludf.DUMMYFUNCTION("""COMPUTED_VALUE"""),"2008")</f>
        <v>2008</v>
      </c>
      <c r="O1622" s="14">
        <f>IFERROR(__xludf.DUMMYFUNCTION("""COMPUTED_VALUE"""),2.49E8)</f>
        <v>249000000</v>
      </c>
      <c r="P1622" s="15">
        <f>IFERROR(__xludf.DUMMYFUNCTION("ARRAYFORMULA(VLOOKUP(A1622,IMPORTRANGE(""https://docs.google.com/spreadsheets/d/1BuTWp7qHGjWhqrnf-OmePP568O4A5Am9ttzvVdP67zw/edit#gid=771602874"" ,""HUMAN RESOURCES!$A$2:$M$2692""), {2,3,4,5,6,7,8,9,10,11,12,13},0))"),0.022)</f>
        <v>0.022</v>
      </c>
      <c r="Q1622" s="14">
        <f>IFERROR(__xludf.DUMMYFUNCTION("""COMPUTED_VALUE"""),0.032)</f>
        <v>0.032</v>
      </c>
      <c r="R1622" s="14">
        <f>IFERROR(__xludf.DUMMYFUNCTION("""COMPUTED_VALUE"""),70.0)</f>
        <v>70</v>
      </c>
      <c r="S1622" s="14">
        <f>IFERROR(__xludf.DUMMYFUNCTION("""COMPUTED_VALUE"""),62.0)</f>
        <v>62</v>
      </c>
      <c r="T1622" s="14">
        <f>IFERROR(__xludf.DUMMYFUNCTION("""COMPUTED_VALUE"""),0.273)</f>
        <v>0.273</v>
      </c>
      <c r="U1622" s="14">
        <f>IFERROR(__xludf.DUMMYFUNCTION("""COMPUTED_VALUE"""),0.689)</f>
        <v>0.689</v>
      </c>
      <c r="V1622" s="14">
        <f>IFERROR(__xludf.DUMMYFUNCTION("""COMPUTED_VALUE"""),0.038)</f>
        <v>0.038</v>
      </c>
      <c r="W1622" s="14">
        <f>IFERROR(__xludf.DUMMYFUNCTION("""COMPUTED_VALUE"""),2632834.0)</f>
        <v>2632834</v>
      </c>
      <c r="X1622" s="14">
        <f>IFERROR(__xludf.DUMMYFUNCTION("""COMPUTED_VALUE"""),0.656)</f>
        <v>0.656</v>
      </c>
      <c r="Y1622" s="14" t="str">
        <f>IFERROR(__xludf.DUMMYFUNCTION("""COMPUTED_VALUE"""),"Mongolia-Asia")</f>
        <v>Mongolia-Asia</v>
      </c>
      <c r="Z1622" s="14" t="str">
        <f>IFERROR(__xludf.DUMMYFUNCTION("""COMPUTED_VALUE"""),"Asia")</f>
        <v>Asia</v>
      </c>
      <c r="AA1622" s="14" t="str">
        <f>IFERROR(__xludf.DUMMYFUNCTION("""COMPUTED_VALUE"""),"2008")</f>
        <v>2008</v>
      </c>
      <c r="AB1622" s="15" t="str">
        <f>IFERROR(__xludf.DUMMYFUNCTION("ARRAYFORMULA(VLOOKUP(A1622,IMPORTRANGE(""https://docs.google.com/spreadsheets/d/1BuTWp7qHGjWhqrnf-OmePP568O4A5Am9ttzvVdP67zw/edit#gid=1931367683"" ,""ENERGY!$A$2:$F$2692""), {2,3,4,5,6},0))"),"Asia")</f>
        <v>Asia</v>
      </c>
      <c r="AC1622" s="14" t="str">
        <f>IFERROR(__xludf.DUMMYFUNCTION("""COMPUTED_VALUE"""),"Mongolia-Asia")</f>
        <v>Mongolia-Asia</v>
      </c>
      <c r="AD1622" s="14" t="str">
        <f>IFERROR(__xludf.DUMMYFUNCTION("""COMPUTED_VALUE"""),"2006")</f>
        <v>2006</v>
      </c>
      <c r="AE1622" s="14">
        <f>IFERROR(__xludf.DUMMYFUNCTION("""COMPUTED_VALUE"""),2600.0)</f>
        <v>2600</v>
      </c>
      <c r="AF1622" s="14">
        <f>IFERROR(__xludf.DUMMYFUNCTION("""COMPUTED_VALUE"""),8551.0)</f>
        <v>8551</v>
      </c>
    </row>
    <row r="1623">
      <c r="A1623" s="12">
        <v>1622.0</v>
      </c>
      <c r="B1623" s="12" t="s">
        <v>203</v>
      </c>
      <c r="C1623" s="5" t="s">
        <v>61</v>
      </c>
      <c r="D1623" s="11">
        <v>0.243</v>
      </c>
      <c r="E1623" s="11">
        <v>13.0</v>
      </c>
      <c r="F1623" s="8"/>
      <c r="G1623" s="11">
        <v>192.0</v>
      </c>
      <c r="H1623" s="11">
        <v>0.1</v>
      </c>
      <c r="I1623" s="11">
        <v>0.842</v>
      </c>
      <c r="J1623" s="9" t="s">
        <v>70</v>
      </c>
      <c r="K1623" s="14" t="str">
        <f>IFERROR(__xludf.DUMMYFUNCTION("ARRAYFORMULA(VLOOKUP(A1623,IMPORTRANGE(""https://docs.google.com/spreadsheets/d/1BuTWp7qHGjWhqrnf-OmePP568O4A5Am9ttzvVdP67zw/edit#gid=1603210130"", ""TOURISM!$A$2:$F$2692""), {2,3,4,5,6},0))"),"Asia")</f>
        <v>Asia</v>
      </c>
      <c r="L1623" s="14">
        <f>IFERROR(__xludf.DUMMYFUNCTION("""COMPUTED_VALUE"""),2.53E8)</f>
        <v>253000000</v>
      </c>
      <c r="M1623" s="14" t="str">
        <f>IFERROR(__xludf.DUMMYFUNCTION("""COMPUTED_VALUE"""),"Mongolia-Asia")</f>
        <v>Mongolia-Asia</v>
      </c>
      <c r="N1623" s="14" t="str">
        <f>IFERROR(__xludf.DUMMYFUNCTION("""COMPUTED_VALUE"""),"2009")</f>
        <v>2009</v>
      </c>
      <c r="O1623" s="14">
        <f>IFERROR(__xludf.DUMMYFUNCTION("""COMPUTED_VALUE"""),2.42E8)</f>
        <v>242000000</v>
      </c>
      <c r="P1623" s="15">
        <f>IFERROR(__xludf.DUMMYFUNCTION("ARRAYFORMULA(VLOOKUP(A1623,IMPORTRANGE(""https://docs.google.com/spreadsheets/d/1BuTWp7qHGjWhqrnf-OmePP568O4A5Am9ttzvVdP67zw/edit#gid=771602874"" ,""HUMAN RESOURCES!$A$2:$M$2692""), {2,3,4,5,6,7,8,9,10,11,12,13},0))"),0.023)</f>
        <v>0.023</v>
      </c>
      <c r="Q1623" s="14">
        <f>IFERROR(__xludf.DUMMYFUNCTION("""COMPUTED_VALUE"""),0.03)</f>
        <v>0.03</v>
      </c>
      <c r="R1623" s="14">
        <f>IFERROR(__xludf.DUMMYFUNCTION("""COMPUTED_VALUE"""),71.0)</f>
        <v>71</v>
      </c>
      <c r="S1623" s="14">
        <f>IFERROR(__xludf.DUMMYFUNCTION("""COMPUTED_VALUE"""),63.0)</f>
        <v>63</v>
      </c>
      <c r="T1623" s="14">
        <f>IFERROR(__xludf.DUMMYFUNCTION("""COMPUTED_VALUE"""),0.271)</f>
        <v>0.271</v>
      </c>
      <c r="U1623" s="14">
        <f>IFERROR(__xludf.DUMMYFUNCTION("""COMPUTED_VALUE"""),0.691)</f>
        <v>0.691</v>
      </c>
      <c r="V1623" s="14">
        <f>IFERROR(__xludf.DUMMYFUNCTION("""COMPUTED_VALUE"""),0.038)</f>
        <v>0.038</v>
      </c>
      <c r="W1623" s="14">
        <f>IFERROR(__xludf.DUMMYFUNCTION("""COMPUTED_VALUE"""),2672223.0)</f>
        <v>2672223</v>
      </c>
      <c r="X1623" s="14">
        <f>IFERROR(__xludf.DUMMYFUNCTION("""COMPUTED_VALUE"""),0.666)</f>
        <v>0.666</v>
      </c>
      <c r="Y1623" s="14" t="str">
        <f>IFERROR(__xludf.DUMMYFUNCTION("""COMPUTED_VALUE"""),"Mongolia-Asia")</f>
        <v>Mongolia-Asia</v>
      </c>
      <c r="Z1623" s="14" t="str">
        <f>IFERROR(__xludf.DUMMYFUNCTION("""COMPUTED_VALUE"""),"Asia")</f>
        <v>Asia</v>
      </c>
      <c r="AA1623" s="14" t="str">
        <f>IFERROR(__xludf.DUMMYFUNCTION("""COMPUTED_VALUE"""),"2009")</f>
        <v>2009</v>
      </c>
      <c r="AB1623" s="15" t="str">
        <f>IFERROR(__xludf.DUMMYFUNCTION("ARRAYFORMULA(VLOOKUP(A1623,IMPORTRANGE(""https://docs.google.com/spreadsheets/d/1BuTWp7qHGjWhqrnf-OmePP568O4A5Am9ttzvVdP67zw/edit#gid=1931367683"" ,""ENERGY!$A$2:$F$2692""), {2,3,4,5,6},0))"),"Asia")</f>
        <v>Asia</v>
      </c>
      <c r="AC1623" s="14" t="str">
        <f>IFERROR(__xludf.DUMMYFUNCTION("""COMPUTED_VALUE"""),"Mongolia-Asia")</f>
        <v>Mongolia-Asia</v>
      </c>
      <c r="AD1623" s="14" t="str">
        <f>IFERROR(__xludf.DUMMYFUNCTION("""COMPUTED_VALUE"""),"2011")</f>
        <v>2011</v>
      </c>
      <c r="AE1623" s="14">
        <f>IFERROR(__xludf.DUMMYFUNCTION("""COMPUTED_VALUE"""),2525.0)</f>
        <v>2525</v>
      </c>
      <c r="AF1623" s="14">
        <f>IFERROR(__xludf.DUMMYFUNCTION("""COMPUTED_VALUE"""),8034.0)</f>
        <v>8034</v>
      </c>
    </row>
    <row r="1624">
      <c r="A1624" s="12">
        <v>1623.0</v>
      </c>
      <c r="B1624" s="12" t="s">
        <v>203</v>
      </c>
      <c r="C1624" s="5" t="s">
        <v>61</v>
      </c>
      <c r="D1624" s="11">
        <v>0.243</v>
      </c>
      <c r="E1624" s="11">
        <v>13.0</v>
      </c>
      <c r="F1624" s="8"/>
      <c r="G1624" s="11">
        <v>192.0</v>
      </c>
      <c r="H1624" s="11">
        <v>0.102</v>
      </c>
      <c r="I1624" s="11">
        <v>0.925</v>
      </c>
      <c r="J1624" s="9" t="s">
        <v>71</v>
      </c>
      <c r="K1624" s="14" t="str">
        <f>IFERROR(__xludf.DUMMYFUNCTION("ARRAYFORMULA(VLOOKUP(A1624,IMPORTRANGE(""https://docs.google.com/spreadsheets/d/1BuTWp7qHGjWhqrnf-OmePP568O4A5Am9ttzvVdP67zw/edit#gid=1603210130"", ""TOURISM!$A$2:$F$2692""), {2,3,4,5,6},0))"),"Asia")</f>
        <v>Asia</v>
      </c>
      <c r="L1624" s="14">
        <f>IFERROR(__xludf.DUMMYFUNCTION("""COMPUTED_VALUE"""),2.88E8)</f>
        <v>288000000</v>
      </c>
      <c r="M1624" s="14" t="str">
        <f>IFERROR(__xludf.DUMMYFUNCTION("""COMPUTED_VALUE"""),"Mongolia-Asia")</f>
        <v>Mongolia-Asia</v>
      </c>
      <c r="N1624" s="14" t="str">
        <f>IFERROR(__xludf.DUMMYFUNCTION("""COMPUTED_VALUE"""),"2010")</f>
        <v>2010</v>
      </c>
      <c r="O1624" s="14">
        <f>IFERROR(__xludf.DUMMYFUNCTION("""COMPUTED_VALUE"""),3.19E8)</f>
        <v>319000000</v>
      </c>
      <c r="P1624" s="15">
        <f>IFERROR(__xludf.DUMMYFUNCTION("ARRAYFORMULA(VLOOKUP(A1624,IMPORTRANGE(""https://docs.google.com/spreadsheets/d/1BuTWp7qHGjWhqrnf-OmePP568O4A5Am9ttzvVdP67zw/edit#gid=771602874"" ,""HUMAN RESOURCES!$A$2:$M$2692""), {2,3,4,5,6,7,8,9,10,11,12,13},0))"),0.023)</f>
        <v>0.023</v>
      </c>
      <c r="Q1624" s="14">
        <f>IFERROR(__xludf.DUMMYFUNCTION("""COMPUTED_VALUE"""),0.029)</f>
        <v>0.029</v>
      </c>
      <c r="R1624" s="14">
        <f>IFERROR(__xludf.DUMMYFUNCTION("""COMPUTED_VALUE"""),71.0)</f>
        <v>71</v>
      </c>
      <c r="S1624" s="14">
        <f>IFERROR(__xludf.DUMMYFUNCTION("""COMPUTED_VALUE"""),63.0)</f>
        <v>63</v>
      </c>
      <c r="T1624" s="14">
        <f>IFERROR(__xludf.DUMMYFUNCTION("""COMPUTED_VALUE"""),0.27)</f>
        <v>0.27</v>
      </c>
      <c r="U1624" s="14">
        <f>IFERROR(__xludf.DUMMYFUNCTION("""COMPUTED_VALUE"""),0.692)</f>
        <v>0.692</v>
      </c>
      <c r="V1624" s="14">
        <f>IFERROR(__xludf.DUMMYFUNCTION("""COMPUTED_VALUE"""),0.038)</f>
        <v>0.038</v>
      </c>
      <c r="W1624" s="14">
        <f>IFERROR(__xludf.DUMMYFUNCTION("""COMPUTED_VALUE"""),2712738.0)</f>
        <v>2712738</v>
      </c>
      <c r="X1624" s="14">
        <f>IFERROR(__xludf.DUMMYFUNCTION("""COMPUTED_VALUE"""),0.676)</f>
        <v>0.676</v>
      </c>
      <c r="Y1624" s="14" t="str">
        <f>IFERROR(__xludf.DUMMYFUNCTION("""COMPUTED_VALUE"""),"Mongolia-Asia")</f>
        <v>Mongolia-Asia</v>
      </c>
      <c r="Z1624" s="14" t="str">
        <f>IFERROR(__xludf.DUMMYFUNCTION("""COMPUTED_VALUE"""),"Asia")</f>
        <v>Asia</v>
      </c>
      <c r="AA1624" s="14" t="str">
        <f>IFERROR(__xludf.DUMMYFUNCTION("""COMPUTED_VALUE"""),"2010")</f>
        <v>2010</v>
      </c>
      <c r="AB1624" s="15" t="str">
        <f>IFERROR(__xludf.DUMMYFUNCTION("ARRAYFORMULA(VLOOKUP(A1624,IMPORTRANGE(""https://docs.google.com/spreadsheets/d/1BuTWp7qHGjWhqrnf-OmePP568O4A5Am9ttzvVdP67zw/edit#gid=1931367683"" ,""ENERGY!$A$2:$F$2692""), {2,3,4,5,6},0))"),"Asia")</f>
        <v>Asia</v>
      </c>
      <c r="AC1624" s="14" t="str">
        <f>IFERROR(__xludf.DUMMYFUNCTION("""COMPUTED_VALUE"""),"Mongolia-Asia")</f>
        <v>Mongolia-Asia</v>
      </c>
      <c r="AD1624" s="14" t="str">
        <f>IFERROR(__xludf.DUMMYFUNCTION("""COMPUTED_VALUE"""),"2005")</f>
        <v>2005</v>
      </c>
      <c r="AE1624" s="14">
        <f>IFERROR(__xludf.DUMMYFUNCTION("""COMPUTED_VALUE"""),2586.0)</f>
        <v>2586</v>
      </c>
      <c r="AF1624" s="14">
        <f>IFERROR(__xludf.DUMMYFUNCTION("""COMPUTED_VALUE"""),8287.0)</f>
        <v>8287</v>
      </c>
    </row>
    <row r="1625">
      <c r="A1625" s="12">
        <v>1624.0</v>
      </c>
      <c r="B1625" s="12" t="s">
        <v>203</v>
      </c>
      <c r="C1625" s="5" t="s">
        <v>61</v>
      </c>
      <c r="D1625" s="11">
        <v>0.246</v>
      </c>
      <c r="E1625" s="11">
        <v>13.0</v>
      </c>
      <c r="F1625" s="8"/>
      <c r="G1625" s="11">
        <v>192.0</v>
      </c>
      <c r="H1625" s="11">
        <v>0.125</v>
      </c>
      <c r="I1625" s="11">
        <v>1.068</v>
      </c>
      <c r="J1625" s="9" t="s">
        <v>72</v>
      </c>
      <c r="K1625" s="14" t="str">
        <f>IFERROR(__xludf.DUMMYFUNCTION("ARRAYFORMULA(VLOOKUP(A1625,IMPORTRANGE(""https://docs.google.com/spreadsheets/d/1BuTWp7qHGjWhqrnf-OmePP568O4A5Am9ttzvVdP67zw/edit#gid=1603210130"", ""TOURISM!$A$2:$F$2692""), {2,3,4,5,6},0))"),"Asia")</f>
        <v>Asia</v>
      </c>
      <c r="L1625" s="14">
        <f>IFERROR(__xludf.DUMMYFUNCTION("""COMPUTED_VALUE"""),2.58E8)</f>
        <v>258000000</v>
      </c>
      <c r="M1625" s="14" t="str">
        <f>IFERROR(__xludf.DUMMYFUNCTION("""COMPUTED_VALUE"""),"Mongolia-Asia")</f>
        <v>Mongolia-Asia</v>
      </c>
      <c r="N1625" s="14" t="str">
        <f>IFERROR(__xludf.DUMMYFUNCTION("""COMPUTED_VALUE"""),"2011")</f>
        <v>2011</v>
      </c>
      <c r="O1625" s="14">
        <f>IFERROR(__xludf.DUMMYFUNCTION("""COMPUTED_VALUE"""),4.04E8)</f>
        <v>404000000</v>
      </c>
      <c r="P1625" s="15">
        <f>IFERROR(__xludf.DUMMYFUNCTION("ARRAYFORMULA(VLOOKUP(A1625,IMPORTRANGE(""https://docs.google.com/spreadsheets/d/1BuTWp7qHGjWhqrnf-OmePP568O4A5Am9ttzvVdP67zw/edit#gid=771602874"" ,""HUMAN RESOURCES!$A$2:$M$2692""), {2,3,4,5,6,7,8,9,10,11,12,13},0))"),0.023)</f>
        <v>0.023</v>
      </c>
      <c r="Q1625" s="14">
        <f>IFERROR(__xludf.DUMMYFUNCTION("""COMPUTED_VALUE"""),0.028)</f>
        <v>0.028</v>
      </c>
      <c r="R1625" s="14">
        <f>IFERROR(__xludf.DUMMYFUNCTION("""COMPUTED_VALUE"""),71.0)</f>
        <v>71</v>
      </c>
      <c r="S1625" s="14">
        <f>IFERROR(__xludf.DUMMYFUNCTION("""COMPUTED_VALUE"""),63.0)</f>
        <v>63</v>
      </c>
      <c r="T1625" s="14">
        <f>IFERROR(__xludf.DUMMYFUNCTION("""COMPUTED_VALUE"""),0.27)</f>
        <v>0.27</v>
      </c>
      <c r="U1625" s="14">
        <f>IFERROR(__xludf.DUMMYFUNCTION("""COMPUTED_VALUE"""),0.692)</f>
        <v>0.692</v>
      </c>
      <c r="V1625" s="14">
        <f>IFERROR(__xludf.DUMMYFUNCTION("""COMPUTED_VALUE"""),0.038)</f>
        <v>0.038</v>
      </c>
      <c r="W1625" s="14">
        <f>IFERROR(__xludf.DUMMYFUNCTION("""COMPUTED_VALUE"""),2754209.0)</f>
        <v>2754209</v>
      </c>
      <c r="X1625" s="14">
        <f>IFERROR(__xludf.DUMMYFUNCTION("""COMPUTED_VALUE"""),0.685)</f>
        <v>0.685</v>
      </c>
      <c r="Y1625" s="14" t="str">
        <f>IFERROR(__xludf.DUMMYFUNCTION("""COMPUTED_VALUE"""),"Mongolia-Asia")</f>
        <v>Mongolia-Asia</v>
      </c>
      <c r="Z1625" s="14" t="str">
        <f>IFERROR(__xludf.DUMMYFUNCTION("""COMPUTED_VALUE"""),"Asia")</f>
        <v>Asia</v>
      </c>
      <c r="AA1625" s="14" t="str">
        <f>IFERROR(__xludf.DUMMYFUNCTION("""COMPUTED_VALUE"""),"2011")</f>
        <v>2011</v>
      </c>
      <c r="AB1625" s="15" t="str">
        <f>IFERROR(__xludf.DUMMYFUNCTION("ARRAYFORMULA(VLOOKUP(A1625,IMPORTRANGE(""https://docs.google.com/spreadsheets/d/1BuTWp7qHGjWhqrnf-OmePP568O4A5Am9ttzvVdP67zw/edit#gid=1931367683"" ,""ENERGY!$A$2:$F$2692""), {2,3,4,5,6},0))"),"Asia")</f>
        <v>Asia</v>
      </c>
      <c r="AC1625" s="14" t="str">
        <f>IFERROR(__xludf.DUMMYFUNCTION("""COMPUTED_VALUE"""),"Mongolia-Asia")</f>
        <v>Mongolia-Asia</v>
      </c>
      <c r="AD1625" s="14" t="str">
        <f>IFERROR(__xludf.DUMMYFUNCTION("""COMPUTED_VALUE"""),"2006")</f>
        <v>2006</v>
      </c>
      <c r="AE1625" s="14">
        <f>IFERROR(__xludf.DUMMYFUNCTION("""COMPUTED_VALUE"""),2415.0)</f>
        <v>2415</v>
      </c>
      <c r="AF1625" s="14">
        <f>IFERROR(__xludf.DUMMYFUNCTION("""COMPUTED_VALUE"""),7884.0)</f>
        <v>7884</v>
      </c>
    </row>
    <row r="1626">
      <c r="A1626" s="12">
        <v>1625.0</v>
      </c>
      <c r="B1626" s="12" t="s">
        <v>203</v>
      </c>
      <c r="C1626" s="5" t="s">
        <v>61</v>
      </c>
      <c r="D1626" s="11">
        <v>0.246</v>
      </c>
      <c r="E1626" s="11">
        <v>12.0</v>
      </c>
      <c r="F1626" s="11">
        <v>80.0</v>
      </c>
      <c r="G1626" s="11">
        <v>192.0</v>
      </c>
      <c r="H1626" s="11">
        <v>0.164</v>
      </c>
      <c r="I1626" s="11">
        <v>1.207</v>
      </c>
      <c r="J1626" s="9" t="s">
        <v>73</v>
      </c>
      <c r="K1626" s="14" t="str">
        <f>IFERROR(__xludf.DUMMYFUNCTION("ARRAYFORMULA(VLOOKUP(A1626,IMPORTRANGE(""https://docs.google.com/spreadsheets/d/1BuTWp7qHGjWhqrnf-OmePP568O4A5Am9ttzvVdP67zw/edit#gid=1603210130"", ""TOURISM!$A$2:$F$2692""), {2,3,4,5,6},0))"),"Asia")</f>
        <v>Asia</v>
      </c>
      <c r="L1626" s="14">
        <f>IFERROR(__xludf.DUMMYFUNCTION("""COMPUTED_VALUE"""),4.8E8)</f>
        <v>480000000</v>
      </c>
      <c r="M1626" s="14" t="str">
        <f>IFERROR(__xludf.DUMMYFUNCTION("""COMPUTED_VALUE"""),"Mongolia-Asia")</f>
        <v>Mongolia-Asia</v>
      </c>
      <c r="N1626" s="14" t="str">
        <f>IFERROR(__xludf.DUMMYFUNCTION("""COMPUTED_VALUE"""),"2012")</f>
        <v>2012</v>
      </c>
      <c r="O1626" s="14">
        <f>IFERROR(__xludf.DUMMYFUNCTION("""COMPUTED_VALUE"""),4.2E8)</f>
        <v>420000000</v>
      </c>
      <c r="P1626" s="15">
        <f>IFERROR(__xludf.DUMMYFUNCTION("ARRAYFORMULA(VLOOKUP(A1626,IMPORTRANGE(""https://docs.google.com/spreadsheets/d/1BuTWp7qHGjWhqrnf-OmePP568O4A5Am9ttzvVdP67zw/edit#gid=771602874"" ,""HUMAN RESOURCES!$A$2:$M$2692""), {2,3,4,5,6,7,8,9,10,11,12,13},0))"),0.023)</f>
        <v>0.023</v>
      </c>
      <c r="Q1626" s="14">
        <f>IFERROR(__xludf.DUMMYFUNCTION("""COMPUTED_VALUE"""),0.027)</f>
        <v>0.027</v>
      </c>
      <c r="R1626" s="14">
        <f>IFERROR(__xludf.DUMMYFUNCTION("""COMPUTED_VALUE"""),71.0)</f>
        <v>71</v>
      </c>
      <c r="S1626" s="14">
        <f>IFERROR(__xludf.DUMMYFUNCTION("""COMPUTED_VALUE"""),63.0)</f>
        <v>63</v>
      </c>
      <c r="T1626" s="14">
        <f>IFERROR(__xludf.DUMMYFUNCTION("""COMPUTED_VALUE"""),0.271)</f>
        <v>0.271</v>
      </c>
      <c r="U1626" s="14">
        <f>IFERROR(__xludf.DUMMYFUNCTION("""COMPUTED_VALUE"""),0.691)</f>
        <v>0.691</v>
      </c>
      <c r="V1626" s="14">
        <f>IFERROR(__xludf.DUMMYFUNCTION("""COMPUTED_VALUE"""),0.038)</f>
        <v>0.038</v>
      </c>
      <c r="W1626" s="14">
        <f>IFERROR(__xludf.DUMMYFUNCTION("""COMPUTED_VALUE"""),2796484.0)</f>
        <v>2796484</v>
      </c>
      <c r="X1626" s="14">
        <f>IFERROR(__xludf.DUMMYFUNCTION("""COMPUTED_VALUE"""),0.695)</f>
        <v>0.695</v>
      </c>
      <c r="Y1626" s="14" t="str">
        <f>IFERROR(__xludf.DUMMYFUNCTION("""COMPUTED_VALUE"""),"Mongolia-Asia")</f>
        <v>Mongolia-Asia</v>
      </c>
      <c r="Z1626" s="14" t="str">
        <f>IFERROR(__xludf.DUMMYFUNCTION("""COMPUTED_VALUE"""),"Asia")</f>
        <v>Asia</v>
      </c>
      <c r="AA1626" s="14" t="str">
        <f>IFERROR(__xludf.DUMMYFUNCTION("""COMPUTED_VALUE"""),"2012")</f>
        <v>2012</v>
      </c>
      <c r="AB1626" s="15" t="str">
        <f>IFERROR(__xludf.DUMMYFUNCTION("ARRAYFORMULA(VLOOKUP(A1626,IMPORTRANGE(""https://docs.google.com/spreadsheets/d/1BuTWp7qHGjWhqrnf-OmePP568O4A5Am9ttzvVdP67zw/edit#gid=1931367683"" ,""ENERGY!$A$2:$F$2692""), {2,3,4,5,6},0))"),"Asia")</f>
        <v>Asia</v>
      </c>
      <c r="AC1626" s="14" t="str">
        <f>IFERROR(__xludf.DUMMYFUNCTION("""COMPUTED_VALUE"""),"Mongolia-Asia")</f>
        <v>Mongolia-Asia</v>
      </c>
      <c r="AD1626" s="14" t="str">
        <f>IFERROR(__xludf.DUMMYFUNCTION("""COMPUTED_VALUE"""),"2011")</f>
        <v>2011</v>
      </c>
      <c r="AE1626" s="14">
        <f>IFERROR(__xludf.DUMMYFUNCTION("""COMPUTED_VALUE"""),2397.0)</f>
        <v>2397</v>
      </c>
      <c r="AF1626" s="14">
        <f>IFERROR(__xludf.DUMMYFUNCTION("""COMPUTED_VALUE"""),7506.0)</f>
        <v>7506</v>
      </c>
    </row>
    <row r="1627">
      <c r="A1627" s="12">
        <v>1626.0</v>
      </c>
      <c r="B1627" s="12" t="s">
        <v>204</v>
      </c>
      <c r="C1627" s="5" t="s">
        <v>75</v>
      </c>
      <c r="D1627" s="8"/>
      <c r="E1627" s="8"/>
      <c r="F1627" s="8"/>
      <c r="G1627" s="8"/>
      <c r="H1627" s="8"/>
      <c r="I1627" s="8"/>
      <c r="J1627" s="9" t="s">
        <v>60</v>
      </c>
      <c r="K1627" s="14" t="str">
        <f>IFERROR(__xludf.DUMMYFUNCTION("ARRAYFORMULA(VLOOKUP(A1627,IMPORTRANGE(""https://docs.google.com/spreadsheets/d/1BuTWp7qHGjWhqrnf-OmePP568O4A5Am9ttzvVdP67zw/edit#gid=1603210130"", ""TOURISM!$A$2:$F$2692""), {2,3,4,5,6},0))"),"Europe")</f>
        <v>Europe</v>
      </c>
      <c r="L1627" s="14"/>
      <c r="M1627" s="14" t="str">
        <f>IFERROR(__xludf.DUMMYFUNCTION("""COMPUTED_VALUE"""),"Montenegro-Europe")</f>
        <v>Montenegro-Europe</v>
      </c>
      <c r="N1627" s="14" t="str">
        <f>IFERROR(__xludf.DUMMYFUNCTION("""COMPUTED_VALUE"""),"2000")</f>
        <v>2000</v>
      </c>
      <c r="O1627" s="14"/>
      <c r="P1627" s="15">
        <f>IFERROR(__xludf.DUMMYFUNCTION("ARRAYFORMULA(VLOOKUP(A1627,IMPORTRANGE(""https://docs.google.com/spreadsheets/d/1BuTWp7qHGjWhqrnf-OmePP568O4A5Am9ttzvVdP67zw/edit#gid=771602874"" ,""HUMAN RESOURCES!$A$2:$M$2692""), {2,3,4,5,6,7,8,9,10,11,12,13},0))"),0.013)</f>
        <v>0.013</v>
      </c>
      <c r="Q1627" s="14">
        <f>IFERROR(__xludf.DUMMYFUNCTION("""COMPUTED_VALUE"""),0.013)</f>
        <v>0.013</v>
      </c>
      <c r="R1627" s="14">
        <f>IFERROR(__xludf.DUMMYFUNCTION("""COMPUTED_VALUE"""),77.0)</f>
        <v>77</v>
      </c>
      <c r="S1627" s="14">
        <f>IFERROR(__xludf.DUMMYFUNCTION("""COMPUTED_VALUE"""),71.0)</f>
        <v>71</v>
      </c>
      <c r="T1627" s="14">
        <f>IFERROR(__xludf.DUMMYFUNCTION("""COMPUTED_VALUE"""),0.213)</f>
        <v>0.213</v>
      </c>
      <c r="U1627" s="14">
        <f>IFERROR(__xludf.DUMMYFUNCTION("""COMPUTED_VALUE"""),0.673)</f>
        <v>0.673</v>
      </c>
      <c r="V1627" s="14">
        <f>IFERROR(__xludf.DUMMYFUNCTION("""COMPUTED_VALUE"""),0.113)</f>
        <v>0.113</v>
      </c>
      <c r="W1627" s="14">
        <f>IFERROR(__xludf.DUMMYFUNCTION("""COMPUTED_VALUE"""),611196.0)</f>
        <v>611196</v>
      </c>
      <c r="X1627" s="14">
        <f>IFERROR(__xludf.DUMMYFUNCTION("""COMPUTED_VALUE"""),0.585)</f>
        <v>0.585</v>
      </c>
      <c r="Y1627" s="14" t="str">
        <f>IFERROR(__xludf.DUMMYFUNCTION("""COMPUTED_VALUE"""),"Montenegro-Europe")</f>
        <v>Montenegro-Europe</v>
      </c>
      <c r="Z1627" s="14" t="str">
        <f>IFERROR(__xludf.DUMMYFUNCTION("""COMPUTED_VALUE"""),"Europe")</f>
        <v>Europe</v>
      </c>
      <c r="AA1627" s="14" t="str">
        <f>IFERROR(__xludf.DUMMYFUNCTION("""COMPUTED_VALUE"""),"2000")</f>
        <v>2000</v>
      </c>
      <c r="AB1627" s="15" t="str">
        <f>IFERROR(__xludf.DUMMYFUNCTION("ARRAYFORMULA(VLOOKUP(A1627,IMPORTRANGE(""https://docs.google.com/spreadsheets/d/1BuTWp7qHGjWhqrnf-OmePP568O4A5Am9ttzvVdP67zw/edit#gid=1931367683"" ,""ENERGY!$A$2:$F$2692""), {2,3,4,5,6},0))"),"Europe")</f>
        <v>Europe</v>
      </c>
      <c r="AC1627" s="14" t="str">
        <f>IFERROR(__xludf.DUMMYFUNCTION("""COMPUTED_VALUE"""),"Montenegro-Europe")</f>
        <v>Montenegro-Europe</v>
      </c>
      <c r="AD1627" s="14" t="str">
        <f>IFERROR(__xludf.DUMMYFUNCTION("""COMPUTED_VALUE"""),"2000")</f>
        <v>2000</v>
      </c>
      <c r="AE1627" s="14"/>
      <c r="AF1627" s="14"/>
    </row>
    <row r="1628">
      <c r="A1628" s="12">
        <v>1627.0</v>
      </c>
      <c r="B1628" s="12" t="s">
        <v>204</v>
      </c>
      <c r="C1628" s="5" t="s">
        <v>75</v>
      </c>
      <c r="D1628" s="8"/>
      <c r="E1628" s="8"/>
      <c r="F1628" s="8"/>
      <c r="G1628" s="8"/>
      <c r="H1628" s="8"/>
      <c r="I1628" s="8"/>
      <c r="J1628" s="9" t="s">
        <v>62</v>
      </c>
      <c r="K1628" s="14" t="str">
        <f>IFERROR(__xludf.DUMMYFUNCTION("ARRAYFORMULA(VLOOKUP(A1628,IMPORTRANGE(""https://docs.google.com/spreadsheets/d/1BuTWp7qHGjWhqrnf-OmePP568O4A5Am9ttzvVdP67zw/edit#gid=1603210130"", ""TOURISM!$A$2:$F$2692""), {2,3,4,5,6},0))"),"Europe")</f>
        <v>Europe</v>
      </c>
      <c r="L1628" s="14"/>
      <c r="M1628" s="14" t="str">
        <f>IFERROR(__xludf.DUMMYFUNCTION("""COMPUTED_VALUE"""),"Montenegro-Europe")</f>
        <v>Montenegro-Europe</v>
      </c>
      <c r="N1628" s="14" t="str">
        <f>IFERROR(__xludf.DUMMYFUNCTION("""COMPUTED_VALUE"""),"2001")</f>
        <v>2001</v>
      </c>
      <c r="O1628" s="14"/>
      <c r="P1628" s="15">
        <f>IFERROR(__xludf.DUMMYFUNCTION("ARRAYFORMULA(VLOOKUP(A1628,IMPORTRANGE(""https://docs.google.com/spreadsheets/d/1BuTWp7qHGjWhqrnf-OmePP568O4A5Am9ttzvVdP67zw/edit#gid=771602874"" ,""HUMAN RESOURCES!$A$2:$M$2692""), {2,3,4,5,6,7,8,9,10,11,12,13},0))"),0.013)</f>
        <v>0.013</v>
      </c>
      <c r="Q1628" s="14">
        <f>IFERROR(__xludf.DUMMYFUNCTION("""COMPUTED_VALUE"""),0.012)</f>
        <v>0.012</v>
      </c>
      <c r="R1628" s="14">
        <f>IFERROR(__xludf.DUMMYFUNCTION("""COMPUTED_VALUE"""),77.0)</f>
        <v>77</v>
      </c>
      <c r="S1628" s="14">
        <f>IFERROR(__xludf.DUMMYFUNCTION("""COMPUTED_VALUE"""),71.0)</f>
        <v>71</v>
      </c>
      <c r="T1628" s="14">
        <f>IFERROR(__xludf.DUMMYFUNCTION("""COMPUTED_VALUE"""),0.21)</f>
        <v>0.21</v>
      </c>
      <c r="U1628" s="14">
        <f>IFERROR(__xludf.DUMMYFUNCTION("""COMPUTED_VALUE"""),0.673)</f>
        <v>0.673</v>
      </c>
      <c r="V1628" s="14">
        <f>IFERROR(__xludf.DUMMYFUNCTION("""COMPUTED_VALUE"""),0.117)</f>
        <v>0.117</v>
      </c>
      <c r="W1628" s="14">
        <f>IFERROR(__xludf.DUMMYFUNCTION("""COMPUTED_VALUE"""),611525.0)</f>
        <v>611525</v>
      </c>
      <c r="X1628" s="14">
        <f>IFERROR(__xludf.DUMMYFUNCTION("""COMPUTED_VALUE"""),0.596)</f>
        <v>0.596</v>
      </c>
      <c r="Y1628" s="14" t="str">
        <f>IFERROR(__xludf.DUMMYFUNCTION("""COMPUTED_VALUE"""),"Montenegro-Europe")</f>
        <v>Montenegro-Europe</v>
      </c>
      <c r="Z1628" s="14" t="str">
        <f>IFERROR(__xludf.DUMMYFUNCTION("""COMPUTED_VALUE"""),"Europe")</f>
        <v>Europe</v>
      </c>
      <c r="AA1628" s="14" t="str">
        <f>IFERROR(__xludf.DUMMYFUNCTION("""COMPUTED_VALUE"""),"2001")</f>
        <v>2001</v>
      </c>
      <c r="AB1628" s="15" t="str">
        <f>IFERROR(__xludf.DUMMYFUNCTION("ARRAYFORMULA(VLOOKUP(A1628,IMPORTRANGE(""https://docs.google.com/spreadsheets/d/1BuTWp7qHGjWhqrnf-OmePP568O4A5Am9ttzvVdP67zw/edit#gid=1931367683"" ,""ENERGY!$A$2:$F$2692""), {2,3,4,5,6},0))"),"Europe")</f>
        <v>Europe</v>
      </c>
      <c r="AC1628" s="14" t="str">
        <f>IFERROR(__xludf.DUMMYFUNCTION("""COMPUTED_VALUE"""),"Montenegro-Europe")</f>
        <v>Montenegro-Europe</v>
      </c>
      <c r="AD1628" s="14" t="str">
        <f>IFERROR(__xludf.DUMMYFUNCTION("""COMPUTED_VALUE"""),"2001")</f>
        <v>2001</v>
      </c>
      <c r="AE1628" s="14">
        <f>IFERROR(__xludf.DUMMYFUNCTION("""COMPUTED_VALUE"""),1179.0)</f>
        <v>1179</v>
      </c>
      <c r="AF1628" s="14"/>
    </row>
    <row r="1629">
      <c r="A1629" s="12">
        <v>1628.0</v>
      </c>
      <c r="B1629" s="12" t="s">
        <v>204</v>
      </c>
      <c r="C1629" s="5" t="s">
        <v>75</v>
      </c>
      <c r="D1629" s="8"/>
      <c r="E1629" s="8"/>
      <c r="F1629" s="8"/>
      <c r="G1629" s="8"/>
      <c r="H1629" s="8"/>
      <c r="I1629" s="8"/>
      <c r="J1629" s="9" t="s">
        <v>63</v>
      </c>
      <c r="K1629" s="14" t="str">
        <f>IFERROR(__xludf.DUMMYFUNCTION("ARRAYFORMULA(VLOOKUP(A1629,IMPORTRANGE(""https://docs.google.com/spreadsheets/d/1BuTWp7qHGjWhqrnf-OmePP568O4A5Am9ttzvVdP67zw/edit#gid=1603210130"", ""TOURISM!$A$2:$F$2692""), {2,3,4,5,6},0))"),"Europe")</f>
        <v>Europe</v>
      </c>
      <c r="L1629" s="14"/>
      <c r="M1629" s="14" t="str">
        <f>IFERROR(__xludf.DUMMYFUNCTION("""COMPUTED_VALUE"""),"Montenegro-Europe")</f>
        <v>Montenegro-Europe</v>
      </c>
      <c r="N1629" s="14" t="str">
        <f>IFERROR(__xludf.DUMMYFUNCTION("""COMPUTED_VALUE"""),"2002")</f>
        <v>2002</v>
      </c>
      <c r="O1629" s="14"/>
      <c r="P1629" s="15">
        <f>IFERROR(__xludf.DUMMYFUNCTION("ARRAYFORMULA(VLOOKUP(A1629,IMPORTRANGE(""https://docs.google.com/spreadsheets/d/1BuTWp7qHGjWhqrnf-OmePP568O4A5Am9ttzvVdP67zw/edit#gid=771602874"" ,""HUMAN RESOURCES!$A$2:$M$2692""), {2,3,4,5,6,7,8,9,10,11,12,13},0))"),0.013)</f>
        <v>0.013</v>
      </c>
      <c r="Q1629" s="14">
        <f>IFERROR(__xludf.DUMMYFUNCTION("""COMPUTED_VALUE"""),0.011)</f>
        <v>0.011</v>
      </c>
      <c r="R1629" s="14">
        <f>IFERROR(__xludf.DUMMYFUNCTION("""COMPUTED_VALUE"""),77.0)</f>
        <v>77</v>
      </c>
      <c r="S1629" s="14">
        <f>IFERROR(__xludf.DUMMYFUNCTION("""COMPUTED_VALUE"""),71.0)</f>
        <v>71</v>
      </c>
      <c r="T1629" s="14">
        <f>IFERROR(__xludf.DUMMYFUNCTION("""COMPUTED_VALUE"""),0.207)</f>
        <v>0.207</v>
      </c>
      <c r="U1629" s="14">
        <f>IFERROR(__xludf.DUMMYFUNCTION("""COMPUTED_VALUE"""),0.671)</f>
        <v>0.671</v>
      </c>
      <c r="V1629" s="14">
        <f>IFERROR(__xludf.DUMMYFUNCTION("""COMPUTED_VALUE"""),0.121)</f>
        <v>0.121</v>
      </c>
      <c r="W1629" s="14">
        <f>IFERROR(__xludf.DUMMYFUNCTION("""COMPUTED_VALUE"""),612325.0)</f>
        <v>612325</v>
      </c>
      <c r="X1629" s="14">
        <f>IFERROR(__xludf.DUMMYFUNCTION("""COMPUTED_VALUE"""),0.606)</f>
        <v>0.606</v>
      </c>
      <c r="Y1629" s="14" t="str">
        <f>IFERROR(__xludf.DUMMYFUNCTION("""COMPUTED_VALUE"""),"Montenegro-Europe")</f>
        <v>Montenegro-Europe</v>
      </c>
      <c r="Z1629" s="14" t="str">
        <f>IFERROR(__xludf.DUMMYFUNCTION("""COMPUTED_VALUE"""),"Europe")</f>
        <v>Europe</v>
      </c>
      <c r="AA1629" s="14" t="str">
        <f>IFERROR(__xludf.DUMMYFUNCTION("""COMPUTED_VALUE"""),"2002")</f>
        <v>2002</v>
      </c>
      <c r="AB1629" s="15" t="str">
        <f>IFERROR(__xludf.DUMMYFUNCTION("ARRAYFORMULA(VLOOKUP(A1629,IMPORTRANGE(""https://docs.google.com/spreadsheets/d/1BuTWp7qHGjWhqrnf-OmePP568O4A5Am9ttzvVdP67zw/edit#gid=1931367683"" ,""ENERGY!$A$2:$F$2692""), {2,3,4,5,6},0))"),"Europe")</f>
        <v>Europe</v>
      </c>
      <c r="AC1629" s="14" t="str">
        <f>IFERROR(__xludf.DUMMYFUNCTION("""COMPUTED_VALUE"""),"Montenegro-Europe")</f>
        <v>Montenegro-Europe</v>
      </c>
      <c r="AD1629" s="14" t="str">
        <f>IFERROR(__xludf.DUMMYFUNCTION("""COMPUTED_VALUE"""),"2002")</f>
        <v>2002</v>
      </c>
      <c r="AE1629" s="14">
        <f>IFERROR(__xludf.DUMMYFUNCTION("""COMPUTED_VALUE"""),1174.0)</f>
        <v>1174</v>
      </c>
      <c r="AF1629" s="14">
        <f>IFERROR(__xludf.DUMMYFUNCTION("""COMPUTED_VALUE"""),2582.0)</f>
        <v>2582</v>
      </c>
    </row>
    <row r="1630">
      <c r="A1630" s="12">
        <v>1629.0</v>
      </c>
      <c r="B1630" s="12" t="s">
        <v>204</v>
      </c>
      <c r="C1630" s="5" t="s">
        <v>75</v>
      </c>
      <c r="D1630" s="8"/>
      <c r="E1630" s="8"/>
      <c r="F1630" s="8"/>
      <c r="G1630" s="8"/>
      <c r="H1630" s="8"/>
      <c r="I1630" s="8"/>
      <c r="J1630" s="9" t="s">
        <v>64</v>
      </c>
      <c r="K1630" s="14" t="str">
        <f>IFERROR(__xludf.DUMMYFUNCTION("ARRAYFORMULA(VLOOKUP(A1630,IMPORTRANGE(""https://docs.google.com/spreadsheets/d/1BuTWp7qHGjWhqrnf-OmePP568O4A5Am9ttzvVdP67zw/edit#gid=1603210130"", ""TOURISM!$A$2:$F$2692""), {2,3,4,5,6},0))"),"Europe")</f>
        <v>Europe</v>
      </c>
      <c r="L1630" s="14"/>
      <c r="M1630" s="14" t="str">
        <f>IFERROR(__xludf.DUMMYFUNCTION("""COMPUTED_VALUE"""),"Montenegro-Europe")</f>
        <v>Montenegro-Europe</v>
      </c>
      <c r="N1630" s="14" t="str">
        <f>IFERROR(__xludf.DUMMYFUNCTION("""COMPUTED_VALUE"""),"2003")</f>
        <v>2003</v>
      </c>
      <c r="O1630" s="14"/>
      <c r="P1630" s="15">
        <f>IFERROR(__xludf.DUMMYFUNCTION("ARRAYFORMULA(VLOOKUP(A1630,IMPORTRANGE(""https://docs.google.com/spreadsheets/d/1BuTWp7qHGjWhqrnf-OmePP568O4A5Am9ttzvVdP67zw/edit#gid=771602874"" ,""HUMAN RESOURCES!$A$2:$M$2692""), {2,3,4,5,6,7,8,9,10,11,12,13},0))"),0.013)</f>
        <v>0.013</v>
      </c>
      <c r="Q1630" s="14">
        <f>IFERROR(__xludf.DUMMYFUNCTION("""COMPUTED_VALUE"""),0.011)</f>
        <v>0.011</v>
      </c>
      <c r="R1630" s="14">
        <f>IFERROR(__xludf.DUMMYFUNCTION("""COMPUTED_VALUE"""),76.0)</f>
        <v>76</v>
      </c>
      <c r="S1630" s="14">
        <f>IFERROR(__xludf.DUMMYFUNCTION("""COMPUTED_VALUE"""),71.0)</f>
        <v>71</v>
      </c>
      <c r="T1630" s="14">
        <f>IFERROR(__xludf.DUMMYFUNCTION("""COMPUTED_VALUE"""),0.205)</f>
        <v>0.205</v>
      </c>
      <c r="U1630" s="14">
        <f>IFERROR(__xludf.DUMMYFUNCTION("""COMPUTED_VALUE"""),0.67)</f>
        <v>0.67</v>
      </c>
      <c r="V1630" s="14">
        <f>IFERROR(__xludf.DUMMYFUNCTION("""COMPUTED_VALUE"""),0.125)</f>
        <v>0.125</v>
      </c>
      <c r="W1630" s="14">
        <f>IFERROR(__xludf.DUMMYFUNCTION("""COMPUTED_VALUE"""),613448.0)</f>
        <v>613448</v>
      </c>
      <c r="X1630" s="14">
        <f>IFERROR(__xludf.DUMMYFUNCTION("""COMPUTED_VALUE"""),0.616)</f>
        <v>0.616</v>
      </c>
      <c r="Y1630" s="14" t="str">
        <f>IFERROR(__xludf.DUMMYFUNCTION("""COMPUTED_VALUE"""),"Montenegro-Europe")</f>
        <v>Montenegro-Europe</v>
      </c>
      <c r="Z1630" s="14" t="str">
        <f>IFERROR(__xludf.DUMMYFUNCTION("""COMPUTED_VALUE"""),"Europe")</f>
        <v>Europe</v>
      </c>
      <c r="AA1630" s="14" t="str">
        <f>IFERROR(__xludf.DUMMYFUNCTION("""COMPUTED_VALUE"""),"2003")</f>
        <v>2003</v>
      </c>
      <c r="AB1630" s="15" t="str">
        <f>IFERROR(__xludf.DUMMYFUNCTION("ARRAYFORMULA(VLOOKUP(A1630,IMPORTRANGE(""https://docs.google.com/spreadsheets/d/1BuTWp7qHGjWhqrnf-OmePP568O4A5Am9ttzvVdP67zw/edit#gid=1931367683"" ,""ENERGY!$A$2:$F$2692""), {2,3,4,5,6},0))"),"Europe")</f>
        <v>Europe</v>
      </c>
      <c r="AC1630" s="14" t="str">
        <f>IFERROR(__xludf.DUMMYFUNCTION("""COMPUTED_VALUE"""),"Montenegro-Europe")</f>
        <v>Montenegro-Europe</v>
      </c>
      <c r="AD1630" s="14" t="str">
        <f>IFERROR(__xludf.DUMMYFUNCTION("""COMPUTED_VALUE"""),"2003")</f>
        <v>2003</v>
      </c>
      <c r="AE1630" s="14">
        <f>IFERROR(__xludf.DUMMYFUNCTION("""COMPUTED_VALUE"""),994.0)</f>
        <v>994</v>
      </c>
      <c r="AF1630" s="14">
        <f>IFERROR(__xludf.DUMMYFUNCTION("""COMPUTED_VALUE"""),1822.0)</f>
        <v>1822</v>
      </c>
    </row>
    <row r="1631">
      <c r="A1631" s="12">
        <v>1630.0</v>
      </c>
      <c r="B1631" s="12" t="s">
        <v>204</v>
      </c>
      <c r="C1631" s="5" t="s">
        <v>75</v>
      </c>
      <c r="D1631" s="8"/>
      <c r="E1631" s="8"/>
      <c r="F1631" s="8"/>
      <c r="G1631" s="8"/>
      <c r="H1631" s="11">
        <v>0.254</v>
      </c>
      <c r="I1631" s="11">
        <v>0.787</v>
      </c>
      <c r="J1631" s="9" t="s">
        <v>65</v>
      </c>
      <c r="K1631" s="14" t="str">
        <f>IFERROR(__xludf.DUMMYFUNCTION("ARRAYFORMULA(VLOOKUP(A1631,IMPORTRANGE(""https://docs.google.com/spreadsheets/d/1BuTWp7qHGjWhqrnf-OmePP568O4A5Am9ttzvVdP67zw/edit#gid=1603210130"", ""TOURISM!$A$2:$F$2692""), {2,3,4,5,6},0))"),"Europe")</f>
        <v>Europe</v>
      </c>
      <c r="L1631" s="14"/>
      <c r="M1631" s="14" t="str">
        <f>IFERROR(__xludf.DUMMYFUNCTION("""COMPUTED_VALUE"""),"Montenegro-Europe")</f>
        <v>Montenegro-Europe</v>
      </c>
      <c r="N1631" s="14" t="str">
        <f>IFERROR(__xludf.DUMMYFUNCTION("""COMPUTED_VALUE"""),"2004")</f>
        <v>2004</v>
      </c>
      <c r="O1631" s="14"/>
      <c r="P1631" s="15">
        <f>IFERROR(__xludf.DUMMYFUNCTION("ARRAYFORMULA(VLOOKUP(A1631,IMPORTRANGE(""https://docs.google.com/spreadsheets/d/1BuTWp7qHGjWhqrnf-OmePP568O4A5Am9ttzvVdP67zw/edit#gid=771602874"" ,""HUMAN RESOURCES!$A$2:$M$2692""), {2,3,4,5,6,7,8,9,10,11,12,13},0))"),0.013)</f>
        <v>0.013</v>
      </c>
      <c r="Q1631" s="14">
        <f>IFERROR(__xludf.DUMMYFUNCTION("""COMPUTED_VALUE"""),0.01)</f>
        <v>0.01</v>
      </c>
      <c r="R1631" s="14">
        <f>IFERROR(__xludf.DUMMYFUNCTION("""COMPUTED_VALUE"""),76.0)</f>
        <v>76</v>
      </c>
      <c r="S1631" s="14">
        <f>IFERROR(__xludf.DUMMYFUNCTION("""COMPUTED_VALUE"""),71.0)</f>
        <v>71</v>
      </c>
      <c r="T1631" s="14">
        <f>IFERROR(__xludf.DUMMYFUNCTION("""COMPUTED_VALUE"""),0.203)</f>
        <v>0.203</v>
      </c>
      <c r="U1631" s="14">
        <f>IFERROR(__xludf.DUMMYFUNCTION("""COMPUTED_VALUE"""),0.669)</f>
        <v>0.669</v>
      </c>
      <c r="V1631" s="14">
        <f>IFERROR(__xludf.DUMMYFUNCTION("""COMPUTED_VALUE"""),0.128)</f>
        <v>0.128</v>
      </c>
      <c r="W1631" s="14">
        <f>IFERROR(__xludf.DUMMYFUNCTION("""COMPUTED_VALUE"""),614670.0)</f>
        <v>614670</v>
      </c>
      <c r="X1631" s="14">
        <f>IFERROR(__xludf.DUMMYFUNCTION("""COMPUTED_VALUE"""),0.62)</f>
        <v>0.62</v>
      </c>
      <c r="Y1631" s="14" t="str">
        <f>IFERROR(__xludf.DUMMYFUNCTION("""COMPUTED_VALUE"""),"Montenegro-Europe")</f>
        <v>Montenegro-Europe</v>
      </c>
      <c r="Z1631" s="14" t="str">
        <f>IFERROR(__xludf.DUMMYFUNCTION("""COMPUTED_VALUE"""),"Europe")</f>
        <v>Europe</v>
      </c>
      <c r="AA1631" s="14" t="str">
        <f>IFERROR(__xludf.DUMMYFUNCTION("""COMPUTED_VALUE"""),"2004")</f>
        <v>2004</v>
      </c>
      <c r="AB1631" s="15" t="str">
        <f>IFERROR(__xludf.DUMMYFUNCTION("ARRAYFORMULA(VLOOKUP(A1631,IMPORTRANGE(""https://docs.google.com/spreadsheets/d/1BuTWp7qHGjWhqrnf-OmePP568O4A5Am9ttzvVdP67zw/edit#gid=1931367683"" ,""ENERGY!$A$2:$F$2692""), {2,3,4,5,6},0))"),"Europe")</f>
        <v>Europe</v>
      </c>
      <c r="AC1631" s="14" t="str">
        <f>IFERROR(__xludf.DUMMYFUNCTION("""COMPUTED_VALUE"""),"Montenegro-Europe")</f>
        <v>Montenegro-Europe</v>
      </c>
      <c r="AD1631" s="14" t="str">
        <f>IFERROR(__xludf.DUMMYFUNCTION("""COMPUTED_VALUE"""),"2004")</f>
        <v>2004</v>
      </c>
      <c r="AE1631" s="14">
        <f>IFERROR(__xludf.DUMMYFUNCTION("""COMPUTED_VALUE"""),1177.0)</f>
        <v>1177</v>
      </c>
      <c r="AF1631" s="14">
        <f>IFERROR(__xludf.DUMMYFUNCTION("""COMPUTED_VALUE"""),2750.0)</f>
        <v>2750</v>
      </c>
    </row>
    <row r="1632">
      <c r="A1632" s="12">
        <v>1631.0</v>
      </c>
      <c r="B1632" s="12" t="s">
        <v>204</v>
      </c>
      <c r="C1632" s="5" t="s">
        <v>75</v>
      </c>
      <c r="D1632" s="8"/>
      <c r="E1632" s="8"/>
      <c r="F1632" s="8"/>
      <c r="G1632" s="8"/>
      <c r="H1632" s="11">
        <v>0.271</v>
      </c>
      <c r="I1632" s="11">
        <v>0.882</v>
      </c>
      <c r="J1632" s="9" t="s">
        <v>66</v>
      </c>
      <c r="K1632" s="14" t="str">
        <f>IFERROR(__xludf.DUMMYFUNCTION("ARRAYFORMULA(VLOOKUP(A1632,IMPORTRANGE(""https://docs.google.com/spreadsheets/d/1BuTWp7qHGjWhqrnf-OmePP568O4A5Am9ttzvVdP67zw/edit#gid=1603210130"", ""TOURISM!$A$2:$F$2692""), {2,3,4,5,6},0))"),"Europe")</f>
        <v>Europe</v>
      </c>
      <c r="L1632" s="14"/>
      <c r="M1632" s="14" t="str">
        <f>IFERROR(__xludf.DUMMYFUNCTION("""COMPUTED_VALUE"""),"Montenegro-Europe")</f>
        <v>Montenegro-Europe</v>
      </c>
      <c r="N1632" s="14" t="str">
        <f>IFERROR(__xludf.DUMMYFUNCTION("""COMPUTED_VALUE"""),"2005")</f>
        <v>2005</v>
      </c>
      <c r="O1632" s="14"/>
      <c r="P1632" s="15">
        <f>IFERROR(__xludf.DUMMYFUNCTION("ARRAYFORMULA(VLOOKUP(A1632,IMPORTRANGE(""https://docs.google.com/spreadsheets/d/1BuTWp7qHGjWhqrnf-OmePP568O4A5Am9ttzvVdP67zw/edit#gid=771602874"" ,""HUMAN RESOURCES!$A$2:$M$2692""), {2,3,4,5,6,7,8,9,10,11,12,13},0))"),0.013)</f>
        <v>0.013</v>
      </c>
      <c r="Q1632" s="14">
        <f>IFERROR(__xludf.DUMMYFUNCTION("""COMPUTED_VALUE"""),0.01)</f>
        <v>0.01</v>
      </c>
      <c r="R1632" s="14">
        <f>IFERROR(__xludf.DUMMYFUNCTION("""COMPUTED_VALUE"""),76.0)</f>
        <v>76</v>
      </c>
      <c r="S1632" s="14">
        <f>IFERROR(__xludf.DUMMYFUNCTION("""COMPUTED_VALUE"""),71.0)</f>
        <v>71</v>
      </c>
      <c r="T1632" s="14">
        <f>IFERROR(__xludf.DUMMYFUNCTION("""COMPUTED_VALUE"""),0.201)</f>
        <v>0.201</v>
      </c>
      <c r="U1632" s="14">
        <f>IFERROR(__xludf.DUMMYFUNCTION("""COMPUTED_VALUE"""),0.67)</f>
        <v>0.67</v>
      </c>
      <c r="V1632" s="14">
        <f>IFERROR(__xludf.DUMMYFUNCTION("""COMPUTED_VALUE"""),0.129)</f>
        <v>0.129</v>
      </c>
      <c r="W1632" s="14">
        <f>IFERROR(__xludf.DUMMYFUNCTION("""COMPUTED_VALUE"""),615820.0)</f>
        <v>615820</v>
      </c>
      <c r="X1632" s="14">
        <f>IFERROR(__xludf.DUMMYFUNCTION("""COMPUTED_VALUE"""),0.622)</f>
        <v>0.622</v>
      </c>
      <c r="Y1632" s="14" t="str">
        <f>IFERROR(__xludf.DUMMYFUNCTION("""COMPUTED_VALUE"""),"Montenegro-Europe")</f>
        <v>Montenegro-Europe</v>
      </c>
      <c r="Z1632" s="14" t="str">
        <f>IFERROR(__xludf.DUMMYFUNCTION("""COMPUTED_VALUE"""),"Europe")</f>
        <v>Europe</v>
      </c>
      <c r="AA1632" s="14" t="str">
        <f>IFERROR(__xludf.DUMMYFUNCTION("""COMPUTED_VALUE"""),"2005")</f>
        <v>2005</v>
      </c>
      <c r="AB1632" s="15" t="str">
        <f>IFERROR(__xludf.DUMMYFUNCTION("ARRAYFORMULA(VLOOKUP(A1632,IMPORTRANGE(""https://docs.google.com/spreadsheets/d/1BuTWp7qHGjWhqrnf-OmePP568O4A5Am9ttzvVdP67zw/edit#gid=1931367683"" ,""ENERGY!$A$2:$F$2692""), {2,3,4,5,6},0))"),"Europe")</f>
        <v>Europe</v>
      </c>
      <c r="AC1632" s="14" t="str">
        <f>IFERROR(__xludf.DUMMYFUNCTION("""COMPUTED_VALUE"""),"Montenegro-Europe")</f>
        <v>Montenegro-Europe</v>
      </c>
      <c r="AD1632" s="14" t="str">
        <f>IFERROR(__xludf.DUMMYFUNCTION("""COMPUTED_VALUE"""),"2008")</f>
        <v>2008</v>
      </c>
      <c r="AE1632" s="14">
        <f>IFERROR(__xludf.DUMMYFUNCTION("""COMPUTED_VALUE"""),1086.0)</f>
        <v>1086</v>
      </c>
      <c r="AF1632" s="14">
        <f>IFERROR(__xludf.DUMMYFUNCTION("""COMPUTED_VALUE"""),2252.0)</f>
        <v>2252</v>
      </c>
    </row>
    <row r="1633">
      <c r="A1633" s="12">
        <v>1632.0</v>
      </c>
      <c r="B1633" s="12" t="s">
        <v>204</v>
      </c>
      <c r="C1633" s="5" t="s">
        <v>75</v>
      </c>
      <c r="D1633" s="11">
        <v>0.304</v>
      </c>
      <c r="E1633" s="11">
        <v>24.0</v>
      </c>
      <c r="F1633" s="8"/>
      <c r="G1633" s="11">
        <v>372.0</v>
      </c>
      <c r="H1633" s="11">
        <v>0.289</v>
      </c>
      <c r="I1633" s="11">
        <v>1.043</v>
      </c>
      <c r="J1633" s="9" t="s">
        <v>67</v>
      </c>
      <c r="K1633" s="14" t="str">
        <f>IFERROR(__xludf.DUMMYFUNCTION("ARRAYFORMULA(VLOOKUP(A1633,IMPORTRANGE(""https://docs.google.com/spreadsheets/d/1BuTWp7qHGjWhqrnf-OmePP568O4A5Am9ttzvVdP67zw/edit#gid=1603210130"", ""TOURISM!$A$2:$F$2692""), {2,3,4,5,6},0))"),"Europe")</f>
        <v>Europe</v>
      </c>
      <c r="L1633" s="14"/>
      <c r="M1633" s="14" t="str">
        <f>IFERROR(__xludf.DUMMYFUNCTION("""COMPUTED_VALUE"""),"Montenegro-Europe")</f>
        <v>Montenegro-Europe</v>
      </c>
      <c r="N1633" s="14" t="str">
        <f>IFERROR(__xludf.DUMMYFUNCTION("""COMPUTED_VALUE"""),"2006")</f>
        <v>2006</v>
      </c>
      <c r="O1633" s="14"/>
      <c r="P1633" s="15">
        <f>IFERROR(__xludf.DUMMYFUNCTION("ARRAYFORMULA(VLOOKUP(A1633,IMPORTRANGE(""https://docs.google.com/spreadsheets/d/1BuTWp7qHGjWhqrnf-OmePP568O4A5Am9ttzvVdP67zw/edit#gid=771602874"" ,""HUMAN RESOURCES!$A$2:$M$2692""), {2,3,4,5,6,7,8,9,10,11,12,13},0))"),0.013)</f>
        <v>0.013</v>
      </c>
      <c r="Q1633" s="14">
        <f>IFERROR(__xludf.DUMMYFUNCTION("""COMPUTED_VALUE"""),0.009)</f>
        <v>0.009</v>
      </c>
      <c r="R1633" s="14">
        <f>IFERROR(__xludf.DUMMYFUNCTION("""COMPUTED_VALUE"""),76.0)</f>
        <v>76</v>
      </c>
      <c r="S1633" s="14">
        <f>IFERROR(__xludf.DUMMYFUNCTION("""COMPUTED_VALUE"""),71.0)</f>
        <v>71</v>
      </c>
      <c r="T1633" s="14">
        <f>IFERROR(__xludf.DUMMYFUNCTION("""COMPUTED_VALUE"""),0.2)</f>
        <v>0.2</v>
      </c>
      <c r="U1633" s="14">
        <f>IFERROR(__xludf.DUMMYFUNCTION("""COMPUTED_VALUE"""),0.671)</f>
        <v>0.671</v>
      </c>
      <c r="V1633" s="14">
        <f>IFERROR(__xludf.DUMMYFUNCTION("""COMPUTED_VALUE"""),0.129)</f>
        <v>0.129</v>
      </c>
      <c r="W1633" s="14">
        <f>IFERROR(__xludf.DUMMYFUNCTION("""COMPUTED_VALUE"""),616854.0)</f>
        <v>616854</v>
      </c>
      <c r="X1633" s="14">
        <f>IFERROR(__xludf.DUMMYFUNCTION("""COMPUTED_VALUE"""),0.624)</f>
        <v>0.624</v>
      </c>
      <c r="Y1633" s="14" t="str">
        <f>IFERROR(__xludf.DUMMYFUNCTION("""COMPUTED_VALUE"""),"Montenegro-Europe")</f>
        <v>Montenegro-Europe</v>
      </c>
      <c r="Z1633" s="14" t="str">
        <f>IFERROR(__xludf.DUMMYFUNCTION("""COMPUTED_VALUE"""),"Europe")</f>
        <v>Europe</v>
      </c>
      <c r="AA1633" s="14" t="str">
        <f>IFERROR(__xludf.DUMMYFUNCTION("""COMPUTED_VALUE"""),"2006")</f>
        <v>2006</v>
      </c>
      <c r="AB1633" s="15" t="str">
        <f>IFERROR(__xludf.DUMMYFUNCTION("ARRAYFORMULA(VLOOKUP(A1633,IMPORTRANGE(""https://docs.google.com/spreadsheets/d/1BuTWp7qHGjWhqrnf-OmePP568O4A5Am9ttzvVdP67zw/edit#gid=1931367683"" ,""ENERGY!$A$2:$F$2692""), {2,3,4,5,6},0))"),"Europe")</f>
        <v>Europe</v>
      </c>
      <c r="AC1633" s="14" t="str">
        <f>IFERROR(__xludf.DUMMYFUNCTION("""COMPUTED_VALUE"""),"Montenegro-Europe")</f>
        <v>Montenegro-Europe</v>
      </c>
      <c r="AD1633" s="14" t="str">
        <f>IFERROR(__xludf.DUMMYFUNCTION("""COMPUTED_VALUE"""),"2011")</f>
        <v>2011</v>
      </c>
      <c r="AE1633" s="14">
        <f>IFERROR(__xludf.DUMMYFUNCTION("""COMPUTED_VALUE"""),1118.0)</f>
        <v>1118</v>
      </c>
      <c r="AF1633" s="14">
        <f>IFERROR(__xludf.DUMMYFUNCTION("""COMPUTED_VALUE"""),2384.0)</f>
        <v>2384</v>
      </c>
    </row>
    <row r="1634">
      <c r="A1634" s="12">
        <v>1633.0</v>
      </c>
      <c r="B1634" s="12" t="s">
        <v>204</v>
      </c>
      <c r="C1634" s="5" t="s">
        <v>75</v>
      </c>
      <c r="D1634" s="11">
        <v>0.304</v>
      </c>
      <c r="E1634" s="11">
        <v>24.0</v>
      </c>
      <c r="F1634" s="8"/>
      <c r="G1634" s="11">
        <v>372.0</v>
      </c>
      <c r="H1634" s="11">
        <v>0.308</v>
      </c>
      <c r="I1634" s="11">
        <v>1.457</v>
      </c>
      <c r="J1634" s="9" t="s">
        <v>68</v>
      </c>
      <c r="K1634" s="14" t="str">
        <f>IFERROR(__xludf.DUMMYFUNCTION("ARRAYFORMULA(VLOOKUP(A1634,IMPORTRANGE(""https://docs.google.com/spreadsheets/d/1BuTWp7qHGjWhqrnf-OmePP568O4A5Am9ttzvVdP67zw/edit#gid=1603210130"", ""TOURISM!$A$2:$F$2692""), {2,3,4,5,6},0))"),"Europe")</f>
        <v>Europe</v>
      </c>
      <c r="L1634" s="14">
        <f>IFERROR(__xludf.DUMMYFUNCTION("""COMPUTED_VALUE"""),6.6E8)</f>
        <v>660000000</v>
      </c>
      <c r="M1634" s="14" t="str">
        <f>IFERROR(__xludf.DUMMYFUNCTION("""COMPUTED_VALUE"""),"Montenegro-Europe")</f>
        <v>Montenegro-Europe</v>
      </c>
      <c r="N1634" s="14" t="str">
        <f>IFERROR(__xludf.DUMMYFUNCTION("""COMPUTED_VALUE"""),"2007")</f>
        <v>2007</v>
      </c>
      <c r="O1634" s="14">
        <f>IFERROR(__xludf.DUMMYFUNCTION("""COMPUTED_VALUE"""),5.8E7)</f>
        <v>58000000</v>
      </c>
      <c r="P1634" s="15">
        <f>IFERROR(__xludf.DUMMYFUNCTION("ARRAYFORMULA(VLOOKUP(A1634,IMPORTRANGE(""https://docs.google.com/spreadsheets/d/1BuTWp7qHGjWhqrnf-OmePP568O4A5Am9ttzvVdP67zw/edit#gid=771602874"" ,""HUMAN RESOURCES!$A$2:$M$2692""), {2,3,4,5,6,7,8,9,10,11,12,13},0))"),0.013)</f>
        <v>0.013</v>
      </c>
      <c r="Q1634" s="14">
        <f>IFERROR(__xludf.DUMMYFUNCTION("""COMPUTED_VALUE"""),0.008)</f>
        <v>0.008</v>
      </c>
      <c r="R1634" s="14">
        <f>IFERROR(__xludf.DUMMYFUNCTION("""COMPUTED_VALUE"""),76.0)</f>
        <v>76</v>
      </c>
      <c r="S1634" s="14">
        <f>IFERROR(__xludf.DUMMYFUNCTION("""COMPUTED_VALUE"""),72.0)</f>
        <v>72</v>
      </c>
      <c r="T1634" s="14">
        <f>IFERROR(__xludf.DUMMYFUNCTION("""COMPUTED_VALUE"""),0.199)</f>
        <v>0.199</v>
      </c>
      <c r="U1634" s="14">
        <f>IFERROR(__xludf.DUMMYFUNCTION("""COMPUTED_VALUE"""),0.673)</f>
        <v>0.673</v>
      </c>
      <c r="V1634" s="14">
        <f>IFERROR(__xludf.DUMMYFUNCTION("""COMPUTED_VALUE"""),0.128)</f>
        <v>0.128</v>
      </c>
      <c r="W1634" s="14">
        <f>IFERROR(__xludf.DUMMYFUNCTION("""COMPUTED_VALUE"""),617800.0)</f>
        <v>617800</v>
      </c>
      <c r="X1634" s="14">
        <f>IFERROR(__xludf.DUMMYFUNCTION("""COMPUTED_VALUE"""),0.626)</f>
        <v>0.626</v>
      </c>
      <c r="Y1634" s="14" t="str">
        <f>IFERROR(__xludf.DUMMYFUNCTION("""COMPUTED_VALUE"""),"Montenegro-Europe")</f>
        <v>Montenegro-Europe</v>
      </c>
      <c r="Z1634" s="14" t="str">
        <f>IFERROR(__xludf.DUMMYFUNCTION("""COMPUTED_VALUE"""),"Europe")</f>
        <v>Europe</v>
      </c>
      <c r="AA1634" s="14" t="str">
        <f>IFERROR(__xludf.DUMMYFUNCTION("""COMPUTED_VALUE"""),"2007")</f>
        <v>2007</v>
      </c>
      <c r="AB1634" s="15" t="str">
        <f>IFERROR(__xludf.DUMMYFUNCTION("ARRAYFORMULA(VLOOKUP(A1634,IMPORTRANGE(""https://docs.google.com/spreadsheets/d/1BuTWp7qHGjWhqrnf-OmePP568O4A5Am9ttzvVdP67zw/edit#gid=1931367683"" ,""ENERGY!$A$2:$F$2692""), {2,3,4,5,6},0))"),"Europe")</f>
        <v>Europe</v>
      </c>
      <c r="AC1634" s="14" t="str">
        <f>IFERROR(__xludf.DUMMYFUNCTION("""COMPUTED_VALUE"""),"Montenegro-Europe")</f>
        <v>Montenegro-Europe</v>
      </c>
      <c r="AD1634" s="14" t="str">
        <f>IFERROR(__xludf.DUMMYFUNCTION("""COMPUTED_VALUE"""),"2009")</f>
        <v>2009</v>
      </c>
      <c r="AE1634" s="14">
        <f>IFERROR(__xludf.DUMMYFUNCTION("""COMPUTED_VALUE"""),987.0)</f>
        <v>987</v>
      </c>
      <c r="AF1634" s="14">
        <f>IFERROR(__xludf.DUMMYFUNCTION("""COMPUTED_VALUE"""),2057.0)</f>
        <v>2057</v>
      </c>
    </row>
    <row r="1635">
      <c r="A1635" s="12">
        <v>1634.0</v>
      </c>
      <c r="B1635" s="12" t="s">
        <v>204</v>
      </c>
      <c r="C1635" s="5" t="s">
        <v>75</v>
      </c>
      <c r="D1635" s="11">
        <v>0.31</v>
      </c>
      <c r="E1635" s="11">
        <v>21.0</v>
      </c>
      <c r="F1635" s="8"/>
      <c r="G1635" s="11">
        <v>372.0</v>
      </c>
      <c r="H1635" s="11">
        <v>0.329</v>
      </c>
      <c r="I1635" s="11">
        <v>1.872</v>
      </c>
      <c r="J1635" s="9" t="s">
        <v>69</v>
      </c>
      <c r="K1635" s="14" t="str">
        <f>IFERROR(__xludf.DUMMYFUNCTION("ARRAYFORMULA(VLOOKUP(A1635,IMPORTRANGE(""https://docs.google.com/spreadsheets/d/1BuTWp7qHGjWhqrnf-OmePP568O4A5Am9ttzvVdP67zw/edit#gid=1603210130"", ""TOURISM!$A$2:$F$2692""), {2,3,4,5,6},0))"),"Europe")</f>
        <v>Europe</v>
      </c>
      <c r="L1635" s="14">
        <f>IFERROR(__xludf.DUMMYFUNCTION("""COMPUTED_VALUE"""),8.59E8)</f>
        <v>859000000</v>
      </c>
      <c r="M1635" s="14" t="str">
        <f>IFERROR(__xludf.DUMMYFUNCTION("""COMPUTED_VALUE"""),"Montenegro-Europe")</f>
        <v>Montenegro-Europe</v>
      </c>
      <c r="N1635" s="14" t="str">
        <f>IFERROR(__xludf.DUMMYFUNCTION("""COMPUTED_VALUE"""),"2008")</f>
        <v>2008</v>
      </c>
      <c r="O1635" s="14">
        <f>IFERROR(__xludf.DUMMYFUNCTION("""COMPUTED_VALUE"""),8.0E7)</f>
        <v>80000000</v>
      </c>
      <c r="P1635" s="15">
        <f>IFERROR(__xludf.DUMMYFUNCTION("ARRAYFORMULA(VLOOKUP(A1635,IMPORTRANGE(""https://docs.google.com/spreadsheets/d/1BuTWp7qHGjWhqrnf-OmePP568O4A5Am9ttzvVdP67zw/edit#gid=771602874"" ,""HUMAN RESOURCES!$A$2:$M$2692""), {2,3,4,5,6,7,8,9,10,11,12,13},0))"),0.012)</f>
        <v>0.012</v>
      </c>
      <c r="Q1635" s="14">
        <f>IFERROR(__xludf.DUMMYFUNCTION("""COMPUTED_VALUE"""),0.007)</f>
        <v>0.007</v>
      </c>
      <c r="R1635" s="14">
        <f>IFERROR(__xludf.DUMMYFUNCTION("""COMPUTED_VALUE"""),76.0)</f>
        <v>76</v>
      </c>
      <c r="S1635" s="14">
        <f>IFERROR(__xludf.DUMMYFUNCTION("""COMPUTED_VALUE"""),72.0)</f>
        <v>72</v>
      </c>
      <c r="T1635" s="14">
        <f>IFERROR(__xludf.DUMMYFUNCTION("""COMPUTED_VALUE"""),0.198)</f>
        <v>0.198</v>
      </c>
      <c r="U1635" s="14">
        <f>IFERROR(__xludf.DUMMYFUNCTION("""COMPUTED_VALUE"""),0.676)</f>
        <v>0.676</v>
      </c>
      <c r="V1635" s="14">
        <f>IFERROR(__xludf.DUMMYFUNCTION("""COMPUTED_VALUE"""),0.126)</f>
        <v>0.126</v>
      </c>
      <c r="W1635" s="14">
        <f>IFERROR(__xludf.DUMMYFUNCTION("""COMPUTED_VALUE"""),618649.0)</f>
        <v>618649</v>
      </c>
      <c r="X1635" s="14">
        <f>IFERROR(__xludf.DUMMYFUNCTION("""COMPUTED_VALUE"""),0.627)</f>
        <v>0.627</v>
      </c>
      <c r="Y1635" s="14" t="str">
        <f>IFERROR(__xludf.DUMMYFUNCTION("""COMPUTED_VALUE"""),"Montenegro-Europe")</f>
        <v>Montenegro-Europe</v>
      </c>
      <c r="Z1635" s="14" t="str">
        <f>IFERROR(__xludf.DUMMYFUNCTION("""COMPUTED_VALUE"""),"Europe")</f>
        <v>Europe</v>
      </c>
      <c r="AA1635" s="14" t="str">
        <f>IFERROR(__xludf.DUMMYFUNCTION("""COMPUTED_VALUE"""),"2008")</f>
        <v>2008</v>
      </c>
      <c r="AB1635" s="15" t="str">
        <f>IFERROR(__xludf.DUMMYFUNCTION("ARRAYFORMULA(VLOOKUP(A1635,IMPORTRANGE(""https://docs.google.com/spreadsheets/d/1BuTWp7qHGjWhqrnf-OmePP568O4A5Am9ttzvVdP67zw/edit#gid=1931367683"" ,""ENERGY!$A$2:$F$2692""), {2,3,4,5,6},0))"),"Europe")</f>
        <v>Europe</v>
      </c>
      <c r="AC1635" s="14" t="str">
        <f>IFERROR(__xludf.DUMMYFUNCTION("""COMPUTED_VALUE"""),"Montenegro-Europe")</f>
        <v>Montenegro-Europe</v>
      </c>
      <c r="AD1635" s="14" t="str">
        <f>IFERROR(__xludf.DUMMYFUNCTION("""COMPUTED_VALUE"""),"2006")</f>
        <v>2006</v>
      </c>
      <c r="AE1635" s="14"/>
      <c r="AF1635" s="14"/>
    </row>
    <row r="1636">
      <c r="A1636" s="12">
        <v>1635.0</v>
      </c>
      <c r="B1636" s="12" t="s">
        <v>204</v>
      </c>
      <c r="C1636" s="5" t="s">
        <v>75</v>
      </c>
      <c r="D1636" s="11">
        <v>0.263</v>
      </c>
      <c r="E1636" s="11">
        <v>12.0</v>
      </c>
      <c r="F1636" s="8"/>
      <c r="G1636" s="11">
        <v>372.0</v>
      </c>
      <c r="H1636" s="11">
        <v>0.351</v>
      </c>
      <c r="I1636" s="11">
        <v>2.089</v>
      </c>
      <c r="J1636" s="9" t="s">
        <v>70</v>
      </c>
      <c r="K1636" s="14" t="str">
        <f>IFERROR(__xludf.DUMMYFUNCTION("ARRAYFORMULA(VLOOKUP(A1636,IMPORTRANGE(""https://docs.google.com/spreadsheets/d/1BuTWp7qHGjWhqrnf-OmePP568O4A5Am9ttzvVdP67zw/edit#gid=1603210130"", ""TOURISM!$A$2:$F$2692""), {2,3,4,5,6},0))"),"Europe")</f>
        <v>Europe</v>
      </c>
      <c r="L1636" s="14">
        <f>IFERROR(__xludf.DUMMYFUNCTION("""COMPUTED_VALUE"""),7.92E8)</f>
        <v>792000000</v>
      </c>
      <c r="M1636" s="14" t="str">
        <f>IFERROR(__xludf.DUMMYFUNCTION("""COMPUTED_VALUE"""),"Montenegro-Europe")</f>
        <v>Montenegro-Europe</v>
      </c>
      <c r="N1636" s="14" t="str">
        <f>IFERROR(__xludf.DUMMYFUNCTION("""COMPUTED_VALUE"""),"2009")</f>
        <v>2009</v>
      </c>
      <c r="O1636" s="14">
        <f>IFERROR(__xludf.DUMMYFUNCTION("""COMPUTED_VALUE"""),7.6E7)</f>
        <v>76000000</v>
      </c>
      <c r="P1636" s="15">
        <f>IFERROR(__xludf.DUMMYFUNCTION("ARRAYFORMULA(VLOOKUP(A1636,IMPORTRANGE(""https://docs.google.com/spreadsheets/d/1BuTWp7qHGjWhqrnf-OmePP568O4A5Am9ttzvVdP67zw/edit#gid=771602874"" ,""HUMAN RESOURCES!$A$2:$M$2692""), {2,3,4,5,6,7,8,9,10,11,12,13},0))"),0.012)</f>
        <v>0.012</v>
      </c>
      <c r="Q1636" s="14">
        <f>IFERROR(__xludf.DUMMYFUNCTION("""COMPUTED_VALUE"""),0.007)</f>
        <v>0.007</v>
      </c>
      <c r="R1636" s="14">
        <f>IFERROR(__xludf.DUMMYFUNCTION("""COMPUTED_VALUE"""),77.0)</f>
        <v>77</v>
      </c>
      <c r="S1636" s="14">
        <f>IFERROR(__xludf.DUMMYFUNCTION("""COMPUTED_VALUE"""),72.0)</f>
        <v>72</v>
      </c>
      <c r="T1636" s="14">
        <f>IFERROR(__xludf.DUMMYFUNCTION("""COMPUTED_VALUE"""),0.196)</f>
        <v>0.196</v>
      </c>
      <c r="U1636" s="14">
        <f>IFERROR(__xludf.DUMMYFUNCTION("""COMPUTED_VALUE"""),0.679)</f>
        <v>0.679</v>
      </c>
      <c r="V1636" s="14">
        <f>IFERROR(__xludf.DUMMYFUNCTION("""COMPUTED_VALUE"""),0.125)</f>
        <v>0.125</v>
      </c>
      <c r="W1636" s="14">
        <f>IFERROR(__xludf.DUMMYFUNCTION("""COMPUTED_VALUE"""),619408.0)</f>
        <v>619408</v>
      </c>
      <c r="X1636" s="14">
        <f>IFERROR(__xludf.DUMMYFUNCTION("""COMPUTED_VALUE"""),0.629)</f>
        <v>0.629</v>
      </c>
      <c r="Y1636" s="14" t="str">
        <f>IFERROR(__xludf.DUMMYFUNCTION("""COMPUTED_VALUE"""),"Montenegro-Europe")</f>
        <v>Montenegro-Europe</v>
      </c>
      <c r="Z1636" s="14" t="str">
        <f>IFERROR(__xludf.DUMMYFUNCTION("""COMPUTED_VALUE"""),"Europe")</f>
        <v>Europe</v>
      </c>
      <c r="AA1636" s="14" t="str">
        <f>IFERROR(__xludf.DUMMYFUNCTION("""COMPUTED_VALUE"""),"2009")</f>
        <v>2009</v>
      </c>
      <c r="AB1636" s="15" t="str">
        <f>IFERROR(__xludf.DUMMYFUNCTION("ARRAYFORMULA(VLOOKUP(A1636,IMPORTRANGE(""https://docs.google.com/spreadsheets/d/1BuTWp7qHGjWhqrnf-OmePP568O4A5Am9ttzvVdP67zw/edit#gid=1931367683"" ,""ENERGY!$A$2:$F$2692""), {2,3,4,5,6},0))"),"Europe")</f>
        <v>Europe</v>
      </c>
      <c r="AC1636" s="14" t="str">
        <f>IFERROR(__xludf.DUMMYFUNCTION("""COMPUTED_VALUE"""),"Montenegro-Europe")</f>
        <v>Montenegro-Europe</v>
      </c>
      <c r="AD1636" s="14" t="str">
        <f>IFERROR(__xludf.DUMMYFUNCTION("""COMPUTED_VALUE"""),"2011")</f>
        <v>2011</v>
      </c>
      <c r="AE1636" s="14"/>
      <c r="AF1636" s="14"/>
    </row>
    <row r="1637">
      <c r="A1637" s="12">
        <v>1636.0</v>
      </c>
      <c r="B1637" s="12" t="s">
        <v>204</v>
      </c>
      <c r="C1637" s="5" t="s">
        <v>75</v>
      </c>
      <c r="D1637" s="11">
        <v>0.254</v>
      </c>
      <c r="E1637" s="11">
        <v>10.0</v>
      </c>
      <c r="F1637" s="8"/>
      <c r="G1637" s="11">
        <v>372.0</v>
      </c>
      <c r="H1637" s="11">
        <v>0.375</v>
      </c>
      <c r="I1637" s="11">
        <v>1.887</v>
      </c>
      <c r="J1637" s="9" t="s">
        <v>71</v>
      </c>
      <c r="K1637" s="14" t="str">
        <f>IFERROR(__xludf.DUMMYFUNCTION("ARRAYFORMULA(VLOOKUP(A1637,IMPORTRANGE(""https://docs.google.com/spreadsheets/d/1BuTWp7qHGjWhqrnf-OmePP568O4A5Am9ttzvVdP67zw/edit#gid=1603210130"", ""TOURISM!$A$2:$F$2692""), {2,3,4,5,6},0))"),"Europe")</f>
        <v>Europe</v>
      </c>
      <c r="L1637" s="14">
        <f>IFERROR(__xludf.DUMMYFUNCTION("""COMPUTED_VALUE"""),7.65E8)</f>
        <v>765000000</v>
      </c>
      <c r="M1637" s="14" t="str">
        <f>IFERROR(__xludf.DUMMYFUNCTION("""COMPUTED_VALUE"""),"Montenegro-Europe")</f>
        <v>Montenegro-Europe</v>
      </c>
      <c r="N1637" s="14" t="str">
        <f>IFERROR(__xludf.DUMMYFUNCTION("""COMPUTED_VALUE"""),"2010")</f>
        <v>2010</v>
      </c>
      <c r="O1637" s="14">
        <f>IFERROR(__xludf.DUMMYFUNCTION("""COMPUTED_VALUE"""),7.2E7)</f>
        <v>72000000</v>
      </c>
      <c r="P1637" s="15">
        <f>IFERROR(__xludf.DUMMYFUNCTION("ARRAYFORMULA(VLOOKUP(A1637,IMPORTRANGE(""https://docs.google.com/spreadsheets/d/1BuTWp7qHGjWhqrnf-OmePP568O4A5Am9ttzvVdP67zw/edit#gid=771602874"" ,""HUMAN RESOURCES!$A$2:$M$2692""), {2,3,4,5,6,7,8,9,10,11,12,13},0))"),0.012)</f>
        <v>0.012</v>
      </c>
      <c r="Q1637" s="14">
        <f>IFERROR(__xludf.DUMMYFUNCTION("""COMPUTED_VALUE"""),0.006)</f>
        <v>0.006</v>
      </c>
      <c r="R1637" s="14">
        <f>IFERROR(__xludf.DUMMYFUNCTION("""COMPUTED_VALUE"""),77.0)</f>
        <v>77</v>
      </c>
      <c r="S1637" s="14">
        <f>IFERROR(__xludf.DUMMYFUNCTION("""COMPUTED_VALUE"""),72.0)</f>
        <v>72</v>
      </c>
      <c r="T1637" s="14">
        <f>IFERROR(__xludf.DUMMYFUNCTION("""COMPUTED_VALUE"""),0.195)</f>
        <v>0.195</v>
      </c>
      <c r="U1637" s="14">
        <f>IFERROR(__xludf.DUMMYFUNCTION("""COMPUTED_VALUE"""),0.681)</f>
        <v>0.681</v>
      </c>
      <c r="V1637" s="14">
        <f>IFERROR(__xludf.DUMMYFUNCTION("""COMPUTED_VALUE"""),0.125)</f>
        <v>0.125</v>
      </c>
      <c r="W1637" s="14">
        <f>IFERROR(__xludf.DUMMYFUNCTION("""COMPUTED_VALUE"""),620078.0)</f>
        <v>620078</v>
      </c>
      <c r="X1637" s="14">
        <f>IFERROR(__xludf.DUMMYFUNCTION("""COMPUTED_VALUE"""),0.631)</f>
        <v>0.631</v>
      </c>
      <c r="Y1637" s="14" t="str">
        <f>IFERROR(__xludf.DUMMYFUNCTION("""COMPUTED_VALUE"""),"Montenegro-Europe")</f>
        <v>Montenegro-Europe</v>
      </c>
      <c r="Z1637" s="14" t="str">
        <f>IFERROR(__xludf.DUMMYFUNCTION("""COMPUTED_VALUE"""),"Europe")</f>
        <v>Europe</v>
      </c>
      <c r="AA1637" s="14" t="str">
        <f>IFERROR(__xludf.DUMMYFUNCTION("""COMPUTED_VALUE"""),"2010")</f>
        <v>2010</v>
      </c>
      <c r="AB1637" s="15" t="str">
        <f>IFERROR(__xludf.DUMMYFUNCTION("ARRAYFORMULA(VLOOKUP(A1637,IMPORTRANGE(""https://docs.google.com/spreadsheets/d/1BuTWp7qHGjWhqrnf-OmePP568O4A5Am9ttzvVdP67zw/edit#gid=1931367683"" ,""ENERGY!$A$2:$F$2692""), {2,3,4,5,6},0))"),"Europe")</f>
        <v>Europe</v>
      </c>
      <c r="AC1637" s="14" t="str">
        <f>IFERROR(__xludf.DUMMYFUNCTION("""COMPUTED_VALUE"""),"Montenegro-Europe")</f>
        <v>Montenegro-Europe</v>
      </c>
      <c r="AD1637" s="14" t="str">
        <f>IFERROR(__xludf.DUMMYFUNCTION("""COMPUTED_VALUE"""),"2005")</f>
        <v>2005</v>
      </c>
      <c r="AE1637" s="14"/>
      <c r="AF1637" s="14"/>
    </row>
    <row r="1638">
      <c r="A1638" s="12">
        <v>1637.0</v>
      </c>
      <c r="B1638" s="12" t="s">
        <v>204</v>
      </c>
      <c r="C1638" s="5" t="s">
        <v>75</v>
      </c>
      <c r="D1638" s="11">
        <v>0.209</v>
      </c>
      <c r="E1638" s="11">
        <v>10.0</v>
      </c>
      <c r="F1638" s="8"/>
      <c r="G1638" s="11">
        <v>372.0</v>
      </c>
      <c r="H1638" s="11">
        <v>0.356</v>
      </c>
      <c r="I1638" s="11">
        <v>1.868</v>
      </c>
      <c r="J1638" s="9" t="s">
        <v>72</v>
      </c>
      <c r="K1638" s="14" t="str">
        <f>IFERROR(__xludf.DUMMYFUNCTION("ARRAYFORMULA(VLOOKUP(A1638,IMPORTRANGE(""https://docs.google.com/spreadsheets/d/1BuTWp7qHGjWhqrnf-OmePP568O4A5Am9ttzvVdP67zw/edit#gid=1603210130"", ""TOURISM!$A$2:$F$2692""), {2,3,4,5,6},0))"),"Europe")</f>
        <v>Europe</v>
      </c>
      <c r="L1638" s="14">
        <f>IFERROR(__xludf.DUMMYFUNCTION("""COMPUTED_VALUE"""),9.26E8)</f>
        <v>926000000</v>
      </c>
      <c r="M1638" s="14" t="str">
        <f>IFERROR(__xludf.DUMMYFUNCTION("""COMPUTED_VALUE"""),"Montenegro-Europe")</f>
        <v>Montenegro-Europe</v>
      </c>
      <c r="N1638" s="14" t="str">
        <f>IFERROR(__xludf.DUMMYFUNCTION("""COMPUTED_VALUE"""),"2011")</f>
        <v>2011</v>
      </c>
      <c r="O1638" s="14">
        <f>IFERROR(__xludf.DUMMYFUNCTION("""COMPUTED_VALUE"""),7.0E7)</f>
        <v>70000000</v>
      </c>
      <c r="P1638" s="15">
        <f>IFERROR(__xludf.DUMMYFUNCTION("ARRAYFORMULA(VLOOKUP(A1638,IMPORTRANGE(""https://docs.google.com/spreadsheets/d/1BuTWp7qHGjWhqrnf-OmePP568O4A5Am9ttzvVdP67zw/edit#gid=771602874"" ,""HUMAN RESOURCES!$A$2:$M$2692""), {2,3,4,5,6,7,8,9,10,11,12,13},0))"),0.012)</f>
        <v>0.012</v>
      </c>
      <c r="Q1638" s="14">
        <f>IFERROR(__xludf.DUMMYFUNCTION("""COMPUTED_VALUE"""),0.006)</f>
        <v>0.006</v>
      </c>
      <c r="R1638" s="14">
        <f>IFERROR(__xludf.DUMMYFUNCTION("""COMPUTED_VALUE"""),77.0)</f>
        <v>77</v>
      </c>
      <c r="S1638" s="14">
        <f>IFERROR(__xludf.DUMMYFUNCTION("""COMPUTED_VALUE"""),72.0)</f>
        <v>72</v>
      </c>
      <c r="T1638" s="14">
        <f>IFERROR(__xludf.DUMMYFUNCTION("""COMPUTED_VALUE"""),0.193)</f>
        <v>0.193</v>
      </c>
      <c r="U1638" s="14">
        <f>IFERROR(__xludf.DUMMYFUNCTION("""COMPUTED_VALUE"""),0.682)</f>
        <v>0.682</v>
      </c>
      <c r="V1638" s="14">
        <f>IFERROR(__xludf.DUMMYFUNCTION("""COMPUTED_VALUE"""),0.126)</f>
        <v>0.126</v>
      </c>
      <c r="W1638" s="14">
        <f>IFERROR(__xludf.DUMMYFUNCTION("""COMPUTED_VALUE"""),620644.0)</f>
        <v>620644</v>
      </c>
      <c r="X1638" s="14">
        <f>IFERROR(__xludf.DUMMYFUNCTION("""COMPUTED_VALUE"""),0.633)</f>
        <v>0.633</v>
      </c>
      <c r="Y1638" s="14" t="str">
        <f>IFERROR(__xludf.DUMMYFUNCTION("""COMPUTED_VALUE"""),"Montenegro-Europe")</f>
        <v>Montenegro-Europe</v>
      </c>
      <c r="Z1638" s="14" t="str">
        <f>IFERROR(__xludf.DUMMYFUNCTION("""COMPUTED_VALUE"""),"Europe")</f>
        <v>Europe</v>
      </c>
      <c r="AA1638" s="14" t="str">
        <f>IFERROR(__xludf.DUMMYFUNCTION("""COMPUTED_VALUE"""),"2011")</f>
        <v>2011</v>
      </c>
      <c r="AB1638" s="15" t="str">
        <f>IFERROR(__xludf.DUMMYFUNCTION("ARRAYFORMULA(VLOOKUP(A1638,IMPORTRANGE(""https://docs.google.com/spreadsheets/d/1BuTWp7qHGjWhqrnf-OmePP568O4A5Am9ttzvVdP67zw/edit#gid=1931367683"" ,""ENERGY!$A$2:$F$2692""), {2,3,4,5,6},0))"),"Europe")</f>
        <v>Europe</v>
      </c>
      <c r="AC1638" s="14" t="str">
        <f>IFERROR(__xludf.DUMMYFUNCTION("""COMPUTED_VALUE"""),"Montenegro-Europe")</f>
        <v>Montenegro-Europe</v>
      </c>
      <c r="AD1638" s="14" t="str">
        <f>IFERROR(__xludf.DUMMYFUNCTION("""COMPUTED_VALUE"""),"2006")</f>
        <v>2006</v>
      </c>
      <c r="AE1638" s="14"/>
      <c r="AF1638" s="14"/>
    </row>
    <row r="1639">
      <c r="A1639" s="12">
        <v>1638.0</v>
      </c>
      <c r="B1639" s="12" t="s">
        <v>204</v>
      </c>
      <c r="C1639" s="5" t="s">
        <v>75</v>
      </c>
      <c r="D1639" s="11">
        <v>0.209</v>
      </c>
      <c r="E1639" s="11">
        <v>10.0</v>
      </c>
      <c r="F1639" s="11">
        <v>50.0</v>
      </c>
      <c r="G1639" s="11">
        <v>320.0</v>
      </c>
      <c r="H1639" s="11">
        <v>0.568</v>
      </c>
      <c r="I1639" s="11">
        <v>1.595</v>
      </c>
      <c r="J1639" s="9" t="s">
        <v>73</v>
      </c>
      <c r="K1639" s="14" t="str">
        <f>IFERROR(__xludf.DUMMYFUNCTION("ARRAYFORMULA(VLOOKUP(A1639,IMPORTRANGE(""https://docs.google.com/spreadsheets/d/1BuTWp7qHGjWhqrnf-OmePP568O4A5Am9ttzvVdP67zw/edit#gid=1603210130"", ""TOURISM!$A$2:$F$2692""), {2,3,4,5,6},0))"),"Europe")</f>
        <v>Europe</v>
      </c>
      <c r="L1639" s="14">
        <f>IFERROR(__xludf.DUMMYFUNCTION("""COMPUTED_VALUE"""),8.6E8)</f>
        <v>860000000</v>
      </c>
      <c r="M1639" s="14" t="str">
        <f>IFERROR(__xludf.DUMMYFUNCTION("""COMPUTED_VALUE"""),"Montenegro-Europe")</f>
        <v>Montenegro-Europe</v>
      </c>
      <c r="N1639" s="14" t="str">
        <f>IFERROR(__xludf.DUMMYFUNCTION("""COMPUTED_VALUE"""),"2012")</f>
        <v>2012</v>
      </c>
      <c r="O1639" s="14">
        <f>IFERROR(__xludf.DUMMYFUNCTION("""COMPUTED_VALUE"""),6.7E7)</f>
        <v>67000000</v>
      </c>
      <c r="P1639" s="15">
        <f>IFERROR(__xludf.DUMMYFUNCTION("ARRAYFORMULA(VLOOKUP(A1639,IMPORTRANGE(""https://docs.google.com/spreadsheets/d/1BuTWp7qHGjWhqrnf-OmePP568O4A5Am9ttzvVdP67zw/edit#gid=771602874"" ,""HUMAN RESOURCES!$A$2:$M$2692""), {2,3,4,5,6,7,8,9,10,11,12,13},0))"),0.012)</f>
        <v>0.012</v>
      </c>
      <c r="Q1639" s="14">
        <f>IFERROR(__xludf.DUMMYFUNCTION("""COMPUTED_VALUE"""),0.005)</f>
        <v>0.005</v>
      </c>
      <c r="R1639" s="14">
        <f>IFERROR(__xludf.DUMMYFUNCTION("""COMPUTED_VALUE"""),77.0)</f>
        <v>77</v>
      </c>
      <c r="S1639" s="14">
        <f>IFERROR(__xludf.DUMMYFUNCTION("""COMPUTED_VALUE"""),72.0)</f>
        <v>72</v>
      </c>
      <c r="T1639" s="14">
        <f>IFERROR(__xludf.DUMMYFUNCTION("""COMPUTED_VALUE"""),0.19)</f>
        <v>0.19</v>
      </c>
      <c r="U1639" s="14">
        <f>IFERROR(__xludf.DUMMYFUNCTION("""COMPUTED_VALUE"""),0.682)</f>
        <v>0.682</v>
      </c>
      <c r="V1639" s="14">
        <f>IFERROR(__xludf.DUMMYFUNCTION("""COMPUTED_VALUE"""),0.128)</f>
        <v>0.128</v>
      </c>
      <c r="W1639" s="14">
        <f>IFERROR(__xludf.DUMMYFUNCTION("""COMPUTED_VALUE"""),621081.0)</f>
        <v>621081</v>
      </c>
      <c r="X1639" s="14">
        <f>IFERROR(__xludf.DUMMYFUNCTION("""COMPUTED_VALUE"""),0.635)</f>
        <v>0.635</v>
      </c>
      <c r="Y1639" s="14" t="str">
        <f>IFERROR(__xludf.DUMMYFUNCTION("""COMPUTED_VALUE"""),"Montenegro-Europe")</f>
        <v>Montenegro-Europe</v>
      </c>
      <c r="Z1639" s="14" t="str">
        <f>IFERROR(__xludf.DUMMYFUNCTION("""COMPUTED_VALUE"""),"Europe")</f>
        <v>Europe</v>
      </c>
      <c r="AA1639" s="14" t="str">
        <f>IFERROR(__xludf.DUMMYFUNCTION("""COMPUTED_VALUE"""),"2012")</f>
        <v>2012</v>
      </c>
      <c r="AB1639" s="15" t="str">
        <f>IFERROR(__xludf.DUMMYFUNCTION("ARRAYFORMULA(VLOOKUP(A1639,IMPORTRANGE(""https://docs.google.com/spreadsheets/d/1BuTWp7qHGjWhqrnf-OmePP568O4A5Am9ttzvVdP67zw/edit#gid=1931367683"" ,""ENERGY!$A$2:$F$2692""), {2,3,4,5,6},0))"),"Europe")</f>
        <v>Europe</v>
      </c>
      <c r="AC1639" s="14" t="str">
        <f>IFERROR(__xludf.DUMMYFUNCTION("""COMPUTED_VALUE"""),"Montenegro-Europe")</f>
        <v>Montenegro-Europe</v>
      </c>
      <c r="AD1639" s="14" t="str">
        <f>IFERROR(__xludf.DUMMYFUNCTION("""COMPUTED_VALUE"""),"2011")</f>
        <v>2011</v>
      </c>
      <c r="AE1639" s="14"/>
      <c r="AF1639" s="14"/>
    </row>
    <row r="1640">
      <c r="A1640" s="12">
        <v>1639.0</v>
      </c>
      <c r="B1640" s="12" t="s">
        <v>205</v>
      </c>
      <c r="C1640" s="5" t="s">
        <v>77</v>
      </c>
      <c r="D1640" s="8"/>
      <c r="E1640" s="8"/>
      <c r="F1640" s="8"/>
      <c r="G1640" s="8"/>
      <c r="H1640" s="11">
        <v>0.007</v>
      </c>
      <c r="I1640" s="11">
        <v>0.082</v>
      </c>
      <c r="J1640" s="9" t="s">
        <v>60</v>
      </c>
      <c r="K1640" s="14" t="str">
        <f>IFERROR(__xludf.DUMMYFUNCTION("ARRAYFORMULA(VLOOKUP(A1640,IMPORTRANGE(""https://docs.google.com/spreadsheets/d/1BuTWp7qHGjWhqrnf-OmePP568O4A5Am9ttzvVdP67zw/edit#gid=1603210130"", ""TOURISM!$A$2:$F$2692""), {2,3,4,5,6},0))"),"Africa")</f>
        <v>Africa</v>
      </c>
      <c r="L1640" s="14">
        <f>IFERROR(__xludf.DUMMYFUNCTION("""COMPUTED_VALUE"""),2.28E9)</f>
        <v>2280000000</v>
      </c>
      <c r="M1640" s="14" t="str">
        <f>IFERROR(__xludf.DUMMYFUNCTION("""COMPUTED_VALUE"""),"Morocco-Africa")</f>
        <v>Morocco-Africa</v>
      </c>
      <c r="N1640" s="14" t="str">
        <f>IFERROR(__xludf.DUMMYFUNCTION("""COMPUTED_VALUE"""),"2000")</f>
        <v>2000</v>
      </c>
      <c r="O1640" s="14">
        <f>IFERROR(__xludf.DUMMYFUNCTION("""COMPUTED_VALUE"""),5.06E8)</f>
        <v>506000000</v>
      </c>
      <c r="P1640" s="15">
        <f>IFERROR(__xludf.DUMMYFUNCTION("ARRAYFORMULA(VLOOKUP(A1640,IMPORTRANGE(""https://docs.google.com/spreadsheets/d/1BuTWp7qHGjWhqrnf-OmePP568O4A5Am9ttzvVdP67zw/edit#gid=771602874"" ,""HUMAN RESOURCES!$A$2:$M$2692""), {2,3,4,5,6,7,8,9,10,11,12,13},0))"),0.022)</f>
        <v>0.022</v>
      </c>
      <c r="Q1640" s="14">
        <f>IFERROR(__xludf.DUMMYFUNCTION("""COMPUTED_VALUE"""),0.043)</f>
        <v>0.043</v>
      </c>
      <c r="R1640" s="14">
        <f>IFERROR(__xludf.DUMMYFUNCTION("""COMPUTED_VALUE"""),70.0)</f>
        <v>70</v>
      </c>
      <c r="S1640" s="14">
        <f>IFERROR(__xludf.DUMMYFUNCTION("""COMPUTED_VALUE"""),67.0)</f>
        <v>67</v>
      </c>
      <c r="T1640" s="14">
        <f>IFERROR(__xludf.DUMMYFUNCTION("""COMPUTED_VALUE"""),0.341)</f>
        <v>0.341</v>
      </c>
      <c r="U1640" s="14">
        <f>IFERROR(__xludf.DUMMYFUNCTION("""COMPUTED_VALUE"""),0.613)</f>
        <v>0.613</v>
      </c>
      <c r="V1640" s="14">
        <f>IFERROR(__xludf.DUMMYFUNCTION("""COMPUTED_VALUE"""),0.047)</f>
        <v>0.047</v>
      </c>
      <c r="W1640" s="14">
        <f>IFERROR(__xludf.DUMMYFUNCTION("""COMPUTED_VALUE"""),2.8710123E7)</f>
        <v>28710123</v>
      </c>
      <c r="X1640" s="14">
        <f>IFERROR(__xludf.DUMMYFUNCTION("""COMPUTED_VALUE"""),0.533)</f>
        <v>0.533</v>
      </c>
      <c r="Y1640" s="14" t="str">
        <f>IFERROR(__xludf.DUMMYFUNCTION("""COMPUTED_VALUE"""),"Morocco-Africa")</f>
        <v>Morocco-Africa</v>
      </c>
      <c r="Z1640" s="14" t="str">
        <f>IFERROR(__xludf.DUMMYFUNCTION("""COMPUTED_VALUE"""),"Africa")</f>
        <v>Africa</v>
      </c>
      <c r="AA1640" s="14" t="str">
        <f>IFERROR(__xludf.DUMMYFUNCTION("""COMPUTED_VALUE"""),"2000")</f>
        <v>2000</v>
      </c>
      <c r="AB1640" s="15" t="str">
        <f>IFERROR(__xludf.DUMMYFUNCTION("ARRAYFORMULA(VLOOKUP(A1640,IMPORTRANGE(""https://docs.google.com/spreadsheets/d/1BuTWp7qHGjWhqrnf-OmePP568O4A5Am9ttzvVdP67zw/edit#gid=1931367683"" ,""ENERGY!$A$2:$F$2692""), {2,3,4,5,6},0))"),"Africa")</f>
        <v>Africa</v>
      </c>
      <c r="AC1640" s="14" t="str">
        <f>IFERROR(__xludf.DUMMYFUNCTION("""COMPUTED_VALUE"""),"Morocco-Africa")</f>
        <v>Morocco-Africa</v>
      </c>
      <c r="AD1640" s="14" t="str">
        <f>IFERROR(__xludf.DUMMYFUNCTION("""COMPUTED_VALUE"""),"2000")</f>
        <v>2000</v>
      </c>
      <c r="AE1640" s="14"/>
      <c r="AF1640" s="14"/>
    </row>
    <row r="1641">
      <c r="A1641" s="12">
        <v>1640.0</v>
      </c>
      <c r="B1641" s="12" t="s">
        <v>205</v>
      </c>
      <c r="C1641" s="5" t="s">
        <v>77</v>
      </c>
      <c r="D1641" s="8"/>
      <c r="E1641" s="8"/>
      <c r="F1641" s="8"/>
      <c r="G1641" s="8"/>
      <c r="H1641" s="11">
        <v>0.014</v>
      </c>
      <c r="I1641" s="11">
        <v>0.164</v>
      </c>
      <c r="J1641" s="9" t="s">
        <v>62</v>
      </c>
      <c r="K1641" s="14" t="str">
        <f>IFERROR(__xludf.DUMMYFUNCTION("ARRAYFORMULA(VLOOKUP(A1641,IMPORTRANGE(""https://docs.google.com/spreadsheets/d/1BuTWp7qHGjWhqrnf-OmePP568O4A5Am9ttzvVdP67zw/edit#gid=1603210130"", ""TOURISM!$A$2:$F$2692""), {2,3,4,5,6},0))"),"Africa")</f>
        <v>Africa</v>
      </c>
      <c r="L1641" s="14">
        <f>IFERROR(__xludf.DUMMYFUNCTION("""COMPUTED_VALUE"""),2.966E9)</f>
        <v>2966000000</v>
      </c>
      <c r="M1641" s="14" t="str">
        <f>IFERROR(__xludf.DUMMYFUNCTION("""COMPUTED_VALUE"""),"Morocco-Africa")</f>
        <v>Morocco-Africa</v>
      </c>
      <c r="N1641" s="14" t="str">
        <f>IFERROR(__xludf.DUMMYFUNCTION("""COMPUTED_VALUE"""),"2001")</f>
        <v>2001</v>
      </c>
      <c r="O1641" s="14">
        <f>IFERROR(__xludf.DUMMYFUNCTION("""COMPUTED_VALUE"""),5.89E8)</f>
        <v>589000000</v>
      </c>
      <c r="P1641" s="15">
        <f>IFERROR(__xludf.DUMMYFUNCTION("ARRAYFORMULA(VLOOKUP(A1641,IMPORTRANGE(""https://docs.google.com/spreadsheets/d/1BuTWp7qHGjWhqrnf-OmePP568O4A5Am9ttzvVdP67zw/edit#gid=771602874"" ,""HUMAN RESOURCES!$A$2:$M$2692""), {2,3,4,5,6,7,8,9,10,11,12,13},0))"),0.021)</f>
        <v>0.021</v>
      </c>
      <c r="Q1641" s="14">
        <f>IFERROR(__xludf.DUMMYFUNCTION("""COMPUTED_VALUE"""),0.041)</f>
        <v>0.041</v>
      </c>
      <c r="R1641" s="14">
        <f>IFERROR(__xludf.DUMMYFUNCTION("""COMPUTED_VALUE"""),70.0)</f>
        <v>70</v>
      </c>
      <c r="S1641" s="14">
        <f>IFERROR(__xludf.DUMMYFUNCTION("""COMPUTED_VALUE"""),67.0)</f>
        <v>67</v>
      </c>
      <c r="T1641" s="14">
        <f>IFERROR(__xludf.DUMMYFUNCTION("""COMPUTED_VALUE"""),0.333)</f>
        <v>0.333</v>
      </c>
      <c r="U1641" s="14">
        <f>IFERROR(__xludf.DUMMYFUNCTION("""COMPUTED_VALUE"""),0.619)</f>
        <v>0.619</v>
      </c>
      <c r="V1641" s="14">
        <f>IFERROR(__xludf.DUMMYFUNCTION("""COMPUTED_VALUE"""),0.048)</f>
        <v>0.048</v>
      </c>
      <c r="W1641" s="14">
        <f>IFERROR(__xludf.DUMMYFUNCTION("""COMPUTED_VALUE"""),2.9021156E7)</f>
        <v>29021156</v>
      </c>
      <c r="X1641" s="14">
        <f>IFERROR(__xludf.DUMMYFUNCTION("""COMPUTED_VALUE"""),0.537)</f>
        <v>0.537</v>
      </c>
      <c r="Y1641" s="14" t="str">
        <f>IFERROR(__xludf.DUMMYFUNCTION("""COMPUTED_VALUE"""),"Morocco-Africa")</f>
        <v>Morocco-Africa</v>
      </c>
      <c r="Z1641" s="14" t="str">
        <f>IFERROR(__xludf.DUMMYFUNCTION("""COMPUTED_VALUE"""),"Africa")</f>
        <v>Africa</v>
      </c>
      <c r="AA1641" s="14" t="str">
        <f>IFERROR(__xludf.DUMMYFUNCTION("""COMPUTED_VALUE"""),"2001")</f>
        <v>2001</v>
      </c>
      <c r="AB1641" s="15" t="str">
        <f>IFERROR(__xludf.DUMMYFUNCTION("ARRAYFORMULA(VLOOKUP(A1641,IMPORTRANGE(""https://docs.google.com/spreadsheets/d/1BuTWp7qHGjWhqrnf-OmePP568O4A5Am9ttzvVdP67zw/edit#gid=1931367683"" ,""ENERGY!$A$2:$F$2692""), {2,3,4,5,6},0))"),"Africa")</f>
        <v>Africa</v>
      </c>
      <c r="AC1641" s="14" t="str">
        <f>IFERROR(__xludf.DUMMYFUNCTION("""COMPUTED_VALUE"""),"Morocco-Africa")</f>
        <v>Morocco-Africa</v>
      </c>
      <c r="AD1641" s="14" t="str">
        <f>IFERROR(__xludf.DUMMYFUNCTION("""COMPUTED_VALUE"""),"2001")</f>
        <v>2001</v>
      </c>
      <c r="AE1641" s="14">
        <f>IFERROR(__xludf.DUMMYFUNCTION("""COMPUTED_VALUE"""),17283.0)</f>
        <v>17283</v>
      </c>
      <c r="AF1641" s="14"/>
    </row>
    <row r="1642">
      <c r="A1642" s="12">
        <v>1641.0</v>
      </c>
      <c r="B1642" s="12" t="s">
        <v>205</v>
      </c>
      <c r="C1642" s="5" t="s">
        <v>77</v>
      </c>
      <c r="D1642" s="8"/>
      <c r="E1642" s="8"/>
      <c r="F1642" s="8"/>
      <c r="G1642" s="8"/>
      <c r="H1642" s="11">
        <v>0.024</v>
      </c>
      <c r="I1642" s="11">
        <v>0.211</v>
      </c>
      <c r="J1642" s="9" t="s">
        <v>63</v>
      </c>
      <c r="K1642" s="14" t="str">
        <f>IFERROR(__xludf.DUMMYFUNCTION("ARRAYFORMULA(VLOOKUP(A1642,IMPORTRANGE(""https://docs.google.com/spreadsheets/d/1BuTWp7qHGjWhqrnf-OmePP568O4A5Am9ttzvVdP67zw/edit#gid=1603210130"", ""TOURISM!$A$2:$F$2692""), {2,3,4,5,6},0))"),"Africa")</f>
        <v>Africa</v>
      </c>
      <c r="L1642" s="14">
        <f>IFERROR(__xludf.DUMMYFUNCTION("""COMPUTED_VALUE"""),3.157E9)</f>
        <v>3157000000</v>
      </c>
      <c r="M1642" s="14" t="str">
        <f>IFERROR(__xludf.DUMMYFUNCTION("""COMPUTED_VALUE"""),"Morocco-Africa")</f>
        <v>Morocco-Africa</v>
      </c>
      <c r="N1642" s="14" t="str">
        <f>IFERROR(__xludf.DUMMYFUNCTION("""COMPUTED_VALUE"""),"2002")</f>
        <v>2002</v>
      </c>
      <c r="O1642" s="14">
        <f>IFERROR(__xludf.DUMMYFUNCTION("""COMPUTED_VALUE"""),6.69E8)</f>
        <v>669000000</v>
      </c>
      <c r="P1642" s="15">
        <f>IFERROR(__xludf.DUMMYFUNCTION("ARRAYFORMULA(VLOOKUP(A1642,IMPORTRANGE(""https://docs.google.com/spreadsheets/d/1BuTWp7qHGjWhqrnf-OmePP568O4A5Am9ttzvVdP67zw/edit#gid=771602874"" ,""HUMAN RESOURCES!$A$2:$M$2692""), {2,3,4,5,6,7,8,9,10,11,12,13},0))"),0.021)</f>
        <v>0.021</v>
      </c>
      <c r="Q1642" s="14">
        <f>IFERROR(__xludf.DUMMYFUNCTION("""COMPUTED_VALUE"""),0.04)</f>
        <v>0.04</v>
      </c>
      <c r="R1642" s="14">
        <f>IFERROR(__xludf.DUMMYFUNCTION("""COMPUTED_VALUE"""),70.0)</f>
        <v>70</v>
      </c>
      <c r="S1642" s="14">
        <f>IFERROR(__xludf.DUMMYFUNCTION("""COMPUTED_VALUE"""),67.0)</f>
        <v>67</v>
      </c>
      <c r="T1642" s="14">
        <f>IFERROR(__xludf.DUMMYFUNCTION("""COMPUTED_VALUE"""),0.327)</f>
        <v>0.327</v>
      </c>
      <c r="U1642" s="14">
        <f>IFERROR(__xludf.DUMMYFUNCTION("""COMPUTED_VALUE"""),0.625)</f>
        <v>0.625</v>
      </c>
      <c r="V1642" s="14">
        <f>IFERROR(__xludf.DUMMYFUNCTION("""COMPUTED_VALUE"""),0.048)</f>
        <v>0.048</v>
      </c>
      <c r="W1642" s="14">
        <f>IFERROR(__xludf.DUMMYFUNCTION("""COMPUTED_VALUE"""),2.9311443E7)</f>
        <v>29311443</v>
      </c>
      <c r="X1642" s="14">
        <f>IFERROR(__xludf.DUMMYFUNCTION("""COMPUTED_VALUE"""),0.54)</f>
        <v>0.54</v>
      </c>
      <c r="Y1642" s="14" t="str">
        <f>IFERROR(__xludf.DUMMYFUNCTION("""COMPUTED_VALUE"""),"Morocco-Africa")</f>
        <v>Morocco-Africa</v>
      </c>
      <c r="Z1642" s="14" t="str">
        <f>IFERROR(__xludf.DUMMYFUNCTION("""COMPUTED_VALUE"""),"Africa")</f>
        <v>Africa</v>
      </c>
      <c r="AA1642" s="14" t="str">
        <f>IFERROR(__xludf.DUMMYFUNCTION("""COMPUTED_VALUE"""),"2002")</f>
        <v>2002</v>
      </c>
      <c r="AB1642" s="15" t="str">
        <f>IFERROR(__xludf.DUMMYFUNCTION("ARRAYFORMULA(VLOOKUP(A1642,IMPORTRANGE(""https://docs.google.com/spreadsheets/d/1BuTWp7qHGjWhqrnf-OmePP568O4A5Am9ttzvVdP67zw/edit#gid=1931367683"" ,""ENERGY!$A$2:$F$2692""), {2,3,4,5,6},0))"),"Africa")</f>
        <v>Africa</v>
      </c>
      <c r="AC1642" s="14" t="str">
        <f>IFERROR(__xludf.DUMMYFUNCTION("""COMPUTED_VALUE"""),"Morocco-Africa")</f>
        <v>Morocco-Africa</v>
      </c>
      <c r="AD1642" s="14" t="str">
        <f>IFERROR(__xludf.DUMMYFUNCTION("""COMPUTED_VALUE"""),"2002")</f>
        <v>2002</v>
      </c>
      <c r="AE1642" s="14">
        <f>IFERROR(__xludf.DUMMYFUNCTION("""COMPUTED_VALUE"""),16183.0)</f>
        <v>16183</v>
      </c>
      <c r="AF1642" s="14">
        <f>IFERROR(__xludf.DUMMYFUNCTION("""COMPUTED_VALUE"""),50608.0)</f>
        <v>50608</v>
      </c>
    </row>
    <row r="1643">
      <c r="A1643" s="12">
        <v>1642.0</v>
      </c>
      <c r="B1643" s="12" t="s">
        <v>205</v>
      </c>
      <c r="C1643" s="5" t="s">
        <v>77</v>
      </c>
      <c r="D1643" s="8"/>
      <c r="E1643" s="11">
        <v>36.0</v>
      </c>
      <c r="F1643" s="8"/>
      <c r="G1643" s="8"/>
      <c r="H1643" s="11">
        <v>0.034</v>
      </c>
      <c r="I1643" s="11">
        <v>0.249</v>
      </c>
      <c r="J1643" s="9" t="s">
        <v>64</v>
      </c>
      <c r="K1643" s="14" t="str">
        <f>IFERROR(__xludf.DUMMYFUNCTION("ARRAYFORMULA(VLOOKUP(A1643,IMPORTRANGE(""https://docs.google.com/spreadsheets/d/1BuTWp7qHGjWhqrnf-OmePP568O4A5Am9ttzvVdP67zw/edit#gid=1603210130"", ""TOURISM!$A$2:$F$2692""), {2,3,4,5,6},0))"),"Africa")</f>
        <v>Africa</v>
      </c>
      <c r="L1643" s="14">
        <f>IFERROR(__xludf.DUMMYFUNCTION("""COMPUTED_VALUE"""),3.802E9)</f>
        <v>3802000000</v>
      </c>
      <c r="M1643" s="14" t="str">
        <f>IFERROR(__xludf.DUMMYFUNCTION("""COMPUTED_VALUE"""),"Morocco-Africa")</f>
        <v>Morocco-Africa</v>
      </c>
      <c r="N1643" s="14" t="str">
        <f>IFERROR(__xludf.DUMMYFUNCTION("""COMPUTED_VALUE"""),"2003")</f>
        <v>2003</v>
      </c>
      <c r="O1643" s="14">
        <f>IFERROR(__xludf.DUMMYFUNCTION("""COMPUTED_VALUE"""),8.45E8)</f>
        <v>845000000</v>
      </c>
      <c r="P1643" s="15">
        <f>IFERROR(__xludf.DUMMYFUNCTION("ARRAYFORMULA(VLOOKUP(A1643,IMPORTRANGE(""https://docs.google.com/spreadsheets/d/1BuTWp7qHGjWhqrnf-OmePP568O4A5Am9ttzvVdP67zw/edit#gid=771602874"" ,""HUMAN RESOURCES!$A$2:$M$2692""), {2,3,4,5,6,7,8,9,10,11,12,13},0))"),0.021)</f>
        <v>0.021</v>
      </c>
      <c r="Q1643" s="14">
        <f>IFERROR(__xludf.DUMMYFUNCTION("""COMPUTED_VALUE"""),0.038)</f>
        <v>0.038</v>
      </c>
      <c r="R1643" s="14">
        <f>IFERROR(__xludf.DUMMYFUNCTION("""COMPUTED_VALUE"""),70.0)</f>
        <v>70</v>
      </c>
      <c r="S1643" s="14">
        <f>IFERROR(__xludf.DUMMYFUNCTION("""COMPUTED_VALUE"""),67.0)</f>
        <v>67</v>
      </c>
      <c r="T1643" s="14">
        <f>IFERROR(__xludf.DUMMYFUNCTION("""COMPUTED_VALUE"""),0.32)</f>
        <v>0.32</v>
      </c>
      <c r="U1643" s="14">
        <f>IFERROR(__xludf.DUMMYFUNCTION("""COMPUTED_VALUE"""),0.631)</f>
        <v>0.631</v>
      </c>
      <c r="V1643" s="14">
        <f>IFERROR(__xludf.DUMMYFUNCTION("""COMPUTED_VALUE"""),0.049)</f>
        <v>0.049</v>
      </c>
      <c r="W1643" s="14">
        <f>IFERROR(__xludf.DUMMYFUNCTION("""COMPUTED_VALUE"""),2.9586937E7)</f>
        <v>29586937</v>
      </c>
      <c r="X1643" s="14">
        <f>IFERROR(__xludf.DUMMYFUNCTION("""COMPUTED_VALUE"""),0.543)</f>
        <v>0.543</v>
      </c>
      <c r="Y1643" s="14" t="str">
        <f>IFERROR(__xludf.DUMMYFUNCTION("""COMPUTED_VALUE"""),"Morocco-Africa")</f>
        <v>Morocco-Africa</v>
      </c>
      <c r="Z1643" s="14" t="str">
        <f>IFERROR(__xludf.DUMMYFUNCTION("""COMPUTED_VALUE"""),"Africa")</f>
        <v>Africa</v>
      </c>
      <c r="AA1643" s="14" t="str">
        <f>IFERROR(__xludf.DUMMYFUNCTION("""COMPUTED_VALUE"""),"2003")</f>
        <v>2003</v>
      </c>
      <c r="AB1643" s="15" t="str">
        <f>IFERROR(__xludf.DUMMYFUNCTION("ARRAYFORMULA(VLOOKUP(A1643,IMPORTRANGE(""https://docs.google.com/spreadsheets/d/1BuTWp7qHGjWhqrnf-OmePP568O4A5Am9ttzvVdP67zw/edit#gid=1931367683"" ,""ENERGY!$A$2:$F$2692""), {2,3,4,5,6},0))"),"Africa")</f>
        <v>Africa</v>
      </c>
      <c r="AC1643" s="14" t="str">
        <f>IFERROR(__xludf.DUMMYFUNCTION("""COMPUTED_VALUE"""),"Morocco-Africa")</f>
        <v>Morocco-Africa</v>
      </c>
      <c r="AD1643" s="14" t="str">
        <f>IFERROR(__xludf.DUMMYFUNCTION("""COMPUTED_VALUE"""),"2003")</f>
        <v>2003</v>
      </c>
      <c r="AE1643" s="14">
        <f>IFERROR(__xludf.DUMMYFUNCTION("""COMPUTED_VALUE"""),15054.0)</f>
        <v>15054</v>
      </c>
      <c r="AF1643" s="14">
        <f>IFERROR(__xludf.DUMMYFUNCTION("""COMPUTED_VALUE"""),49541.0)</f>
        <v>49541</v>
      </c>
    </row>
    <row r="1644">
      <c r="A1644" s="12">
        <v>1643.0</v>
      </c>
      <c r="B1644" s="12" t="s">
        <v>205</v>
      </c>
      <c r="C1644" s="5" t="s">
        <v>77</v>
      </c>
      <c r="D1644" s="8"/>
      <c r="E1644" s="11">
        <v>12.0</v>
      </c>
      <c r="F1644" s="8"/>
      <c r="G1644" s="8"/>
      <c r="H1644" s="11">
        <v>0.116</v>
      </c>
      <c r="I1644" s="11">
        <v>0.313</v>
      </c>
      <c r="J1644" s="9" t="s">
        <v>65</v>
      </c>
      <c r="K1644" s="14" t="str">
        <f>IFERROR(__xludf.DUMMYFUNCTION("ARRAYFORMULA(VLOOKUP(A1644,IMPORTRANGE(""https://docs.google.com/spreadsheets/d/1BuTWp7qHGjWhqrnf-OmePP568O4A5Am9ttzvVdP67zw/edit#gid=1603210130"", ""TOURISM!$A$2:$F$2692""), {2,3,4,5,6},0))"),"Africa")</f>
        <v>Africa</v>
      </c>
      <c r="L1644" s="14">
        <f>IFERROR(__xludf.DUMMYFUNCTION("""COMPUTED_VALUE"""),4.54E9)</f>
        <v>4540000000</v>
      </c>
      <c r="M1644" s="14" t="str">
        <f>IFERROR(__xludf.DUMMYFUNCTION("""COMPUTED_VALUE"""),"Morocco-Africa")</f>
        <v>Morocco-Africa</v>
      </c>
      <c r="N1644" s="14" t="str">
        <f>IFERROR(__xludf.DUMMYFUNCTION("""COMPUTED_VALUE"""),"2004")</f>
        <v>2004</v>
      </c>
      <c r="O1644" s="14">
        <f>IFERROR(__xludf.DUMMYFUNCTION("""COMPUTED_VALUE"""),9.12E8)</f>
        <v>912000000</v>
      </c>
      <c r="P1644" s="15">
        <f>IFERROR(__xludf.DUMMYFUNCTION("ARRAYFORMULA(VLOOKUP(A1644,IMPORTRANGE(""https://docs.google.com/spreadsheets/d/1BuTWp7qHGjWhqrnf-OmePP568O4A5Am9ttzvVdP67zw/edit#gid=771602874"" ,""HUMAN RESOURCES!$A$2:$M$2692""), {2,3,4,5,6,7,8,9,10,11,12,13},0))"),0.02)</f>
        <v>0.02</v>
      </c>
      <c r="Q1644" s="14">
        <f>IFERROR(__xludf.DUMMYFUNCTION("""COMPUTED_VALUE"""),0.037)</f>
        <v>0.037</v>
      </c>
      <c r="R1644" s="14">
        <f>IFERROR(__xludf.DUMMYFUNCTION("""COMPUTED_VALUE"""),71.0)</f>
        <v>71</v>
      </c>
      <c r="S1644" s="14">
        <f>IFERROR(__xludf.DUMMYFUNCTION("""COMPUTED_VALUE"""),67.0)</f>
        <v>67</v>
      </c>
      <c r="T1644" s="14">
        <f>IFERROR(__xludf.DUMMYFUNCTION("""COMPUTED_VALUE"""),0.314)</f>
        <v>0.314</v>
      </c>
      <c r="U1644" s="14">
        <f>IFERROR(__xludf.DUMMYFUNCTION("""COMPUTED_VALUE"""),0.636)</f>
        <v>0.636</v>
      </c>
      <c r="V1644" s="14">
        <f>IFERROR(__xludf.DUMMYFUNCTION("""COMPUTED_VALUE"""),0.049)</f>
        <v>0.049</v>
      </c>
      <c r="W1644" s="14">
        <f>IFERROR(__xludf.DUMMYFUNCTION("""COMPUTED_VALUE"""),2.985582E7)</f>
        <v>29855820</v>
      </c>
      <c r="X1644" s="14">
        <f>IFERROR(__xludf.DUMMYFUNCTION("""COMPUTED_VALUE"""),0.546)</f>
        <v>0.546</v>
      </c>
      <c r="Y1644" s="14" t="str">
        <f>IFERROR(__xludf.DUMMYFUNCTION("""COMPUTED_VALUE"""),"Morocco-Africa")</f>
        <v>Morocco-Africa</v>
      </c>
      <c r="Z1644" s="14" t="str">
        <f>IFERROR(__xludf.DUMMYFUNCTION("""COMPUTED_VALUE"""),"Africa")</f>
        <v>Africa</v>
      </c>
      <c r="AA1644" s="14" t="str">
        <f>IFERROR(__xludf.DUMMYFUNCTION("""COMPUTED_VALUE"""),"2004")</f>
        <v>2004</v>
      </c>
      <c r="AB1644" s="15" t="str">
        <f>IFERROR(__xludf.DUMMYFUNCTION("ARRAYFORMULA(VLOOKUP(A1644,IMPORTRANGE(""https://docs.google.com/spreadsheets/d/1BuTWp7qHGjWhqrnf-OmePP568O4A5Am9ttzvVdP67zw/edit#gid=1931367683"" ,""ENERGY!$A$2:$F$2692""), {2,3,4,5,6},0))"),"Africa")</f>
        <v>Africa</v>
      </c>
      <c r="AC1644" s="14" t="str">
        <f>IFERROR(__xludf.DUMMYFUNCTION("""COMPUTED_VALUE"""),"Morocco-Africa")</f>
        <v>Morocco-Africa</v>
      </c>
      <c r="AD1644" s="14" t="str">
        <f>IFERROR(__xludf.DUMMYFUNCTION("""COMPUTED_VALUE"""),"2004")</f>
        <v>2004</v>
      </c>
      <c r="AE1644" s="14">
        <f>IFERROR(__xludf.DUMMYFUNCTION("""COMPUTED_VALUE"""),14933.0)</f>
        <v>14933</v>
      </c>
      <c r="AF1644" s="14">
        <f>IFERROR(__xludf.DUMMYFUNCTION("""COMPUTED_VALUE"""),49934.0)</f>
        <v>49934</v>
      </c>
    </row>
    <row r="1645">
      <c r="A1645" s="12">
        <v>1644.0</v>
      </c>
      <c r="B1645" s="12" t="s">
        <v>205</v>
      </c>
      <c r="C1645" s="5" t="s">
        <v>77</v>
      </c>
      <c r="D1645" s="11">
        <v>0.517</v>
      </c>
      <c r="E1645" s="11">
        <v>12.0</v>
      </c>
      <c r="F1645" s="8"/>
      <c r="G1645" s="11">
        <v>358.0</v>
      </c>
      <c r="H1645" s="11">
        <v>0.151</v>
      </c>
      <c r="I1645" s="11">
        <v>0.411</v>
      </c>
      <c r="J1645" s="9" t="s">
        <v>66</v>
      </c>
      <c r="K1645" s="14" t="str">
        <f>IFERROR(__xludf.DUMMYFUNCTION("ARRAYFORMULA(VLOOKUP(A1645,IMPORTRANGE(""https://docs.google.com/spreadsheets/d/1BuTWp7qHGjWhqrnf-OmePP568O4A5Am9ttzvVdP67zw/edit#gid=1603210130"", ""TOURISM!$A$2:$F$2692""), {2,3,4,5,6},0))"),"Africa")</f>
        <v>Africa</v>
      </c>
      <c r="L1645" s="14">
        <f>IFERROR(__xludf.DUMMYFUNCTION("""COMPUTED_VALUE"""),5.426E9)</f>
        <v>5426000000</v>
      </c>
      <c r="M1645" s="14" t="str">
        <f>IFERROR(__xludf.DUMMYFUNCTION("""COMPUTED_VALUE"""),"Morocco-Africa")</f>
        <v>Morocco-Africa</v>
      </c>
      <c r="N1645" s="14" t="str">
        <f>IFERROR(__xludf.DUMMYFUNCTION("""COMPUTED_VALUE"""),"2005")</f>
        <v>2005</v>
      </c>
      <c r="O1645" s="14">
        <f>IFERROR(__xludf.DUMMYFUNCTION("""COMPUTED_VALUE"""),9.99E8)</f>
        <v>999000000</v>
      </c>
      <c r="P1645" s="15">
        <f>IFERROR(__xludf.DUMMYFUNCTION("ARRAYFORMULA(VLOOKUP(A1645,IMPORTRANGE(""https://docs.google.com/spreadsheets/d/1BuTWp7qHGjWhqrnf-OmePP568O4A5Am9ttzvVdP67zw/edit#gid=771602874"" ,""HUMAN RESOURCES!$A$2:$M$2692""), {2,3,4,5,6,7,8,9,10,11,12,13},0))"),0.02)</f>
        <v>0.02</v>
      </c>
      <c r="Q1645" s="14">
        <f>IFERROR(__xludf.DUMMYFUNCTION("""COMPUTED_VALUE"""),0.035)</f>
        <v>0.035</v>
      </c>
      <c r="R1645" s="14">
        <f>IFERROR(__xludf.DUMMYFUNCTION("""COMPUTED_VALUE"""),71.0)</f>
        <v>71</v>
      </c>
      <c r="S1645" s="14">
        <f>IFERROR(__xludf.DUMMYFUNCTION("""COMPUTED_VALUE"""),67.0)</f>
        <v>67</v>
      </c>
      <c r="T1645" s="14">
        <f>IFERROR(__xludf.DUMMYFUNCTION("""COMPUTED_VALUE"""),0.308)</f>
        <v>0.308</v>
      </c>
      <c r="U1645" s="14">
        <f>IFERROR(__xludf.DUMMYFUNCTION("""COMPUTED_VALUE"""),0.642)</f>
        <v>0.642</v>
      </c>
      <c r="V1645" s="14">
        <f>IFERROR(__xludf.DUMMYFUNCTION("""COMPUTED_VALUE"""),0.05)</f>
        <v>0.05</v>
      </c>
      <c r="W1645" s="14">
        <f>IFERROR(__xludf.DUMMYFUNCTION("""COMPUTED_VALUE"""),3.0125445E7)</f>
        <v>30125445</v>
      </c>
      <c r="X1645" s="14">
        <f>IFERROR(__xludf.DUMMYFUNCTION("""COMPUTED_VALUE"""),0.551)</f>
        <v>0.551</v>
      </c>
      <c r="Y1645" s="14" t="str">
        <f>IFERROR(__xludf.DUMMYFUNCTION("""COMPUTED_VALUE"""),"Morocco-Africa")</f>
        <v>Morocco-Africa</v>
      </c>
      <c r="Z1645" s="14" t="str">
        <f>IFERROR(__xludf.DUMMYFUNCTION("""COMPUTED_VALUE"""),"Africa")</f>
        <v>Africa</v>
      </c>
      <c r="AA1645" s="14" t="str">
        <f>IFERROR(__xludf.DUMMYFUNCTION("""COMPUTED_VALUE"""),"2005")</f>
        <v>2005</v>
      </c>
      <c r="AB1645" s="15" t="str">
        <f>IFERROR(__xludf.DUMMYFUNCTION("ARRAYFORMULA(VLOOKUP(A1645,IMPORTRANGE(""https://docs.google.com/spreadsheets/d/1BuTWp7qHGjWhqrnf-OmePP568O4A5Am9ttzvVdP67zw/edit#gid=1931367683"" ,""ENERGY!$A$2:$F$2692""), {2,3,4,5,6},0))"),"Africa")</f>
        <v>Africa</v>
      </c>
      <c r="AC1645" s="14" t="str">
        <f>IFERROR(__xludf.DUMMYFUNCTION("""COMPUTED_VALUE"""),"Morocco-Africa")</f>
        <v>Morocco-Africa</v>
      </c>
      <c r="AD1645" s="14" t="str">
        <f>IFERROR(__xludf.DUMMYFUNCTION("""COMPUTED_VALUE"""),"2008")</f>
        <v>2008</v>
      </c>
      <c r="AE1645" s="14">
        <f>IFERROR(__xludf.DUMMYFUNCTION("""COMPUTED_VALUE"""),14457.0)</f>
        <v>14457</v>
      </c>
      <c r="AF1645" s="14">
        <f>IFERROR(__xludf.DUMMYFUNCTION("""COMPUTED_VALUE"""),50267.0)</f>
        <v>50267</v>
      </c>
    </row>
    <row r="1646">
      <c r="A1646" s="12">
        <v>1645.0</v>
      </c>
      <c r="B1646" s="12" t="s">
        <v>205</v>
      </c>
      <c r="C1646" s="5" t="s">
        <v>77</v>
      </c>
      <c r="D1646" s="11">
        <v>0.517</v>
      </c>
      <c r="E1646" s="11">
        <v>12.0</v>
      </c>
      <c r="F1646" s="8"/>
      <c r="G1646" s="11">
        <v>358.0</v>
      </c>
      <c r="H1646" s="11">
        <v>0.198</v>
      </c>
      <c r="I1646" s="11">
        <v>0.527</v>
      </c>
      <c r="J1646" s="9" t="s">
        <v>67</v>
      </c>
      <c r="K1646" s="14" t="str">
        <f>IFERROR(__xludf.DUMMYFUNCTION("ARRAYFORMULA(VLOOKUP(A1646,IMPORTRANGE(""https://docs.google.com/spreadsheets/d/1BuTWp7qHGjWhqrnf-OmePP568O4A5Am9ttzvVdP67zw/edit#gid=1603210130"", ""TOURISM!$A$2:$F$2692""), {2,3,4,5,6},0))"),"Africa")</f>
        <v>Africa</v>
      </c>
      <c r="L1646" s="14">
        <f>IFERROR(__xludf.DUMMYFUNCTION("""COMPUTED_VALUE"""),6.9E9)</f>
        <v>6900000000</v>
      </c>
      <c r="M1646" s="14" t="str">
        <f>IFERROR(__xludf.DUMMYFUNCTION("""COMPUTED_VALUE"""),"Morocco-Africa")</f>
        <v>Morocco-Africa</v>
      </c>
      <c r="N1646" s="14" t="str">
        <f>IFERROR(__xludf.DUMMYFUNCTION("""COMPUTED_VALUE"""),"2006")</f>
        <v>2006</v>
      </c>
      <c r="O1646" s="14">
        <f>IFERROR(__xludf.DUMMYFUNCTION("""COMPUTED_VALUE"""),1.113E9)</f>
        <v>1113000000</v>
      </c>
      <c r="P1646" s="15">
        <f>IFERROR(__xludf.DUMMYFUNCTION("ARRAYFORMULA(VLOOKUP(A1646,IMPORTRANGE(""https://docs.google.com/spreadsheets/d/1BuTWp7qHGjWhqrnf-OmePP568O4A5Am9ttzvVdP67zw/edit#gid=771602874"" ,""HUMAN RESOURCES!$A$2:$M$2692""), {2,3,4,5,6,7,8,9,10,11,12,13},0))"),0.02)</f>
        <v>0.02</v>
      </c>
      <c r="Q1646" s="14">
        <f>IFERROR(__xludf.DUMMYFUNCTION("""COMPUTED_VALUE"""),0.034)</f>
        <v>0.034</v>
      </c>
      <c r="R1646" s="14">
        <f>IFERROR(__xludf.DUMMYFUNCTION("""COMPUTED_VALUE"""),71.0)</f>
        <v>71</v>
      </c>
      <c r="S1646" s="14">
        <f>IFERROR(__xludf.DUMMYFUNCTION("""COMPUTED_VALUE"""),68.0)</f>
        <v>68</v>
      </c>
      <c r="T1646" s="14">
        <f>IFERROR(__xludf.DUMMYFUNCTION("""COMPUTED_VALUE"""),0.302)</f>
        <v>0.302</v>
      </c>
      <c r="U1646" s="14">
        <f>IFERROR(__xludf.DUMMYFUNCTION("""COMPUTED_VALUE"""),0.648)</f>
        <v>0.648</v>
      </c>
      <c r="V1646" s="14">
        <f>IFERROR(__xludf.DUMMYFUNCTION("""COMPUTED_VALUE"""),0.05)</f>
        <v>0.05</v>
      </c>
      <c r="W1646" s="14">
        <f>IFERROR(__xludf.DUMMYFUNCTION("""COMPUTED_VALUE"""),3.0395097E7)</f>
        <v>30395097</v>
      </c>
      <c r="X1646" s="14">
        <f>IFERROR(__xludf.DUMMYFUNCTION("""COMPUTED_VALUE"""),0.556)</f>
        <v>0.556</v>
      </c>
      <c r="Y1646" s="14" t="str">
        <f>IFERROR(__xludf.DUMMYFUNCTION("""COMPUTED_VALUE"""),"Morocco-Africa")</f>
        <v>Morocco-Africa</v>
      </c>
      <c r="Z1646" s="14" t="str">
        <f>IFERROR(__xludf.DUMMYFUNCTION("""COMPUTED_VALUE"""),"Africa")</f>
        <v>Africa</v>
      </c>
      <c r="AA1646" s="14" t="str">
        <f>IFERROR(__xludf.DUMMYFUNCTION("""COMPUTED_VALUE"""),"2006")</f>
        <v>2006</v>
      </c>
      <c r="AB1646" s="15" t="str">
        <f>IFERROR(__xludf.DUMMYFUNCTION("ARRAYFORMULA(VLOOKUP(A1646,IMPORTRANGE(""https://docs.google.com/spreadsheets/d/1BuTWp7qHGjWhqrnf-OmePP568O4A5Am9ttzvVdP67zw/edit#gid=1931367683"" ,""ENERGY!$A$2:$F$2692""), {2,3,4,5,6},0))"),"Africa")</f>
        <v>Africa</v>
      </c>
      <c r="AC1646" s="14" t="str">
        <f>IFERROR(__xludf.DUMMYFUNCTION("""COMPUTED_VALUE"""),"Morocco-Africa")</f>
        <v>Morocco-Africa</v>
      </c>
      <c r="AD1646" s="14" t="str">
        <f>IFERROR(__xludf.DUMMYFUNCTION("""COMPUTED_VALUE"""),"2011")</f>
        <v>2011</v>
      </c>
      <c r="AE1646" s="14">
        <f>IFERROR(__xludf.DUMMYFUNCTION("""COMPUTED_VALUE"""),13648.0)</f>
        <v>13648</v>
      </c>
      <c r="AF1646" s="14">
        <f>IFERROR(__xludf.DUMMYFUNCTION("""COMPUTED_VALUE"""),47425.0)</f>
        <v>47425</v>
      </c>
    </row>
    <row r="1647">
      <c r="A1647" s="12">
        <v>1646.0</v>
      </c>
      <c r="B1647" s="12" t="s">
        <v>205</v>
      </c>
      <c r="C1647" s="5" t="s">
        <v>77</v>
      </c>
      <c r="D1647" s="11">
        <v>0.444</v>
      </c>
      <c r="E1647" s="11">
        <v>12.0</v>
      </c>
      <c r="F1647" s="8"/>
      <c r="G1647" s="11">
        <v>358.0</v>
      </c>
      <c r="H1647" s="11">
        <v>0.215</v>
      </c>
      <c r="I1647" s="11">
        <v>0.653</v>
      </c>
      <c r="J1647" s="9" t="s">
        <v>68</v>
      </c>
      <c r="K1647" s="14" t="str">
        <f>IFERROR(__xludf.DUMMYFUNCTION("ARRAYFORMULA(VLOOKUP(A1647,IMPORTRANGE(""https://docs.google.com/spreadsheets/d/1BuTWp7qHGjWhqrnf-OmePP568O4A5Am9ttzvVdP67zw/edit#gid=1603210130"", ""TOURISM!$A$2:$F$2692""), {2,3,4,5,6},0))"),"Africa")</f>
        <v>Africa</v>
      </c>
      <c r="L1647" s="14">
        <f>IFERROR(__xludf.DUMMYFUNCTION("""COMPUTED_VALUE"""),8.307E9)</f>
        <v>8307000000</v>
      </c>
      <c r="M1647" s="14" t="str">
        <f>IFERROR(__xludf.DUMMYFUNCTION("""COMPUTED_VALUE"""),"Morocco-Africa")</f>
        <v>Morocco-Africa</v>
      </c>
      <c r="N1647" s="14" t="str">
        <f>IFERROR(__xludf.DUMMYFUNCTION("""COMPUTED_VALUE"""),"2007")</f>
        <v>2007</v>
      </c>
      <c r="O1647" s="14">
        <f>IFERROR(__xludf.DUMMYFUNCTION("""COMPUTED_VALUE"""),1.418E9)</f>
        <v>1418000000</v>
      </c>
      <c r="P1647" s="15">
        <f>IFERROR(__xludf.DUMMYFUNCTION("ARRAYFORMULA(VLOOKUP(A1647,IMPORTRANGE(""https://docs.google.com/spreadsheets/d/1BuTWp7qHGjWhqrnf-OmePP568O4A5Am9ttzvVdP67zw/edit#gid=771602874"" ,""HUMAN RESOURCES!$A$2:$M$2692""), {2,3,4,5,6,7,8,9,10,11,12,13},0))"),0.02)</f>
        <v>0.02</v>
      </c>
      <c r="Q1647" s="14">
        <f>IFERROR(__xludf.DUMMYFUNCTION("""COMPUTED_VALUE"""),0.033)</f>
        <v>0.033</v>
      </c>
      <c r="R1647" s="14">
        <f>IFERROR(__xludf.DUMMYFUNCTION("""COMPUTED_VALUE"""),71.0)</f>
        <v>71</v>
      </c>
      <c r="S1647" s="14">
        <f>IFERROR(__xludf.DUMMYFUNCTION("""COMPUTED_VALUE"""),68.0)</f>
        <v>68</v>
      </c>
      <c r="T1647" s="14">
        <f>IFERROR(__xludf.DUMMYFUNCTION("""COMPUTED_VALUE"""),0.295)</f>
        <v>0.295</v>
      </c>
      <c r="U1647" s="14">
        <f>IFERROR(__xludf.DUMMYFUNCTION("""COMPUTED_VALUE"""),0.654)</f>
        <v>0.654</v>
      </c>
      <c r="V1647" s="14">
        <f>IFERROR(__xludf.DUMMYFUNCTION("""COMPUTED_VALUE"""),0.05)</f>
        <v>0.05</v>
      </c>
      <c r="W1647" s="14">
        <f>IFERROR(__xludf.DUMMYFUNCTION("""COMPUTED_VALUE"""),3.0667086E7)</f>
        <v>30667086</v>
      </c>
      <c r="X1647" s="14">
        <f>IFERROR(__xludf.DUMMYFUNCTION("""COMPUTED_VALUE"""),0.562)</f>
        <v>0.562</v>
      </c>
      <c r="Y1647" s="14" t="str">
        <f>IFERROR(__xludf.DUMMYFUNCTION("""COMPUTED_VALUE"""),"Morocco-Africa")</f>
        <v>Morocco-Africa</v>
      </c>
      <c r="Z1647" s="14" t="str">
        <f>IFERROR(__xludf.DUMMYFUNCTION("""COMPUTED_VALUE"""),"Africa")</f>
        <v>Africa</v>
      </c>
      <c r="AA1647" s="14" t="str">
        <f>IFERROR(__xludf.DUMMYFUNCTION("""COMPUTED_VALUE"""),"2007")</f>
        <v>2007</v>
      </c>
      <c r="AB1647" s="15" t="str">
        <f>IFERROR(__xludf.DUMMYFUNCTION("ARRAYFORMULA(VLOOKUP(A1647,IMPORTRANGE(""https://docs.google.com/spreadsheets/d/1BuTWp7qHGjWhqrnf-OmePP568O4A5Am9ttzvVdP67zw/edit#gid=1931367683"" ,""ENERGY!$A$2:$F$2692""), {2,3,4,5,6},0))"),"Africa")</f>
        <v>Africa</v>
      </c>
      <c r="AC1647" s="14" t="str">
        <f>IFERROR(__xludf.DUMMYFUNCTION("""COMPUTED_VALUE"""),"Morocco-Africa")</f>
        <v>Morocco-Africa</v>
      </c>
      <c r="AD1647" s="14" t="str">
        <f>IFERROR(__xludf.DUMMYFUNCTION("""COMPUTED_VALUE"""),"2009")</f>
        <v>2009</v>
      </c>
      <c r="AE1647" s="14">
        <f>IFERROR(__xludf.DUMMYFUNCTION("""COMPUTED_VALUE"""),13327.0)</f>
        <v>13327</v>
      </c>
      <c r="AF1647" s="14">
        <f>IFERROR(__xludf.DUMMYFUNCTION("""COMPUTED_VALUE"""),45771.0)</f>
        <v>45771</v>
      </c>
    </row>
    <row r="1648">
      <c r="A1648" s="12">
        <v>1647.0</v>
      </c>
      <c r="B1648" s="12" t="s">
        <v>205</v>
      </c>
      <c r="C1648" s="5" t="s">
        <v>77</v>
      </c>
      <c r="D1648" s="11">
        <v>0.529</v>
      </c>
      <c r="E1648" s="11">
        <v>12.0</v>
      </c>
      <c r="F1648" s="8"/>
      <c r="G1648" s="11">
        <v>358.0</v>
      </c>
      <c r="H1648" s="11">
        <v>0.331</v>
      </c>
      <c r="I1648" s="11">
        <v>0.737</v>
      </c>
      <c r="J1648" s="9" t="s">
        <v>69</v>
      </c>
      <c r="K1648" s="14" t="str">
        <f>IFERROR(__xludf.DUMMYFUNCTION("ARRAYFORMULA(VLOOKUP(A1648,IMPORTRANGE(""https://docs.google.com/spreadsheets/d/1BuTWp7qHGjWhqrnf-OmePP568O4A5Am9ttzvVdP67zw/edit#gid=1603210130"", ""TOURISM!$A$2:$F$2692""), {2,3,4,5,6},0))"),"Africa")</f>
        <v>Africa</v>
      </c>
      <c r="L1648" s="14">
        <f>IFERROR(__xludf.DUMMYFUNCTION("""COMPUTED_VALUE"""),8.885E9)</f>
        <v>8885000000</v>
      </c>
      <c r="M1648" s="14" t="str">
        <f>IFERROR(__xludf.DUMMYFUNCTION("""COMPUTED_VALUE"""),"Morocco-Africa")</f>
        <v>Morocco-Africa</v>
      </c>
      <c r="N1648" s="14" t="str">
        <f>IFERROR(__xludf.DUMMYFUNCTION("""COMPUTED_VALUE"""),"2008")</f>
        <v>2008</v>
      </c>
      <c r="O1648" s="14">
        <f>IFERROR(__xludf.DUMMYFUNCTION("""COMPUTED_VALUE"""),1.91E9)</f>
        <v>1910000000</v>
      </c>
      <c r="P1648" s="15">
        <f>IFERROR(__xludf.DUMMYFUNCTION("ARRAYFORMULA(VLOOKUP(A1648,IMPORTRANGE(""https://docs.google.com/spreadsheets/d/1BuTWp7qHGjWhqrnf-OmePP568O4A5Am9ttzvVdP67zw/edit#gid=771602874"" ,""HUMAN RESOURCES!$A$2:$M$2692""), {2,3,4,5,6,7,8,9,10,11,12,13},0))"),0.021)</f>
        <v>0.021</v>
      </c>
      <c r="Q1648" s="14">
        <f>IFERROR(__xludf.DUMMYFUNCTION("""COMPUTED_VALUE"""),0.031)</f>
        <v>0.031</v>
      </c>
      <c r="R1648" s="14">
        <f>IFERROR(__xludf.DUMMYFUNCTION("""COMPUTED_VALUE"""),71.0)</f>
        <v>71</v>
      </c>
      <c r="S1648" s="14">
        <f>IFERROR(__xludf.DUMMYFUNCTION("""COMPUTED_VALUE"""),68.0)</f>
        <v>68</v>
      </c>
      <c r="T1648" s="14">
        <f>IFERROR(__xludf.DUMMYFUNCTION("""COMPUTED_VALUE"""),0.289)</f>
        <v>0.289</v>
      </c>
      <c r="U1648" s="14">
        <f>IFERROR(__xludf.DUMMYFUNCTION("""COMPUTED_VALUE"""),0.66)</f>
        <v>0.66</v>
      </c>
      <c r="V1648" s="14">
        <f>IFERROR(__xludf.DUMMYFUNCTION("""COMPUTED_VALUE"""),0.05)</f>
        <v>0.05</v>
      </c>
      <c r="W1648" s="14">
        <f>IFERROR(__xludf.DUMMYFUNCTION("""COMPUTED_VALUE"""),3.0955151E7)</f>
        <v>30955151</v>
      </c>
      <c r="X1648" s="14">
        <f>IFERROR(__xludf.DUMMYFUNCTION("""COMPUTED_VALUE"""),0.567)</f>
        <v>0.567</v>
      </c>
      <c r="Y1648" s="14" t="str">
        <f>IFERROR(__xludf.DUMMYFUNCTION("""COMPUTED_VALUE"""),"Morocco-Africa")</f>
        <v>Morocco-Africa</v>
      </c>
      <c r="Z1648" s="14" t="str">
        <f>IFERROR(__xludf.DUMMYFUNCTION("""COMPUTED_VALUE"""),"Africa")</f>
        <v>Africa</v>
      </c>
      <c r="AA1648" s="14" t="str">
        <f>IFERROR(__xludf.DUMMYFUNCTION("""COMPUTED_VALUE"""),"2008")</f>
        <v>2008</v>
      </c>
      <c r="AB1648" s="15" t="str">
        <f>IFERROR(__xludf.DUMMYFUNCTION("ARRAYFORMULA(VLOOKUP(A1648,IMPORTRANGE(""https://docs.google.com/spreadsheets/d/1BuTWp7qHGjWhqrnf-OmePP568O4A5Am9ttzvVdP67zw/edit#gid=1931367683"" ,""ENERGY!$A$2:$F$2692""), {2,3,4,5,6},0))"),"Africa")</f>
        <v>Africa</v>
      </c>
      <c r="AC1648" s="14" t="str">
        <f>IFERROR(__xludf.DUMMYFUNCTION("""COMPUTED_VALUE"""),"Morocco-Africa")</f>
        <v>Morocco-Africa</v>
      </c>
      <c r="AD1648" s="14" t="str">
        <f>IFERROR(__xludf.DUMMYFUNCTION("""COMPUTED_VALUE"""),"2006")</f>
        <v>2006</v>
      </c>
      <c r="AE1648" s="14">
        <f>IFERROR(__xludf.DUMMYFUNCTION("""COMPUTED_VALUE"""),12221.0)</f>
        <v>12221</v>
      </c>
      <c r="AF1648" s="14">
        <f>IFERROR(__xludf.DUMMYFUNCTION("""COMPUTED_VALUE"""),43311.0)</f>
        <v>43311</v>
      </c>
    </row>
    <row r="1649">
      <c r="A1649" s="12">
        <v>1648.0</v>
      </c>
      <c r="B1649" s="12" t="s">
        <v>205</v>
      </c>
      <c r="C1649" s="5" t="s">
        <v>77</v>
      </c>
      <c r="D1649" s="11">
        <v>0.493</v>
      </c>
      <c r="E1649" s="11">
        <v>12.0</v>
      </c>
      <c r="F1649" s="8"/>
      <c r="G1649" s="11">
        <v>358.0</v>
      </c>
      <c r="H1649" s="11">
        <v>0.413</v>
      </c>
      <c r="I1649" s="11">
        <v>0.809</v>
      </c>
      <c r="J1649" s="9" t="s">
        <v>70</v>
      </c>
      <c r="K1649" s="14" t="str">
        <f>IFERROR(__xludf.DUMMYFUNCTION("ARRAYFORMULA(VLOOKUP(A1649,IMPORTRANGE(""https://docs.google.com/spreadsheets/d/1BuTWp7qHGjWhqrnf-OmePP568O4A5Am9ttzvVdP67zw/edit#gid=1603210130"", ""TOURISM!$A$2:$F$2692""), {2,3,4,5,6},0))"),"Africa")</f>
        <v>Africa</v>
      </c>
      <c r="L1649" s="14">
        <f>IFERROR(__xludf.DUMMYFUNCTION("""COMPUTED_VALUE"""),7.98E9)</f>
        <v>7980000000</v>
      </c>
      <c r="M1649" s="14" t="str">
        <f>IFERROR(__xludf.DUMMYFUNCTION("""COMPUTED_VALUE"""),"Morocco-Africa")</f>
        <v>Morocco-Africa</v>
      </c>
      <c r="N1649" s="14" t="str">
        <f>IFERROR(__xludf.DUMMYFUNCTION("""COMPUTED_VALUE"""),"2009")</f>
        <v>2009</v>
      </c>
      <c r="O1649" s="14">
        <f>IFERROR(__xludf.DUMMYFUNCTION("""COMPUTED_VALUE"""),1.713E9)</f>
        <v>1713000000</v>
      </c>
      <c r="P1649" s="15">
        <f>IFERROR(__xludf.DUMMYFUNCTION("ARRAYFORMULA(VLOOKUP(A1649,IMPORTRANGE(""https://docs.google.com/spreadsheets/d/1BuTWp7qHGjWhqrnf-OmePP568O4A5Am9ttzvVdP67zw/edit#gid=771602874"" ,""HUMAN RESOURCES!$A$2:$M$2692""), {2,3,4,5,6,7,8,9,10,11,12,13},0))"),0.021)</f>
        <v>0.021</v>
      </c>
      <c r="Q1649" s="14">
        <f>IFERROR(__xludf.DUMMYFUNCTION("""COMPUTED_VALUE"""),0.03)</f>
        <v>0.03</v>
      </c>
      <c r="R1649" s="14">
        <f>IFERROR(__xludf.DUMMYFUNCTION("""COMPUTED_VALUE"""),72.0)</f>
        <v>72</v>
      </c>
      <c r="S1649" s="14">
        <f>IFERROR(__xludf.DUMMYFUNCTION("""COMPUTED_VALUE"""),68.0)</f>
        <v>68</v>
      </c>
      <c r="T1649" s="14">
        <f>IFERROR(__xludf.DUMMYFUNCTION("""COMPUTED_VALUE"""),0.285)</f>
        <v>0.285</v>
      </c>
      <c r="U1649" s="14">
        <f>IFERROR(__xludf.DUMMYFUNCTION("""COMPUTED_VALUE"""),0.665)</f>
        <v>0.665</v>
      </c>
      <c r="V1649" s="14">
        <f>IFERROR(__xludf.DUMMYFUNCTION("""COMPUTED_VALUE"""),0.05)</f>
        <v>0.05</v>
      </c>
      <c r="W1649" s="14">
        <f>IFERROR(__xludf.DUMMYFUNCTION("""COMPUTED_VALUE"""),3.1276564E7)</f>
        <v>31276564</v>
      </c>
      <c r="X1649" s="14">
        <f>IFERROR(__xludf.DUMMYFUNCTION("""COMPUTED_VALUE"""),0.572)</f>
        <v>0.572</v>
      </c>
      <c r="Y1649" s="14" t="str">
        <f>IFERROR(__xludf.DUMMYFUNCTION("""COMPUTED_VALUE"""),"Morocco-Africa")</f>
        <v>Morocco-Africa</v>
      </c>
      <c r="Z1649" s="14" t="str">
        <f>IFERROR(__xludf.DUMMYFUNCTION("""COMPUTED_VALUE"""),"Africa")</f>
        <v>Africa</v>
      </c>
      <c r="AA1649" s="14" t="str">
        <f>IFERROR(__xludf.DUMMYFUNCTION("""COMPUTED_VALUE"""),"2009")</f>
        <v>2009</v>
      </c>
      <c r="AB1649" s="15" t="str">
        <f>IFERROR(__xludf.DUMMYFUNCTION("ARRAYFORMULA(VLOOKUP(A1649,IMPORTRANGE(""https://docs.google.com/spreadsheets/d/1BuTWp7qHGjWhqrnf-OmePP568O4A5Am9ttzvVdP67zw/edit#gid=1931367683"" ,""ENERGY!$A$2:$F$2692""), {2,3,4,5,6},0))"),"Africa")</f>
        <v>Africa</v>
      </c>
      <c r="AC1649" s="14" t="str">
        <f>IFERROR(__xludf.DUMMYFUNCTION("""COMPUTED_VALUE"""),"Morocco-Africa")</f>
        <v>Morocco-Africa</v>
      </c>
      <c r="AD1649" s="14" t="str">
        <f>IFERROR(__xludf.DUMMYFUNCTION("""COMPUTED_VALUE"""),"2011")</f>
        <v>2011</v>
      </c>
      <c r="AE1649" s="14">
        <f>IFERROR(__xludf.DUMMYFUNCTION("""COMPUTED_VALUE"""),11018.0)</f>
        <v>11018</v>
      </c>
      <c r="AF1649" s="14">
        <f>IFERROR(__xludf.DUMMYFUNCTION("""COMPUTED_VALUE"""),37561.0)</f>
        <v>37561</v>
      </c>
    </row>
    <row r="1650">
      <c r="A1650" s="12">
        <v>1649.0</v>
      </c>
      <c r="B1650" s="12" t="s">
        <v>205</v>
      </c>
      <c r="C1650" s="5" t="s">
        <v>77</v>
      </c>
      <c r="D1650" s="11">
        <v>0.496</v>
      </c>
      <c r="E1650" s="11">
        <v>12.0</v>
      </c>
      <c r="F1650" s="8"/>
      <c r="G1650" s="11">
        <v>358.0</v>
      </c>
      <c r="H1650" s="11">
        <v>0.52</v>
      </c>
      <c r="I1650" s="11">
        <v>1.011</v>
      </c>
      <c r="J1650" s="9" t="s">
        <v>71</v>
      </c>
      <c r="K1650" s="14" t="str">
        <f>IFERROR(__xludf.DUMMYFUNCTION("ARRAYFORMULA(VLOOKUP(A1650,IMPORTRANGE(""https://docs.google.com/spreadsheets/d/1BuTWp7qHGjWhqrnf-OmePP568O4A5Am9ttzvVdP67zw/edit#gid=1603210130"", ""TOURISM!$A$2:$F$2692""), {2,3,4,5,6},0))"),"Africa")</f>
        <v>Africa</v>
      </c>
      <c r="L1650" s="14">
        <f>IFERROR(__xludf.DUMMYFUNCTION("""COMPUTED_VALUE"""),8.176E9)</f>
        <v>8176000000</v>
      </c>
      <c r="M1650" s="14" t="str">
        <f>IFERROR(__xludf.DUMMYFUNCTION("""COMPUTED_VALUE"""),"Morocco-Africa")</f>
        <v>Morocco-Africa</v>
      </c>
      <c r="N1650" s="14" t="str">
        <f>IFERROR(__xludf.DUMMYFUNCTION("""COMPUTED_VALUE"""),"2010")</f>
        <v>2010</v>
      </c>
      <c r="O1650" s="14">
        <f>IFERROR(__xludf.DUMMYFUNCTION("""COMPUTED_VALUE"""),1.879E9)</f>
        <v>1879000000</v>
      </c>
      <c r="P1650" s="15">
        <f>IFERROR(__xludf.DUMMYFUNCTION("ARRAYFORMULA(VLOOKUP(A1650,IMPORTRANGE(""https://docs.google.com/spreadsheets/d/1BuTWp7qHGjWhqrnf-OmePP568O4A5Am9ttzvVdP67zw/edit#gid=771602874"" ,""HUMAN RESOURCES!$A$2:$M$2692""), {2,3,4,5,6,7,8,9,10,11,12,13},0))"),0.022)</f>
        <v>0.022</v>
      </c>
      <c r="Q1650" s="14">
        <f>IFERROR(__xludf.DUMMYFUNCTION("""COMPUTED_VALUE"""),0.029)</f>
        <v>0.029</v>
      </c>
      <c r="R1650" s="14">
        <f>IFERROR(__xludf.DUMMYFUNCTION("""COMPUTED_VALUE"""),72.0)</f>
        <v>72</v>
      </c>
      <c r="S1650" s="14">
        <f>IFERROR(__xludf.DUMMYFUNCTION("""COMPUTED_VALUE"""),68.0)</f>
        <v>68</v>
      </c>
      <c r="T1650" s="14">
        <f>IFERROR(__xludf.DUMMYFUNCTION("""COMPUTED_VALUE"""),0.281)</f>
        <v>0.281</v>
      </c>
      <c r="U1650" s="14">
        <f>IFERROR(__xludf.DUMMYFUNCTION("""COMPUTED_VALUE"""),0.669)</f>
        <v>0.669</v>
      </c>
      <c r="V1650" s="14">
        <f>IFERROR(__xludf.DUMMYFUNCTION("""COMPUTED_VALUE"""),0.05)</f>
        <v>0.05</v>
      </c>
      <c r="W1650" s="14">
        <f>IFERROR(__xludf.DUMMYFUNCTION("""COMPUTED_VALUE"""),3.164236E7)</f>
        <v>31642360</v>
      </c>
      <c r="X1650" s="14">
        <f>IFERROR(__xludf.DUMMYFUNCTION("""COMPUTED_VALUE"""),0.577)</f>
        <v>0.577</v>
      </c>
      <c r="Y1650" s="14" t="str">
        <f>IFERROR(__xludf.DUMMYFUNCTION("""COMPUTED_VALUE"""),"Morocco-Africa")</f>
        <v>Morocco-Africa</v>
      </c>
      <c r="Z1650" s="14" t="str">
        <f>IFERROR(__xludf.DUMMYFUNCTION("""COMPUTED_VALUE"""),"Africa")</f>
        <v>Africa</v>
      </c>
      <c r="AA1650" s="14" t="str">
        <f>IFERROR(__xludf.DUMMYFUNCTION("""COMPUTED_VALUE"""),"2010")</f>
        <v>2010</v>
      </c>
      <c r="AB1650" s="15" t="str">
        <f>IFERROR(__xludf.DUMMYFUNCTION("ARRAYFORMULA(VLOOKUP(A1650,IMPORTRANGE(""https://docs.google.com/spreadsheets/d/1BuTWp7qHGjWhqrnf-OmePP568O4A5Am9ttzvVdP67zw/edit#gid=1931367683"" ,""ENERGY!$A$2:$F$2692""), {2,3,4,5,6},0))"),"Africa")</f>
        <v>Africa</v>
      </c>
      <c r="AC1650" s="14" t="str">
        <f>IFERROR(__xludf.DUMMYFUNCTION("""COMPUTED_VALUE"""),"Morocco-Africa")</f>
        <v>Morocco-Africa</v>
      </c>
      <c r="AD1650" s="14" t="str">
        <f>IFERROR(__xludf.DUMMYFUNCTION("""COMPUTED_VALUE"""),"2005")</f>
        <v>2005</v>
      </c>
      <c r="AE1650" s="14">
        <f>IFERROR(__xludf.DUMMYFUNCTION("""COMPUTED_VALUE"""),11079.0)</f>
        <v>11079</v>
      </c>
      <c r="AF1650" s="14">
        <f>IFERROR(__xludf.DUMMYFUNCTION("""COMPUTED_VALUE"""),38254.0)</f>
        <v>38254</v>
      </c>
    </row>
    <row r="1651">
      <c r="A1651" s="12">
        <v>1650.0</v>
      </c>
      <c r="B1651" s="12" t="s">
        <v>205</v>
      </c>
      <c r="C1651" s="5" t="s">
        <v>77</v>
      </c>
      <c r="D1651" s="11">
        <v>0.496</v>
      </c>
      <c r="E1651" s="11">
        <v>12.0</v>
      </c>
      <c r="F1651" s="8"/>
      <c r="G1651" s="11">
        <v>238.0</v>
      </c>
      <c r="H1651" s="11">
        <v>0.461</v>
      </c>
      <c r="I1651" s="11">
        <v>1.14</v>
      </c>
      <c r="J1651" s="9" t="s">
        <v>72</v>
      </c>
      <c r="K1651" s="14" t="str">
        <f>IFERROR(__xludf.DUMMYFUNCTION("ARRAYFORMULA(VLOOKUP(A1651,IMPORTRANGE(""https://docs.google.com/spreadsheets/d/1BuTWp7qHGjWhqrnf-OmePP568O4A5Am9ttzvVdP67zw/edit#gid=1603210130"", ""TOURISM!$A$2:$F$2692""), {2,3,4,5,6},0))"),"Africa")</f>
        <v>Africa</v>
      </c>
      <c r="L1651" s="14">
        <f>IFERROR(__xludf.DUMMYFUNCTION("""COMPUTED_VALUE"""),9.101E9)</f>
        <v>9101000000</v>
      </c>
      <c r="M1651" s="14" t="str">
        <f>IFERROR(__xludf.DUMMYFUNCTION("""COMPUTED_VALUE"""),"Morocco-Africa")</f>
        <v>Morocco-Africa</v>
      </c>
      <c r="N1651" s="14" t="str">
        <f>IFERROR(__xludf.DUMMYFUNCTION("""COMPUTED_VALUE"""),"2011")</f>
        <v>2011</v>
      </c>
      <c r="O1651" s="14">
        <f>IFERROR(__xludf.DUMMYFUNCTION("""COMPUTED_VALUE"""),2.26E9)</f>
        <v>2260000000</v>
      </c>
      <c r="P1651" s="15">
        <f>IFERROR(__xludf.DUMMYFUNCTION("ARRAYFORMULA(VLOOKUP(A1651,IMPORTRANGE(""https://docs.google.com/spreadsheets/d/1BuTWp7qHGjWhqrnf-OmePP568O4A5Am9ttzvVdP67zw/edit#gid=771602874"" ,""HUMAN RESOURCES!$A$2:$M$2692""), {2,3,4,5,6,7,8,9,10,11,12,13},0))"),0.022)</f>
        <v>0.022</v>
      </c>
      <c r="Q1651" s="14">
        <f>IFERROR(__xludf.DUMMYFUNCTION("""COMPUTED_VALUE"""),0.028)</f>
        <v>0.028</v>
      </c>
      <c r="R1651" s="14">
        <f>IFERROR(__xludf.DUMMYFUNCTION("""COMPUTED_VALUE"""),72.0)</f>
        <v>72</v>
      </c>
      <c r="S1651" s="14">
        <f>IFERROR(__xludf.DUMMYFUNCTION("""COMPUTED_VALUE"""),69.0)</f>
        <v>69</v>
      </c>
      <c r="T1651" s="14">
        <f>IFERROR(__xludf.DUMMYFUNCTION("""COMPUTED_VALUE"""),0.279)</f>
        <v>0.279</v>
      </c>
      <c r="U1651" s="14">
        <f>IFERROR(__xludf.DUMMYFUNCTION("""COMPUTED_VALUE"""),0.671)</f>
        <v>0.671</v>
      </c>
      <c r="V1651" s="14">
        <f>IFERROR(__xludf.DUMMYFUNCTION("""COMPUTED_VALUE"""),0.05)</f>
        <v>0.05</v>
      </c>
      <c r="W1651" s="14">
        <f>IFERROR(__xludf.DUMMYFUNCTION("""COMPUTED_VALUE"""),3.2059424E7)</f>
        <v>32059424</v>
      </c>
      <c r="X1651" s="14">
        <f>IFERROR(__xludf.DUMMYFUNCTION("""COMPUTED_VALUE"""),0.582)</f>
        <v>0.582</v>
      </c>
      <c r="Y1651" s="14" t="str">
        <f>IFERROR(__xludf.DUMMYFUNCTION("""COMPUTED_VALUE"""),"Morocco-Africa")</f>
        <v>Morocco-Africa</v>
      </c>
      <c r="Z1651" s="14" t="str">
        <f>IFERROR(__xludf.DUMMYFUNCTION("""COMPUTED_VALUE"""),"Africa")</f>
        <v>Africa</v>
      </c>
      <c r="AA1651" s="14" t="str">
        <f>IFERROR(__xludf.DUMMYFUNCTION("""COMPUTED_VALUE"""),"2011")</f>
        <v>2011</v>
      </c>
      <c r="AB1651" s="15" t="str">
        <f>IFERROR(__xludf.DUMMYFUNCTION("ARRAYFORMULA(VLOOKUP(A1651,IMPORTRANGE(""https://docs.google.com/spreadsheets/d/1BuTWp7qHGjWhqrnf-OmePP568O4A5Am9ttzvVdP67zw/edit#gid=1931367683"" ,""ENERGY!$A$2:$F$2692""), {2,3,4,5,6},0))"),"Africa")</f>
        <v>Africa</v>
      </c>
      <c r="AC1651" s="14" t="str">
        <f>IFERROR(__xludf.DUMMYFUNCTION("""COMPUTED_VALUE"""),"Morocco-Africa")</f>
        <v>Morocco-Africa</v>
      </c>
      <c r="AD1651" s="14" t="str">
        <f>IFERROR(__xludf.DUMMYFUNCTION("""COMPUTED_VALUE"""),"2006")</f>
        <v>2006</v>
      </c>
      <c r="AE1651" s="14">
        <f>IFERROR(__xludf.DUMMYFUNCTION("""COMPUTED_VALUE"""),10894.0)</f>
        <v>10894</v>
      </c>
      <c r="AF1651" s="14">
        <f>IFERROR(__xludf.DUMMYFUNCTION("""COMPUTED_VALUE"""),37715.0)</f>
        <v>37715</v>
      </c>
    </row>
    <row r="1652">
      <c r="A1652" s="12">
        <v>1651.0</v>
      </c>
      <c r="B1652" s="12" t="s">
        <v>205</v>
      </c>
      <c r="C1652" s="5" t="s">
        <v>77</v>
      </c>
      <c r="D1652" s="11">
        <v>0.496</v>
      </c>
      <c r="E1652" s="11">
        <v>12.0</v>
      </c>
      <c r="F1652" s="11">
        <v>95.0</v>
      </c>
      <c r="G1652" s="11">
        <v>238.0</v>
      </c>
      <c r="H1652" s="11">
        <v>0.554</v>
      </c>
      <c r="I1652" s="11">
        <v>1.2</v>
      </c>
      <c r="J1652" s="9" t="s">
        <v>73</v>
      </c>
      <c r="K1652" s="14" t="str">
        <f>IFERROR(__xludf.DUMMYFUNCTION("ARRAYFORMULA(VLOOKUP(A1652,IMPORTRANGE(""https://docs.google.com/spreadsheets/d/1BuTWp7qHGjWhqrnf-OmePP568O4A5Am9ttzvVdP67zw/edit#gid=1603210130"", ""TOURISM!$A$2:$F$2692""), {2,3,4,5,6},0))"),"Africa")</f>
        <v>Africa</v>
      </c>
      <c r="L1652" s="14">
        <f>IFERROR(__xludf.DUMMYFUNCTION("""COMPUTED_VALUE"""),8.491E9)</f>
        <v>8491000000</v>
      </c>
      <c r="M1652" s="14" t="str">
        <f>IFERROR(__xludf.DUMMYFUNCTION("""COMPUTED_VALUE"""),"Morocco-Africa")</f>
        <v>Morocco-Africa</v>
      </c>
      <c r="N1652" s="14" t="str">
        <f>IFERROR(__xludf.DUMMYFUNCTION("""COMPUTED_VALUE"""),"2012")</f>
        <v>2012</v>
      </c>
      <c r="O1652" s="14">
        <f>IFERROR(__xludf.DUMMYFUNCTION("""COMPUTED_VALUE"""),2.095E9)</f>
        <v>2095000000</v>
      </c>
      <c r="P1652" s="15">
        <f>IFERROR(__xludf.DUMMYFUNCTION("ARRAYFORMULA(VLOOKUP(A1652,IMPORTRANGE(""https://docs.google.com/spreadsheets/d/1BuTWp7qHGjWhqrnf-OmePP568O4A5Am9ttzvVdP67zw/edit#gid=771602874"" ,""HUMAN RESOURCES!$A$2:$M$2692""), {2,3,4,5,6,7,8,9,10,11,12,13},0))"),0.023)</f>
        <v>0.023</v>
      </c>
      <c r="Q1652" s="14">
        <f>IFERROR(__xludf.DUMMYFUNCTION("""COMPUTED_VALUE"""),0.027)</f>
        <v>0.027</v>
      </c>
      <c r="R1652" s="14">
        <f>IFERROR(__xludf.DUMMYFUNCTION("""COMPUTED_VALUE"""),72.0)</f>
        <v>72</v>
      </c>
      <c r="S1652" s="14">
        <f>IFERROR(__xludf.DUMMYFUNCTION("""COMPUTED_VALUE"""),69.0)</f>
        <v>69</v>
      </c>
      <c r="T1652" s="14">
        <f>IFERROR(__xludf.DUMMYFUNCTION("""COMPUTED_VALUE"""),0.278)</f>
        <v>0.278</v>
      </c>
      <c r="U1652" s="14">
        <f>IFERROR(__xludf.DUMMYFUNCTION("""COMPUTED_VALUE"""),0.672)</f>
        <v>0.672</v>
      </c>
      <c r="V1652" s="14">
        <f>IFERROR(__xludf.DUMMYFUNCTION("""COMPUTED_VALUE"""),0.05)</f>
        <v>0.05</v>
      </c>
      <c r="W1652" s="14">
        <f>IFERROR(__xludf.DUMMYFUNCTION("""COMPUTED_VALUE"""),3.2521143E7)</f>
        <v>32521143</v>
      </c>
      <c r="X1652" s="14">
        <f>IFERROR(__xludf.DUMMYFUNCTION("""COMPUTED_VALUE"""),0.587)</f>
        <v>0.587</v>
      </c>
      <c r="Y1652" s="14" t="str">
        <f>IFERROR(__xludf.DUMMYFUNCTION("""COMPUTED_VALUE"""),"Morocco-Africa")</f>
        <v>Morocco-Africa</v>
      </c>
      <c r="Z1652" s="14" t="str">
        <f>IFERROR(__xludf.DUMMYFUNCTION("""COMPUTED_VALUE"""),"Africa")</f>
        <v>Africa</v>
      </c>
      <c r="AA1652" s="14" t="str">
        <f>IFERROR(__xludf.DUMMYFUNCTION("""COMPUTED_VALUE"""),"2012")</f>
        <v>2012</v>
      </c>
      <c r="AB1652" s="15" t="str">
        <f>IFERROR(__xludf.DUMMYFUNCTION("ARRAYFORMULA(VLOOKUP(A1652,IMPORTRANGE(""https://docs.google.com/spreadsheets/d/1BuTWp7qHGjWhqrnf-OmePP568O4A5Am9ttzvVdP67zw/edit#gid=1931367683"" ,""ENERGY!$A$2:$F$2692""), {2,3,4,5,6},0))"),"Africa")</f>
        <v>Africa</v>
      </c>
      <c r="AC1652" s="14" t="str">
        <f>IFERROR(__xludf.DUMMYFUNCTION("""COMPUTED_VALUE"""),"Morocco-Africa")</f>
        <v>Morocco-Africa</v>
      </c>
      <c r="AD1652" s="14" t="str">
        <f>IFERROR(__xludf.DUMMYFUNCTION("""COMPUTED_VALUE"""),"2011")</f>
        <v>2011</v>
      </c>
      <c r="AE1652" s="14">
        <f>IFERROR(__xludf.DUMMYFUNCTION("""COMPUTED_VALUE"""),10238.0)</f>
        <v>10238</v>
      </c>
      <c r="AF1652" s="14">
        <f>IFERROR(__xludf.DUMMYFUNCTION("""COMPUTED_VALUE"""),33905.0)</f>
        <v>33905</v>
      </c>
    </row>
    <row r="1653">
      <c r="A1653" s="12">
        <v>1652.0</v>
      </c>
      <c r="B1653" s="12" t="s">
        <v>206</v>
      </c>
      <c r="C1653" s="5" t="s">
        <v>77</v>
      </c>
      <c r="D1653" s="8"/>
      <c r="E1653" s="8"/>
      <c r="F1653" s="8"/>
      <c r="G1653" s="8"/>
      <c r="H1653" s="11">
        <v>0.001</v>
      </c>
      <c r="I1653" s="11">
        <v>0.003</v>
      </c>
      <c r="J1653" s="9" t="s">
        <v>60</v>
      </c>
      <c r="K1653" s="14" t="str">
        <f>IFERROR(__xludf.DUMMYFUNCTION("ARRAYFORMULA(VLOOKUP(A1653,IMPORTRANGE(""https://docs.google.com/spreadsheets/d/1BuTWp7qHGjWhqrnf-OmePP568O4A5Am9ttzvVdP67zw/edit#gid=1603210130"", ""TOURISM!$A$2:$F$2692""), {2,3,4,5,6},0))"),"Africa")</f>
        <v>Africa</v>
      </c>
      <c r="L1653" s="14">
        <f>IFERROR(__xludf.DUMMYFUNCTION("""COMPUTED_VALUE"""),7.4E7)</f>
        <v>74000000</v>
      </c>
      <c r="M1653" s="14" t="str">
        <f>IFERROR(__xludf.DUMMYFUNCTION("""COMPUTED_VALUE"""),"Mozambique-Africa")</f>
        <v>Mozambique-Africa</v>
      </c>
      <c r="N1653" s="14" t="str">
        <f>IFERROR(__xludf.DUMMYFUNCTION("""COMPUTED_VALUE"""),"2000")</f>
        <v>2000</v>
      </c>
      <c r="O1653" s="14">
        <f>IFERROR(__xludf.DUMMYFUNCTION("""COMPUTED_VALUE"""),1.22E8)</f>
        <v>122000000</v>
      </c>
      <c r="P1653" s="15">
        <f>IFERROR(__xludf.DUMMYFUNCTION("ARRAYFORMULA(VLOOKUP(A1653,IMPORTRANGE(""https://docs.google.com/spreadsheets/d/1BuTWp7qHGjWhqrnf-OmePP568O4A5Am9ttzvVdP67zw/edit#gid=771602874"" ,""HUMAN RESOURCES!$A$2:$M$2692""), {2,3,4,5,6,7,8,9,10,11,12,13},0))"),0.044)</f>
        <v>0.044</v>
      </c>
      <c r="Q1653" s="14">
        <f>IFERROR(__xludf.DUMMYFUNCTION("""COMPUTED_VALUE"""),0.114)</f>
        <v>0.114</v>
      </c>
      <c r="R1653" s="14">
        <f>IFERROR(__xludf.DUMMYFUNCTION("""COMPUTED_VALUE"""),49.0)</f>
        <v>49</v>
      </c>
      <c r="S1653" s="14">
        <f>IFERROR(__xludf.DUMMYFUNCTION("""COMPUTED_VALUE"""),46.0)</f>
        <v>46</v>
      </c>
      <c r="T1653" s="14">
        <f>IFERROR(__xludf.DUMMYFUNCTION("""COMPUTED_VALUE"""),0.438)</f>
        <v>0.438</v>
      </c>
      <c r="U1653" s="14">
        <f>IFERROR(__xludf.DUMMYFUNCTION("""COMPUTED_VALUE"""),0.53)</f>
        <v>0.53</v>
      </c>
      <c r="V1653" s="14">
        <f>IFERROR(__xludf.DUMMYFUNCTION("""COMPUTED_VALUE"""),0.032)</f>
        <v>0.032</v>
      </c>
      <c r="W1653" s="14">
        <f>IFERROR(__xludf.DUMMYFUNCTION("""COMPUTED_VALUE"""),1.8275618E7)</f>
        <v>18275618</v>
      </c>
      <c r="X1653" s="14">
        <f>IFERROR(__xludf.DUMMYFUNCTION("""COMPUTED_VALUE"""),0.291)</f>
        <v>0.291</v>
      </c>
      <c r="Y1653" s="14" t="str">
        <f>IFERROR(__xludf.DUMMYFUNCTION("""COMPUTED_VALUE"""),"Mozambique-Africa")</f>
        <v>Mozambique-Africa</v>
      </c>
      <c r="Z1653" s="14" t="str">
        <f>IFERROR(__xludf.DUMMYFUNCTION("""COMPUTED_VALUE"""),"Africa")</f>
        <v>Africa</v>
      </c>
      <c r="AA1653" s="14" t="str">
        <f>IFERROR(__xludf.DUMMYFUNCTION("""COMPUTED_VALUE"""),"2000")</f>
        <v>2000</v>
      </c>
      <c r="AB1653" s="15" t="str">
        <f>IFERROR(__xludf.DUMMYFUNCTION("ARRAYFORMULA(VLOOKUP(A1653,IMPORTRANGE(""https://docs.google.com/spreadsheets/d/1BuTWp7qHGjWhqrnf-OmePP568O4A5Am9ttzvVdP67zw/edit#gid=1931367683"" ,""ENERGY!$A$2:$F$2692""), {2,3,4,5,6},0))"),"Africa")</f>
        <v>Africa</v>
      </c>
      <c r="AC1653" s="14" t="str">
        <f>IFERROR(__xludf.DUMMYFUNCTION("""COMPUTED_VALUE"""),"Mozambique-Africa")</f>
        <v>Mozambique-Africa</v>
      </c>
      <c r="AD1653" s="14" t="str">
        <f>IFERROR(__xludf.DUMMYFUNCTION("""COMPUTED_VALUE"""),"2000")</f>
        <v>2000</v>
      </c>
      <c r="AE1653" s="14"/>
      <c r="AF1653" s="14"/>
    </row>
    <row r="1654">
      <c r="A1654" s="12">
        <v>1653.0</v>
      </c>
      <c r="B1654" s="12" t="s">
        <v>206</v>
      </c>
      <c r="C1654" s="5" t="s">
        <v>77</v>
      </c>
      <c r="D1654" s="8"/>
      <c r="E1654" s="8"/>
      <c r="F1654" s="8"/>
      <c r="G1654" s="8"/>
      <c r="H1654" s="11">
        <v>0.002</v>
      </c>
      <c r="I1654" s="11">
        <v>0.008</v>
      </c>
      <c r="J1654" s="9" t="s">
        <v>62</v>
      </c>
      <c r="K1654" s="14" t="str">
        <f>IFERROR(__xludf.DUMMYFUNCTION("ARRAYFORMULA(VLOOKUP(A1654,IMPORTRANGE(""https://docs.google.com/spreadsheets/d/1BuTWp7qHGjWhqrnf-OmePP568O4A5Am9ttzvVdP67zw/edit#gid=1603210130"", ""TOURISM!$A$2:$F$2692""), {2,3,4,5,6},0))"),"Africa")</f>
        <v>Africa</v>
      </c>
      <c r="L1654" s="14">
        <f>IFERROR(__xludf.DUMMYFUNCTION("""COMPUTED_VALUE"""),6.4E7)</f>
        <v>64000000</v>
      </c>
      <c r="M1654" s="14" t="str">
        <f>IFERROR(__xludf.DUMMYFUNCTION("""COMPUTED_VALUE"""),"Mozambique-Africa")</f>
        <v>Mozambique-Africa</v>
      </c>
      <c r="N1654" s="14" t="str">
        <f>IFERROR(__xludf.DUMMYFUNCTION("""COMPUTED_VALUE"""),"2001")</f>
        <v>2001</v>
      </c>
      <c r="O1654" s="14">
        <f>IFERROR(__xludf.DUMMYFUNCTION("""COMPUTED_VALUE"""),1.32E8)</f>
        <v>132000000</v>
      </c>
      <c r="P1654" s="15">
        <f>IFERROR(__xludf.DUMMYFUNCTION("ARRAYFORMULA(VLOOKUP(A1654,IMPORTRANGE(""https://docs.google.com/spreadsheets/d/1BuTWp7qHGjWhqrnf-OmePP568O4A5Am9ttzvVdP67zw/edit#gid=771602874"" ,""HUMAN RESOURCES!$A$2:$M$2692""), {2,3,4,5,6,7,8,9,10,11,12,13},0))"),0.045)</f>
        <v>0.045</v>
      </c>
      <c r="Q1654" s="14">
        <f>IFERROR(__xludf.DUMMYFUNCTION("""COMPUTED_VALUE"""),0.109)</f>
        <v>0.109</v>
      </c>
      <c r="R1654" s="14">
        <f>IFERROR(__xludf.DUMMYFUNCTION("""COMPUTED_VALUE"""),49.0)</f>
        <v>49</v>
      </c>
      <c r="S1654" s="14">
        <f>IFERROR(__xludf.DUMMYFUNCTION("""COMPUTED_VALUE"""),46.0)</f>
        <v>46</v>
      </c>
      <c r="T1654" s="14">
        <f>IFERROR(__xludf.DUMMYFUNCTION("""COMPUTED_VALUE"""),0.44)</f>
        <v>0.44</v>
      </c>
      <c r="U1654" s="14">
        <f>IFERROR(__xludf.DUMMYFUNCTION("""COMPUTED_VALUE"""),0.529)</f>
        <v>0.529</v>
      </c>
      <c r="V1654" s="14">
        <f>IFERROR(__xludf.DUMMYFUNCTION("""COMPUTED_VALUE"""),0.032)</f>
        <v>0.032</v>
      </c>
      <c r="W1654" s="14">
        <f>IFERROR(__xludf.DUMMYFUNCTION("""COMPUTED_VALUE"""),1.8785719E7)</f>
        <v>18785719</v>
      </c>
      <c r="X1654" s="14">
        <f>IFERROR(__xludf.DUMMYFUNCTION("""COMPUTED_VALUE"""),0.293)</f>
        <v>0.293</v>
      </c>
      <c r="Y1654" s="14" t="str">
        <f>IFERROR(__xludf.DUMMYFUNCTION("""COMPUTED_VALUE"""),"Mozambique-Africa")</f>
        <v>Mozambique-Africa</v>
      </c>
      <c r="Z1654" s="14" t="str">
        <f>IFERROR(__xludf.DUMMYFUNCTION("""COMPUTED_VALUE"""),"Africa")</f>
        <v>Africa</v>
      </c>
      <c r="AA1654" s="14" t="str">
        <f>IFERROR(__xludf.DUMMYFUNCTION("""COMPUTED_VALUE"""),"2001")</f>
        <v>2001</v>
      </c>
      <c r="AB1654" s="15" t="str">
        <f>IFERROR(__xludf.DUMMYFUNCTION("ARRAYFORMULA(VLOOKUP(A1654,IMPORTRANGE(""https://docs.google.com/spreadsheets/d/1BuTWp7qHGjWhqrnf-OmePP568O4A5Am9ttzvVdP67zw/edit#gid=1931367683"" ,""ENERGY!$A$2:$F$2692""), {2,3,4,5,6},0))"),"Africa")</f>
        <v>Africa</v>
      </c>
      <c r="AC1654" s="14" t="str">
        <f>IFERROR(__xludf.DUMMYFUNCTION("""COMPUTED_VALUE"""),"Mozambique-Africa")</f>
        <v>Mozambique-Africa</v>
      </c>
      <c r="AD1654" s="14" t="str">
        <f>IFERROR(__xludf.DUMMYFUNCTION("""COMPUTED_VALUE"""),"2001")</f>
        <v>2001</v>
      </c>
      <c r="AE1654" s="14">
        <f>IFERROR(__xludf.DUMMYFUNCTION("""COMPUTED_VALUE"""),10202.0)</f>
        <v>10202</v>
      </c>
      <c r="AF1654" s="14"/>
    </row>
    <row r="1655">
      <c r="A1655" s="12">
        <v>1654.0</v>
      </c>
      <c r="B1655" s="12" t="s">
        <v>206</v>
      </c>
      <c r="C1655" s="5" t="s">
        <v>77</v>
      </c>
      <c r="D1655" s="8"/>
      <c r="E1655" s="8"/>
      <c r="F1655" s="8"/>
      <c r="G1655" s="8"/>
      <c r="H1655" s="11">
        <v>0.003</v>
      </c>
      <c r="I1655" s="11">
        <v>0.013</v>
      </c>
      <c r="J1655" s="9" t="s">
        <v>63</v>
      </c>
      <c r="K1655" s="14" t="str">
        <f>IFERROR(__xludf.DUMMYFUNCTION("ARRAYFORMULA(VLOOKUP(A1655,IMPORTRANGE(""https://docs.google.com/spreadsheets/d/1BuTWp7qHGjWhqrnf-OmePP568O4A5Am9ttzvVdP67zw/edit#gid=1603210130"", ""TOURISM!$A$2:$F$2692""), {2,3,4,5,6},0))"),"Africa")</f>
        <v>Africa</v>
      </c>
      <c r="L1655" s="14">
        <f>IFERROR(__xludf.DUMMYFUNCTION("""COMPUTED_VALUE"""),6.5E7)</f>
        <v>65000000</v>
      </c>
      <c r="M1655" s="14" t="str">
        <f>IFERROR(__xludf.DUMMYFUNCTION("""COMPUTED_VALUE"""),"Mozambique-Africa")</f>
        <v>Mozambique-Africa</v>
      </c>
      <c r="N1655" s="14" t="str">
        <f>IFERROR(__xludf.DUMMYFUNCTION("""COMPUTED_VALUE"""),"2002")</f>
        <v>2002</v>
      </c>
      <c r="O1655" s="14">
        <f>IFERROR(__xludf.DUMMYFUNCTION("""COMPUTED_VALUE"""),1.15E8)</f>
        <v>115000000</v>
      </c>
      <c r="P1655" s="15">
        <f>IFERROR(__xludf.DUMMYFUNCTION("ARRAYFORMULA(VLOOKUP(A1655,IMPORTRANGE(""https://docs.google.com/spreadsheets/d/1BuTWp7qHGjWhqrnf-OmePP568O4A5Am9ttzvVdP67zw/edit#gid=771602874"" ,""HUMAN RESOURCES!$A$2:$M$2692""), {2,3,4,5,6,7,8,9,10,11,12,13},0))"),0.045)</f>
        <v>0.045</v>
      </c>
      <c r="Q1655" s="14">
        <f>IFERROR(__xludf.DUMMYFUNCTION("""COMPUTED_VALUE"""),0.104)</f>
        <v>0.104</v>
      </c>
      <c r="R1655" s="14">
        <f>IFERROR(__xludf.DUMMYFUNCTION("""COMPUTED_VALUE"""),49.0)</f>
        <v>49</v>
      </c>
      <c r="S1655" s="14">
        <f>IFERROR(__xludf.DUMMYFUNCTION("""COMPUTED_VALUE"""),46.0)</f>
        <v>46</v>
      </c>
      <c r="T1655" s="14">
        <f>IFERROR(__xludf.DUMMYFUNCTION("""COMPUTED_VALUE"""),0.441)</f>
        <v>0.441</v>
      </c>
      <c r="U1655" s="14">
        <f>IFERROR(__xludf.DUMMYFUNCTION("""COMPUTED_VALUE"""),0.527)</f>
        <v>0.527</v>
      </c>
      <c r="V1655" s="14">
        <f>IFERROR(__xludf.DUMMYFUNCTION("""COMPUTED_VALUE"""),0.032)</f>
        <v>0.032</v>
      </c>
      <c r="W1655" s="14">
        <f>IFERROR(__xludf.DUMMYFUNCTION("""COMPUTED_VALUE"""),1.9319894E7)</f>
        <v>19319894</v>
      </c>
      <c r="X1655" s="14">
        <f>IFERROR(__xludf.DUMMYFUNCTION("""COMPUTED_VALUE"""),0.295)</f>
        <v>0.295</v>
      </c>
      <c r="Y1655" s="14" t="str">
        <f>IFERROR(__xludf.DUMMYFUNCTION("""COMPUTED_VALUE"""),"Mozambique-Africa")</f>
        <v>Mozambique-Africa</v>
      </c>
      <c r="Z1655" s="14" t="str">
        <f>IFERROR(__xludf.DUMMYFUNCTION("""COMPUTED_VALUE"""),"Africa")</f>
        <v>Africa</v>
      </c>
      <c r="AA1655" s="14" t="str">
        <f>IFERROR(__xludf.DUMMYFUNCTION("""COMPUTED_VALUE"""),"2002")</f>
        <v>2002</v>
      </c>
      <c r="AB1655" s="15" t="str">
        <f>IFERROR(__xludf.DUMMYFUNCTION("ARRAYFORMULA(VLOOKUP(A1655,IMPORTRANGE(""https://docs.google.com/spreadsheets/d/1BuTWp7qHGjWhqrnf-OmePP568O4A5Am9ttzvVdP67zw/edit#gid=1931367683"" ,""ENERGY!$A$2:$F$2692""), {2,3,4,5,6},0))"),"Africa")</f>
        <v>Africa</v>
      </c>
      <c r="AC1655" s="14" t="str">
        <f>IFERROR(__xludf.DUMMYFUNCTION("""COMPUTED_VALUE"""),"Mozambique-Africa")</f>
        <v>Mozambique-Africa</v>
      </c>
      <c r="AD1655" s="14" t="str">
        <f>IFERROR(__xludf.DUMMYFUNCTION("""COMPUTED_VALUE"""),"2002")</f>
        <v>2002</v>
      </c>
      <c r="AE1655" s="14">
        <f>IFERROR(__xludf.DUMMYFUNCTION("""COMPUTED_VALUE"""),9875.0)</f>
        <v>9875</v>
      </c>
      <c r="AF1655" s="14">
        <f>IFERROR(__xludf.DUMMYFUNCTION("""COMPUTED_VALUE"""),2882.0)</f>
        <v>2882</v>
      </c>
    </row>
    <row r="1656">
      <c r="A1656" s="12">
        <v>1655.0</v>
      </c>
      <c r="B1656" s="12" t="s">
        <v>206</v>
      </c>
      <c r="C1656" s="5" t="s">
        <v>77</v>
      </c>
      <c r="D1656" s="8"/>
      <c r="E1656" s="11">
        <v>153.0</v>
      </c>
      <c r="F1656" s="8"/>
      <c r="G1656" s="8"/>
      <c r="H1656" s="11">
        <v>0.004</v>
      </c>
      <c r="I1656" s="11">
        <v>0.022</v>
      </c>
      <c r="J1656" s="9" t="s">
        <v>64</v>
      </c>
      <c r="K1656" s="14" t="str">
        <f>IFERROR(__xludf.DUMMYFUNCTION("ARRAYFORMULA(VLOOKUP(A1656,IMPORTRANGE(""https://docs.google.com/spreadsheets/d/1BuTWp7qHGjWhqrnf-OmePP568O4A5Am9ttzvVdP67zw/edit#gid=1603210130"", ""TOURISM!$A$2:$F$2692""), {2,3,4,5,6},0))"),"Africa")</f>
        <v>Africa</v>
      </c>
      <c r="L1656" s="14">
        <f>IFERROR(__xludf.DUMMYFUNCTION("""COMPUTED_VALUE"""),1.06E8)</f>
        <v>106000000</v>
      </c>
      <c r="M1656" s="14" t="str">
        <f>IFERROR(__xludf.DUMMYFUNCTION("""COMPUTED_VALUE"""),"Mozambique-Africa")</f>
        <v>Mozambique-Africa</v>
      </c>
      <c r="N1656" s="14" t="str">
        <f>IFERROR(__xludf.DUMMYFUNCTION("""COMPUTED_VALUE"""),"2003")</f>
        <v>2003</v>
      </c>
      <c r="O1656" s="14">
        <f>IFERROR(__xludf.DUMMYFUNCTION("""COMPUTED_VALUE"""),1.41E8)</f>
        <v>141000000</v>
      </c>
      <c r="P1656" s="15">
        <f>IFERROR(__xludf.DUMMYFUNCTION("ARRAYFORMULA(VLOOKUP(A1656,IMPORTRANGE(""https://docs.google.com/spreadsheets/d/1BuTWp7qHGjWhqrnf-OmePP568O4A5Am9ttzvVdP67zw/edit#gid=771602874"" ,""HUMAN RESOURCES!$A$2:$M$2692""), {2,3,4,5,6,7,8,9,10,11,12,13},0))"),0.045)</f>
        <v>0.045</v>
      </c>
      <c r="Q1656" s="14">
        <f>IFERROR(__xludf.DUMMYFUNCTION("""COMPUTED_VALUE"""),0.099)</f>
        <v>0.099</v>
      </c>
      <c r="R1656" s="14">
        <f>IFERROR(__xludf.DUMMYFUNCTION("""COMPUTED_VALUE"""),49.0)</f>
        <v>49</v>
      </c>
      <c r="S1656" s="14">
        <f>IFERROR(__xludf.DUMMYFUNCTION("""COMPUTED_VALUE"""),46.0)</f>
        <v>46</v>
      </c>
      <c r="T1656" s="14">
        <f>IFERROR(__xludf.DUMMYFUNCTION("""COMPUTED_VALUE"""),0.444)</f>
        <v>0.444</v>
      </c>
      <c r="U1656" s="14">
        <f>IFERROR(__xludf.DUMMYFUNCTION("""COMPUTED_VALUE"""),0.525)</f>
        <v>0.525</v>
      </c>
      <c r="V1656" s="14">
        <f>IFERROR(__xludf.DUMMYFUNCTION("""COMPUTED_VALUE"""),0.032)</f>
        <v>0.032</v>
      </c>
      <c r="W1656" s="14">
        <f>IFERROR(__xludf.DUMMYFUNCTION("""COMPUTED_VALUE"""),1.987346E7)</f>
        <v>19873460</v>
      </c>
      <c r="X1656" s="14">
        <f>IFERROR(__xludf.DUMMYFUNCTION("""COMPUTED_VALUE"""),0.296)</f>
        <v>0.296</v>
      </c>
      <c r="Y1656" s="14" t="str">
        <f>IFERROR(__xludf.DUMMYFUNCTION("""COMPUTED_VALUE"""),"Mozambique-Africa")</f>
        <v>Mozambique-Africa</v>
      </c>
      <c r="Z1656" s="14" t="str">
        <f>IFERROR(__xludf.DUMMYFUNCTION("""COMPUTED_VALUE"""),"Africa")</f>
        <v>Africa</v>
      </c>
      <c r="AA1656" s="14" t="str">
        <f>IFERROR(__xludf.DUMMYFUNCTION("""COMPUTED_VALUE"""),"2003")</f>
        <v>2003</v>
      </c>
      <c r="AB1656" s="15" t="str">
        <f>IFERROR(__xludf.DUMMYFUNCTION("ARRAYFORMULA(VLOOKUP(A1656,IMPORTRANGE(""https://docs.google.com/spreadsheets/d/1BuTWp7qHGjWhqrnf-OmePP568O4A5Am9ttzvVdP67zw/edit#gid=1931367683"" ,""ENERGY!$A$2:$F$2692""), {2,3,4,5,6},0))"),"Africa")</f>
        <v>Africa</v>
      </c>
      <c r="AC1656" s="14" t="str">
        <f>IFERROR(__xludf.DUMMYFUNCTION("""COMPUTED_VALUE"""),"Mozambique-Africa")</f>
        <v>Mozambique-Africa</v>
      </c>
      <c r="AD1656" s="14" t="str">
        <f>IFERROR(__xludf.DUMMYFUNCTION("""COMPUTED_VALUE"""),"2003")</f>
        <v>2003</v>
      </c>
      <c r="AE1656" s="14">
        <f>IFERROR(__xludf.DUMMYFUNCTION("""COMPUTED_VALUE"""),9554.0)</f>
        <v>9554</v>
      </c>
      <c r="AF1656" s="14">
        <f>IFERROR(__xludf.DUMMYFUNCTION("""COMPUTED_VALUE"""),2574.0)</f>
        <v>2574</v>
      </c>
    </row>
    <row r="1657">
      <c r="A1657" s="12">
        <v>1656.0</v>
      </c>
      <c r="B1657" s="12" t="s">
        <v>206</v>
      </c>
      <c r="C1657" s="5" t="s">
        <v>77</v>
      </c>
      <c r="D1657" s="8"/>
      <c r="E1657" s="11">
        <v>153.0</v>
      </c>
      <c r="F1657" s="8"/>
      <c r="G1657" s="8"/>
      <c r="H1657" s="11">
        <v>0.007</v>
      </c>
      <c r="I1657" s="11">
        <v>0.035</v>
      </c>
      <c r="J1657" s="9" t="s">
        <v>65</v>
      </c>
      <c r="K1657" s="14" t="str">
        <f>IFERROR(__xludf.DUMMYFUNCTION("ARRAYFORMULA(VLOOKUP(A1657,IMPORTRANGE(""https://docs.google.com/spreadsheets/d/1BuTWp7qHGjWhqrnf-OmePP568O4A5Am9ttzvVdP67zw/edit#gid=1603210130"", ""TOURISM!$A$2:$F$2692""), {2,3,4,5,6},0))"),"Africa")</f>
        <v>Africa</v>
      </c>
      <c r="L1657" s="14">
        <f>IFERROR(__xludf.DUMMYFUNCTION("""COMPUTED_VALUE"""),9.6E7)</f>
        <v>96000000</v>
      </c>
      <c r="M1657" s="14" t="str">
        <f>IFERROR(__xludf.DUMMYFUNCTION("""COMPUTED_VALUE"""),"Mozambique-Africa")</f>
        <v>Mozambique-Africa</v>
      </c>
      <c r="N1657" s="14" t="str">
        <f>IFERROR(__xludf.DUMMYFUNCTION("""COMPUTED_VALUE"""),"2004")</f>
        <v>2004</v>
      </c>
      <c r="O1657" s="14">
        <f>IFERROR(__xludf.DUMMYFUNCTION("""COMPUTED_VALUE"""),1.4E8)</f>
        <v>140000000</v>
      </c>
      <c r="P1657" s="15">
        <f>IFERROR(__xludf.DUMMYFUNCTION("ARRAYFORMULA(VLOOKUP(A1657,IMPORTRANGE(""https://docs.google.com/spreadsheets/d/1BuTWp7qHGjWhqrnf-OmePP568O4A5Am9ttzvVdP67zw/edit#gid=771602874"" ,""HUMAN RESOURCES!$A$2:$M$2692""), {2,3,4,5,6,7,8,9,10,11,12,13},0))"),0.044)</f>
        <v>0.044</v>
      </c>
      <c r="Q1657" s="14">
        <f>IFERROR(__xludf.DUMMYFUNCTION("""COMPUTED_VALUE"""),0.095)</f>
        <v>0.095</v>
      </c>
      <c r="R1657" s="14">
        <f>IFERROR(__xludf.DUMMYFUNCTION("""COMPUTED_VALUE"""),49.0)</f>
        <v>49</v>
      </c>
      <c r="S1657" s="14">
        <f>IFERROR(__xludf.DUMMYFUNCTION("""COMPUTED_VALUE"""),46.0)</f>
        <v>46</v>
      </c>
      <c r="T1657" s="14">
        <f>IFERROR(__xludf.DUMMYFUNCTION("""COMPUTED_VALUE"""),0.446)</f>
        <v>0.446</v>
      </c>
      <c r="U1657" s="14">
        <f>IFERROR(__xludf.DUMMYFUNCTION("""COMPUTED_VALUE"""),0.522)</f>
        <v>0.522</v>
      </c>
      <c r="V1657" s="14">
        <f>IFERROR(__xludf.DUMMYFUNCTION("""COMPUTED_VALUE"""),0.032)</f>
        <v>0.032</v>
      </c>
      <c r="W1657" s="14">
        <f>IFERROR(__xludf.DUMMYFUNCTION("""COMPUTED_VALUE"""),2.0438827E7)</f>
        <v>20438827</v>
      </c>
      <c r="X1657" s="14">
        <f>IFERROR(__xludf.DUMMYFUNCTION("""COMPUTED_VALUE"""),0.298)</f>
        <v>0.298</v>
      </c>
      <c r="Y1657" s="14" t="str">
        <f>IFERROR(__xludf.DUMMYFUNCTION("""COMPUTED_VALUE"""),"Mozambique-Africa")</f>
        <v>Mozambique-Africa</v>
      </c>
      <c r="Z1657" s="14" t="str">
        <f>IFERROR(__xludf.DUMMYFUNCTION("""COMPUTED_VALUE"""),"Africa")</f>
        <v>Africa</v>
      </c>
      <c r="AA1657" s="14" t="str">
        <f>IFERROR(__xludf.DUMMYFUNCTION("""COMPUTED_VALUE"""),"2004")</f>
        <v>2004</v>
      </c>
      <c r="AB1657" s="15" t="str">
        <f>IFERROR(__xludf.DUMMYFUNCTION("ARRAYFORMULA(VLOOKUP(A1657,IMPORTRANGE(""https://docs.google.com/spreadsheets/d/1BuTWp7qHGjWhqrnf-OmePP568O4A5Am9ttzvVdP67zw/edit#gid=1931367683"" ,""ENERGY!$A$2:$F$2692""), {2,3,4,5,6},0))"),"Africa")</f>
        <v>Africa</v>
      </c>
      <c r="AC1657" s="14" t="str">
        <f>IFERROR(__xludf.DUMMYFUNCTION("""COMPUTED_VALUE"""),"Mozambique-Africa")</f>
        <v>Mozambique-Africa</v>
      </c>
      <c r="AD1657" s="14" t="str">
        <f>IFERROR(__xludf.DUMMYFUNCTION("""COMPUTED_VALUE"""),"2004")</f>
        <v>2004</v>
      </c>
      <c r="AE1657" s="14">
        <f>IFERROR(__xludf.DUMMYFUNCTION("""COMPUTED_VALUE"""),9264.0)</f>
        <v>9264</v>
      </c>
      <c r="AF1657" s="14">
        <f>IFERROR(__xludf.DUMMYFUNCTION("""COMPUTED_VALUE"""),2340.0)</f>
        <v>2340</v>
      </c>
    </row>
    <row r="1658">
      <c r="A1658" s="12">
        <v>1657.0</v>
      </c>
      <c r="B1658" s="12" t="s">
        <v>206</v>
      </c>
      <c r="C1658" s="5" t="s">
        <v>77</v>
      </c>
      <c r="D1658" s="11">
        <v>0.375</v>
      </c>
      <c r="E1658" s="11">
        <v>153.0</v>
      </c>
      <c r="F1658" s="8"/>
      <c r="G1658" s="11">
        <v>230.0</v>
      </c>
      <c r="H1658" s="11">
        <v>0.009</v>
      </c>
      <c r="I1658" s="11">
        <v>0.072</v>
      </c>
      <c r="J1658" s="9" t="s">
        <v>66</v>
      </c>
      <c r="K1658" s="14" t="str">
        <f>IFERROR(__xludf.DUMMYFUNCTION("ARRAYFORMULA(VLOOKUP(A1658,IMPORTRANGE(""https://docs.google.com/spreadsheets/d/1BuTWp7qHGjWhqrnf-OmePP568O4A5Am9ttzvVdP67zw/edit#gid=1603210130"", ""TOURISM!$A$2:$F$2692""), {2,3,4,5,6},0))"),"Africa")</f>
        <v>Africa</v>
      </c>
      <c r="L1658" s="14">
        <f>IFERROR(__xludf.DUMMYFUNCTION("""COMPUTED_VALUE"""),1.38E8)</f>
        <v>138000000</v>
      </c>
      <c r="M1658" s="14" t="str">
        <f>IFERROR(__xludf.DUMMYFUNCTION("""COMPUTED_VALUE"""),"Mozambique-Africa")</f>
        <v>Mozambique-Africa</v>
      </c>
      <c r="N1658" s="14" t="str">
        <f>IFERROR(__xludf.DUMMYFUNCTION("""COMPUTED_VALUE"""),"2005")</f>
        <v>2005</v>
      </c>
      <c r="O1658" s="14">
        <f>IFERROR(__xludf.DUMMYFUNCTION("""COMPUTED_VALUE"""),1.87E8)</f>
        <v>187000000</v>
      </c>
      <c r="P1658" s="15">
        <f>IFERROR(__xludf.DUMMYFUNCTION("ARRAYFORMULA(VLOOKUP(A1658,IMPORTRANGE(""https://docs.google.com/spreadsheets/d/1BuTWp7qHGjWhqrnf-OmePP568O4A5Am9ttzvVdP67zw/edit#gid=771602874"" ,""HUMAN RESOURCES!$A$2:$M$2692""), {2,3,4,5,6,7,8,9,10,11,12,13},0))"),0.044)</f>
        <v>0.044</v>
      </c>
      <c r="Q1658" s="14">
        <f>IFERROR(__xludf.DUMMYFUNCTION("""COMPUTED_VALUE"""),0.091)</f>
        <v>0.091</v>
      </c>
      <c r="R1658" s="14">
        <f>IFERROR(__xludf.DUMMYFUNCTION("""COMPUTED_VALUE"""),49.0)</f>
        <v>49</v>
      </c>
      <c r="S1658" s="14">
        <f>IFERROR(__xludf.DUMMYFUNCTION("""COMPUTED_VALUE"""),47.0)</f>
        <v>47</v>
      </c>
      <c r="T1658" s="14">
        <f>IFERROR(__xludf.DUMMYFUNCTION("""COMPUTED_VALUE"""),0.448)</f>
        <v>0.448</v>
      </c>
      <c r="U1658" s="14">
        <f>IFERROR(__xludf.DUMMYFUNCTION("""COMPUTED_VALUE"""),0.52)</f>
        <v>0.52</v>
      </c>
      <c r="V1658" s="14">
        <f>IFERROR(__xludf.DUMMYFUNCTION("""COMPUTED_VALUE"""),0.032)</f>
        <v>0.032</v>
      </c>
      <c r="W1658" s="14">
        <f>IFERROR(__xludf.DUMMYFUNCTION("""COMPUTED_VALUE"""),2.1010376E7)</f>
        <v>21010376</v>
      </c>
      <c r="X1658" s="14">
        <f>IFERROR(__xludf.DUMMYFUNCTION("""COMPUTED_VALUE"""),0.3)</f>
        <v>0.3</v>
      </c>
      <c r="Y1658" s="14" t="str">
        <f>IFERROR(__xludf.DUMMYFUNCTION("""COMPUTED_VALUE"""),"Mozambique-Africa")</f>
        <v>Mozambique-Africa</v>
      </c>
      <c r="Z1658" s="14" t="str">
        <f>IFERROR(__xludf.DUMMYFUNCTION("""COMPUTED_VALUE"""),"Africa")</f>
        <v>Africa</v>
      </c>
      <c r="AA1658" s="14" t="str">
        <f>IFERROR(__xludf.DUMMYFUNCTION("""COMPUTED_VALUE"""),"2005")</f>
        <v>2005</v>
      </c>
      <c r="AB1658" s="15" t="str">
        <f>IFERROR(__xludf.DUMMYFUNCTION("ARRAYFORMULA(VLOOKUP(A1658,IMPORTRANGE(""https://docs.google.com/spreadsheets/d/1BuTWp7qHGjWhqrnf-OmePP568O4A5Am9ttzvVdP67zw/edit#gid=1931367683"" ,""ENERGY!$A$2:$F$2692""), {2,3,4,5,6},0))"),"Africa")</f>
        <v>Africa</v>
      </c>
      <c r="AC1658" s="14" t="str">
        <f>IFERROR(__xludf.DUMMYFUNCTION("""COMPUTED_VALUE"""),"Mozambique-Africa")</f>
        <v>Mozambique-Africa</v>
      </c>
      <c r="AD1658" s="14" t="str">
        <f>IFERROR(__xludf.DUMMYFUNCTION("""COMPUTED_VALUE"""),"2008")</f>
        <v>2008</v>
      </c>
      <c r="AE1658" s="14">
        <f>IFERROR(__xludf.DUMMYFUNCTION("""COMPUTED_VALUE"""),9144.0)</f>
        <v>9144</v>
      </c>
      <c r="AF1658" s="14">
        <f>IFERROR(__xludf.DUMMYFUNCTION("""COMPUTED_VALUE"""),2391.0)</f>
        <v>2391</v>
      </c>
    </row>
    <row r="1659">
      <c r="A1659" s="12">
        <v>1658.0</v>
      </c>
      <c r="B1659" s="12" t="s">
        <v>206</v>
      </c>
      <c r="C1659" s="5" t="s">
        <v>77</v>
      </c>
      <c r="D1659" s="11">
        <v>0.375</v>
      </c>
      <c r="E1659" s="11">
        <v>113.0</v>
      </c>
      <c r="F1659" s="8"/>
      <c r="G1659" s="11">
        <v>230.0</v>
      </c>
      <c r="H1659" s="11">
        <v>0.008</v>
      </c>
      <c r="I1659" s="11">
        <v>0.108</v>
      </c>
      <c r="J1659" s="9" t="s">
        <v>67</v>
      </c>
      <c r="K1659" s="14" t="str">
        <f>IFERROR(__xludf.DUMMYFUNCTION("ARRAYFORMULA(VLOOKUP(A1659,IMPORTRANGE(""https://docs.google.com/spreadsheets/d/1BuTWp7qHGjWhqrnf-OmePP568O4A5Am9ttzvVdP67zw/edit#gid=1603210130"", ""TOURISM!$A$2:$F$2692""), {2,3,4,5,6},0))"),"Africa")</f>
        <v>Africa</v>
      </c>
      <c r="L1659" s="14">
        <f>IFERROR(__xludf.DUMMYFUNCTION("""COMPUTED_VALUE"""),1.45E8)</f>
        <v>145000000</v>
      </c>
      <c r="M1659" s="14" t="str">
        <f>IFERROR(__xludf.DUMMYFUNCTION("""COMPUTED_VALUE"""),"Mozambique-Africa")</f>
        <v>Mozambique-Africa</v>
      </c>
      <c r="N1659" s="14" t="str">
        <f>IFERROR(__xludf.DUMMYFUNCTION("""COMPUTED_VALUE"""),"2006")</f>
        <v>2006</v>
      </c>
      <c r="O1659" s="14">
        <f>IFERROR(__xludf.DUMMYFUNCTION("""COMPUTED_VALUE"""),1.96E8)</f>
        <v>196000000</v>
      </c>
      <c r="P1659" s="15">
        <f>IFERROR(__xludf.DUMMYFUNCTION("ARRAYFORMULA(VLOOKUP(A1659,IMPORTRANGE(""https://docs.google.com/spreadsheets/d/1BuTWp7qHGjWhqrnf-OmePP568O4A5Am9ttzvVdP67zw/edit#gid=771602874"" ,""HUMAN RESOURCES!$A$2:$M$2692""), {2,3,4,5,6,7,8,9,10,11,12,13},0))"),0.043)</f>
        <v>0.043</v>
      </c>
      <c r="Q1659" s="14">
        <f>IFERROR(__xludf.DUMMYFUNCTION("""COMPUTED_VALUE"""),0.087)</f>
        <v>0.087</v>
      </c>
      <c r="R1659" s="14">
        <f>IFERROR(__xludf.DUMMYFUNCTION("""COMPUTED_VALUE"""),49.0)</f>
        <v>49</v>
      </c>
      <c r="S1659" s="14">
        <f>IFERROR(__xludf.DUMMYFUNCTION("""COMPUTED_VALUE"""),47.0)</f>
        <v>47</v>
      </c>
      <c r="T1659" s="14">
        <f>IFERROR(__xludf.DUMMYFUNCTION("""COMPUTED_VALUE"""),0.45)</f>
        <v>0.45</v>
      </c>
      <c r="U1659" s="14">
        <f>IFERROR(__xludf.DUMMYFUNCTION("""COMPUTED_VALUE"""),0.519)</f>
        <v>0.519</v>
      </c>
      <c r="V1659" s="14">
        <f>IFERROR(__xludf.DUMMYFUNCTION("""COMPUTED_VALUE"""),0.032)</f>
        <v>0.032</v>
      </c>
      <c r="W1659" s="14">
        <f>IFERROR(__xludf.DUMMYFUNCTION("""COMPUTED_VALUE"""),2.1587317E7)</f>
        <v>21587317</v>
      </c>
      <c r="X1659" s="14">
        <f>IFERROR(__xludf.DUMMYFUNCTION("""COMPUTED_VALUE"""),0.302)</f>
        <v>0.302</v>
      </c>
      <c r="Y1659" s="14" t="str">
        <f>IFERROR(__xludf.DUMMYFUNCTION("""COMPUTED_VALUE"""),"Mozambique-Africa")</f>
        <v>Mozambique-Africa</v>
      </c>
      <c r="Z1659" s="14" t="str">
        <f>IFERROR(__xludf.DUMMYFUNCTION("""COMPUTED_VALUE"""),"Africa")</f>
        <v>Africa</v>
      </c>
      <c r="AA1659" s="14" t="str">
        <f>IFERROR(__xludf.DUMMYFUNCTION("""COMPUTED_VALUE"""),"2006")</f>
        <v>2006</v>
      </c>
      <c r="AB1659" s="15" t="str">
        <f>IFERROR(__xludf.DUMMYFUNCTION("ARRAYFORMULA(VLOOKUP(A1659,IMPORTRANGE(""https://docs.google.com/spreadsheets/d/1BuTWp7qHGjWhqrnf-OmePP568O4A5Am9ttzvVdP67zw/edit#gid=1931367683"" ,""ENERGY!$A$2:$F$2692""), {2,3,4,5,6},0))"),"Africa")</f>
        <v>Africa</v>
      </c>
      <c r="AC1659" s="14" t="str">
        <f>IFERROR(__xludf.DUMMYFUNCTION("""COMPUTED_VALUE"""),"Mozambique-Africa")</f>
        <v>Mozambique-Africa</v>
      </c>
      <c r="AD1659" s="14" t="str">
        <f>IFERROR(__xludf.DUMMYFUNCTION("""COMPUTED_VALUE"""),"2011")</f>
        <v>2011</v>
      </c>
      <c r="AE1659" s="14">
        <f>IFERROR(__xludf.DUMMYFUNCTION("""COMPUTED_VALUE"""),8742.0)</f>
        <v>8742</v>
      </c>
      <c r="AF1659" s="14">
        <f>IFERROR(__xludf.DUMMYFUNCTION("""COMPUTED_VALUE"""),1980.0)</f>
        <v>1980</v>
      </c>
    </row>
    <row r="1660">
      <c r="A1660" s="12">
        <v>1659.0</v>
      </c>
      <c r="B1660" s="12" t="s">
        <v>206</v>
      </c>
      <c r="C1660" s="5" t="s">
        <v>77</v>
      </c>
      <c r="D1660" s="11">
        <v>0.375</v>
      </c>
      <c r="E1660" s="11">
        <v>29.0</v>
      </c>
      <c r="F1660" s="8"/>
      <c r="G1660" s="11">
        <v>230.0</v>
      </c>
      <c r="H1660" s="11">
        <v>0.009</v>
      </c>
      <c r="I1660" s="11">
        <v>0.139</v>
      </c>
      <c r="J1660" s="9" t="s">
        <v>68</v>
      </c>
      <c r="K1660" s="14" t="str">
        <f>IFERROR(__xludf.DUMMYFUNCTION("ARRAYFORMULA(VLOOKUP(A1660,IMPORTRANGE(""https://docs.google.com/spreadsheets/d/1BuTWp7qHGjWhqrnf-OmePP568O4A5Am9ttzvVdP67zw/edit#gid=1603210130"", ""TOURISM!$A$2:$F$2692""), {2,3,4,5,6},0))"),"Africa")</f>
        <v>Africa</v>
      </c>
      <c r="L1660" s="14">
        <f>IFERROR(__xludf.DUMMYFUNCTION("""COMPUTED_VALUE"""),1.82E8)</f>
        <v>182000000</v>
      </c>
      <c r="M1660" s="14" t="str">
        <f>IFERROR(__xludf.DUMMYFUNCTION("""COMPUTED_VALUE"""),"Mozambique-Africa")</f>
        <v>Mozambique-Africa</v>
      </c>
      <c r="N1660" s="14" t="str">
        <f>IFERROR(__xludf.DUMMYFUNCTION("""COMPUTED_VALUE"""),"2007")</f>
        <v>2007</v>
      </c>
      <c r="O1660" s="14">
        <f>IFERROR(__xludf.DUMMYFUNCTION("""COMPUTED_VALUE"""),2.09E8)</f>
        <v>209000000</v>
      </c>
      <c r="P1660" s="15">
        <f>IFERROR(__xludf.DUMMYFUNCTION("ARRAYFORMULA(VLOOKUP(A1660,IMPORTRANGE(""https://docs.google.com/spreadsheets/d/1BuTWp7qHGjWhqrnf-OmePP568O4A5Am9ttzvVdP67zw/edit#gid=771602874"" ,""HUMAN RESOURCES!$A$2:$M$2692""), {2,3,4,5,6,7,8,9,10,11,12,13},0))"),0.043)</f>
        <v>0.043</v>
      </c>
      <c r="Q1660" s="14">
        <f>IFERROR(__xludf.DUMMYFUNCTION("""COMPUTED_VALUE"""),0.082)</f>
        <v>0.082</v>
      </c>
      <c r="R1660" s="14">
        <f>IFERROR(__xludf.DUMMYFUNCTION("""COMPUTED_VALUE"""),49.0)</f>
        <v>49</v>
      </c>
      <c r="S1660" s="14">
        <f>IFERROR(__xludf.DUMMYFUNCTION("""COMPUTED_VALUE"""),47.0)</f>
        <v>47</v>
      </c>
      <c r="T1660" s="14">
        <f>IFERROR(__xludf.DUMMYFUNCTION("""COMPUTED_VALUE"""),0.451)</f>
        <v>0.451</v>
      </c>
      <c r="U1660" s="14">
        <f>IFERROR(__xludf.DUMMYFUNCTION("""COMPUTED_VALUE"""),0.517)</f>
        <v>0.517</v>
      </c>
      <c r="V1660" s="14">
        <f>IFERROR(__xludf.DUMMYFUNCTION("""COMPUTED_VALUE"""),0.032)</f>
        <v>0.032</v>
      </c>
      <c r="W1660" s="14">
        <f>IFERROR(__xludf.DUMMYFUNCTION("""COMPUTED_VALUE"""),2.2171404E7)</f>
        <v>22171404</v>
      </c>
      <c r="X1660" s="14">
        <f>IFERROR(__xludf.DUMMYFUNCTION("""COMPUTED_VALUE"""),0.304)</f>
        <v>0.304</v>
      </c>
      <c r="Y1660" s="14" t="str">
        <f>IFERROR(__xludf.DUMMYFUNCTION("""COMPUTED_VALUE"""),"Mozambique-Africa")</f>
        <v>Mozambique-Africa</v>
      </c>
      <c r="Z1660" s="14" t="str">
        <f>IFERROR(__xludf.DUMMYFUNCTION("""COMPUTED_VALUE"""),"Africa")</f>
        <v>Africa</v>
      </c>
      <c r="AA1660" s="14" t="str">
        <f>IFERROR(__xludf.DUMMYFUNCTION("""COMPUTED_VALUE"""),"2007")</f>
        <v>2007</v>
      </c>
      <c r="AB1660" s="15" t="str">
        <f>IFERROR(__xludf.DUMMYFUNCTION("ARRAYFORMULA(VLOOKUP(A1660,IMPORTRANGE(""https://docs.google.com/spreadsheets/d/1BuTWp7qHGjWhqrnf-OmePP568O4A5Am9ttzvVdP67zw/edit#gid=1931367683"" ,""ENERGY!$A$2:$F$2692""), {2,3,4,5,6},0))"),"Africa")</f>
        <v>Africa</v>
      </c>
      <c r="AC1660" s="14" t="str">
        <f>IFERROR(__xludf.DUMMYFUNCTION("""COMPUTED_VALUE"""),"Mozambique-Africa")</f>
        <v>Mozambique-Africa</v>
      </c>
      <c r="AD1660" s="14" t="str">
        <f>IFERROR(__xludf.DUMMYFUNCTION("""COMPUTED_VALUE"""),"2009")</f>
        <v>2009</v>
      </c>
      <c r="AE1660" s="14">
        <f>IFERROR(__xludf.DUMMYFUNCTION("""COMPUTED_VALUE"""),8489.0)</f>
        <v>8489</v>
      </c>
      <c r="AF1660" s="14">
        <f>IFERROR(__xludf.DUMMYFUNCTION("""COMPUTED_VALUE"""),1822.0)</f>
        <v>1822</v>
      </c>
    </row>
    <row r="1661">
      <c r="A1661" s="12">
        <v>1660.0</v>
      </c>
      <c r="B1661" s="12" t="s">
        <v>206</v>
      </c>
      <c r="C1661" s="5" t="s">
        <v>77</v>
      </c>
      <c r="D1661" s="11">
        <v>0.375</v>
      </c>
      <c r="E1661" s="11">
        <v>26.0</v>
      </c>
      <c r="F1661" s="8"/>
      <c r="G1661" s="11">
        <v>230.0</v>
      </c>
      <c r="H1661" s="11">
        <v>0.016</v>
      </c>
      <c r="I1661" s="11">
        <v>0.194</v>
      </c>
      <c r="J1661" s="9" t="s">
        <v>69</v>
      </c>
      <c r="K1661" s="14" t="str">
        <f>IFERROR(__xludf.DUMMYFUNCTION("ARRAYFORMULA(VLOOKUP(A1661,IMPORTRANGE(""https://docs.google.com/spreadsheets/d/1BuTWp7qHGjWhqrnf-OmePP568O4A5Am9ttzvVdP67zw/edit#gid=1603210130"", ""TOURISM!$A$2:$F$2692""), {2,3,4,5,6},0))"),"Africa")</f>
        <v>Africa</v>
      </c>
      <c r="L1661" s="14">
        <f>IFERROR(__xludf.DUMMYFUNCTION("""COMPUTED_VALUE"""),2.13E8)</f>
        <v>213000000</v>
      </c>
      <c r="M1661" s="14" t="str">
        <f>IFERROR(__xludf.DUMMYFUNCTION("""COMPUTED_VALUE"""),"Mozambique-Africa")</f>
        <v>Mozambique-Africa</v>
      </c>
      <c r="N1661" s="14" t="str">
        <f>IFERROR(__xludf.DUMMYFUNCTION("""COMPUTED_VALUE"""),"2008")</f>
        <v>2008</v>
      </c>
      <c r="O1661" s="14">
        <f>IFERROR(__xludf.DUMMYFUNCTION("""COMPUTED_VALUE"""),2.35E8)</f>
        <v>235000000</v>
      </c>
      <c r="P1661" s="15">
        <f>IFERROR(__xludf.DUMMYFUNCTION("ARRAYFORMULA(VLOOKUP(A1661,IMPORTRANGE(""https://docs.google.com/spreadsheets/d/1BuTWp7qHGjWhqrnf-OmePP568O4A5Am9ttzvVdP67zw/edit#gid=771602874"" ,""HUMAN RESOURCES!$A$2:$M$2692""), {2,3,4,5,6,7,8,9,10,11,12,13},0))"),0.042)</f>
        <v>0.042</v>
      </c>
      <c r="Q1661" s="14">
        <f>IFERROR(__xludf.DUMMYFUNCTION("""COMPUTED_VALUE"""),0.078)</f>
        <v>0.078</v>
      </c>
      <c r="R1661" s="14">
        <f>IFERROR(__xludf.DUMMYFUNCTION("""COMPUTED_VALUE"""),50.0)</f>
        <v>50</v>
      </c>
      <c r="S1661" s="14">
        <f>IFERROR(__xludf.DUMMYFUNCTION("""COMPUTED_VALUE"""),47.0)</f>
        <v>47</v>
      </c>
      <c r="T1661" s="14">
        <f>IFERROR(__xludf.DUMMYFUNCTION("""COMPUTED_VALUE"""),0.452)</f>
        <v>0.452</v>
      </c>
      <c r="U1661" s="14">
        <f>IFERROR(__xludf.DUMMYFUNCTION("""COMPUTED_VALUE"""),0.516)</f>
        <v>0.516</v>
      </c>
      <c r="V1661" s="14">
        <f>IFERROR(__xludf.DUMMYFUNCTION("""COMPUTED_VALUE"""),0.032)</f>
        <v>0.032</v>
      </c>
      <c r="W1661" s="14">
        <f>IFERROR(__xludf.DUMMYFUNCTION("""COMPUTED_VALUE"""),2.2762525E7)</f>
        <v>22762525</v>
      </c>
      <c r="X1661" s="14">
        <f>IFERROR(__xludf.DUMMYFUNCTION("""COMPUTED_VALUE"""),0.305)</f>
        <v>0.305</v>
      </c>
      <c r="Y1661" s="14" t="str">
        <f>IFERROR(__xludf.DUMMYFUNCTION("""COMPUTED_VALUE"""),"Mozambique-Africa")</f>
        <v>Mozambique-Africa</v>
      </c>
      <c r="Z1661" s="14" t="str">
        <f>IFERROR(__xludf.DUMMYFUNCTION("""COMPUTED_VALUE"""),"Africa")</f>
        <v>Africa</v>
      </c>
      <c r="AA1661" s="14" t="str">
        <f>IFERROR(__xludf.DUMMYFUNCTION("""COMPUTED_VALUE"""),"2008")</f>
        <v>2008</v>
      </c>
      <c r="AB1661" s="15" t="str">
        <f>IFERROR(__xludf.DUMMYFUNCTION("ARRAYFORMULA(VLOOKUP(A1661,IMPORTRANGE(""https://docs.google.com/spreadsheets/d/1BuTWp7qHGjWhqrnf-OmePP568O4A5Am9ttzvVdP67zw/edit#gid=1931367683"" ,""ENERGY!$A$2:$F$2692""), {2,3,4,5,6},0))"),"Africa")</f>
        <v>Africa</v>
      </c>
      <c r="AC1661" s="14" t="str">
        <f>IFERROR(__xludf.DUMMYFUNCTION("""COMPUTED_VALUE"""),"Mozambique-Africa")</f>
        <v>Mozambique-Africa</v>
      </c>
      <c r="AD1661" s="14" t="str">
        <f>IFERROR(__xludf.DUMMYFUNCTION("""COMPUTED_VALUE"""),"2006")</f>
        <v>2006</v>
      </c>
      <c r="AE1661" s="14">
        <f>IFERROR(__xludf.DUMMYFUNCTION("""COMPUTED_VALUE"""),8375.0)</f>
        <v>8375</v>
      </c>
      <c r="AF1661" s="14">
        <f>IFERROR(__xludf.DUMMYFUNCTION("""COMPUTED_VALUE"""),1922.0)</f>
        <v>1922</v>
      </c>
    </row>
    <row r="1662">
      <c r="A1662" s="12">
        <v>1661.0</v>
      </c>
      <c r="B1662" s="12" t="s">
        <v>206</v>
      </c>
      <c r="C1662" s="5" t="s">
        <v>77</v>
      </c>
      <c r="D1662" s="11">
        <v>0.375</v>
      </c>
      <c r="E1662" s="11">
        <v>26.0</v>
      </c>
      <c r="F1662" s="8"/>
      <c r="G1662" s="11">
        <v>230.0</v>
      </c>
      <c r="H1662" s="11">
        <v>0.027</v>
      </c>
      <c r="I1662" s="11">
        <v>0.256</v>
      </c>
      <c r="J1662" s="9" t="s">
        <v>70</v>
      </c>
      <c r="K1662" s="14" t="str">
        <f>IFERROR(__xludf.DUMMYFUNCTION("ARRAYFORMULA(VLOOKUP(A1662,IMPORTRANGE(""https://docs.google.com/spreadsheets/d/1BuTWp7qHGjWhqrnf-OmePP568O4A5Am9ttzvVdP67zw/edit#gid=1603210130"", ""TOURISM!$A$2:$F$2692""), {2,3,4,5,6},0))"),"Africa")</f>
        <v>Africa</v>
      </c>
      <c r="L1662" s="14">
        <f>IFERROR(__xludf.DUMMYFUNCTION("""COMPUTED_VALUE"""),2.17E8)</f>
        <v>217000000</v>
      </c>
      <c r="M1662" s="14" t="str">
        <f>IFERROR(__xludf.DUMMYFUNCTION("""COMPUTED_VALUE"""),"Mozambique-Africa")</f>
        <v>Mozambique-Africa</v>
      </c>
      <c r="N1662" s="14" t="str">
        <f>IFERROR(__xludf.DUMMYFUNCTION("""COMPUTED_VALUE"""),"2009")</f>
        <v>2009</v>
      </c>
      <c r="O1662" s="14">
        <f>IFERROR(__xludf.DUMMYFUNCTION("""COMPUTED_VALUE"""),2.47E8)</f>
        <v>247000000</v>
      </c>
      <c r="P1662" s="15">
        <f>IFERROR(__xludf.DUMMYFUNCTION("ARRAYFORMULA(VLOOKUP(A1662,IMPORTRANGE(""https://docs.google.com/spreadsheets/d/1BuTWp7qHGjWhqrnf-OmePP568O4A5Am9ttzvVdP67zw/edit#gid=771602874"" ,""HUMAN RESOURCES!$A$2:$M$2692""), {2,3,4,5,6,7,8,9,10,11,12,13},0))"),0.041)</f>
        <v>0.041</v>
      </c>
      <c r="Q1662" s="14">
        <f>IFERROR(__xludf.DUMMYFUNCTION("""COMPUTED_VALUE"""),0.074)</f>
        <v>0.074</v>
      </c>
      <c r="R1662" s="14">
        <f>IFERROR(__xludf.DUMMYFUNCTION("""COMPUTED_VALUE"""),50.0)</f>
        <v>50</v>
      </c>
      <c r="S1662" s="14">
        <f>IFERROR(__xludf.DUMMYFUNCTION("""COMPUTED_VALUE"""),48.0)</f>
        <v>48</v>
      </c>
      <c r="T1662" s="14">
        <f>IFERROR(__xludf.DUMMYFUNCTION("""COMPUTED_VALUE"""),0.453)</f>
        <v>0.453</v>
      </c>
      <c r="U1662" s="14">
        <f>IFERROR(__xludf.DUMMYFUNCTION("""COMPUTED_VALUE"""),0.515)</f>
        <v>0.515</v>
      </c>
      <c r="V1662" s="14">
        <f>IFERROR(__xludf.DUMMYFUNCTION("""COMPUTED_VALUE"""),0.032)</f>
        <v>0.032</v>
      </c>
      <c r="W1662" s="14">
        <f>IFERROR(__xludf.DUMMYFUNCTION("""COMPUTED_VALUE"""),2.3361025E7)</f>
        <v>23361025</v>
      </c>
      <c r="X1662" s="14">
        <f>IFERROR(__xludf.DUMMYFUNCTION("""COMPUTED_VALUE"""),0.307)</f>
        <v>0.307</v>
      </c>
      <c r="Y1662" s="14" t="str">
        <f>IFERROR(__xludf.DUMMYFUNCTION("""COMPUTED_VALUE"""),"Mozambique-Africa")</f>
        <v>Mozambique-Africa</v>
      </c>
      <c r="Z1662" s="14" t="str">
        <f>IFERROR(__xludf.DUMMYFUNCTION("""COMPUTED_VALUE"""),"Africa")</f>
        <v>Africa</v>
      </c>
      <c r="AA1662" s="14" t="str">
        <f>IFERROR(__xludf.DUMMYFUNCTION("""COMPUTED_VALUE"""),"2009")</f>
        <v>2009</v>
      </c>
      <c r="AB1662" s="15" t="str">
        <f>IFERROR(__xludf.DUMMYFUNCTION("ARRAYFORMULA(VLOOKUP(A1662,IMPORTRANGE(""https://docs.google.com/spreadsheets/d/1BuTWp7qHGjWhqrnf-OmePP568O4A5Am9ttzvVdP67zw/edit#gid=1931367683"" ,""ENERGY!$A$2:$F$2692""), {2,3,4,5,6},0))"),"Africa")</f>
        <v>Africa</v>
      </c>
      <c r="AC1662" s="14" t="str">
        <f>IFERROR(__xludf.DUMMYFUNCTION("""COMPUTED_VALUE"""),"Mozambique-Africa")</f>
        <v>Mozambique-Africa</v>
      </c>
      <c r="AD1662" s="14" t="str">
        <f>IFERROR(__xludf.DUMMYFUNCTION("""COMPUTED_VALUE"""),"2011")</f>
        <v>2011</v>
      </c>
      <c r="AE1662" s="14">
        <f>IFERROR(__xludf.DUMMYFUNCTION("""COMPUTED_VALUE"""),8063.0)</f>
        <v>8063</v>
      </c>
      <c r="AF1662" s="14">
        <f>IFERROR(__xludf.DUMMYFUNCTION("""COMPUTED_VALUE"""),1918.0)</f>
        <v>1918</v>
      </c>
    </row>
    <row r="1663">
      <c r="A1663" s="12">
        <v>1662.0</v>
      </c>
      <c r="B1663" s="12" t="s">
        <v>206</v>
      </c>
      <c r="C1663" s="5" t="s">
        <v>77</v>
      </c>
      <c r="D1663" s="11">
        <v>0.375</v>
      </c>
      <c r="E1663" s="11">
        <v>13.0</v>
      </c>
      <c r="F1663" s="8"/>
      <c r="G1663" s="11">
        <v>230.0</v>
      </c>
      <c r="H1663" s="11">
        <v>0.042</v>
      </c>
      <c r="I1663" s="11">
        <v>0.301</v>
      </c>
      <c r="J1663" s="9" t="s">
        <v>71</v>
      </c>
      <c r="K1663" s="14" t="str">
        <f>IFERROR(__xludf.DUMMYFUNCTION("ARRAYFORMULA(VLOOKUP(A1663,IMPORTRANGE(""https://docs.google.com/spreadsheets/d/1BuTWp7qHGjWhqrnf-OmePP568O4A5Am9ttzvVdP67zw/edit#gid=1603210130"", ""TOURISM!$A$2:$F$2692""), {2,3,4,5,6},0))"),"Africa")</f>
        <v>Africa</v>
      </c>
      <c r="L1663" s="14">
        <f>IFERROR(__xludf.DUMMYFUNCTION("""COMPUTED_VALUE"""),2.24E8)</f>
        <v>224000000</v>
      </c>
      <c r="M1663" s="14" t="str">
        <f>IFERROR(__xludf.DUMMYFUNCTION("""COMPUTED_VALUE"""),"Mozambique-Africa")</f>
        <v>Mozambique-Africa</v>
      </c>
      <c r="N1663" s="14" t="str">
        <f>IFERROR(__xludf.DUMMYFUNCTION("""COMPUTED_VALUE"""),"2010")</f>
        <v>2010</v>
      </c>
      <c r="O1663" s="14">
        <f>IFERROR(__xludf.DUMMYFUNCTION("""COMPUTED_VALUE"""),2.6E8)</f>
        <v>260000000</v>
      </c>
      <c r="P1663" s="15">
        <f>IFERROR(__xludf.DUMMYFUNCTION("ARRAYFORMULA(VLOOKUP(A1663,IMPORTRANGE(""https://docs.google.com/spreadsheets/d/1BuTWp7qHGjWhqrnf-OmePP568O4A5Am9ttzvVdP67zw/edit#gid=771602874"" ,""HUMAN RESOURCES!$A$2:$M$2692""), {2,3,4,5,6,7,8,9,10,11,12,13},0))"),0.041)</f>
        <v>0.041</v>
      </c>
      <c r="Q1663" s="14">
        <f>IFERROR(__xludf.DUMMYFUNCTION("""COMPUTED_VALUE"""),0.072)</f>
        <v>0.072</v>
      </c>
      <c r="R1663" s="14">
        <f>IFERROR(__xludf.DUMMYFUNCTION("""COMPUTED_VALUE"""),50.0)</f>
        <v>50</v>
      </c>
      <c r="S1663" s="14">
        <f>IFERROR(__xludf.DUMMYFUNCTION("""COMPUTED_VALUE"""),48.0)</f>
        <v>48</v>
      </c>
      <c r="T1663" s="14">
        <f>IFERROR(__xludf.DUMMYFUNCTION("""COMPUTED_VALUE"""),0.453)</f>
        <v>0.453</v>
      </c>
      <c r="U1663" s="14">
        <f>IFERROR(__xludf.DUMMYFUNCTION("""COMPUTED_VALUE"""),0.514)</f>
        <v>0.514</v>
      </c>
      <c r="V1663" s="14">
        <f>IFERROR(__xludf.DUMMYFUNCTION("""COMPUTED_VALUE"""),0.032)</f>
        <v>0.032</v>
      </c>
      <c r="W1663" s="14">
        <f>IFERROR(__xludf.DUMMYFUNCTION("""COMPUTED_VALUE"""),2.3967265E7)</f>
        <v>23967265</v>
      </c>
      <c r="X1663" s="14">
        <f>IFERROR(__xludf.DUMMYFUNCTION("""COMPUTED_VALUE"""),0.31)</f>
        <v>0.31</v>
      </c>
      <c r="Y1663" s="14" t="str">
        <f>IFERROR(__xludf.DUMMYFUNCTION("""COMPUTED_VALUE"""),"Mozambique-Africa")</f>
        <v>Mozambique-Africa</v>
      </c>
      <c r="Z1663" s="14" t="str">
        <f>IFERROR(__xludf.DUMMYFUNCTION("""COMPUTED_VALUE"""),"Africa")</f>
        <v>Africa</v>
      </c>
      <c r="AA1663" s="14" t="str">
        <f>IFERROR(__xludf.DUMMYFUNCTION("""COMPUTED_VALUE"""),"2010")</f>
        <v>2010</v>
      </c>
      <c r="AB1663" s="15" t="str">
        <f>IFERROR(__xludf.DUMMYFUNCTION("ARRAYFORMULA(VLOOKUP(A1663,IMPORTRANGE(""https://docs.google.com/spreadsheets/d/1BuTWp7qHGjWhqrnf-OmePP568O4A5Am9ttzvVdP67zw/edit#gid=1931367683"" ,""ENERGY!$A$2:$F$2692""), {2,3,4,5,6},0))"),"Africa")</f>
        <v>Africa</v>
      </c>
      <c r="AC1663" s="14" t="str">
        <f>IFERROR(__xludf.DUMMYFUNCTION("""COMPUTED_VALUE"""),"Mozambique-Africa")</f>
        <v>Mozambique-Africa</v>
      </c>
      <c r="AD1663" s="14" t="str">
        <f>IFERROR(__xludf.DUMMYFUNCTION("""COMPUTED_VALUE"""),"2005")</f>
        <v>2005</v>
      </c>
      <c r="AE1663" s="14">
        <f>IFERROR(__xludf.DUMMYFUNCTION("""COMPUTED_VALUE"""),7645.0)</f>
        <v>7645</v>
      </c>
      <c r="AF1663" s="14">
        <f>IFERROR(__xludf.DUMMYFUNCTION("""COMPUTED_VALUE"""),1588.0)</f>
        <v>1588</v>
      </c>
    </row>
    <row r="1664">
      <c r="A1664" s="12">
        <v>1663.0</v>
      </c>
      <c r="B1664" s="12" t="s">
        <v>206</v>
      </c>
      <c r="C1664" s="5" t="s">
        <v>77</v>
      </c>
      <c r="D1664" s="11">
        <v>0.375</v>
      </c>
      <c r="E1664" s="11">
        <v>13.0</v>
      </c>
      <c r="F1664" s="8"/>
      <c r="G1664" s="11">
        <v>230.0</v>
      </c>
      <c r="H1664" s="11">
        <v>0.043</v>
      </c>
      <c r="I1664" s="11">
        <v>0.32</v>
      </c>
      <c r="J1664" s="9" t="s">
        <v>72</v>
      </c>
      <c r="K1664" s="14" t="str">
        <f>IFERROR(__xludf.DUMMYFUNCTION("ARRAYFORMULA(VLOOKUP(A1664,IMPORTRANGE(""https://docs.google.com/spreadsheets/d/1BuTWp7qHGjWhqrnf-OmePP568O4A5Am9ttzvVdP67zw/edit#gid=1603210130"", ""TOURISM!$A$2:$F$2692""), {2,3,4,5,6},0))"),"Africa")</f>
        <v>Africa</v>
      </c>
      <c r="L1664" s="14">
        <f>IFERROR(__xludf.DUMMYFUNCTION("""COMPUTED_VALUE"""),2.66E8)</f>
        <v>266000000</v>
      </c>
      <c r="M1664" s="14" t="str">
        <f>IFERROR(__xludf.DUMMYFUNCTION("""COMPUTED_VALUE"""),"Mozambique-Africa")</f>
        <v>Mozambique-Africa</v>
      </c>
      <c r="N1664" s="14" t="str">
        <f>IFERROR(__xludf.DUMMYFUNCTION("""COMPUTED_VALUE"""),"2011")</f>
        <v>2011</v>
      </c>
      <c r="O1664" s="14">
        <f>IFERROR(__xludf.DUMMYFUNCTION("""COMPUTED_VALUE"""),2.56E8)</f>
        <v>256000000</v>
      </c>
      <c r="P1664" s="15">
        <f>IFERROR(__xludf.DUMMYFUNCTION("ARRAYFORMULA(VLOOKUP(A1664,IMPORTRANGE(""https://docs.google.com/spreadsheets/d/1BuTWp7qHGjWhqrnf-OmePP568O4A5Am9ttzvVdP67zw/edit#gid=771602874"" ,""HUMAN RESOURCES!$A$2:$M$2692""), {2,3,4,5,6,7,8,9,10,11,12,13},0))"),0.04)</f>
        <v>0.04</v>
      </c>
      <c r="Q1664" s="14">
        <f>IFERROR(__xludf.DUMMYFUNCTION("""COMPUTED_VALUE"""),0.068)</f>
        <v>0.068</v>
      </c>
      <c r="R1664" s="14">
        <f>IFERROR(__xludf.DUMMYFUNCTION("""COMPUTED_VALUE"""),50.0)</f>
        <v>50</v>
      </c>
      <c r="S1664" s="14">
        <f>IFERROR(__xludf.DUMMYFUNCTION("""COMPUTED_VALUE"""),49.0)</f>
        <v>49</v>
      </c>
      <c r="T1664" s="14">
        <f>IFERROR(__xludf.DUMMYFUNCTION("""COMPUTED_VALUE"""),0.454)</f>
        <v>0.454</v>
      </c>
      <c r="U1664" s="14">
        <f>IFERROR(__xludf.DUMMYFUNCTION("""COMPUTED_VALUE"""),0.514)</f>
        <v>0.514</v>
      </c>
      <c r="V1664" s="14">
        <f>IFERROR(__xludf.DUMMYFUNCTION("""COMPUTED_VALUE"""),0.032)</f>
        <v>0.032</v>
      </c>
      <c r="W1664" s="14">
        <f>IFERROR(__xludf.DUMMYFUNCTION("""COMPUTED_VALUE"""),2.4581367E7)</f>
        <v>24581367</v>
      </c>
      <c r="X1664" s="14">
        <f>IFERROR(__xludf.DUMMYFUNCTION("""COMPUTED_VALUE"""),0.312)</f>
        <v>0.312</v>
      </c>
      <c r="Y1664" s="14" t="str">
        <f>IFERROR(__xludf.DUMMYFUNCTION("""COMPUTED_VALUE"""),"Mozambique-Africa")</f>
        <v>Mozambique-Africa</v>
      </c>
      <c r="Z1664" s="14" t="str">
        <f>IFERROR(__xludf.DUMMYFUNCTION("""COMPUTED_VALUE"""),"Africa")</f>
        <v>Africa</v>
      </c>
      <c r="AA1664" s="14" t="str">
        <f>IFERROR(__xludf.DUMMYFUNCTION("""COMPUTED_VALUE"""),"2011")</f>
        <v>2011</v>
      </c>
      <c r="AB1664" s="15" t="str">
        <f>IFERROR(__xludf.DUMMYFUNCTION("ARRAYFORMULA(VLOOKUP(A1664,IMPORTRANGE(""https://docs.google.com/spreadsheets/d/1BuTWp7qHGjWhqrnf-OmePP568O4A5Am9ttzvVdP67zw/edit#gid=1931367683"" ,""ENERGY!$A$2:$F$2692""), {2,3,4,5,6},0))"),"Africa")</f>
        <v>Africa</v>
      </c>
      <c r="AC1664" s="14" t="str">
        <f>IFERROR(__xludf.DUMMYFUNCTION("""COMPUTED_VALUE"""),"Mozambique-Africa")</f>
        <v>Mozambique-Africa</v>
      </c>
      <c r="AD1664" s="14" t="str">
        <f>IFERROR(__xludf.DUMMYFUNCTION("""COMPUTED_VALUE"""),"2006")</f>
        <v>2006</v>
      </c>
      <c r="AE1664" s="14">
        <f>IFERROR(__xludf.DUMMYFUNCTION("""COMPUTED_VALUE"""),7547.0)</f>
        <v>7547</v>
      </c>
      <c r="AF1664" s="14">
        <f>IFERROR(__xludf.DUMMYFUNCTION("""COMPUTED_VALUE"""),1580.0)</f>
        <v>1580</v>
      </c>
    </row>
    <row r="1665">
      <c r="A1665" s="12">
        <v>1664.0</v>
      </c>
      <c r="B1665" s="12" t="s">
        <v>206</v>
      </c>
      <c r="C1665" s="5" t="s">
        <v>77</v>
      </c>
      <c r="D1665" s="11">
        <v>0.375</v>
      </c>
      <c r="E1665" s="11">
        <v>13.0</v>
      </c>
      <c r="F1665" s="11">
        <v>142.0</v>
      </c>
      <c r="G1665" s="11">
        <v>230.0</v>
      </c>
      <c r="H1665" s="11">
        <v>0.048</v>
      </c>
      <c r="I1665" s="11">
        <v>0.349</v>
      </c>
      <c r="J1665" s="9" t="s">
        <v>73</v>
      </c>
      <c r="K1665" s="14" t="str">
        <f>IFERROR(__xludf.DUMMYFUNCTION("ARRAYFORMULA(VLOOKUP(A1665,IMPORTRANGE(""https://docs.google.com/spreadsheets/d/1BuTWp7qHGjWhqrnf-OmePP568O4A5Am9ttzvVdP67zw/edit#gid=1603210130"", ""TOURISM!$A$2:$F$2692""), {2,3,4,5,6},0))"),"Africa")</f>
        <v>Africa</v>
      </c>
      <c r="L1665" s="14">
        <f>IFERROR(__xludf.DUMMYFUNCTION("""COMPUTED_VALUE"""),2.89E8)</f>
        <v>289000000</v>
      </c>
      <c r="M1665" s="14" t="str">
        <f>IFERROR(__xludf.DUMMYFUNCTION("""COMPUTED_VALUE"""),"Mozambique-Africa")</f>
        <v>Mozambique-Africa</v>
      </c>
      <c r="N1665" s="14" t="str">
        <f>IFERROR(__xludf.DUMMYFUNCTION("""COMPUTED_VALUE"""),"2012")</f>
        <v>2012</v>
      </c>
      <c r="O1665" s="14">
        <f>IFERROR(__xludf.DUMMYFUNCTION("""COMPUTED_VALUE"""),2.3E8)</f>
        <v>230000000</v>
      </c>
      <c r="P1665" s="15">
        <f>IFERROR(__xludf.DUMMYFUNCTION("ARRAYFORMULA(VLOOKUP(A1665,IMPORTRANGE(""https://docs.google.com/spreadsheets/d/1BuTWp7qHGjWhqrnf-OmePP568O4A5Am9ttzvVdP67zw/edit#gid=771602874"" ,""HUMAN RESOURCES!$A$2:$M$2692""), {2,3,4,5,6,7,8,9,10,11,12,13},0))"),0.039)</f>
        <v>0.039</v>
      </c>
      <c r="Q1665" s="14">
        <f>IFERROR(__xludf.DUMMYFUNCTION("""COMPUTED_VALUE"""),0.064)</f>
        <v>0.064</v>
      </c>
      <c r="R1665" s="14">
        <f>IFERROR(__xludf.DUMMYFUNCTION("""COMPUTED_VALUE"""),51.0)</f>
        <v>51</v>
      </c>
      <c r="S1665" s="14">
        <f>IFERROR(__xludf.DUMMYFUNCTION("""COMPUTED_VALUE"""),49.0)</f>
        <v>49</v>
      </c>
      <c r="T1665" s="14">
        <f>IFERROR(__xludf.DUMMYFUNCTION("""COMPUTED_VALUE"""),0.454)</f>
        <v>0.454</v>
      </c>
      <c r="U1665" s="14">
        <f>IFERROR(__xludf.DUMMYFUNCTION("""COMPUTED_VALUE"""),0.514)</f>
        <v>0.514</v>
      </c>
      <c r="V1665" s="14">
        <f>IFERROR(__xludf.DUMMYFUNCTION("""COMPUTED_VALUE"""),0.033)</f>
        <v>0.033</v>
      </c>
      <c r="W1665" s="14">
        <f>IFERROR(__xludf.DUMMYFUNCTION("""COMPUTED_VALUE"""),2.5203395E7)</f>
        <v>25203395</v>
      </c>
      <c r="X1665" s="14">
        <f>IFERROR(__xludf.DUMMYFUNCTION("""COMPUTED_VALUE"""),0.314)</f>
        <v>0.314</v>
      </c>
      <c r="Y1665" s="14" t="str">
        <f>IFERROR(__xludf.DUMMYFUNCTION("""COMPUTED_VALUE"""),"Mozambique-Africa")</f>
        <v>Mozambique-Africa</v>
      </c>
      <c r="Z1665" s="14" t="str">
        <f>IFERROR(__xludf.DUMMYFUNCTION("""COMPUTED_VALUE"""),"Africa")</f>
        <v>Africa</v>
      </c>
      <c r="AA1665" s="14" t="str">
        <f>IFERROR(__xludf.DUMMYFUNCTION("""COMPUTED_VALUE"""),"2012")</f>
        <v>2012</v>
      </c>
      <c r="AB1665" s="15" t="str">
        <f>IFERROR(__xludf.DUMMYFUNCTION("ARRAYFORMULA(VLOOKUP(A1665,IMPORTRANGE(""https://docs.google.com/spreadsheets/d/1BuTWp7qHGjWhqrnf-OmePP568O4A5Am9ttzvVdP67zw/edit#gid=1931367683"" ,""ENERGY!$A$2:$F$2692""), {2,3,4,5,6},0))"),"Africa")</f>
        <v>Africa</v>
      </c>
      <c r="AC1665" s="14" t="str">
        <f>IFERROR(__xludf.DUMMYFUNCTION("""COMPUTED_VALUE"""),"Mozambique-Africa")</f>
        <v>Mozambique-Africa</v>
      </c>
      <c r="AD1665" s="14" t="str">
        <f>IFERROR(__xludf.DUMMYFUNCTION("""COMPUTED_VALUE"""),"2011")</f>
        <v>2011</v>
      </c>
      <c r="AE1665" s="14">
        <f>IFERROR(__xludf.DUMMYFUNCTION("""COMPUTED_VALUE"""),7173.0)</f>
        <v>7173</v>
      </c>
      <c r="AF1665" s="14">
        <f>IFERROR(__xludf.DUMMYFUNCTION("""COMPUTED_VALUE"""),1349.0)</f>
        <v>1349</v>
      </c>
    </row>
    <row r="1666">
      <c r="A1666" s="12">
        <v>1665.0</v>
      </c>
      <c r="B1666" s="12" t="s">
        <v>207</v>
      </c>
      <c r="C1666" s="5" t="s">
        <v>61</v>
      </c>
      <c r="D1666" s="8"/>
      <c r="E1666" s="8"/>
      <c r="F1666" s="8"/>
      <c r="G1666" s="8"/>
      <c r="H1666" s="8"/>
      <c r="I1666" s="11">
        <v>0.0</v>
      </c>
      <c r="J1666" s="9" t="s">
        <v>60</v>
      </c>
      <c r="K1666" s="14" t="str">
        <f>IFERROR(__xludf.DUMMYFUNCTION("ARRAYFORMULA(VLOOKUP(A1666,IMPORTRANGE(""https://docs.google.com/spreadsheets/d/1BuTWp7qHGjWhqrnf-OmePP568O4A5Am9ttzvVdP67zw/edit#gid=1603210130"", ""TOURISM!$A$2:$F$2692""), {2,3,4,5,6},0))"),"Asia")</f>
        <v>Asia</v>
      </c>
      <c r="L1666" s="14">
        <f>IFERROR(__xludf.DUMMYFUNCTION("""COMPUTED_VALUE"""),1.95E8)</f>
        <v>195000000</v>
      </c>
      <c r="M1666" s="14" t="str">
        <f>IFERROR(__xludf.DUMMYFUNCTION("""COMPUTED_VALUE"""),"Myanmar-Asia")</f>
        <v>Myanmar-Asia</v>
      </c>
      <c r="N1666" s="14" t="str">
        <f>IFERROR(__xludf.DUMMYFUNCTION("""COMPUTED_VALUE"""),"2000")</f>
        <v>2000</v>
      </c>
      <c r="O1666" s="14">
        <f>IFERROR(__xludf.DUMMYFUNCTION("""COMPUTED_VALUE"""),3.0E7)</f>
        <v>30000000</v>
      </c>
      <c r="P1666" s="15">
        <f>IFERROR(__xludf.DUMMYFUNCTION("ARRAYFORMULA(VLOOKUP(A1666,IMPORTRANGE(""https://docs.google.com/spreadsheets/d/1BuTWp7qHGjWhqrnf-OmePP568O4A5Am9ttzvVdP67zw/edit#gid=771602874"" ,""HUMAN RESOURCES!$A$2:$M$2692""), {2,3,4,5,6,7,8,9,10,11,12,13},0))"),0.021)</f>
        <v>0.021</v>
      </c>
      <c r="Q1666" s="14">
        <f>IFERROR(__xludf.DUMMYFUNCTION("""COMPUTED_VALUE"""),0.059)</f>
        <v>0.059</v>
      </c>
      <c r="R1666" s="14">
        <f>IFERROR(__xludf.DUMMYFUNCTION("""COMPUTED_VALUE"""),64.0)</f>
        <v>64</v>
      </c>
      <c r="S1666" s="14">
        <f>IFERROR(__xludf.DUMMYFUNCTION("""COMPUTED_VALUE"""),60.0)</f>
        <v>60</v>
      </c>
      <c r="T1666" s="14">
        <f>IFERROR(__xludf.DUMMYFUNCTION("""COMPUTED_VALUE"""),0.307)</f>
        <v>0.307</v>
      </c>
      <c r="U1666" s="14">
        <f>IFERROR(__xludf.DUMMYFUNCTION("""COMPUTED_VALUE"""),0.645)</f>
        <v>0.645</v>
      </c>
      <c r="V1666" s="14">
        <f>IFERROR(__xludf.DUMMYFUNCTION("""COMPUTED_VALUE"""),0.047)</f>
        <v>0.047</v>
      </c>
      <c r="W1666" s="14">
        <f>IFERROR(__xludf.DUMMYFUNCTION("""COMPUTED_VALUE"""),4.8453E7)</f>
        <v>48453000</v>
      </c>
      <c r="X1666" s="14">
        <f>IFERROR(__xludf.DUMMYFUNCTION("""COMPUTED_VALUE"""),0.27)</f>
        <v>0.27</v>
      </c>
      <c r="Y1666" s="14" t="str">
        <f>IFERROR(__xludf.DUMMYFUNCTION("""COMPUTED_VALUE"""),"Myanmar-Asia")</f>
        <v>Myanmar-Asia</v>
      </c>
      <c r="Z1666" s="14" t="str">
        <f>IFERROR(__xludf.DUMMYFUNCTION("""COMPUTED_VALUE"""),"Asia")</f>
        <v>Asia</v>
      </c>
      <c r="AA1666" s="14" t="str">
        <f>IFERROR(__xludf.DUMMYFUNCTION("""COMPUTED_VALUE"""),"2000")</f>
        <v>2000</v>
      </c>
      <c r="AB1666" s="15" t="str">
        <f>IFERROR(__xludf.DUMMYFUNCTION("ARRAYFORMULA(VLOOKUP(A1666,IMPORTRANGE(""https://docs.google.com/spreadsheets/d/1BuTWp7qHGjWhqrnf-OmePP568O4A5Am9ttzvVdP67zw/edit#gid=1931367683"" ,""ENERGY!$A$2:$F$2692""), {2,3,4,5,6},0))"),"Asia")</f>
        <v>Asia</v>
      </c>
      <c r="AC1666" s="14" t="str">
        <f>IFERROR(__xludf.DUMMYFUNCTION("""COMPUTED_VALUE"""),"Myanmar-Asia")</f>
        <v>Myanmar-Asia</v>
      </c>
      <c r="AD1666" s="14" t="str">
        <f>IFERROR(__xludf.DUMMYFUNCTION("""COMPUTED_VALUE"""),"2000")</f>
        <v>2000</v>
      </c>
      <c r="AE1666" s="14"/>
      <c r="AF1666" s="14"/>
    </row>
    <row r="1667">
      <c r="A1667" s="12">
        <v>1666.0</v>
      </c>
      <c r="B1667" s="12" t="s">
        <v>207</v>
      </c>
      <c r="C1667" s="5" t="s">
        <v>61</v>
      </c>
      <c r="D1667" s="8"/>
      <c r="E1667" s="8"/>
      <c r="F1667" s="8"/>
      <c r="G1667" s="8"/>
      <c r="H1667" s="11">
        <v>0.0</v>
      </c>
      <c r="I1667" s="11">
        <v>0.0</v>
      </c>
      <c r="J1667" s="9" t="s">
        <v>62</v>
      </c>
      <c r="K1667" s="14" t="str">
        <f>IFERROR(__xludf.DUMMYFUNCTION("ARRAYFORMULA(VLOOKUP(A1667,IMPORTRANGE(""https://docs.google.com/spreadsheets/d/1BuTWp7qHGjWhqrnf-OmePP568O4A5Am9ttzvVdP67zw/edit#gid=1603210130"", ""TOURISM!$A$2:$F$2692""), {2,3,4,5,6},0))"),"Asia")</f>
        <v>Asia</v>
      </c>
      <c r="L1667" s="14">
        <f>IFERROR(__xludf.DUMMYFUNCTION("""COMPUTED_VALUE"""),1.32E8)</f>
        <v>132000000</v>
      </c>
      <c r="M1667" s="14" t="str">
        <f>IFERROR(__xludf.DUMMYFUNCTION("""COMPUTED_VALUE"""),"Myanmar-Asia")</f>
        <v>Myanmar-Asia</v>
      </c>
      <c r="N1667" s="14" t="str">
        <f>IFERROR(__xludf.DUMMYFUNCTION("""COMPUTED_VALUE"""),"2001")</f>
        <v>2001</v>
      </c>
      <c r="O1667" s="14">
        <f>IFERROR(__xludf.DUMMYFUNCTION("""COMPUTED_VALUE"""),3.2E7)</f>
        <v>32000000</v>
      </c>
      <c r="P1667" s="15">
        <f>IFERROR(__xludf.DUMMYFUNCTION("ARRAYFORMULA(VLOOKUP(A1667,IMPORTRANGE(""https://docs.google.com/spreadsheets/d/1BuTWp7qHGjWhqrnf-OmePP568O4A5Am9ttzvVdP67zw/edit#gid=771602874"" ,""HUMAN RESOURCES!$A$2:$M$2692""), {2,3,4,5,6,7,8,9,10,11,12,13},0))"),0.02)</f>
        <v>0.02</v>
      </c>
      <c r="Q1667" s="14">
        <f>IFERROR(__xludf.DUMMYFUNCTION("""COMPUTED_VALUE"""),0.057)</f>
        <v>0.057</v>
      </c>
      <c r="R1667" s="14">
        <f>IFERROR(__xludf.DUMMYFUNCTION("""COMPUTED_VALUE"""),64.0)</f>
        <v>64</v>
      </c>
      <c r="S1667" s="14">
        <f>IFERROR(__xludf.DUMMYFUNCTION("""COMPUTED_VALUE"""),60.0)</f>
        <v>60</v>
      </c>
      <c r="T1667" s="14">
        <f>IFERROR(__xludf.DUMMYFUNCTION("""COMPUTED_VALUE"""),0.301)</f>
        <v>0.301</v>
      </c>
      <c r="U1667" s="14">
        <f>IFERROR(__xludf.DUMMYFUNCTION("""COMPUTED_VALUE"""),0.651)</f>
        <v>0.651</v>
      </c>
      <c r="V1667" s="14">
        <f>IFERROR(__xludf.DUMMYFUNCTION("""COMPUTED_VALUE"""),0.048)</f>
        <v>0.048</v>
      </c>
      <c r="W1667" s="14">
        <f>IFERROR(__xludf.DUMMYFUNCTION("""COMPUTED_VALUE"""),4.8894203E7)</f>
        <v>48894203</v>
      </c>
      <c r="X1667" s="14">
        <f>IFERROR(__xludf.DUMMYFUNCTION("""COMPUTED_VALUE"""),0.273)</f>
        <v>0.273</v>
      </c>
      <c r="Y1667" s="14" t="str">
        <f>IFERROR(__xludf.DUMMYFUNCTION("""COMPUTED_VALUE"""),"Myanmar-Asia")</f>
        <v>Myanmar-Asia</v>
      </c>
      <c r="Z1667" s="14" t="str">
        <f>IFERROR(__xludf.DUMMYFUNCTION("""COMPUTED_VALUE"""),"Asia")</f>
        <v>Asia</v>
      </c>
      <c r="AA1667" s="14" t="str">
        <f>IFERROR(__xludf.DUMMYFUNCTION("""COMPUTED_VALUE"""),"2001")</f>
        <v>2001</v>
      </c>
      <c r="AB1667" s="15" t="str">
        <f>IFERROR(__xludf.DUMMYFUNCTION("ARRAYFORMULA(VLOOKUP(A1667,IMPORTRANGE(""https://docs.google.com/spreadsheets/d/1BuTWp7qHGjWhqrnf-OmePP568O4A5Am9ttzvVdP67zw/edit#gid=1931367683"" ,""ENERGY!$A$2:$F$2692""), {2,3,4,5,6},0))"),"Asia")</f>
        <v>Asia</v>
      </c>
      <c r="AC1667" s="14" t="str">
        <f>IFERROR(__xludf.DUMMYFUNCTION("""COMPUTED_VALUE"""),"Myanmar-Asia")</f>
        <v>Myanmar-Asia</v>
      </c>
      <c r="AD1667" s="14" t="str">
        <f>IFERROR(__xludf.DUMMYFUNCTION("""COMPUTED_VALUE"""),"2001")</f>
        <v>2001</v>
      </c>
      <c r="AE1667" s="14">
        <f>IFERROR(__xludf.DUMMYFUNCTION("""COMPUTED_VALUE"""),14056.0)</f>
        <v>14056</v>
      </c>
      <c r="AF1667" s="14"/>
    </row>
    <row r="1668">
      <c r="A1668" s="12">
        <v>1667.0</v>
      </c>
      <c r="B1668" s="12" t="s">
        <v>207</v>
      </c>
      <c r="C1668" s="5" t="s">
        <v>61</v>
      </c>
      <c r="D1668" s="8"/>
      <c r="E1668" s="8"/>
      <c r="F1668" s="8"/>
      <c r="G1668" s="8"/>
      <c r="H1668" s="11">
        <v>0.0</v>
      </c>
      <c r="I1668" s="11">
        <v>0.001</v>
      </c>
      <c r="J1668" s="9" t="s">
        <v>63</v>
      </c>
      <c r="K1668" s="14" t="str">
        <f>IFERROR(__xludf.DUMMYFUNCTION("ARRAYFORMULA(VLOOKUP(A1668,IMPORTRANGE(""https://docs.google.com/spreadsheets/d/1BuTWp7qHGjWhqrnf-OmePP568O4A5Am9ttzvVdP67zw/edit#gid=1603210130"", ""TOURISM!$A$2:$F$2692""), {2,3,4,5,6},0))"),"Asia")</f>
        <v>Asia</v>
      </c>
      <c r="L1668" s="14">
        <f>IFERROR(__xludf.DUMMYFUNCTION("""COMPUTED_VALUE"""),1.36E8)</f>
        <v>136000000</v>
      </c>
      <c r="M1668" s="14" t="str">
        <f>IFERROR(__xludf.DUMMYFUNCTION("""COMPUTED_VALUE"""),"Myanmar-Asia")</f>
        <v>Myanmar-Asia</v>
      </c>
      <c r="N1668" s="14" t="str">
        <f>IFERROR(__xludf.DUMMYFUNCTION("""COMPUTED_VALUE"""),"2002")</f>
        <v>2002</v>
      </c>
      <c r="O1668" s="14">
        <f>IFERROR(__xludf.DUMMYFUNCTION("""COMPUTED_VALUE"""),3.4E7)</f>
        <v>34000000</v>
      </c>
      <c r="P1668" s="15">
        <f>IFERROR(__xludf.DUMMYFUNCTION("ARRAYFORMULA(VLOOKUP(A1668,IMPORTRANGE(""https://docs.google.com/spreadsheets/d/1BuTWp7qHGjWhqrnf-OmePP568O4A5Am9ttzvVdP67zw/edit#gid=771602874"" ,""HUMAN RESOURCES!$A$2:$M$2692""), {2,3,4,5,6,7,8,9,10,11,12,13},0))"),0.02)</f>
        <v>0.02</v>
      </c>
      <c r="Q1668" s="14">
        <f>IFERROR(__xludf.DUMMYFUNCTION("""COMPUTED_VALUE"""),0.056)</f>
        <v>0.056</v>
      </c>
      <c r="R1668" s="14">
        <f>IFERROR(__xludf.DUMMYFUNCTION("""COMPUTED_VALUE"""),65.0)</f>
        <v>65</v>
      </c>
      <c r="S1668" s="14">
        <f>IFERROR(__xludf.DUMMYFUNCTION("""COMPUTED_VALUE"""),61.0)</f>
        <v>61</v>
      </c>
      <c r="T1668" s="14">
        <f>IFERROR(__xludf.DUMMYFUNCTION("""COMPUTED_VALUE"""),0.296)</f>
        <v>0.296</v>
      </c>
      <c r="U1668" s="14">
        <f>IFERROR(__xludf.DUMMYFUNCTION("""COMPUTED_VALUE"""),0.656)</f>
        <v>0.656</v>
      </c>
      <c r="V1668" s="14">
        <f>IFERROR(__xludf.DUMMYFUNCTION("""COMPUTED_VALUE"""),0.048)</f>
        <v>0.048</v>
      </c>
      <c r="W1668" s="14">
        <f>IFERROR(__xludf.DUMMYFUNCTION("""COMPUTED_VALUE"""),4.9261313E7)</f>
        <v>49261313</v>
      </c>
      <c r="X1668" s="14">
        <f>IFERROR(__xludf.DUMMYFUNCTION("""COMPUTED_VALUE"""),0.277)</f>
        <v>0.277</v>
      </c>
      <c r="Y1668" s="14" t="str">
        <f>IFERROR(__xludf.DUMMYFUNCTION("""COMPUTED_VALUE"""),"Myanmar-Asia")</f>
        <v>Myanmar-Asia</v>
      </c>
      <c r="Z1668" s="14" t="str">
        <f>IFERROR(__xludf.DUMMYFUNCTION("""COMPUTED_VALUE"""),"Asia")</f>
        <v>Asia</v>
      </c>
      <c r="AA1668" s="14" t="str">
        <f>IFERROR(__xludf.DUMMYFUNCTION("""COMPUTED_VALUE"""),"2002")</f>
        <v>2002</v>
      </c>
      <c r="AB1668" s="15" t="str">
        <f>IFERROR(__xludf.DUMMYFUNCTION("ARRAYFORMULA(VLOOKUP(A1668,IMPORTRANGE(""https://docs.google.com/spreadsheets/d/1BuTWp7qHGjWhqrnf-OmePP568O4A5Am9ttzvVdP67zw/edit#gid=1931367683"" ,""ENERGY!$A$2:$F$2692""), {2,3,4,5,6},0))"),"Asia")</f>
        <v>Asia</v>
      </c>
      <c r="AC1668" s="14" t="str">
        <f>IFERROR(__xludf.DUMMYFUNCTION("""COMPUTED_VALUE"""),"Myanmar-Asia")</f>
        <v>Myanmar-Asia</v>
      </c>
      <c r="AD1668" s="14" t="str">
        <f>IFERROR(__xludf.DUMMYFUNCTION("""COMPUTED_VALUE"""),"2002")</f>
        <v>2002</v>
      </c>
      <c r="AE1668" s="14">
        <f>IFERROR(__xludf.DUMMYFUNCTION("""COMPUTED_VALUE"""),13997.0)</f>
        <v>13997</v>
      </c>
      <c r="AF1668" s="14">
        <f>IFERROR(__xludf.DUMMYFUNCTION("""COMPUTED_VALUE"""),8995.0)</f>
        <v>8995</v>
      </c>
    </row>
    <row r="1669">
      <c r="A1669" s="12">
        <v>1668.0</v>
      </c>
      <c r="B1669" s="12" t="s">
        <v>207</v>
      </c>
      <c r="C1669" s="5" t="s">
        <v>61</v>
      </c>
      <c r="D1669" s="8"/>
      <c r="E1669" s="8"/>
      <c r="F1669" s="8"/>
      <c r="G1669" s="8"/>
      <c r="H1669" s="11">
        <v>0.0</v>
      </c>
      <c r="I1669" s="11">
        <v>0.001</v>
      </c>
      <c r="J1669" s="9" t="s">
        <v>64</v>
      </c>
      <c r="K1669" s="14" t="str">
        <f>IFERROR(__xludf.DUMMYFUNCTION("ARRAYFORMULA(VLOOKUP(A1669,IMPORTRANGE(""https://docs.google.com/spreadsheets/d/1BuTWp7qHGjWhqrnf-OmePP568O4A5Am9ttzvVdP67zw/edit#gid=1603210130"", ""TOURISM!$A$2:$F$2692""), {2,3,4,5,6},0))"),"Asia")</f>
        <v>Asia</v>
      </c>
      <c r="L1669" s="14">
        <f>IFERROR(__xludf.DUMMYFUNCTION("""COMPUTED_VALUE"""),7.0E7)</f>
        <v>70000000</v>
      </c>
      <c r="M1669" s="14" t="str">
        <f>IFERROR(__xludf.DUMMYFUNCTION("""COMPUTED_VALUE"""),"Myanmar-Asia")</f>
        <v>Myanmar-Asia</v>
      </c>
      <c r="N1669" s="14" t="str">
        <f>IFERROR(__xludf.DUMMYFUNCTION("""COMPUTED_VALUE"""),"2003")</f>
        <v>2003</v>
      </c>
      <c r="O1669" s="14">
        <f>IFERROR(__xludf.DUMMYFUNCTION("""COMPUTED_VALUE"""),3.6E7)</f>
        <v>36000000</v>
      </c>
      <c r="P1669" s="15">
        <f>IFERROR(__xludf.DUMMYFUNCTION("ARRAYFORMULA(VLOOKUP(A1669,IMPORTRANGE(""https://docs.google.com/spreadsheets/d/1BuTWp7qHGjWhqrnf-OmePP568O4A5Am9ttzvVdP67zw/edit#gid=771602874"" ,""HUMAN RESOURCES!$A$2:$M$2692""), {2,3,4,5,6,7,8,9,10,11,12,13},0))"),0.02)</f>
        <v>0.02</v>
      </c>
      <c r="Q1669" s="14">
        <f>IFERROR(__xludf.DUMMYFUNCTION("""COMPUTED_VALUE"""),0.054)</f>
        <v>0.054</v>
      </c>
      <c r="R1669" s="14">
        <f>IFERROR(__xludf.DUMMYFUNCTION("""COMPUTED_VALUE"""),65.0)</f>
        <v>65</v>
      </c>
      <c r="S1669" s="14">
        <f>IFERROR(__xludf.DUMMYFUNCTION("""COMPUTED_VALUE"""),61.0)</f>
        <v>61</v>
      </c>
      <c r="T1669" s="14">
        <f>IFERROR(__xludf.DUMMYFUNCTION("""COMPUTED_VALUE"""),0.29)</f>
        <v>0.29</v>
      </c>
      <c r="U1669" s="14">
        <f>IFERROR(__xludf.DUMMYFUNCTION("""COMPUTED_VALUE"""),0.661)</f>
        <v>0.661</v>
      </c>
      <c r="V1669" s="14">
        <f>IFERROR(__xludf.DUMMYFUNCTION("""COMPUTED_VALUE"""),0.048)</f>
        <v>0.048</v>
      </c>
      <c r="W1669" s="14">
        <f>IFERROR(__xludf.DUMMYFUNCTION("""COMPUTED_VALUE"""),4.9577152E7)</f>
        <v>49577152</v>
      </c>
      <c r="X1669" s="14">
        <f>IFERROR(__xludf.DUMMYFUNCTION("""COMPUTED_VALUE"""),0.281)</f>
        <v>0.281</v>
      </c>
      <c r="Y1669" s="14" t="str">
        <f>IFERROR(__xludf.DUMMYFUNCTION("""COMPUTED_VALUE"""),"Myanmar-Asia")</f>
        <v>Myanmar-Asia</v>
      </c>
      <c r="Z1669" s="14" t="str">
        <f>IFERROR(__xludf.DUMMYFUNCTION("""COMPUTED_VALUE"""),"Asia")</f>
        <v>Asia</v>
      </c>
      <c r="AA1669" s="14" t="str">
        <f>IFERROR(__xludf.DUMMYFUNCTION("""COMPUTED_VALUE"""),"2003")</f>
        <v>2003</v>
      </c>
      <c r="AB1669" s="15" t="str">
        <f>IFERROR(__xludf.DUMMYFUNCTION("ARRAYFORMULA(VLOOKUP(A1669,IMPORTRANGE(""https://docs.google.com/spreadsheets/d/1BuTWp7qHGjWhqrnf-OmePP568O4A5Am9ttzvVdP67zw/edit#gid=1931367683"" ,""ENERGY!$A$2:$F$2692""), {2,3,4,5,6},0))"),"Asia")</f>
        <v>Asia</v>
      </c>
      <c r="AC1669" s="14" t="str">
        <f>IFERROR(__xludf.DUMMYFUNCTION("""COMPUTED_VALUE"""),"Myanmar-Asia")</f>
        <v>Myanmar-Asia</v>
      </c>
      <c r="AD1669" s="14" t="str">
        <f>IFERROR(__xludf.DUMMYFUNCTION("""COMPUTED_VALUE"""),"2003")</f>
        <v>2003</v>
      </c>
      <c r="AE1669" s="14">
        <f>IFERROR(__xludf.DUMMYFUNCTION("""COMPUTED_VALUE"""),14246.0)</f>
        <v>14246</v>
      </c>
      <c r="AF1669" s="14">
        <f>IFERROR(__xludf.DUMMYFUNCTION("""COMPUTED_VALUE"""),10392.0)</f>
        <v>10392</v>
      </c>
    </row>
    <row r="1670">
      <c r="A1670" s="12">
        <v>1669.0</v>
      </c>
      <c r="B1670" s="12" t="s">
        <v>207</v>
      </c>
      <c r="C1670" s="5" t="s">
        <v>61</v>
      </c>
      <c r="D1670" s="8"/>
      <c r="E1670" s="8"/>
      <c r="F1670" s="8"/>
      <c r="G1670" s="8"/>
      <c r="H1670" s="11">
        <v>0.0</v>
      </c>
      <c r="I1670" s="11">
        <v>0.002</v>
      </c>
      <c r="J1670" s="9" t="s">
        <v>65</v>
      </c>
      <c r="K1670" s="14" t="str">
        <f>IFERROR(__xludf.DUMMYFUNCTION("ARRAYFORMULA(VLOOKUP(A1670,IMPORTRANGE(""https://docs.google.com/spreadsheets/d/1BuTWp7qHGjWhqrnf-OmePP568O4A5Am9ttzvVdP67zw/edit#gid=1603210130"", ""TOURISM!$A$2:$F$2692""), {2,3,4,5,6},0))"),"Asia")</f>
        <v>Asia</v>
      </c>
      <c r="L1670" s="14">
        <f>IFERROR(__xludf.DUMMYFUNCTION("""COMPUTED_VALUE"""),9.7E7)</f>
        <v>97000000</v>
      </c>
      <c r="M1670" s="14" t="str">
        <f>IFERROR(__xludf.DUMMYFUNCTION("""COMPUTED_VALUE"""),"Myanmar-Asia")</f>
        <v>Myanmar-Asia</v>
      </c>
      <c r="N1670" s="14" t="str">
        <f>IFERROR(__xludf.DUMMYFUNCTION("""COMPUTED_VALUE"""),"2004")</f>
        <v>2004</v>
      </c>
      <c r="O1670" s="14">
        <f>IFERROR(__xludf.DUMMYFUNCTION("""COMPUTED_VALUE"""),3.2E7)</f>
        <v>32000000</v>
      </c>
      <c r="P1670" s="15">
        <f>IFERROR(__xludf.DUMMYFUNCTION("ARRAYFORMULA(VLOOKUP(A1670,IMPORTRANGE(""https://docs.google.com/spreadsheets/d/1BuTWp7qHGjWhqrnf-OmePP568O4A5Am9ttzvVdP67zw/edit#gid=771602874"" ,""HUMAN RESOURCES!$A$2:$M$2692""), {2,3,4,5,6,7,8,9,10,11,12,13},0))"),0.019)</f>
        <v>0.019</v>
      </c>
      <c r="Q1670" s="14">
        <f>IFERROR(__xludf.DUMMYFUNCTION("""COMPUTED_VALUE"""),0.052)</f>
        <v>0.052</v>
      </c>
      <c r="R1670" s="14">
        <f>IFERROR(__xludf.DUMMYFUNCTION("""COMPUTED_VALUE"""),65.0)</f>
        <v>65</v>
      </c>
      <c r="S1670" s="14">
        <f>IFERROR(__xludf.DUMMYFUNCTION("""COMPUTED_VALUE"""),61.0)</f>
        <v>61</v>
      </c>
      <c r="T1670" s="14">
        <f>IFERROR(__xludf.DUMMYFUNCTION("""COMPUTED_VALUE"""),0.286)</f>
        <v>0.286</v>
      </c>
      <c r="U1670" s="14">
        <f>IFERROR(__xludf.DUMMYFUNCTION("""COMPUTED_VALUE"""),0.666)</f>
        <v>0.666</v>
      </c>
      <c r="V1670" s="14">
        <f>IFERROR(__xludf.DUMMYFUNCTION("""COMPUTED_VALUE"""),0.049)</f>
        <v>0.049</v>
      </c>
      <c r="W1670" s="14">
        <f>IFERROR(__xludf.DUMMYFUNCTION("""COMPUTED_VALUE"""),4.9875169E7)</f>
        <v>49875169</v>
      </c>
      <c r="X1670" s="14">
        <f>IFERROR(__xludf.DUMMYFUNCTION("""COMPUTED_VALUE"""),0.285)</f>
        <v>0.285</v>
      </c>
      <c r="Y1670" s="14" t="str">
        <f>IFERROR(__xludf.DUMMYFUNCTION("""COMPUTED_VALUE"""),"Myanmar-Asia")</f>
        <v>Myanmar-Asia</v>
      </c>
      <c r="Z1670" s="14" t="str">
        <f>IFERROR(__xludf.DUMMYFUNCTION("""COMPUTED_VALUE"""),"Asia")</f>
        <v>Asia</v>
      </c>
      <c r="AA1670" s="14" t="str">
        <f>IFERROR(__xludf.DUMMYFUNCTION("""COMPUTED_VALUE"""),"2004")</f>
        <v>2004</v>
      </c>
      <c r="AB1670" s="15" t="str">
        <f>IFERROR(__xludf.DUMMYFUNCTION("ARRAYFORMULA(VLOOKUP(A1670,IMPORTRANGE(""https://docs.google.com/spreadsheets/d/1BuTWp7qHGjWhqrnf-OmePP568O4A5Am9ttzvVdP67zw/edit#gid=1931367683"" ,""ENERGY!$A$2:$F$2692""), {2,3,4,5,6},0))"),"Asia")</f>
        <v>Asia</v>
      </c>
      <c r="AC1670" s="14" t="str">
        <f>IFERROR(__xludf.DUMMYFUNCTION("""COMPUTED_VALUE"""),"Myanmar-Asia")</f>
        <v>Myanmar-Asia</v>
      </c>
      <c r="AD1670" s="14" t="str">
        <f>IFERROR(__xludf.DUMMYFUNCTION("""COMPUTED_VALUE"""),"2004")</f>
        <v>2004</v>
      </c>
      <c r="AE1670" s="14">
        <f>IFERROR(__xludf.DUMMYFUNCTION("""COMPUTED_VALUE"""),15033.0)</f>
        <v>15033</v>
      </c>
      <c r="AF1670" s="14">
        <f>IFERROR(__xludf.DUMMYFUNCTION("""COMPUTED_VALUE"""),9028.0)</f>
        <v>9028</v>
      </c>
    </row>
    <row r="1671">
      <c r="A1671" s="12">
        <v>1670.0</v>
      </c>
      <c r="B1671" s="12" t="s">
        <v>207</v>
      </c>
      <c r="C1671" s="5" t="s">
        <v>61</v>
      </c>
      <c r="D1671" s="8"/>
      <c r="E1671" s="8"/>
      <c r="F1671" s="8"/>
      <c r="G1671" s="8"/>
      <c r="H1671" s="11">
        <v>0.001</v>
      </c>
      <c r="I1671" s="11">
        <v>0.003</v>
      </c>
      <c r="J1671" s="9" t="s">
        <v>66</v>
      </c>
      <c r="K1671" s="14" t="str">
        <f>IFERROR(__xludf.DUMMYFUNCTION("ARRAYFORMULA(VLOOKUP(A1671,IMPORTRANGE(""https://docs.google.com/spreadsheets/d/1BuTWp7qHGjWhqrnf-OmePP568O4A5Am9ttzvVdP67zw/edit#gid=1603210130"", ""TOURISM!$A$2:$F$2692""), {2,3,4,5,6},0))"),"Asia")</f>
        <v>Asia</v>
      </c>
      <c r="L1671" s="14">
        <f>IFERROR(__xludf.DUMMYFUNCTION("""COMPUTED_VALUE"""),8.3E7)</f>
        <v>83000000</v>
      </c>
      <c r="M1671" s="14" t="str">
        <f>IFERROR(__xludf.DUMMYFUNCTION("""COMPUTED_VALUE"""),"Myanmar-Asia")</f>
        <v>Myanmar-Asia</v>
      </c>
      <c r="N1671" s="14" t="str">
        <f>IFERROR(__xludf.DUMMYFUNCTION("""COMPUTED_VALUE"""),"2005")</f>
        <v>2005</v>
      </c>
      <c r="O1671" s="14">
        <f>IFERROR(__xludf.DUMMYFUNCTION("""COMPUTED_VALUE"""),3.4E7)</f>
        <v>34000000</v>
      </c>
      <c r="P1671" s="15">
        <f>IFERROR(__xludf.DUMMYFUNCTION("ARRAYFORMULA(VLOOKUP(A1671,IMPORTRANGE(""https://docs.google.com/spreadsheets/d/1BuTWp7qHGjWhqrnf-OmePP568O4A5Am9ttzvVdP67zw/edit#gid=771602874"" ,""HUMAN RESOURCES!$A$2:$M$2692""), {2,3,4,5,6,7,8,9,10,11,12,13},0))"),0.019)</f>
        <v>0.019</v>
      </c>
      <c r="Q1671" s="14">
        <f>IFERROR(__xludf.DUMMYFUNCTION("""COMPUTED_VALUE"""),0.051)</f>
        <v>0.051</v>
      </c>
      <c r="R1671" s="14">
        <f>IFERROR(__xludf.DUMMYFUNCTION("""COMPUTED_VALUE"""),66.0)</f>
        <v>66</v>
      </c>
      <c r="S1671" s="14">
        <f>IFERROR(__xludf.DUMMYFUNCTION("""COMPUTED_VALUE"""),61.0)</f>
        <v>61</v>
      </c>
      <c r="T1671" s="14">
        <f>IFERROR(__xludf.DUMMYFUNCTION("""COMPUTED_VALUE"""),0.281)</f>
        <v>0.281</v>
      </c>
      <c r="U1671" s="14">
        <f>IFERROR(__xludf.DUMMYFUNCTION("""COMPUTED_VALUE"""),0.67)</f>
        <v>0.67</v>
      </c>
      <c r="V1671" s="14">
        <f>IFERROR(__xludf.DUMMYFUNCTION("""COMPUTED_VALUE"""),0.049)</f>
        <v>0.049</v>
      </c>
      <c r="W1671" s="14">
        <f>IFERROR(__xludf.DUMMYFUNCTION("""COMPUTED_VALUE"""),5.018102E7)</f>
        <v>50181020</v>
      </c>
      <c r="X1671" s="14">
        <f>IFERROR(__xludf.DUMMYFUNCTION("""COMPUTED_VALUE"""),0.289)</f>
        <v>0.289</v>
      </c>
      <c r="Y1671" s="14" t="str">
        <f>IFERROR(__xludf.DUMMYFUNCTION("""COMPUTED_VALUE"""),"Myanmar-Asia")</f>
        <v>Myanmar-Asia</v>
      </c>
      <c r="Z1671" s="14" t="str">
        <f>IFERROR(__xludf.DUMMYFUNCTION("""COMPUTED_VALUE"""),"Asia")</f>
        <v>Asia</v>
      </c>
      <c r="AA1671" s="14" t="str">
        <f>IFERROR(__xludf.DUMMYFUNCTION("""COMPUTED_VALUE"""),"2005")</f>
        <v>2005</v>
      </c>
      <c r="AB1671" s="15" t="str">
        <f>IFERROR(__xludf.DUMMYFUNCTION("ARRAYFORMULA(VLOOKUP(A1671,IMPORTRANGE(""https://docs.google.com/spreadsheets/d/1BuTWp7qHGjWhqrnf-OmePP568O4A5Am9ttzvVdP67zw/edit#gid=1931367683"" ,""ENERGY!$A$2:$F$2692""), {2,3,4,5,6},0))"),"Asia")</f>
        <v>Asia</v>
      </c>
      <c r="AC1671" s="14" t="str">
        <f>IFERROR(__xludf.DUMMYFUNCTION("""COMPUTED_VALUE"""),"Myanmar-Asia")</f>
        <v>Myanmar-Asia</v>
      </c>
      <c r="AD1671" s="14" t="str">
        <f>IFERROR(__xludf.DUMMYFUNCTION("""COMPUTED_VALUE"""),"2008")</f>
        <v>2008</v>
      </c>
      <c r="AE1671" s="14">
        <f>IFERROR(__xludf.DUMMYFUNCTION("""COMPUTED_VALUE"""),15595.0)</f>
        <v>15595</v>
      </c>
      <c r="AF1671" s="14">
        <f>IFERROR(__xludf.DUMMYFUNCTION("""COMPUTED_VALUE"""),12636.0)</f>
        <v>12636</v>
      </c>
    </row>
    <row r="1672">
      <c r="A1672" s="12">
        <v>1671.0</v>
      </c>
      <c r="B1672" s="12" t="s">
        <v>207</v>
      </c>
      <c r="C1672" s="5" t="s">
        <v>61</v>
      </c>
      <c r="D1672" s="8"/>
      <c r="E1672" s="8"/>
      <c r="F1672" s="8"/>
      <c r="G1672" s="8"/>
      <c r="H1672" s="11">
        <v>0.002</v>
      </c>
      <c r="I1672" s="11">
        <v>0.004</v>
      </c>
      <c r="J1672" s="9" t="s">
        <v>67</v>
      </c>
      <c r="K1672" s="14" t="str">
        <f>IFERROR(__xludf.DUMMYFUNCTION("ARRAYFORMULA(VLOOKUP(A1672,IMPORTRANGE(""https://docs.google.com/spreadsheets/d/1BuTWp7qHGjWhqrnf-OmePP568O4A5Am9ttzvVdP67zw/edit#gid=1603210130"", ""TOURISM!$A$2:$F$2692""), {2,3,4,5,6},0))"),"Asia")</f>
        <v>Asia</v>
      </c>
      <c r="L1672" s="14">
        <f>IFERROR(__xludf.DUMMYFUNCTION("""COMPUTED_VALUE"""),5.9E7)</f>
        <v>59000000</v>
      </c>
      <c r="M1672" s="14" t="str">
        <f>IFERROR(__xludf.DUMMYFUNCTION("""COMPUTED_VALUE"""),"Myanmar-Asia")</f>
        <v>Myanmar-Asia</v>
      </c>
      <c r="N1672" s="14" t="str">
        <f>IFERROR(__xludf.DUMMYFUNCTION("""COMPUTED_VALUE"""),"2006")</f>
        <v>2006</v>
      </c>
      <c r="O1672" s="14">
        <f>IFERROR(__xludf.DUMMYFUNCTION("""COMPUTED_VALUE"""),4.0E7)</f>
        <v>40000000</v>
      </c>
      <c r="P1672" s="15">
        <f>IFERROR(__xludf.DUMMYFUNCTION("ARRAYFORMULA(VLOOKUP(A1672,IMPORTRANGE(""https://docs.google.com/spreadsheets/d/1BuTWp7qHGjWhqrnf-OmePP568O4A5Am9ttzvVdP67zw/edit#gid=771602874"" ,""HUMAN RESOURCES!$A$2:$M$2692""), {2,3,4,5,6,7,8,9,10,11,12,13},0))"),0.019)</f>
        <v>0.019</v>
      </c>
      <c r="Q1672" s="14">
        <f>IFERROR(__xludf.DUMMYFUNCTION("""COMPUTED_VALUE"""),0.049)</f>
        <v>0.049</v>
      </c>
      <c r="R1672" s="14">
        <f>IFERROR(__xludf.DUMMYFUNCTION("""COMPUTED_VALUE"""),66.0)</f>
        <v>66</v>
      </c>
      <c r="S1672" s="14">
        <f>IFERROR(__xludf.DUMMYFUNCTION("""COMPUTED_VALUE"""),62.0)</f>
        <v>62</v>
      </c>
      <c r="T1672" s="14">
        <f>IFERROR(__xludf.DUMMYFUNCTION("""COMPUTED_VALUE"""),0.277)</f>
        <v>0.277</v>
      </c>
      <c r="U1672" s="14">
        <f>IFERROR(__xludf.DUMMYFUNCTION("""COMPUTED_VALUE"""),0.674)</f>
        <v>0.674</v>
      </c>
      <c r="V1672" s="14">
        <f>IFERROR(__xludf.DUMMYFUNCTION("""COMPUTED_VALUE"""),0.05)</f>
        <v>0.05</v>
      </c>
      <c r="W1672" s="14">
        <f>IFERROR(__xludf.DUMMYFUNCTION("""COMPUTED_VALUE"""),5.050007E7)</f>
        <v>50500070</v>
      </c>
      <c r="X1672" s="14">
        <f>IFERROR(__xludf.DUMMYFUNCTION("""COMPUTED_VALUE"""),0.294)</f>
        <v>0.294</v>
      </c>
      <c r="Y1672" s="14" t="str">
        <f>IFERROR(__xludf.DUMMYFUNCTION("""COMPUTED_VALUE"""),"Myanmar-Asia")</f>
        <v>Myanmar-Asia</v>
      </c>
      <c r="Z1672" s="14" t="str">
        <f>IFERROR(__xludf.DUMMYFUNCTION("""COMPUTED_VALUE"""),"Asia")</f>
        <v>Asia</v>
      </c>
      <c r="AA1672" s="14" t="str">
        <f>IFERROR(__xludf.DUMMYFUNCTION("""COMPUTED_VALUE"""),"2006")</f>
        <v>2006</v>
      </c>
      <c r="AB1672" s="15" t="str">
        <f>IFERROR(__xludf.DUMMYFUNCTION("ARRAYFORMULA(VLOOKUP(A1672,IMPORTRANGE(""https://docs.google.com/spreadsheets/d/1BuTWp7qHGjWhqrnf-OmePP568O4A5Am9ttzvVdP67zw/edit#gid=1931367683"" ,""ENERGY!$A$2:$F$2692""), {2,3,4,5,6},0))"),"Asia")</f>
        <v>Asia</v>
      </c>
      <c r="AC1672" s="14" t="str">
        <f>IFERROR(__xludf.DUMMYFUNCTION("""COMPUTED_VALUE"""),"Myanmar-Asia")</f>
        <v>Myanmar-Asia</v>
      </c>
      <c r="AD1672" s="14" t="str">
        <f>IFERROR(__xludf.DUMMYFUNCTION("""COMPUTED_VALUE"""),"2011")</f>
        <v>2011</v>
      </c>
      <c r="AE1672" s="14">
        <f>IFERROR(__xludf.DUMMYFUNCTION("""COMPUTED_VALUE"""),15015.0)</f>
        <v>15015</v>
      </c>
      <c r="AF1672" s="14">
        <f>IFERROR(__xludf.DUMMYFUNCTION("""COMPUTED_VALUE"""),12611.0)</f>
        <v>12611</v>
      </c>
    </row>
    <row r="1673">
      <c r="A1673" s="12">
        <v>1672.0</v>
      </c>
      <c r="B1673" s="12" t="s">
        <v>207</v>
      </c>
      <c r="C1673" s="5" t="s">
        <v>61</v>
      </c>
      <c r="D1673" s="8"/>
      <c r="E1673" s="8"/>
      <c r="F1673" s="8"/>
      <c r="G1673" s="8"/>
      <c r="H1673" s="11">
        <v>0.002</v>
      </c>
      <c r="I1673" s="11">
        <v>0.005</v>
      </c>
      <c r="J1673" s="9" t="s">
        <v>68</v>
      </c>
      <c r="K1673" s="14" t="str">
        <f>IFERROR(__xludf.DUMMYFUNCTION("ARRAYFORMULA(VLOOKUP(A1673,IMPORTRANGE(""https://docs.google.com/spreadsheets/d/1BuTWp7qHGjWhqrnf-OmePP568O4A5Am9ttzvVdP67zw/edit#gid=1603210130"", ""TOURISM!$A$2:$F$2692""), {2,3,4,5,6},0))"),"Asia")</f>
        <v>Asia</v>
      </c>
      <c r="L1673" s="14">
        <f>IFERROR(__xludf.DUMMYFUNCTION("""COMPUTED_VALUE"""),9.7E7)</f>
        <v>97000000</v>
      </c>
      <c r="M1673" s="14" t="str">
        <f>IFERROR(__xludf.DUMMYFUNCTION("""COMPUTED_VALUE"""),"Myanmar-Asia")</f>
        <v>Myanmar-Asia</v>
      </c>
      <c r="N1673" s="14" t="str">
        <f>IFERROR(__xludf.DUMMYFUNCTION("""COMPUTED_VALUE"""),"2007")</f>
        <v>2007</v>
      </c>
      <c r="O1673" s="14">
        <f>IFERROR(__xludf.DUMMYFUNCTION("""COMPUTED_VALUE"""),3.9E7)</f>
        <v>39000000</v>
      </c>
      <c r="P1673" s="15">
        <f>IFERROR(__xludf.DUMMYFUNCTION("ARRAYFORMULA(VLOOKUP(A1673,IMPORTRANGE(""https://docs.google.com/spreadsheets/d/1BuTWp7qHGjWhqrnf-OmePP568O4A5Am9ttzvVdP67zw/edit#gid=771602874"" ,""HUMAN RESOURCES!$A$2:$M$2692""), {2,3,4,5,6,7,8,9,10,11,12,13},0))"),0.019)</f>
        <v>0.019</v>
      </c>
      <c r="Q1673" s="14">
        <f>IFERROR(__xludf.DUMMYFUNCTION("""COMPUTED_VALUE"""),0.048)</f>
        <v>0.048</v>
      </c>
      <c r="R1673" s="14">
        <f>IFERROR(__xludf.DUMMYFUNCTION("""COMPUTED_VALUE"""),66.0)</f>
        <v>66</v>
      </c>
      <c r="S1673" s="14">
        <f>IFERROR(__xludf.DUMMYFUNCTION("""COMPUTED_VALUE"""),62.0)</f>
        <v>62</v>
      </c>
      <c r="T1673" s="14">
        <f>IFERROR(__xludf.DUMMYFUNCTION("""COMPUTED_VALUE"""),0.272)</f>
        <v>0.272</v>
      </c>
      <c r="U1673" s="14">
        <f>IFERROR(__xludf.DUMMYFUNCTION("""COMPUTED_VALUE"""),0.678)</f>
        <v>0.678</v>
      </c>
      <c r="V1673" s="14">
        <f>IFERROR(__xludf.DUMMYFUNCTION("""COMPUTED_VALUE"""),0.05)</f>
        <v>0.05</v>
      </c>
      <c r="W1673" s="14">
        <f>IFERROR(__xludf.DUMMYFUNCTION("""COMPUTED_VALUE"""),5.0828959E7)</f>
        <v>50828959</v>
      </c>
      <c r="X1673" s="14">
        <f>IFERROR(__xludf.DUMMYFUNCTION("""COMPUTED_VALUE"""),0.299)</f>
        <v>0.299</v>
      </c>
      <c r="Y1673" s="14" t="str">
        <f>IFERROR(__xludf.DUMMYFUNCTION("""COMPUTED_VALUE"""),"Myanmar-Asia")</f>
        <v>Myanmar-Asia</v>
      </c>
      <c r="Z1673" s="14" t="str">
        <f>IFERROR(__xludf.DUMMYFUNCTION("""COMPUTED_VALUE"""),"Asia")</f>
        <v>Asia</v>
      </c>
      <c r="AA1673" s="14" t="str">
        <f>IFERROR(__xludf.DUMMYFUNCTION("""COMPUTED_VALUE"""),"2007")</f>
        <v>2007</v>
      </c>
      <c r="AB1673" s="15" t="str">
        <f>IFERROR(__xludf.DUMMYFUNCTION("ARRAYFORMULA(VLOOKUP(A1673,IMPORTRANGE(""https://docs.google.com/spreadsheets/d/1BuTWp7qHGjWhqrnf-OmePP568O4A5Am9ttzvVdP67zw/edit#gid=1931367683"" ,""ENERGY!$A$2:$F$2692""), {2,3,4,5,6},0))"),"Asia")</f>
        <v>Asia</v>
      </c>
      <c r="AC1673" s="14" t="str">
        <f>IFERROR(__xludf.DUMMYFUNCTION("""COMPUTED_VALUE"""),"Myanmar-Asia")</f>
        <v>Myanmar-Asia</v>
      </c>
      <c r="AD1673" s="14" t="str">
        <f>IFERROR(__xludf.DUMMYFUNCTION("""COMPUTED_VALUE"""),"2009")</f>
        <v>2009</v>
      </c>
      <c r="AE1673" s="14">
        <f>IFERROR(__xludf.DUMMYFUNCTION("""COMPUTED_VALUE"""),14817.0)</f>
        <v>14817</v>
      </c>
      <c r="AF1673" s="14">
        <f>IFERROR(__xludf.DUMMYFUNCTION("""COMPUTED_VALUE"""),11613.0)</f>
        <v>11613</v>
      </c>
    </row>
    <row r="1674">
      <c r="A1674" s="12">
        <v>1673.0</v>
      </c>
      <c r="B1674" s="12" t="s">
        <v>207</v>
      </c>
      <c r="C1674" s="5" t="s">
        <v>61</v>
      </c>
      <c r="D1674" s="8"/>
      <c r="E1674" s="8"/>
      <c r="F1674" s="8"/>
      <c r="G1674" s="8"/>
      <c r="H1674" s="11">
        <v>0.002</v>
      </c>
      <c r="I1674" s="11">
        <v>0.007</v>
      </c>
      <c r="J1674" s="9" t="s">
        <v>69</v>
      </c>
      <c r="K1674" s="14" t="str">
        <f>IFERROR(__xludf.DUMMYFUNCTION("ARRAYFORMULA(VLOOKUP(A1674,IMPORTRANGE(""https://docs.google.com/spreadsheets/d/1BuTWp7qHGjWhqrnf-OmePP568O4A5Am9ttzvVdP67zw/edit#gid=1603210130"", ""TOURISM!$A$2:$F$2692""), {2,3,4,5,6},0))"),"Asia")</f>
        <v>Asia</v>
      </c>
      <c r="L1674" s="14">
        <f>IFERROR(__xludf.DUMMYFUNCTION("""COMPUTED_VALUE"""),8.0E7)</f>
        <v>80000000</v>
      </c>
      <c r="M1674" s="14" t="str">
        <f>IFERROR(__xludf.DUMMYFUNCTION("""COMPUTED_VALUE"""),"Myanmar-Asia")</f>
        <v>Myanmar-Asia</v>
      </c>
      <c r="N1674" s="14" t="str">
        <f>IFERROR(__xludf.DUMMYFUNCTION("""COMPUTED_VALUE"""),"2008")</f>
        <v>2008</v>
      </c>
      <c r="O1674" s="14">
        <f>IFERROR(__xludf.DUMMYFUNCTION("""COMPUTED_VALUE"""),5.0E7)</f>
        <v>50000000</v>
      </c>
      <c r="P1674" s="15">
        <f>IFERROR(__xludf.DUMMYFUNCTION("ARRAYFORMULA(VLOOKUP(A1674,IMPORTRANGE(""https://docs.google.com/spreadsheets/d/1BuTWp7qHGjWhqrnf-OmePP568O4A5Am9ttzvVdP67zw/edit#gid=771602874"" ,""HUMAN RESOURCES!$A$2:$M$2692""), {2,3,4,5,6,7,8,9,10,11,12,13},0))"),0.018)</f>
        <v>0.018</v>
      </c>
      <c r="Q1674" s="14">
        <f>IFERROR(__xludf.DUMMYFUNCTION("""COMPUTED_VALUE"""),0.046)</f>
        <v>0.046</v>
      </c>
      <c r="R1674" s="14">
        <f>IFERROR(__xludf.DUMMYFUNCTION("""COMPUTED_VALUE"""),66.0)</f>
        <v>66</v>
      </c>
      <c r="S1674" s="14">
        <f>IFERROR(__xludf.DUMMYFUNCTION("""COMPUTED_VALUE"""),62.0)</f>
        <v>62</v>
      </c>
      <c r="T1674" s="14">
        <f>IFERROR(__xludf.DUMMYFUNCTION("""COMPUTED_VALUE"""),0.268)</f>
        <v>0.268</v>
      </c>
      <c r="U1674" s="14">
        <f>IFERROR(__xludf.DUMMYFUNCTION("""COMPUTED_VALUE"""),0.681)</f>
        <v>0.681</v>
      </c>
      <c r="V1674" s="14">
        <f>IFERROR(__xludf.DUMMYFUNCTION("""COMPUTED_VALUE"""),0.05)</f>
        <v>0.05</v>
      </c>
      <c r="W1674" s="14">
        <f>IFERROR(__xludf.DUMMYFUNCTION("""COMPUTED_VALUE"""),5.1174018E7)</f>
        <v>51174018</v>
      </c>
      <c r="X1674" s="14">
        <f>IFERROR(__xludf.DUMMYFUNCTION("""COMPUTED_VALUE"""),0.304)</f>
        <v>0.304</v>
      </c>
      <c r="Y1674" s="14" t="str">
        <f>IFERROR(__xludf.DUMMYFUNCTION("""COMPUTED_VALUE"""),"Myanmar-Asia")</f>
        <v>Myanmar-Asia</v>
      </c>
      <c r="Z1674" s="14" t="str">
        <f>IFERROR(__xludf.DUMMYFUNCTION("""COMPUTED_VALUE"""),"Asia")</f>
        <v>Asia</v>
      </c>
      <c r="AA1674" s="14" t="str">
        <f>IFERROR(__xludf.DUMMYFUNCTION("""COMPUTED_VALUE"""),"2008")</f>
        <v>2008</v>
      </c>
      <c r="AB1674" s="15" t="str">
        <f>IFERROR(__xludf.DUMMYFUNCTION("ARRAYFORMULA(VLOOKUP(A1674,IMPORTRANGE(""https://docs.google.com/spreadsheets/d/1BuTWp7qHGjWhqrnf-OmePP568O4A5Am9ttzvVdP67zw/edit#gid=1931367683"" ,""ENERGY!$A$2:$F$2692""), {2,3,4,5,6},0))"),"Asia")</f>
        <v>Asia</v>
      </c>
      <c r="AC1674" s="14" t="str">
        <f>IFERROR(__xludf.DUMMYFUNCTION("""COMPUTED_VALUE"""),"Myanmar-Asia")</f>
        <v>Myanmar-Asia</v>
      </c>
      <c r="AD1674" s="14" t="str">
        <f>IFERROR(__xludf.DUMMYFUNCTION("""COMPUTED_VALUE"""),"2006")</f>
        <v>2006</v>
      </c>
      <c r="AE1674" s="14">
        <f>IFERROR(__xludf.DUMMYFUNCTION("""COMPUTED_VALUE"""),14764.0)</f>
        <v>14764</v>
      </c>
      <c r="AF1674" s="14">
        <f>IFERROR(__xludf.DUMMYFUNCTION("""COMPUTED_VALUE"""),12435.0)</f>
        <v>12435</v>
      </c>
    </row>
    <row r="1675">
      <c r="A1675" s="12">
        <v>1674.0</v>
      </c>
      <c r="B1675" s="12" t="s">
        <v>207</v>
      </c>
      <c r="C1675" s="5" t="s">
        <v>61</v>
      </c>
      <c r="D1675" s="8"/>
      <c r="E1675" s="8"/>
      <c r="F1675" s="8"/>
      <c r="G1675" s="8"/>
      <c r="H1675" s="11">
        <v>0.002</v>
      </c>
      <c r="I1675" s="11">
        <v>0.01</v>
      </c>
      <c r="J1675" s="9" t="s">
        <v>70</v>
      </c>
      <c r="K1675" s="14" t="str">
        <f>IFERROR(__xludf.DUMMYFUNCTION("ARRAYFORMULA(VLOOKUP(A1675,IMPORTRANGE(""https://docs.google.com/spreadsheets/d/1BuTWp7qHGjWhqrnf-OmePP568O4A5Am9ttzvVdP67zw/edit#gid=1603210130"", ""TOURISM!$A$2:$F$2692""), {2,3,4,5,6},0))"),"Asia")</f>
        <v>Asia</v>
      </c>
      <c r="L1675" s="14">
        <f>IFERROR(__xludf.DUMMYFUNCTION("""COMPUTED_VALUE"""),7.5E7)</f>
        <v>75000000</v>
      </c>
      <c r="M1675" s="14" t="str">
        <f>IFERROR(__xludf.DUMMYFUNCTION("""COMPUTED_VALUE"""),"Myanmar-Asia")</f>
        <v>Myanmar-Asia</v>
      </c>
      <c r="N1675" s="14" t="str">
        <f>IFERROR(__xludf.DUMMYFUNCTION("""COMPUTED_VALUE"""),"2009")</f>
        <v>2009</v>
      </c>
      <c r="O1675" s="14">
        <f>IFERROR(__xludf.DUMMYFUNCTION("""COMPUTED_VALUE"""),5.2E7)</f>
        <v>52000000</v>
      </c>
      <c r="P1675" s="15">
        <f>IFERROR(__xludf.DUMMYFUNCTION("ARRAYFORMULA(VLOOKUP(A1675,IMPORTRANGE(""https://docs.google.com/spreadsheets/d/1BuTWp7qHGjWhqrnf-OmePP568O4A5Am9ttzvVdP67zw/edit#gid=771602874"" ,""HUMAN RESOURCES!$A$2:$M$2692""), {2,3,4,5,6,7,8,9,10,11,12,13},0))"),0.018)</f>
        <v>0.018</v>
      </c>
      <c r="Q1675" s="14">
        <f>IFERROR(__xludf.DUMMYFUNCTION("""COMPUTED_VALUE"""),0.045)</f>
        <v>0.045</v>
      </c>
      <c r="R1675" s="14">
        <f>IFERROR(__xludf.DUMMYFUNCTION("""COMPUTED_VALUE"""),66.0)</f>
        <v>66</v>
      </c>
      <c r="S1675" s="14">
        <f>IFERROR(__xludf.DUMMYFUNCTION("""COMPUTED_VALUE"""),62.0)</f>
        <v>62</v>
      </c>
      <c r="T1675" s="14">
        <f>IFERROR(__xludf.DUMMYFUNCTION("""COMPUTED_VALUE"""),0.265)</f>
        <v>0.265</v>
      </c>
      <c r="U1675" s="14">
        <f>IFERROR(__xludf.DUMMYFUNCTION("""COMPUTED_VALUE"""),0.685)</f>
        <v>0.685</v>
      </c>
      <c r="V1675" s="14">
        <f>IFERROR(__xludf.DUMMYFUNCTION("""COMPUTED_VALUE"""),0.051)</f>
        <v>0.051</v>
      </c>
      <c r="W1675" s="14">
        <f>IFERROR(__xludf.DUMMYFUNCTION("""COMPUTED_VALUE"""),5.154049E7)</f>
        <v>51540490</v>
      </c>
      <c r="X1675" s="14">
        <f>IFERROR(__xludf.DUMMYFUNCTION("""COMPUTED_VALUE"""),0.309)</f>
        <v>0.309</v>
      </c>
      <c r="Y1675" s="14" t="str">
        <f>IFERROR(__xludf.DUMMYFUNCTION("""COMPUTED_VALUE"""),"Myanmar-Asia")</f>
        <v>Myanmar-Asia</v>
      </c>
      <c r="Z1675" s="14" t="str">
        <f>IFERROR(__xludf.DUMMYFUNCTION("""COMPUTED_VALUE"""),"Asia")</f>
        <v>Asia</v>
      </c>
      <c r="AA1675" s="14" t="str">
        <f>IFERROR(__xludf.DUMMYFUNCTION("""COMPUTED_VALUE"""),"2009")</f>
        <v>2009</v>
      </c>
      <c r="AB1675" s="15" t="str">
        <f>IFERROR(__xludf.DUMMYFUNCTION("ARRAYFORMULA(VLOOKUP(A1675,IMPORTRANGE(""https://docs.google.com/spreadsheets/d/1BuTWp7qHGjWhqrnf-OmePP568O4A5Am9ttzvVdP67zw/edit#gid=1931367683"" ,""ENERGY!$A$2:$F$2692""), {2,3,4,5,6},0))"),"Asia")</f>
        <v>Asia</v>
      </c>
      <c r="AC1675" s="14" t="str">
        <f>IFERROR(__xludf.DUMMYFUNCTION("""COMPUTED_VALUE"""),"Myanmar-Asia")</f>
        <v>Myanmar-Asia</v>
      </c>
      <c r="AD1675" s="14" t="str">
        <f>IFERROR(__xludf.DUMMYFUNCTION("""COMPUTED_VALUE"""),"2011")</f>
        <v>2011</v>
      </c>
      <c r="AE1675" s="14">
        <f>IFERROR(__xludf.DUMMYFUNCTION("""COMPUTED_VALUE"""),14064.0)</f>
        <v>14064</v>
      </c>
      <c r="AF1675" s="14">
        <f>IFERROR(__xludf.DUMMYFUNCTION("""COMPUTED_VALUE"""),9846.0)</f>
        <v>9846</v>
      </c>
    </row>
    <row r="1676">
      <c r="A1676" s="12">
        <v>1675.0</v>
      </c>
      <c r="B1676" s="12" t="s">
        <v>207</v>
      </c>
      <c r="C1676" s="5" t="s">
        <v>61</v>
      </c>
      <c r="D1676" s="8"/>
      <c r="E1676" s="8"/>
      <c r="F1676" s="8"/>
      <c r="G1676" s="8"/>
      <c r="H1676" s="11">
        <v>0.003</v>
      </c>
      <c r="I1676" s="11">
        <v>0.011</v>
      </c>
      <c r="J1676" s="9" t="s">
        <v>71</v>
      </c>
      <c r="K1676" s="14" t="str">
        <f>IFERROR(__xludf.DUMMYFUNCTION("ARRAYFORMULA(VLOOKUP(A1676,IMPORTRANGE(""https://docs.google.com/spreadsheets/d/1BuTWp7qHGjWhqrnf-OmePP568O4A5Am9ttzvVdP67zw/edit#gid=1603210130"", ""TOURISM!$A$2:$F$2692""), {2,3,4,5,6},0))"),"Asia")</f>
        <v>Asia</v>
      </c>
      <c r="L1676" s="14">
        <f>IFERROR(__xludf.DUMMYFUNCTION("""COMPUTED_VALUE"""),9.1E7)</f>
        <v>91000000</v>
      </c>
      <c r="M1676" s="14" t="str">
        <f>IFERROR(__xludf.DUMMYFUNCTION("""COMPUTED_VALUE"""),"Myanmar-Asia")</f>
        <v>Myanmar-Asia</v>
      </c>
      <c r="N1676" s="14" t="str">
        <f>IFERROR(__xludf.DUMMYFUNCTION("""COMPUTED_VALUE"""),"2010")</f>
        <v>2010</v>
      </c>
      <c r="O1676" s="14">
        <f>IFERROR(__xludf.DUMMYFUNCTION("""COMPUTED_VALUE"""),5.3E7)</f>
        <v>53000000</v>
      </c>
      <c r="P1676" s="15">
        <f>IFERROR(__xludf.DUMMYFUNCTION("ARRAYFORMULA(VLOOKUP(A1676,IMPORTRANGE(""https://docs.google.com/spreadsheets/d/1BuTWp7qHGjWhqrnf-OmePP568O4A5Am9ttzvVdP67zw/edit#gid=771602874"" ,""HUMAN RESOURCES!$A$2:$M$2692""), {2,3,4,5,6,7,8,9,10,11,12,13},0))"),0.018)</f>
        <v>0.018</v>
      </c>
      <c r="Q1676" s="14">
        <f>IFERROR(__xludf.DUMMYFUNCTION("""COMPUTED_VALUE"""),0.044)</f>
        <v>0.044</v>
      </c>
      <c r="R1676" s="14">
        <f>IFERROR(__xludf.DUMMYFUNCTION("""COMPUTED_VALUE"""),67.0)</f>
        <v>67</v>
      </c>
      <c r="S1676" s="14">
        <f>IFERROR(__xludf.DUMMYFUNCTION("""COMPUTED_VALUE"""),63.0)</f>
        <v>63</v>
      </c>
      <c r="T1676" s="14">
        <f>IFERROR(__xludf.DUMMYFUNCTION("""COMPUTED_VALUE"""),0.261)</f>
        <v>0.261</v>
      </c>
      <c r="U1676" s="14">
        <f>IFERROR(__xludf.DUMMYFUNCTION("""COMPUTED_VALUE"""),0.688)</f>
        <v>0.688</v>
      </c>
      <c r="V1676" s="14">
        <f>IFERROR(__xludf.DUMMYFUNCTION("""COMPUTED_VALUE"""),0.051)</f>
        <v>0.051</v>
      </c>
      <c r="W1676" s="14">
        <f>IFERROR(__xludf.DUMMYFUNCTION("""COMPUTED_VALUE"""),5.1931231E7)</f>
        <v>51931231</v>
      </c>
      <c r="X1676" s="14">
        <f>IFERROR(__xludf.DUMMYFUNCTION("""COMPUTED_VALUE"""),0.314)</f>
        <v>0.314</v>
      </c>
      <c r="Y1676" s="14" t="str">
        <f>IFERROR(__xludf.DUMMYFUNCTION("""COMPUTED_VALUE"""),"Myanmar-Asia")</f>
        <v>Myanmar-Asia</v>
      </c>
      <c r="Z1676" s="14" t="str">
        <f>IFERROR(__xludf.DUMMYFUNCTION("""COMPUTED_VALUE"""),"Asia")</f>
        <v>Asia</v>
      </c>
      <c r="AA1676" s="14" t="str">
        <f>IFERROR(__xludf.DUMMYFUNCTION("""COMPUTED_VALUE"""),"2010")</f>
        <v>2010</v>
      </c>
      <c r="AB1676" s="15" t="str">
        <f>IFERROR(__xludf.DUMMYFUNCTION("ARRAYFORMULA(VLOOKUP(A1676,IMPORTRANGE(""https://docs.google.com/spreadsheets/d/1BuTWp7qHGjWhqrnf-OmePP568O4A5Am9ttzvVdP67zw/edit#gid=1931367683"" ,""ENERGY!$A$2:$F$2692""), {2,3,4,5,6},0))"),"Asia")</f>
        <v>Asia</v>
      </c>
      <c r="AC1676" s="14" t="str">
        <f>IFERROR(__xludf.DUMMYFUNCTION("""COMPUTED_VALUE"""),"Myanmar-Asia")</f>
        <v>Myanmar-Asia</v>
      </c>
      <c r="AD1676" s="14" t="str">
        <f>IFERROR(__xludf.DUMMYFUNCTION("""COMPUTED_VALUE"""),"2005")</f>
        <v>2005</v>
      </c>
      <c r="AE1676" s="14">
        <f>IFERROR(__xludf.DUMMYFUNCTION("""COMPUTED_VALUE"""),12968.0)</f>
        <v>12968</v>
      </c>
      <c r="AF1676" s="14">
        <f>IFERROR(__xludf.DUMMYFUNCTION("""COMPUTED_VALUE"""),9208.0)</f>
        <v>9208</v>
      </c>
    </row>
    <row r="1677">
      <c r="A1677" s="12">
        <v>1676.0</v>
      </c>
      <c r="B1677" s="12" t="s">
        <v>207</v>
      </c>
      <c r="C1677" s="5" t="s">
        <v>61</v>
      </c>
      <c r="D1677" s="8"/>
      <c r="E1677" s="8"/>
      <c r="F1677" s="8"/>
      <c r="G1677" s="8"/>
      <c r="H1677" s="11">
        <v>0.01</v>
      </c>
      <c r="I1677" s="11">
        <v>0.024</v>
      </c>
      <c r="J1677" s="9" t="s">
        <v>72</v>
      </c>
      <c r="K1677" s="14" t="str">
        <f>IFERROR(__xludf.DUMMYFUNCTION("ARRAYFORMULA(VLOOKUP(A1677,IMPORTRANGE(""https://docs.google.com/spreadsheets/d/1BuTWp7qHGjWhqrnf-OmePP568O4A5Am9ttzvVdP67zw/edit#gid=1603210130"", ""TOURISM!$A$2:$F$2692""), {2,3,4,5,6},0))"),"Asia")</f>
        <v>Asia</v>
      </c>
      <c r="L1677" s="14">
        <f>IFERROR(__xludf.DUMMYFUNCTION("""COMPUTED_VALUE"""),2.93E8)</f>
        <v>293000000</v>
      </c>
      <c r="M1677" s="14" t="str">
        <f>IFERROR(__xludf.DUMMYFUNCTION("""COMPUTED_VALUE"""),"Myanmar-Asia")</f>
        <v>Myanmar-Asia</v>
      </c>
      <c r="N1677" s="14" t="str">
        <f>IFERROR(__xludf.DUMMYFUNCTION("""COMPUTED_VALUE"""),"2011")</f>
        <v>2011</v>
      </c>
      <c r="O1677" s="14">
        <f>IFERROR(__xludf.DUMMYFUNCTION("""COMPUTED_VALUE"""),1.32E8)</f>
        <v>132000000</v>
      </c>
      <c r="P1677" s="15">
        <f>IFERROR(__xludf.DUMMYFUNCTION("ARRAYFORMULA(VLOOKUP(A1677,IMPORTRANGE(""https://docs.google.com/spreadsheets/d/1BuTWp7qHGjWhqrnf-OmePP568O4A5Am9ttzvVdP67zw/edit#gid=771602874"" ,""HUMAN RESOURCES!$A$2:$M$2692""), {2,3,4,5,6,7,8,9,10,11,12,13},0))"),0.018)</f>
        <v>0.018</v>
      </c>
      <c r="Q1677" s="14">
        <f>IFERROR(__xludf.DUMMYFUNCTION("""COMPUTED_VALUE"""),0.042)</f>
        <v>0.042</v>
      </c>
      <c r="R1677" s="14">
        <f>IFERROR(__xludf.DUMMYFUNCTION("""COMPUTED_VALUE"""),67.0)</f>
        <v>67</v>
      </c>
      <c r="S1677" s="14">
        <f>IFERROR(__xludf.DUMMYFUNCTION("""COMPUTED_VALUE"""),63.0)</f>
        <v>63</v>
      </c>
      <c r="T1677" s="14">
        <f>IFERROR(__xludf.DUMMYFUNCTION("""COMPUTED_VALUE"""),0.257)</f>
        <v>0.257</v>
      </c>
      <c r="U1677" s="14">
        <f>IFERROR(__xludf.DUMMYFUNCTION("""COMPUTED_VALUE"""),0.692)</f>
        <v>0.692</v>
      </c>
      <c r="V1677" s="14">
        <f>IFERROR(__xludf.DUMMYFUNCTION("""COMPUTED_VALUE"""),0.051)</f>
        <v>0.051</v>
      </c>
      <c r="W1677" s="14">
        <f>IFERROR(__xludf.DUMMYFUNCTION("""COMPUTED_VALUE"""),5.2350763E7)</f>
        <v>52350763</v>
      </c>
      <c r="X1677" s="14">
        <f>IFERROR(__xludf.DUMMYFUNCTION("""COMPUTED_VALUE"""),0.319)</f>
        <v>0.319</v>
      </c>
      <c r="Y1677" s="14" t="str">
        <f>IFERROR(__xludf.DUMMYFUNCTION("""COMPUTED_VALUE"""),"Myanmar-Asia")</f>
        <v>Myanmar-Asia</v>
      </c>
      <c r="Z1677" s="14" t="str">
        <f>IFERROR(__xludf.DUMMYFUNCTION("""COMPUTED_VALUE"""),"Asia")</f>
        <v>Asia</v>
      </c>
      <c r="AA1677" s="14" t="str">
        <f>IFERROR(__xludf.DUMMYFUNCTION("""COMPUTED_VALUE"""),"2011")</f>
        <v>2011</v>
      </c>
      <c r="AB1677" s="15" t="str">
        <f>IFERROR(__xludf.DUMMYFUNCTION("ARRAYFORMULA(VLOOKUP(A1677,IMPORTRANGE(""https://docs.google.com/spreadsheets/d/1BuTWp7qHGjWhqrnf-OmePP568O4A5Am9ttzvVdP67zw/edit#gid=1931367683"" ,""ENERGY!$A$2:$F$2692""), {2,3,4,5,6},0))"),"Asia")</f>
        <v>Asia</v>
      </c>
      <c r="AC1677" s="14" t="str">
        <f>IFERROR(__xludf.DUMMYFUNCTION("""COMPUTED_VALUE"""),"Myanmar-Asia")</f>
        <v>Myanmar-Asia</v>
      </c>
      <c r="AD1677" s="14" t="str">
        <f>IFERROR(__xludf.DUMMYFUNCTION("""COMPUTED_VALUE"""),"2006")</f>
        <v>2006</v>
      </c>
      <c r="AE1677" s="14">
        <f>IFERROR(__xludf.DUMMYFUNCTION("""COMPUTED_VALUE"""),12547.0)</f>
        <v>12547</v>
      </c>
      <c r="AF1677" s="14">
        <f>IFERROR(__xludf.DUMMYFUNCTION("""COMPUTED_VALUE"""),8724.0)</f>
        <v>8724</v>
      </c>
    </row>
    <row r="1678">
      <c r="A1678" s="12">
        <v>1677.0</v>
      </c>
      <c r="B1678" s="12" t="s">
        <v>207</v>
      </c>
      <c r="C1678" s="5" t="s">
        <v>61</v>
      </c>
      <c r="D1678" s="11">
        <v>0.527</v>
      </c>
      <c r="E1678" s="11">
        <v>72.0</v>
      </c>
      <c r="F1678" s="11">
        <v>182.0</v>
      </c>
      <c r="G1678" s="11">
        <v>155.0</v>
      </c>
      <c r="H1678" s="11">
        <v>0.011</v>
      </c>
      <c r="I1678" s="11">
        <v>0.071</v>
      </c>
      <c r="J1678" s="9" t="s">
        <v>73</v>
      </c>
      <c r="K1678" s="14" t="str">
        <f>IFERROR(__xludf.DUMMYFUNCTION("ARRAYFORMULA(VLOOKUP(A1678,IMPORTRANGE(""https://docs.google.com/spreadsheets/d/1BuTWp7qHGjWhqrnf-OmePP568O4A5Am9ttzvVdP67zw/edit#gid=1603210130"", ""TOURISM!$A$2:$F$2692""), {2,3,4,5,6},0))"),"Asia")</f>
        <v>Asia</v>
      </c>
      <c r="L1678" s="14"/>
      <c r="M1678" s="14" t="str">
        <f>IFERROR(__xludf.DUMMYFUNCTION("""COMPUTED_VALUE"""),"Myanmar-Asia")</f>
        <v>Myanmar-Asia</v>
      </c>
      <c r="N1678" s="14" t="str">
        <f>IFERROR(__xludf.DUMMYFUNCTION("""COMPUTED_VALUE"""),"2012")</f>
        <v>2012</v>
      </c>
      <c r="O1678" s="14"/>
      <c r="P1678" s="15">
        <f>IFERROR(__xludf.DUMMYFUNCTION("ARRAYFORMULA(VLOOKUP(A1678,IMPORTRANGE(""https://docs.google.com/spreadsheets/d/1BuTWp7qHGjWhqrnf-OmePP568O4A5Am9ttzvVdP67zw/edit#gid=771602874"" ,""HUMAN RESOURCES!$A$2:$M$2692""), {2,3,4,5,6,7,8,9,10,11,12,13},0))"),0.017)</f>
        <v>0.017</v>
      </c>
      <c r="Q1678" s="14">
        <f>IFERROR(__xludf.DUMMYFUNCTION("""COMPUTED_VALUE"""),0.041)</f>
        <v>0.041</v>
      </c>
      <c r="R1678" s="14">
        <f>IFERROR(__xludf.DUMMYFUNCTION("""COMPUTED_VALUE"""),67.0)</f>
        <v>67</v>
      </c>
      <c r="S1678" s="14">
        <f>IFERROR(__xludf.DUMMYFUNCTION("""COMPUTED_VALUE"""),63.0)</f>
        <v>63</v>
      </c>
      <c r="T1678" s="14">
        <f>IFERROR(__xludf.DUMMYFUNCTION("""COMPUTED_VALUE"""),0.253)</f>
        <v>0.253</v>
      </c>
      <c r="U1678" s="14">
        <f>IFERROR(__xludf.DUMMYFUNCTION("""COMPUTED_VALUE"""),0.696)</f>
        <v>0.696</v>
      </c>
      <c r="V1678" s="14">
        <f>IFERROR(__xludf.DUMMYFUNCTION("""COMPUTED_VALUE"""),0.052)</f>
        <v>0.052</v>
      </c>
      <c r="W1678" s="14">
        <f>IFERROR(__xludf.DUMMYFUNCTION("""COMPUTED_VALUE"""),5.2797319E7)</f>
        <v>52797319</v>
      </c>
      <c r="X1678" s="14">
        <f>IFERROR(__xludf.DUMMYFUNCTION("""COMPUTED_VALUE"""),0.325)</f>
        <v>0.325</v>
      </c>
      <c r="Y1678" s="14" t="str">
        <f>IFERROR(__xludf.DUMMYFUNCTION("""COMPUTED_VALUE"""),"Myanmar-Asia")</f>
        <v>Myanmar-Asia</v>
      </c>
      <c r="Z1678" s="14" t="str">
        <f>IFERROR(__xludf.DUMMYFUNCTION("""COMPUTED_VALUE"""),"Asia")</f>
        <v>Asia</v>
      </c>
      <c r="AA1678" s="14" t="str">
        <f>IFERROR(__xludf.DUMMYFUNCTION("""COMPUTED_VALUE"""),"2012")</f>
        <v>2012</v>
      </c>
      <c r="AB1678" s="15" t="str">
        <f>IFERROR(__xludf.DUMMYFUNCTION("ARRAYFORMULA(VLOOKUP(A1678,IMPORTRANGE(""https://docs.google.com/spreadsheets/d/1BuTWp7qHGjWhqrnf-OmePP568O4A5Am9ttzvVdP67zw/edit#gid=1931367683"" ,""ENERGY!$A$2:$F$2692""), {2,3,4,5,6},0))"),"Asia")</f>
        <v>Asia</v>
      </c>
      <c r="AC1678" s="14" t="str">
        <f>IFERROR(__xludf.DUMMYFUNCTION("""COMPUTED_VALUE"""),"Myanmar-Asia")</f>
        <v>Myanmar-Asia</v>
      </c>
      <c r="AD1678" s="14" t="str">
        <f>IFERROR(__xludf.DUMMYFUNCTION("""COMPUTED_VALUE"""),"2011")</f>
        <v>2011</v>
      </c>
      <c r="AE1678" s="14">
        <f>IFERROR(__xludf.DUMMYFUNCTION("""COMPUTED_VALUE"""),12841.0)</f>
        <v>12841</v>
      </c>
      <c r="AF1678" s="14">
        <f>IFERROR(__xludf.DUMMYFUNCTION("""COMPUTED_VALUE"""),10088.0)</f>
        <v>10088</v>
      </c>
    </row>
    <row r="1679">
      <c r="A1679" s="12">
        <v>1678.0</v>
      </c>
      <c r="B1679" s="12" t="s">
        <v>208</v>
      </c>
      <c r="C1679" s="5" t="s">
        <v>77</v>
      </c>
      <c r="D1679" s="8"/>
      <c r="E1679" s="8"/>
      <c r="F1679" s="8"/>
      <c r="G1679" s="8"/>
      <c r="H1679" s="11">
        <v>0.016</v>
      </c>
      <c r="I1679" s="11">
        <v>0.043</v>
      </c>
      <c r="J1679" s="9" t="s">
        <v>60</v>
      </c>
      <c r="K1679" s="14" t="str">
        <f>IFERROR(__xludf.DUMMYFUNCTION("ARRAYFORMULA(VLOOKUP(A1679,IMPORTRANGE(""https://docs.google.com/spreadsheets/d/1BuTWp7qHGjWhqrnf-OmePP568O4A5Am9ttzvVdP67zw/edit#gid=1603210130"", ""TOURISM!$A$2:$F$2692""), {2,3,4,5,6},0))"),"Africa")</f>
        <v>Africa</v>
      </c>
      <c r="L1679" s="14">
        <f>IFERROR(__xludf.DUMMYFUNCTION("""COMPUTED_VALUE"""),1.93E8)</f>
        <v>193000000</v>
      </c>
      <c r="M1679" s="14" t="str">
        <f>IFERROR(__xludf.DUMMYFUNCTION("""COMPUTED_VALUE"""),"Namibia-Africa")</f>
        <v>Namibia-Africa</v>
      </c>
      <c r="N1679" s="14" t="str">
        <f>IFERROR(__xludf.DUMMYFUNCTION("""COMPUTED_VALUE"""),"2000")</f>
        <v>2000</v>
      </c>
      <c r="O1679" s="14">
        <f>IFERROR(__xludf.DUMMYFUNCTION("""COMPUTED_VALUE"""),8.6E7)</f>
        <v>86000000</v>
      </c>
      <c r="P1679" s="15">
        <f>IFERROR(__xludf.DUMMYFUNCTION("ARRAYFORMULA(VLOOKUP(A1679,IMPORTRANGE(""https://docs.google.com/spreadsheets/d/1BuTWp7qHGjWhqrnf-OmePP568O4A5Am9ttzvVdP67zw/edit#gid=771602874"" ,""HUMAN RESOURCES!$A$2:$M$2692""), {2,3,4,5,6,7,8,9,10,11,12,13},0))"),0.032)</f>
        <v>0.032</v>
      </c>
      <c r="Q1679" s="14">
        <f>IFERROR(__xludf.DUMMYFUNCTION("""COMPUTED_VALUE"""),0.049)</f>
        <v>0.049</v>
      </c>
      <c r="R1679" s="14">
        <f>IFERROR(__xludf.DUMMYFUNCTION("""COMPUTED_VALUE"""),57.0)</f>
        <v>57</v>
      </c>
      <c r="S1679" s="14">
        <f>IFERROR(__xludf.DUMMYFUNCTION("""COMPUTED_VALUE"""),53.0)</f>
        <v>53</v>
      </c>
      <c r="T1679" s="14">
        <f>IFERROR(__xludf.DUMMYFUNCTION("""COMPUTED_VALUE"""),0.405)</f>
        <v>0.405</v>
      </c>
      <c r="U1679" s="14">
        <f>IFERROR(__xludf.DUMMYFUNCTION("""COMPUTED_VALUE"""),0.562)</f>
        <v>0.562</v>
      </c>
      <c r="V1679" s="14">
        <f>IFERROR(__xludf.DUMMYFUNCTION("""COMPUTED_VALUE"""),0.033)</f>
        <v>0.033</v>
      </c>
      <c r="W1679" s="14">
        <f>IFERROR(__xludf.DUMMYFUNCTION("""COMPUTED_VALUE"""),1897953.0)</f>
        <v>1897953</v>
      </c>
      <c r="X1679" s="14">
        <f>IFERROR(__xludf.DUMMYFUNCTION("""COMPUTED_VALUE"""),0.324)</f>
        <v>0.324</v>
      </c>
      <c r="Y1679" s="14" t="str">
        <f>IFERROR(__xludf.DUMMYFUNCTION("""COMPUTED_VALUE"""),"Namibia-Africa")</f>
        <v>Namibia-Africa</v>
      </c>
      <c r="Z1679" s="14" t="str">
        <f>IFERROR(__xludf.DUMMYFUNCTION("""COMPUTED_VALUE"""),"Africa")</f>
        <v>Africa</v>
      </c>
      <c r="AA1679" s="14" t="str">
        <f>IFERROR(__xludf.DUMMYFUNCTION("""COMPUTED_VALUE"""),"2000")</f>
        <v>2000</v>
      </c>
      <c r="AB1679" s="15" t="str">
        <f>IFERROR(__xludf.DUMMYFUNCTION("ARRAYFORMULA(VLOOKUP(A1679,IMPORTRANGE(""https://docs.google.com/spreadsheets/d/1BuTWp7qHGjWhqrnf-OmePP568O4A5Am9ttzvVdP67zw/edit#gid=1931367683"" ,""ENERGY!$A$2:$F$2692""), {2,3,4,5,6},0))"),"Africa")</f>
        <v>Africa</v>
      </c>
      <c r="AC1679" s="14" t="str">
        <f>IFERROR(__xludf.DUMMYFUNCTION("""COMPUTED_VALUE"""),"Namibia-Africa")</f>
        <v>Namibia-Africa</v>
      </c>
      <c r="AD1679" s="14" t="str">
        <f>IFERROR(__xludf.DUMMYFUNCTION("""COMPUTED_VALUE"""),"2000")</f>
        <v>2000</v>
      </c>
      <c r="AE1679" s="14"/>
      <c r="AF1679" s="14"/>
    </row>
    <row r="1680">
      <c r="A1680" s="12">
        <v>1679.0</v>
      </c>
      <c r="B1680" s="12" t="s">
        <v>208</v>
      </c>
      <c r="C1680" s="5" t="s">
        <v>77</v>
      </c>
      <c r="D1680" s="8"/>
      <c r="E1680" s="8"/>
      <c r="F1680" s="8"/>
      <c r="G1680" s="8"/>
      <c r="H1680" s="11">
        <v>0.024</v>
      </c>
      <c r="I1680" s="11">
        <v>0.055</v>
      </c>
      <c r="J1680" s="9" t="s">
        <v>62</v>
      </c>
      <c r="K1680" s="14" t="str">
        <f>IFERROR(__xludf.DUMMYFUNCTION("ARRAYFORMULA(VLOOKUP(A1680,IMPORTRANGE(""https://docs.google.com/spreadsheets/d/1BuTWp7qHGjWhqrnf-OmePP568O4A5Am9ttzvVdP67zw/edit#gid=1603210130"", ""TOURISM!$A$2:$F$2692""), {2,3,4,5,6},0))"),"Africa")</f>
        <v>Africa</v>
      </c>
      <c r="L1680" s="14">
        <f>IFERROR(__xludf.DUMMYFUNCTION("""COMPUTED_VALUE"""),2.64E8)</f>
        <v>264000000</v>
      </c>
      <c r="M1680" s="14" t="str">
        <f>IFERROR(__xludf.DUMMYFUNCTION("""COMPUTED_VALUE"""),"Namibia-Africa")</f>
        <v>Namibia-Africa</v>
      </c>
      <c r="N1680" s="14" t="str">
        <f>IFERROR(__xludf.DUMMYFUNCTION("""COMPUTED_VALUE"""),"2001")</f>
        <v>2001</v>
      </c>
      <c r="O1680" s="14">
        <f>IFERROR(__xludf.DUMMYFUNCTION("""COMPUTED_VALUE"""),7.1E7)</f>
        <v>71000000</v>
      </c>
      <c r="P1680" s="15">
        <f>IFERROR(__xludf.DUMMYFUNCTION("ARRAYFORMULA(VLOOKUP(A1680,IMPORTRANGE(""https://docs.google.com/spreadsheets/d/1BuTWp7qHGjWhqrnf-OmePP568O4A5Am9ttzvVdP67zw/edit#gid=771602874"" ,""HUMAN RESOURCES!$A$2:$M$2692""), {2,3,4,5,6,7,8,9,10,11,12,13},0))"),0.031)</f>
        <v>0.031</v>
      </c>
      <c r="Q1680" s="14">
        <f>IFERROR(__xludf.DUMMYFUNCTION("""COMPUTED_VALUE"""),0.049)</f>
        <v>0.049</v>
      </c>
      <c r="R1680" s="14">
        <f>IFERROR(__xludf.DUMMYFUNCTION("""COMPUTED_VALUE"""),56.0)</f>
        <v>56</v>
      </c>
      <c r="S1680" s="14">
        <f>IFERROR(__xludf.DUMMYFUNCTION("""COMPUTED_VALUE"""),52.0)</f>
        <v>52</v>
      </c>
      <c r="T1680" s="14">
        <f>IFERROR(__xludf.DUMMYFUNCTION("""COMPUTED_VALUE"""),0.403)</f>
        <v>0.403</v>
      </c>
      <c r="U1680" s="14">
        <f>IFERROR(__xludf.DUMMYFUNCTION("""COMPUTED_VALUE"""),0.564)</f>
        <v>0.564</v>
      </c>
      <c r="V1680" s="14">
        <f>IFERROR(__xludf.DUMMYFUNCTION("""COMPUTED_VALUE"""),0.033)</f>
        <v>0.033</v>
      </c>
      <c r="W1680" s="14">
        <f>IFERROR(__xludf.DUMMYFUNCTION("""COMPUTED_VALUE"""),1931282.0)</f>
        <v>1931282</v>
      </c>
      <c r="X1680" s="14">
        <f>IFERROR(__xludf.DUMMYFUNCTION("""COMPUTED_VALUE"""),0.329)</f>
        <v>0.329</v>
      </c>
      <c r="Y1680" s="14" t="str">
        <f>IFERROR(__xludf.DUMMYFUNCTION("""COMPUTED_VALUE"""),"Namibia-Africa")</f>
        <v>Namibia-Africa</v>
      </c>
      <c r="Z1680" s="14" t="str">
        <f>IFERROR(__xludf.DUMMYFUNCTION("""COMPUTED_VALUE"""),"Africa")</f>
        <v>Africa</v>
      </c>
      <c r="AA1680" s="14" t="str">
        <f>IFERROR(__xludf.DUMMYFUNCTION("""COMPUTED_VALUE"""),"2001")</f>
        <v>2001</v>
      </c>
      <c r="AB1680" s="15" t="str">
        <f>IFERROR(__xludf.DUMMYFUNCTION("ARRAYFORMULA(VLOOKUP(A1680,IMPORTRANGE(""https://docs.google.com/spreadsheets/d/1BuTWp7qHGjWhqrnf-OmePP568O4A5Am9ttzvVdP67zw/edit#gid=1931367683"" ,""ENERGY!$A$2:$F$2692""), {2,3,4,5,6},0))"),"Africa")</f>
        <v>Africa</v>
      </c>
      <c r="AC1680" s="14" t="str">
        <f>IFERROR(__xludf.DUMMYFUNCTION("""COMPUTED_VALUE"""),"Namibia-Africa")</f>
        <v>Namibia-Africa</v>
      </c>
      <c r="AD1680" s="14" t="str">
        <f>IFERROR(__xludf.DUMMYFUNCTION("""COMPUTED_VALUE"""),"2001")</f>
        <v>2001</v>
      </c>
      <c r="AE1680" s="14">
        <f>IFERROR(__xludf.DUMMYFUNCTION("""COMPUTED_VALUE"""),1589.0)</f>
        <v>1589</v>
      </c>
      <c r="AF1680" s="14"/>
    </row>
    <row r="1681">
      <c r="A1681" s="12">
        <v>1680.0</v>
      </c>
      <c r="B1681" s="12" t="s">
        <v>208</v>
      </c>
      <c r="C1681" s="5" t="s">
        <v>77</v>
      </c>
      <c r="D1681" s="8"/>
      <c r="E1681" s="8"/>
      <c r="F1681" s="8"/>
      <c r="G1681" s="8"/>
      <c r="H1681" s="11">
        <v>0.026</v>
      </c>
      <c r="I1681" s="11">
        <v>0.077</v>
      </c>
      <c r="J1681" s="9" t="s">
        <v>63</v>
      </c>
      <c r="K1681" s="14" t="str">
        <f>IFERROR(__xludf.DUMMYFUNCTION("ARRAYFORMULA(VLOOKUP(A1681,IMPORTRANGE(""https://docs.google.com/spreadsheets/d/1BuTWp7qHGjWhqrnf-OmePP568O4A5Am9ttzvVdP67zw/edit#gid=1603210130"", ""TOURISM!$A$2:$F$2692""), {2,3,4,5,6},0))"),"Africa")</f>
        <v>Africa</v>
      </c>
      <c r="L1681" s="14">
        <f>IFERROR(__xludf.DUMMYFUNCTION("""COMPUTED_VALUE"""),2.51E8)</f>
        <v>251000000</v>
      </c>
      <c r="M1681" s="14" t="str">
        <f>IFERROR(__xludf.DUMMYFUNCTION("""COMPUTED_VALUE"""),"Namibia-Africa")</f>
        <v>Namibia-Africa</v>
      </c>
      <c r="N1681" s="14" t="str">
        <f>IFERROR(__xludf.DUMMYFUNCTION("""COMPUTED_VALUE"""),"2002")</f>
        <v>2002</v>
      </c>
      <c r="O1681" s="14">
        <f>IFERROR(__xludf.DUMMYFUNCTION("""COMPUTED_VALUE"""),6.5E7)</f>
        <v>65000000</v>
      </c>
      <c r="P1681" s="15">
        <f>IFERROR(__xludf.DUMMYFUNCTION("ARRAYFORMULA(VLOOKUP(A1681,IMPORTRANGE(""https://docs.google.com/spreadsheets/d/1BuTWp7qHGjWhqrnf-OmePP568O4A5Am9ttzvVdP67zw/edit#gid=771602874"" ,""HUMAN RESOURCES!$A$2:$M$2692""), {2,3,4,5,6,7,8,9,10,11,12,13},0))"),0.031)</f>
        <v>0.031</v>
      </c>
      <c r="Q1681" s="14">
        <f>IFERROR(__xludf.DUMMYFUNCTION("""COMPUTED_VALUE"""),0.049)</f>
        <v>0.049</v>
      </c>
      <c r="R1681" s="14">
        <f>IFERROR(__xludf.DUMMYFUNCTION("""COMPUTED_VALUE"""),56.0)</f>
        <v>56</v>
      </c>
      <c r="S1681" s="14">
        <f>IFERROR(__xludf.DUMMYFUNCTION("""COMPUTED_VALUE"""),52.0)</f>
        <v>52</v>
      </c>
      <c r="T1681" s="14">
        <f>IFERROR(__xludf.DUMMYFUNCTION("""COMPUTED_VALUE"""),0.402)</f>
        <v>0.402</v>
      </c>
      <c r="U1681" s="14">
        <f>IFERROR(__xludf.DUMMYFUNCTION("""COMPUTED_VALUE"""),0.565)</f>
        <v>0.565</v>
      </c>
      <c r="V1681" s="14">
        <f>IFERROR(__xludf.DUMMYFUNCTION("""COMPUTED_VALUE"""),0.033)</f>
        <v>0.033</v>
      </c>
      <c r="W1681" s="14">
        <f>IFERROR(__xludf.DUMMYFUNCTION("""COMPUTED_VALUE"""),1958303.0)</f>
        <v>1958303</v>
      </c>
      <c r="X1681" s="14">
        <f>IFERROR(__xludf.DUMMYFUNCTION("""COMPUTED_VALUE"""),0.338)</f>
        <v>0.338</v>
      </c>
      <c r="Y1681" s="14" t="str">
        <f>IFERROR(__xludf.DUMMYFUNCTION("""COMPUTED_VALUE"""),"Namibia-Africa")</f>
        <v>Namibia-Africa</v>
      </c>
      <c r="Z1681" s="14" t="str">
        <f>IFERROR(__xludf.DUMMYFUNCTION("""COMPUTED_VALUE"""),"Africa")</f>
        <v>Africa</v>
      </c>
      <c r="AA1681" s="14" t="str">
        <f>IFERROR(__xludf.DUMMYFUNCTION("""COMPUTED_VALUE"""),"2002")</f>
        <v>2002</v>
      </c>
      <c r="AB1681" s="15" t="str">
        <f>IFERROR(__xludf.DUMMYFUNCTION("ARRAYFORMULA(VLOOKUP(A1681,IMPORTRANGE(""https://docs.google.com/spreadsheets/d/1BuTWp7qHGjWhqrnf-OmePP568O4A5Am9ttzvVdP67zw/edit#gid=1931367683"" ,""ENERGY!$A$2:$F$2692""), {2,3,4,5,6},0))"),"Africa")</f>
        <v>Africa</v>
      </c>
      <c r="AC1681" s="14" t="str">
        <f>IFERROR(__xludf.DUMMYFUNCTION("""COMPUTED_VALUE"""),"Namibia-Africa")</f>
        <v>Namibia-Africa</v>
      </c>
      <c r="AD1681" s="14" t="str">
        <f>IFERROR(__xludf.DUMMYFUNCTION("""COMPUTED_VALUE"""),"2002")</f>
        <v>2002</v>
      </c>
      <c r="AE1681" s="14">
        <f>IFERROR(__xludf.DUMMYFUNCTION("""COMPUTED_VALUE"""),1552.0)</f>
        <v>1552</v>
      </c>
      <c r="AF1681" s="14">
        <f>IFERROR(__xludf.DUMMYFUNCTION("""COMPUTED_VALUE"""),3176.0)</f>
        <v>3176</v>
      </c>
    </row>
    <row r="1682">
      <c r="A1682" s="12">
        <v>1681.0</v>
      </c>
      <c r="B1682" s="12" t="s">
        <v>208</v>
      </c>
      <c r="C1682" s="5" t="s">
        <v>77</v>
      </c>
      <c r="D1682" s="8"/>
      <c r="E1682" s="11">
        <v>85.0</v>
      </c>
      <c r="F1682" s="8"/>
      <c r="G1682" s="8"/>
      <c r="H1682" s="11">
        <v>0.034</v>
      </c>
      <c r="I1682" s="11">
        <v>0.113</v>
      </c>
      <c r="J1682" s="9" t="s">
        <v>64</v>
      </c>
      <c r="K1682" s="14" t="str">
        <f>IFERROR(__xludf.DUMMYFUNCTION("ARRAYFORMULA(VLOOKUP(A1682,IMPORTRANGE(""https://docs.google.com/spreadsheets/d/1BuTWp7qHGjWhqrnf-OmePP568O4A5Am9ttzvVdP67zw/edit#gid=1603210130"", ""TOURISM!$A$2:$F$2692""), {2,3,4,5,6},0))"),"Africa")</f>
        <v>Africa</v>
      </c>
      <c r="L1682" s="14">
        <f>IFERROR(__xludf.DUMMYFUNCTION("""COMPUTED_VALUE"""),3.83E8)</f>
        <v>383000000</v>
      </c>
      <c r="M1682" s="14" t="str">
        <f>IFERROR(__xludf.DUMMYFUNCTION("""COMPUTED_VALUE"""),"Namibia-Africa")</f>
        <v>Namibia-Africa</v>
      </c>
      <c r="N1682" s="14" t="str">
        <f>IFERROR(__xludf.DUMMYFUNCTION("""COMPUTED_VALUE"""),"2003")</f>
        <v>2003</v>
      </c>
      <c r="O1682" s="14">
        <f>IFERROR(__xludf.DUMMYFUNCTION("""COMPUTED_VALUE"""),1.01E8)</f>
        <v>101000000</v>
      </c>
      <c r="P1682" s="15">
        <f>IFERROR(__xludf.DUMMYFUNCTION("ARRAYFORMULA(VLOOKUP(A1682,IMPORTRANGE(""https://docs.google.com/spreadsheets/d/1BuTWp7qHGjWhqrnf-OmePP568O4A5Am9ttzvVdP67zw/edit#gid=771602874"" ,""HUMAN RESOURCES!$A$2:$M$2692""), {2,3,4,5,6,7,8,9,10,11,12,13},0))"),0.03)</f>
        <v>0.03</v>
      </c>
      <c r="Q1682" s="14">
        <f>IFERROR(__xludf.DUMMYFUNCTION("""COMPUTED_VALUE"""),0.049)</f>
        <v>0.049</v>
      </c>
      <c r="R1682" s="14">
        <f>IFERROR(__xludf.DUMMYFUNCTION("""COMPUTED_VALUE"""),56.0)</f>
        <v>56</v>
      </c>
      <c r="S1682" s="14">
        <f>IFERROR(__xludf.DUMMYFUNCTION("""COMPUTED_VALUE"""),52.0)</f>
        <v>52</v>
      </c>
      <c r="T1682" s="14">
        <f>IFERROR(__xludf.DUMMYFUNCTION("""COMPUTED_VALUE"""),0.401)</f>
        <v>0.401</v>
      </c>
      <c r="U1682" s="14">
        <f>IFERROR(__xludf.DUMMYFUNCTION("""COMPUTED_VALUE"""),0.565)</f>
        <v>0.565</v>
      </c>
      <c r="V1682" s="14">
        <f>IFERROR(__xludf.DUMMYFUNCTION("""COMPUTED_VALUE"""),0.033)</f>
        <v>0.033</v>
      </c>
      <c r="W1682" s="14">
        <f>IFERROR(__xludf.DUMMYFUNCTION("""COMPUTED_VALUE"""),1981237.0)</f>
        <v>1981237</v>
      </c>
      <c r="X1682" s="14">
        <f>IFERROR(__xludf.DUMMYFUNCTION("""COMPUTED_VALUE"""),0.347)</f>
        <v>0.347</v>
      </c>
      <c r="Y1682" s="14" t="str">
        <f>IFERROR(__xludf.DUMMYFUNCTION("""COMPUTED_VALUE"""),"Namibia-Africa")</f>
        <v>Namibia-Africa</v>
      </c>
      <c r="Z1682" s="14" t="str">
        <f>IFERROR(__xludf.DUMMYFUNCTION("""COMPUTED_VALUE"""),"Africa")</f>
        <v>Africa</v>
      </c>
      <c r="AA1682" s="14" t="str">
        <f>IFERROR(__xludf.DUMMYFUNCTION("""COMPUTED_VALUE"""),"2003")</f>
        <v>2003</v>
      </c>
      <c r="AB1682" s="15" t="str">
        <f>IFERROR(__xludf.DUMMYFUNCTION("ARRAYFORMULA(VLOOKUP(A1682,IMPORTRANGE(""https://docs.google.com/spreadsheets/d/1BuTWp7qHGjWhqrnf-OmePP568O4A5Am9ttzvVdP67zw/edit#gid=1931367683"" ,""ENERGY!$A$2:$F$2692""), {2,3,4,5,6},0))"),"Africa")</f>
        <v>Africa</v>
      </c>
      <c r="AC1682" s="14" t="str">
        <f>IFERROR(__xludf.DUMMYFUNCTION("""COMPUTED_VALUE"""),"Namibia-Africa")</f>
        <v>Namibia-Africa</v>
      </c>
      <c r="AD1682" s="14" t="str">
        <f>IFERROR(__xludf.DUMMYFUNCTION("""COMPUTED_VALUE"""),"2003")</f>
        <v>2003</v>
      </c>
      <c r="AE1682" s="14">
        <f>IFERROR(__xludf.DUMMYFUNCTION("""COMPUTED_VALUE"""),1497.0)</f>
        <v>1497</v>
      </c>
      <c r="AF1682" s="14">
        <f>IFERROR(__xludf.DUMMYFUNCTION("""COMPUTED_VALUE"""),3183.0)</f>
        <v>3183</v>
      </c>
    </row>
    <row r="1683">
      <c r="A1683" s="12">
        <v>1682.0</v>
      </c>
      <c r="B1683" s="12" t="s">
        <v>208</v>
      </c>
      <c r="C1683" s="5" t="s">
        <v>77</v>
      </c>
      <c r="D1683" s="8"/>
      <c r="E1683" s="11">
        <v>85.0</v>
      </c>
      <c r="F1683" s="8"/>
      <c r="G1683" s="8"/>
      <c r="H1683" s="11">
        <v>0.038</v>
      </c>
      <c r="I1683" s="11">
        <v>0.143</v>
      </c>
      <c r="J1683" s="9" t="s">
        <v>65</v>
      </c>
      <c r="K1683" s="14" t="str">
        <f>IFERROR(__xludf.DUMMYFUNCTION("ARRAYFORMULA(VLOOKUP(A1683,IMPORTRANGE(""https://docs.google.com/spreadsheets/d/1BuTWp7qHGjWhqrnf-OmePP568O4A5Am9ttzvVdP67zw/edit#gid=1603210130"", ""TOURISM!$A$2:$F$2692""), {2,3,4,5,6},0))"),"Africa")</f>
        <v>Africa</v>
      </c>
      <c r="L1683" s="14">
        <f>IFERROR(__xludf.DUMMYFUNCTION("""COMPUTED_VALUE"""),4.26E8)</f>
        <v>426000000</v>
      </c>
      <c r="M1683" s="14" t="str">
        <f>IFERROR(__xludf.DUMMYFUNCTION("""COMPUTED_VALUE"""),"Namibia-Africa")</f>
        <v>Namibia-Africa</v>
      </c>
      <c r="N1683" s="14" t="str">
        <f>IFERROR(__xludf.DUMMYFUNCTION("""COMPUTED_VALUE"""),"2004")</f>
        <v>2004</v>
      </c>
      <c r="O1683" s="14">
        <f>IFERROR(__xludf.DUMMYFUNCTION("""COMPUTED_VALUE"""),1.23E8)</f>
        <v>123000000</v>
      </c>
      <c r="P1683" s="15">
        <f>IFERROR(__xludf.DUMMYFUNCTION("ARRAYFORMULA(VLOOKUP(A1683,IMPORTRANGE(""https://docs.google.com/spreadsheets/d/1BuTWp7qHGjWhqrnf-OmePP568O4A5Am9ttzvVdP67zw/edit#gid=771602874"" ,""HUMAN RESOURCES!$A$2:$M$2692""), {2,3,4,5,6,7,8,9,10,11,12,13},0))"),0.03)</f>
        <v>0.03</v>
      </c>
      <c r="Q1683" s="14">
        <f>IFERROR(__xludf.DUMMYFUNCTION("""COMPUTED_VALUE"""),0.048)</f>
        <v>0.048</v>
      </c>
      <c r="R1683" s="14">
        <f>IFERROR(__xludf.DUMMYFUNCTION("""COMPUTED_VALUE"""),57.0)</f>
        <v>57</v>
      </c>
      <c r="S1683" s="14">
        <f>IFERROR(__xludf.DUMMYFUNCTION("""COMPUTED_VALUE"""),53.0)</f>
        <v>53</v>
      </c>
      <c r="T1683" s="14">
        <f>IFERROR(__xludf.DUMMYFUNCTION("""COMPUTED_VALUE"""),0.4)</f>
        <v>0.4</v>
      </c>
      <c r="U1683" s="14">
        <f>IFERROR(__xludf.DUMMYFUNCTION("""COMPUTED_VALUE"""),0.567)</f>
        <v>0.567</v>
      </c>
      <c r="V1683" s="14">
        <f>IFERROR(__xludf.DUMMYFUNCTION("""COMPUTED_VALUE"""),0.033)</f>
        <v>0.033</v>
      </c>
      <c r="W1683" s="14">
        <f>IFERROR(__xludf.DUMMYFUNCTION("""COMPUTED_VALUE"""),2003320.0)</f>
        <v>2003320</v>
      </c>
      <c r="X1683" s="14">
        <f>IFERROR(__xludf.DUMMYFUNCTION("""COMPUTED_VALUE"""),0.357)</f>
        <v>0.357</v>
      </c>
      <c r="Y1683" s="14" t="str">
        <f>IFERROR(__xludf.DUMMYFUNCTION("""COMPUTED_VALUE"""),"Namibia-Africa")</f>
        <v>Namibia-Africa</v>
      </c>
      <c r="Z1683" s="14" t="str">
        <f>IFERROR(__xludf.DUMMYFUNCTION("""COMPUTED_VALUE"""),"Africa")</f>
        <v>Africa</v>
      </c>
      <c r="AA1683" s="14" t="str">
        <f>IFERROR(__xludf.DUMMYFUNCTION("""COMPUTED_VALUE"""),"2004")</f>
        <v>2004</v>
      </c>
      <c r="AB1683" s="15" t="str">
        <f>IFERROR(__xludf.DUMMYFUNCTION("ARRAYFORMULA(VLOOKUP(A1683,IMPORTRANGE(""https://docs.google.com/spreadsheets/d/1BuTWp7qHGjWhqrnf-OmePP568O4A5Am9ttzvVdP67zw/edit#gid=1931367683"" ,""ENERGY!$A$2:$F$2692""), {2,3,4,5,6},0))"),"Africa")</f>
        <v>Africa</v>
      </c>
      <c r="AC1683" s="14" t="str">
        <f>IFERROR(__xludf.DUMMYFUNCTION("""COMPUTED_VALUE"""),"Namibia-Africa")</f>
        <v>Namibia-Africa</v>
      </c>
      <c r="AD1683" s="14" t="str">
        <f>IFERROR(__xludf.DUMMYFUNCTION("""COMPUTED_VALUE"""),"2004")</f>
        <v>2004</v>
      </c>
      <c r="AE1683" s="14">
        <f>IFERROR(__xludf.DUMMYFUNCTION("""COMPUTED_VALUE"""),1455.0)</f>
        <v>1455</v>
      </c>
      <c r="AF1683" s="14">
        <f>IFERROR(__xludf.DUMMYFUNCTION("""COMPUTED_VALUE"""),3579.0)</f>
        <v>3579</v>
      </c>
    </row>
    <row r="1684">
      <c r="A1684" s="12">
        <v>1683.0</v>
      </c>
      <c r="B1684" s="12" t="s">
        <v>208</v>
      </c>
      <c r="C1684" s="5" t="s">
        <v>77</v>
      </c>
      <c r="D1684" s="11">
        <v>0.258</v>
      </c>
      <c r="E1684" s="11">
        <v>95.0</v>
      </c>
      <c r="F1684" s="8"/>
      <c r="G1684" s="11">
        <v>339.0</v>
      </c>
      <c r="H1684" s="11">
        <v>0.04</v>
      </c>
      <c r="I1684" s="11">
        <v>0.221</v>
      </c>
      <c r="J1684" s="9" t="s">
        <v>66</v>
      </c>
      <c r="K1684" s="14" t="str">
        <f>IFERROR(__xludf.DUMMYFUNCTION("ARRAYFORMULA(VLOOKUP(A1684,IMPORTRANGE(""https://docs.google.com/spreadsheets/d/1BuTWp7qHGjWhqrnf-OmePP568O4A5Am9ttzvVdP67zw/edit#gid=1603210130"", ""TOURISM!$A$2:$F$2692""), {2,3,4,5,6},0))"),"Africa")</f>
        <v>Africa</v>
      </c>
      <c r="L1684" s="14">
        <f>IFERROR(__xludf.DUMMYFUNCTION("""COMPUTED_VALUE"""),3.63E8)</f>
        <v>363000000</v>
      </c>
      <c r="M1684" s="14" t="str">
        <f>IFERROR(__xludf.DUMMYFUNCTION("""COMPUTED_VALUE"""),"Namibia-Africa")</f>
        <v>Namibia-Africa</v>
      </c>
      <c r="N1684" s="14" t="str">
        <f>IFERROR(__xludf.DUMMYFUNCTION("""COMPUTED_VALUE"""),"2005")</f>
        <v>2005</v>
      </c>
      <c r="O1684" s="14">
        <f>IFERROR(__xludf.DUMMYFUNCTION("""COMPUTED_VALUE"""),1.08E8)</f>
        <v>108000000</v>
      </c>
      <c r="P1684" s="15">
        <f>IFERROR(__xludf.DUMMYFUNCTION("ARRAYFORMULA(VLOOKUP(A1684,IMPORTRANGE(""https://docs.google.com/spreadsheets/d/1BuTWp7qHGjWhqrnf-OmePP568O4A5Am9ttzvVdP67zw/edit#gid=771602874"" ,""HUMAN RESOURCES!$A$2:$M$2692""), {2,3,4,5,6,7,8,9,10,11,12,13},0))"),0.029)</f>
        <v>0.029</v>
      </c>
      <c r="Q1684" s="14">
        <f>IFERROR(__xludf.DUMMYFUNCTION("""COMPUTED_VALUE"""),0.046)</f>
        <v>0.046</v>
      </c>
      <c r="R1684" s="14">
        <f>IFERROR(__xludf.DUMMYFUNCTION("""COMPUTED_VALUE"""),58.0)</f>
        <v>58</v>
      </c>
      <c r="S1684" s="14">
        <f>IFERROR(__xludf.DUMMYFUNCTION("""COMPUTED_VALUE"""),54.0)</f>
        <v>54</v>
      </c>
      <c r="T1684" s="14">
        <f>IFERROR(__xludf.DUMMYFUNCTION("""COMPUTED_VALUE"""),0.398)</f>
        <v>0.398</v>
      </c>
      <c r="U1684" s="14">
        <f>IFERROR(__xludf.DUMMYFUNCTION("""COMPUTED_VALUE"""),0.569)</f>
        <v>0.569</v>
      </c>
      <c r="V1684" s="14">
        <f>IFERROR(__xludf.DUMMYFUNCTION("""COMPUTED_VALUE"""),0.033)</f>
        <v>0.033</v>
      </c>
      <c r="W1684" s="14">
        <f>IFERROR(__xludf.DUMMYFUNCTION("""COMPUTED_VALUE"""),2027026.0)</f>
        <v>2027026</v>
      </c>
      <c r="X1684" s="14">
        <f>IFERROR(__xludf.DUMMYFUNCTION("""COMPUTED_VALUE"""),0.366)</f>
        <v>0.366</v>
      </c>
      <c r="Y1684" s="14" t="str">
        <f>IFERROR(__xludf.DUMMYFUNCTION("""COMPUTED_VALUE"""),"Namibia-Africa")</f>
        <v>Namibia-Africa</v>
      </c>
      <c r="Z1684" s="14" t="str">
        <f>IFERROR(__xludf.DUMMYFUNCTION("""COMPUTED_VALUE"""),"Africa")</f>
        <v>Africa</v>
      </c>
      <c r="AA1684" s="14" t="str">
        <f>IFERROR(__xludf.DUMMYFUNCTION("""COMPUTED_VALUE"""),"2005")</f>
        <v>2005</v>
      </c>
      <c r="AB1684" s="15" t="str">
        <f>IFERROR(__xludf.DUMMYFUNCTION("ARRAYFORMULA(VLOOKUP(A1684,IMPORTRANGE(""https://docs.google.com/spreadsheets/d/1BuTWp7qHGjWhqrnf-OmePP568O4A5Am9ttzvVdP67zw/edit#gid=1931367683"" ,""ENERGY!$A$2:$F$2692""), {2,3,4,5,6},0))"),"Africa")</f>
        <v>Africa</v>
      </c>
      <c r="AC1684" s="14" t="str">
        <f>IFERROR(__xludf.DUMMYFUNCTION("""COMPUTED_VALUE"""),"Namibia-Africa")</f>
        <v>Namibia-Africa</v>
      </c>
      <c r="AD1684" s="14" t="str">
        <f>IFERROR(__xludf.DUMMYFUNCTION("""COMPUTED_VALUE"""),"2008")</f>
        <v>2008</v>
      </c>
      <c r="AE1684" s="14">
        <f>IFERROR(__xludf.DUMMYFUNCTION("""COMPUTED_VALUE"""),1345.0)</f>
        <v>1345</v>
      </c>
      <c r="AF1684" s="14">
        <f>IFERROR(__xludf.DUMMYFUNCTION("""COMPUTED_VALUE"""),2409.0)</f>
        <v>2409</v>
      </c>
    </row>
    <row r="1685">
      <c r="A1685" s="12">
        <v>1684.0</v>
      </c>
      <c r="B1685" s="12" t="s">
        <v>208</v>
      </c>
      <c r="C1685" s="5" t="s">
        <v>77</v>
      </c>
      <c r="D1685" s="11">
        <v>0.258</v>
      </c>
      <c r="E1685" s="11">
        <v>95.0</v>
      </c>
      <c r="F1685" s="8"/>
      <c r="G1685" s="11">
        <v>339.0</v>
      </c>
      <c r="H1685" s="11">
        <v>0.044</v>
      </c>
      <c r="I1685" s="11">
        <v>0.297</v>
      </c>
      <c r="J1685" s="9" t="s">
        <v>67</v>
      </c>
      <c r="K1685" s="14" t="str">
        <f>IFERROR(__xludf.DUMMYFUNCTION("ARRAYFORMULA(VLOOKUP(A1685,IMPORTRANGE(""https://docs.google.com/spreadsheets/d/1BuTWp7qHGjWhqrnf-OmePP568O4A5Am9ttzvVdP67zw/edit#gid=1603210130"", ""TOURISM!$A$2:$F$2692""), {2,3,4,5,6},0))"),"Africa")</f>
        <v>Africa</v>
      </c>
      <c r="L1685" s="14">
        <f>IFERROR(__xludf.DUMMYFUNCTION("""COMPUTED_VALUE"""),4.73E8)</f>
        <v>473000000</v>
      </c>
      <c r="M1685" s="14" t="str">
        <f>IFERROR(__xludf.DUMMYFUNCTION("""COMPUTED_VALUE"""),"Namibia-Africa")</f>
        <v>Namibia-Africa</v>
      </c>
      <c r="N1685" s="14" t="str">
        <f>IFERROR(__xludf.DUMMYFUNCTION("""COMPUTED_VALUE"""),"2006")</f>
        <v>2006</v>
      </c>
      <c r="O1685" s="14">
        <f>IFERROR(__xludf.DUMMYFUNCTION("""COMPUTED_VALUE"""),1.18E8)</f>
        <v>118000000</v>
      </c>
      <c r="P1685" s="15">
        <f>IFERROR(__xludf.DUMMYFUNCTION("ARRAYFORMULA(VLOOKUP(A1685,IMPORTRANGE(""https://docs.google.com/spreadsheets/d/1BuTWp7qHGjWhqrnf-OmePP568O4A5Am9ttzvVdP67zw/edit#gid=771602874"" ,""HUMAN RESOURCES!$A$2:$M$2692""), {2,3,4,5,6,7,8,9,10,11,12,13},0))"),0.029)</f>
        <v>0.029</v>
      </c>
      <c r="Q1685" s="14">
        <f>IFERROR(__xludf.DUMMYFUNCTION("""COMPUTED_VALUE"""),0.044)</f>
        <v>0.044</v>
      </c>
      <c r="R1685" s="14">
        <f>IFERROR(__xludf.DUMMYFUNCTION("""COMPUTED_VALUE"""),60.0)</f>
        <v>60</v>
      </c>
      <c r="S1685" s="14">
        <f>IFERROR(__xludf.DUMMYFUNCTION("""COMPUTED_VALUE"""),55.0)</f>
        <v>55</v>
      </c>
      <c r="T1685" s="14">
        <f>IFERROR(__xludf.DUMMYFUNCTION("""COMPUTED_VALUE"""),0.395)</f>
        <v>0.395</v>
      </c>
      <c r="U1685" s="14">
        <f>IFERROR(__xludf.DUMMYFUNCTION("""COMPUTED_VALUE"""),0.571)</f>
        <v>0.571</v>
      </c>
      <c r="V1685" s="14">
        <f>IFERROR(__xludf.DUMMYFUNCTION("""COMPUTED_VALUE"""),0.033)</f>
        <v>0.033</v>
      </c>
      <c r="W1685" s="14">
        <f>IFERROR(__xludf.DUMMYFUNCTION("""COMPUTED_VALUE"""),2052931.0)</f>
        <v>2052931</v>
      </c>
      <c r="X1685" s="14">
        <f>IFERROR(__xludf.DUMMYFUNCTION("""COMPUTED_VALUE"""),0.376)</f>
        <v>0.376</v>
      </c>
      <c r="Y1685" s="14" t="str">
        <f>IFERROR(__xludf.DUMMYFUNCTION("""COMPUTED_VALUE"""),"Namibia-Africa")</f>
        <v>Namibia-Africa</v>
      </c>
      <c r="Z1685" s="14" t="str">
        <f>IFERROR(__xludf.DUMMYFUNCTION("""COMPUTED_VALUE"""),"Africa")</f>
        <v>Africa</v>
      </c>
      <c r="AA1685" s="14" t="str">
        <f>IFERROR(__xludf.DUMMYFUNCTION("""COMPUTED_VALUE"""),"2006")</f>
        <v>2006</v>
      </c>
      <c r="AB1685" s="15" t="str">
        <f>IFERROR(__xludf.DUMMYFUNCTION("ARRAYFORMULA(VLOOKUP(A1685,IMPORTRANGE(""https://docs.google.com/spreadsheets/d/1BuTWp7qHGjWhqrnf-OmePP568O4A5Am9ttzvVdP67zw/edit#gid=1931367683"" ,""ENERGY!$A$2:$F$2692""), {2,3,4,5,6},0))"),"Africa")</f>
        <v>Africa</v>
      </c>
      <c r="AC1685" s="14" t="str">
        <f>IFERROR(__xludf.DUMMYFUNCTION("""COMPUTED_VALUE"""),"Namibia-Africa")</f>
        <v>Namibia-Africa</v>
      </c>
      <c r="AD1685" s="14" t="str">
        <f>IFERROR(__xludf.DUMMYFUNCTION("""COMPUTED_VALUE"""),"2012")</f>
        <v>2012</v>
      </c>
      <c r="AE1685" s="14">
        <f>IFERROR(__xludf.DUMMYFUNCTION("""COMPUTED_VALUE"""),1294.0)</f>
        <v>1294</v>
      </c>
      <c r="AF1685" s="14">
        <f>IFERROR(__xludf.DUMMYFUNCTION("""COMPUTED_VALUE"""),2329.0)</f>
        <v>2329</v>
      </c>
    </row>
    <row r="1686">
      <c r="A1686" s="12">
        <v>1685.0</v>
      </c>
      <c r="B1686" s="12" t="s">
        <v>208</v>
      </c>
      <c r="C1686" s="5" t="s">
        <v>77</v>
      </c>
      <c r="D1686" s="11">
        <v>0.258</v>
      </c>
      <c r="E1686" s="11">
        <v>99.0</v>
      </c>
      <c r="F1686" s="8"/>
      <c r="G1686" s="11">
        <v>339.0</v>
      </c>
      <c r="H1686" s="11">
        <v>0.048</v>
      </c>
      <c r="I1686" s="11">
        <v>0.385</v>
      </c>
      <c r="J1686" s="9" t="s">
        <v>68</v>
      </c>
      <c r="K1686" s="14" t="str">
        <f>IFERROR(__xludf.DUMMYFUNCTION("ARRAYFORMULA(VLOOKUP(A1686,IMPORTRANGE(""https://docs.google.com/spreadsheets/d/1BuTWp7qHGjWhqrnf-OmePP568O4A5Am9ttzvVdP67zw/edit#gid=1603210130"", ""TOURISM!$A$2:$F$2692""), {2,3,4,5,6},0))"),"Africa")</f>
        <v>Africa</v>
      </c>
      <c r="L1686" s="14">
        <f>IFERROR(__xludf.DUMMYFUNCTION("""COMPUTED_VALUE"""),5.42E8)</f>
        <v>542000000</v>
      </c>
      <c r="M1686" s="14" t="str">
        <f>IFERROR(__xludf.DUMMYFUNCTION("""COMPUTED_VALUE"""),"Namibia-Africa")</f>
        <v>Namibia-Africa</v>
      </c>
      <c r="N1686" s="14" t="str">
        <f>IFERROR(__xludf.DUMMYFUNCTION("""COMPUTED_VALUE"""),"2007")</f>
        <v>2007</v>
      </c>
      <c r="O1686" s="14">
        <f>IFERROR(__xludf.DUMMYFUNCTION("""COMPUTED_VALUE"""),1.32E8)</f>
        <v>132000000</v>
      </c>
      <c r="P1686" s="15">
        <f>IFERROR(__xludf.DUMMYFUNCTION("ARRAYFORMULA(VLOOKUP(A1686,IMPORTRANGE(""https://docs.google.com/spreadsheets/d/1BuTWp7qHGjWhqrnf-OmePP568O4A5Am9ttzvVdP67zw/edit#gid=771602874"" ,""HUMAN RESOURCES!$A$2:$M$2692""), {2,3,4,5,6,7,8,9,10,11,12,13},0))"),0.028)</f>
        <v>0.028</v>
      </c>
      <c r="Q1686" s="14">
        <f>IFERROR(__xludf.DUMMYFUNCTION("""COMPUTED_VALUE"""),0.042)</f>
        <v>0.042</v>
      </c>
      <c r="R1686" s="14">
        <f>IFERROR(__xludf.DUMMYFUNCTION("""COMPUTED_VALUE"""),62.0)</f>
        <v>62</v>
      </c>
      <c r="S1686" s="14">
        <f>IFERROR(__xludf.DUMMYFUNCTION("""COMPUTED_VALUE"""),56.0)</f>
        <v>56</v>
      </c>
      <c r="T1686" s="14">
        <f>IFERROR(__xludf.DUMMYFUNCTION("""COMPUTED_VALUE"""),0.391)</f>
        <v>0.391</v>
      </c>
      <c r="U1686" s="14">
        <f>IFERROR(__xludf.DUMMYFUNCTION("""COMPUTED_VALUE"""),0.575)</f>
        <v>0.575</v>
      </c>
      <c r="V1686" s="14">
        <f>IFERROR(__xludf.DUMMYFUNCTION("""COMPUTED_VALUE"""),0.034)</f>
        <v>0.034</v>
      </c>
      <c r="W1686" s="14">
        <f>IFERROR(__xludf.DUMMYFUNCTION("""COMPUTED_VALUE"""),2080700.0)</f>
        <v>2080700</v>
      </c>
      <c r="X1686" s="14">
        <f>IFERROR(__xludf.DUMMYFUNCTION("""COMPUTED_VALUE"""),0.386)</f>
        <v>0.386</v>
      </c>
      <c r="Y1686" s="14" t="str">
        <f>IFERROR(__xludf.DUMMYFUNCTION("""COMPUTED_VALUE"""),"Namibia-Africa")</f>
        <v>Namibia-Africa</v>
      </c>
      <c r="Z1686" s="14" t="str">
        <f>IFERROR(__xludf.DUMMYFUNCTION("""COMPUTED_VALUE"""),"Africa")</f>
        <v>Africa</v>
      </c>
      <c r="AA1686" s="14" t="str">
        <f>IFERROR(__xludf.DUMMYFUNCTION("""COMPUTED_VALUE"""),"2007")</f>
        <v>2007</v>
      </c>
      <c r="AB1686" s="15" t="str">
        <f>IFERROR(__xludf.DUMMYFUNCTION("ARRAYFORMULA(VLOOKUP(A1686,IMPORTRANGE(""https://docs.google.com/spreadsheets/d/1BuTWp7qHGjWhqrnf-OmePP568O4A5Am9ttzvVdP67zw/edit#gid=1931367683"" ,""ENERGY!$A$2:$F$2692""), {2,3,4,5,6},0))"),"Africa")</f>
        <v>Africa</v>
      </c>
      <c r="AC1686" s="14" t="str">
        <f>IFERROR(__xludf.DUMMYFUNCTION("""COMPUTED_VALUE"""),"Namibia-Africa")</f>
        <v>Namibia-Africa</v>
      </c>
      <c r="AD1686" s="14" t="str">
        <f>IFERROR(__xludf.DUMMYFUNCTION("""COMPUTED_VALUE"""),"2009")</f>
        <v>2009</v>
      </c>
      <c r="AE1686" s="14">
        <f>IFERROR(__xludf.DUMMYFUNCTION("""COMPUTED_VALUE"""),1294.0)</f>
        <v>1294</v>
      </c>
      <c r="AF1686" s="14">
        <f>IFERROR(__xludf.DUMMYFUNCTION("""COMPUTED_VALUE"""),2310.0)</f>
        <v>2310</v>
      </c>
    </row>
    <row r="1687">
      <c r="A1687" s="12">
        <v>1686.0</v>
      </c>
      <c r="B1687" s="12" t="s">
        <v>208</v>
      </c>
      <c r="C1687" s="5" t="s">
        <v>77</v>
      </c>
      <c r="D1687" s="11">
        <v>0.228</v>
      </c>
      <c r="E1687" s="11">
        <v>66.0</v>
      </c>
      <c r="F1687" s="8"/>
      <c r="G1687" s="11">
        <v>339.0</v>
      </c>
      <c r="H1687" s="11">
        <v>0.053</v>
      </c>
      <c r="I1687" s="11">
        <v>0.498</v>
      </c>
      <c r="J1687" s="9" t="s">
        <v>69</v>
      </c>
      <c r="K1687" s="14" t="str">
        <f>IFERROR(__xludf.DUMMYFUNCTION("ARRAYFORMULA(VLOOKUP(A1687,IMPORTRANGE(""https://docs.google.com/spreadsheets/d/1BuTWp7qHGjWhqrnf-OmePP568O4A5Am9ttzvVdP67zw/edit#gid=1603210130"", ""TOURISM!$A$2:$F$2692""), {2,3,4,5,6},0))"),"Africa")</f>
        <v>Africa</v>
      </c>
      <c r="L1687" s="14">
        <f>IFERROR(__xludf.DUMMYFUNCTION("""COMPUTED_VALUE"""),4.84E8)</f>
        <v>484000000</v>
      </c>
      <c r="M1687" s="14" t="str">
        <f>IFERROR(__xludf.DUMMYFUNCTION("""COMPUTED_VALUE"""),"Namibia-Africa")</f>
        <v>Namibia-Africa</v>
      </c>
      <c r="N1687" s="14" t="str">
        <f>IFERROR(__xludf.DUMMYFUNCTION("""COMPUTED_VALUE"""),"2008")</f>
        <v>2008</v>
      </c>
      <c r="O1687" s="14">
        <f>IFERROR(__xludf.DUMMYFUNCTION("""COMPUTED_VALUE"""),1.14E8)</f>
        <v>114000000</v>
      </c>
      <c r="P1687" s="15">
        <f>IFERROR(__xludf.DUMMYFUNCTION("ARRAYFORMULA(VLOOKUP(A1687,IMPORTRANGE(""https://docs.google.com/spreadsheets/d/1BuTWp7qHGjWhqrnf-OmePP568O4A5Am9ttzvVdP67zw/edit#gid=771602874"" ,""HUMAN RESOURCES!$A$2:$M$2692""), {2,3,4,5,6,7,8,9,10,11,12,13},0))"),0.028)</f>
        <v>0.028</v>
      </c>
      <c r="Q1687" s="14">
        <f>IFERROR(__xludf.DUMMYFUNCTION("""COMPUTED_VALUE"""),0.041)</f>
        <v>0.041</v>
      </c>
      <c r="R1687" s="14">
        <f>IFERROR(__xludf.DUMMYFUNCTION("""COMPUTED_VALUE"""),63.0)</f>
        <v>63</v>
      </c>
      <c r="S1687" s="14">
        <f>IFERROR(__xludf.DUMMYFUNCTION("""COMPUTED_VALUE"""),57.0)</f>
        <v>57</v>
      </c>
      <c r="T1687" s="14">
        <f>IFERROR(__xludf.DUMMYFUNCTION("""COMPUTED_VALUE"""),0.387)</f>
        <v>0.387</v>
      </c>
      <c r="U1687" s="14">
        <f>IFERROR(__xludf.DUMMYFUNCTION("""COMPUTED_VALUE"""),0.579)</f>
        <v>0.579</v>
      </c>
      <c r="V1687" s="14">
        <f>IFERROR(__xludf.DUMMYFUNCTION("""COMPUTED_VALUE"""),0.034)</f>
        <v>0.034</v>
      </c>
      <c r="W1687" s="14">
        <f>IFERROR(__xludf.DUMMYFUNCTION("""COMPUTED_VALUE"""),2110791.0)</f>
        <v>2110791</v>
      </c>
      <c r="X1687" s="14">
        <f>IFERROR(__xludf.DUMMYFUNCTION("""COMPUTED_VALUE"""),0.396)</f>
        <v>0.396</v>
      </c>
      <c r="Y1687" s="14" t="str">
        <f>IFERROR(__xludf.DUMMYFUNCTION("""COMPUTED_VALUE"""),"Namibia-Africa")</f>
        <v>Namibia-Africa</v>
      </c>
      <c r="Z1687" s="14" t="str">
        <f>IFERROR(__xludf.DUMMYFUNCTION("""COMPUTED_VALUE"""),"Africa")</f>
        <v>Africa</v>
      </c>
      <c r="AA1687" s="14" t="str">
        <f>IFERROR(__xludf.DUMMYFUNCTION("""COMPUTED_VALUE"""),"2008")</f>
        <v>2008</v>
      </c>
      <c r="AB1687" s="15" t="str">
        <f>IFERROR(__xludf.DUMMYFUNCTION("ARRAYFORMULA(VLOOKUP(A1687,IMPORTRANGE(""https://docs.google.com/spreadsheets/d/1BuTWp7qHGjWhqrnf-OmePP568O4A5Am9ttzvVdP67zw/edit#gid=1931367683"" ,""ENERGY!$A$2:$F$2692""), {2,3,4,5,6},0))"),"Africa")</f>
        <v>Africa</v>
      </c>
      <c r="AC1687" s="14" t="str">
        <f>IFERROR(__xludf.DUMMYFUNCTION("""COMPUTED_VALUE"""),"Namibia-Africa")</f>
        <v>Namibia-Africa</v>
      </c>
      <c r="AD1687" s="14" t="str">
        <f>IFERROR(__xludf.DUMMYFUNCTION("""COMPUTED_VALUE"""),"2006")</f>
        <v>2006</v>
      </c>
      <c r="AE1687" s="14">
        <f>IFERROR(__xludf.DUMMYFUNCTION("""COMPUTED_VALUE"""),1163.0)</f>
        <v>1163</v>
      </c>
      <c r="AF1687" s="14">
        <f>IFERROR(__xludf.DUMMYFUNCTION("""COMPUTED_VALUE"""),1962.0)</f>
        <v>1962</v>
      </c>
    </row>
    <row r="1688">
      <c r="A1688" s="12">
        <v>1687.0</v>
      </c>
      <c r="B1688" s="12" t="s">
        <v>208</v>
      </c>
      <c r="C1688" s="5" t="s">
        <v>77</v>
      </c>
      <c r="D1688" s="11">
        <v>0.223</v>
      </c>
      <c r="E1688" s="11">
        <v>66.0</v>
      </c>
      <c r="F1688" s="8"/>
      <c r="G1688" s="11">
        <v>339.0</v>
      </c>
      <c r="H1688" s="11">
        <v>0.065</v>
      </c>
      <c r="I1688" s="11">
        <v>0.761</v>
      </c>
      <c r="J1688" s="9" t="s">
        <v>70</v>
      </c>
      <c r="K1688" s="14" t="str">
        <f>IFERROR(__xludf.DUMMYFUNCTION("ARRAYFORMULA(VLOOKUP(A1688,IMPORTRANGE(""https://docs.google.com/spreadsheets/d/1BuTWp7qHGjWhqrnf-OmePP568O4A5Am9ttzvVdP67zw/edit#gid=1603210130"", ""TOURISM!$A$2:$F$2692""), {2,3,4,5,6},0))"),"Africa")</f>
        <v>Africa</v>
      </c>
      <c r="L1688" s="14">
        <f>IFERROR(__xludf.DUMMYFUNCTION("""COMPUTED_VALUE"""),5.11E8)</f>
        <v>511000000</v>
      </c>
      <c r="M1688" s="14" t="str">
        <f>IFERROR(__xludf.DUMMYFUNCTION("""COMPUTED_VALUE"""),"Namibia-Africa")</f>
        <v>Namibia-Africa</v>
      </c>
      <c r="N1688" s="14" t="str">
        <f>IFERROR(__xludf.DUMMYFUNCTION("""COMPUTED_VALUE"""),"2009")</f>
        <v>2009</v>
      </c>
      <c r="O1688" s="14">
        <f>IFERROR(__xludf.DUMMYFUNCTION("""COMPUTED_VALUE"""),1.2E8)</f>
        <v>120000000</v>
      </c>
      <c r="P1688" s="15">
        <f>IFERROR(__xludf.DUMMYFUNCTION("ARRAYFORMULA(VLOOKUP(A1688,IMPORTRANGE(""https://docs.google.com/spreadsheets/d/1BuTWp7qHGjWhqrnf-OmePP568O4A5Am9ttzvVdP67zw/edit#gid=771602874"" ,""HUMAN RESOURCES!$A$2:$M$2692""), {2,3,4,5,6,7,8,9,10,11,12,13},0))"),0.027)</f>
        <v>0.027</v>
      </c>
      <c r="Q1688" s="14">
        <f>IFERROR(__xludf.DUMMYFUNCTION("""COMPUTED_VALUE"""),0.039)</f>
        <v>0.039</v>
      </c>
      <c r="R1688" s="14">
        <f>IFERROR(__xludf.DUMMYFUNCTION("""COMPUTED_VALUE"""),64.0)</f>
        <v>64</v>
      </c>
      <c r="S1688" s="14">
        <f>IFERROR(__xludf.DUMMYFUNCTION("""COMPUTED_VALUE"""),59.0)</f>
        <v>59</v>
      </c>
      <c r="T1688" s="14">
        <f>IFERROR(__xludf.DUMMYFUNCTION("""COMPUTED_VALUE"""),0.382)</f>
        <v>0.382</v>
      </c>
      <c r="U1688" s="14">
        <f>IFERROR(__xludf.DUMMYFUNCTION("""COMPUTED_VALUE"""),0.584)</f>
        <v>0.584</v>
      </c>
      <c r="V1688" s="14">
        <f>IFERROR(__xludf.DUMMYFUNCTION("""COMPUTED_VALUE"""),0.034)</f>
        <v>0.034</v>
      </c>
      <c r="W1688" s="14">
        <f>IFERROR(__xludf.DUMMYFUNCTION("""COMPUTED_VALUE"""),2143498.0)</f>
        <v>2143498</v>
      </c>
      <c r="X1688" s="14">
        <f>IFERROR(__xludf.DUMMYFUNCTION("""COMPUTED_VALUE"""),0.406)</f>
        <v>0.406</v>
      </c>
      <c r="Y1688" s="14" t="str">
        <f>IFERROR(__xludf.DUMMYFUNCTION("""COMPUTED_VALUE"""),"Namibia-Africa")</f>
        <v>Namibia-Africa</v>
      </c>
      <c r="Z1688" s="14" t="str">
        <f>IFERROR(__xludf.DUMMYFUNCTION("""COMPUTED_VALUE"""),"Africa")</f>
        <v>Africa</v>
      </c>
      <c r="AA1688" s="14" t="str">
        <f>IFERROR(__xludf.DUMMYFUNCTION("""COMPUTED_VALUE"""),"2009")</f>
        <v>2009</v>
      </c>
      <c r="AB1688" s="15" t="str">
        <f>IFERROR(__xludf.DUMMYFUNCTION("ARRAYFORMULA(VLOOKUP(A1688,IMPORTRANGE(""https://docs.google.com/spreadsheets/d/1BuTWp7qHGjWhqrnf-OmePP568O4A5Am9ttzvVdP67zw/edit#gid=1931367683"" ,""ENERGY!$A$2:$F$2692""), {2,3,4,5,6},0))"),"Africa")</f>
        <v>Africa</v>
      </c>
      <c r="AC1688" s="14" t="str">
        <f>IFERROR(__xludf.DUMMYFUNCTION("""COMPUTED_VALUE"""),"Namibia-Africa")</f>
        <v>Namibia-Africa</v>
      </c>
      <c r="AD1688" s="14" t="str">
        <f>IFERROR(__xludf.DUMMYFUNCTION("""COMPUTED_VALUE"""),"2011")</f>
        <v>2011</v>
      </c>
      <c r="AE1688" s="14">
        <f>IFERROR(__xludf.DUMMYFUNCTION("""COMPUTED_VALUE"""),1076.0)</f>
        <v>1076</v>
      </c>
      <c r="AF1688" s="14">
        <f>IFERROR(__xludf.DUMMYFUNCTION("""COMPUTED_VALUE"""),1874.0)</f>
        <v>1874</v>
      </c>
    </row>
    <row r="1689">
      <c r="A1689" s="12">
        <v>1688.0</v>
      </c>
      <c r="B1689" s="12" t="s">
        <v>208</v>
      </c>
      <c r="C1689" s="5" t="s">
        <v>77</v>
      </c>
      <c r="D1689" s="11">
        <v>0.223</v>
      </c>
      <c r="E1689" s="11">
        <v>66.0</v>
      </c>
      <c r="F1689" s="8"/>
      <c r="G1689" s="11">
        <v>339.0</v>
      </c>
      <c r="H1689" s="11">
        <v>0.116</v>
      </c>
      <c r="I1689" s="11">
        <v>0.895</v>
      </c>
      <c r="J1689" s="9" t="s">
        <v>71</v>
      </c>
      <c r="K1689" s="14" t="str">
        <f>IFERROR(__xludf.DUMMYFUNCTION("ARRAYFORMULA(VLOOKUP(A1689,IMPORTRANGE(""https://docs.google.com/spreadsheets/d/1BuTWp7qHGjWhqrnf-OmePP568O4A5Am9ttzvVdP67zw/edit#gid=1603210130"", ""TOURISM!$A$2:$F$2692""), {2,3,4,5,6},0))"),"Africa")</f>
        <v>Africa</v>
      </c>
      <c r="L1689" s="14">
        <f>IFERROR(__xludf.DUMMYFUNCTION("""COMPUTED_VALUE"""),5.6E8)</f>
        <v>560000000</v>
      </c>
      <c r="M1689" s="14" t="str">
        <f>IFERROR(__xludf.DUMMYFUNCTION("""COMPUTED_VALUE"""),"Namibia-Africa")</f>
        <v>Namibia-Africa</v>
      </c>
      <c r="N1689" s="14" t="str">
        <f>IFERROR(__xludf.DUMMYFUNCTION("""COMPUTED_VALUE"""),"2010")</f>
        <v>2010</v>
      </c>
      <c r="O1689" s="14">
        <f>IFERROR(__xludf.DUMMYFUNCTION("""COMPUTED_VALUE"""),1.45E8)</f>
        <v>145000000</v>
      </c>
      <c r="P1689" s="15">
        <f>IFERROR(__xludf.DUMMYFUNCTION("ARRAYFORMULA(VLOOKUP(A1689,IMPORTRANGE(""https://docs.google.com/spreadsheets/d/1BuTWp7qHGjWhqrnf-OmePP568O4A5Am9ttzvVdP67zw/edit#gid=771602874"" ,""HUMAN RESOURCES!$A$2:$M$2692""), {2,3,4,5,6,7,8,9,10,11,12,13},0))"),0.027)</f>
        <v>0.027</v>
      </c>
      <c r="Q1689" s="14">
        <f>IFERROR(__xludf.DUMMYFUNCTION("""COMPUTED_VALUE"""),0.038)</f>
        <v>0.038</v>
      </c>
      <c r="R1689" s="14">
        <f>IFERROR(__xludf.DUMMYFUNCTION("""COMPUTED_VALUE"""),65.0)</f>
        <v>65</v>
      </c>
      <c r="S1689" s="14">
        <f>IFERROR(__xludf.DUMMYFUNCTION("""COMPUTED_VALUE"""),60.0)</f>
        <v>60</v>
      </c>
      <c r="T1689" s="14">
        <f>IFERROR(__xludf.DUMMYFUNCTION("""COMPUTED_VALUE"""),0.377)</f>
        <v>0.377</v>
      </c>
      <c r="U1689" s="14">
        <f>IFERROR(__xludf.DUMMYFUNCTION("""COMPUTED_VALUE"""),0.589)</f>
        <v>0.589</v>
      </c>
      <c r="V1689" s="14">
        <f>IFERROR(__xludf.DUMMYFUNCTION("""COMPUTED_VALUE"""),0.034)</f>
        <v>0.034</v>
      </c>
      <c r="W1689" s="14">
        <f>IFERROR(__xludf.DUMMYFUNCTION("""COMPUTED_VALUE"""),2178967.0)</f>
        <v>2178967</v>
      </c>
      <c r="X1689" s="14">
        <f>IFERROR(__xludf.DUMMYFUNCTION("""COMPUTED_VALUE"""),0.416)</f>
        <v>0.416</v>
      </c>
      <c r="Y1689" s="14" t="str">
        <f>IFERROR(__xludf.DUMMYFUNCTION("""COMPUTED_VALUE"""),"Namibia-Africa")</f>
        <v>Namibia-Africa</v>
      </c>
      <c r="Z1689" s="14" t="str">
        <f>IFERROR(__xludf.DUMMYFUNCTION("""COMPUTED_VALUE"""),"Africa")</f>
        <v>Africa</v>
      </c>
      <c r="AA1689" s="14" t="str">
        <f>IFERROR(__xludf.DUMMYFUNCTION("""COMPUTED_VALUE"""),"2010")</f>
        <v>2010</v>
      </c>
      <c r="AB1689" s="15" t="str">
        <f>IFERROR(__xludf.DUMMYFUNCTION("ARRAYFORMULA(VLOOKUP(A1689,IMPORTRANGE(""https://docs.google.com/spreadsheets/d/1BuTWp7qHGjWhqrnf-OmePP568O4A5Am9ttzvVdP67zw/edit#gid=1931367683"" ,""ENERGY!$A$2:$F$2692""), {2,3,4,5,6},0))"),"Africa")</f>
        <v>Africa</v>
      </c>
      <c r="AC1689" s="14" t="str">
        <f>IFERROR(__xludf.DUMMYFUNCTION("""COMPUTED_VALUE"""),"Namibia-Africa")</f>
        <v>Namibia-Africa</v>
      </c>
      <c r="AD1689" s="14" t="str">
        <f>IFERROR(__xludf.DUMMYFUNCTION("""COMPUTED_VALUE"""),"2006")</f>
        <v>2006</v>
      </c>
      <c r="AE1689" s="14">
        <f>IFERROR(__xludf.DUMMYFUNCTION("""COMPUTED_VALUE"""),1010.0)</f>
        <v>1010</v>
      </c>
      <c r="AF1689" s="14">
        <f>IFERROR(__xludf.DUMMYFUNCTION("""COMPUTED_VALUE"""),1760.0)</f>
        <v>1760</v>
      </c>
    </row>
    <row r="1690">
      <c r="A1690" s="12">
        <v>1689.0</v>
      </c>
      <c r="B1690" s="12" t="s">
        <v>208</v>
      </c>
      <c r="C1690" s="5" t="s">
        <v>77</v>
      </c>
      <c r="D1690" s="11">
        <v>0.218</v>
      </c>
      <c r="E1690" s="11">
        <v>66.0</v>
      </c>
      <c r="F1690" s="8"/>
      <c r="G1690" s="11">
        <v>339.0</v>
      </c>
      <c r="H1690" s="11">
        <v>0.12</v>
      </c>
      <c r="I1690" s="11">
        <v>0.99</v>
      </c>
      <c r="J1690" s="9" t="s">
        <v>72</v>
      </c>
      <c r="K1690" s="14" t="str">
        <f>IFERROR(__xludf.DUMMYFUNCTION("ARRAYFORMULA(VLOOKUP(A1690,IMPORTRANGE(""https://docs.google.com/spreadsheets/d/1BuTWp7qHGjWhqrnf-OmePP568O4A5Am9ttzvVdP67zw/edit#gid=1603210130"", ""TOURISM!$A$2:$F$2692""), {2,3,4,5,6},0))"),"Africa")</f>
        <v>Africa</v>
      </c>
      <c r="L1690" s="14">
        <f>IFERROR(__xludf.DUMMYFUNCTION("""COMPUTED_VALUE"""),6.45E8)</f>
        <v>645000000</v>
      </c>
      <c r="M1690" s="14" t="str">
        <f>IFERROR(__xludf.DUMMYFUNCTION("""COMPUTED_VALUE"""),"Namibia-Africa")</f>
        <v>Namibia-Africa</v>
      </c>
      <c r="N1690" s="14" t="str">
        <f>IFERROR(__xludf.DUMMYFUNCTION("""COMPUTED_VALUE"""),"2011")</f>
        <v>2011</v>
      </c>
      <c r="O1690" s="14">
        <f>IFERROR(__xludf.DUMMYFUNCTION("""COMPUTED_VALUE"""),2.07E8)</f>
        <v>207000000</v>
      </c>
      <c r="P1690" s="15">
        <f>IFERROR(__xludf.DUMMYFUNCTION("ARRAYFORMULA(VLOOKUP(A1690,IMPORTRANGE(""https://docs.google.com/spreadsheets/d/1BuTWp7qHGjWhqrnf-OmePP568O4A5Am9ttzvVdP67zw/edit#gid=771602874"" ,""HUMAN RESOURCES!$A$2:$M$2692""), {2,3,4,5,6,7,8,9,10,11,12,13},0))"),0.027)</f>
        <v>0.027</v>
      </c>
      <c r="Q1690" s="14">
        <f>IFERROR(__xludf.DUMMYFUNCTION("""COMPUTED_VALUE"""),0.036)</f>
        <v>0.036</v>
      </c>
      <c r="R1690" s="14">
        <f>IFERROR(__xludf.DUMMYFUNCTION("""COMPUTED_VALUE"""),66.0)</f>
        <v>66</v>
      </c>
      <c r="S1690" s="14">
        <f>IFERROR(__xludf.DUMMYFUNCTION("""COMPUTED_VALUE"""),61.0)</f>
        <v>61</v>
      </c>
      <c r="T1690" s="14">
        <f>IFERROR(__xludf.DUMMYFUNCTION("""COMPUTED_VALUE"""),0.371)</f>
        <v>0.371</v>
      </c>
      <c r="U1690" s="14">
        <f>IFERROR(__xludf.DUMMYFUNCTION("""COMPUTED_VALUE"""),0.594)</f>
        <v>0.594</v>
      </c>
      <c r="V1690" s="14">
        <f>IFERROR(__xludf.DUMMYFUNCTION("""COMPUTED_VALUE"""),0.035)</f>
        <v>0.035</v>
      </c>
      <c r="W1690" s="14">
        <f>IFERROR(__xludf.DUMMYFUNCTION("""COMPUTED_VALUE"""),2217618.0)</f>
        <v>2217618</v>
      </c>
      <c r="X1690" s="14">
        <f>IFERROR(__xludf.DUMMYFUNCTION("""COMPUTED_VALUE"""),0.426)</f>
        <v>0.426</v>
      </c>
      <c r="Y1690" s="14" t="str">
        <f>IFERROR(__xludf.DUMMYFUNCTION("""COMPUTED_VALUE"""),"Namibia-Africa")</f>
        <v>Namibia-Africa</v>
      </c>
      <c r="Z1690" s="14" t="str">
        <f>IFERROR(__xludf.DUMMYFUNCTION("""COMPUTED_VALUE"""),"Africa")</f>
        <v>Africa</v>
      </c>
      <c r="AA1690" s="14" t="str">
        <f>IFERROR(__xludf.DUMMYFUNCTION("""COMPUTED_VALUE"""),"2011")</f>
        <v>2011</v>
      </c>
      <c r="AB1690" s="15" t="str">
        <f>IFERROR(__xludf.DUMMYFUNCTION("ARRAYFORMULA(VLOOKUP(A1690,IMPORTRANGE(""https://docs.google.com/spreadsheets/d/1BuTWp7qHGjWhqrnf-OmePP568O4A5Am9ttzvVdP67zw/edit#gid=1931367683"" ,""ENERGY!$A$2:$F$2692""), {2,3,4,5,6},0))"),"Africa")</f>
        <v>Africa</v>
      </c>
      <c r="AC1690" s="14" t="str">
        <f>IFERROR(__xludf.DUMMYFUNCTION("""COMPUTED_VALUE"""),"Namibia-Africa")</f>
        <v>Namibia-Africa</v>
      </c>
      <c r="AD1690" s="14" t="str">
        <f>IFERROR(__xludf.DUMMYFUNCTION("""COMPUTED_VALUE"""),"2006")</f>
        <v>2006</v>
      </c>
      <c r="AE1690" s="14">
        <f>IFERROR(__xludf.DUMMYFUNCTION("""COMPUTED_VALUE"""),1127.0)</f>
        <v>1127</v>
      </c>
      <c r="AF1690" s="14">
        <f>IFERROR(__xludf.DUMMYFUNCTION("""COMPUTED_VALUE"""),2017.0)</f>
        <v>2017</v>
      </c>
    </row>
    <row r="1691">
      <c r="A1691" s="12">
        <v>1690.0</v>
      </c>
      <c r="B1691" s="12" t="s">
        <v>208</v>
      </c>
      <c r="C1691" s="5" t="s">
        <v>77</v>
      </c>
      <c r="D1691" s="11">
        <v>0.218</v>
      </c>
      <c r="E1691" s="11">
        <v>66.0</v>
      </c>
      <c r="F1691" s="11">
        <v>94.0</v>
      </c>
      <c r="G1691" s="11">
        <v>314.0</v>
      </c>
      <c r="H1691" s="11">
        <v>0.129</v>
      </c>
      <c r="I1691" s="11">
        <v>0.95</v>
      </c>
      <c r="J1691" s="9" t="s">
        <v>73</v>
      </c>
      <c r="K1691" s="14" t="str">
        <f>IFERROR(__xludf.DUMMYFUNCTION("ARRAYFORMULA(VLOOKUP(A1691,IMPORTRANGE(""https://docs.google.com/spreadsheets/d/1BuTWp7qHGjWhqrnf-OmePP568O4A5Am9ttzvVdP67zw/edit#gid=1603210130"", ""TOURISM!$A$2:$F$2692""), {2,3,4,5,6},0))"),"Africa")</f>
        <v>Africa</v>
      </c>
      <c r="L1691" s="14"/>
      <c r="M1691" s="14" t="str">
        <f>IFERROR(__xludf.DUMMYFUNCTION("""COMPUTED_VALUE"""),"Namibia-Africa")</f>
        <v>Namibia-Africa</v>
      </c>
      <c r="N1691" s="14" t="str">
        <f>IFERROR(__xludf.DUMMYFUNCTION("""COMPUTED_VALUE"""),"2012")</f>
        <v>2012</v>
      </c>
      <c r="O1691" s="14"/>
      <c r="P1691" s="15">
        <f>IFERROR(__xludf.DUMMYFUNCTION("ARRAYFORMULA(VLOOKUP(A1691,IMPORTRANGE(""https://docs.google.com/spreadsheets/d/1BuTWp7qHGjWhqrnf-OmePP568O4A5Am9ttzvVdP67zw/edit#gid=771602874"" ,""HUMAN RESOURCES!$A$2:$M$2692""), {2,3,4,5,6,7,8,9,10,11,12,13},0))"),0.026)</f>
        <v>0.026</v>
      </c>
      <c r="Q1691" s="14">
        <f>IFERROR(__xludf.DUMMYFUNCTION("""COMPUTED_VALUE"""),0.036)</f>
        <v>0.036</v>
      </c>
      <c r="R1691" s="14">
        <f>IFERROR(__xludf.DUMMYFUNCTION("""COMPUTED_VALUE"""),67.0)</f>
        <v>67</v>
      </c>
      <c r="S1691" s="14">
        <f>IFERROR(__xludf.DUMMYFUNCTION("""COMPUTED_VALUE"""),61.0)</f>
        <v>61</v>
      </c>
      <c r="T1691" s="14">
        <f>IFERROR(__xludf.DUMMYFUNCTION("""COMPUTED_VALUE"""),0.366)</f>
        <v>0.366</v>
      </c>
      <c r="U1691" s="14">
        <f>IFERROR(__xludf.DUMMYFUNCTION("""COMPUTED_VALUE"""),0.599)</f>
        <v>0.599</v>
      </c>
      <c r="V1691" s="14">
        <f>IFERROR(__xludf.DUMMYFUNCTION("""COMPUTED_VALUE"""),0.035)</f>
        <v>0.035</v>
      </c>
      <c r="W1691" s="14">
        <f>IFERROR(__xludf.DUMMYFUNCTION("""COMPUTED_VALUE"""),2259393.0)</f>
        <v>2259393</v>
      </c>
      <c r="X1691" s="14">
        <f>IFERROR(__xludf.DUMMYFUNCTION("""COMPUTED_VALUE"""),0.437)</f>
        <v>0.437</v>
      </c>
      <c r="Y1691" s="14" t="str">
        <f>IFERROR(__xludf.DUMMYFUNCTION("""COMPUTED_VALUE"""),"Namibia-Africa")</f>
        <v>Namibia-Africa</v>
      </c>
      <c r="Z1691" s="14" t="str">
        <f>IFERROR(__xludf.DUMMYFUNCTION("""COMPUTED_VALUE"""),"Africa")</f>
        <v>Africa</v>
      </c>
      <c r="AA1691" s="14" t="str">
        <f>IFERROR(__xludf.DUMMYFUNCTION("""COMPUTED_VALUE"""),"2012")</f>
        <v>2012</v>
      </c>
      <c r="AB1691" s="15" t="str">
        <f>IFERROR(__xludf.DUMMYFUNCTION("ARRAYFORMULA(VLOOKUP(A1691,IMPORTRANGE(""https://docs.google.com/spreadsheets/d/1BuTWp7qHGjWhqrnf-OmePP568O4A5Am9ttzvVdP67zw/edit#gid=1931367683"" ,""ENERGY!$A$2:$F$2692""), {2,3,4,5,6},0))"),"Africa")</f>
        <v>Africa</v>
      </c>
      <c r="AC1691" s="14" t="str">
        <f>IFERROR(__xludf.DUMMYFUNCTION("""COMPUTED_VALUE"""),"Namibia-Africa")</f>
        <v>Namibia-Africa</v>
      </c>
      <c r="AD1691" s="14" t="str">
        <f>IFERROR(__xludf.DUMMYFUNCTION("""COMPUTED_VALUE"""),"2011")</f>
        <v>2011</v>
      </c>
      <c r="AE1691" s="14">
        <f>IFERROR(__xludf.DUMMYFUNCTION("""COMPUTED_VALUE"""),978.0)</f>
        <v>978</v>
      </c>
      <c r="AF1691" s="14">
        <f>IFERROR(__xludf.DUMMYFUNCTION("""COMPUTED_VALUE"""),1643.0)</f>
        <v>1643</v>
      </c>
    </row>
    <row r="1692">
      <c r="A1692" s="12">
        <v>1691.0</v>
      </c>
      <c r="B1692" s="12" t="s">
        <v>209</v>
      </c>
      <c r="C1692" s="5" t="s">
        <v>61</v>
      </c>
      <c r="D1692" s="8"/>
      <c r="E1692" s="8"/>
      <c r="F1692" s="8"/>
      <c r="G1692" s="8"/>
      <c r="H1692" s="11">
        <v>0.002</v>
      </c>
      <c r="I1692" s="11">
        <v>0.0</v>
      </c>
      <c r="J1692" s="9" t="s">
        <v>60</v>
      </c>
      <c r="K1692" s="14" t="str">
        <f>IFERROR(__xludf.DUMMYFUNCTION("ARRAYFORMULA(VLOOKUP(A1692,IMPORTRANGE(""https://docs.google.com/spreadsheets/d/1BuTWp7qHGjWhqrnf-OmePP568O4A5Am9ttzvVdP67zw/edit#gid=1603210130"", ""TOURISM!$A$2:$F$2692""), {2,3,4,5,6},0))"),"Asia")</f>
        <v>Asia</v>
      </c>
      <c r="L1692" s="14">
        <f>IFERROR(__xludf.DUMMYFUNCTION("""COMPUTED_VALUE"""),2.19E8)</f>
        <v>219000000</v>
      </c>
      <c r="M1692" s="14" t="str">
        <f>IFERROR(__xludf.DUMMYFUNCTION("""COMPUTED_VALUE"""),"Nepal-Asia")</f>
        <v>Nepal-Asia</v>
      </c>
      <c r="N1692" s="14" t="str">
        <f>IFERROR(__xludf.DUMMYFUNCTION("""COMPUTED_VALUE"""),"2000")</f>
        <v>2000</v>
      </c>
      <c r="O1692" s="14">
        <f>IFERROR(__xludf.DUMMYFUNCTION("""COMPUTED_VALUE"""),1.09E8)</f>
        <v>109000000</v>
      </c>
      <c r="P1692" s="15">
        <f>IFERROR(__xludf.DUMMYFUNCTION("ARRAYFORMULA(VLOOKUP(A1692,IMPORTRANGE(""https://docs.google.com/spreadsheets/d/1BuTWp7qHGjWhqrnf-OmePP568O4A5Am9ttzvVdP67zw/edit#gid=771602874"" ,""HUMAN RESOURCES!$A$2:$M$2692""), {2,3,4,5,6,7,8,9,10,11,12,13},0))"),0.033)</f>
        <v>0.033</v>
      </c>
      <c r="Q1692" s="14">
        <f>IFERROR(__xludf.DUMMYFUNCTION("""COMPUTED_VALUE"""),0.06)</f>
        <v>0.06</v>
      </c>
      <c r="R1692" s="14">
        <f>IFERROR(__xludf.DUMMYFUNCTION("""COMPUTED_VALUE"""),63.0)</f>
        <v>63</v>
      </c>
      <c r="S1692" s="14">
        <f>IFERROR(__xludf.DUMMYFUNCTION("""COMPUTED_VALUE"""),61.0)</f>
        <v>61</v>
      </c>
      <c r="T1692" s="14">
        <f>IFERROR(__xludf.DUMMYFUNCTION("""COMPUTED_VALUE"""),0.404)</f>
        <v>0.404</v>
      </c>
      <c r="U1692" s="14">
        <f>IFERROR(__xludf.DUMMYFUNCTION("""COMPUTED_VALUE"""),0.558)</f>
        <v>0.558</v>
      </c>
      <c r="V1692" s="14">
        <f>IFERROR(__xludf.DUMMYFUNCTION("""COMPUTED_VALUE"""),0.038)</f>
        <v>0.038</v>
      </c>
      <c r="W1692" s="14">
        <f>IFERROR(__xludf.DUMMYFUNCTION("""COMPUTED_VALUE"""),2.3184177E7)</f>
        <v>23184177</v>
      </c>
      <c r="X1692" s="14">
        <f>IFERROR(__xludf.DUMMYFUNCTION("""COMPUTED_VALUE"""),0.134)</f>
        <v>0.134</v>
      </c>
      <c r="Y1692" s="14" t="str">
        <f>IFERROR(__xludf.DUMMYFUNCTION("""COMPUTED_VALUE"""),"Nepal-Asia")</f>
        <v>Nepal-Asia</v>
      </c>
      <c r="Z1692" s="14" t="str">
        <f>IFERROR(__xludf.DUMMYFUNCTION("""COMPUTED_VALUE"""),"Asia")</f>
        <v>Asia</v>
      </c>
      <c r="AA1692" s="14" t="str">
        <f>IFERROR(__xludf.DUMMYFUNCTION("""COMPUTED_VALUE"""),"2000")</f>
        <v>2000</v>
      </c>
      <c r="AB1692" s="15" t="str">
        <f>IFERROR(__xludf.DUMMYFUNCTION("ARRAYFORMULA(VLOOKUP(A1692,IMPORTRANGE(""https://docs.google.com/spreadsheets/d/1BuTWp7qHGjWhqrnf-OmePP568O4A5Am9ttzvVdP67zw/edit#gid=1931367683"" ,""ENERGY!$A$2:$F$2692""), {2,3,4,5,6},0))"),"Asia")</f>
        <v>Asia</v>
      </c>
      <c r="AC1692" s="14" t="str">
        <f>IFERROR(__xludf.DUMMYFUNCTION("""COMPUTED_VALUE"""),"Nepal-Asia")</f>
        <v>Nepal-Asia</v>
      </c>
      <c r="AD1692" s="14" t="str">
        <f>IFERROR(__xludf.DUMMYFUNCTION("""COMPUTED_VALUE"""),"2000")</f>
        <v>2000</v>
      </c>
      <c r="AE1692" s="14"/>
      <c r="AF1692" s="14"/>
    </row>
    <row r="1693">
      <c r="A1693" s="12">
        <v>1692.0</v>
      </c>
      <c r="B1693" s="12" t="s">
        <v>209</v>
      </c>
      <c r="C1693" s="5" t="s">
        <v>61</v>
      </c>
      <c r="D1693" s="8"/>
      <c r="E1693" s="8"/>
      <c r="F1693" s="8"/>
      <c r="G1693" s="8"/>
      <c r="H1693" s="11">
        <v>0.002</v>
      </c>
      <c r="I1693" s="11">
        <v>0.001</v>
      </c>
      <c r="J1693" s="9" t="s">
        <v>62</v>
      </c>
      <c r="K1693" s="14" t="str">
        <f>IFERROR(__xludf.DUMMYFUNCTION("ARRAYFORMULA(VLOOKUP(A1693,IMPORTRANGE(""https://docs.google.com/spreadsheets/d/1BuTWp7qHGjWhqrnf-OmePP568O4A5Am9ttzvVdP67zw/edit#gid=1603210130"", ""TOURISM!$A$2:$F$2692""), {2,3,4,5,6},0))"),"Asia")</f>
        <v>Asia</v>
      </c>
      <c r="L1693" s="14">
        <f>IFERROR(__xludf.DUMMYFUNCTION("""COMPUTED_VALUE"""),1.91E8)</f>
        <v>191000000</v>
      </c>
      <c r="M1693" s="14" t="str">
        <f>IFERROR(__xludf.DUMMYFUNCTION("""COMPUTED_VALUE"""),"Nepal-Asia")</f>
        <v>Nepal-Asia</v>
      </c>
      <c r="N1693" s="14" t="str">
        <f>IFERROR(__xludf.DUMMYFUNCTION("""COMPUTED_VALUE"""),"2001")</f>
        <v>2001</v>
      </c>
      <c r="O1693" s="14">
        <f>IFERROR(__xludf.DUMMYFUNCTION("""COMPUTED_VALUE"""),1.28E8)</f>
        <v>128000000</v>
      </c>
      <c r="P1693" s="15">
        <f>IFERROR(__xludf.DUMMYFUNCTION("ARRAYFORMULA(VLOOKUP(A1693,IMPORTRANGE(""https://docs.google.com/spreadsheets/d/1BuTWp7qHGjWhqrnf-OmePP568O4A5Am9ttzvVdP67zw/edit#gid=771602874"" ,""HUMAN RESOURCES!$A$2:$M$2692""), {2,3,4,5,6,7,8,9,10,11,12,13},0))"),0.032)</f>
        <v>0.032</v>
      </c>
      <c r="Q1693" s="14">
        <f>IFERROR(__xludf.DUMMYFUNCTION("""COMPUTED_VALUE"""),0.057)</f>
        <v>0.057</v>
      </c>
      <c r="R1693" s="14">
        <f>IFERROR(__xludf.DUMMYFUNCTION("""COMPUTED_VALUE"""),64.0)</f>
        <v>64</v>
      </c>
      <c r="S1693" s="14">
        <f>IFERROR(__xludf.DUMMYFUNCTION("""COMPUTED_VALUE"""),62.0)</f>
        <v>62</v>
      </c>
      <c r="T1693" s="14">
        <f>IFERROR(__xludf.DUMMYFUNCTION("""COMPUTED_VALUE"""),0.403)</f>
        <v>0.403</v>
      </c>
      <c r="U1693" s="14">
        <f>IFERROR(__xludf.DUMMYFUNCTION("""COMPUTED_VALUE"""),0.559)</f>
        <v>0.559</v>
      </c>
      <c r="V1693" s="14">
        <f>IFERROR(__xludf.DUMMYFUNCTION("""COMPUTED_VALUE"""),0.039)</f>
        <v>0.039</v>
      </c>
      <c r="W1693" s="14">
        <f>IFERROR(__xludf.DUMMYFUNCTION("""COMPUTED_VALUE"""),2.3655119E7)</f>
        <v>23655119</v>
      </c>
      <c r="X1693" s="14">
        <f>IFERROR(__xludf.DUMMYFUNCTION("""COMPUTED_VALUE"""),0.14)</f>
        <v>0.14</v>
      </c>
      <c r="Y1693" s="14" t="str">
        <f>IFERROR(__xludf.DUMMYFUNCTION("""COMPUTED_VALUE"""),"Nepal-Asia")</f>
        <v>Nepal-Asia</v>
      </c>
      <c r="Z1693" s="14" t="str">
        <f>IFERROR(__xludf.DUMMYFUNCTION("""COMPUTED_VALUE"""),"Asia")</f>
        <v>Asia</v>
      </c>
      <c r="AA1693" s="14" t="str">
        <f>IFERROR(__xludf.DUMMYFUNCTION("""COMPUTED_VALUE"""),"2001")</f>
        <v>2001</v>
      </c>
      <c r="AB1693" s="15" t="str">
        <f>IFERROR(__xludf.DUMMYFUNCTION("ARRAYFORMULA(VLOOKUP(A1693,IMPORTRANGE(""https://docs.google.com/spreadsheets/d/1BuTWp7qHGjWhqrnf-OmePP568O4A5Am9ttzvVdP67zw/edit#gid=1931367683"" ,""ENERGY!$A$2:$F$2692""), {2,3,4,5,6},0))"),"Asia")</f>
        <v>Asia</v>
      </c>
      <c r="AC1693" s="14" t="str">
        <f>IFERROR(__xludf.DUMMYFUNCTION("""COMPUTED_VALUE"""),"Nepal-Asia")</f>
        <v>Nepal-Asia</v>
      </c>
      <c r="AD1693" s="14" t="str">
        <f>IFERROR(__xludf.DUMMYFUNCTION("""COMPUTED_VALUE"""),"2001")</f>
        <v>2001</v>
      </c>
      <c r="AE1693" s="14">
        <f>IFERROR(__xludf.DUMMYFUNCTION("""COMPUTED_VALUE"""),10391.0)</f>
        <v>10391</v>
      </c>
      <c r="AF1693" s="14"/>
    </row>
    <row r="1694">
      <c r="A1694" s="12">
        <v>1693.0</v>
      </c>
      <c r="B1694" s="12" t="s">
        <v>209</v>
      </c>
      <c r="C1694" s="5" t="s">
        <v>61</v>
      </c>
      <c r="D1694" s="8"/>
      <c r="E1694" s="8"/>
      <c r="F1694" s="8"/>
      <c r="G1694" s="8"/>
      <c r="H1694" s="11">
        <v>0.003</v>
      </c>
      <c r="I1694" s="11">
        <v>0.001</v>
      </c>
      <c r="J1694" s="9" t="s">
        <v>63</v>
      </c>
      <c r="K1694" s="14" t="str">
        <f>IFERROR(__xludf.DUMMYFUNCTION("ARRAYFORMULA(VLOOKUP(A1694,IMPORTRANGE(""https://docs.google.com/spreadsheets/d/1BuTWp7qHGjWhqrnf-OmePP568O4A5Am9ttzvVdP67zw/edit#gid=1603210130"", ""TOURISM!$A$2:$F$2692""), {2,3,4,5,6},0))"),"Asia")</f>
        <v>Asia</v>
      </c>
      <c r="L1694" s="14">
        <f>IFERROR(__xludf.DUMMYFUNCTION("""COMPUTED_VALUE"""),1.34E8)</f>
        <v>134000000</v>
      </c>
      <c r="M1694" s="14" t="str">
        <f>IFERROR(__xludf.DUMMYFUNCTION("""COMPUTED_VALUE"""),"Nepal-Asia")</f>
        <v>Nepal-Asia</v>
      </c>
      <c r="N1694" s="14" t="str">
        <f>IFERROR(__xludf.DUMMYFUNCTION("""COMPUTED_VALUE"""),"2002")</f>
        <v>2002</v>
      </c>
      <c r="O1694" s="14">
        <f>IFERROR(__xludf.DUMMYFUNCTION("""COMPUTED_VALUE"""),1.08E8)</f>
        <v>108000000</v>
      </c>
      <c r="P1694" s="15">
        <f>IFERROR(__xludf.DUMMYFUNCTION("ARRAYFORMULA(VLOOKUP(A1694,IMPORTRANGE(""https://docs.google.com/spreadsheets/d/1BuTWp7qHGjWhqrnf-OmePP568O4A5Am9ttzvVdP67zw/edit#gid=771602874"" ,""HUMAN RESOURCES!$A$2:$M$2692""), {2,3,4,5,6,7,8,9,10,11,12,13},0))"),0.031)</f>
        <v>0.031</v>
      </c>
      <c r="Q1694" s="14">
        <f>IFERROR(__xludf.DUMMYFUNCTION("""COMPUTED_VALUE"""),0.054)</f>
        <v>0.054</v>
      </c>
      <c r="R1694" s="14">
        <f>IFERROR(__xludf.DUMMYFUNCTION("""COMPUTED_VALUE"""),64.0)</f>
        <v>64</v>
      </c>
      <c r="S1694" s="14">
        <f>IFERROR(__xludf.DUMMYFUNCTION("""COMPUTED_VALUE"""),62.0)</f>
        <v>62</v>
      </c>
      <c r="T1694" s="14">
        <f>IFERROR(__xludf.DUMMYFUNCTION("""COMPUTED_VALUE"""),0.401)</f>
        <v>0.401</v>
      </c>
      <c r="U1694" s="14">
        <f>IFERROR(__xludf.DUMMYFUNCTION("""COMPUTED_VALUE"""),0.559)</f>
        <v>0.559</v>
      </c>
      <c r="V1694" s="14">
        <f>IFERROR(__xludf.DUMMYFUNCTION("""COMPUTED_VALUE"""),0.04)</f>
        <v>0.04</v>
      </c>
      <c r="W1694" s="14">
        <f>IFERROR(__xludf.DUMMYFUNCTION("""COMPUTED_VALUE"""),2.4102862E7)</f>
        <v>24102862</v>
      </c>
      <c r="X1694" s="14">
        <f>IFERROR(__xludf.DUMMYFUNCTION("""COMPUTED_VALUE"""),0.143)</f>
        <v>0.143</v>
      </c>
      <c r="Y1694" s="14" t="str">
        <f>IFERROR(__xludf.DUMMYFUNCTION("""COMPUTED_VALUE"""),"Nepal-Asia")</f>
        <v>Nepal-Asia</v>
      </c>
      <c r="Z1694" s="14" t="str">
        <f>IFERROR(__xludf.DUMMYFUNCTION("""COMPUTED_VALUE"""),"Asia")</f>
        <v>Asia</v>
      </c>
      <c r="AA1694" s="14" t="str">
        <f>IFERROR(__xludf.DUMMYFUNCTION("""COMPUTED_VALUE"""),"2002")</f>
        <v>2002</v>
      </c>
      <c r="AB1694" s="15" t="str">
        <f>IFERROR(__xludf.DUMMYFUNCTION("ARRAYFORMULA(VLOOKUP(A1694,IMPORTRANGE(""https://docs.google.com/spreadsheets/d/1BuTWp7qHGjWhqrnf-OmePP568O4A5Am9ttzvVdP67zw/edit#gid=1931367683"" ,""ENERGY!$A$2:$F$2692""), {2,3,4,5,6},0))"),"Asia")</f>
        <v>Asia</v>
      </c>
      <c r="AC1694" s="14" t="str">
        <f>IFERROR(__xludf.DUMMYFUNCTION("""COMPUTED_VALUE"""),"Nepal-Asia")</f>
        <v>Nepal-Asia</v>
      </c>
      <c r="AD1694" s="14" t="str">
        <f>IFERROR(__xludf.DUMMYFUNCTION("""COMPUTED_VALUE"""),"2002")</f>
        <v>2002</v>
      </c>
      <c r="AE1694" s="14">
        <f>IFERROR(__xludf.DUMMYFUNCTION("""COMPUTED_VALUE"""),10218.0)</f>
        <v>10218</v>
      </c>
      <c r="AF1694" s="14">
        <f>IFERROR(__xludf.DUMMYFUNCTION("""COMPUTED_VALUE"""),3755.0)</f>
        <v>3755</v>
      </c>
    </row>
    <row r="1695">
      <c r="A1695" s="12">
        <v>1694.0</v>
      </c>
      <c r="B1695" s="12" t="s">
        <v>209</v>
      </c>
      <c r="C1695" s="5" t="s">
        <v>61</v>
      </c>
      <c r="D1695" s="8"/>
      <c r="E1695" s="11">
        <v>31.0</v>
      </c>
      <c r="F1695" s="8"/>
      <c r="G1695" s="8"/>
      <c r="H1695" s="11">
        <v>0.004</v>
      </c>
      <c r="I1695" s="11">
        <v>0.003</v>
      </c>
      <c r="J1695" s="9" t="s">
        <v>64</v>
      </c>
      <c r="K1695" s="14" t="str">
        <f>IFERROR(__xludf.DUMMYFUNCTION("ARRAYFORMULA(VLOOKUP(A1695,IMPORTRANGE(""https://docs.google.com/spreadsheets/d/1BuTWp7qHGjWhqrnf-OmePP568O4A5Am9ttzvVdP67zw/edit#gid=1603210130"", ""TOURISM!$A$2:$F$2692""), {2,3,4,5,6},0))"),"Asia")</f>
        <v>Asia</v>
      </c>
      <c r="L1695" s="14">
        <f>IFERROR(__xludf.DUMMYFUNCTION("""COMPUTED_VALUE"""),2.32E8)</f>
        <v>232000000</v>
      </c>
      <c r="M1695" s="14" t="str">
        <f>IFERROR(__xludf.DUMMYFUNCTION("""COMPUTED_VALUE"""),"Nepal-Asia")</f>
        <v>Nepal-Asia</v>
      </c>
      <c r="N1695" s="14" t="str">
        <f>IFERROR(__xludf.DUMMYFUNCTION("""COMPUTED_VALUE"""),"2003")</f>
        <v>2003</v>
      </c>
      <c r="O1695" s="14">
        <f>IFERROR(__xludf.DUMMYFUNCTION("""COMPUTED_VALUE"""),1.19E8)</f>
        <v>119000000</v>
      </c>
      <c r="P1695" s="15">
        <f>IFERROR(__xludf.DUMMYFUNCTION("ARRAYFORMULA(VLOOKUP(A1695,IMPORTRANGE(""https://docs.google.com/spreadsheets/d/1BuTWp7qHGjWhqrnf-OmePP568O4A5Am9ttzvVdP67zw/edit#gid=771602874"" ,""HUMAN RESOURCES!$A$2:$M$2692""), {2,3,4,5,6,7,8,9,10,11,12,13},0))"),0.03)</f>
        <v>0.03</v>
      </c>
      <c r="Q1695" s="14">
        <f>IFERROR(__xludf.DUMMYFUNCTION("""COMPUTED_VALUE"""),0.052)</f>
        <v>0.052</v>
      </c>
      <c r="R1695" s="14">
        <f>IFERROR(__xludf.DUMMYFUNCTION("""COMPUTED_VALUE"""),65.0)</f>
        <v>65</v>
      </c>
      <c r="S1695" s="14">
        <f>IFERROR(__xludf.DUMMYFUNCTION("""COMPUTED_VALUE"""),63.0)</f>
        <v>63</v>
      </c>
      <c r="T1695" s="14">
        <f>IFERROR(__xludf.DUMMYFUNCTION("""COMPUTED_VALUE"""),0.399)</f>
        <v>0.399</v>
      </c>
      <c r="U1695" s="14">
        <f>IFERROR(__xludf.DUMMYFUNCTION("""COMPUTED_VALUE"""),0.559)</f>
        <v>0.559</v>
      </c>
      <c r="V1695" s="14">
        <f>IFERROR(__xludf.DUMMYFUNCTION("""COMPUTED_VALUE"""),0.041)</f>
        <v>0.041</v>
      </c>
      <c r="W1695" s="14">
        <f>IFERROR(__xludf.DUMMYFUNCTION("""COMPUTED_VALUE"""),2.4525527E7)</f>
        <v>24525527</v>
      </c>
      <c r="X1695" s="14">
        <f>IFERROR(__xludf.DUMMYFUNCTION("""COMPUTED_VALUE"""),0.146)</f>
        <v>0.146</v>
      </c>
      <c r="Y1695" s="14" t="str">
        <f>IFERROR(__xludf.DUMMYFUNCTION("""COMPUTED_VALUE"""),"Nepal-Asia")</f>
        <v>Nepal-Asia</v>
      </c>
      <c r="Z1695" s="14" t="str">
        <f>IFERROR(__xludf.DUMMYFUNCTION("""COMPUTED_VALUE"""),"Asia")</f>
        <v>Asia</v>
      </c>
      <c r="AA1695" s="14" t="str">
        <f>IFERROR(__xludf.DUMMYFUNCTION("""COMPUTED_VALUE"""),"2003")</f>
        <v>2003</v>
      </c>
      <c r="AB1695" s="15" t="str">
        <f>IFERROR(__xludf.DUMMYFUNCTION("ARRAYFORMULA(VLOOKUP(A1695,IMPORTRANGE(""https://docs.google.com/spreadsheets/d/1BuTWp7qHGjWhqrnf-OmePP568O4A5Am9ttzvVdP67zw/edit#gid=1931367683"" ,""ENERGY!$A$2:$F$2692""), {2,3,4,5,6},0))"),"Asia")</f>
        <v>Asia</v>
      </c>
      <c r="AC1695" s="14" t="str">
        <f>IFERROR(__xludf.DUMMYFUNCTION("""COMPUTED_VALUE"""),"Nepal-Asia")</f>
        <v>Nepal-Asia</v>
      </c>
      <c r="AD1695" s="14" t="str">
        <f>IFERROR(__xludf.DUMMYFUNCTION("""COMPUTED_VALUE"""),"2003")</f>
        <v>2003</v>
      </c>
      <c r="AE1695" s="14">
        <f>IFERROR(__xludf.DUMMYFUNCTION("""COMPUTED_VALUE"""),9986.0)</f>
        <v>9986</v>
      </c>
      <c r="AF1695" s="14">
        <f>IFERROR(__xludf.DUMMYFUNCTION("""COMPUTED_VALUE"""),3506.0)</f>
        <v>3506</v>
      </c>
    </row>
    <row r="1696">
      <c r="A1696" s="12">
        <v>1695.0</v>
      </c>
      <c r="B1696" s="12" t="s">
        <v>209</v>
      </c>
      <c r="C1696" s="5" t="s">
        <v>61</v>
      </c>
      <c r="D1696" s="8"/>
      <c r="E1696" s="11">
        <v>31.0</v>
      </c>
      <c r="F1696" s="8"/>
      <c r="G1696" s="8"/>
      <c r="H1696" s="11">
        <v>0.004</v>
      </c>
      <c r="I1696" s="11">
        <v>0.005</v>
      </c>
      <c r="J1696" s="9" t="s">
        <v>65</v>
      </c>
      <c r="K1696" s="14" t="str">
        <f>IFERROR(__xludf.DUMMYFUNCTION("ARRAYFORMULA(VLOOKUP(A1696,IMPORTRANGE(""https://docs.google.com/spreadsheets/d/1BuTWp7qHGjWhqrnf-OmePP568O4A5Am9ttzvVdP67zw/edit#gid=1603210130"", ""TOURISM!$A$2:$F$2692""), {2,3,4,5,6},0))"),"Asia")</f>
        <v>Asia</v>
      </c>
      <c r="L1696" s="14">
        <f>IFERROR(__xludf.DUMMYFUNCTION("""COMPUTED_VALUE"""),2.6E8)</f>
        <v>260000000</v>
      </c>
      <c r="M1696" s="14" t="str">
        <f>IFERROR(__xludf.DUMMYFUNCTION("""COMPUTED_VALUE"""),"Nepal-Asia")</f>
        <v>Nepal-Asia</v>
      </c>
      <c r="N1696" s="14" t="str">
        <f>IFERROR(__xludf.DUMMYFUNCTION("""COMPUTED_VALUE"""),"2004")</f>
        <v>2004</v>
      </c>
      <c r="O1696" s="14">
        <f>IFERROR(__xludf.DUMMYFUNCTION("""COMPUTED_VALUE"""),2.05E8)</f>
        <v>205000000</v>
      </c>
      <c r="P1696" s="15">
        <f>IFERROR(__xludf.DUMMYFUNCTION("ARRAYFORMULA(VLOOKUP(A1696,IMPORTRANGE(""https://docs.google.com/spreadsheets/d/1BuTWp7qHGjWhqrnf-OmePP568O4A5Am9ttzvVdP67zw/edit#gid=771602874"" ,""HUMAN RESOURCES!$A$2:$M$2692""), {2,3,4,5,6,7,8,9,10,11,12,13},0))"),0.029)</f>
        <v>0.029</v>
      </c>
      <c r="Q1696" s="14">
        <f>IFERROR(__xludf.DUMMYFUNCTION("""COMPUTED_VALUE"""),0.049)</f>
        <v>0.049</v>
      </c>
      <c r="R1696" s="14">
        <f>IFERROR(__xludf.DUMMYFUNCTION("""COMPUTED_VALUE"""),65.0)</f>
        <v>65</v>
      </c>
      <c r="S1696" s="14">
        <f>IFERROR(__xludf.DUMMYFUNCTION("""COMPUTED_VALUE"""),63.0)</f>
        <v>63</v>
      </c>
      <c r="T1696" s="14">
        <f>IFERROR(__xludf.DUMMYFUNCTION("""COMPUTED_VALUE"""),0.397)</f>
        <v>0.397</v>
      </c>
      <c r="U1696" s="14">
        <f>IFERROR(__xludf.DUMMYFUNCTION("""COMPUTED_VALUE"""),0.56)</f>
        <v>0.56</v>
      </c>
      <c r="V1696" s="14">
        <f>IFERROR(__xludf.DUMMYFUNCTION("""COMPUTED_VALUE"""),0.043)</f>
        <v>0.043</v>
      </c>
      <c r="W1696" s="14">
        <f>IFERROR(__xludf.DUMMYFUNCTION("""COMPUTED_VALUE"""),2.492191E7)</f>
        <v>24921910</v>
      </c>
      <c r="X1696" s="14">
        <f>IFERROR(__xludf.DUMMYFUNCTION("""COMPUTED_VALUE"""),0.149)</f>
        <v>0.149</v>
      </c>
      <c r="Y1696" s="14" t="str">
        <f>IFERROR(__xludf.DUMMYFUNCTION("""COMPUTED_VALUE"""),"Nepal-Asia")</f>
        <v>Nepal-Asia</v>
      </c>
      <c r="Z1696" s="14" t="str">
        <f>IFERROR(__xludf.DUMMYFUNCTION("""COMPUTED_VALUE"""),"Asia")</f>
        <v>Asia</v>
      </c>
      <c r="AA1696" s="14" t="str">
        <f>IFERROR(__xludf.DUMMYFUNCTION("""COMPUTED_VALUE"""),"2004")</f>
        <v>2004</v>
      </c>
      <c r="AB1696" s="15" t="str">
        <f>IFERROR(__xludf.DUMMYFUNCTION("ARRAYFORMULA(VLOOKUP(A1696,IMPORTRANGE(""https://docs.google.com/spreadsheets/d/1BuTWp7qHGjWhqrnf-OmePP568O4A5Am9ttzvVdP67zw/edit#gid=1931367683"" ,""ENERGY!$A$2:$F$2692""), {2,3,4,5,6},0))"),"Asia")</f>
        <v>Asia</v>
      </c>
      <c r="AC1696" s="14" t="str">
        <f>IFERROR(__xludf.DUMMYFUNCTION("""COMPUTED_VALUE"""),"Nepal-Asia")</f>
        <v>Nepal-Asia</v>
      </c>
      <c r="AD1696" s="14" t="str">
        <f>IFERROR(__xludf.DUMMYFUNCTION("""COMPUTED_VALUE"""),"2004")</f>
        <v>2004</v>
      </c>
      <c r="AE1696" s="14">
        <f>IFERROR(__xludf.DUMMYFUNCTION("""COMPUTED_VALUE"""),9634.0)</f>
        <v>9634</v>
      </c>
      <c r="AF1696" s="14">
        <f>IFERROR(__xludf.DUMMYFUNCTION("""COMPUTED_VALUE"""),3047.0)</f>
        <v>3047</v>
      </c>
    </row>
    <row r="1697">
      <c r="A1697" s="12">
        <v>1696.0</v>
      </c>
      <c r="B1697" s="12" t="s">
        <v>209</v>
      </c>
      <c r="C1697" s="5" t="s">
        <v>61</v>
      </c>
      <c r="D1697" s="11">
        <v>0.325</v>
      </c>
      <c r="E1697" s="11">
        <v>31.0</v>
      </c>
      <c r="F1697" s="8"/>
      <c r="G1697" s="11">
        <v>408.0</v>
      </c>
      <c r="H1697" s="11">
        <v>0.008</v>
      </c>
      <c r="I1697" s="11">
        <v>0.009</v>
      </c>
      <c r="J1697" s="9" t="s">
        <v>66</v>
      </c>
      <c r="K1697" s="14" t="str">
        <f>IFERROR(__xludf.DUMMYFUNCTION("ARRAYFORMULA(VLOOKUP(A1697,IMPORTRANGE(""https://docs.google.com/spreadsheets/d/1BuTWp7qHGjWhqrnf-OmePP568O4A5Am9ttzvVdP67zw/edit#gid=1603210130"", ""TOURISM!$A$2:$F$2692""), {2,3,4,5,6},0))"),"Asia")</f>
        <v>Asia</v>
      </c>
      <c r="L1697" s="14">
        <f>IFERROR(__xludf.DUMMYFUNCTION("""COMPUTED_VALUE"""),1.6E8)</f>
        <v>160000000</v>
      </c>
      <c r="M1697" s="14" t="str">
        <f>IFERROR(__xludf.DUMMYFUNCTION("""COMPUTED_VALUE"""),"Nepal-Asia")</f>
        <v>Nepal-Asia</v>
      </c>
      <c r="N1697" s="14" t="str">
        <f>IFERROR(__xludf.DUMMYFUNCTION("""COMPUTED_VALUE"""),"2005")</f>
        <v>2005</v>
      </c>
      <c r="O1697" s="14">
        <f>IFERROR(__xludf.DUMMYFUNCTION("""COMPUTED_VALUE"""),2.21E8)</f>
        <v>221000000</v>
      </c>
      <c r="P1697" s="15">
        <f>IFERROR(__xludf.DUMMYFUNCTION("ARRAYFORMULA(VLOOKUP(A1697,IMPORTRANGE(""https://docs.google.com/spreadsheets/d/1BuTWp7qHGjWhqrnf-OmePP568O4A5Am9ttzvVdP67zw/edit#gid=771602874"" ,""HUMAN RESOURCES!$A$2:$M$2692""), {2,3,4,5,6,7,8,9,10,11,12,13},0))"),0.028)</f>
        <v>0.028</v>
      </c>
      <c r="Q1697" s="14">
        <f>IFERROR(__xludf.DUMMYFUNCTION("""COMPUTED_VALUE"""),0.047)</f>
        <v>0.047</v>
      </c>
      <c r="R1697" s="14">
        <f>IFERROR(__xludf.DUMMYFUNCTION("""COMPUTED_VALUE"""),66.0)</f>
        <v>66</v>
      </c>
      <c r="S1697" s="14">
        <f>IFERROR(__xludf.DUMMYFUNCTION("""COMPUTED_VALUE"""),64.0)</f>
        <v>64</v>
      </c>
      <c r="T1697" s="14">
        <f>IFERROR(__xludf.DUMMYFUNCTION("""COMPUTED_VALUE"""),0.395)</f>
        <v>0.395</v>
      </c>
      <c r="U1697" s="14">
        <f>IFERROR(__xludf.DUMMYFUNCTION("""COMPUTED_VALUE"""),0.561)</f>
        <v>0.561</v>
      </c>
      <c r="V1697" s="14">
        <f>IFERROR(__xludf.DUMMYFUNCTION("""COMPUTED_VALUE"""),0.044)</f>
        <v>0.044</v>
      </c>
      <c r="W1697" s="14">
        <f>IFERROR(__xludf.DUMMYFUNCTION("""COMPUTED_VALUE"""),2.5292058E7)</f>
        <v>25292058</v>
      </c>
      <c r="X1697" s="14">
        <f>IFERROR(__xludf.DUMMYFUNCTION("""COMPUTED_VALUE"""),0.152)</f>
        <v>0.152</v>
      </c>
      <c r="Y1697" s="14" t="str">
        <f>IFERROR(__xludf.DUMMYFUNCTION("""COMPUTED_VALUE"""),"Nepal-Asia")</f>
        <v>Nepal-Asia</v>
      </c>
      <c r="Z1697" s="14" t="str">
        <f>IFERROR(__xludf.DUMMYFUNCTION("""COMPUTED_VALUE"""),"Asia")</f>
        <v>Asia</v>
      </c>
      <c r="AA1697" s="14" t="str">
        <f>IFERROR(__xludf.DUMMYFUNCTION("""COMPUTED_VALUE"""),"2005")</f>
        <v>2005</v>
      </c>
      <c r="AB1697" s="15" t="str">
        <f>IFERROR(__xludf.DUMMYFUNCTION("ARRAYFORMULA(VLOOKUP(A1697,IMPORTRANGE(""https://docs.google.com/spreadsheets/d/1BuTWp7qHGjWhqrnf-OmePP568O4A5Am9ttzvVdP67zw/edit#gid=1931367683"" ,""ENERGY!$A$2:$F$2692""), {2,3,4,5,6},0))"),"Asia")</f>
        <v>Asia</v>
      </c>
      <c r="AC1697" s="14" t="str">
        <f>IFERROR(__xludf.DUMMYFUNCTION("""COMPUTED_VALUE"""),"Nepal-Asia")</f>
        <v>Nepal-Asia</v>
      </c>
      <c r="AD1697" s="14" t="str">
        <f>IFERROR(__xludf.DUMMYFUNCTION("""COMPUTED_VALUE"""),"2008")</f>
        <v>2008</v>
      </c>
      <c r="AE1697" s="14">
        <f>IFERROR(__xludf.DUMMYFUNCTION("""COMPUTED_VALUE"""),9308.0)</f>
        <v>9308</v>
      </c>
      <c r="AF1697" s="14">
        <f>IFERROR(__xludf.DUMMYFUNCTION("""COMPUTED_VALUE"""),2699.0)</f>
        <v>2699</v>
      </c>
    </row>
    <row r="1698">
      <c r="A1698" s="12">
        <v>1697.0</v>
      </c>
      <c r="B1698" s="12" t="s">
        <v>209</v>
      </c>
      <c r="C1698" s="5" t="s">
        <v>61</v>
      </c>
      <c r="D1698" s="11">
        <v>0.325</v>
      </c>
      <c r="E1698" s="11">
        <v>31.0</v>
      </c>
      <c r="F1698" s="8"/>
      <c r="G1698" s="11">
        <v>408.0</v>
      </c>
      <c r="H1698" s="11">
        <v>0.011</v>
      </c>
      <c r="I1698" s="11">
        <v>0.045</v>
      </c>
      <c r="J1698" s="9" t="s">
        <v>67</v>
      </c>
      <c r="K1698" s="14" t="str">
        <f>IFERROR(__xludf.DUMMYFUNCTION("ARRAYFORMULA(VLOOKUP(A1698,IMPORTRANGE(""https://docs.google.com/spreadsheets/d/1BuTWp7qHGjWhqrnf-OmePP568O4A5Am9ttzvVdP67zw/edit#gid=1603210130"", ""TOURISM!$A$2:$F$2692""), {2,3,4,5,6},0))"),"Asia")</f>
        <v>Asia</v>
      </c>
      <c r="L1698" s="14">
        <f>IFERROR(__xludf.DUMMYFUNCTION("""COMPUTED_VALUE"""),1.57E8)</f>
        <v>157000000</v>
      </c>
      <c r="M1698" s="14" t="str">
        <f>IFERROR(__xludf.DUMMYFUNCTION("""COMPUTED_VALUE"""),"Nepal-Asia")</f>
        <v>Nepal-Asia</v>
      </c>
      <c r="N1698" s="14" t="str">
        <f>IFERROR(__xludf.DUMMYFUNCTION("""COMPUTED_VALUE"""),"2006")</f>
        <v>2006</v>
      </c>
      <c r="O1698" s="14">
        <f>IFERROR(__xludf.DUMMYFUNCTION("""COMPUTED_VALUE"""),2.61E8)</f>
        <v>261000000</v>
      </c>
      <c r="P1698" s="15">
        <f>IFERROR(__xludf.DUMMYFUNCTION("ARRAYFORMULA(VLOOKUP(A1698,IMPORTRANGE(""https://docs.google.com/spreadsheets/d/1BuTWp7qHGjWhqrnf-OmePP568O4A5Am9ttzvVdP67zw/edit#gid=771602874"" ,""HUMAN RESOURCES!$A$2:$M$2692""), {2,3,4,5,6,7,8,9,10,11,12,13},0))"),0.027)</f>
        <v>0.027</v>
      </c>
      <c r="Q1698" s="14">
        <f>IFERROR(__xludf.DUMMYFUNCTION("""COMPUTED_VALUE"""),0.044)</f>
        <v>0.044</v>
      </c>
      <c r="R1698" s="14">
        <f>IFERROR(__xludf.DUMMYFUNCTION("""COMPUTED_VALUE"""),66.0)</f>
        <v>66</v>
      </c>
      <c r="S1698" s="14">
        <f>IFERROR(__xludf.DUMMYFUNCTION("""COMPUTED_VALUE"""),64.0)</f>
        <v>64</v>
      </c>
      <c r="T1698" s="14">
        <f>IFERROR(__xludf.DUMMYFUNCTION("""COMPUTED_VALUE"""),0.391)</f>
        <v>0.391</v>
      </c>
      <c r="U1698" s="14">
        <f>IFERROR(__xludf.DUMMYFUNCTION("""COMPUTED_VALUE"""),0.564)</f>
        <v>0.564</v>
      </c>
      <c r="V1698" s="14">
        <f>IFERROR(__xludf.DUMMYFUNCTION("""COMPUTED_VALUE"""),0.045)</f>
        <v>0.045</v>
      </c>
      <c r="W1698" s="14">
        <f>IFERROR(__xludf.DUMMYFUNCTION("""COMPUTED_VALUE"""),2.5634043E7)</f>
        <v>25634043</v>
      </c>
      <c r="X1698" s="14">
        <f>IFERROR(__xludf.DUMMYFUNCTION("""COMPUTED_VALUE"""),0.155)</f>
        <v>0.155</v>
      </c>
      <c r="Y1698" s="14" t="str">
        <f>IFERROR(__xludf.DUMMYFUNCTION("""COMPUTED_VALUE"""),"Nepal-Asia")</f>
        <v>Nepal-Asia</v>
      </c>
      <c r="Z1698" s="14" t="str">
        <f>IFERROR(__xludf.DUMMYFUNCTION("""COMPUTED_VALUE"""),"Asia")</f>
        <v>Asia</v>
      </c>
      <c r="AA1698" s="14" t="str">
        <f>IFERROR(__xludf.DUMMYFUNCTION("""COMPUTED_VALUE"""),"2006")</f>
        <v>2006</v>
      </c>
      <c r="AB1698" s="15" t="str">
        <f>IFERROR(__xludf.DUMMYFUNCTION("ARRAYFORMULA(VLOOKUP(A1698,IMPORTRANGE(""https://docs.google.com/spreadsheets/d/1BuTWp7qHGjWhqrnf-OmePP568O4A5Am9ttzvVdP67zw/edit#gid=1931367683"" ,""ENERGY!$A$2:$F$2692""), {2,3,4,5,6},0))"),"Asia")</f>
        <v>Asia</v>
      </c>
      <c r="AC1698" s="14" t="str">
        <f>IFERROR(__xludf.DUMMYFUNCTION("""COMPUTED_VALUE"""),"Nepal-Asia")</f>
        <v>Nepal-Asia</v>
      </c>
      <c r="AD1698" s="14" t="str">
        <f>IFERROR(__xludf.DUMMYFUNCTION("""COMPUTED_VALUE"""),"2012")</f>
        <v>2012</v>
      </c>
      <c r="AE1698" s="14">
        <f>IFERROR(__xludf.DUMMYFUNCTION("""COMPUTED_VALUE"""),9131.0)</f>
        <v>9131</v>
      </c>
      <c r="AF1698" s="14">
        <f>IFERROR(__xludf.DUMMYFUNCTION("""COMPUTED_VALUE"""),2662.0)</f>
        <v>2662</v>
      </c>
    </row>
    <row r="1699">
      <c r="A1699" s="12">
        <v>1698.0</v>
      </c>
      <c r="B1699" s="12" t="s">
        <v>209</v>
      </c>
      <c r="C1699" s="5" t="s">
        <v>61</v>
      </c>
      <c r="D1699" s="11">
        <v>0.328</v>
      </c>
      <c r="E1699" s="11">
        <v>31.0</v>
      </c>
      <c r="F1699" s="8"/>
      <c r="G1699" s="11">
        <v>408.0</v>
      </c>
      <c r="H1699" s="11">
        <v>0.014</v>
      </c>
      <c r="I1699" s="11">
        <v>0.126</v>
      </c>
      <c r="J1699" s="9" t="s">
        <v>68</v>
      </c>
      <c r="K1699" s="14" t="str">
        <f>IFERROR(__xludf.DUMMYFUNCTION("ARRAYFORMULA(VLOOKUP(A1699,IMPORTRANGE(""https://docs.google.com/spreadsheets/d/1BuTWp7qHGjWhqrnf-OmePP568O4A5Am9ttzvVdP67zw/edit#gid=1603210130"", ""TOURISM!$A$2:$F$2692""), {2,3,4,5,6},0))"),"Asia")</f>
        <v>Asia</v>
      </c>
      <c r="L1699" s="14">
        <f>IFERROR(__xludf.DUMMYFUNCTION("""COMPUTED_VALUE"""),2.34E8)</f>
        <v>234000000</v>
      </c>
      <c r="M1699" s="14" t="str">
        <f>IFERROR(__xludf.DUMMYFUNCTION("""COMPUTED_VALUE"""),"Nepal-Asia")</f>
        <v>Nepal-Asia</v>
      </c>
      <c r="N1699" s="14" t="str">
        <f>IFERROR(__xludf.DUMMYFUNCTION("""COMPUTED_VALUE"""),"2007")</f>
        <v>2007</v>
      </c>
      <c r="O1699" s="14">
        <f>IFERROR(__xludf.DUMMYFUNCTION("""COMPUTED_VALUE"""),4.02E8)</f>
        <v>402000000</v>
      </c>
      <c r="P1699" s="15">
        <f>IFERROR(__xludf.DUMMYFUNCTION("ARRAYFORMULA(VLOOKUP(A1699,IMPORTRANGE(""https://docs.google.com/spreadsheets/d/1BuTWp7qHGjWhqrnf-OmePP568O4A5Am9ttzvVdP67zw/edit#gid=771602874"" ,""HUMAN RESOURCES!$A$2:$M$2692""), {2,3,4,5,6,7,8,9,10,11,12,13},0))"),0.026)</f>
        <v>0.026</v>
      </c>
      <c r="Q1699" s="14">
        <f>IFERROR(__xludf.DUMMYFUNCTION("""COMPUTED_VALUE"""),0.042)</f>
        <v>0.042</v>
      </c>
      <c r="R1699" s="14">
        <f>IFERROR(__xludf.DUMMYFUNCTION("""COMPUTED_VALUE"""),67.0)</f>
        <v>67</v>
      </c>
      <c r="S1699" s="14">
        <f>IFERROR(__xludf.DUMMYFUNCTION("""COMPUTED_VALUE"""),65.0)</f>
        <v>65</v>
      </c>
      <c r="T1699" s="14">
        <f>IFERROR(__xludf.DUMMYFUNCTION("""COMPUTED_VALUE"""),0.387)</f>
        <v>0.387</v>
      </c>
      <c r="U1699" s="14">
        <f>IFERROR(__xludf.DUMMYFUNCTION("""COMPUTED_VALUE"""),0.566)</f>
        <v>0.566</v>
      </c>
      <c r="V1699" s="14">
        <f>IFERROR(__xludf.DUMMYFUNCTION("""COMPUTED_VALUE"""),0.046)</f>
        <v>0.046</v>
      </c>
      <c r="W1699" s="14">
        <f>IFERROR(__xludf.DUMMYFUNCTION("""COMPUTED_VALUE"""),2.5950022E7)</f>
        <v>25950022</v>
      </c>
      <c r="X1699" s="14">
        <f>IFERROR(__xludf.DUMMYFUNCTION("""COMPUTED_VALUE"""),0.158)</f>
        <v>0.158</v>
      </c>
      <c r="Y1699" s="14" t="str">
        <f>IFERROR(__xludf.DUMMYFUNCTION("""COMPUTED_VALUE"""),"Nepal-Asia")</f>
        <v>Nepal-Asia</v>
      </c>
      <c r="Z1699" s="14" t="str">
        <f>IFERROR(__xludf.DUMMYFUNCTION("""COMPUTED_VALUE"""),"Asia")</f>
        <v>Asia</v>
      </c>
      <c r="AA1699" s="14" t="str">
        <f>IFERROR(__xludf.DUMMYFUNCTION("""COMPUTED_VALUE"""),"2007")</f>
        <v>2007</v>
      </c>
      <c r="AB1699" s="15" t="str">
        <f>IFERROR(__xludf.DUMMYFUNCTION("ARRAYFORMULA(VLOOKUP(A1699,IMPORTRANGE(""https://docs.google.com/spreadsheets/d/1BuTWp7qHGjWhqrnf-OmePP568O4A5Am9ttzvVdP67zw/edit#gid=1931367683"" ,""ENERGY!$A$2:$F$2692""), {2,3,4,5,6},0))"),"Asia")</f>
        <v>Asia</v>
      </c>
      <c r="AC1699" s="14" t="str">
        <f>IFERROR(__xludf.DUMMYFUNCTION("""COMPUTED_VALUE"""),"Nepal-Asia")</f>
        <v>Nepal-Asia</v>
      </c>
      <c r="AD1699" s="14" t="str">
        <f>IFERROR(__xludf.DUMMYFUNCTION("""COMPUTED_VALUE"""),"2009")</f>
        <v>2009</v>
      </c>
      <c r="AE1699" s="14">
        <f>IFERROR(__xludf.DUMMYFUNCTION("""COMPUTED_VALUE"""),9132.0)</f>
        <v>9132</v>
      </c>
      <c r="AF1699" s="14">
        <f>IFERROR(__xludf.DUMMYFUNCTION("""COMPUTED_VALUE"""),3242.0)</f>
        <v>3242</v>
      </c>
    </row>
    <row r="1700">
      <c r="A1700" s="12">
        <v>1699.0</v>
      </c>
      <c r="B1700" s="12" t="s">
        <v>209</v>
      </c>
      <c r="C1700" s="5" t="s">
        <v>61</v>
      </c>
      <c r="D1700" s="11">
        <v>0.341</v>
      </c>
      <c r="E1700" s="11">
        <v>31.0</v>
      </c>
      <c r="F1700" s="8"/>
      <c r="G1700" s="11">
        <v>408.0</v>
      </c>
      <c r="H1700" s="11">
        <v>0.017</v>
      </c>
      <c r="I1700" s="11">
        <v>0.16</v>
      </c>
      <c r="J1700" s="9" t="s">
        <v>69</v>
      </c>
      <c r="K1700" s="14" t="str">
        <f>IFERROR(__xludf.DUMMYFUNCTION("ARRAYFORMULA(VLOOKUP(A1700,IMPORTRANGE(""https://docs.google.com/spreadsheets/d/1BuTWp7qHGjWhqrnf-OmePP568O4A5Am9ttzvVdP67zw/edit#gid=1603210130"", ""TOURISM!$A$2:$F$2692""), {2,3,4,5,6},0))"),"Asia")</f>
        <v>Asia</v>
      </c>
      <c r="L1700" s="14">
        <f>IFERROR(__xludf.DUMMYFUNCTION("""COMPUTED_VALUE"""),3.53E8)</f>
        <v>353000000</v>
      </c>
      <c r="M1700" s="14" t="str">
        <f>IFERROR(__xludf.DUMMYFUNCTION("""COMPUTED_VALUE"""),"Nepal-Asia")</f>
        <v>Nepal-Asia</v>
      </c>
      <c r="N1700" s="14" t="str">
        <f>IFERROR(__xludf.DUMMYFUNCTION("""COMPUTED_VALUE"""),"2008")</f>
        <v>2008</v>
      </c>
      <c r="O1700" s="14">
        <f>IFERROR(__xludf.DUMMYFUNCTION("""COMPUTED_VALUE"""),5.45E8)</f>
        <v>545000000</v>
      </c>
      <c r="P1700" s="15">
        <f>IFERROR(__xludf.DUMMYFUNCTION("ARRAYFORMULA(VLOOKUP(A1700,IMPORTRANGE(""https://docs.google.com/spreadsheets/d/1BuTWp7qHGjWhqrnf-OmePP568O4A5Am9ttzvVdP67zw/edit#gid=771602874"" ,""HUMAN RESOURCES!$A$2:$M$2692""), {2,3,4,5,6,7,8,9,10,11,12,13},0))"),0.025)</f>
        <v>0.025</v>
      </c>
      <c r="Q1700" s="14">
        <f>IFERROR(__xludf.DUMMYFUNCTION("""COMPUTED_VALUE"""),0.04)</f>
        <v>0.04</v>
      </c>
      <c r="R1700" s="14">
        <f>IFERROR(__xludf.DUMMYFUNCTION("""COMPUTED_VALUE"""),67.0)</f>
        <v>67</v>
      </c>
      <c r="S1700" s="14">
        <f>IFERROR(__xludf.DUMMYFUNCTION("""COMPUTED_VALUE"""),65.0)</f>
        <v>65</v>
      </c>
      <c r="T1700" s="14">
        <f>IFERROR(__xludf.DUMMYFUNCTION("""COMPUTED_VALUE"""),0.383)</f>
        <v>0.383</v>
      </c>
      <c r="U1700" s="14">
        <f>IFERROR(__xludf.DUMMYFUNCTION("""COMPUTED_VALUE"""),0.57)</f>
        <v>0.57</v>
      </c>
      <c r="V1700" s="14">
        <f>IFERROR(__xludf.DUMMYFUNCTION("""COMPUTED_VALUE"""),0.047)</f>
        <v>0.047</v>
      </c>
      <c r="W1700" s="14">
        <f>IFERROR(__xludf.DUMMYFUNCTION("""COMPUTED_VALUE"""),2.6249412E7)</f>
        <v>26249412</v>
      </c>
      <c r="X1700" s="14">
        <f>IFERROR(__xludf.DUMMYFUNCTION("""COMPUTED_VALUE"""),0.162)</f>
        <v>0.162</v>
      </c>
      <c r="Y1700" s="14" t="str">
        <f>IFERROR(__xludf.DUMMYFUNCTION("""COMPUTED_VALUE"""),"Nepal-Asia")</f>
        <v>Nepal-Asia</v>
      </c>
      <c r="Z1700" s="14" t="str">
        <f>IFERROR(__xludf.DUMMYFUNCTION("""COMPUTED_VALUE"""),"Asia")</f>
        <v>Asia</v>
      </c>
      <c r="AA1700" s="14" t="str">
        <f>IFERROR(__xludf.DUMMYFUNCTION("""COMPUTED_VALUE"""),"2008")</f>
        <v>2008</v>
      </c>
      <c r="AB1700" s="15" t="str">
        <f>IFERROR(__xludf.DUMMYFUNCTION("ARRAYFORMULA(VLOOKUP(A1700,IMPORTRANGE(""https://docs.google.com/spreadsheets/d/1BuTWp7qHGjWhqrnf-OmePP568O4A5Am9ttzvVdP67zw/edit#gid=1931367683"" ,""ENERGY!$A$2:$F$2692""), {2,3,4,5,6},0))"),"Asia")</f>
        <v>Asia</v>
      </c>
      <c r="AC1700" s="14" t="str">
        <f>IFERROR(__xludf.DUMMYFUNCTION("""COMPUTED_VALUE"""),"Nepal-Asia")</f>
        <v>Nepal-Asia</v>
      </c>
      <c r="AD1700" s="14" t="str">
        <f>IFERROR(__xludf.DUMMYFUNCTION("""COMPUTED_VALUE"""),"2006")</f>
        <v>2006</v>
      </c>
      <c r="AE1700" s="14">
        <f>IFERROR(__xludf.DUMMYFUNCTION("""COMPUTED_VALUE"""),8832.0)</f>
        <v>8832</v>
      </c>
      <c r="AF1700" s="14">
        <f>IFERROR(__xludf.DUMMYFUNCTION("""COMPUTED_VALUE"""),2769.0)</f>
        <v>2769</v>
      </c>
    </row>
    <row r="1701">
      <c r="A1701" s="12">
        <v>1700.0</v>
      </c>
      <c r="B1701" s="12" t="s">
        <v>209</v>
      </c>
      <c r="C1701" s="5" t="s">
        <v>61</v>
      </c>
      <c r="D1701" s="11">
        <v>0.325</v>
      </c>
      <c r="E1701" s="11">
        <v>31.0</v>
      </c>
      <c r="F1701" s="8"/>
      <c r="G1701" s="11">
        <v>338.0</v>
      </c>
      <c r="H1701" s="11">
        <v>0.02</v>
      </c>
      <c r="I1701" s="11">
        <v>0.211</v>
      </c>
      <c r="J1701" s="9" t="s">
        <v>70</v>
      </c>
      <c r="K1701" s="14" t="str">
        <f>IFERROR(__xludf.DUMMYFUNCTION("ARRAYFORMULA(VLOOKUP(A1701,IMPORTRANGE(""https://docs.google.com/spreadsheets/d/1BuTWp7qHGjWhqrnf-OmePP568O4A5Am9ttzvVdP67zw/edit#gid=1603210130"", ""TOURISM!$A$2:$F$2692""), {2,3,4,5,6},0))"),"Asia")</f>
        <v>Asia</v>
      </c>
      <c r="L1701" s="14">
        <f>IFERROR(__xludf.DUMMYFUNCTION("""COMPUTED_VALUE"""),4.39E8)</f>
        <v>439000000</v>
      </c>
      <c r="M1701" s="14" t="str">
        <f>IFERROR(__xludf.DUMMYFUNCTION("""COMPUTED_VALUE"""),"Nepal-Asia")</f>
        <v>Nepal-Asia</v>
      </c>
      <c r="N1701" s="14" t="str">
        <f>IFERROR(__xludf.DUMMYFUNCTION("""COMPUTED_VALUE"""),"2009")</f>
        <v>2009</v>
      </c>
      <c r="O1701" s="14">
        <f>IFERROR(__xludf.DUMMYFUNCTION("""COMPUTED_VALUE"""),5.72E8)</f>
        <v>572000000</v>
      </c>
      <c r="P1701" s="15">
        <f>IFERROR(__xludf.DUMMYFUNCTION("ARRAYFORMULA(VLOOKUP(A1701,IMPORTRANGE(""https://docs.google.com/spreadsheets/d/1BuTWp7qHGjWhqrnf-OmePP568O4A5Am9ttzvVdP67zw/edit#gid=771602874"" ,""HUMAN RESOURCES!$A$2:$M$2692""), {2,3,4,5,6,7,8,9,10,11,12,13},0))"),0.024)</f>
        <v>0.024</v>
      </c>
      <c r="Q1701" s="14">
        <f>IFERROR(__xludf.DUMMYFUNCTION("""COMPUTED_VALUE"""),0.038)</f>
        <v>0.038</v>
      </c>
      <c r="R1701" s="14">
        <f>IFERROR(__xludf.DUMMYFUNCTION("""COMPUTED_VALUE"""),68.0)</f>
        <v>68</v>
      </c>
      <c r="S1701" s="14">
        <f>IFERROR(__xludf.DUMMYFUNCTION("""COMPUTED_VALUE"""),66.0)</f>
        <v>66</v>
      </c>
      <c r="T1701" s="14">
        <f>IFERROR(__xludf.DUMMYFUNCTION("""COMPUTED_VALUE"""),0.377)</f>
        <v>0.377</v>
      </c>
      <c r="U1701" s="14">
        <f>IFERROR(__xludf.DUMMYFUNCTION("""COMPUTED_VALUE"""),0.574)</f>
        <v>0.574</v>
      </c>
      <c r="V1701" s="14">
        <f>IFERROR(__xludf.DUMMYFUNCTION("""COMPUTED_VALUE"""),0.048)</f>
        <v>0.048</v>
      </c>
      <c r="W1701" s="14">
        <f>IFERROR(__xludf.DUMMYFUNCTION("""COMPUTED_VALUE"""),2.6544943E7)</f>
        <v>26544943</v>
      </c>
      <c r="X1701" s="14">
        <f>IFERROR(__xludf.DUMMYFUNCTION("""COMPUTED_VALUE"""),0.165)</f>
        <v>0.165</v>
      </c>
      <c r="Y1701" s="14" t="str">
        <f>IFERROR(__xludf.DUMMYFUNCTION("""COMPUTED_VALUE"""),"Nepal-Asia")</f>
        <v>Nepal-Asia</v>
      </c>
      <c r="Z1701" s="14" t="str">
        <f>IFERROR(__xludf.DUMMYFUNCTION("""COMPUTED_VALUE"""),"Asia")</f>
        <v>Asia</v>
      </c>
      <c r="AA1701" s="14" t="str">
        <f>IFERROR(__xludf.DUMMYFUNCTION("""COMPUTED_VALUE"""),"2009")</f>
        <v>2009</v>
      </c>
      <c r="AB1701" s="15" t="str">
        <f>IFERROR(__xludf.DUMMYFUNCTION("ARRAYFORMULA(VLOOKUP(A1701,IMPORTRANGE(""https://docs.google.com/spreadsheets/d/1BuTWp7qHGjWhqrnf-OmePP568O4A5Am9ttzvVdP67zw/edit#gid=1931367683"" ,""ENERGY!$A$2:$F$2692""), {2,3,4,5,6},0))"),"Asia")</f>
        <v>Asia</v>
      </c>
      <c r="AC1701" s="14" t="str">
        <f>IFERROR(__xludf.DUMMYFUNCTION("""COMPUTED_VALUE"""),"Nepal-Asia")</f>
        <v>Nepal-Asia</v>
      </c>
      <c r="AD1701" s="14" t="str">
        <f>IFERROR(__xludf.DUMMYFUNCTION("""COMPUTED_VALUE"""),"2011")</f>
        <v>2011</v>
      </c>
      <c r="AE1701" s="14">
        <f>IFERROR(__xludf.DUMMYFUNCTION("""COMPUTED_VALUE"""),8707.0)</f>
        <v>8707</v>
      </c>
      <c r="AF1701" s="14">
        <f>IFERROR(__xludf.DUMMYFUNCTION("""COMPUTED_VALUE"""),2952.0)</f>
        <v>2952</v>
      </c>
    </row>
    <row r="1702">
      <c r="A1702" s="12">
        <v>1701.0</v>
      </c>
      <c r="B1702" s="12" t="s">
        <v>209</v>
      </c>
      <c r="C1702" s="5" t="s">
        <v>61</v>
      </c>
      <c r="D1702" s="11">
        <v>0.317</v>
      </c>
      <c r="E1702" s="11">
        <v>31.0</v>
      </c>
      <c r="F1702" s="8"/>
      <c r="G1702" s="11">
        <v>338.0</v>
      </c>
      <c r="H1702" s="11">
        <v>0.079</v>
      </c>
      <c r="I1702" s="11">
        <v>0.343</v>
      </c>
      <c r="J1702" s="9" t="s">
        <v>71</v>
      </c>
      <c r="K1702" s="14" t="str">
        <f>IFERROR(__xludf.DUMMYFUNCTION("ARRAYFORMULA(VLOOKUP(A1702,IMPORTRANGE(""https://docs.google.com/spreadsheets/d/1BuTWp7qHGjWhqrnf-OmePP568O4A5Am9ttzvVdP67zw/edit#gid=1603210130"", ""TOURISM!$A$2:$F$2692""), {2,3,4,5,6},0))"),"Asia")</f>
        <v>Asia</v>
      </c>
      <c r="L1702" s="14">
        <f>IFERROR(__xludf.DUMMYFUNCTION("""COMPUTED_VALUE"""),3.78E8)</f>
        <v>378000000</v>
      </c>
      <c r="M1702" s="14" t="str">
        <f>IFERROR(__xludf.DUMMYFUNCTION("""COMPUTED_VALUE"""),"Nepal-Asia")</f>
        <v>Nepal-Asia</v>
      </c>
      <c r="N1702" s="14" t="str">
        <f>IFERROR(__xludf.DUMMYFUNCTION("""COMPUTED_VALUE"""),"2010")</f>
        <v>2010</v>
      </c>
      <c r="O1702" s="14">
        <f>IFERROR(__xludf.DUMMYFUNCTION("""COMPUTED_VALUE"""),5.28E8)</f>
        <v>528000000</v>
      </c>
      <c r="P1702" s="15">
        <f>IFERROR(__xludf.DUMMYFUNCTION("ARRAYFORMULA(VLOOKUP(A1702,IMPORTRANGE(""https://docs.google.com/spreadsheets/d/1BuTWp7qHGjWhqrnf-OmePP568O4A5Am9ttzvVdP67zw/edit#gid=771602874"" ,""HUMAN RESOURCES!$A$2:$M$2692""), {2,3,4,5,6,7,8,9,10,11,12,13},0))"),0.023)</f>
        <v>0.023</v>
      </c>
      <c r="Q1702" s="14">
        <f>IFERROR(__xludf.DUMMYFUNCTION("""COMPUTED_VALUE"""),0.036)</f>
        <v>0.036</v>
      </c>
      <c r="R1702" s="14">
        <f>IFERROR(__xludf.DUMMYFUNCTION("""COMPUTED_VALUE"""),68.0)</f>
        <v>68</v>
      </c>
      <c r="S1702" s="14">
        <f>IFERROR(__xludf.DUMMYFUNCTION("""COMPUTED_VALUE"""),66.0)</f>
        <v>66</v>
      </c>
      <c r="T1702" s="14">
        <f>IFERROR(__xludf.DUMMYFUNCTION("""COMPUTED_VALUE"""),0.371)</f>
        <v>0.371</v>
      </c>
      <c r="U1702" s="14">
        <f>IFERROR(__xludf.DUMMYFUNCTION("""COMPUTED_VALUE"""),0.58)</f>
        <v>0.58</v>
      </c>
      <c r="V1702" s="14">
        <f>IFERROR(__xludf.DUMMYFUNCTION("""COMPUTED_VALUE"""),0.049)</f>
        <v>0.049</v>
      </c>
      <c r="W1702" s="14">
        <f>IFERROR(__xludf.DUMMYFUNCTION("""COMPUTED_VALUE"""),2.6846016E7)</f>
        <v>26846016</v>
      </c>
      <c r="X1702" s="14">
        <f>IFERROR(__xludf.DUMMYFUNCTION("""COMPUTED_VALUE"""),0.168)</f>
        <v>0.168</v>
      </c>
      <c r="Y1702" s="14" t="str">
        <f>IFERROR(__xludf.DUMMYFUNCTION("""COMPUTED_VALUE"""),"Nepal-Asia")</f>
        <v>Nepal-Asia</v>
      </c>
      <c r="Z1702" s="14" t="str">
        <f>IFERROR(__xludf.DUMMYFUNCTION("""COMPUTED_VALUE"""),"Asia")</f>
        <v>Asia</v>
      </c>
      <c r="AA1702" s="14" t="str">
        <f>IFERROR(__xludf.DUMMYFUNCTION("""COMPUTED_VALUE"""),"2010")</f>
        <v>2010</v>
      </c>
      <c r="AB1702" s="15" t="str">
        <f>IFERROR(__xludf.DUMMYFUNCTION("ARRAYFORMULA(VLOOKUP(A1702,IMPORTRANGE(""https://docs.google.com/spreadsheets/d/1BuTWp7qHGjWhqrnf-OmePP568O4A5Am9ttzvVdP67zw/edit#gid=1931367683"" ,""ENERGY!$A$2:$F$2692""), {2,3,4,5,6},0))"),"Asia")</f>
        <v>Asia</v>
      </c>
      <c r="AC1702" s="14" t="str">
        <f>IFERROR(__xludf.DUMMYFUNCTION("""COMPUTED_VALUE"""),"Nepal-Asia")</f>
        <v>Nepal-Asia</v>
      </c>
      <c r="AD1702" s="14" t="str">
        <f>IFERROR(__xludf.DUMMYFUNCTION("""COMPUTED_VALUE"""),"2006")</f>
        <v>2006</v>
      </c>
      <c r="AE1702" s="14">
        <f>IFERROR(__xludf.DUMMYFUNCTION("""COMPUTED_VALUE"""),8467.0)</f>
        <v>8467</v>
      </c>
      <c r="AF1702" s="14">
        <f>IFERROR(__xludf.DUMMYFUNCTION("""COMPUTED_VALUE"""),2710.0)</f>
        <v>2710</v>
      </c>
    </row>
    <row r="1703">
      <c r="A1703" s="12">
        <v>1702.0</v>
      </c>
      <c r="B1703" s="12" t="s">
        <v>209</v>
      </c>
      <c r="C1703" s="5" t="s">
        <v>61</v>
      </c>
      <c r="D1703" s="11">
        <v>0.315</v>
      </c>
      <c r="E1703" s="11">
        <v>29.0</v>
      </c>
      <c r="F1703" s="8"/>
      <c r="G1703" s="11">
        <v>326.0</v>
      </c>
      <c r="H1703" s="11">
        <v>0.09</v>
      </c>
      <c r="I1703" s="11">
        <v>0.492</v>
      </c>
      <c r="J1703" s="9" t="s">
        <v>72</v>
      </c>
      <c r="K1703" s="14" t="str">
        <f>IFERROR(__xludf.DUMMYFUNCTION("ARRAYFORMULA(VLOOKUP(A1703,IMPORTRANGE(""https://docs.google.com/spreadsheets/d/1BuTWp7qHGjWhqrnf-OmePP568O4A5Am9ttzvVdP67zw/edit#gid=1603210130"", ""TOURISM!$A$2:$F$2692""), {2,3,4,5,6},0))"),"Asia")</f>
        <v>Asia</v>
      </c>
      <c r="L1703" s="14">
        <f>IFERROR(__xludf.DUMMYFUNCTION("""COMPUTED_VALUE"""),4.15E8)</f>
        <v>415000000</v>
      </c>
      <c r="M1703" s="14" t="str">
        <f>IFERROR(__xludf.DUMMYFUNCTION("""COMPUTED_VALUE"""),"Nepal-Asia")</f>
        <v>Nepal-Asia</v>
      </c>
      <c r="N1703" s="14" t="str">
        <f>IFERROR(__xludf.DUMMYFUNCTION("""COMPUTED_VALUE"""),"2011")</f>
        <v>2011</v>
      </c>
      <c r="O1703" s="14">
        <f>IFERROR(__xludf.DUMMYFUNCTION("""COMPUTED_VALUE"""),4.2E8)</f>
        <v>420000000</v>
      </c>
      <c r="P1703" s="15">
        <f>IFERROR(__xludf.DUMMYFUNCTION("ARRAYFORMULA(VLOOKUP(A1703,IMPORTRANGE(""https://docs.google.com/spreadsheets/d/1BuTWp7qHGjWhqrnf-OmePP568O4A5Am9ttzvVdP67zw/edit#gid=771602874"" ,""HUMAN RESOURCES!$A$2:$M$2692""), {2,3,4,5,6,7,8,9,10,11,12,13},0))"),0.022)</f>
        <v>0.022</v>
      </c>
      <c r="Q1703" s="14">
        <f>IFERROR(__xludf.DUMMYFUNCTION("""COMPUTED_VALUE"""),0.035)</f>
        <v>0.035</v>
      </c>
      <c r="R1703" s="14">
        <f>IFERROR(__xludf.DUMMYFUNCTION("""COMPUTED_VALUE"""),69.0)</f>
        <v>69</v>
      </c>
      <c r="S1703" s="14">
        <f>IFERROR(__xludf.DUMMYFUNCTION("""COMPUTED_VALUE"""),66.0)</f>
        <v>66</v>
      </c>
      <c r="T1703" s="14">
        <f>IFERROR(__xludf.DUMMYFUNCTION("""COMPUTED_VALUE"""),0.364)</f>
        <v>0.364</v>
      </c>
      <c r="U1703" s="14">
        <f>IFERROR(__xludf.DUMMYFUNCTION("""COMPUTED_VALUE"""),0.586)</f>
        <v>0.586</v>
      </c>
      <c r="V1703" s="14">
        <f>IFERROR(__xludf.DUMMYFUNCTION("""COMPUTED_VALUE"""),0.05)</f>
        <v>0.05</v>
      </c>
      <c r="W1703" s="14">
        <f>IFERROR(__xludf.DUMMYFUNCTION("""COMPUTED_VALUE"""),2.7156367E7)</f>
        <v>27156367</v>
      </c>
      <c r="X1703" s="14">
        <f>IFERROR(__xludf.DUMMYFUNCTION("""COMPUTED_VALUE"""),0.172)</f>
        <v>0.172</v>
      </c>
      <c r="Y1703" s="14" t="str">
        <f>IFERROR(__xludf.DUMMYFUNCTION("""COMPUTED_VALUE"""),"Nepal-Asia")</f>
        <v>Nepal-Asia</v>
      </c>
      <c r="Z1703" s="14" t="str">
        <f>IFERROR(__xludf.DUMMYFUNCTION("""COMPUTED_VALUE"""),"Asia")</f>
        <v>Asia</v>
      </c>
      <c r="AA1703" s="14" t="str">
        <f>IFERROR(__xludf.DUMMYFUNCTION("""COMPUTED_VALUE"""),"2011")</f>
        <v>2011</v>
      </c>
      <c r="AB1703" s="15" t="str">
        <f>IFERROR(__xludf.DUMMYFUNCTION("ARRAYFORMULA(VLOOKUP(A1703,IMPORTRANGE(""https://docs.google.com/spreadsheets/d/1BuTWp7qHGjWhqrnf-OmePP568O4A5Am9ttzvVdP67zw/edit#gid=1931367683"" ,""ENERGY!$A$2:$F$2692""), {2,3,4,5,6},0))"),"Asia")</f>
        <v>Asia</v>
      </c>
      <c r="AC1703" s="14" t="str">
        <f>IFERROR(__xludf.DUMMYFUNCTION("""COMPUTED_VALUE"""),"Nepal-Asia")</f>
        <v>Nepal-Asia</v>
      </c>
      <c r="AD1703" s="14" t="str">
        <f>IFERROR(__xludf.DUMMYFUNCTION("""COMPUTED_VALUE"""),"2006")</f>
        <v>2006</v>
      </c>
      <c r="AE1703" s="14">
        <f>IFERROR(__xludf.DUMMYFUNCTION("""COMPUTED_VALUE"""),8375.0)</f>
        <v>8375</v>
      </c>
      <c r="AF1703" s="14">
        <f>IFERROR(__xludf.DUMMYFUNCTION("""COMPUTED_VALUE"""),3454.0)</f>
        <v>3454</v>
      </c>
    </row>
    <row r="1704">
      <c r="A1704" s="12">
        <v>1703.0</v>
      </c>
      <c r="B1704" s="12" t="s">
        <v>209</v>
      </c>
      <c r="C1704" s="5" t="s">
        <v>61</v>
      </c>
      <c r="D1704" s="11">
        <v>0.315</v>
      </c>
      <c r="E1704" s="11">
        <v>29.0</v>
      </c>
      <c r="F1704" s="11">
        <v>103.0</v>
      </c>
      <c r="G1704" s="11">
        <v>326.0</v>
      </c>
      <c r="H1704" s="11">
        <v>0.111</v>
      </c>
      <c r="I1704" s="11">
        <v>0.605</v>
      </c>
      <c r="J1704" s="9" t="s">
        <v>73</v>
      </c>
      <c r="K1704" s="14" t="str">
        <f>IFERROR(__xludf.DUMMYFUNCTION("ARRAYFORMULA(VLOOKUP(A1704,IMPORTRANGE(""https://docs.google.com/spreadsheets/d/1BuTWp7qHGjWhqrnf-OmePP568O4A5Am9ttzvVdP67zw/edit#gid=1603210130"", ""TOURISM!$A$2:$F$2692""), {2,3,4,5,6},0))"),"Asia")</f>
        <v>Asia</v>
      </c>
      <c r="L1704" s="14">
        <f>IFERROR(__xludf.DUMMYFUNCTION("""COMPUTED_VALUE"""),3.79E8)</f>
        <v>379000000</v>
      </c>
      <c r="M1704" s="14" t="str">
        <f>IFERROR(__xludf.DUMMYFUNCTION("""COMPUTED_VALUE"""),"Nepal-Asia")</f>
        <v>Nepal-Asia</v>
      </c>
      <c r="N1704" s="14" t="str">
        <f>IFERROR(__xludf.DUMMYFUNCTION("""COMPUTED_VALUE"""),"2012")</f>
        <v>2012</v>
      </c>
      <c r="O1704" s="14">
        <f>IFERROR(__xludf.DUMMYFUNCTION("""COMPUTED_VALUE"""),5.61E8)</f>
        <v>561000000</v>
      </c>
      <c r="P1704" s="15">
        <f>IFERROR(__xludf.DUMMYFUNCTION("ARRAYFORMULA(VLOOKUP(A1704,IMPORTRANGE(""https://docs.google.com/spreadsheets/d/1BuTWp7qHGjWhqrnf-OmePP568O4A5Am9ttzvVdP67zw/edit#gid=771602874"" ,""HUMAN RESOURCES!$A$2:$M$2692""), {2,3,4,5,6,7,8,9,10,11,12,13},0))"),0.022)</f>
        <v>0.022</v>
      </c>
      <c r="Q1704" s="14">
        <f>IFERROR(__xludf.DUMMYFUNCTION("""COMPUTED_VALUE"""),0.033)</f>
        <v>0.033</v>
      </c>
      <c r="R1704" s="14">
        <f>IFERROR(__xludf.DUMMYFUNCTION("""COMPUTED_VALUE"""),69.0)</f>
        <v>69</v>
      </c>
      <c r="S1704" s="14">
        <f>IFERROR(__xludf.DUMMYFUNCTION("""COMPUTED_VALUE"""),67.0)</f>
        <v>67</v>
      </c>
      <c r="T1704" s="14">
        <f>IFERROR(__xludf.DUMMYFUNCTION("""COMPUTED_VALUE"""),0.356)</f>
        <v>0.356</v>
      </c>
      <c r="U1704" s="14">
        <f>IFERROR(__xludf.DUMMYFUNCTION("""COMPUTED_VALUE"""),0.594)</f>
        <v>0.594</v>
      </c>
      <c r="V1704" s="14">
        <f>IFERROR(__xludf.DUMMYFUNCTION("""COMPUTED_VALUE"""),0.051)</f>
        <v>0.051</v>
      </c>
      <c r="W1704" s="14">
        <f>IFERROR(__xludf.DUMMYFUNCTION("""COMPUTED_VALUE"""),2.7474377E7)</f>
        <v>27474377</v>
      </c>
      <c r="X1704" s="14">
        <f>IFERROR(__xludf.DUMMYFUNCTION("""COMPUTED_VALUE"""),0.175)</f>
        <v>0.175</v>
      </c>
      <c r="Y1704" s="14" t="str">
        <f>IFERROR(__xludf.DUMMYFUNCTION("""COMPUTED_VALUE"""),"Nepal-Asia")</f>
        <v>Nepal-Asia</v>
      </c>
      <c r="Z1704" s="14" t="str">
        <f>IFERROR(__xludf.DUMMYFUNCTION("""COMPUTED_VALUE"""),"Asia")</f>
        <v>Asia</v>
      </c>
      <c r="AA1704" s="14" t="str">
        <f>IFERROR(__xludf.DUMMYFUNCTION("""COMPUTED_VALUE"""),"2012")</f>
        <v>2012</v>
      </c>
      <c r="AB1704" s="15" t="str">
        <f>IFERROR(__xludf.DUMMYFUNCTION("ARRAYFORMULA(VLOOKUP(A1704,IMPORTRANGE(""https://docs.google.com/spreadsheets/d/1BuTWp7qHGjWhqrnf-OmePP568O4A5Am9ttzvVdP67zw/edit#gid=1931367683"" ,""ENERGY!$A$2:$F$2692""), {2,3,4,5,6},0))"),"Asia")</f>
        <v>Asia</v>
      </c>
      <c r="AC1704" s="14" t="str">
        <f>IFERROR(__xludf.DUMMYFUNCTION("""COMPUTED_VALUE"""),"Nepal-Asia")</f>
        <v>Nepal-Asia</v>
      </c>
      <c r="AD1704" s="14" t="str">
        <f>IFERROR(__xludf.DUMMYFUNCTION("""COMPUTED_VALUE"""),"2011")</f>
        <v>2011</v>
      </c>
      <c r="AE1704" s="14">
        <f>IFERROR(__xludf.DUMMYFUNCTION("""COMPUTED_VALUE"""),8108.0)</f>
        <v>8108</v>
      </c>
      <c r="AF1704" s="14">
        <f>IFERROR(__xludf.DUMMYFUNCTION("""COMPUTED_VALUE"""),3234.0)</f>
        <v>3234</v>
      </c>
    </row>
    <row r="1705">
      <c r="A1705" s="12">
        <v>1704.0</v>
      </c>
      <c r="B1705" s="12" t="s">
        <v>210</v>
      </c>
      <c r="C1705" s="5" t="s">
        <v>75</v>
      </c>
      <c r="D1705" s="8"/>
      <c r="E1705" s="8"/>
      <c r="F1705" s="8"/>
      <c r="G1705" s="8"/>
      <c r="H1705" s="11">
        <v>0.44</v>
      </c>
      <c r="I1705" s="11">
        <v>0.678</v>
      </c>
      <c r="J1705" s="9" t="s">
        <v>60</v>
      </c>
      <c r="K1705" s="14" t="str">
        <f>IFERROR(__xludf.DUMMYFUNCTION("ARRAYFORMULA(VLOOKUP(A1705,IMPORTRANGE(""https://docs.google.com/spreadsheets/d/1BuTWp7qHGjWhqrnf-OmePP568O4A5Am9ttzvVdP67zw/edit#gid=1603210130"", ""TOURISM!$A$2:$F$2692""), {2,3,4,5,6},0))"),"Europe")</f>
        <v>Europe</v>
      </c>
      <c r="L1705" s="14">
        <f>IFERROR(__xludf.DUMMYFUNCTION("""COMPUTED_VALUE"""),1.1285E10)</f>
        <v>11285000000</v>
      </c>
      <c r="M1705" s="14" t="str">
        <f>IFERROR(__xludf.DUMMYFUNCTION("""COMPUTED_VALUE"""),"Netherlands-Europe")</f>
        <v>Netherlands-Europe</v>
      </c>
      <c r="N1705" s="14" t="str">
        <f>IFERROR(__xludf.DUMMYFUNCTION("""COMPUTED_VALUE"""),"2000")</f>
        <v>2000</v>
      </c>
      <c r="O1705" s="14">
        <f>IFERROR(__xludf.DUMMYFUNCTION("""COMPUTED_VALUE"""),1.3649E10)</f>
        <v>13649000000</v>
      </c>
      <c r="P1705" s="15">
        <f>IFERROR(__xludf.DUMMYFUNCTION("ARRAYFORMULA(VLOOKUP(A1705,IMPORTRANGE(""https://docs.google.com/spreadsheets/d/1BuTWp7qHGjWhqrnf-OmePP568O4A5Am9ttzvVdP67zw/edit#gid=771602874"" ,""HUMAN RESOURCES!$A$2:$M$2692""), {2,3,4,5,6,7,8,9,10,11,12,13},0))"),0.013)</f>
        <v>0.013</v>
      </c>
      <c r="Q1705" s="14">
        <f>IFERROR(__xludf.DUMMYFUNCTION("""COMPUTED_VALUE"""),0.005)</f>
        <v>0.005</v>
      </c>
      <c r="R1705" s="14">
        <f>IFERROR(__xludf.DUMMYFUNCTION("""COMPUTED_VALUE"""),81.0)</f>
        <v>81</v>
      </c>
      <c r="S1705" s="14">
        <f>IFERROR(__xludf.DUMMYFUNCTION("""COMPUTED_VALUE"""),76.0)</f>
        <v>76</v>
      </c>
      <c r="T1705" s="14">
        <f>IFERROR(__xludf.DUMMYFUNCTION("""COMPUTED_VALUE"""),0.186)</f>
        <v>0.186</v>
      </c>
      <c r="U1705" s="14">
        <f>IFERROR(__xludf.DUMMYFUNCTION("""COMPUTED_VALUE"""),0.679)</f>
        <v>0.679</v>
      </c>
      <c r="V1705" s="14">
        <f>IFERROR(__xludf.DUMMYFUNCTION("""COMPUTED_VALUE"""),0.136)</f>
        <v>0.136</v>
      </c>
      <c r="W1705" s="14">
        <f>IFERROR(__xludf.DUMMYFUNCTION("""COMPUTED_VALUE"""),1.5925513E7)</f>
        <v>15925513</v>
      </c>
      <c r="X1705" s="14">
        <f>IFERROR(__xludf.DUMMYFUNCTION("""COMPUTED_VALUE"""),0.768)</f>
        <v>0.768</v>
      </c>
      <c r="Y1705" s="14" t="str">
        <f>IFERROR(__xludf.DUMMYFUNCTION("""COMPUTED_VALUE"""),"Netherlands-Europe")</f>
        <v>Netherlands-Europe</v>
      </c>
      <c r="Z1705" s="14" t="str">
        <f>IFERROR(__xludf.DUMMYFUNCTION("""COMPUTED_VALUE"""),"Europe")</f>
        <v>Europe</v>
      </c>
      <c r="AA1705" s="14" t="str">
        <f>IFERROR(__xludf.DUMMYFUNCTION("""COMPUTED_VALUE"""),"2000")</f>
        <v>2000</v>
      </c>
      <c r="AB1705" s="15" t="str">
        <f>IFERROR(__xludf.DUMMYFUNCTION("ARRAYFORMULA(VLOOKUP(A1705,IMPORTRANGE(""https://docs.google.com/spreadsheets/d/1BuTWp7qHGjWhqrnf-OmePP568O4A5Am9ttzvVdP67zw/edit#gid=1931367683"" ,""ENERGY!$A$2:$F$2692""), {2,3,4,5,6},0))"),"Europe")</f>
        <v>Europe</v>
      </c>
      <c r="AC1705" s="14" t="str">
        <f>IFERROR(__xludf.DUMMYFUNCTION("""COMPUTED_VALUE"""),"Netherlands-Europe")</f>
        <v>Netherlands-Europe</v>
      </c>
      <c r="AD1705" s="14" t="str">
        <f>IFERROR(__xludf.DUMMYFUNCTION("""COMPUTED_VALUE"""),"2000")</f>
        <v>2000</v>
      </c>
      <c r="AE1705" s="14">
        <f>IFERROR(__xludf.DUMMYFUNCTION("""COMPUTED_VALUE"""),78220.0)</f>
        <v>78220</v>
      </c>
      <c r="AF1705" s="14"/>
    </row>
    <row r="1706">
      <c r="A1706" s="12">
        <v>1705.0</v>
      </c>
      <c r="B1706" s="12" t="s">
        <v>210</v>
      </c>
      <c r="C1706" s="5" t="s">
        <v>75</v>
      </c>
      <c r="D1706" s="8"/>
      <c r="E1706" s="8"/>
      <c r="F1706" s="8"/>
      <c r="G1706" s="8"/>
      <c r="H1706" s="11">
        <v>0.494</v>
      </c>
      <c r="I1706" s="11">
        <v>0.765</v>
      </c>
      <c r="J1706" s="9" t="s">
        <v>62</v>
      </c>
      <c r="K1706" s="14" t="str">
        <f>IFERROR(__xludf.DUMMYFUNCTION("ARRAYFORMULA(VLOOKUP(A1706,IMPORTRANGE(""https://docs.google.com/spreadsheets/d/1BuTWp7qHGjWhqrnf-OmePP568O4A5Am9ttzvVdP67zw/edit#gid=1603210130"", ""TOURISM!$A$2:$F$2692""), {2,3,4,5,6},0))"),"Europe")</f>
        <v>Europe</v>
      </c>
      <c r="L1706" s="14">
        <f>IFERROR(__xludf.DUMMYFUNCTION("""COMPUTED_VALUE"""),1.1147E10)</f>
        <v>11147000000</v>
      </c>
      <c r="M1706" s="14" t="str">
        <f>IFERROR(__xludf.DUMMYFUNCTION("""COMPUTED_VALUE"""),"Netherlands-Europe")</f>
        <v>Netherlands-Europe</v>
      </c>
      <c r="N1706" s="14" t="str">
        <f>IFERROR(__xludf.DUMMYFUNCTION("""COMPUTED_VALUE"""),"2001")</f>
        <v>2001</v>
      </c>
      <c r="O1706" s="14">
        <f>IFERROR(__xludf.DUMMYFUNCTION("""COMPUTED_VALUE"""),1.3061E10)</f>
        <v>13061000000</v>
      </c>
      <c r="P1706" s="15">
        <f>IFERROR(__xludf.DUMMYFUNCTION("ARRAYFORMULA(VLOOKUP(A1706,IMPORTRANGE(""https://docs.google.com/spreadsheets/d/1BuTWp7qHGjWhqrnf-OmePP568O4A5Am9ttzvVdP67zw/edit#gid=771602874"" ,""HUMAN RESOURCES!$A$2:$M$2692""), {2,3,4,5,6,7,8,9,10,11,12,13},0))"),0.013)</f>
        <v>0.013</v>
      </c>
      <c r="Q1706" s="14">
        <f>IFERROR(__xludf.DUMMYFUNCTION("""COMPUTED_VALUE"""),0.005)</f>
        <v>0.005</v>
      </c>
      <c r="R1706" s="14">
        <f>IFERROR(__xludf.DUMMYFUNCTION("""COMPUTED_VALUE"""),81.0)</f>
        <v>81</v>
      </c>
      <c r="S1706" s="14">
        <f>IFERROR(__xludf.DUMMYFUNCTION("""COMPUTED_VALUE"""),76.0)</f>
        <v>76</v>
      </c>
      <c r="T1706" s="14">
        <f>IFERROR(__xludf.DUMMYFUNCTION("""COMPUTED_VALUE"""),0.186)</f>
        <v>0.186</v>
      </c>
      <c r="U1706" s="14">
        <f>IFERROR(__xludf.DUMMYFUNCTION("""COMPUTED_VALUE"""),0.678)</f>
        <v>0.678</v>
      </c>
      <c r="V1706" s="14">
        <f>IFERROR(__xludf.DUMMYFUNCTION("""COMPUTED_VALUE"""),0.136)</f>
        <v>0.136</v>
      </c>
      <c r="W1706" s="14">
        <f>IFERROR(__xludf.DUMMYFUNCTION("""COMPUTED_VALUE"""),1.604618E7)</f>
        <v>16046180</v>
      </c>
      <c r="X1706" s="14">
        <f>IFERROR(__xludf.DUMMYFUNCTION("""COMPUTED_VALUE"""),0.778)</f>
        <v>0.778</v>
      </c>
      <c r="Y1706" s="14" t="str">
        <f>IFERROR(__xludf.DUMMYFUNCTION("""COMPUTED_VALUE"""),"Netherlands-Europe")</f>
        <v>Netherlands-Europe</v>
      </c>
      <c r="Z1706" s="14" t="str">
        <f>IFERROR(__xludf.DUMMYFUNCTION("""COMPUTED_VALUE"""),"Europe")</f>
        <v>Europe</v>
      </c>
      <c r="AA1706" s="14" t="str">
        <f>IFERROR(__xludf.DUMMYFUNCTION("""COMPUTED_VALUE"""),"2001")</f>
        <v>2001</v>
      </c>
      <c r="AB1706" s="15" t="str">
        <f>IFERROR(__xludf.DUMMYFUNCTION("ARRAYFORMULA(VLOOKUP(A1706,IMPORTRANGE(""https://docs.google.com/spreadsheets/d/1BuTWp7qHGjWhqrnf-OmePP568O4A5Am9ttzvVdP67zw/edit#gid=1931367683"" ,""ENERGY!$A$2:$F$2692""), {2,3,4,5,6},0))"),"Europe")</f>
        <v>Europe</v>
      </c>
      <c r="AC1706" s="14" t="str">
        <f>IFERROR(__xludf.DUMMYFUNCTION("""COMPUTED_VALUE"""),"Netherlands-Europe")</f>
        <v>Netherlands-Europe</v>
      </c>
      <c r="AD1706" s="14" t="str">
        <f>IFERROR(__xludf.DUMMYFUNCTION("""COMPUTED_VALUE"""),"2001")</f>
        <v>2001</v>
      </c>
      <c r="AE1706" s="14">
        <f>IFERROR(__xludf.DUMMYFUNCTION("""COMPUTED_VALUE"""),77419.0)</f>
        <v>77419</v>
      </c>
      <c r="AF1706" s="14"/>
    </row>
    <row r="1707">
      <c r="A1707" s="12">
        <v>1706.0</v>
      </c>
      <c r="B1707" s="12" t="s">
        <v>210</v>
      </c>
      <c r="C1707" s="5" t="s">
        <v>75</v>
      </c>
      <c r="D1707" s="8"/>
      <c r="E1707" s="8"/>
      <c r="F1707" s="8"/>
      <c r="G1707" s="8"/>
      <c r="H1707" s="11">
        <v>0.613</v>
      </c>
      <c r="I1707" s="11">
        <v>0.754</v>
      </c>
      <c r="J1707" s="9" t="s">
        <v>63</v>
      </c>
      <c r="K1707" s="14" t="str">
        <f>IFERROR(__xludf.DUMMYFUNCTION("ARRAYFORMULA(VLOOKUP(A1707,IMPORTRANGE(""https://docs.google.com/spreadsheets/d/1BuTWp7qHGjWhqrnf-OmePP568O4A5Am9ttzvVdP67zw/edit#gid=1603210130"", ""TOURISM!$A$2:$F$2692""), {2,3,4,5,6},0))"),"Europe")</f>
        <v>Europe</v>
      </c>
      <c r="L1707" s="14">
        <f>IFERROR(__xludf.DUMMYFUNCTION("""COMPUTED_VALUE"""),1.1745E10)</f>
        <v>11745000000</v>
      </c>
      <c r="M1707" s="14" t="str">
        <f>IFERROR(__xludf.DUMMYFUNCTION("""COMPUTED_VALUE"""),"Netherlands-Europe")</f>
        <v>Netherlands-Europe</v>
      </c>
      <c r="N1707" s="14" t="str">
        <f>IFERROR(__xludf.DUMMYFUNCTION("""COMPUTED_VALUE"""),"2002")</f>
        <v>2002</v>
      </c>
      <c r="O1707" s="14">
        <f>IFERROR(__xludf.DUMMYFUNCTION("""COMPUTED_VALUE"""),1.4201E10)</f>
        <v>14201000000</v>
      </c>
      <c r="P1707" s="15">
        <f>IFERROR(__xludf.DUMMYFUNCTION("ARRAYFORMULA(VLOOKUP(A1707,IMPORTRANGE(""https://docs.google.com/spreadsheets/d/1BuTWp7qHGjWhqrnf-OmePP568O4A5Am9ttzvVdP67zw/edit#gid=771602874"" ,""HUMAN RESOURCES!$A$2:$M$2692""), {2,3,4,5,6,7,8,9,10,11,12,13},0))"),0.013)</f>
        <v>0.013</v>
      </c>
      <c r="Q1707" s="14">
        <f>IFERROR(__xludf.DUMMYFUNCTION("""COMPUTED_VALUE"""),0.005)</f>
        <v>0.005</v>
      </c>
      <c r="R1707" s="14">
        <f>IFERROR(__xludf.DUMMYFUNCTION("""COMPUTED_VALUE"""),81.0)</f>
        <v>81</v>
      </c>
      <c r="S1707" s="14">
        <f>IFERROR(__xludf.DUMMYFUNCTION("""COMPUTED_VALUE"""),76.0)</f>
        <v>76</v>
      </c>
      <c r="T1707" s="14">
        <f>IFERROR(__xludf.DUMMYFUNCTION("""COMPUTED_VALUE"""),0.186)</f>
        <v>0.186</v>
      </c>
      <c r="U1707" s="14">
        <f>IFERROR(__xludf.DUMMYFUNCTION("""COMPUTED_VALUE"""),0.677)</f>
        <v>0.677</v>
      </c>
      <c r="V1707" s="14">
        <f>IFERROR(__xludf.DUMMYFUNCTION("""COMPUTED_VALUE"""),0.137)</f>
        <v>0.137</v>
      </c>
      <c r="W1707" s="14">
        <f>IFERROR(__xludf.DUMMYFUNCTION("""COMPUTED_VALUE"""),1.6148929E7)</f>
        <v>16148929</v>
      </c>
      <c r="X1707" s="14">
        <f>IFERROR(__xludf.DUMMYFUNCTION("""COMPUTED_VALUE"""),0.791)</f>
        <v>0.791</v>
      </c>
      <c r="Y1707" s="14" t="str">
        <f>IFERROR(__xludf.DUMMYFUNCTION("""COMPUTED_VALUE"""),"Netherlands-Europe")</f>
        <v>Netherlands-Europe</v>
      </c>
      <c r="Z1707" s="14" t="str">
        <f>IFERROR(__xludf.DUMMYFUNCTION("""COMPUTED_VALUE"""),"Europe")</f>
        <v>Europe</v>
      </c>
      <c r="AA1707" s="14" t="str">
        <f>IFERROR(__xludf.DUMMYFUNCTION("""COMPUTED_VALUE"""),"2002")</f>
        <v>2002</v>
      </c>
      <c r="AB1707" s="15" t="str">
        <f>IFERROR(__xludf.DUMMYFUNCTION("ARRAYFORMULA(VLOOKUP(A1707,IMPORTRANGE(""https://docs.google.com/spreadsheets/d/1BuTWp7qHGjWhqrnf-OmePP568O4A5Am9ttzvVdP67zw/edit#gid=1931367683"" ,""ENERGY!$A$2:$F$2692""), {2,3,4,5,6},0))"),"Europe")</f>
        <v>Europe</v>
      </c>
      <c r="AC1707" s="14" t="str">
        <f>IFERROR(__xludf.DUMMYFUNCTION("""COMPUTED_VALUE"""),"Netherlands-Europe")</f>
        <v>Netherlands-Europe</v>
      </c>
      <c r="AD1707" s="14" t="str">
        <f>IFERROR(__xludf.DUMMYFUNCTION("""COMPUTED_VALUE"""),"2002")</f>
        <v>2002</v>
      </c>
      <c r="AE1707" s="14">
        <f>IFERROR(__xludf.DUMMYFUNCTION("""COMPUTED_VALUE"""),83426.0)</f>
        <v>83426</v>
      </c>
      <c r="AF1707" s="14">
        <f>IFERROR(__xludf.DUMMYFUNCTION("""COMPUTED_VALUE"""),182078.0)</f>
        <v>182078</v>
      </c>
    </row>
    <row r="1708">
      <c r="A1708" s="12">
        <v>1707.0</v>
      </c>
      <c r="B1708" s="12" t="s">
        <v>210</v>
      </c>
      <c r="C1708" s="5" t="s">
        <v>75</v>
      </c>
      <c r="D1708" s="8"/>
      <c r="E1708" s="11">
        <v>9.0</v>
      </c>
      <c r="F1708" s="8"/>
      <c r="G1708" s="8"/>
      <c r="H1708" s="11">
        <v>0.644</v>
      </c>
      <c r="I1708" s="11">
        <v>0.818</v>
      </c>
      <c r="J1708" s="9" t="s">
        <v>64</v>
      </c>
      <c r="K1708" s="14" t="str">
        <f>IFERROR(__xludf.DUMMYFUNCTION("ARRAYFORMULA(VLOOKUP(A1708,IMPORTRANGE(""https://docs.google.com/spreadsheets/d/1BuTWp7qHGjWhqrnf-OmePP568O4A5Am9ttzvVdP67zw/edit#gid=1603210130"", ""TOURISM!$A$2:$F$2692""), {2,3,4,5,6},0))"),"Europe")</f>
        <v>Europe</v>
      </c>
      <c r="L1708" s="14">
        <f>IFERROR(__xludf.DUMMYFUNCTION("""COMPUTED_VALUE"""),1.4603E10)</f>
        <v>14603000000</v>
      </c>
      <c r="M1708" s="14" t="str">
        <f>IFERROR(__xludf.DUMMYFUNCTION("""COMPUTED_VALUE"""),"Netherlands-Europe")</f>
        <v>Netherlands-Europe</v>
      </c>
      <c r="N1708" s="14" t="str">
        <f>IFERROR(__xludf.DUMMYFUNCTION("""COMPUTED_VALUE"""),"2003")</f>
        <v>2003</v>
      </c>
      <c r="O1708" s="14">
        <f>IFERROR(__xludf.DUMMYFUNCTION("""COMPUTED_VALUE"""),1.5887E10)</f>
        <v>15887000000</v>
      </c>
      <c r="P1708" s="15">
        <f>IFERROR(__xludf.DUMMYFUNCTION("ARRAYFORMULA(VLOOKUP(A1708,IMPORTRANGE(""https://docs.google.com/spreadsheets/d/1BuTWp7qHGjWhqrnf-OmePP568O4A5Am9ttzvVdP67zw/edit#gid=771602874"" ,""HUMAN RESOURCES!$A$2:$M$2692""), {2,3,4,5,6,7,8,9,10,11,12,13},0))"),0.012)</f>
        <v>0.012</v>
      </c>
      <c r="Q1708" s="14">
        <f>IFERROR(__xludf.DUMMYFUNCTION("""COMPUTED_VALUE"""),0.005)</f>
        <v>0.005</v>
      </c>
      <c r="R1708" s="14">
        <f>IFERROR(__xludf.DUMMYFUNCTION("""COMPUTED_VALUE"""),81.0)</f>
        <v>81</v>
      </c>
      <c r="S1708" s="14">
        <f>IFERROR(__xludf.DUMMYFUNCTION("""COMPUTED_VALUE"""),76.0)</f>
        <v>76</v>
      </c>
      <c r="T1708" s="14">
        <f>IFERROR(__xludf.DUMMYFUNCTION("""COMPUTED_VALUE"""),0.186)</f>
        <v>0.186</v>
      </c>
      <c r="U1708" s="14">
        <f>IFERROR(__xludf.DUMMYFUNCTION("""COMPUTED_VALUE"""),0.676)</f>
        <v>0.676</v>
      </c>
      <c r="V1708" s="14">
        <f>IFERROR(__xludf.DUMMYFUNCTION("""COMPUTED_VALUE"""),0.138)</f>
        <v>0.138</v>
      </c>
      <c r="W1708" s="14">
        <f>IFERROR(__xludf.DUMMYFUNCTION("""COMPUTED_VALUE"""),1.6225302E7)</f>
        <v>16225302</v>
      </c>
      <c r="X1708" s="14">
        <f>IFERROR(__xludf.DUMMYFUNCTION("""COMPUTED_VALUE"""),0.803)</f>
        <v>0.803</v>
      </c>
      <c r="Y1708" s="14" t="str">
        <f>IFERROR(__xludf.DUMMYFUNCTION("""COMPUTED_VALUE"""),"Netherlands-Europe")</f>
        <v>Netherlands-Europe</v>
      </c>
      <c r="Z1708" s="14" t="str">
        <f>IFERROR(__xludf.DUMMYFUNCTION("""COMPUTED_VALUE"""),"Europe")</f>
        <v>Europe</v>
      </c>
      <c r="AA1708" s="14" t="str">
        <f>IFERROR(__xludf.DUMMYFUNCTION("""COMPUTED_VALUE"""),"2003")</f>
        <v>2003</v>
      </c>
      <c r="AB1708" s="15" t="str">
        <f>IFERROR(__xludf.DUMMYFUNCTION("ARRAYFORMULA(VLOOKUP(A1708,IMPORTRANGE(""https://docs.google.com/spreadsheets/d/1BuTWp7qHGjWhqrnf-OmePP568O4A5Am9ttzvVdP67zw/edit#gid=1931367683"" ,""ENERGY!$A$2:$F$2692""), {2,3,4,5,6},0))"),"Europe")</f>
        <v>Europe</v>
      </c>
      <c r="AC1708" s="14" t="str">
        <f>IFERROR(__xludf.DUMMYFUNCTION("""COMPUTED_VALUE"""),"Netherlands-Europe")</f>
        <v>Netherlands-Europe</v>
      </c>
      <c r="AD1708" s="14" t="str">
        <f>IFERROR(__xludf.DUMMYFUNCTION("""COMPUTED_VALUE"""),"2003")</f>
        <v>2003</v>
      </c>
      <c r="AE1708" s="14">
        <f>IFERROR(__xludf.DUMMYFUNCTION("""COMPUTED_VALUE"""),78175.0)</f>
        <v>78175</v>
      </c>
      <c r="AF1708" s="14">
        <f>IFERROR(__xludf.DUMMYFUNCTION("""COMPUTED_VALUE"""),169650.0)</f>
        <v>169650</v>
      </c>
    </row>
    <row r="1709">
      <c r="A1709" s="12">
        <v>1708.0</v>
      </c>
      <c r="B1709" s="12" t="s">
        <v>210</v>
      </c>
      <c r="C1709" s="5" t="s">
        <v>75</v>
      </c>
      <c r="D1709" s="8"/>
      <c r="E1709" s="11">
        <v>9.0</v>
      </c>
      <c r="F1709" s="8"/>
      <c r="G1709" s="8"/>
      <c r="H1709" s="11">
        <v>0.685</v>
      </c>
      <c r="I1709" s="11">
        <v>0.912</v>
      </c>
      <c r="J1709" s="9" t="s">
        <v>65</v>
      </c>
      <c r="K1709" s="14" t="str">
        <f>IFERROR(__xludf.DUMMYFUNCTION("ARRAYFORMULA(VLOOKUP(A1709,IMPORTRANGE(""https://docs.google.com/spreadsheets/d/1BuTWp7qHGjWhqrnf-OmePP568O4A5Am9ttzvVdP67zw/edit#gid=1603210130"", ""TOURISM!$A$2:$F$2692""), {2,3,4,5,6},0))"),"Europe")</f>
        <v>Europe</v>
      </c>
      <c r="L1709" s="14">
        <f>IFERROR(__xludf.DUMMYFUNCTION("""COMPUTED_VALUE"""),1.6495E10)</f>
        <v>16495000000</v>
      </c>
      <c r="M1709" s="14" t="str">
        <f>IFERROR(__xludf.DUMMYFUNCTION("""COMPUTED_VALUE"""),"Netherlands-Europe")</f>
        <v>Netherlands-Europe</v>
      </c>
      <c r="N1709" s="14" t="str">
        <f>IFERROR(__xludf.DUMMYFUNCTION("""COMPUTED_VALUE"""),"2004")</f>
        <v>2004</v>
      </c>
      <c r="O1709" s="14">
        <f>IFERROR(__xludf.DUMMYFUNCTION("""COMPUTED_VALUE"""),1.6937E10)</f>
        <v>16937000000</v>
      </c>
      <c r="P1709" s="15">
        <f>IFERROR(__xludf.DUMMYFUNCTION("ARRAYFORMULA(VLOOKUP(A1709,IMPORTRANGE(""https://docs.google.com/spreadsheets/d/1BuTWp7qHGjWhqrnf-OmePP568O4A5Am9ttzvVdP67zw/edit#gid=771602874"" ,""HUMAN RESOURCES!$A$2:$M$2692""), {2,3,4,5,6,7,8,9,10,11,12,13},0))"),0.012)</f>
        <v>0.012</v>
      </c>
      <c r="Q1709" s="14">
        <f>IFERROR(__xludf.DUMMYFUNCTION("""COMPUTED_VALUE"""),0.005)</f>
        <v>0.005</v>
      </c>
      <c r="R1709" s="14">
        <f>IFERROR(__xludf.DUMMYFUNCTION("""COMPUTED_VALUE"""),81.0)</f>
        <v>81</v>
      </c>
      <c r="S1709" s="14">
        <f>IFERROR(__xludf.DUMMYFUNCTION("""COMPUTED_VALUE"""),77.0)</f>
        <v>77</v>
      </c>
      <c r="T1709" s="14">
        <f>IFERROR(__xludf.DUMMYFUNCTION("""COMPUTED_VALUE"""),0.185)</f>
        <v>0.185</v>
      </c>
      <c r="U1709" s="14">
        <f>IFERROR(__xludf.DUMMYFUNCTION("""COMPUTED_VALUE"""),0.676)</f>
        <v>0.676</v>
      </c>
      <c r="V1709" s="14">
        <f>IFERROR(__xludf.DUMMYFUNCTION("""COMPUTED_VALUE"""),0.139)</f>
        <v>0.139</v>
      </c>
      <c r="W1709" s="14">
        <f>IFERROR(__xludf.DUMMYFUNCTION("""COMPUTED_VALUE"""),1.6281779E7)</f>
        <v>16281779</v>
      </c>
      <c r="X1709" s="14">
        <f>IFERROR(__xludf.DUMMYFUNCTION("""COMPUTED_VALUE"""),0.815)</f>
        <v>0.815</v>
      </c>
      <c r="Y1709" s="14" t="str">
        <f>IFERROR(__xludf.DUMMYFUNCTION("""COMPUTED_VALUE"""),"Netherlands-Europe")</f>
        <v>Netherlands-Europe</v>
      </c>
      <c r="Z1709" s="14" t="str">
        <f>IFERROR(__xludf.DUMMYFUNCTION("""COMPUTED_VALUE"""),"Europe")</f>
        <v>Europe</v>
      </c>
      <c r="AA1709" s="14" t="str">
        <f>IFERROR(__xludf.DUMMYFUNCTION("""COMPUTED_VALUE"""),"2004")</f>
        <v>2004</v>
      </c>
      <c r="AB1709" s="15" t="str">
        <f>IFERROR(__xludf.DUMMYFUNCTION("ARRAYFORMULA(VLOOKUP(A1709,IMPORTRANGE(""https://docs.google.com/spreadsheets/d/1BuTWp7qHGjWhqrnf-OmePP568O4A5Am9ttzvVdP67zw/edit#gid=1931367683"" ,""ENERGY!$A$2:$F$2692""), {2,3,4,5,6},0))"),"Europe")</f>
        <v>Europe</v>
      </c>
      <c r="AC1709" s="14" t="str">
        <f>IFERROR(__xludf.DUMMYFUNCTION("""COMPUTED_VALUE"""),"Netherlands-Europe")</f>
        <v>Netherlands-Europe</v>
      </c>
      <c r="AD1709" s="14" t="str">
        <f>IFERROR(__xludf.DUMMYFUNCTION("""COMPUTED_VALUE"""),"2004")</f>
        <v>2004</v>
      </c>
      <c r="AE1709" s="14">
        <f>IFERROR(__xludf.DUMMYFUNCTION("""COMPUTED_VALUE"""),79550.0)</f>
        <v>79550</v>
      </c>
      <c r="AF1709" s="14">
        <f>IFERROR(__xludf.DUMMYFUNCTION("""COMPUTED_VALUE"""),173845.0)</f>
        <v>173845</v>
      </c>
    </row>
    <row r="1710">
      <c r="A1710" s="12">
        <v>1709.0</v>
      </c>
      <c r="B1710" s="12" t="s">
        <v>210</v>
      </c>
      <c r="C1710" s="5" t="s">
        <v>75</v>
      </c>
      <c r="D1710" s="11">
        <v>0.477</v>
      </c>
      <c r="E1710" s="11">
        <v>9.0</v>
      </c>
      <c r="F1710" s="8"/>
      <c r="G1710" s="11">
        <v>250.0</v>
      </c>
      <c r="H1710" s="11">
        <v>0.81</v>
      </c>
      <c r="I1710" s="11">
        <v>0.971</v>
      </c>
      <c r="J1710" s="9" t="s">
        <v>66</v>
      </c>
      <c r="K1710" s="14" t="str">
        <f>IFERROR(__xludf.DUMMYFUNCTION("ARRAYFORMULA(VLOOKUP(A1710,IMPORTRANGE(""https://docs.google.com/spreadsheets/d/1BuTWp7qHGjWhqrnf-OmePP568O4A5Am9ttzvVdP67zw/edit#gid=1603210130"", ""TOURISM!$A$2:$F$2692""), {2,3,4,5,6},0))"),"Europe")</f>
        <v>Europe</v>
      </c>
      <c r="L1710" s="14">
        <f>IFERROR(__xludf.DUMMYFUNCTION("""COMPUTED_VALUE"""),1.6528E10)</f>
        <v>16528000000</v>
      </c>
      <c r="M1710" s="14" t="str">
        <f>IFERROR(__xludf.DUMMYFUNCTION("""COMPUTED_VALUE"""),"Netherlands-Europe")</f>
        <v>Netherlands-Europe</v>
      </c>
      <c r="N1710" s="14" t="str">
        <f>IFERROR(__xludf.DUMMYFUNCTION("""COMPUTED_VALUE"""),"2005")</f>
        <v>2005</v>
      </c>
      <c r="O1710" s="14">
        <f>IFERROR(__xludf.DUMMYFUNCTION("""COMPUTED_VALUE"""),1.6621E10)</f>
        <v>16621000000</v>
      </c>
      <c r="P1710" s="15">
        <f>IFERROR(__xludf.DUMMYFUNCTION("ARRAYFORMULA(VLOOKUP(A1710,IMPORTRANGE(""https://docs.google.com/spreadsheets/d/1BuTWp7qHGjWhqrnf-OmePP568O4A5Am9ttzvVdP67zw/edit#gid=771602874"" ,""HUMAN RESOURCES!$A$2:$M$2692""), {2,3,4,5,6,7,8,9,10,11,12,13},0))"),0.012)</f>
        <v>0.012</v>
      </c>
      <c r="Q1710" s="14">
        <f>IFERROR(__xludf.DUMMYFUNCTION("""COMPUTED_VALUE"""),0.005)</f>
        <v>0.005</v>
      </c>
      <c r="R1710" s="14">
        <f>IFERROR(__xludf.DUMMYFUNCTION("""COMPUTED_VALUE"""),82.0)</f>
        <v>82</v>
      </c>
      <c r="S1710" s="14">
        <f>IFERROR(__xludf.DUMMYFUNCTION("""COMPUTED_VALUE"""),77.0)</f>
        <v>77</v>
      </c>
      <c r="T1710" s="14">
        <f>IFERROR(__xludf.DUMMYFUNCTION("""COMPUTED_VALUE"""),0.184)</f>
        <v>0.184</v>
      </c>
      <c r="U1710" s="14">
        <f>IFERROR(__xludf.DUMMYFUNCTION("""COMPUTED_VALUE"""),0.675)</f>
        <v>0.675</v>
      </c>
      <c r="V1710" s="14">
        <f>IFERROR(__xludf.DUMMYFUNCTION("""COMPUTED_VALUE"""),0.14)</f>
        <v>0.14</v>
      </c>
      <c r="W1710" s="14">
        <f>IFERROR(__xludf.DUMMYFUNCTION("""COMPUTED_VALUE"""),1.6319868E7)</f>
        <v>16319868</v>
      </c>
      <c r="X1710" s="14">
        <f>IFERROR(__xludf.DUMMYFUNCTION("""COMPUTED_VALUE"""),0.826)</f>
        <v>0.826</v>
      </c>
      <c r="Y1710" s="14" t="str">
        <f>IFERROR(__xludf.DUMMYFUNCTION("""COMPUTED_VALUE"""),"Netherlands-Europe")</f>
        <v>Netherlands-Europe</v>
      </c>
      <c r="Z1710" s="14" t="str">
        <f>IFERROR(__xludf.DUMMYFUNCTION("""COMPUTED_VALUE"""),"Europe")</f>
        <v>Europe</v>
      </c>
      <c r="AA1710" s="14" t="str">
        <f>IFERROR(__xludf.DUMMYFUNCTION("""COMPUTED_VALUE"""),"2005")</f>
        <v>2005</v>
      </c>
      <c r="AB1710" s="15" t="str">
        <f>IFERROR(__xludf.DUMMYFUNCTION("ARRAYFORMULA(VLOOKUP(A1710,IMPORTRANGE(""https://docs.google.com/spreadsheets/d/1BuTWp7qHGjWhqrnf-OmePP568O4A5Am9ttzvVdP67zw/edit#gid=1931367683"" ,""ENERGY!$A$2:$F$2692""), {2,3,4,5,6},0))"),"Europe")</f>
        <v>Europe</v>
      </c>
      <c r="AC1710" s="14" t="str">
        <f>IFERROR(__xludf.DUMMYFUNCTION("""COMPUTED_VALUE"""),"Netherlands-Europe")</f>
        <v>Netherlands-Europe</v>
      </c>
      <c r="AD1710" s="14" t="str">
        <f>IFERROR(__xludf.DUMMYFUNCTION("""COMPUTED_VALUE"""),"2008")</f>
        <v>2008</v>
      </c>
      <c r="AE1710" s="14">
        <f>IFERROR(__xludf.DUMMYFUNCTION("""COMPUTED_VALUE"""),79350.0)</f>
        <v>79350</v>
      </c>
      <c r="AF1710" s="14">
        <f>IFERROR(__xludf.DUMMYFUNCTION("""COMPUTED_VALUE"""),171766.0)</f>
        <v>171766</v>
      </c>
    </row>
    <row r="1711">
      <c r="A1711" s="12">
        <v>1710.0</v>
      </c>
      <c r="B1711" s="12" t="s">
        <v>210</v>
      </c>
      <c r="C1711" s="5" t="s">
        <v>75</v>
      </c>
      <c r="D1711" s="11">
        <v>0.446</v>
      </c>
      <c r="E1711" s="11">
        <v>8.0</v>
      </c>
      <c r="F1711" s="8"/>
      <c r="G1711" s="11">
        <v>250.0</v>
      </c>
      <c r="H1711" s="11">
        <v>0.837</v>
      </c>
      <c r="I1711" s="11">
        <v>1.056</v>
      </c>
      <c r="J1711" s="9" t="s">
        <v>67</v>
      </c>
      <c r="K1711" s="14" t="str">
        <f>IFERROR(__xludf.DUMMYFUNCTION("ARRAYFORMULA(VLOOKUP(A1711,IMPORTRANGE(""https://docs.google.com/spreadsheets/d/1BuTWp7qHGjWhqrnf-OmePP568O4A5Am9ttzvVdP67zw/edit#gid=1603210130"", ""TOURISM!$A$2:$F$2692""), {2,3,4,5,6},0))"),"Europe")</f>
        <v>Europe</v>
      </c>
      <c r="L1711" s="14">
        <f>IFERROR(__xludf.DUMMYFUNCTION("""COMPUTED_VALUE"""),1.7529E10)</f>
        <v>17529000000</v>
      </c>
      <c r="M1711" s="14" t="str">
        <f>IFERROR(__xludf.DUMMYFUNCTION("""COMPUTED_VALUE"""),"Netherlands-Europe")</f>
        <v>Netherlands-Europe</v>
      </c>
      <c r="N1711" s="14" t="str">
        <f>IFERROR(__xludf.DUMMYFUNCTION("""COMPUTED_VALUE"""),"2006")</f>
        <v>2006</v>
      </c>
      <c r="O1711" s="14">
        <f>IFERROR(__xludf.DUMMYFUNCTION("""COMPUTED_VALUE"""),1.7453E10)</f>
        <v>17453000000</v>
      </c>
      <c r="P1711" s="15">
        <f>IFERROR(__xludf.DUMMYFUNCTION("ARRAYFORMULA(VLOOKUP(A1711,IMPORTRANGE(""https://docs.google.com/spreadsheets/d/1BuTWp7qHGjWhqrnf-OmePP568O4A5Am9ttzvVdP67zw/edit#gid=771602874"" ,""HUMAN RESOURCES!$A$2:$M$2692""), {2,3,4,5,6,7,8,9,10,11,12,13},0))"),0.011)</f>
        <v>0.011</v>
      </c>
      <c r="Q1711" s="14">
        <f>IFERROR(__xludf.DUMMYFUNCTION("""COMPUTED_VALUE"""),0.004)</f>
        <v>0.004</v>
      </c>
      <c r="R1711" s="14">
        <f>IFERROR(__xludf.DUMMYFUNCTION("""COMPUTED_VALUE"""),82.0)</f>
        <v>82</v>
      </c>
      <c r="S1711" s="14">
        <f>IFERROR(__xludf.DUMMYFUNCTION("""COMPUTED_VALUE"""),78.0)</f>
        <v>78</v>
      </c>
      <c r="T1711" s="14">
        <f>IFERROR(__xludf.DUMMYFUNCTION("""COMPUTED_VALUE"""),0.183)</f>
        <v>0.183</v>
      </c>
      <c r="U1711" s="14">
        <f>IFERROR(__xludf.DUMMYFUNCTION("""COMPUTED_VALUE"""),0.675)</f>
        <v>0.675</v>
      </c>
      <c r="V1711" s="14">
        <f>IFERROR(__xludf.DUMMYFUNCTION("""COMPUTED_VALUE"""),0.142)</f>
        <v>0.142</v>
      </c>
      <c r="W1711" s="14">
        <f>IFERROR(__xludf.DUMMYFUNCTION("""COMPUTED_VALUE"""),1.6346101E7)</f>
        <v>16346101</v>
      </c>
      <c r="X1711" s="14">
        <f>IFERROR(__xludf.DUMMYFUNCTION("""COMPUTED_VALUE"""),0.836)</f>
        <v>0.836</v>
      </c>
      <c r="Y1711" s="14" t="str">
        <f>IFERROR(__xludf.DUMMYFUNCTION("""COMPUTED_VALUE"""),"Netherlands-Europe")</f>
        <v>Netherlands-Europe</v>
      </c>
      <c r="Z1711" s="14" t="str">
        <f>IFERROR(__xludf.DUMMYFUNCTION("""COMPUTED_VALUE"""),"Europe")</f>
        <v>Europe</v>
      </c>
      <c r="AA1711" s="14" t="str">
        <f>IFERROR(__xludf.DUMMYFUNCTION("""COMPUTED_VALUE"""),"2006")</f>
        <v>2006</v>
      </c>
      <c r="AB1711" s="15" t="str">
        <f>IFERROR(__xludf.DUMMYFUNCTION("ARRAYFORMULA(VLOOKUP(A1711,IMPORTRANGE(""https://docs.google.com/spreadsheets/d/1BuTWp7qHGjWhqrnf-OmePP568O4A5Am9ttzvVdP67zw/edit#gid=1931367683"" ,""ENERGY!$A$2:$F$2692""), {2,3,4,5,6},0))"),"Europe")</f>
        <v>Europe</v>
      </c>
      <c r="AC1711" s="14" t="str">
        <f>IFERROR(__xludf.DUMMYFUNCTION("""COMPUTED_VALUE"""),"Netherlands-Europe")</f>
        <v>Netherlands-Europe</v>
      </c>
      <c r="AD1711" s="14" t="str">
        <f>IFERROR(__xludf.DUMMYFUNCTION("""COMPUTED_VALUE"""),"2012")</f>
        <v>2012</v>
      </c>
      <c r="AE1711" s="14">
        <f>IFERROR(__xludf.DUMMYFUNCTION("""COMPUTED_VALUE"""),76830.0)</f>
        <v>76830</v>
      </c>
      <c r="AF1711" s="14">
        <f>IFERROR(__xludf.DUMMYFUNCTION("""COMPUTED_VALUE"""),167201.0)</f>
        <v>167201</v>
      </c>
    </row>
    <row r="1712">
      <c r="A1712" s="12">
        <v>1711.0</v>
      </c>
      <c r="B1712" s="12" t="s">
        <v>210</v>
      </c>
      <c r="C1712" s="5" t="s">
        <v>75</v>
      </c>
      <c r="D1712" s="11">
        <v>0.418</v>
      </c>
      <c r="E1712" s="11">
        <v>8.0</v>
      </c>
      <c r="F1712" s="8"/>
      <c r="G1712" s="11">
        <v>180.0</v>
      </c>
      <c r="H1712" s="11">
        <v>0.858</v>
      </c>
      <c r="I1712" s="11">
        <v>1.173</v>
      </c>
      <c r="J1712" s="9" t="s">
        <v>68</v>
      </c>
      <c r="K1712" s="14" t="str">
        <f>IFERROR(__xludf.DUMMYFUNCTION("ARRAYFORMULA(VLOOKUP(A1712,IMPORTRANGE(""https://docs.google.com/spreadsheets/d/1BuTWp7qHGjWhqrnf-OmePP568O4A5Am9ttzvVdP67zw/edit#gid=1603210130"", ""TOURISM!$A$2:$F$2692""), {2,3,4,5,6},0))"),"Europe")</f>
        <v>Europe</v>
      </c>
      <c r="L1712" s="14">
        <f>IFERROR(__xludf.DUMMYFUNCTION("""COMPUTED_VALUE"""),1.9922E10)</f>
        <v>19922000000</v>
      </c>
      <c r="M1712" s="14" t="str">
        <f>IFERROR(__xludf.DUMMYFUNCTION("""COMPUTED_VALUE"""),"Netherlands-Europe")</f>
        <v>Netherlands-Europe</v>
      </c>
      <c r="N1712" s="14" t="str">
        <f>IFERROR(__xludf.DUMMYFUNCTION("""COMPUTED_VALUE"""),"2007")</f>
        <v>2007</v>
      </c>
      <c r="O1712" s="14">
        <f>IFERROR(__xludf.DUMMYFUNCTION("""COMPUTED_VALUE"""),1.9477E10)</f>
        <v>19477000000</v>
      </c>
      <c r="P1712" s="15">
        <f>IFERROR(__xludf.DUMMYFUNCTION("ARRAYFORMULA(VLOOKUP(A1712,IMPORTRANGE(""https://docs.google.com/spreadsheets/d/1BuTWp7qHGjWhqrnf-OmePP568O4A5Am9ttzvVdP67zw/edit#gid=771602874"" ,""HUMAN RESOURCES!$A$2:$M$2692""), {2,3,4,5,6,7,8,9,10,11,12,13},0))"),0.011)</f>
        <v>0.011</v>
      </c>
      <c r="Q1712" s="14">
        <f>IFERROR(__xludf.DUMMYFUNCTION("""COMPUTED_VALUE"""),0.004)</f>
        <v>0.004</v>
      </c>
      <c r="R1712" s="14">
        <f>IFERROR(__xludf.DUMMYFUNCTION("""COMPUTED_VALUE"""),82.0)</f>
        <v>82</v>
      </c>
      <c r="S1712" s="14">
        <f>IFERROR(__xludf.DUMMYFUNCTION("""COMPUTED_VALUE"""),78.0)</f>
        <v>78</v>
      </c>
      <c r="T1712" s="14">
        <f>IFERROR(__xludf.DUMMYFUNCTION("""COMPUTED_VALUE"""),0.181)</f>
        <v>0.181</v>
      </c>
      <c r="U1712" s="14">
        <f>IFERROR(__xludf.DUMMYFUNCTION("""COMPUTED_VALUE"""),0.674)</f>
        <v>0.674</v>
      </c>
      <c r="V1712" s="14">
        <f>IFERROR(__xludf.DUMMYFUNCTION("""COMPUTED_VALUE"""),0.144)</f>
        <v>0.144</v>
      </c>
      <c r="W1712" s="14">
        <f>IFERROR(__xludf.DUMMYFUNCTION("""COMPUTED_VALUE"""),1.6381696E7)</f>
        <v>16381696</v>
      </c>
      <c r="X1712" s="14">
        <f>IFERROR(__xludf.DUMMYFUNCTION("""COMPUTED_VALUE"""),0.845)</f>
        <v>0.845</v>
      </c>
      <c r="Y1712" s="14" t="str">
        <f>IFERROR(__xludf.DUMMYFUNCTION("""COMPUTED_VALUE"""),"Netherlands-Europe")</f>
        <v>Netherlands-Europe</v>
      </c>
      <c r="Z1712" s="14" t="str">
        <f>IFERROR(__xludf.DUMMYFUNCTION("""COMPUTED_VALUE"""),"Europe")</f>
        <v>Europe</v>
      </c>
      <c r="AA1712" s="14" t="str">
        <f>IFERROR(__xludf.DUMMYFUNCTION("""COMPUTED_VALUE"""),"2007")</f>
        <v>2007</v>
      </c>
      <c r="AB1712" s="15" t="str">
        <f>IFERROR(__xludf.DUMMYFUNCTION("ARRAYFORMULA(VLOOKUP(A1712,IMPORTRANGE(""https://docs.google.com/spreadsheets/d/1BuTWp7qHGjWhqrnf-OmePP568O4A5Am9ttzvVdP67zw/edit#gid=1931367683"" ,""ENERGY!$A$2:$F$2692""), {2,3,4,5,6},0))"),"Europe")</f>
        <v>Europe</v>
      </c>
      <c r="AC1712" s="14" t="str">
        <f>IFERROR(__xludf.DUMMYFUNCTION("""COMPUTED_VALUE"""),"Netherlands-Europe")</f>
        <v>Netherlands-Europe</v>
      </c>
      <c r="AD1712" s="14" t="str">
        <f>IFERROR(__xludf.DUMMYFUNCTION("""COMPUTED_VALUE"""),"2009")</f>
        <v>2009</v>
      </c>
      <c r="AE1712" s="14">
        <f>IFERROR(__xludf.DUMMYFUNCTION("""COMPUTED_VALUE"""),78824.0)</f>
        <v>78824</v>
      </c>
      <c r="AF1712" s="14">
        <f>IFERROR(__xludf.DUMMYFUNCTION("""COMPUTED_VALUE"""),172228.0)</f>
        <v>172228</v>
      </c>
    </row>
    <row r="1713">
      <c r="A1713" s="12">
        <v>1712.0</v>
      </c>
      <c r="B1713" s="12" t="s">
        <v>210</v>
      </c>
      <c r="C1713" s="5" t="s">
        <v>75</v>
      </c>
      <c r="D1713" s="11">
        <v>0.382</v>
      </c>
      <c r="E1713" s="11">
        <v>8.0</v>
      </c>
      <c r="F1713" s="8"/>
      <c r="G1713" s="11">
        <v>180.0</v>
      </c>
      <c r="H1713" s="11">
        <v>0.874</v>
      </c>
      <c r="I1713" s="11">
        <v>1.25</v>
      </c>
      <c r="J1713" s="9" t="s">
        <v>69</v>
      </c>
      <c r="K1713" s="14" t="str">
        <f>IFERROR(__xludf.DUMMYFUNCTION("ARRAYFORMULA(VLOOKUP(A1713,IMPORTRANGE(""https://docs.google.com/spreadsheets/d/1BuTWp7qHGjWhqrnf-OmePP568O4A5Am9ttzvVdP67zw/edit#gid=1603210130"", ""TOURISM!$A$2:$F$2692""), {2,3,4,5,6},0))"),"Europe")</f>
        <v>Europe</v>
      </c>
      <c r="L1713" s="14">
        <f>IFERROR(__xludf.DUMMYFUNCTION("""COMPUTED_VALUE"""),2.0523E10)</f>
        <v>20523000000</v>
      </c>
      <c r="M1713" s="14" t="str">
        <f>IFERROR(__xludf.DUMMYFUNCTION("""COMPUTED_VALUE"""),"Netherlands-Europe")</f>
        <v>Netherlands-Europe</v>
      </c>
      <c r="N1713" s="14" t="str">
        <f>IFERROR(__xludf.DUMMYFUNCTION("""COMPUTED_VALUE"""),"2008")</f>
        <v>2008</v>
      </c>
      <c r="O1713" s="14">
        <f>IFERROR(__xludf.DUMMYFUNCTION("""COMPUTED_VALUE"""),2.2217E10)</f>
        <v>22217000000</v>
      </c>
      <c r="P1713" s="15">
        <f>IFERROR(__xludf.DUMMYFUNCTION("ARRAYFORMULA(VLOOKUP(A1713,IMPORTRANGE(""https://docs.google.com/spreadsheets/d/1BuTWp7qHGjWhqrnf-OmePP568O4A5Am9ttzvVdP67zw/edit#gid=771602874"" ,""HUMAN RESOURCES!$A$2:$M$2692""), {2,3,4,5,6,7,8,9,10,11,12,13},0))"),0.011)</f>
        <v>0.011</v>
      </c>
      <c r="Q1713" s="14">
        <f>IFERROR(__xludf.DUMMYFUNCTION("""COMPUTED_VALUE"""),0.004)</f>
        <v>0.004</v>
      </c>
      <c r="R1713" s="14">
        <f>IFERROR(__xludf.DUMMYFUNCTION("""COMPUTED_VALUE"""),82.0)</f>
        <v>82</v>
      </c>
      <c r="S1713" s="14">
        <f>IFERROR(__xludf.DUMMYFUNCTION("""COMPUTED_VALUE"""),78.0)</f>
        <v>78</v>
      </c>
      <c r="T1713" s="14">
        <f>IFERROR(__xludf.DUMMYFUNCTION("""COMPUTED_VALUE"""),0.179)</f>
        <v>0.179</v>
      </c>
      <c r="U1713" s="14">
        <f>IFERROR(__xludf.DUMMYFUNCTION("""COMPUTED_VALUE"""),0.674)</f>
        <v>0.674</v>
      </c>
      <c r="V1713" s="14">
        <f>IFERROR(__xludf.DUMMYFUNCTION("""COMPUTED_VALUE"""),0.147)</f>
        <v>0.147</v>
      </c>
      <c r="W1713" s="14">
        <f>IFERROR(__xludf.DUMMYFUNCTION("""COMPUTED_VALUE"""),1.6445593E7)</f>
        <v>16445593</v>
      </c>
      <c r="X1713" s="14">
        <f>IFERROR(__xludf.DUMMYFUNCTION("""COMPUTED_VALUE"""),0.854)</f>
        <v>0.854</v>
      </c>
      <c r="Y1713" s="14" t="str">
        <f>IFERROR(__xludf.DUMMYFUNCTION("""COMPUTED_VALUE"""),"Netherlands-Europe")</f>
        <v>Netherlands-Europe</v>
      </c>
      <c r="Z1713" s="14" t="str">
        <f>IFERROR(__xludf.DUMMYFUNCTION("""COMPUTED_VALUE"""),"Europe")</f>
        <v>Europe</v>
      </c>
      <c r="AA1713" s="14" t="str">
        <f>IFERROR(__xludf.DUMMYFUNCTION("""COMPUTED_VALUE"""),"2008")</f>
        <v>2008</v>
      </c>
      <c r="AB1713" s="15" t="str">
        <f>IFERROR(__xludf.DUMMYFUNCTION("ARRAYFORMULA(VLOOKUP(A1713,IMPORTRANGE(""https://docs.google.com/spreadsheets/d/1BuTWp7qHGjWhqrnf-OmePP568O4A5Am9ttzvVdP67zw/edit#gid=1931367683"" ,""ENERGY!$A$2:$F$2692""), {2,3,4,5,6},0))"),"Europe")</f>
        <v>Europe</v>
      </c>
      <c r="AC1713" s="14" t="str">
        <f>IFERROR(__xludf.DUMMYFUNCTION("""COMPUTED_VALUE"""),"Netherlands-Europe")</f>
        <v>Netherlands-Europe</v>
      </c>
      <c r="AD1713" s="14" t="str">
        <f>IFERROR(__xludf.DUMMYFUNCTION("""COMPUTED_VALUE"""),"2006")</f>
        <v>2006</v>
      </c>
      <c r="AE1713" s="14">
        <f>IFERROR(__xludf.DUMMYFUNCTION("""COMPUTED_VALUE"""),79075.0)</f>
        <v>79075</v>
      </c>
      <c r="AF1713" s="14">
        <f>IFERROR(__xludf.DUMMYFUNCTION("""COMPUTED_VALUE"""),176903.0)</f>
        <v>176903</v>
      </c>
    </row>
    <row r="1714">
      <c r="A1714" s="12">
        <v>1713.0</v>
      </c>
      <c r="B1714" s="12" t="s">
        <v>210</v>
      </c>
      <c r="C1714" s="5" t="s">
        <v>75</v>
      </c>
      <c r="D1714" s="11">
        <v>0.385</v>
      </c>
      <c r="E1714" s="11">
        <v>8.0</v>
      </c>
      <c r="F1714" s="8"/>
      <c r="G1714" s="11">
        <v>164.0</v>
      </c>
      <c r="H1714" s="11">
        <v>0.896</v>
      </c>
      <c r="I1714" s="11">
        <v>1.217</v>
      </c>
      <c r="J1714" s="9" t="s">
        <v>70</v>
      </c>
      <c r="K1714" s="14" t="str">
        <f>IFERROR(__xludf.DUMMYFUNCTION("ARRAYFORMULA(VLOOKUP(A1714,IMPORTRANGE(""https://docs.google.com/spreadsheets/d/1BuTWp7qHGjWhqrnf-OmePP568O4A5Am9ttzvVdP67zw/edit#gid=1603210130"", ""TOURISM!$A$2:$F$2692""), {2,3,4,5,6},0))"),"Europe")</f>
        <v>Europe</v>
      </c>
      <c r="L1714" s="14">
        <f>IFERROR(__xludf.DUMMYFUNCTION("""COMPUTED_VALUE"""),1.7868E10)</f>
        <v>17868000000</v>
      </c>
      <c r="M1714" s="14" t="str">
        <f>IFERROR(__xludf.DUMMYFUNCTION("""COMPUTED_VALUE"""),"Netherlands-Europe")</f>
        <v>Netherlands-Europe</v>
      </c>
      <c r="N1714" s="14" t="str">
        <f>IFERROR(__xludf.DUMMYFUNCTION("""COMPUTED_VALUE"""),"2009")</f>
        <v>2009</v>
      </c>
      <c r="O1714" s="14">
        <f>IFERROR(__xludf.DUMMYFUNCTION("""COMPUTED_VALUE"""),2.108E10)</f>
        <v>21080000000</v>
      </c>
      <c r="P1714" s="15">
        <f>IFERROR(__xludf.DUMMYFUNCTION("ARRAYFORMULA(VLOOKUP(A1714,IMPORTRANGE(""https://docs.google.com/spreadsheets/d/1BuTWp7qHGjWhqrnf-OmePP568O4A5Am9ttzvVdP67zw/edit#gid=771602874"" ,""HUMAN RESOURCES!$A$2:$M$2692""), {2,3,4,5,6,7,8,9,10,11,12,13},0))"),0.011)</f>
        <v>0.011</v>
      </c>
      <c r="Q1714" s="14">
        <f>IFERROR(__xludf.DUMMYFUNCTION("""COMPUTED_VALUE"""),0.004)</f>
        <v>0.004</v>
      </c>
      <c r="R1714" s="14">
        <f>IFERROR(__xludf.DUMMYFUNCTION("""COMPUTED_VALUE"""),83.0)</f>
        <v>83</v>
      </c>
      <c r="S1714" s="14">
        <f>IFERROR(__xludf.DUMMYFUNCTION("""COMPUTED_VALUE"""),79.0)</f>
        <v>79</v>
      </c>
      <c r="T1714" s="14">
        <f>IFERROR(__xludf.DUMMYFUNCTION("""COMPUTED_VALUE"""),0.177)</f>
        <v>0.177</v>
      </c>
      <c r="U1714" s="14">
        <f>IFERROR(__xludf.DUMMYFUNCTION("""COMPUTED_VALUE"""),0.673)</f>
        <v>0.673</v>
      </c>
      <c r="V1714" s="14">
        <f>IFERROR(__xludf.DUMMYFUNCTION("""COMPUTED_VALUE"""),0.15)</f>
        <v>0.15</v>
      </c>
      <c r="W1714" s="14">
        <f>IFERROR(__xludf.DUMMYFUNCTION("""COMPUTED_VALUE"""),1.6530388E7)</f>
        <v>16530388</v>
      </c>
      <c r="X1714" s="14">
        <f>IFERROR(__xludf.DUMMYFUNCTION("""COMPUTED_VALUE"""),0.862)</f>
        <v>0.862</v>
      </c>
      <c r="Y1714" s="14" t="str">
        <f>IFERROR(__xludf.DUMMYFUNCTION("""COMPUTED_VALUE"""),"Netherlands-Europe")</f>
        <v>Netherlands-Europe</v>
      </c>
      <c r="Z1714" s="14" t="str">
        <f>IFERROR(__xludf.DUMMYFUNCTION("""COMPUTED_VALUE"""),"Europe")</f>
        <v>Europe</v>
      </c>
      <c r="AA1714" s="14" t="str">
        <f>IFERROR(__xludf.DUMMYFUNCTION("""COMPUTED_VALUE"""),"2009")</f>
        <v>2009</v>
      </c>
      <c r="AB1714" s="15" t="str">
        <f>IFERROR(__xludf.DUMMYFUNCTION("ARRAYFORMULA(VLOOKUP(A1714,IMPORTRANGE(""https://docs.google.com/spreadsheets/d/1BuTWp7qHGjWhqrnf-OmePP568O4A5Am9ttzvVdP67zw/edit#gid=1931367683"" ,""ENERGY!$A$2:$F$2692""), {2,3,4,5,6},0))"),"Europe")</f>
        <v>Europe</v>
      </c>
      <c r="AC1714" s="14" t="str">
        <f>IFERROR(__xludf.DUMMYFUNCTION("""COMPUTED_VALUE"""),"Netherlands-Europe")</f>
        <v>Netherlands-Europe</v>
      </c>
      <c r="AD1714" s="14" t="str">
        <f>IFERROR(__xludf.DUMMYFUNCTION("""COMPUTED_VALUE"""),"2011")</f>
        <v>2011</v>
      </c>
      <c r="AE1714" s="14">
        <f>IFERROR(__xludf.DUMMYFUNCTION("""COMPUTED_VALUE"""),78010.0)</f>
        <v>78010</v>
      </c>
      <c r="AF1714" s="14">
        <f>IFERROR(__xludf.DUMMYFUNCTION("""COMPUTED_VALUE"""),175041.0)</f>
        <v>175041</v>
      </c>
    </row>
    <row r="1715">
      <c r="A1715" s="12">
        <v>1714.0</v>
      </c>
      <c r="B1715" s="12" t="s">
        <v>210</v>
      </c>
      <c r="C1715" s="5" t="s">
        <v>75</v>
      </c>
      <c r="D1715" s="11">
        <v>0.394</v>
      </c>
      <c r="E1715" s="11">
        <v>8.0</v>
      </c>
      <c r="F1715" s="8"/>
      <c r="G1715" s="11">
        <v>134.0</v>
      </c>
      <c r="H1715" s="11">
        <v>0.907</v>
      </c>
      <c r="I1715" s="11">
        <v>1.154</v>
      </c>
      <c r="J1715" s="9" t="s">
        <v>71</v>
      </c>
      <c r="K1715" s="14" t="str">
        <f>IFERROR(__xludf.DUMMYFUNCTION("ARRAYFORMULA(VLOOKUP(A1715,IMPORTRANGE(""https://docs.google.com/spreadsheets/d/1BuTWp7qHGjWhqrnf-OmePP568O4A5Am9ttzvVdP67zw/edit#gid=1603210130"", ""TOURISM!$A$2:$F$2692""), {2,3,4,5,6},0))"),"Europe")</f>
        <v>Europe</v>
      </c>
      <c r="L1715" s="14">
        <f>IFERROR(__xludf.DUMMYFUNCTION("""COMPUTED_VALUE"""),1.869E10)</f>
        <v>18690000000</v>
      </c>
      <c r="M1715" s="14" t="str">
        <f>IFERROR(__xludf.DUMMYFUNCTION("""COMPUTED_VALUE"""),"Netherlands-Europe")</f>
        <v>Netherlands-Europe</v>
      </c>
      <c r="N1715" s="14" t="str">
        <f>IFERROR(__xludf.DUMMYFUNCTION("""COMPUTED_VALUE"""),"2010")</f>
        <v>2010</v>
      </c>
      <c r="O1715" s="14">
        <f>IFERROR(__xludf.DUMMYFUNCTION("""COMPUTED_VALUE"""),1.9772E10)</f>
        <v>19772000000</v>
      </c>
      <c r="P1715" s="15">
        <f>IFERROR(__xludf.DUMMYFUNCTION("ARRAYFORMULA(VLOOKUP(A1715,IMPORTRANGE(""https://docs.google.com/spreadsheets/d/1BuTWp7qHGjWhqrnf-OmePP568O4A5Am9ttzvVdP67zw/edit#gid=771602874"" ,""HUMAN RESOURCES!$A$2:$M$2692""), {2,3,4,5,6,7,8,9,10,11,12,13},0))"),0.011)</f>
        <v>0.011</v>
      </c>
      <c r="Q1715" s="14">
        <f>IFERROR(__xludf.DUMMYFUNCTION("""COMPUTED_VALUE"""),0.004)</f>
        <v>0.004</v>
      </c>
      <c r="R1715" s="14">
        <f>IFERROR(__xludf.DUMMYFUNCTION("""COMPUTED_VALUE"""),83.0)</f>
        <v>83</v>
      </c>
      <c r="S1715" s="14">
        <f>IFERROR(__xludf.DUMMYFUNCTION("""COMPUTED_VALUE"""),79.0)</f>
        <v>79</v>
      </c>
      <c r="T1715" s="14">
        <f>IFERROR(__xludf.DUMMYFUNCTION("""COMPUTED_VALUE"""),0.175)</f>
        <v>0.175</v>
      </c>
      <c r="U1715" s="14">
        <f>IFERROR(__xludf.DUMMYFUNCTION("""COMPUTED_VALUE"""),0.671)</f>
        <v>0.671</v>
      </c>
      <c r="V1715" s="14">
        <f>IFERROR(__xludf.DUMMYFUNCTION("""COMPUTED_VALUE"""),0.154)</f>
        <v>0.154</v>
      </c>
      <c r="W1715" s="14">
        <f>IFERROR(__xludf.DUMMYFUNCTION("""COMPUTED_VALUE"""),1.6615394E7)</f>
        <v>16615394</v>
      </c>
      <c r="X1715" s="14">
        <f>IFERROR(__xludf.DUMMYFUNCTION("""COMPUTED_VALUE"""),0.871)</f>
        <v>0.871</v>
      </c>
      <c r="Y1715" s="14" t="str">
        <f>IFERROR(__xludf.DUMMYFUNCTION("""COMPUTED_VALUE"""),"Netherlands-Europe")</f>
        <v>Netherlands-Europe</v>
      </c>
      <c r="Z1715" s="14" t="str">
        <f>IFERROR(__xludf.DUMMYFUNCTION("""COMPUTED_VALUE"""),"Europe")</f>
        <v>Europe</v>
      </c>
      <c r="AA1715" s="14" t="str">
        <f>IFERROR(__xludf.DUMMYFUNCTION("""COMPUTED_VALUE"""),"2010")</f>
        <v>2010</v>
      </c>
      <c r="AB1715" s="15" t="str">
        <f>IFERROR(__xludf.DUMMYFUNCTION("ARRAYFORMULA(VLOOKUP(A1715,IMPORTRANGE(""https://docs.google.com/spreadsheets/d/1BuTWp7qHGjWhqrnf-OmePP568O4A5Am9ttzvVdP67zw/edit#gid=1931367683"" ,""ENERGY!$A$2:$F$2692""), {2,3,4,5,6},0))"),"Europe")</f>
        <v>Europe</v>
      </c>
      <c r="AC1715" s="14" t="str">
        <f>IFERROR(__xludf.DUMMYFUNCTION("""COMPUTED_VALUE"""),"Netherlands-Europe")</f>
        <v>Netherlands-Europe</v>
      </c>
      <c r="AD1715" s="14" t="str">
        <f>IFERROR(__xludf.DUMMYFUNCTION("""COMPUTED_VALUE"""),"2006")</f>
        <v>2006</v>
      </c>
      <c r="AE1715" s="14">
        <f>IFERROR(__xludf.DUMMYFUNCTION("""COMPUTED_VALUE"""),75706.0)</f>
        <v>75706</v>
      </c>
      <c r="AF1715" s="14">
        <f>IFERROR(__xludf.DUMMYFUNCTION("""COMPUTED_VALUE"""),172364.0)</f>
        <v>172364</v>
      </c>
    </row>
    <row r="1716">
      <c r="A1716" s="12">
        <v>1715.0</v>
      </c>
      <c r="B1716" s="12" t="s">
        <v>210</v>
      </c>
      <c r="C1716" s="5" t="s">
        <v>75</v>
      </c>
      <c r="D1716" s="11">
        <v>0.396</v>
      </c>
      <c r="E1716" s="11">
        <v>8.0</v>
      </c>
      <c r="F1716" s="8"/>
      <c r="G1716" s="11">
        <v>127.0</v>
      </c>
      <c r="H1716" s="11">
        <v>0.914</v>
      </c>
      <c r="I1716" s="11">
        <v>1.19</v>
      </c>
      <c r="J1716" s="9" t="s">
        <v>72</v>
      </c>
      <c r="K1716" s="14" t="str">
        <f>IFERROR(__xludf.DUMMYFUNCTION("ARRAYFORMULA(VLOOKUP(A1716,IMPORTRANGE(""https://docs.google.com/spreadsheets/d/1BuTWp7qHGjWhqrnf-OmePP568O4A5Am9ttzvVdP67zw/edit#gid=1603210130"", ""TOURISM!$A$2:$F$2692""), {2,3,4,5,6},0))"),"Europe")</f>
        <v>Europe</v>
      </c>
      <c r="L1716" s="14">
        <f>IFERROR(__xludf.DUMMYFUNCTION("""COMPUTED_VALUE"""),2.097E10)</f>
        <v>20970000000</v>
      </c>
      <c r="M1716" s="14" t="str">
        <f>IFERROR(__xludf.DUMMYFUNCTION("""COMPUTED_VALUE"""),"Netherlands-Europe")</f>
        <v>Netherlands-Europe</v>
      </c>
      <c r="N1716" s="14" t="str">
        <f>IFERROR(__xludf.DUMMYFUNCTION("""COMPUTED_VALUE"""),"2011")</f>
        <v>2011</v>
      </c>
      <c r="O1716" s="14">
        <f>IFERROR(__xludf.DUMMYFUNCTION("""COMPUTED_VALUE"""),2.0884E10)</f>
        <v>20884000000</v>
      </c>
      <c r="P1716" s="15">
        <f>IFERROR(__xludf.DUMMYFUNCTION("ARRAYFORMULA(VLOOKUP(A1716,IMPORTRANGE(""https://docs.google.com/spreadsheets/d/1BuTWp7qHGjWhqrnf-OmePP568O4A5Am9ttzvVdP67zw/edit#gid=771602874"" ,""HUMAN RESOURCES!$A$2:$M$2692""), {2,3,4,5,6,7,8,9,10,11,12,13},0))"),0.011)</f>
        <v>0.011</v>
      </c>
      <c r="Q1716" s="14">
        <f>IFERROR(__xludf.DUMMYFUNCTION("""COMPUTED_VALUE"""),0.004)</f>
        <v>0.004</v>
      </c>
      <c r="R1716" s="14">
        <f>IFERROR(__xludf.DUMMYFUNCTION("""COMPUTED_VALUE"""),83.0)</f>
        <v>83</v>
      </c>
      <c r="S1716" s="14">
        <f>IFERROR(__xludf.DUMMYFUNCTION("""COMPUTED_VALUE"""),79.0)</f>
        <v>79</v>
      </c>
      <c r="T1716" s="14">
        <f>IFERROR(__xludf.DUMMYFUNCTION("""COMPUTED_VALUE"""),0.173)</f>
        <v>0.173</v>
      </c>
      <c r="U1716" s="14">
        <f>IFERROR(__xludf.DUMMYFUNCTION("""COMPUTED_VALUE"""),0.667)</f>
        <v>0.667</v>
      </c>
      <c r="V1716" s="14">
        <f>IFERROR(__xludf.DUMMYFUNCTION("""COMPUTED_VALUE"""),0.159)</f>
        <v>0.159</v>
      </c>
      <c r="W1716" s="14">
        <f>IFERROR(__xludf.DUMMYFUNCTION("""COMPUTED_VALUE"""),1.6693074E7)</f>
        <v>16693074</v>
      </c>
      <c r="X1716" s="14">
        <f>IFERROR(__xludf.DUMMYFUNCTION("""COMPUTED_VALUE"""),0.878)</f>
        <v>0.878</v>
      </c>
      <c r="Y1716" s="14" t="str">
        <f>IFERROR(__xludf.DUMMYFUNCTION("""COMPUTED_VALUE"""),"Netherlands-Europe")</f>
        <v>Netherlands-Europe</v>
      </c>
      <c r="Z1716" s="14" t="str">
        <f>IFERROR(__xludf.DUMMYFUNCTION("""COMPUTED_VALUE"""),"Europe")</f>
        <v>Europe</v>
      </c>
      <c r="AA1716" s="14" t="str">
        <f>IFERROR(__xludf.DUMMYFUNCTION("""COMPUTED_VALUE"""),"2011")</f>
        <v>2011</v>
      </c>
      <c r="AB1716" s="15" t="str">
        <f>IFERROR(__xludf.DUMMYFUNCTION("ARRAYFORMULA(VLOOKUP(A1716,IMPORTRANGE(""https://docs.google.com/spreadsheets/d/1BuTWp7qHGjWhqrnf-OmePP568O4A5Am9ttzvVdP67zw/edit#gid=1931367683"" ,""ENERGY!$A$2:$F$2692""), {2,3,4,5,6},0))"),"Europe")</f>
        <v>Europe</v>
      </c>
      <c r="AC1716" s="14" t="str">
        <f>IFERROR(__xludf.DUMMYFUNCTION("""COMPUTED_VALUE"""),"Netherlands-Europe")</f>
        <v>Netherlands-Europe</v>
      </c>
      <c r="AD1716" s="14" t="str">
        <f>IFERROR(__xludf.DUMMYFUNCTION("""COMPUTED_VALUE"""),"2006")</f>
        <v>2006</v>
      </c>
      <c r="AE1716" s="14">
        <f>IFERROR(__xludf.DUMMYFUNCTION("""COMPUTED_VALUE"""),75614.0)</f>
        <v>75614</v>
      </c>
      <c r="AF1716" s="14">
        <f>IFERROR(__xludf.DUMMYFUNCTION("""COMPUTED_VALUE"""),167274.0)</f>
        <v>167274</v>
      </c>
    </row>
    <row r="1717">
      <c r="A1717" s="12">
        <v>1716.0</v>
      </c>
      <c r="B1717" s="12" t="s">
        <v>210</v>
      </c>
      <c r="C1717" s="5" t="s">
        <v>75</v>
      </c>
      <c r="D1717" s="11">
        <v>0.392</v>
      </c>
      <c r="E1717" s="11">
        <v>5.0</v>
      </c>
      <c r="F1717" s="11">
        <v>30.0</v>
      </c>
      <c r="G1717" s="11">
        <v>127.0</v>
      </c>
      <c r="H1717" s="11">
        <v>0.929</v>
      </c>
      <c r="I1717" s="11">
        <v>1.18</v>
      </c>
      <c r="J1717" s="9" t="s">
        <v>73</v>
      </c>
      <c r="K1717" s="14" t="str">
        <f>IFERROR(__xludf.DUMMYFUNCTION("ARRAYFORMULA(VLOOKUP(A1717,IMPORTRANGE(""https://docs.google.com/spreadsheets/d/1BuTWp7qHGjWhqrnf-OmePP568O4A5Am9ttzvVdP67zw/edit#gid=1603210130"", ""TOURISM!$A$2:$F$2692""), {2,3,4,5,6},0))"),"Europe")</f>
        <v>Europe</v>
      </c>
      <c r="L1717" s="14">
        <f>IFERROR(__xludf.DUMMYFUNCTION("""COMPUTED_VALUE"""),2.0527E10)</f>
        <v>20527000000</v>
      </c>
      <c r="M1717" s="14" t="str">
        <f>IFERROR(__xludf.DUMMYFUNCTION("""COMPUTED_VALUE"""),"Netherlands-Europe")</f>
        <v>Netherlands-Europe</v>
      </c>
      <c r="N1717" s="14" t="str">
        <f>IFERROR(__xludf.DUMMYFUNCTION("""COMPUTED_VALUE"""),"2012")</f>
        <v>2012</v>
      </c>
      <c r="O1717" s="14">
        <f>IFERROR(__xludf.DUMMYFUNCTION("""COMPUTED_VALUE"""),2.0346E10)</f>
        <v>20346000000</v>
      </c>
      <c r="P1717" s="15">
        <f>IFERROR(__xludf.DUMMYFUNCTION("ARRAYFORMULA(VLOOKUP(A1717,IMPORTRANGE(""https://docs.google.com/spreadsheets/d/1BuTWp7qHGjWhqrnf-OmePP568O4A5Am9ttzvVdP67zw/edit#gid=771602874"" ,""HUMAN RESOURCES!$A$2:$M$2692""), {2,3,4,5,6,7,8,9,10,11,12,13},0))"),0.011)</f>
        <v>0.011</v>
      </c>
      <c r="Q1717" s="14">
        <f>IFERROR(__xludf.DUMMYFUNCTION("""COMPUTED_VALUE"""),0.004)</f>
        <v>0.004</v>
      </c>
      <c r="R1717" s="14">
        <f>IFERROR(__xludf.DUMMYFUNCTION("""COMPUTED_VALUE"""),83.0)</f>
        <v>83</v>
      </c>
      <c r="S1717" s="14">
        <f>IFERROR(__xludf.DUMMYFUNCTION("""COMPUTED_VALUE"""),79.0)</f>
        <v>79</v>
      </c>
      <c r="T1717" s="14">
        <f>IFERROR(__xludf.DUMMYFUNCTION("""COMPUTED_VALUE"""),0.172)</f>
        <v>0.172</v>
      </c>
      <c r="U1717" s="14">
        <f>IFERROR(__xludf.DUMMYFUNCTION("""COMPUTED_VALUE"""),0.663)</f>
        <v>0.663</v>
      </c>
      <c r="V1717" s="14">
        <f>IFERROR(__xludf.DUMMYFUNCTION("""COMPUTED_VALUE"""),0.164)</f>
        <v>0.164</v>
      </c>
      <c r="W1717" s="14">
        <f>IFERROR(__xludf.DUMMYFUNCTION("""COMPUTED_VALUE"""),1.6754962E7)</f>
        <v>16754962</v>
      </c>
      <c r="X1717" s="14">
        <f>IFERROR(__xludf.DUMMYFUNCTION("""COMPUTED_VALUE"""),0.886)</f>
        <v>0.886</v>
      </c>
      <c r="Y1717" s="14" t="str">
        <f>IFERROR(__xludf.DUMMYFUNCTION("""COMPUTED_VALUE"""),"Netherlands-Europe")</f>
        <v>Netherlands-Europe</v>
      </c>
      <c r="Z1717" s="14" t="str">
        <f>IFERROR(__xludf.DUMMYFUNCTION("""COMPUTED_VALUE"""),"Europe")</f>
        <v>Europe</v>
      </c>
      <c r="AA1717" s="14" t="str">
        <f>IFERROR(__xludf.DUMMYFUNCTION("""COMPUTED_VALUE"""),"2012")</f>
        <v>2012</v>
      </c>
      <c r="AB1717" s="15" t="str">
        <f>IFERROR(__xludf.DUMMYFUNCTION("ARRAYFORMULA(VLOOKUP(A1717,IMPORTRANGE(""https://docs.google.com/spreadsheets/d/1BuTWp7qHGjWhqrnf-OmePP568O4A5Am9ttzvVdP67zw/edit#gid=1931367683"" ,""ENERGY!$A$2:$F$2692""), {2,3,4,5,6},0))"),"Europe")</f>
        <v>Europe</v>
      </c>
      <c r="AC1717" s="14" t="str">
        <f>IFERROR(__xludf.DUMMYFUNCTION("""COMPUTED_VALUE"""),"Netherlands-Europe")</f>
        <v>Netherlands-Europe</v>
      </c>
      <c r="AD1717" s="14" t="str">
        <f>IFERROR(__xludf.DUMMYFUNCTION("""COMPUTED_VALUE"""),"2011")</f>
        <v>2011</v>
      </c>
      <c r="AE1717" s="14">
        <f>IFERROR(__xludf.DUMMYFUNCTION("""COMPUTED_VALUE"""),73223.0)</f>
        <v>73223</v>
      </c>
      <c r="AF1717" s="14">
        <f>IFERROR(__xludf.DUMMYFUNCTION("""COMPUTED_VALUE"""),165363.0)</f>
        <v>165363</v>
      </c>
    </row>
    <row r="1718">
      <c r="A1718" s="12">
        <v>1717.0</v>
      </c>
      <c r="B1718" s="12" t="s">
        <v>211</v>
      </c>
      <c r="C1718" s="5" t="s">
        <v>80</v>
      </c>
      <c r="D1718" s="8"/>
      <c r="E1718" s="8"/>
      <c r="F1718" s="8"/>
      <c r="G1718" s="8"/>
      <c r="H1718" s="11">
        <v>0.139</v>
      </c>
      <c r="I1718" s="11">
        <v>0.238</v>
      </c>
      <c r="J1718" s="9" t="s">
        <v>60</v>
      </c>
      <c r="K1718" s="14" t="str">
        <f>IFERROR(__xludf.DUMMYFUNCTION("ARRAYFORMULA(VLOOKUP(A1718,IMPORTRANGE(""https://docs.google.com/spreadsheets/d/1BuTWp7qHGjWhqrnf-OmePP568O4A5Am9ttzvVdP67zw/edit#gid=1603210130"", ""TOURISM!$A$2:$F$2692""), {2,3,4,5,6},0))"),"Oceania")</f>
        <v>Oceania</v>
      </c>
      <c r="L1718" s="14">
        <f>IFERROR(__xludf.DUMMYFUNCTION("""COMPUTED_VALUE"""),1.11E8)</f>
        <v>111000000</v>
      </c>
      <c r="M1718" s="14" t="str">
        <f>IFERROR(__xludf.DUMMYFUNCTION("""COMPUTED_VALUE"""),"New Caledonia-Oceania")</f>
        <v>New Caledonia-Oceania</v>
      </c>
      <c r="N1718" s="14" t="str">
        <f>IFERROR(__xludf.DUMMYFUNCTION("""COMPUTED_VALUE"""),"2000")</f>
        <v>2000</v>
      </c>
      <c r="O1718" s="14"/>
      <c r="P1718" s="15">
        <f>IFERROR(__xludf.DUMMYFUNCTION("ARRAYFORMULA(VLOOKUP(A1718,IMPORTRANGE(""https://docs.google.com/spreadsheets/d/1BuTWp7qHGjWhqrnf-OmePP568O4A5Am9ttzvVdP67zw/edit#gid=771602874"" ,""HUMAN RESOURCES!$A$2:$M$2692""), {2,3,4,5,6,7,8,9,10,11,12,13},0))"),0.021)</f>
        <v>0.021</v>
      </c>
      <c r="Q1718" s="14"/>
      <c r="R1718" s="14">
        <f>IFERROR(__xludf.DUMMYFUNCTION("""COMPUTED_VALUE"""),78.0)</f>
        <v>78</v>
      </c>
      <c r="S1718" s="14">
        <f>IFERROR(__xludf.DUMMYFUNCTION("""COMPUTED_VALUE"""),72.0)</f>
        <v>72</v>
      </c>
      <c r="T1718" s="14">
        <f>IFERROR(__xludf.DUMMYFUNCTION("""COMPUTED_VALUE"""),0.287)</f>
        <v>0.287</v>
      </c>
      <c r="U1718" s="14">
        <f>IFERROR(__xludf.DUMMYFUNCTION("""COMPUTED_VALUE"""),0.654)</f>
        <v>0.654</v>
      </c>
      <c r="V1718" s="14">
        <f>IFERROR(__xludf.DUMMYFUNCTION("""COMPUTED_VALUE"""),0.059)</f>
        <v>0.059</v>
      </c>
      <c r="W1718" s="14">
        <f>IFERROR(__xludf.DUMMYFUNCTION("""COMPUTED_VALUE"""),213230.0)</f>
        <v>213230</v>
      </c>
      <c r="X1718" s="14">
        <f>IFERROR(__xludf.DUMMYFUNCTION("""COMPUTED_VALUE"""),0.618)</f>
        <v>0.618</v>
      </c>
      <c r="Y1718" s="14" t="str">
        <f>IFERROR(__xludf.DUMMYFUNCTION("""COMPUTED_VALUE"""),"New Caledonia-Oceania")</f>
        <v>New Caledonia-Oceania</v>
      </c>
      <c r="Z1718" s="14" t="str">
        <f>IFERROR(__xludf.DUMMYFUNCTION("""COMPUTED_VALUE"""),"Oceania")</f>
        <v>Oceania</v>
      </c>
      <c r="AA1718" s="14" t="str">
        <f>IFERROR(__xludf.DUMMYFUNCTION("""COMPUTED_VALUE"""),"2000")</f>
        <v>2000</v>
      </c>
      <c r="AB1718" s="15" t="str">
        <f>IFERROR(__xludf.DUMMYFUNCTION("ARRAYFORMULA(VLOOKUP(A1718,IMPORTRANGE(""https://docs.google.com/spreadsheets/d/1BuTWp7qHGjWhqrnf-OmePP568O4A5Am9ttzvVdP67zw/edit#gid=1931367683"" ,""ENERGY!$A$2:$F$2692""), {2,3,4,5,6},0))"),"Oceania")</f>
        <v>Oceania</v>
      </c>
      <c r="AC1718" s="14" t="str">
        <f>IFERROR(__xludf.DUMMYFUNCTION("""COMPUTED_VALUE"""),"New Caledonia-Oceania")</f>
        <v>New Caledonia-Oceania</v>
      </c>
      <c r="AD1718" s="14" t="str">
        <f>IFERROR(__xludf.DUMMYFUNCTION("""COMPUTED_VALUE"""),"2000")</f>
        <v>2000</v>
      </c>
      <c r="AE1718" s="14"/>
      <c r="AF1718" s="14"/>
    </row>
    <row r="1719">
      <c r="A1719" s="12">
        <v>1718.0</v>
      </c>
      <c r="B1719" s="12" t="s">
        <v>211</v>
      </c>
      <c r="C1719" s="5" t="s">
        <v>80</v>
      </c>
      <c r="D1719" s="8"/>
      <c r="E1719" s="8"/>
      <c r="F1719" s="8"/>
      <c r="G1719" s="8"/>
      <c r="H1719" s="11">
        <v>0.182</v>
      </c>
      <c r="I1719" s="11">
        <v>0.317</v>
      </c>
      <c r="J1719" s="9" t="s">
        <v>62</v>
      </c>
      <c r="K1719" s="14" t="str">
        <f>IFERROR(__xludf.DUMMYFUNCTION("ARRAYFORMULA(VLOOKUP(A1719,IMPORTRANGE(""https://docs.google.com/spreadsheets/d/1BuTWp7qHGjWhqrnf-OmePP568O4A5Am9ttzvVdP67zw/edit#gid=1603210130"", ""TOURISM!$A$2:$F$2692""), {2,3,4,5,6},0))"),"Oceania")</f>
        <v>Oceania</v>
      </c>
      <c r="L1719" s="14">
        <f>IFERROR(__xludf.DUMMYFUNCTION("""COMPUTED_VALUE"""),9.4E7)</f>
        <v>94000000</v>
      </c>
      <c r="M1719" s="14" t="str">
        <f>IFERROR(__xludf.DUMMYFUNCTION("""COMPUTED_VALUE"""),"New Caledonia-Oceania")</f>
        <v>New Caledonia-Oceania</v>
      </c>
      <c r="N1719" s="14" t="str">
        <f>IFERROR(__xludf.DUMMYFUNCTION("""COMPUTED_VALUE"""),"2001")</f>
        <v>2001</v>
      </c>
      <c r="O1719" s="14"/>
      <c r="P1719" s="15">
        <f>IFERROR(__xludf.DUMMYFUNCTION("ARRAYFORMULA(VLOOKUP(A1719,IMPORTRANGE(""https://docs.google.com/spreadsheets/d/1BuTWp7qHGjWhqrnf-OmePP568O4A5Am9ttzvVdP67zw/edit#gid=771602874"" ,""HUMAN RESOURCES!$A$2:$M$2692""), {2,3,4,5,6,7,8,9,10,11,12,13},0))"),0.02)</f>
        <v>0.02</v>
      </c>
      <c r="Q1719" s="14"/>
      <c r="R1719" s="14">
        <f>IFERROR(__xludf.DUMMYFUNCTION("""COMPUTED_VALUE"""),78.0)</f>
        <v>78</v>
      </c>
      <c r="S1719" s="14">
        <f>IFERROR(__xludf.DUMMYFUNCTION("""COMPUTED_VALUE"""),72.0)</f>
        <v>72</v>
      </c>
      <c r="T1719" s="14">
        <f>IFERROR(__xludf.DUMMYFUNCTION("""COMPUTED_VALUE"""),0.284)</f>
        <v>0.284</v>
      </c>
      <c r="U1719" s="14">
        <f>IFERROR(__xludf.DUMMYFUNCTION("""COMPUTED_VALUE"""),0.655)</f>
        <v>0.655</v>
      </c>
      <c r="V1719" s="14">
        <f>IFERROR(__xludf.DUMMYFUNCTION("""COMPUTED_VALUE"""),0.061)</f>
        <v>0.061</v>
      </c>
      <c r="W1719" s="14">
        <f>IFERROR(__xludf.DUMMYFUNCTION("""COMPUTED_VALUE"""),217324.0)</f>
        <v>217324</v>
      </c>
      <c r="X1719" s="14">
        <f>IFERROR(__xludf.DUMMYFUNCTION("""COMPUTED_VALUE"""),0.622)</f>
        <v>0.622</v>
      </c>
      <c r="Y1719" s="14" t="str">
        <f>IFERROR(__xludf.DUMMYFUNCTION("""COMPUTED_VALUE"""),"New Caledonia-Oceania")</f>
        <v>New Caledonia-Oceania</v>
      </c>
      <c r="Z1719" s="14" t="str">
        <f>IFERROR(__xludf.DUMMYFUNCTION("""COMPUTED_VALUE"""),"Oceania")</f>
        <v>Oceania</v>
      </c>
      <c r="AA1719" s="14" t="str">
        <f>IFERROR(__xludf.DUMMYFUNCTION("""COMPUTED_VALUE"""),"2001")</f>
        <v>2001</v>
      </c>
      <c r="AB1719" s="15" t="str">
        <f>IFERROR(__xludf.DUMMYFUNCTION("ARRAYFORMULA(VLOOKUP(A1719,IMPORTRANGE(""https://docs.google.com/spreadsheets/d/1BuTWp7qHGjWhqrnf-OmePP568O4A5Am9ttzvVdP67zw/edit#gid=1931367683"" ,""ENERGY!$A$2:$F$2692""), {2,3,4,5,6},0))"),"Oceania")</f>
        <v>Oceania</v>
      </c>
      <c r="AC1719" s="14" t="str">
        <f>IFERROR(__xludf.DUMMYFUNCTION("""COMPUTED_VALUE"""),"New Caledonia-Oceania")</f>
        <v>New Caledonia-Oceania</v>
      </c>
      <c r="AD1719" s="14" t="str">
        <f>IFERROR(__xludf.DUMMYFUNCTION("""COMPUTED_VALUE"""),"2001")</f>
        <v>2001</v>
      </c>
      <c r="AE1719" s="14"/>
      <c r="AF1719" s="14"/>
    </row>
    <row r="1720">
      <c r="A1720" s="12">
        <v>1719.0</v>
      </c>
      <c r="B1720" s="12" t="s">
        <v>211</v>
      </c>
      <c r="C1720" s="5" t="s">
        <v>80</v>
      </c>
      <c r="D1720" s="8"/>
      <c r="E1720" s="8"/>
      <c r="F1720" s="8"/>
      <c r="G1720" s="8"/>
      <c r="H1720" s="11">
        <v>0.224</v>
      </c>
      <c r="I1720" s="11">
        <v>0.367</v>
      </c>
      <c r="J1720" s="9" t="s">
        <v>63</v>
      </c>
      <c r="K1720" s="14" t="str">
        <f>IFERROR(__xludf.DUMMYFUNCTION("ARRAYFORMULA(VLOOKUP(A1720,IMPORTRANGE(""https://docs.google.com/spreadsheets/d/1BuTWp7qHGjWhqrnf-OmePP568O4A5Am9ttzvVdP67zw/edit#gid=1603210130"", ""TOURISM!$A$2:$F$2692""), {2,3,4,5,6},0))"),"Oceania")</f>
        <v>Oceania</v>
      </c>
      <c r="L1720" s="14">
        <f>IFERROR(__xludf.DUMMYFUNCTION("""COMPUTED_VALUE"""),1.56E8)</f>
        <v>156000000</v>
      </c>
      <c r="M1720" s="14" t="str">
        <f>IFERROR(__xludf.DUMMYFUNCTION("""COMPUTED_VALUE"""),"New Caledonia-Oceania")</f>
        <v>New Caledonia-Oceania</v>
      </c>
      <c r="N1720" s="14" t="str">
        <f>IFERROR(__xludf.DUMMYFUNCTION("""COMPUTED_VALUE"""),"2002")</f>
        <v>2002</v>
      </c>
      <c r="O1720" s="14">
        <f>IFERROR(__xludf.DUMMYFUNCTION("""COMPUTED_VALUE"""),1.04E8)</f>
        <v>104000000</v>
      </c>
      <c r="P1720" s="15">
        <f>IFERROR(__xludf.DUMMYFUNCTION("ARRAYFORMULA(VLOOKUP(A1720,IMPORTRANGE(""https://docs.google.com/spreadsheets/d/1BuTWp7qHGjWhqrnf-OmePP568O4A5Am9ttzvVdP67zw/edit#gid=771602874"" ,""HUMAN RESOURCES!$A$2:$M$2692""), {2,3,4,5,6,7,8,9,10,11,12,13},0))"),0.019)</f>
        <v>0.019</v>
      </c>
      <c r="Q1720" s="14"/>
      <c r="R1720" s="14">
        <f>IFERROR(__xludf.DUMMYFUNCTION("""COMPUTED_VALUE"""),79.0)</f>
        <v>79</v>
      </c>
      <c r="S1720" s="14">
        <f>IFERROR(__xludf.DUMMYFUNCTION("""COMPUTED_VALUE"""),71.0)</f>
        <v>71</v>
      </c>
      <c r="T1720" s="14">
        <f>IFERROR(__xludf.DUMMYFUNCTION("""COMPUTED_VALUE"""),0.281)</f>
        <v>0.281</v>
      </c>
      <c r="U1720" s="14">
        <f>IFERROR(__xludf.DUMMYFUNCTION("""COMPUTED_VALUE"""),0.657)</f>
        <v>0.657</v>
      </c>
      <c r="V1720" s="14">
        <f>IFERROR(__xludf.DUMMYFUNCTION("""COMPUTED_VALUE"""),0.062)</f>
        <v>0.062</v>
      </c>
      <c r="W1720" s="14">
        <f>IFERROR(__xludf.DUMMYFUNCTION("""COMPUTED_VALUE"""),221490.0)</f>
        <v>221490</v>
      </c>
      <c r="X1720" s="14">
        <f>IFERROR(__xludf.DUMMYFUNCTION("""COMPUTED_VALUE"""),0.626)</f>
        <v>0.626</v>
      </c>
      <c r="Y1720" s="14" t="str">
        <f>IFERROR(__xludf.DUMMYFUNCTION("""COMPUTED_VALUE"""),"New Caledonia-Oceania")</f>
        <v>New Caledonia-Oceania</v>
      </c>
      <c r="Z1720" s="14" t="str">
        <f>IFERROR(__xludf.DUMMYFUNCTION("""COMPUTED_VALUE"""),"Oceania")</f>
        <v>Oceania</v>
      </c>
      <c r="AA1720" s="14" t="str">
        <f>IFERROR(__xludf.DUMMYFUNCTION("""COMPUTED_VALUE"""),"2002")</f>
        <v>2002</v>
      </c>
      <c r="AB1720" s="15" t="str">
        <f>IFERROR(__xludf.DUMMYFUNCTION("ARRAYFORMULA(VLOOKUP(A1720,IMPORTRANGE(""https://docs.google.com/spreadsheets/d/1BuTWp7qHGjWhqrnf-OmePP568O4A5Am9ttzvVdP67zw/edit#gid=1931367683"" ,""ENERGY!$A$2:$F$2692""), {2,3,4,5,6},0))"),"Oceania")</f>
        <v>Oceania</v>
      </c>
      <c r="AC1720" s="14" t="str">
        <f>IFERROR(__xludf.DUMMYFUNCTION("""COMPUTED_VALUE"""),"New Caledonia-Oceania")</f>
        <v>New Caledonia-Oceania</v>
      </c>
      <c r="AD1720" s="14" t="str">
        <f>IFERROR(__xludf.DUMMYFUNCTION("""COMPUTED_VALUE"""),"2002")</f>
        <v>2002</v>
      </c>
      <c r="AE1720" s="14"/>
      <c r="AF1720" s="14">
        <f>IFERROR(__xludf.DUMMYFUNCTION("""COMPUTED_VALUE"""),3920.0)</f>
        <v>3920</v>
      </c>
    </row>
    <row r="1721">
      <c r="A1721" s="12">
        <v>1720.0</v>
      </c>
      <c r="B1721" s="12" t="s">
        <v>211</v>
      </c>
      <c r="C1721" s="5" t="s">
        <v>80</v>
      </c>
      <c r="D1721" s="8"/>
      <c r="E1721" s="8"/>
      <c r="F1721" s="8"/>
      <c r="G1721" s="8"/>
      <c r="H1721" s="11">
        <v>0.264</v>
      </c>
      <c r="I1721" s="11">
        <v>0.439</v>
      </c>
      <c r="J1721" s="9" t="s">
        <v>64</v>
      </c>
      <c r="K1721" s="14" t="str">
        <f>IFERROR(__xludf.DUMMYFUNCTION("ARRAYFORMULA(VLOOKUP(A1721,IMPORTRANGE(""https://docs.google.com/spreadsheets/d/1BuTWp7qHGjWhqrnf-OmePP568O4A5Am9ttzvVdP67zw/edit#gid=1603210130"", ""TOURISM!$A$2:$F$2692""), {2,3,4,5,6},0))"),"Oceania")</f>
        <v>Oceania</v>
      </c>
      <c r="L1721" s="14">
        <f>IFERROR(__xludf.DUMMYFUNCTION("""COMPUTED_VALUE"""),1.96E8)</f>
        <v>196000000</v>
      </c>
      <c r="M1721" s="14" t="str">
        <f>IFERROR(__xludf.DUMMYFUNCTION("""COMPUTED_VALUE"""),"New Caledonia-Oceania")</f>
        <v>New Caledonia-Oceania</v>
      </c>
      <c r="N1721" s="14" t="str">
        <f>IFERROR(__xludf.DUMMYFUNCTION("""COMPUTED_VALUE"""),"2003")</f>
        <v>2003</v>
      </c>
      <c r="O1721" s="14">
        <f>IFERROR(__xludf.DUMMYFUNCTION("""COMPUTED_VALUE"""),1.28E8)</f>
        <v>128000000</v>
      </c>
      <c r="P1721" s="15">
        <f>IFERROR(__xludf.DUMMYFUNCTION("ARRAYFORMULA(VLOOKUP(A1721,IMPORTRANGE(""https://docs.google.com/spreadsheets/d/1BuTWp7qHGjWhqrnf-OmePP568O4A5Am9ttzvVdP67zw/edit#gid=771602874"" ,""HUMAN RESOURCES!$A$2:$M$2692""), {2,3,4,5,6,7,8,9,10,11,12,13},0))"),0.018)</f>
        <v>0.018</v>
      </c>
      <c r="Q1721" s="14"/>
      <c r="R1721" s="14">
        <f>IFERROR(__xludf.DUMMYFUNCTION("""COMPUTED_VALUE"""),79.0)</f>
        <v>79</v>
      </c>
      <c r="S1721" s="14">
        <f>IFERROR(__xludf.DUMMYFUNCTION("""COMPUTED_VALUE"""),72.0)</f>
        <v>72</v>
      </c>
      <c r="T1721" s="14">
        <f>IFERROR(__xludf.DUMMYFUNCTION("""COMPUTED_VALUE"""),0.278)</f>
        <v>0.278</v>
      </c>
      <c r="U1721" s="14">
        <f>IFERROR(__xludf.DUMMYFUNCTION("""COMPUTED_VALUE"""),0.659)</f>
        <v>0.659</v>
      </c>
      <c r="V1721" s="14">
        <f>IFERROR(__xludf.DUMMYFUNCTION("""COMPUTED_VALUE"""),0.063)</f>
        <v>0.063</v>
      </c>
      <c r="W1721" s="14">
        <f>IFERROR(__xludf.DUMMYFUNCTION("""COMPUTED_VALUE"""),225735.0)</f>
        <v>225735</v>
      </c>
      <c r="X1721" s="14">
        <f>IFERROR(__xludf.DUMMYFUNCTION("""COMPUTED_VALUE"""),0.629)</f>
        <v>0.629</v>
      </c>
      <c r="Y1721" s="14" t="str">
        <f>IFERROR(__xludf.DUMMYFUNCTION("""COMPUTED_VALUE"""),"New Caledonia-Oceania")</f>
        <v>New Caledonia-Oceania</v>
      </c>
      <c r="Z1721" s="14" t="str">
        <f>IFERROR(__xludf.DUMMYFUNCTION("""COMPUTED_VALUE"""),"Oceania")</f>
        <v>Oceania</v>
      </c>
      <c r="AA1721" s="14" t="str">
        <f>IFERROR(__xludf.DUMMYFUNCTION("""COMPUTED_VALUE"""),"2003")</f>
        <v>2003</v>
      </c>
      <c r="AB1721" s="15" t="str">
        <f>IFERROR(__xludf.DUMMYFUNCTION("ARRAYFORMULA(VLOOKUP(A1721,IMPORTRANGE(""https://docs.google.com/spreadsheets/d/1BuTWp7qHGjWhqrnf-OmePP568O4A5Am9ttzvVdP67zw/edit#gid=1931367683"" ,""ENERGY!$A$2:$F$2692""), {2,3,4,5,6},0))"),"Oceania")</f>
        <v>Oceania</v>
      </c>
      <c r="AC1721" s="14" t="str">
        <f>IFERROR(__xludf.DUMMYFUNCTION("""COMPUTED_VALUE"""),"New Caledonia-Oceania")</f>
        <v>New Caledonia-Oceania</v>
      </c>
      <c r="AD1721" s="14" t="str">
        <f>IFERROR(__xludf.DUMMYFUNCTION("""COMPUTED_VALUE"""),"2003")</f>
        <v>2003</v>
      </c>
      <c r="AE1721" s="14"/>
      <c r="AF1721" s="14">
        <f>IFERROR(__xludf.DUMMYFUNCTION("""COMPUTED_VALUE"""),2849.0)</f>
        <v>2849</v>
      </c>
    </row>
    <row r="1722">
      <c r="A1722" s="12">
        <v>1721.0</v>
      </c>
      <c r="B1722" s="12" t="s">
        <v>211</v>
      </c>
      <c r="C1722" s="5" t="s">
        <v>80</v>
      </c>
      <c r="D1722" s="8"/>
      <c r="E1722" s="8"/>
      <c r="F1722" s="8"/>
      <c r="G1722" s="8"/>
      <c r="H1722" s="11">
        <v>0.303</v>
      </c>
      <c r="I1722" s="11">
        <v>0.517</v>
      </c>
      <c r="J1722" s="9" t="s">
        <v>65</v>
      </c>
      <c r="K1722" s="14" t="str">
        <f>IFERROR(__xludf.DUMMYFUNCTION("ARRAYFORMULA(VLOOKUP(A1722,IMPORTRANGE(""https://docs.google.com/spreadsheets/d/1BuTWp7qHGjWhqrnf-OmePP568O4A5Am9ttzvVdP67zw/edit#gid=1603210130"", ""TOURISM!$A$2:$F$2692""), {2,3,4,5,6},0))"),"Oceania")</f>
        <v>Oceania</v>
      </c>
      <c r="L1722" s="14">
        <f>IFERROR(__xludf.DUMMYFUNCTION("""COMPUTED_VALUE"""),2.41E8)</f>
        <v>241000000</v>
      </c>
      <c r="M1722" s="14" t="str">
        <f>IFERROR(__xludf.DUMMYFUNCTION("""COMPUTED_VALUE"""),"New Caledonia-Oceania")</f>
        <v>New Caledonia-Oceania</v>
      </c>
      <c r="N1722" s="14" t="str">
        <f>IFERROR(__xludf.DUMMYFUNCTION("""COMPUTED_VALUE"""),"2004")</f>
        <v>2004</v>
      </c>
      <c r="O1722" s="14">
        <f>IFERROR(__xludf.DUMMYFUNCTION("""COMPUTED_VALUE"""),1.67E8)</f>
        <v>167000000</v>
      </c>
      <c r="P1722" s="15">
        <f>IFERROR(__xludf.DUMMYFUNCTION("ARRAYFORMULA(VLOOKUP(A1722,IMPORTRANGE(""https://docs.google.com/spreadsheets/d/1BuTWp7qHGjWhqrnf-OmePP568O4A5Am9ttzvVdP67zw/edit#gid=771602874"" ,""HUMAN RESOURCES!$A$2:$M$2692""), {2,3,4,5,6,7,8,9,10,11,12,13},0))"),0.017)</f>
        <v>0.017</v>
      </c>
      <c r="Q1722" s="14"/>
      <c r="R1722" s="14">
        <f>IFERROR(__xludf.DUMMYFUNCTION("""COMPUTED_VALUE"""),79.0)</f>
        <v>79</v>
      </c>
      <c r="S1722" s="14">
        <f>IFERROR(__xludf.DUMMYFUNCTION("""COMPUTED_VALUE"""),72.0)</f>
        <v>72</v>
      </c>
      <c r="T1722" s="14">
        <f>IFERROR(__xludf.DUMMYFUNCTION("""COMPUTED_VALUE"""),0.274)</f>
        <v>0.274</v>
      </c>
      <c r="U1722" s="14">
        <f>IFERROR(__xludf.DUMMYFUNCTION("""COMPUTED_VALUE"""),0.661)</f>
        <v>0.661</v>
      </c>
      <c r="V1722" s="14">
        <f>IFERROR(__xludf.DUMMYFUNCTION("""COMPUTED_VALUE"""),0.066)</f>
        <v>0.066</v>
      </c>
      <c r="W1722" s="14">
        <f>IFERROR(__xludf.DUMMYFUNCTION("""COMPUTED_VALUE"""),230068.0)</f>
        <v>230068</v>
      </c>
      <c r="X1722" s="14">
        <f>IFERROR(__xludf.DUMMYFUNCTION("""COMPUTED_VALUE"""),0.633)</f>
        <v>0.633</v>
      </c>
      <c r="Y1722" s="14" t="str">
        <f>IFERROR(__xludf.DUMMYFUNCTION("""COMPUTED_VALUE"""),"New Caledonia-Oceania")</f>
        <v>New Caledonia-Oceania</v>
      </c>
      <c r="Z1722" s="14" t="str">
        <f>IFERROR(__xludf.DUMMYFUNCTION("""COMPUTED_VALUE"""),"Oceania")</f>
        <v>Oceania</v>
      </c>
      <c r="AA1722" s="14" t="str">
        <f>IFERROR(__xludf.DUMMYFUNCTION("""COMPUTED_VALUE"""),"2004")</f>
        <v>2004</v>
      </c>
      <c r="AB1722" s="15" t="str">
        <f>IFERROR(__xludf.DUMMYFUNCTION("ARRAYFORMULA(VLOOKUP(A1722,IMPORTRANGE(""https://docs.google.com/spreadsheets/d/1BuTWp7qHGjWhqrnf-OmePP568O4A5Am9ttzvVdP67zw/edit#gid=1931367683"" ,""ENERGY!$A$2:$F$2692""), {2,3,4,5,6},0))"),"Oceania")</f>
        <v>Oceania</v>
      </c>
      <c r="AC1722" s="14" t="str">
        <f>IFERROR(__xludf.DUMMYFUNCTION("""COMPUTED_VALUE"""),"New Caledonia-Oceania")</f>
        <v>New Caledonia-Oceania</v>
      </c>
      <c r="AD1722" s="14" t="str">
        <f>IFERROR(__xludf.DUMMYFUNCTION("""COMPUTED_VALUE"""),"2004")</f>
        <v>2004</v>
      </c>
      <c r="AE1722" s="14"/>
      <c r="AF1722" s="14">
        <f>IFERROR(__xludf.DUMMYFUNCTION("""COMPUTED_VALUE"""),3282.0)</f>
        <v>3282</v>
      </c>
    </row>
    <row r="1723">
      <c r="A1723" s="12">
        <v>1722.0</v>
      </c>
      <c r="B1723" s="12" t="s">
        <v>211</v>
      </c>
      <c r="C1723" s="5" t="s">
        <v>80</v>
      </c>
      <c r="D1723" s="8"/>
      <c r="E1723" s="8"/>
      <c r="F1723" s="8"/>
      <c r="G1723" s="8"/>
      <c r="H1723" s="11">
        <v>0.324</v>
      </c>
      <c r="I1723" s="11">
        <v>0.587</v>
      </c>
      <c r="J1723" s="9" t="s">
        <v>66</v>
      </c>
      <c r="K1723" s="14" t="str">
        <f>IFERROR(__xludf.DUMMYFUNCTION("ARRAYFORMULA(VLOOKUP(A1723,IMPORTRANGE(""https://docs.google.com/spreadsheets/d/1BuTWp7qHGjWhqrnf-OmePP568O4A5Am9ttzvVdP67zw/edit#gid=1603210130"", ""TOURISM!$A$2:$F$2692""), {2,3,4,5,6},0))"),"Oceania")</f>
        <v>Oceania</v>
      </c>
      <c r="L1723" s="14">
        <f>IFERROR(__xludf.DUMMYFUNCTION("""COMPUTED_VALUE"""),1.49E8)</f>
        <v>149000000</v>
      </c>
      <c r="M1723" s="14" t="str">
        <f>IFERROR(__xludf.DUMMYFUNCTION("""COMPUTED_VALUE"""),"New Caledonia-Oceania")</f>
        <v>New Caledonia-Oceania</v>
      </c>
      <c r="N1723" s="14" t="str">
        <f>IFERROR(__xludf.DUMMYFUNCTION("""COMPUTED_VALUE"""),"2005")</f>
        <v>2005</v>
      </c>
      <c r="O1723" s="14">
        <f>IFERROR(__xludf.DUMMYFUNCTION("""COMPUTED_VALUE"""),1.22E8)</f>
        <v>122000000</v>
      </c>
      <c r="P1723" s="15">
        <f>IFERROR(__xludf.DUMMYFUNCTION("ARRAYFORMULA(VLOOKUP(A1723,IMPORTRANGE(""https://docs.google.com/spreadsheets/d/1BuTWp7qHGjWhqrnf-OmePP568O4A5Am9ttzvVdP67zw/edit#gid=771602874"" ,""HUMAN RESOURCES!$A$2:$M$2692""), {2,3,4,5,6,7,8,9,10,11,12,13},0))"),0.017)</f>
        <v>0.017</v>
      </c>
      <c r="Q1723" s="14"/>
      <c r="R1723" s="14">
        <f>IFERROR(__xludf.DUMMYFUNCTION("""COMPUTED_VALUE"""),79.0)</f>
        <v>79</v>
      </c>
      <c r="S1723" s="14">
        <f>IFERROR(__xludf.DUMMYFUNCTION("""COMPUTED_VALUE"""),72.0)</f>
        <v>72</v>
      </c>
      <c r="T1723" s="14">
        <f>IFERROR(__xludf.DUMMYFUNCTION("""COMPUTED_VALUE"""),0.269)</f>
        <v>0.269</v>
      </c>
      <c r="U1723" s="14">
        <f>IFERROR(__xludf.DUMMYFUNCTION("""COMPUTED_VALUE"""),0.662)</f>
        <v>0.662</v>
      </c>
      <c r="V1723" s="14">
        <f>IFERROR(__xludf.DUMMYFUNCTION("""COMPUTED_VALUE"""),0.069)</f>
        <v>0.069</v>
      </c>
      <c r="W1723" s="14">
        <f>IFERROR(__xludf.DUMMYFUNCTION("""COMPUTED_VALUE"""),234393.0)</f>
        <v>234393</v>
      </c>
      <c r="X1723" s="14">
        <f>IFERROR(__xludf.DUMMYFUNCTION("""COMPUTED_VALUE"""),0.64)</f>
        <v>0.64</v>
      </c>
      <c r="Y1723" s="14" t="str">
        <f>IFERROR(__xludf.DUMMYFUNCTION("""COMPUTED_VALUE"""),"New Caledonia-Oceania")</f>
        <v>New Caledonia-Oceania</v>
      </c>
      <c r="Z1723" s="14" t="str">
        <f>IFERROR(__xludf.DUMMYFUNCTION("""COMPUTED_VALUE"""),"Oceania")</f>
        <v>Oceania</v>
      </c>
      <c r="AA1723" s="14" t="str">
        <f>IFERROR(__xludf.DUMMYFUNCTION("""COMPUTED_VALUE"""),"2005")</f>
        <v>2005</v>
      </c>
      <c r="AB1723" s="15" t="str">
        <f>IFERROR(__xludf.DUMMYFUNCTION("ARRAYFORMULA(VLOOKUP(A1723,IMPORTRANGE(""https://docs.google.com/spreadsheets/d/1BuTWp7qHGjWhqrnf-OmePP568O4A5Am9ttzvVdP67zw/edit#gid=1931367683"" ,""ENERGY!$A$2:$F$2692""), {2,3,4,5,6},0))"),"Oceania")</f>
        <v>Oceania</v>
      </c>
      <c r="AC1723" s="14" t="str">
        <f>IFERROR(__xludf.DUMMYFUNCTION("""COMPUTED_VALUE"""),"New Caledonia-Oceania")</f>
        <v>New Caledonia-Oceania</v>
      </c>
      <c r="AD1723" s="14" t="str">
        <f>IFERROR(__xludf.DUMMYFUNCTION("""COMPUTED_VALUE"""),"2008")</f>
        <v>2008</v>
      </c>
      <c r="AE1723" s="14"/>
      <c r="AF1723" s="14">
        <f>IFERROR(__xludf.DUMMYFUNCTION("""COMPUTED_VALUE"""),2945.0)</f>
        <v>2945</v>
      </c>
    </row>
    <row r="1724">
      <c r="A1724" s="12">
        <v>1723.0</v>
      </c>
      <c r="B1724" s="12" t="s">
        <v>211</v>
      </c>
      <c r="C1724" s="5" t="s">
        <v>80</v>
      </c>
      <c r="D1724" s="8"/>
      <c r="E1724" s="8"/>
      <c r="F1724" s="8"/>
      <c r="G1724" s="8"/>
      <c r="H1724" s="11">
        <v>0.335</v>
      </c>
      <c r="I1724" s="11">
        <v>0.667</v>
      </c>
      <c r="J1724" s="9" t="s">
        <v>67</v>
      </c>
      <c r="K1724" s="14" t="str">
        <f>IFERROR(__xludf.DUMMYFUNCTION("ARRAYFORMULA(VLOOKUP(A1724,IMPORTRANGE(""https://docs.google.com/spreadsheets/d/1BuTWp7qHGjWhqrnf-OmePP568O4A5Am9ttzvVdP67zw/edit#gid=1603210130"", ""TOURISM!$A$2:$F$2692""), {2,3,4,5,6},0))"),"Oceania")</f>
        <v>Oceania</v>
      </c>
      <c r="L1724" s="14">
        <f>IFERROR(__xludf.DUMMYFUNCTION("""COMPUTED_VALUE"""),1.22E8)</f>
        <v>122000000</v>
      </c>
      <c r="M1724" s="14" t="str">
        <f>IFERROR(__xludf.DUMMYFUNCTION("""COMPUTED_VALUE"""),"New Caledonia-Oceania")</f>
        <v>New Caledonia-Oceania</v>
      </c>
      <c r="N1724" s="14" t="str">
        <f>IFERROR(__xludf.DUMMYFUNCTION("""COMPUTED_VALUE"""),"2006")</f>
        <v>2006</v>
      </c>
      <c r="O1724" s="14">
        <f>IFERROR(__xludf.DUMMYFUNCTION("""COMPUTED_VALUE"""),1.29E8)</f>
        <v>129000000</v>
      </c>
      <c r="P1724" s="15">
        <f>IFERROR(__xludf.DUMMYFUNCTION("ARRAYFORMULA(VLOOKUP(A1724,IMPORTRANGE(""https://docs.google.com/spreadsheets/d/1BuTWp7qHGjWhqrnf-OmePP568O4A5Am9ttzvVdP67zw/edit#gid=771602874"" ,""HUMAN RESOURCES!$A$2:$M$2692""), {2,3,4,5,6,7,8,9,10,11,12,13},0))"),0.018)</f>
        <v>0.018</v>
      </c>
      <c r="Q1724" s="14"/>
      <c r="R1724" s="14">
        <f>IFERROR(__xludf.DUMMYFUNCTION("""COMPUTED_VALUE"""),80.0)</f>
        <v>80</v>
      </c>
      <c r="S1724" s="14">
        <f>IFERROR(__xludf.DUMMYFUNCTION("""COMPUTED_VALUE"""),73.0)</f>
        <v>73</v>
      </c>
      <c r="T1724" s="14">
        <f>IFERROR(__xludf.DUMMYFUNCTION("""COMPUTED_VALUE"""),0.262)</f>
        <v>0.262</v>
      </c>
      <c r="U1724" s="14">
        <f>IFERROR(__xludf.DUMMYFUNCTION("""COMPUTED_VALUE"""),0.664)</f>
        <v>0.664</v>
      </c>
      <c r="V1724" s="14">
        <f>IFERROR(__xludf.DUMMYFUNCTION("""COMPUTED_VALUE"""),0.074)</f>
        <v>0.074</v>
      </c>
      <c r="W1724" s="14">
        <f>IFERROR(__xludf.DUMMYFUNCTION("""COMPUTED_VALUE"""),238459.0)</f>
        <v>238459</v>
      </c>
      <c r="X1724" s="14">
        <f>IFERROR(__xludf.DUMMYFUNCTION("""COMPUTED_VALUE"""),0.646)</f>
        <v>0.646</v>
      </c>
      <c r="Y1724" s="14" t="str">
        <f>IFERROR(__xludf.DUMMYFUNCTION("""COMPUTED_VALUE"""),"New Caledonia-Oceania")</f>
        <v>New Caledonia-Oceania</v>
      </c>
      <c r="Z1724" s="14" t="str">
        <f>IFERROR(__xludf.DUMMYFUNCTION("""COMPUTED_VALUE"""),"Oceania")</f>
        <v>Oceania</v>
      </c>
      <c r="AA1724" s="14" t="str">
        <f>IFERROR(__xludf.DUMMYFUNCTION("""COMPUTED_VALUE"""),"2006")</f>
        <v>2006</v>
      </c>
      <c r="AB1724" s="15" t="str">
        <f>IFERROR(__xludf.DUMMYFUNCTION("ARRAYFORMULA(VLOOKUP(A1724,IMPORTRANGE(""https://docs.google.com/spreadsheets/d/1BuTWp7qHGjWhqrnf-OmePP568O4A5Am9ttzvVdP67zw/edit#gid=1931367683"" ,""ENERGY!$A$2:$F$2692""), {2,3,4,5,6},0))"),"Oceania")</f>
        <v>Oceania</v>
      </c>
      <c r="AC1724" s="14" t="str">
        <f>IFERROR(__xludf.DUMMYFUNCTION("""COMPUTED_VALUE"""),"New Caledonia-Oceania")</f>
        <v>New Caledonia-Oceania</v>
      </c>
      <c r="AD1724" s="14" t="str">
        <f>IFERROR(__xludf.DUMMYFUNCTION("""COMPUTED_VALUE"""),"2012")</f>
        <v>2012</v>
      </c>
      <c r="AE1724" s="14"/>
      <c r="AF1724" s="14">
        <f>IFERROR(__xludf.DUMMYFUNCTION("""COMPUTED_VALUE"""),2780.0)</f>
        <v>2780</v>
      </c>
    </row>
    <row r="1725">
      <c r="A1725" s="12">
        <v>1724.0</v>
      </c>
      <c r="B1725" s="12" t="s">
        <v>211</v>
      </c>
      <c r="C1725" s="5" t="s">
        <v>80</v>
      </c>
      <c r="D1725" s="8"/>
      <c r="E1725" s="8"/>
      <c r="F1725" s="8"/>
      <c r="G1725" s="8"/>
      <c r="H1725" s="11">
        <v>0.351</v>
      </c>
      <c r="I1725" s="11">
        <v>0.748</v>
      </c>
      <c r="J1725" s="9" t="s">
        <v>68</v>
      </c>
      <c r="K1725" s="14" t="str">
        <f>IFERROR(__xludf.DUMMYFUNCTION("ARRAYFORMULA(VLOOKUP(A1725,IMPORTRANGE(""https://docs.google.com/spreadsheets/d/1BuTWp7qHGjWhqrnf-OmePP568O4A5Am9ttzvVdP67zw/edit#gid=1603210130"", ""TOURISM!$A$2:$F$2692""), {2,3,4,5,6},0))"),"Oceania")</f>
        <v>Oceania</v>
      </c>
      <c r="L1725" s="14">
        <f>IFERROR(__xludf.DUMMYFUNCTION("""COMPUTED_VALUE"""),1.42E8)</f>
        <v>142000000</v>
      </c>
      <c r="M1725" s="14" t="str">
        <f>IFERROR(__xludf.DUMMYFUNCTION("""COMPUTED_VALUE"""),"New Caledonia-Oceania")</f>
        <v>New Caledonia-Oceania</v>
      </c>
      <c r="N1725" s="14" t="str">
        <f>IFERROR(__xludf.DUMMYFUNCTION("""COMPUTED_VALUE"""),"2007")</f>
        <v>2007</v>
      </c>
      <c r="O1725" s="14">
        <f>IFERROR(__xludf.DUMMYFUNCTION("""COMPUTED_VALUE"""),1.49E8)</f>
        <v>149000000</v>
      </c>
      <c r="P1725" s="15">
        <f>IFERROR(__xludf.DUMMYFUNCTION("ARRAYFORMULA(VLOOKUP(A1725,IMPORTRANGE(""https://docs.google.com/spreadsheets/d/1BuTWp7qHGjWhqrnf-OmePP568O4A5Am9ttzvVdP67zw/edit#gid=771602874"" ,""HUMAN RESOURCES!$A$2:$M$2692""), {2,3,4,5,6,7,8,9,10,11,12,13},0))"),0.017)</f>
        <v>0.017</v>
      </c>
      <c r="Q1725" s="14"/>
      <c r="R1725" s="14">
        <f>IFERROR(__xludf.DUMMYFUNCTION("""COMPUTED_VALUE"""),80.0)</f>
        <v>80</v>
      </c>
      <c r="S1725" s="14">
        <f>IFERROR(__xludf.DUMMYFUNCTION("""COMPUTED_VALUE"""),72.0)</f>
        <v>72</v>
      </c>
      <c r="T1725" s="14">
        <f>IFERROR(__xludf.DUMMYFUNCTION("""COMPUTED_VALUE"""),0.255)</f>
        <v>0.255</v>
      </c>
      <c r="U1725" s="14">
        <f>IFERROR(__xludf.DUMMYFUNCTION("""COMPUTED_VALUE"""),0.665)</f>
        <v>0.665</v>
      </c>
      <c r="V1725" s="14">
        <f>IFERROR(__xludf.DUMMYFUNCTION("""COMPUTED_VALUE"""),0.08)</f>
        <v>0.08</v>
      </c>
      <c r="W1725" s="14">
        <f>IFERROR(__xludf.DUMMYFUNCTION("""COMPUTED_VALUE"""),242400.0)</f>
        <v>242400</v>
      </c>
      <c r="X1725" s="14">
        <f>IFERROR(__xludf.DUMMYFUNCTION("""COMPUTED_VALUE"""),0.653)</f>
        <v>0.653</v>
      </c>
      <c r="Y1725" s="14" t="str">
        <f>IFERROR(__xludf.DUMMYFUNCTION("""COMPUTED_VALUE"""),"New Caledonia-Oceania")</f>
        <v>New Caledonia-Oceania</v>
      </c>
      <c r="Z1725" s="14" t="str">
        <f>IFERROR(__xludf.DUMMYFUNCTION("""COMPUTED_VALUE"""),"Oceania")</f>
        <v>Oceania</v>
      </c>
      <c r="AA1725" s="14" t="str">
        <f>IFERROR(__xludf.DUMMYFUNCTION("""COMPUTED_VALUE"""),"2007")</f>
        <v>2007</v>
      </c>
      <c r="AB1725" s="15" t="str">
        <f>IFERROR(__xludf.DUMMYFUNCTION("ARRAYFORMULA(VLOOKUP(A1725,IMPORTRANGE(""https://docs.google.com/spreadsheets/d/1BuTWp7qHGjWhqrnf-OmePP568O4A5Am9ttzvVdP67zw/edit#gid=1931367683"" ,""ENERGY!$A$2:$F$2692""), {2,3,4,5,6},0))"),"Oceania")</f>
        <v>Oceania</v>
      </c>
      <c r="AC1725" s="14" t="str">
        <f>IFERROR(__xludf.DUMMYFUNCTION("""COMPUTED_VALUE"""),"New Caledonia-Oceania")</f>
        <v>New Caledonia-Oceania</v>
      </c>
      <c r="AD1725" s="14" t="str">
        <f>IFERROR(__xludf.DUMMYFUNCTION("""COMPUTED_VALUE"""),"2009")</f>
        <v>2009</v>
      </c>
      <c r="AE1725" s="14"/>
      <c r="AF1725" s="14">
        <f>IFERROR(__xludf.DUMMYFUNCTION("""COMPUTED_VALUE"""),2838.0)</f>
        <v>2838</v>
      </c>
    </row>
    <row r="1726">
      <c r="A1726" s="12">
        <v>1725.0</v>
      </c>
      <c r="B1726" s="12" t="s">
        <v>211</v>
      </c>
      <c r="C1726" s="5" t="s">
        <v>80</v>
      </c>
      <c r="D1726" s="8"/>
      <c r="E1726" s="8"/>
      <c r="F1726" s="8"/>
      <c r="G1726" s="8"/>
      <c r="H1726" s="11">
        <v>0.345</v>
      </c>
      <c r="I1726" s="11">
        <v>0.821</v>
      </c>
      <c r="J1726" s="9" t="s">
        <v>69</v>
      </c>
      <c r="K1726" s="14" t="str">
        <f>IFERROR(__xludf.DUMMYFUNCTION("ARRAYFORMULA(VLOOKUP(A1726,IMPORTRANGE(""https://docs.google.com/spreadsheets/d/1BuTWp7qHGjWhqrnf-OmePP568O4A5Am9ttzvVdP67zw/edit#gid=1603210130"", ""TOURISM!$A$2:$F$2692""), {2,3,4,5,6},0))"),"Oceania")</f>
        <v>Oceania</v>
      </c>
      <c r="L1726" s="14">
        <f>IFERROR(__xludf.DUMMYFUNCTION("""COMPUTED_VALUE"""),1.52E8)</f>
        <v>152000000</v>
      </c>
      <c r="M1726" s="14" t="str">
        <f>IFERROR(__xludf.DUMMYFUNCTION("""COMPUTED_VALUE"""),"New Caledonia-Oceania")</f>
        <v>New Caledonia-Oceania</v>
      </c>
      <c r="N1726" s="14" t="str">
        <f>IFERROR(__xludf.DUMMYFUNCTION("""COMPUTED_VALUE"""),"2008")</f>
        <v>2008</v>
      </c>
      <c r="O1726" s="14">
        <f>IFERROR(__xludf.DUMMYFUNCTION("""COMPUTED_VALUE"""),1.68E8)</f>
        <v>168000000</v>
      </c>
      <c r="P1726" s="15">
        <f>IFERROR(__xludf.DUMMYFUNCTION("ARRAYFORMULA(VLOOKUP(A1726,IMPORTRANGE(""https://docs.google.com/spreadsheets/d/1BuTWp7qHGjWhqrnf-OmePP568O4A5Am9ttzvVdP67zw/edit#gid=771602874"" ,""HUMAN RESOURCES!$A$2:$M$2692""), {2,3,4,5,6,7,8,9,10,11,12,13},0))"),0.016)</f>
        <v>0.016</v>
      </c>
      <c r="Q1726" s="14"/>
      <c r="R1726" s="14">
        <f>IFERROR(__xludf.DUMMYFUNCTION("""COMPUTED_VALUE"""),81.0)</f>
        <v>81</v>
      </c>
      <c r="S1726" s="14">
        <f>IFERROR(__xludf.DUMMYFUNCTION("""COMPUTED_VALUE"""),72.0)</f>
        <v>72</v>
      </c>
      <c r="T1726" s="14">
        <f>IFERROR(__xludf.DUMMYFUNCTION("""COMPUTED_VALUE"""),0.248)</f>
        <v>0.248</v>
      </c>
      <c r="U1726" s="14">
        <f>IFERROR(__xludf.DUMMYFUNCTION("""COMPUTED_VALUE"""),0.667)</f>
        <v>0.667</v>
      </c>
      <c r="V1726" s="14">
        <f>IFERROR(__xludf.DUMMYFUNCTION("""COMPUTED_VALUE"""),0.086)</f>
        <v>0.086</v>
      </c>
      <c r="W1726" s="14">
        <f>IFERROR(__xludf.DUMMYFUNCTION("""COMPUTED_VALUE"""),243985.0)</f>
        <v>243985</v>
      </c>
      <c r="X1726" s="14">
        <f>IFERROR(__xludf.DUMMYFUNCTION("""COMPUTED_VALUE"""),0.66)</f>
        <v>0.66</v>
      </c>
      <c r="Y1726" s="14" t="str">
        <f>IFERROR(__xludf.DUMMYFUNCTION("""COMPUTED_VALUE"""),"New Caledonia-Oceania")</f>
        <v>New Caledonia-Oceania</v>
      </c>
      <c r="Z1726" s="14" t="str">
        <f>IFERROR(__xludf.DUMMYFUNCTION("""COMPUTED_VALUE"""),"Oceania")</f>
        <v>Oceania</v>
      </c>
      <c r="AA1726" s="14" t="str">
        <f>IFERROR(__xludf.DUMMYFUNCTION("""COMPUTED_VALUE"""),"2008")</f>
        <v>2008</v>
      </c>
      <c r="AB1726" s="15" t="str">
        <f>IFERROR(__xludf.DUMMYFUNCTION("ARRAYFORMULA(VLOOKUP(A1726,IMPORTRANGE(""https://docs.google.com/spreadsheets/d/1BuTWp7qHGjWhqrnf-OmePP568O4A5Am9ttzvVdP67zw/edit#gid=1931367683"" ,""ENERGY!$A$2:$F$2692""), {2,3,4,5,6},0))"),"Oceania")</f>
        <v>Oceania</v>
      </c>
      <c r="AC1726" s="14" t="str">
        <f>IFERROR(__xludf.DUMMYFUNCTION("""COMPUTED_VALUE"""),"New Caledonia-Oceania")</f>
        <v>New Caledonia-Oceania</v>
      </c>
      <c r="AD1726" s="14" t="str">
        <f>IFERROR(__xludf.DUMMYFUNCTION("""COMPUTED_VALUE"""),"2006")</f>
        <v>2006</v>
      </c>
      <c r="AE1726" s="14"/>
      <c r="AF1726" s="14">
        <f>IFERROR(__xludf.DUMMYFUNCTION("""COMPUTED_VALUE"""),2552.0)</f>
        <v>2552</v>
      </c>
    </row>
    <row r="1727">
      <c r="A1727" s="12">
        <v>1726.0</v>
      </c>
      <c r="B1727" s="12" t="s">
        <v>211</v>
      </c>
      <c r="C1727" s="5" t="s">
        <v>80</v>
      </c>
      <c r="D1727" s="8"/>
      <c r="E1727" s="8"/>
      <c r="F1727" s="8"/>
      <c r="G1727" s="8"/>
      <c r="H1727" s="11">
        <v>0.34</v>
      </c>
      <c r="I1727" s="11">
        <v>0.863</v>
      </c>
      <c r="J1727" s="9" t="s">
        <v>70</v>
      </c>
      <c r="K1727" s="14" t="str">
        <f>IFERROR(__xludf.DUMMYFUNCTION("ARRAYFORMULA(VLOOKUP(A1727,IMPORTRANGE(""https://docs.google.com/spreadsheets/d/1BuTWp7qHGjWhqrnf-OmePP568O4A5Am9ttzvVdP67zw/edit#gid=1603210130"", ""TOURISM!$A$2:$F$2692""), {2,3,4,5,6},0))"),"Oceania")</f>
        <v>Oceania</v>
      </c>
      <c r="L1727" s="14">
        <f>IFERROR(__xludf.DUMMYFUNCTION("""COMPUTED_VALUE"""),1.41E8)</f>
        <v>141000000</v>
      </c>
      <c r="M1727" s="14" t="str">
        <f>IFERROR(__xludf.DUMMYFUNCTION("""COMPUTED_VALUE"""),"New Caledonia-Oceania")</f>
        <v>New Caledonia-Oceania</v>
      </c>
      <c r="N1727" s="14" t="str">
        <f>IFERROR(__xludf.DUMMYFUNCTION("""COMPUTED_VALUE"""),"2009")</f>
        <v>2009</v>
      </c>
      <c r="O1727" s="14">
        <f>IFERROR(__xludf.DUMMYFUNCTION("""COMPUTED_VALUE"""),1.7E8)</f>
        <v>170000000</v>
      </c>
      <c r="P1727" s="15">
        <f>IFERROR(__xludf.DUMMYFUNCTION("ARRAYFORMULA(VLOOKUP(A1727,IMPORTRANGE(""https://docs.google.com/spreadsheets/d/1BuTWp7qHGjWhqrnf-OmePP568O4A5Am9ttzvVdP67zw/edit#gid=771602874"" ,""HUMAN RESOURCES!$A$2:$M$2692""), {2,3,4,5,6,7,8,9,10,11,12,13},0))"),0.016)</f>
        <v>0.016</v>
      </c>
      <c r="Q1727" s="14"/>
      <c r="R1727" s="14">
        <f>IFERROR(__xludf.DUMMYFUNCTION("""COMPUTED_VALUE"""),81.0)</f>
        <v>81</v>
      </c>
      <c r="S1727" s="14">
        <f>IFERROR(__xludf.DUMMYFUNCTION("""COMPUTED_VALUE"""),72.0)</f>
        <v>72</v>
      </c>
      <c r="T1727" s="14">
        <f>IFERROR(__xludf.DUMMYFUNCTION("""COMPUTED_VALUE"""),0.241)</f>
        <v>0.241</v>
      </c>
      <c r="U1727" s="14">
        <f>IFERROR(__xludf.DUMMYFUNCTION("""COMPUTED_VALUE"""),0.668)</f>
        <v>0.668</v>
      </c>
      <c r="V1727" s="14">
        <f>IFERROR(__xludf.DUMMYFUNCTION("""COMPUTED_VALUE"""),0.091)</f>
        <v>0.091</v>
      </c>
      <c r="W1727" s="14">
        <f>IFERROR(__xludf.DUMMYFUNCTION("""COMPUTED_VALUE"""),245580.0)</f>
        <v>245580</v>
      </c>
      <c r="X1727" s="14">
        <f>IFERROR(__xludf.DUMMYFUNCTION("""COMPUTED_VALUE"""),0.666)</f>
        <v>0.666</v>
      </c>
      <c r="Y1727" s="14" t="str">
        <f>IFERROR(__xludf.DUMMYFUNCTION("""COMPUTED_VALUE"""),"New Caledonia-Oceania")</f>
        <v>New Caledonia-Oceania</v>
      </c>
      <c r="Z1727" s="14" t="str">
        <f>IFERROR(__xludf.DUMMYFUNCTION("""COMPUTED_VALUE"""),"Oceania")</f>
        <v>Oceania</v>
      </c>
      <c r="AA1727" s="14" t="str">
        <f>IFERROR(__xludf.DUMMYFUNCTION("""COMPUTED_VALUE"""),"2009")</f>
        <v>2009</v>
      </c>
      <c r="AB1727" s="15" t="str">
        <f>IFERROR(__xludf.DUMMYFUNCTION("ARRAYFORMULA(VLOOKUP(A1727,IMPORTRANGE(""https://docs.google.com/spreadsheets/d/1BuTWp7qHGjWhqrnf-OmePP568O4A5Am9ttzvVdP67zw/edit#gid=1931367683"" ,""ENERGY!$A$2:$F$2692""), {2,3,4,5,6},0))"),"Oceania")</f>
        <v>Oceania</v>
      </c>
      <c r="AC1727" s="14" t="str">
        <f>IFERROR(__xludf.DUMMYFUNCTION("""COMPUTED_VALUE"""),"New Caledonia-Oceania")</f>
        <v>New Caledonia-Oceania</v>
      </c>
      <c r="AD1727" s="14" t="str">
        <f>IFERROR(__xludf.DUMMYFUNCTION("""COMPUTED_VALUE"""),"2011")</f>
        <v>2011</v>
      </c>
      <c r="AE1727" s="14"/>
      <c r="AF1727" s="14">
        <f>IFERROR(__xludf.DUMMYFUNCTION("""COMPUTED_VALUE"""),2750.0)</f>
        <v>2750</v>
      </c>
    </row>
    <row r="1728">
      <c r="A1728" s="12">
        <v>1727.0</v>
      </c>
      <c r="B1728" s="12" t="s">
        <v>211</v>
      </c>
      <c r="C1728" s="5" t="s">
        <v>80</v>
      </c>
      <c r="D1728" s="8"/>
      <c r="E1728" s="8"/>
      <c r="F1728" s="8"/>
      <c r="G1728" s="8"/>
      <c r="H1728" s="11">
        <v>0.42</v>
      </c>
      <c r="I1728" s="11">
        <v>0.896</v>
      </c>
      <c r="J1728" s="9" t="s">
        <v>71</v>
      </c>
      <c r="K1728" s="14" t="str">
        <f>IFERROR(__xludf.DUMMYFUNCTION("ARRAYFORMULA(VLOOKUP(A1728,IMPORTRANGE(""https://docs.google.com/spreadsheets/d/1BuTWp7qHGjWhqrnf-OmePP568O4A5Am9ttzvVdP67zw/edit#gid=1603210130"", ""TOURISM!$A$2:$F$2692""), {2,3,4,5,6},0))"),"Oceania")</f>
        <v>Oceania</v>
      </c>
      <c r="L1728" s="14">
        <f>IFERROR(__xludf.DUMMYFUNCTION("""COMPUTED_VALUE"""),1.29E8)</f>
        <v>129000000</v>
      </c>
      <c r="M1728" s="14" t="str">
        <f>IFERROR(__xludf.DUMMYFUNCTION("""COMPUTED_VALUE"""),"New Caledonia-Oceania")</f>
        <v>New Caledonia-Oceania</v>
      </c>
      <c r="N1728" s="14" t="str">
        <f>IFERROR(__xludf.DUMMYFUNCTION("""COMPUTED_VALUE"""),"2010")</f>
        <v>2010</v>
      </c>
      <c r="O1728" s="14">
        <f>IFERROR(__xludf.DUMMYFUNCTION("""COMPUTED_VALUE"""),1.79E8)</f>
        <v>179000000</v>
      </c>
      <c r="P1728" s="15">
        <f>IFERROR(__xludf.DUMMYFUNCTION("ARRAYFORMULA(VLOOKUP(A1728,IMPORTRANGE(""https://docs.google.com/spreadsheets/d/1BuTWp7qHGjWhqrnf-OmePP568O4A5Am9ttzvVdP67zw/edit#gid=771602874"" ,""HUMAN RESOURCES!$A$2:$M$2692""), {2,3,4,5,6,7,8,9,10,11,12,13},0))"),0.017)</f>
        <v>0.017</v>
      </c>
      <c r="Q1728" s="14"/>
      <c r="R1728" s="14">
        <f>IFERROR(__xludf.DUMMYFUNCTION("""COMPUTED_VALUE"""),79.0)</f>
        <v>79</v>
      </c>
      <c r="S1728" s="14">
        <f>IFERROR(__xludf.DUMMYFUNCTION("""COMPUTED_VALUE"""),73.0)</f>
        <v>73</v>
      </c>
      <c r="T1728" s="14">
        <f>IFERROR(__xludf.DUMMYFUNCTION("""COMPUTED_VALUE"""),0.235)</f>
        <v>0.235</v>
      </c>
      <c r="U1728" s="14">
        <f>IFERROR(__xludf.DUMMYFUNCTION("""COMPUTED_VALUE"""),0.67)</f>
        <v>0.67</v>
      </c>
      <c r="V1728" s="14">
        <f>IFERROR(__xludf.DUMMYFUNCTION("""COMPUTED_VALUE"""),0.095)</f>
        <v>0.095</v>
      </c>
      <c r="W1728" s="14">
        <f>IFERROR(__xludf.DUMMYFUNCTION("""COMPUTED_VALUE"""),250000.0)</f>
        <v>250000</v>
      </c>
      <c r="X1728" s="14">
        <f>IFERROR(__xludf.DUMMYFUNCTION("""COMPUTED_VALUE"""),0.673)</f>
        <v>0.673</v>
      </c>
      <c r="Y1728" s="14" t="str">
        <f>IFERROR(__xludf.DUMMYFUNCTION("""COMPUTED_VALUE"""),"New Caledonia-Oceania")</f>
        <v>New Caledonia-Oceania</v>
      </c>
      <c r="Z1728" s="14" t="str">
        <f>IFERROR(__xludf.DUMMYFUNCTION("""COMPUTED_VALUE"""),"Oceania")</f>
        <v>Oceania</v>
      </c>
      <c r="AA1728" s="14" t="str">
        <f>IFERROR(__xludf.DUMMYFUNCTION("""COMPUTED_VALUE"""),"2010")</f>
        <v>2010</v>
      </c>
      <c r="AB1728" s="15" t="str">
        <f>IFERROR(__xludf.DUMMYFUNCTION("ARRAYFORMULA(VLOOKUP(A1728,IMPORTRANGE(""https://docs.google.com/spreadsheets/d/1BuTWp7qHGjWhqrnf-OmePP568O4A5Am9ttzvVdP67zw/edit#gid=1931367683"" ,""ENERGY!$A$2:$F$2692""), {2,3,4,5,6},0))"),"Oceania")</f>
        <v>Oceania</v>
      </c>
      <c r="AC1728" s="14" t="str">
        <f>IFERROR(__xludf.DUMMYFUNCTION("""COMPUTED_VALUE"""),"New Caledonia-Oceania")</f>
        <v>New Caledonia-Oceania</v>
      </c>
      <c r="AD1728" s="14" t="str">
        <f>IFERROR(__xludf.DUMMYFUNCTION("""COMPUTED_VALUE"""),"2006")</f>
        <v>2006</v>
      </c>
      <c r="AE1728" s="14"/>
      <c r="AF1728" s="14">
        <f>IFERROR(__xludf.DUMMYFUNCTION("""COMPUTED_VALUE"""),2428.0)</f>
        <v>2428</v>
      </c>
    </row>
    <row r="1729">
      <c r="A1729" s="12">
        <v>1728.0</v>
      </c>
      <c r="B1729" s="12" t="s">
        <v>211</v>
      </c>
      <c r="C1729" s="5" t="s">
        <v>80</v>
      </c>
      <c r="D1729" s="8"/>
      <c r="E1729" s="8"/>
      <c r="F1729" s="8"/>
      <c r="G1729" s="8"/>
      <c r="H1729" s="11">
        <v>0.5</v>
      </c>
      <c r="I1729" s="11">
        <v>0.91</v>
      </c>
      <c r="J1729" s="9" t="s">
        <v>72</v>
      </c>
      <c r="K1729" s="14" t="str">
        <f>IFERROR(__xludf.DUMMYFUNCTION("ARRAYFORMULA(VLOOKUP(A1729,IMPORTRANGE(""https://docs.google.com/spreadsheets/d/1BuTWp7qHGjWhqrnf-OmePP568O4A5Am9ttzvVdP67zw/edit#gid=1603210130"", ""TOURISM!$A$2:$F$2692""), {2,3,4,5,6},0))"),"Oceania")</f>
        <v>Oceania</v>
      </c>
      <c r="L1729" s="14">
        <f>IFERROR(__xludf.DUMMYFUNCTION("""COMPUTED_VALUE"""),1.53E8)</f>
        <v>153000000</v>
      </c>
      <c r="M1729" s="14" t="str">
        <f>IFERROR(__xludf.DUMMYFUNCTION("""COMPUTED_VALUE"""),"New Caledonia-Oceania")</f>
        <v>New Caledonia-Oceania</v>
      </c>
      <c r="N1729" s="14" t="str">
        <f>IFERROR(__xludf.DUMMYFUNCTION("""COMPUTED_VALUE"""),"2011")</f>
        <v>2011</v>
      </c>
      <c r="O1729" s="14">
        <f>IFERROR(__xludf.DUMMYFUNCTION("""COMPUTED_VALUE"""),1.76E8)</f>
        <v>176000000</v>
      </c>
      <c r="P1729" s="15">
        <f>IFERROR(__xludf.DUMMYFUNCTION("ARRAYFORMULA(VLOOKUP(A1729,IMPORTRANGE(""https://docs.google.com/spreadsheets/d/1BuTWp7qHGjWhqrnf-OmePP568O4A5Am9ttzvVdP67zw/edit#gid=771602874"" ,""HUMAN RESOURCES!$A$2:$M$2692""), {2,3,4,5,6,7,8,9,10,11,12,13},0))"),0.016)</f>
        <v>0.016</v>
      </c>
      <c r="Q1729" s="14"/>
      <c r="R1729" s="14">
        <f>IFERROR(__xludf.DUMMYFUNCTION("""COMPUTED_VALUE"""),79.0)</f>
        <v>79</v>
      </c>
      <c r="S1729" s="14">
        <f>IFERROR(__xludf.DUMMYFUNCTION("""COMPUTED_VALUE"""),73.0)</f>
        <v>73</v>
      </c>
      <c r="T1729" s="14">
        <f>IFERROR(__xludf.DUMMYFUNCTION("""COMPUTED_VALUE"""),0.231)</f>
        <v>0.231</v>
      </c>
      <c r="U1729" s="14">
        <f>IFERROR(__xludf.DUMMYFUNCTION("""COMPUTED_VALUE"""),0.671)</f>
        <v>0.671</v>
      </c>
      <c r="V1729" s="14">
        <f>IFERROR(__xludf.DUMMYFUNCTION("""COMPUTED_VALUE"""),0.098)</f>
        <v>0.098</v>
      </c>
      <c r="W1729" s="14">
        <f>IFERROR(__xludf.DUMMYFUNCTION("""COMPUTED_VALUE"""),254000.0)</f>
        <v>254000</v>
      </c>
      <c r="X1729" s="14">
        <f>IFERROR(__xludf.DUMMYFUNCTION("""COMPUTED_VALUE"""),0.679)</f>
        <v>0.679</v>
      </c>
      <c r="Y1729" s="14" t="str">
        <f>IFERROR(__xludf.DUMMYFUNCTION("""COMPUTED_VALUE"""),"New Caledonia-Oceania")</f>
        <v>New Caledonia-Oceania</v>
      </c>
      <c r="Z1729" s="14" t="str">
        <f>IFERROR(__xludf.DUMMYFUNCTION("""COMPUTED_VALUE"""),"Oceania")</f>
        <v>Oceania</v>
      </c>
      <c r="AA1729" s="14" t="str">
        <f>IFERROR(__xludf.DUMMYFUNCTION("""COMPUTED_VALUE"""),"2011")</f>
        <v>2011</v>
      </c>
      <c r="AB1729" s="15" t="str">
        <f>IFERROR(__xludf.DUMMYFUNCTION("ARRAYFORMULA(VLOOKUP(A1729,IMPORTRANGE(""https://docs.google.com/spreadsheets/d/1BuTWp7qHGjWhqrnf-OmePP568O4A5Am9ttzvVdP67zw/edit#gid=1931367683"" ,""ENERGY!$A$2:$F$2692""), {2,3,4,5,6},0))"),"Oceania")</f>
        <v>Oceania</v>
      </c>
      <c r="AC1729" s="14" t="str">
        <f>IFERROR(__xludf.DUMMYFUNCTION("""COMPUTED_VALUE"""),"New Caledonia-Oceania")</f>
        <v>New Caledonia-Oceania</v>
      </c>
      <c r="AD1729" s="14" t="str">
        <f>IFERROR(__xludf.DUMMYFUNCTION("""COMPUTED_VALUE"""),"2006")</f>
        <v>2006</v>
      </c>
      <c r="AE1729" s="14"/>
      <c r="AF1729" s="14">
        <f>IFERROR(__xludf.DUMMYFUNCTION("""COMPUTED_VALUE"""),1907.0)</f>
        <v>1907</v>
      </c>
    </row>
    <row r="1730">
      <c r="A1730" s="12">
        <v>1729.0</v>
      </c>
      <c r="B1730" s="12" t="s">
        <v>211</v>
      </c>
      <c r="C1730" s="5" t="s">
        <v>80</v>
      </c>
      <c r="D1730" s="8"/>
      <c r="E1730" s="8"/>
      <c r="F1730" s="8"/>
      <c r="G1730" s="8"/>
      <c r="H1730" s="11">
        <v>0.58</v>
      </c>
      <c r="I1730" s="11">
        <v>0.912</v>
      </c>
      <c r="J1730" s="9" t="s">
        <v>73</v>
      </c>
      <c r="K1730" s="14" t="str">
        <f>IFERROR(__xludf.DUMMYFUNCTION("ARRAYFORMULA(VLOOKUP(A1730,IMPORTRANGE(""https://docs.google.com/spreadsheets/d/1BuTWp7qHGjWhqrnf-OmePP568O4A5Am9ttzvVdP67zw/edit#gid=1603210130"", ""TOURISM!$A$2:$F$2692""), {2,3,4,5,6},0))"),"Oceania")</f>
        <v>Oceania</v>
      </c>
      <c r="L1730" s="14"/>
      <c r="M1730" s="14" t="str">
        <f>IFERROR(__xludf.DUMMYFUNCTION("""COMPUTED_VALUE"""),"New Caledonia-Oceania")</f>
        <v>New Caledonia-Oceania</v>
      </c>
      <c r="N1730" s="14" t="str">
        <f>IFERROR(__xludf.DUMMYFUNCTION("""COMPUTED_VALUE"""),"2012")</f>
        <v>2012</v>
      </c>
      <c r="O1730" s="14"/>
      <c r="P1730" s="15">
        <f>IFERROR(__xludf.DUMMYFUNCTION("ARRAYFORMULA(VLOOKUP(A1730,IMPORTRANGE(""https://docs.google.com/spreadsheets/d/1BuTWp7qHGjWhqrnf-OmePP568O4A5Am9ttzvVdP67zw/edit#gid=771602874"" ,""HUMAN RESOURCES!$A$2:$M$2692""), {2,3,4,5,6,7,8,9,10,11,12,13},0))"),0.016)</f>
        <v>0.016</v>
      </c>
      <c r="Q1730" s="14"/>
      <c r="R1730" s="14">
        <f>IFERROR(__xludf.DUMMYFUNCTION("""COMPUTED_VALUE"""),79.0)</f>
        <v>79</v>
      </c>
      <c r="S1730" s="14">
        <f>IFERROR(__xludf.DUMMYFUNCTION("""COMPUTED_VALUE"""),73.0)</f>
        <v>73</v>
      </c>
      <c r="T1730" s="14">
        <f>IFERROR(__xludf.DUMMYFUNCTION("""COMPUTED_VALUE"""),0.228)</f>
        <v>0.228</v>
      </c>
      <c r="U1730" s="14">
        <f>IFERROR(__xludf.DUMMYFUNCTION("""COMPUTED_VALUE"""),0.673)</f>
        <v>0.673</v>
      </c>
      <c r="V1730" s="14">
        <f>IFERROR(__xludf.DUMMYFUNCTION("""COMPUTED_VALUE"""),0.099)</f>
        <v>0.099</v>
      </c>
      <c r="W1730" s="14">
        <f>IFERROR(__xludf.DUMMYFUNCTION("""COMPUTED_VALUE"""),258000.0)</f>
        <v>258000</v>
      </c>
      <c r="X1730" s="14">
        <f>IFERROR(__xludf.DUMMYFUNCTION("""COMPUTED_VALUE"""),0.685)</f>
        <v>0.685</v>
      </c>
      <c r="Y1730" s="14" t="str">
        <f>IFERROR(__xludf.DUMMYFUNCTION("""COMPUTED_VALUE"""),"New Caledonia-Oceania")</f>
        <v>New Caledonia-Oceania</v>
      </c>
      <c r="Z1730" s="14" t="str">
        <f>IFERROR(__xludf.DUMMYFUNCTION("""COMPUTED_VALUE"""),"Oceania")</f>
        <v>Oceania</v>
      </c>
      <c r="AA1730" s="14" t="str">
        <f>IFERROR(__xludf.DUMMYFUNCTION("""COMPUTED_VALUE"""),"2012")</f>
        <v>2012</v>
      </c>
      <c r="AB1730" s="15" t="str">
        <f>IFERROR(__xludf.DUMMYFUNCTION("ARRAYFORMULA(VLOOKUP(A1730,IMPORTRANGE(""https://docs.google.com/spreadsheets/d/1BuTWp7qHGjWhqrnf-OmePP568O4A5Am9ttzvVdP67zw/edit#gid=1931367683"" ,""ENERGY!$A$2:$F$2692""), {2,3,4,5,6},0))"),"Oceania")</f>
        <v>Oceania</v>
      </c>
      <c r="AC1730" s="14" t="str">
        <f>IFERROR(__xludf.DUMMYFUNCTION("""COMPUTED_VALUE"""),"New Caledonia-Oceania")</f>
        <v>New Caledonia-Oceania</v>
      </c>
      <c r="AD1730" s="14" t="str">
        <f>IFERROR(__xludf.DUMMYFUNCTION("""COMPUTED_VALUE"""),"2011")</f>
        <v>2011</v>
      </c>
      <c r="AE1730" s="14"/>
      <c r="AF1730" s="14">
        <f>IFERROR(__xludf.DUMMYFUNCTION("""COMPUTED_VALUE"""),2299.0)</f>
        <v>2299</v>
      </c>
    </row>
    <row r="1731">
      <c r="A1731" s="12">
        <v>1730.0</v>
      </c>
      <c r="B1731" s="12" t="s">
        <v>212</v>
      </c>
      <c r="C1731" s="5" t="s">
        <v>80</v>
      </c>
      <c r="D1731" s="8"/>
      <c r="E1731" s="8"/>
      <c r="F1731" s="8"/>
      <c r="G1731" s="8"/>
      <c r="H1731" s="11">
        <v>0.474</v>
      </c>
      <c r="I1731" s="11">
        <v>0.4</v>
      </c>
      <c r="J1731" s="9" t="s">
        <v>60</v>
      </c>
      <c r="K1731" s="14" t="str">
        <f>IFERROR(__xludf.DUMMYFUNCTION("ARRAYFORMULA(VLOOKUP(A1731,IMPORTRANGE(""https://docs.google.com/spreadsheets/d/1BuTWp7qHGjWhqrnf-OmePP568O4A5Am9ttzvVdP67zw/edit#gid=1603210130"", ""TOURISM!$A$2:$F$2692""), {2,3,4,5,6},0))"),"Oceania")</f>
        <v>Oceania</v>
      </c>
      <c r="L1731" s="14">
        <f>IFERROR(__xludf.DUMMYFUNCTION("""COMPUTED_VALUE"""),2.272E9)</f>
        <v>2272000000</v>
      </c>
      <c r="M1731" s="14" t="str">
        <f>IFERROR(__xludf.DUMMYFUNCTION("""COMPUTED_VALUE"""),"New Zealand-Oceania")</f>
        <v>New Zealand-Oceania</v>
      </c>
      <c r="N1731" s="14" t="str">
        <f>IFERROR(__xludf.DUMMYFUNCTION("""COMPUTED_VALUE"""),"2000")</f>
        <v>2000</v>
      </c>
      <c r="O1731" s="14">
        <f>IFERROR(__xludf.DUMMYFUNCTION("""COMPUTED_VALUE"""),1.235E9)</f>
        <v>1235000000</v>
      </c>
      <c r="P1731" s="15">
        <f>IFERROR(__xludf.DUMMYFUNCTION("ARRAYFORMULA(VLOOKUP(A1731,IMPORTRANGE(""https://docs.google.com/spreadsheets/d/1BuTWp7qHGjWhqrnf-OmePP568O4A5Am9ttzvVdP67zw/edit#gid=771602874"" ,""HUMAN RESOURCES!$A$2:$M$2692""), {2,3,4,5,6,7,8,9,10,11,12,13},0))"),0.015)</f>
        <v>0.015</v>
      </c>
      <c r="Q1731" s="14">
        <f>IFERROR(__xludf.DUMMYFUNCTION("""COMPUTED_VALUE"""),0.006)</f>
        <v>0.006</v>
      </c>
      <c r="R1731" s="14">
        <f>IFERROR(__xludf.DUMMYFUNCTION("""COMPUTED_VALUE"""),81.0)</f>
        <v>81</v>
      </c>
      <c r="S1731" s="14">
        <f>IFERROR(__xludf.DUMMYFUNCTION("""COMPUTED_VALUE"""),76.0)</f>
        <v>76</v>
      </c>
      <c r="T1731" s="14">
        <f>IFERROR(__xludf.DUMMYFUNCTION("""COMPUTED_VALUE"""),0.227)</f>
        <v>0.227</v>
      </c>
      <c r="U1731" s="14">
        <f>IFERROR(__xludf.DUMMYFUNCTION("""COMPUTED_VALUE"""),0.655)</f>
        <v>0.655</v>
      </c>
      <c r="V1731" s="14">
        <f>IFERROR(__xludf.DUMMYFUNCTION("""COMPUTED_VALUE"""),0.118)</f>
        <v>0.118</v>
      </c>
      <c r="W1731" s="14">
        <f>IFERROR(__xludf.DUMMYFUNCTION("""COMPUTED_VALUE"""),3857700.0)</f>
        <v>3857700</v>
      </c>
      <c r="X1731" s="14">
        <f>IFERROR(__xludf.DUMMYFUNCTION("""COMPUTED_VALUE"""),0.857)</f>
        <v>0.857</v>
      </c>
      <c r="Y1731" s="14" t="str">
        <f>IFERROR(__xludf.DUMMYFUNCTION("""COMPUTED_VALUE"""),"New Zealand-Oceania")</f>
        <v>New Zealand-Oceania</v>
      </c>
      <c r="Z1731" s="14" t="str">
        <f>IFERROR(__xludf.DUMMYFUNCTION("""COMPUTED_VALUE"""),"Oceania")</f>
        <v>Oceania</v>
      </c>
      <c r="AA1731" s="14" t="str">
        <f>IFERROR(__xludf.DUMMYFUNCTION("""COMPUTED_VALUE"""),"2000")</f>
        <v>2000</v>
      </c>
      <c r="AB1731" s="15" t="str">
        <f>IFERROR(__xludf.DUMMYFUNCTION("ARRAYFORMULA(VLOOKUP(A1731,IMPORTRANGE(""https://docs.google.com/spreadsheets/d/1BuTWp7qHGjWhqrnf-OmePP568O4A5Am9ttzvVdP67zw/edit#gid=1931367683"" ,""ENERGY!$A$2:$F$2692""), {2,3,4,5,6},0))"),"Oceania")</f>
        <v>Oceania</v>
      </c>
      <c r="AC1731" s="14" t="str">
        <f>IFERROR(__xludf.DUMMYFUNCTION("""COMPUTED_VALUE"""),"New Zealand-Oceania")</f>
        <v>New Zealand-Oceania</v>
      </c>
      <c r="AD1731" s="14" t="str">
        <f>IFERROR(__xludf.DUMMYFUNCTION("""COMPUTED_VALUE"""),"2000")</f>
        <v>2000</v>
      </c>
      <c r="AE1731" s="14">
        <f>IFERROR(__xludf.DUMMYFUNCTION("""COMPUTED_VALUE"""),18566.0)</f>
        <v>18566</v>
      </c>
      <c r="AF1731" s="14"/>
    </row>
    <row r="1732">
      <c r="A1732" s="12">
        <v>1731.0</v>
      </c>
      <c r="B1732" s="12" t="s">
        <v>212</v>
      </c>
      <c r="C1732" s="5" t="s">
        <v>80</v>
      </c>
      <c r="D1732" s="8"/>
      <c r="E1732" s="8"/>
      <c r="F1732" s="8"/>
      <c r="G1732" s="8"/>
      <c r="H1732" s="11">
        <v>0.532</v>
      </c>
      <c r="I1732" s="11">
        <v>0.586</v>
      </c>
      <c r="J1732" s="9" t="s">
        <v>62</v>
      </c>
      <c r="K1732" s="14" t="str">
        <f>IFERROR(__xludf.DUMMYFUNCTION("ARRAYFORMULA(VLOOKUP(A1732,IMPORTRANGE(""https://docs.google.com/spreadsheets/d/1BuTWp7qHGjWhqrnf-OmePP568O4A5Am9ttzvVdP67zw/edit#gid=1603210130"", ""TOURISM!$A$2:$F$2692""), {2,3,4,5,6},0))"),"Oceania")</f>
        <v>Oceania</v>
      </c>
      <c r="L1732" s="14">
        <f>IFERROR(__xludf.DUMMYFUNCTION("""COMPUTED_VALUE"""),2.34E9)</f>
        <v>2340000000</v>
      </c>
      <c r="M1732" s="14" t="str">
        <f>IFERROR(__xludf.DUMMYFUNCTION("""COMPUTED_VALUE"""),"New Zealand-Oceania")</f>
        <v>New Zealand-Oceania</v>
      </c>
      <c r="N1732" s="14" t="str">
        <f>IFERROR(__xludf.DUMMYFUNCTION("""COMPUTED_VALUE"""),"2001")</f>
        <v>2001</v>
      </c>
      <c r="O1732" s="14">
        <f>IFERROR(__xludf.DUMMYFUNCTION("""COMPUTED_VALUE"""),1.255E9)</f>
        <v>1255000000</v>
      </c>
      <c r="P1732" s="15">
        <f>IFERROR(__xludf.DUMMYFUNCTION("ARRAYFORMULA(VLOOKUP(A1732,IMPORTRANGE(""https://docs.google.com/spreadsheets/d/1BuTWp7qHGjWhqrnf-OmePP568O4A5Am9ttzvVdP67zw/edit#gid=771602874"" ,""HUMAN RESOURCES!$A$2:$M$2692""), {2,3,4,5,6,7,8,9,10,11,12,13},0))"),0.014)</f>
        <v>0.014</v>
      </c>
      <c r="Q1732" s="14">
        <f>IFERROR(__xludf.DUMMYFUNCTION("""COMPUTED_VALUE"""),0.006)</f>
        <v>0.006</v>
      </c>
      <c r="R1732" s="14">
        <f>IFERROR(__xludf.DUMMYFUNCTION("""COMPUTED_VALUE"""),81.0)</f>
        <v>81</v>
      </c>
      <c r="S1732" s="14">
        <f>IFERROR(__xludf.DUMMYFUNCTION("""COMPUTED_VALUE"""),76.0)</f>
        <v>76</v>
      </c>
      <c r="T1732" s="14">
        <f>IFERROR(__xludf.DUMMYFUNCTION("""COMPUTED_VALUE"""),0.225)</f>
        <v>0.225</v>
      </c>
      <c r="U1732" s="14">
        <f>IFERROR(__xludf.DUMMYFUNCTION("""COMPUTED_VALUE"""),0.657)</f>
        <v>0.657</v>
      </c>
      <c r="V1732" s="14">
        <f>IFERROR(__xludf.DUMMYFUNCTION("""COMPUTED_VALUE"""),0.118)</f>
        <v>0.118</v>
      </c>
      <c r="W1732" s="14">
        <f>IFERROR(__xludf.DUMMYFUNCTION("""COMPUTED_VALUE"""),3880500.0)</f>
        <v>3880500</v>
      </c>
      <c r="X1732" s="14">
        <f>IFERROR(__xludf.DUMMYFUNCTION("""COMPUTED_VALUE"""),0.858)</f>
        <v>0.858</v>
      </c>
      <c r="Y1732" s="14" t="str">
        <f>IFERROR(__xludf.DUMMYFUNCTION("""COMPUTED_VALUE"""),"New Zealand-Oceania")</f>
        <v>New Zealand-Oceania</v>
      </c>
      <c r="Z1732" s="14" t="str">
        <f>IFERROR(__xludf.DUMMYFUNCTION("""COMPUTED_VALUE"""),"Oceania")</f>
        <v>Oceania</v>
      </c>
      <c r="AA1732" s="14" t="str">
        <f>IFERROR(__xludf.DUMMYFUNCTION("""COMPUTED_VALUE"""),"2001")</f>
        <v>2001</v>
      </c>
      <c r="AB1732" s="15" t="str">
        <f>IFERROR(__xludf.DUMMYFUNCTION("ARRAYFORMULA(VLOOKUP(A1732,IMPORTRANGE(""https://docs.google.com/spreadsheets/d/1BuTWp7qHGjWhqrnf-OmePP568O4A5Am9ttzvVdP67zw/edit#gid=1931367683"" ,""ENERGY!$A$2:$F$2692""), {2,3,4,5,6},0))"),"Oceania")</f>
        <v>Oceania</v>
      </c>
      <c r="AC1732" s="14" t="str">
        <f>IFERROR(__xludf.DUMMYFUNCTION("""COMPUTED_VALUE"""),"New Zealand-Oceania")</f>
        <v>New Zealand-Oceania</v>
      </c>
      <c r="AD1732" s="14" t="str">
        <f>IFERROR(__xludf.DUMMYFUNCTION("""COMPUTED_VALUE"""),"2001")</f>
        <v>2001</v>
      </c>
      <c r="AE1732" s="14">
        <f>IFERROR(__xludf.DUMMYFUNCTION("""COMPUTED_VALUE"""),18167.0)</f>
        <v>18167</v>
      </c>
      <c r="AF1732" s="14"/>
    </row>
    <row r="1733">
      <c r="A1733" s="12">
        <v>1732.0</v>
      </c>
      <c r="B1733" s="12" t="s">
        <v>212</v>
      </c>
      <c r="C1733" s="5" t="s">
        <v>80</v>
      </c>
      <c r="D1733" s="8"/>
      <c r="E1733" s="8"/>
      <c r="F1733" s="8"/>
      <c r="G1733" s="8"/>
      <c r="H1733" s="11">
        <v>0.591</v>
      </c>
      <c r="I1733" s="11">
        <v>0.618</v>
      </c>
      <c r="J1733" s="9" t="s">
        <v>63</v>
      </c>
      <c r="K1733" s="14" t="str">
        <f>IFERROR(__xludf.DUMMYFUNCTION("ARRAYFORMULA(VLOOKUP(A1733,IMPORTRANGE(""https://docs.google.com/spreadsheets/d/1BuTWp7qHGjWhqrnf-OmePP568O4A5Am9ttzvVdP67zw/edit#gid=1603210130"", ""TOURISM!$A$2:$F$2692""), {2,3,4,5,6},0))"),"Oceania")</f>
        <v>Oceania</v>
      </c>
      <c r="L1733" s="14">
        <f>IFERROR(__xludf.DUMMYFUNCTION("""COMPUTED_VALUE"""),3.159E9)</f>
        <v>3159000000</v>
      </c>
      <c r="M1733" s="14" t="str">
        <f>IFERROR(__xludf.DUMMYFUNCTION("""COMPUTED_VALUE"""),"New Zealand-Oceania")</f>
        <v>New Zealand-Oceania</v>
      </c>
      <c r="N1733" s="14" t="str">
        <f>IFERROR(__xludf.DUMMYFUNCTION("""COMPUTED_VALUE"""),"2002")</f>
        <v>2002</v>
      </c>
      <c r="O1733" s="14">
        <f>IFERROR(__xludf.DUMMYFUNCTION("""COMPUTED_VALUE"""),1.386E9)</f>
        <v>1386000000</v>
      </c>
      <c r="P1733" s="15">
        <f>IFERROR(__xludf.DUMMYFUNCTION("ARRAYFORMULA(VLOOKUP(A1733,IMPORTRANGE(""https://docs.google.com/spreadsheets/d/1BuTWp7qHGjWhqrnf-OmePP568O4A5Am9ttzvVdP67zw/edit#gid=771602874"" ,""HUMAN RESOURCES!$A$2:$M$2692""), {2,3,4,5,6,7,8,9,10,11,12,13},0))"),0.014)</f>
        <v>0.014</v>
      </c>
      <c r="Q1733" s="14">
        <f>IFERROR(__xludf.DUMMYFUNCTION("""COMPUTED_VALUE"""),0.006)</f>
        <v>0.006</v>
      </c>
      <c r="R1733" s="14">
        <f>IFERROR(__xludf.DUMMYFUNCTION("""COMPUTED_VALUE"""),81.0)</f>
        <v>81</v>
      </c>
      <c r="S1733" s="14">
        <f>IFERROR(__xludf.DUMMYFUNCTION("""COMPUTED_VALUE"""),77.0)</f>
        <v>77</v>
      </c>
      <c r="T1733" s="14">
        <f>IFERROR(__xludf.DUMMYFUNCTION("""COMPUTED_VALUE"""),0.223)</f>
        <v>0.223</v>
      </c>
      <c r="U1733" s="14">
        <f>IFERROR(__xludf.DUMMYFUNCTION("""COMPUTED_VALUE"""),0.659)</f>
        <v>0.659</v>
      </c>
      <c r="V1733" s="14">
        <f>IFERROR(__xludf.DUMMYFUNCTION("""COMPUTED_VALUE"""),0.118)</f>
        <v>0.118</v>
      </c>
      <c r="W1733" s="14">
        <f>IFERROR(__xludf.DUMMYFUNCTION("""COMPUTED_VALUE"""),3948500.0)</f>
        <v>3948500</v>
      </c>
      <c r="X1733" s="14">
        <f>IFERROR(__xludf.DUMMYFUNCTION("""COMPUTED_VALUE"""),0.859)</f>
        <v>0.859</v>
      </c>
      <c r="Y1733" s="14" t="str">
        <f>IFERROR(__xludf.DUMMYFUNCTION("""COMPUTED_VALUE"""),"New Zealand-Oceania")</f>
        <v>New Zealand-Oceania</v>
      </c>
      <c r="Z1733" s="14" t="str">
        <f>IFERROR(__xludf.DUMMYFUNCTION("""COMPUTED_VALUE"""),"Oceania")</f>
        <v>Oceania</v>
      </c>
      <c r="AA1733" s="14" t="str">
        <f>IFERROR(__xludf.DUMMYFUNCTION("""COMPUTED_VALUE"""),"2002")</f>
        <v>2002</v>
      </c>
      <c r="AB1733" s="15" t="str">
        <f>IFERROR(__xludf.DUMMYFUNCTION("ARRAYFORMULA(VLOOKUP(A1733,IMPORTRANGE(""https://docs.google.com/spreadsheets/d/1BuTWp7qHGjWhqrnf-OmePP568O4A5Am9ttzvVdP67zw/edit#gid=1931367683"" ,""ENERGY!$A$2:$F$2692""), {2,3,4,5,6},0))"),"Oceania")</f>
        <v>Oceania</v>
      </c>
      <c r="AC1733" s="14" t="str">
        <f>IFERROR(__xludf.DUMMYFUNCTION("""COMPUTED_VALUE"""),"New Zealand-Oceania")</f>
        <v>New Zealand-Oceania</v>
      </c>
      <c r="AD1733" s="14" t="str">
        <f>IFERROR(__xludf.DUMMYFUNCTION("""COMPUTED_VALUE"""),"2002")</f>
        <v>2002</v>
      </c>
      <c r="AE1733" s="14">
        <f>IFERROR(__xludf.DUMMYFUNCTION("""COMPUTED_VALUE"""),18287.0)</f>
        <v>18287</v>
      </c>
      <c r="AF1733" s="14">
        <f>IFERROR(__xludf.DUMMYFUNCTION("""COMPUTED_VALUE"""),31551.0)</f>
        <v>31551</v>
      </c>
    </row>
    <row r="1734">
      <c r="A1734" s="12">
        <v>1733.0</v>
      </c>
      <c r="B1734" s="12" t="s">
        <v>212</v>
      </c>
      <c r="C1734" s="5" t="s">
        <v>80</v>
      </c>
      <c r="D1734" s="8"/>
      <c r="E1734" s="11">
        <v>12.0</v>
      </c>
      <c r="F1734" s="8"/>
      <c r="G1734" s="8"/>
      <c r="H1734" s="11">
        <v>0.61</v>
      </c>
      <c r="I1734" s="11">
        <v>0.646</v>
      </c>
      <c r="J1734" s="9" t="s">
        <v>64</v>
      </c>
      <c r="K1734" s="14" t="str">
        <f>IFERROR(__xludf.DUMMYFUNCTION("ARRAYFORMULA(VLOOKUP(A1734,IMPORTRANGE(""https://docs.google.com/spreadsheets/d/1BuTWp7qHGjWhqrnf-OmePP568O4A5Am9ttzvVdP67zw/edit#gid=1603210130"", ""TOURISM!$A$2:$F$2692""), {2,3,4,5,6},0))"),"Oceania")</f>
        <v>Oceania</v>
      </c>
      <c r="L1734" s="14">
        <f>IFERROR(__xludf.DUMMYFUNCTION("""COMPUTED_VALUE"""),4.232E9)</f>
        <v>4232000000</v>
      </c>
      <c r="M1734" s="14" t="str">
        <f>IFERROR(__xludf.DUMMYFUNCTION("""COMPUTED_VALUE"""),"New Zealand-Oceania")</f>
        <v>New Zealand-Oceania</v>
      </c>
      <c r="N1734" s="14" t="str">
        <f>IFERROR(__xludf.DUMMYFUNCTION("""COMPUTED_VALUE"""),"2003")</f>
        <v>2003</v>
      </c>
      <c r="O1734" s="14">
        <f>IFERROR(__xludf.DUMMYFUNCTION("""COMPUTED_VALUE"""),1.649E9)</f>
        <v>1649000000</v>
      </c>
      <c r="P1734" s="15">
        <f>IFERROR(__xludf.DUMMYFUNCTION("ARRAYFORMULA(VLOOKUP(A1734,IMPORTRANGE(""https://docs.google.com/spreadsheets/d/1BuTWp7qHGjWhqrnf-OmePP568O4A5Am9ttzvVdP67zw/edit#gid=771602874"" ,""HUMAN RESOURCES!$A$2:$M$2692""), {2,3,4,5,6,7,8,9,10,11,12,13},0))"),0.014)</f>
        <v>0.014</v>
      </c>
      <c r="Q1734" s="14">
        <f>IFERROR(__xludf.DUMMYFUNCTION("""COMPUTED_VALUE"""),0.006)</f>
        <v>0.006</v>
      </c>
      <c r="R1734" s="14">
        <f>IFERROR(__xludf.DUMMYFUNCTION("""COMPUTED_VALUE"""),81.0)</f>
        <v>81</v>
      </c>
      <c r="S1734" s="14">
        <f>IFERROR(__xludf.DUMMYFUNCTION("""COMPUTED_VALUE"""),77.0)</f>
        <v>77</v>
      </c>
      <c r="T1734" s="14">
        <f>IFERROR(__xludf.DUMMYFUNCTION("""COMPUTED_VALUE"""),0.221)</f>
        <v>0.221</v>
      </c>
      <c r="U1734" s="14">
        <f>IFERROR(__xludf.DUMMYFUNCTION("""COMPUTED_VALUE"""),0.661)</f>
        <v>0.661</v>
      </c>
      <c r="V1734" s="14">
        <f>IFERROR(__xludf.DUMMYFUNCTION("""COMPUTED_VALUE"""),0.119)</f>
        <v>0.119</v>
      </c>
      <c r="W1734" s="14">
        <f>IFERROR(__xludf.DUMMYFUNCTION("""COMPUTED_VALUE"""),4027200.0)</f>
        <v>4027200</v>
      </c>
      <c r="X1734" s="14">
        <f>IFERROR(__xludf.DUMMYFUNCTION("""COMPUTED_VALUE"""),0.86)</f>
        <v>0.86</v>
      </c>
      <c r="Y1734" s="14" t="str">
        <f>IFERROR(__xludf.DUMMYFUNCTION("""COMPUTED_VALUE"""),"New Zealand-Oceania")</f>
        <v>New Zealand-Oceania</v>
      </c>
      <c r="Z1734" s="14" t="str">
        <f>IFERROR(__xludf.DUMMYFUNCTION("""COMPUTED_VALUE"""),"Oceania")</f>
        <v>Oceania</v>
      </c>
      <c r="AA1734" s="14" t="str">
        <f>IFERROR(__xludf.DUMMYFUNCTION("""COMPUTED_VALUE"""),"2003")</f>
        <v>2003</v>
      </c>
      <c r="AB1734" s="15" t="str">
        <f>IFERROR(__xludf.DUMMYFUNCTION("ARRAYFORMULA(VLOOKUP(A1734,IMPORTRANGE(""https://docs.google.com/spreadsheets/d/1BuTWp7qHGjWhqrnf-OmePP568O4A5Am9ttzvVdP67zw/edit#gid=1931367683"" ,""ENERGY!$A$2:$F$2692""), {2,3,4,5,6},0))"),"Oceania")</f>
        <v>Oceania</v>
      </c>
      <c r="AC1734" s="14" t="str">
        <f>IFERROR(__xludf.DUMMYFUNCTION("""COMPUTED_VALUE"""),"New Zealand-Oceania")</f>
        <v>New Zealand-Oceania</v>
      </c>
      <c r="AD1734" s="14" t="str">
        <f>IFERROR(__xludf.DUMMYFUNCTION("""COMPUTED_VALUE"""),"2003")</f>
        <v>2003</v>
      </c>
      <c r="AE1734" s="14">
        <f>IFERROR(__xludf.DUMMYFUNCTION("""COMPUTED_VALUE"""),17469.0)</f>
        <v>17469</v>
      </c>
      <c r="AF1734" s="14">
        <f>IFERROR(__xludf.DUMMYFUNCTION("""COMPUTED_VALUE"""),32325.0)</f>
        <v>32325</v>
      </c>
    </row>
    <row r="1735">
      <c r="A1735" s="12">
        <v>1734.0</v>
      </c>
      <c r="B1735" s="12" t="s">
        <v>212</v>
      </c>
      <c r="C1735" s="5" t="s">
        <v>80</v>
      </c>
      <c r="D1735" s="8"/>
      <c r="E1735" s="11">
        <v>12.0</v>
      </c>
      <c r="F1735" s="8"/>
      <c r="G1735" s="8"/>
      <c r="H1735" s="11">
        <v>0.618</v>
      </c>
      <c r="I1735" s="11">
        <v>0.742</v>
      </c>
      <c r="J1735" s="9" t="s">
        <v>65</v>
      </c>
      <c r="K1735" s="14" t="str">
        <f>IFERROR(__xludf.DUMMYFUNCTION("ARRAYFORMULA(VLOOKUP(A1735,IMPORTRANGE(""https://docs.google.com/spreadsheets/d/1BuTWp7qHGjWhqrnf-OmePP568O4A5Am9ttzvVdP67zw/edit#gid=1603210130"", ""TOURISM!$A$2:$F$2692""), {2,3,4,5,6},0))"),"Oceania")</f>
        <v>Oceania</v>
      </c>
      <c r="L1735" s="14">
        <f>IFERROR(__xludf.DUMMYFUNCTION("""COMPUTED_VALUE"""),5.098E9)</f>
        <v>5098000000</v>
      </c>
      <c r="M1735" s="14" t="str">
        <f>IFERROR(__xludf.DUMMYFUNCTION("""COMPUTED_VALUE"""),"New Zealand-Oceania")</f>
        <v>New Zealand-Oceania</v>
      </c>
      <c r="N1735" s="14" t="str">
        <f>IFERROR(__xludf.DUMMYFUNCTION("""COMPUTED_VALUE"""),"2004")</f>
        <v>2004</v>
      </c>
      <c r="O1735" s="14">
        <f>IFERROR(__xludf.DUMMYFUNCTION("""COMPUTED_VALUE"""),2.229E9)</f>
        <v>2229000000</v>
      </c>
      <c r="P1735" s="15">
        <f>IFERROR(__xludf.DUMMYFUNCTION("ARRAYFORMULA(VLOOKUP(A1735,IMPORTRANGE(""https://docs.google.com/spreadsheets/d/1BuTWp7qHGjWhqrnf-OmePP568O4A5Am9ttzvVdP67zw/edit#gid=771602874"" ,""HUMAN RESOURCES!$A$2:$M$2692""), {2,3,4,5,6,7,8,9,10,11,12,13},0))"),0.014)</f>
        <v>0.014</v>
      </c>
      <c r="Q1735" s="14">
        <f>IFERROR(__xludf.DUMMYFUNCTION("""COMPUTED_VALUE"""),0.006)</f>
        <v>0.006</v>
      </c>
      <c r="R1735" s="14">
        <f>IFERROR(__xludf.DUMMYFUNCTION("""COMPUTED_VALUE"""),82.0)</f>
        <v>82</v>
      </c>
      <c r="S1735" s="14">
        <f>IFERROR(__xludf.DUMMYFUNCTION("""COMPUTED_VALUE"""),78.0)</f>
        <v>78</v>
      </c>
      <c r="T1735" s="14">
        <f>IFERROR(__xludf.DUMMYFUNCTION("""COMPUTED_VALUE"""),0.218)</f>
        <v>0.218</v>
      </c>
      <c r="U1735" s="14">
        <f>IFERROR(__xludf.DUMMYFUNCTION("""COMPUTED_VALUE"""),0.663)</f>
        <v>0.663</v>
      </c>
      <c r="V1735" s="14">
        <f>IFERROR(__xludf.DUMMYFUNCTION("""COMPUTED_VALUE"""),0.119)</f>
        <v>0.119</v>
      </c>
      <c r="W1735" s="14">
        <f>IFERROR(__xludf.DUMMYFUNCTION("""COMPUTED_VALUE"""),4087500.0)</f>
        <v>4087500</v>
      </c>
      <c r="X1735" s="14">
        <f>IFERROR(__xludf.DUMMYFUNCTION("""COMPUTED_VALUE"""),0.86)</f>
        <v>0.86</v>
      </c>
      <c r="Y1735" s="14" t="str">
        <f>IFERROR(__xludf.DUMMYFUNCTION("""COMPUTED_VALUE"""),"New Zealand-Oceania")</f>
        <v>New Zealand-Oceania</v>
      </c>
      <c r="Z1735" s="14" t="str">
        <f>IFERROR(__xludf.DUMMYFUNCTION("""COMPUTED_VALUE"""),"Oceania")</f>
        <v>Oceania</v>
      </c>
      <c r="AA1735" s="14" t="str">
        <f>IFERROR(__xludf.DUMMYFUNCTION("""COMPUTED_VALUE"""),"2004")</f>
        <v>2004</v>
      </c>
      <c r="AB1735" s="15" t="str">
        <f>IFERROR(__xludf.DUMMYFUNCTION("ARRAYFORMULA(VLOOKUP(A1735,IMPORTRANGE(""https://docs.google.com/spreadsheets/d/1BuTWp7qHGjWhqrnf-OmePP568O4A5Am9ttzvVdP67zw/edit#gid=1931367683"" ,""ENERGY!$A$2:$F$2692""), {2,3,4,5,6},0))"),"Oceania")</f>
        <v>Oceania</v>
      </c>
      <c r="AC1735" s="14" t="str">
        <f>IFERROR(__xludf.DUMMYFUNCTION("""COMPUTED_VALUE"""),"New Zealand-Oceania")</f>
        <v>New Zealand-Oceania</v>
      </c>
      <c r="AD1735" s="14" t="str">
        <f>IFERROR(__xludf.DUMMYFUNCTION("""COMPUTED_VALUE"""),"2004")</f>
        <v>2004</v>
      </c>
      <c r="AE1735" s="14">
        <f>IFERROR(__xludf.DUMMYFUNCTION("""COMPUTED_VALUE"""),17412.0)</f>
        <v>17412</v>
      </c>
      <c r="AF1735" s="14">
        <f>IFERROR(__xludf.DUMMYFUNCTION("""COMPUTED_VALUE"""),34264.0)</f>
        <v>34264</v>
      </c>
    </row>
    <row r="1736">
      <c r="A1736" s="12">
        <v>1735.0</v>
      </c>
      <c r="B1736" s="12" t="s">
        <v>212</v>
      </c>
      <c r="C1736" s="5" t="s">
        <v>80</v>
      </c>
      <c r="D1736" s="11">
        <v>0.366</v>
      </c>
      <c r="E1736" s="11">
        <v>12.0</v>
      </c>
      <c r="F1736" s="8"/>
      <c r="G1736" s="11">
        <v>172.0</v>
      </c>
      <c r="H1736" s="11">
        <v>0.627</v>
      </c>
      <c r="I1736" s="11">
        <v>0.854</v>
      </c>
      <c r="J1736" s="9" t="s">
        <v>66</v>
      </c>
      <c r="K1736" s="14" t="str">
        <f>IFERROR(__xludf.DUMMYFUNCTION("ARRAYFORMULA(VLOOKUP(A1736,IMPORTRANGE(""https://docs.google.com/spreadsheets/d/1BuTWp7qHGjWhqrnf-OmePP568O4A5Am9ttzvVdP67zw/edit#gid=1603210130"", ""TOURISM!$A$2:$F$2692""), {2,3,4,5,6},0))"),"Oceania")</f>
        <v>Oceania</v>
      </c>
      <c r="L1736" s="14">
        <f>IFERROR(__xludf.DUMMYFUNCTION("""COMPUTED_VALUE"""),5.211E9)</f>
        <v>5211000000</v>
      </c>
      <c r="M1736" s="14" t="str">
        <f>IFERROR(__xludf.DUMMYFUNCTION("""COMPUTED_VALUE"""),"New Zealand-Oceania")</f>
        <v>New Zealand-Oceania</v>
      </c>
      <c r="N1736" s="14" t="str">
        <f>IFERROR(__xludf.DUMMYFUNCTION("""COMPUTED_VALUE"""),"2005")</f>
        <v>2005</v>
      </c>
      <c r="O1736" s="14">
        <f>IFERROR(__xludf.DUMMYFUNCTION("""COMPUTED_VALUE"""),2.671E9)</f>
        <v>2671000000</v>
      </c>
      <c r="P1736" s="15">
        <f>IFERROR(__xludf.DUMMYFUNCTION("ARRAYFORMULA(VLOOKUP(A1736,IMPORTRANGE(""https://docs.google.com/spreadsheets/d/1BuTWp7qHGjWhqrnf-OmePP568O4A5Am9ttzvVdP67zw/edit#gid=771602874"" ,""HUMAN RESOURCES!$A$2:$M$2692""), {2,3,4,5,6,7,8,9,10,11,12,13},0))"),0.014)</f>
        <v>0.014</v>
      </c>
      <c r="Q1736" s="14">
        <f>IFERROR(__xludf.DUMMYFUNCTION("""COMPUTED_VALUE"""),0.005)</f>
        <v>0.005</v>
      </c>
      <c r="R1736" s="14">
        <f>IFERROR(__xludf.DUMMYFUNCTION("""COMPUTED_VALUE"""),82.0)</f>
        <v>82</v>
      </c>
      <c r="S1736" s="14">
        <f>IFERROR(__xludf.DUMMYFUNCTION("""COMPUTED_VALUE"""),78.0)</f>
        <v>78</v>
      </c>
      <c r="T1736" s="14">
        <f>IFERROR(__xludf.DUMMYFUNCTION("""COMPUTED_VALUE"""),0.215)</f>
        <v>0.215</v>
      </c>
      <c r="U1736" s="14">
        <f>IFERROR(__xludf.DUMMYFUNCTION("""COMPUTED_VALUE"""),0.664)</f>
        <v>0.664</v>
      </c>
      <c r="V1736" s="14">
        <f>IFERROR(__xludf.DUMMYFUNCTION("""COMPUTED_VALUE"""),0.12)</f>
        <v>0.12</v>
      </c>
      <c r="W1736" s="14">
        <f>IFERROR(__xludf.DUMMYFUNCTION("""COMPUTED_VALUE"""),4133900.0)</f>
        <v>4133900</v>
      </c>
      <c r="X1736" s="14">
        <f>IFERROR(__xludf.DUMMYFUNCTION("""COMPUTED_VALUE"""),0.861)</f>
        <v>0.861</v>
      </c>
      <c r="Y1736" s="14" t="str">
        <f>IFERROR(__xludf.DUMMYFUNCTION("""COMPUTED_VALUE"""),"New Zealand-Oceania")</f>
        <v>New Zealand-Oceania</v>
      </c>
      <c r="Z1736" s="14" t="str">
        <f>IFERROR(__xludf.DUMMYFUNCTION("""COMPUTED_VALUE"""),"Oceania")</f>
        <v>Oceania</v>
      </c>
      <c r="AA1736" s="14" t="str">
        <f>IFERROR(__xludf.DUMMYFUNCTION("""COMPUTED_VALUE"""),"2005")</f>
        <v>2005</v>
      </c>
      <c r="AB1736" s="15" t="str">
        <f>IFERROR(__xludf.DUMMYFUNCTION("ARRAYFORMULA(VLOOKUP(A1736,IMPORTRANGE(""https://docs.google.com/spreadsheets/d/1BuTWp7qHGjWhqrnf-OmePP568O4A5Am9ttzvVdP67zw/edit#gid=1931367683"" ,""ENERGY!$A$2:$F$2692""), {2,3,4,5,6},0))"),"Oceania")</f>
        <v>Oceania</v>
      </c>
      <c r="AC1736" s="14" t="str">
        <f>IFERROR(__xludf.DUMMYFUNCTION("""COMPUTED_VALUE"""),"New Zealand-Oceania")</f>
        <v>New Zealand-Oceania</v>
      </c>
      <c r="AD1736" s="14" t="str">
        <f>IFERROR(__xludf.DUMMYFUNCTION("""COMPUTED_VALUE"""),"2008")</f>
        <v>2008</v>
      </c>
      <c r="AE1736" s="14">
        <f>IFERROR(__xludf.DUMMYFUNCTION("""COMPUTED_VALUE"""),17123.0)</f>
        <v>17123</v>
      </c>
      <c r="AF1736" s="14">
        <f>IFERROR(__xludf.DUMMYFUNCTION("""COMPUTED_VALUE"""),33648.0)</f>
        <v>33648</v>
      </c>
    </row>
    <row r="1737">
      <c r="A1737" s="12">
        <v>1736.0</v>
      </c>
      <c r="B1737" s="12" t="s">
        <v>212</v>
      </c>
      <c r="C1737" s="5" t="s">
        <v>80</v>
      </c>
      <c r="D1737" s="11">
        <v>0.354</v>
      </c>
      <c r="E1737" s="11">
        <v>12.0</v>
      </c>
      <c r="F1737" s="8"/>
      <c r="G1737" s="11">
        <v>172.0</v>
      </c>
      <c r="H1737" s="11">
        <v>0.69</v>
      </c>
      <c r="I1737" s="11">
        <v>0.909</v>
      </c>
      <c r="J1737" s="9" t="s">
        <v>67</v>
      </c>
      <c r="K1737" s="14" t="str">
        <f>IFERROR(__xludf.DUMMYFUNCTION("ARRAYFORMULA(VLOOKUP(A1737,IMPORTRANGE(""https://docs.google.com/spreadsheets/d/1BuTWp7qHGjWhqrnf-OmePP568O4A5Am9ttzvVdP67zw/edit#gid=1603210130"", ""TOURISM!$A$2:$F$2692""), {2,3,4,5,6},0))"),"Oceania")</f>
        <v>Oceania</v>
      </c>
      <c r="L1737" s="14">
        <f>IFERROR(__xludf.DUMMYFUNCTION("""COMPUTED_VALUE"""),4.792E9)</f>
        <v>4792000000</v>
      </c>
      <c r="M1737" s="14" t="str">
        <f>IFERROR(__xludf.DUMMYFUNCTION("""COMPUTED_VALUE"""),"New Zealand-Oceania")</f>
        <v>New Zealand-Oceania</v>
      </c>
      <c r="N1737" s="14" t="str">
        <f>IFERROR(__xludf.DUMMYFUNCTION("""COMPUTED_VALUE"""),"2006")</f>
        <v>2006</v>
      </c>
      <c r="O1737" s="14">
        <f>IFERROR(__xludf.DUMMYFUNCTION("""COMPUTED_VALUE"""),2.534E9)</f>
        <v>2534000000</v>
      </c>
      <c r="P1737" s="15">
        <f>IFERROR(__xludf.DUMMYFUNCTION("ARRAYFORMULA(VLOOKUP(A1737,IMPORTRANGE(""https://docs.google.com/spreadsheets/d/1BuTWp7qHGjWhqrnf-OmePP568O4A5Am9ttzvVdP67zw/edit#gid=771602874"" ,""HUMAN RESOURCES!$A$2:$M$2692""), {2,3,4,5,6,7,8,9,10,11,12,13},0))"),0.014)</f>
        <v>0.014</v>
      </c>
      <c r="Q1737" s="14">
        <f>IFERROR(__xludf.DUMMYFUNCTION("""COMPUTED_VALUE"""),0.005)</f>
        <v>0.005</v>
      </c>
      <c r="R1737" s="14">
        <f>IFERROR(__xludf.DUMMYFUNCTION("""COMPUTED_VALUE"""),82.0)</f>
        <v>82</v>
      </c>
      <c r="S1737" s="14">
        <f>IFERROR(__xludf.DUMMYFUNCTION("""COMPUTED_VALUE"""),78.0)</f>
        <v>78</v>
      </c>
      <c r="T1737" s="14">
        <f>IFERROR(__xludf.DUMMYFUNCTION("""COMPUTED_VALUE"""),0.213)</f>
        <v>0.213</v>
      </c>
      <c r="U1737" s="14">
        <f>IFERROR(__xludf.DUMMYFUNCTION("""COMPUTED_VALUE"""),0.666)</f>
        <v>0.666</v>
      </c>
      <c r="V1737" s="14">
        <f>IFERROR(__xludf.DUMMYFUNCTION("""COMPUTED_VALUE"""),0.121)</f>
        <v>0.121</v>
      </c>
      <c r="W1737" s="14">
        <f>IFERROR(__xludf.DUMMYFUNCTION("""COMPUTED_VALUE"""),4184600.0)</f>
        <v>4184600</v>
      </c>
      <c r="X1737" s="14">
        <f>IFERROR(__xludf.DUMMYFUNCTION("""COMPUTED_VALUE"""),0.861)</f>
        <v>0.861</v>
      </c>
      <c r="Y1737" s="14" t="str">
        <f>IFERROR(__xludf.DUMMYFUNCTION("""COMPUTED_VALUE"""),"New Zealand-Oceania")</f>
        <v>New Zealand-Oceania</v>
      </c>
      <c r="Z1737" s="14" t="str">
        <f>IFERROR(__xludf.DUMMYFUNCTION("""COMPUTED_VALUE"""),"Oceania")</f>
        <v>Oceania</v>
      </c>
      <c r="AA1737" s="14" t="str">
        <f>IFERROR(__xludf.DUMMYFUNCTION("""COMPUTED_VALUE"""),"2006")</f>
        <v>2006</v>
      </c>
      <c r="AB1737" s="15" t="str">
        <f>IFERROR(__xludf.DUMMYFUNCTION("ARRAYFORMULA(VLOOKUP(A1737,IMPORTRANGE(""https://docs.google.com/spreadsheets/d/1BuTWp7qHGjWhqrnf-OmePP568O4A5Am9ttzvVdP67zw/edit#gid=1931367683"" ,""ENERGY!$A$2:$F$2692""), {2,3,4,5,6},0))"),"Oceania")</f>
        <v>Oceania</v>
      </c>
      <c r="AC1737" s="14" t="str">
        <f>IFERROR(__xludf.DUMMYFUNCTION("""COMPUTED_VALUE"""),"New Zealand-Oceania")</f>
        <v>New Zealand-Oceania</v>
      </c>
      <c r="AD1737" s="14" t="str">
        <f>IFERROR(__xludf.DUMMYFUNCTION("""COMPUTED_VALUE"""),"2012")</f>
        <v>2012</v>
      </c>
      <c r="AE1737" s="14">
        <f>IFERROR(__xludf.DUMMYFUNCTION("""COMPUTED_VALUE"""),16965.0)</f>
        <v>16965</v>
      </c>
      <c r="AF1737" s="14">
        <f>IFERROR(__xludf.DUMMYFUNCTION("""COMPUTED_VALUE"""),33553.0)</f>
        <v>33553</v>
      </c>
    </row>
    <row r="1738">
      <c r="A1738" s="12">
        <v>1737.0</v>
      </c>
      <c r="B1738" s="12" t="s">
        <v>212</v>
      </c>
      <c r="C1738" s="5" t="s">
        <v>80</v>
      </c>
      <c r="D1738" s="11">
        <v>0.355</v>
      </c>
      <c r="E1738" s="11">
        <v>12.0</v>
      </c>
      <c r="F1738" s="8"/>
      <c r="G1738" s="11">
        <v>172.0</v>
      </c>
      <c r="H1738" s="11">
        <v>0.698</v>
      </c>
      <c r="I1738" s="11">
        <v>1.004</v>
      </c>
      <c r="J1738" s="9" t="s">
        <v>68</v>
      </c>
      <c r="K1738" s="14" t="str">
        <f>IFERROR(__xludf.DUMMYFUNCTION("ARRAYFORMULA(VLOOKUP(A1738,IMPORTRANGE(""https://docs.google.com/spreadsheets/d/1BuTWp7qHGjWhqrnf-OmePP568O4A5Am9ttzvVdP67zw/edit#gid=1603210130"", ""TOURISM!$A$2:$F$2692""), {2,3,4,5,6},0))"),"Oceania")</f>
        <v>Oceania</v>
      </c>
      <c r="L1738" s="14">
        <f>IFERROR(__xludf.DUMMYFUNCTION("""COMPUTED_VALUE"""),5.413E9)</f>
        <v>5413000000</v>
      </c>
      <c r="M1738" s="14" t="str">
        <f>IFERROR(__xludf.DUMMYFUNCTION("""COMPUTED_VALUE"""),"New Zealand-Oceania")</f>
        <v>New Zealand-Oceania</v>
      </c>
      <c r="N1738" s="14" t="str">
        <f>IFERROR(__xludf.DUMMYFUNCTION("""COMPUTED_VALUE"""),"2007")</f>
        <v>2007</v>
      </c>
      <c r="O1738" s="14">
        <f>IFERROR(__xludf.DUMMYFUNCTION("""COMPUTED_VALUE"""),3.077E9)</f>
        <v>3077000000</v>
      </c>
      <c r="P1738" s="15">
        <f>IFERROR(__xludf.DUMMYFUNCTION("ARRAYFORMULA(VLOOKUP(A1738,IMPORTRANGE(""https://docs.google.com/spreadsheets/d/1BuTWp7qHGjWhqrnf-OmePP568O4A5Am9ttzvVdP67zw/edit#gid=771602874"" ,""HUMAN RESOURCES!$A$2:$M$2692""), {2,3,4,5,6,7,8,9,10,11,12,13},0))"),0.015)</f>
        <v>0.015</v>
      </c>
      <c r="Q1738" s="14">
        <f>IFERROR(__xludf.DUMMYFUNCTION("""COMPUTED_VALUE"""),0.005)</f>
        <v>0.005</v>
      </c>
      <c r="R1738" s="14">
        <f>IFERROR(__xludf.DUMMYFUNCTION("""COMPUTED_VALUE"""),82.0)</f>
        <v>82</v>
      </c>
      <c r="S1738" s="14">
        <f>IFERROR(__xludf.DUMMYFUNCTION("""COMPUTED_VALUE"""),78.0)</f>
        <v>78</v>
      </c>
      <c r="T1738" s="14">
        <f>IFERROR(__xludf.DUMMYFUNCTION("""COMPUTED_VALUE"""),0.211)</f>
        <v>0.211</v>
      </c>
      <c r="U1738" s="14">
        <f>IFERROR(__xludf.DUMMYFUNCTION("""COMPUTED_VALUE"""),0.666)</f>
        <v>0.666</v>
      </c>
      <c r="V1738" s="14">
        <f>IFERROR(__xludf.DUMMYFUNCTION("""COMPUTED_VALUE"""),0.123)</f>
        <v>0.123</v>
      </c>
      <c r="W1738" s="14">
        <f>IFERROR(__xludf.DUMMYFUNCTION("""COMPUTED_VALUE"""),4228300.0)</f>
        <v>4228300</v>
      </c>
      <c r="X1738" s="14">
        <f>IFERROR(__xludf.DUMMYFUNCTION("""COMPUTED_VALUE"""),0.861)</f>
        <v>0.861</v>
      </c>
      <c r="Y1738" s="14" t="str">
        <f>IFERROR(__xludf.DUMMYFUNCTION("""COMPUTED_VALUE"""),"New Zealand-Oceania")</f>
        <v>New Zealand-Oceania</v>
      </c>
      <c r="Z1738" s="14" t="str">
        <f>IFERROR(__xludf.DUMMYFUNCTION("""COMPUTED_VALUE"""),"Oceania")</f>
        <v>Oceania</v>
      </c>
      <c r="AA1738" s="14" t="str">
        <f>IFERROR(__xludf.DUMMYFUNCTION("""COMPUTED_VALUE"""),"2007")</f>
        <v>2007</v>
      </c>
      <c r="AB1738" s="15" t="str">
        <f>IFERROR(__xludf.DUMMYFUNCTION("ARRAYFORMULA(VLOOKUP(A1738,IMPORTRANGE(""https://docs.google.com/spreadsheets/d/1BuTWp7qHGjWhqrnf-OmePP568O4A5Am9ttzvVdP67zw/edit#gid=1931367683"" ,""ENERGY!$A$2:$F$2692""), {2,3,4,5,6},0))"),"Oceania")</f>
        <v>Oceania</v>
      </c>
      <c r="AC1738" s="14" t="str">
        <f>IFERROR(__xludf.DUMMYFUNCTION("""COMPUTED_VALUE"""),"New Zealand-Oceania")</f>
        <v>New Zealand-Oceania</v>
      </c>
      <c r="AD1738" s="14" t="str">
        <f>IFERROR(__xludf.DUMMYFUNCTION("""COMPUTED_VALUE"""),"2009")</f>
        <v>2009</v>
      </c>
      <c r="AE1738" s="14">
        <f>IFERROR(__xludf.DUMMYFUNCTION("""COMPUTED_VALUE"""),16846.0)</f>
        <v>16846</v>
      </c>
      <c r="AF1738" s="14">
        <f>IFERROR(__xludf.DUMMYFUNCTION("""COMPUTED_VALUE"""),33920.0)</f>
        <v>33920</v>
      </c>
    </row>
    <row r="1739">
      <c r="A1739" s="12">
        <v>1738.0</v>
      </c>
      <c r="B1739" s="12" t="s">
        <v>212</v>
      </c>
      <c r="C1739" s="5" t="s">
        <v>80</v>
      </c>
      <c r="D1739" s="11">
        <v>0.36</v>
      </c>
      <c r="E1739" s="11">
        <v>1.0</v>
      </c>
      <c r="F1739" s="8"/>
      <c r="G1739" s="11">
        <v>172.0</v>
      </c>
      <c r="H1739" s="11">
        <v>0.72</v>
      </c>
      <c r="I1739" s="11">
        <v>1.08</v>
      </c>
      <c r="J1739" s="9" t="s">
        <v>69</v>
      </c>
      <c r="K1739" s="14" t="str">
        <f>IFERROR(__xludf.DUMMYFUNCTION("ARRAYFORMULA(VLOOKUP(A1739,IMPORTRANGE(""https://docs.google.com/spreadsheets/d/1BuTWp7qHGjWhqrnf-OmePP568O4A5Am9ttzvVdP67zw/edit#gid=1603210130"", ""TOURISM!$A$2:$F$2692""), {2,3,4,5,6},0))"),"Oceania")</f>
        <v>Oceania</v>
      </c>
      <c r="L1739" s="14">
        <f>IFERROR(__xludf.DUMMYFUNCTION("""COMPUTED_VALUE"""),5.152E9)</f>
        <v>5152000000</v>
      </c>
      <c r="M1739" s="14" t="str">
        <f>IFERROR(__xludf.DUMMYFUNCTION("""COMPUTED_VALUE"""),"New Zealand-Oceania")</f>
        <v>New Zealand-Oceania</v>
      </c>
      <c r="N1739" s="14" t="str">
        <f>IFERROR(__xludf.DUMMYFUNCTION("""COMPUTED_VALUE"""),"2008")</f>
        <v>2008</v>
      </c>
      <c r="O1739" s="14">
        <f>IFERROR(__xludf.DUMMYFUNCTION("""COMPUTED_VALUE"""),3.006E9)</f>
        <v>3006000000</v>
      </c>
      <c r="P1739" s="15">
        <f>IFERROR(__xludf.DUMMYFUNCTION("ARRAYFORMULA(VLOOKUP(A1739,IMPORTRANGE(""https://docs.google.com/spreadsheets/d/1BuTWp7qHGjWhqrnf-OmePP568O4A5Am9ttzvVdP67zw/edit#gid=771602874"" ,""HUMAN RESOURCES!$A$2:$M$2692""), {2,3,4,5,6,7,8,9,10,11,12,13},0))"),0.015)</f>
        <v>0.015</v>
      </c>
      <c r="Q1739" s="14">
        <f>IFERROR(__xludf.DUMMYFUNCTION("""COMPUTED_VALUE"""),0.005)</f>
        <v>0.005</v>
      </c>
      <c r="R1739" s="14">
        <f>IFERROR(__xludf.DUMMYFUNCTION("""COMPUTED_VALUE"""),82.0)</f>
        <v>82</v>
      </c>
      <c r="S1739" s="14">
        <f>IFERROR(__xludf.DUMMYFUNCTION("""COMPUTED_VALUE"""),78.0)</f>
        <v>78</v>
      </c>
      <c r="T1739" s="14">
        <f>IFERROR(__xludf.DUMMYFUNCTION("""COMPUTED_VALUE"""),0.208)</f>
        <v>0.208</v>
      </c>
      <c r="U1739" s="14">
        <f>IFERROR(__xludf.DUMMYFUNCTION("""COMPUTED_VALUE"""),0.666)</f>
        <v>0.666</v>
      </c>
      <c r="V1739" s="14">
        <f>IFERROR(__xludf.DUMMYFUNCTION("""COMPUTED_VALUE"""),0.125)</f>
        <v>0.125</v>
      </c>
      <c r="W1739" s="14">
        <f>IFERROR(__xludf.DUMMYFUNCTION("""COMPUTED_VALUE"""),4268900.0)</f>
        <v>4268900</v>
      </c>
      <c r="X1739" s="14">
        <f>IFERROR(__xludf.DUMMYFUNCTION("""COMPUTED_VALUE"""),0.861)</f>
        <v>0.861</v>
      </c>
      <c r="Y1739" s="14" t="str">
        <f>IFERROR(__xludf.DUMMYFUNCTION("""COMPUTED_VALUE"""),"New Zealand-Oceania")</f>
        <v>New Zealand-Oceania</v>
      </c>
      <c r="Z1739" s="14" t="str">
        <f>IFERROR(__xludf.DUMMYFUNCTION("""COMPUTED_VALUE"""),"Oceania")</f>
        <v>Oceania</v>
      </c>
      <c r="AA1739" s="14" t="str">
        <f>IFERROR(__xludf.DUMMYFUNCTION("""COMPUTED_VALUE"""),"2008")</f>
        <v>2008</v>
      </c>
      <c r="AB1739" s="15" t="str">
        <f>IFERROR(__xludf.DUMMYFUNCTION("ARRAYFORMULA(VLOOKUP(A1739,IMPORTRANGE(""https://docs.google.com/spreadsheets/d/1BuTWp7qHGjWhqrnf-OmePP568O4A5Am9ttzvVdP67zw/edit#gid=1931367683"" ,""ENERGY!$A$2:$F$2692""), {2,3,4,5,6},0))"),"Oceania")</f>
        <v>Oceania</v>
      </c>
      <c r="AC1739" s="14" t="str">
        <f>IFERROR(__xludf.DUMMYFUNCTION("""COMPUTED_VALUE"""),"New Zealand-Oceania")</f>
        <v>New Zealand-Oceania</v>
      </c>
      <c r="AD1739" s="14" t="str">
        <f>IFERROR(__xludf.DUMMYFUNCTION("""COMPUTED_VALUE"""),"2006")</f>
        <v>2006</v>
      </c>
      <c r="AE1739" s="14">
        <f>IFERROR(__xludf.DUMMYFUNCTION("""COMPUTED_VALUE"""),17393.0)</f>
        <v>17393</v>
      </c>
      <c r="AF1739" s="14">
        <f>IFERROR(__xludf.DUMMYFUNCTION("""COMPUTED_VALUE"""),34759.0)</f>
        <v>34759</v>
      </c>
    </row>
    <row r="1740">
      <c r="A1740" s="12">
        <v>1739.0</v>
      </c>
      <c r="B1740" s="12" t="s">
        <v>212</v>
      </c>
      <c r="C1740" s="5" t="s">
        <v>80</v>
      </c>
      <c r="D1740" s="11">
        <v>0.332</v>
      </c>
      <c r="E1740" s="11">
        <v>1.0</v>
      </c>
      <c r="F1740" s="8"/>
      <c r="G1740" s="11">
        <v>172.0</v>
      </c>
      <c r="H1740" s="11">
        <v>0.797</v>
      </c>
      <c r="I1740" s="11">
        <v>1.087</v>
      </c>
      <c r="J1740" s="9" t="s">
        <v>70</v>
      </c>
      <c r="K1740" s="14" t="str">
        <f>IFERROR(__xludf.DUMMYFUNCTION("ARRAYFORMULA(VLOOKUP(A1740,IMPORTRANGE(""https://docs.google.com/spreadsheets/d/1BuTWp7qHGjWhqrnf-OmePP568O4A5Am9ttzvVdP67zw/edit#gid=1603210130"", ""TOURISM!$A$2:$F$2692""), {2,3,4,5,6},0))"),"Oceania")</f>
        <v>Oceania</v>
      </c>
      <c r="L1740" s="14">
        <f>IFERROR(__xludf.DUMMYFUNCTION("""COMPUTED_VALUE"""),4.591E9)</f>
        <v>4591000000</v>
      </c>
      <c r="M1740" s="14" t="str">
        <f>IFERROR(__xludf.DUMMYFUNCTION("""COMPUTED_VALUE"""),"New Zealand-Oceania")</f>
        <v>New Zealand-Oceania</v>
      </c>
      <c r="N1740" s="14" t="str">
        <f>IFERROR(__xludf.DUMMYFUNCTION("""COMPUTED_VALUE"""),"2009")</f>
        <v>2009</v>
      </c>
      <c r="O1740" s="14">
        <f>IFERROR(__xludf.DUMMYFUNCTION("""COMPUTED_VALUE"""),2.58E9)</f>
        <v>2580000000</v>
      </c>
      <c r="P1740" s="15">
        <f>IFERROR(__xludf.DUMMYFUNCTION("ARRAYFORMULA(VLOOKUP(A1740,IMPORTRANGE(""https://docs.google.com/spreadsheets/d/1BuTWp7qHGjWhqrnf-OmePP568O4A5Am9ttzvVdP67zw/edit#gid=771602874"" ,""HUMAN RESOURCES!$A$2:$M$2692""), {2,3,4,5,6,7,8,9,10,11,12,13},0))"),0.014)</f>
        <v>0.014</v>
      </c>
      <c r="Q1740" s="14">
        <f>IFERROR(__xludf.DUMMYFUNCTION("""COMPUTED_VALUE"""),0.005)</f>
        <v>0.005</v>
      </c>
      <c r="R1740" s="14">
        <f>IFERROR(__xludf.DUMMYFUNCTION("""COMPUTED_VALUE"""),83.0)</f>
        <v>83</v>
      </c>
      <c r="S1740" s="14">
        <f>IFERROR(__xludf.DUMMYFUNCTION("""COMPUTED_VALUE"""),79.0)</f>
        <v>79</v>
      </c>
      <c r="T1740" s="14">
        <f>IFERROR(__xludf.DUMMYFUNCTION("""COMPUTED_VALUE"""),0.207)</f>
        <v>0.207</v>
      </c>
      <c r="U1740" s="14">
        <f>IFERROR(__xludf.DUMMYFUNCTION("""COMPUTED_VALUE"""),0.666)</f>
        <v>0.666</v>
      </c>
      <c r="V1740" s="14">
        <f>IFERROR(__xludf.DUMMYFUNCTION("""COMPUTED_VALUE"""),0.127)</f>
        <v>0.127</v>
      </c>
      <c r="W1740" s="14">
        <f>IFERROR(__xludf.DUMMYFUNCTION("""COMPUTED_VALUE"""),4315800.0)</f>
        <v>4315800</v>
      </c>
      <c r="X1740" s="14">
        <f>IFERROR(__xludf.DUMMYFUNCTION("""COMPUTED_VALUE"""),0.861)</f>
        <v>0.861</v>
      </c>
      <c r="Y1740" s="14" t="str">
        <f>IFERROR(__xludf.DUMMYFUNCTION("""COMPUTED_VALUE"""),"New Zealand-Oceania")</f>
        <v>New Zealand-Oceania</v>
      </c>
      <c r="Z1740" s="14" t="str">
        <f>IFERROR(__xludf.DUMMYFUNCTION("""COMPUTED_VALUE"""),"Oceania")</f>
        <v>Oceania</v>
      </c>
      <c r="AA1740" s="14" t="str">
        <f>IFERROR(__xludf.DUMMYFUNCTION("""COMPUTED_VALUE"""),"2009")</f>
        <v>2009</v>
      </c>
      <c r="AB1740" s="15" t="str">
        <f>IFERROR(__xludf.DUMMYFUNCTION("ARRAYFORMULA(VLOOKUP(A1740,IMPORTRANGE(""https://docs.google.com/spreadsheets/d/1BuTWp7qHGjWhqrnf-OmePP568O4A5Am9ttzvVdP67zw/edit#gid=1931367683"" ,""ENERGY!$A$2:$F$2692""), {2,3,4,5,6},0))"),"Oceania")</f>
        <v>Oceania</v>
      </c>
      <c r="AC1740" s="14" t="str">
        <f>IFERROR(__xludf.DUMMYFUNCTION("""COMPUTED_VALUE"""),"New Zealand-Oceania")</f>
        <v>New Zealand-Oceania</v>
      </c>
      <c r="AD1740" s="14" t="str">
        <f>IFERROR(__xludf.DUMMYFUNCTION("""COMPUTED_VALUE"""),"2011")</f>
        <v>2011</v>
      </c>
      <c r="AE1740" s="14">
        <f>IFERROR(__xludf.DUMMYFUNCTION("""COMPUTED_VALUE"""),16847.0)</f>
        <v>16847</v>
      </c>
      <c r="AF1740" s="14">
        <f>IFERROR(__xludf.DUMMYFUNCTION("""COMPUTED_VALUE"""),33938.0)</f>
        <v>33938</v>
      </c>
    </row>
    <row r="1741">
      <c r="A1741" s="12">
        <v>1740.0</v>
      </c>
      <c r="B1741" s="12" t="s">
        <v>212</v>
      </c>
      <c r="C1741" s="5" t="s">
        <v>80</v>
      </c>
      <c r="D1741" s="11">
        <v>0.347</v>
      </c>
      <c r="E1741" s="11">
        <v>1.0</v>
      </c>
      <c r="F1741" s="8"/>
      <c r="G1741" s="11">
        <v>172.0</v>
      </c>
      <c r="H1741" s="11">
        <v>0.805</v>
      </c>
      <c r="I1741" s="11">
        <v>1.078</v>
      </c>
      <c r="J1741" s="9" t="s">
        <v>71</v>
      </c>
      <c r="K1741" s="14" t="str">
        <f>IFERROR(__xludf.DUMMYFUNCTION("ARRAYFORMULA(VLOOKUP(A1741,IMPORTRANGE(""https://docs.google.com/spreadsheets/d/1BuTWp7qHGjWhqrnf-OmePP568O4A5Am9ttzvVdP67zw/edit#gid=1603210130"", ""TOURISM!$A$2:$F$2692""), {2,3,4,5,6},0))"),"Oceania")</f>
        <v>Oceania</v>
      </c>
      <c r="L1741" s="14">
        <f>IFERROR(__xludf.DUMMYFUNCTION("""COMPUTED_VALUE"""),4.904E9)</f>
        <v>4904000000</v>
      </c>
      <c r="M1741" s="14" t="str">
        <f>IFERROR(__xludf.DUMMYFUNCTION("""COMPUTED_VALUE"""),"New Zealand-Oceania")</f>
        <v>New Zealand-Oceania</v>
      </c>
      <c r="N1741" s="14" t="str">
        <f>IFERROR(__xludf.DUMMYFUNCTION("""COMPUTED_VALUE"""),"2010")</f>
        <v>2010</v>
      </c>
      <c r="O1741" s="14">
        <f>IFERROR(__xludf.DUMMYFUNCTION("""COMPUTED_VALUE"""),3.037E9)</f>
        <v>3037000000</v>
      </c>
      <c r="P1741" s="15">
        <f>IFERROR(__xludf.DUMMYFUNCTION("ARRAYFORMULA(VLOOKUP(A1741,IMPORTRANGE(""https://docs.google.com/spreadsheets/d/1BuTWp7qHGjWhqrnf-OmePP568O4A5Am9ttzvVdP67zw/edit#gid=771602874"" ,""HUMAN RESOURCES!$A$2:$M$2692""), {2,3,4,5,6,7,8,9,10,11,12,13},0))"),0.015)</f>
        <v>0.015</v>
      </c>
      <c r="Q1741" s="14">
        <f>IFERROR(__xludf.DUMMYFUNCTION("""COMPUTED_VALUE"""),0.005)</f>
        <v>0.005</v>
      </c>
      <c r="R1741" s="14">
        <f>IFERROR(__xludf.DUMMYFUNCTION("""COMPUTED_VALUE"""),83.0)</f>
        <v>83</v>
      </c>
      <c r="S1741" s="14">
        <f>IFERROR(__xludf.DUMMYFUNCTION("""COMPUTED_VALUE"""),79.0)</f>
        <v>79</v>
      </c>
      <c r="T1741" s="14">
        <f>IFERROR(__xludf.DUMMYFUNCTION("""COMPUTED_VALUE"""),0.205)</f>
        <v>0.205</v>
      </c>
      <c r="U1741" s="14">
        <f>IFERROR(__xludf.DUMMYFUNCTION("""COMPUTED_VALUE"""),0.665)</f>
        <v>0.665</v>
      </c>
      <c r="V1741" s="14">
        <f>IFERROR(__xludf.DUMMYFUNCTION("""COMPUTED_VALUE"""),0.13)</f>
        <v>0.13</v>
      </c>
      <c r="W1741" s="14">
        <f>IFERROR(__xludf.DUMMYFUNCTION("""COMPUTED_VALUE"""),4367800.0)</f>
        <v>4367800</v>
      </c>
      <c r="X1741" s="14">
        <f>IFERROR(__xludf.DUMMYFUNCTION("""COMPUTED_VALUE"""),0.862)</f>
        <v>0.862</v>
      </c>
      <c r="Y1741" s="14" t="str">
        <f>IFERROR(__xludf.DUMMYFUNCTION("""COMPUTED_VALUE"""),"New Zealand-Oceania")</f>
        <v>New Zealand-Oceania</v>
      </c>
      <c r="Z1741" s="14" t="str">
        <f>IFERROR(__xludf.DUMMYFUNCTION("""COMPUTED_VALUE"""),"Oceania")</f>
        <v>Oceania</v>
      </c>
      <c r="AA1741" s="14" t="str">
        <f>IFERROR(__xludf.DUMMYFUNCTION("""COMPUTED_VALUE"""),"2010")</f>
        <v>2010</v>
      </c>
      <c r="AB1741" s="15" t="str">
        <f>IFERROR(__xludf.DUMMYFUNCTION("ARRAYFORMULA(VLOOKUP(A1741,IMPORTRANGE(""https://docs.google.com/spreadsheets/d/1BuTWp7qHGjWhqrnf-OmePP568O4A5Am9ttzvVdP67zw/edit#gid=1931367683"" ,""ENERGY!$A$2:$F$2692""), {2,3,4,5,6},0))"),"Oceania")</f>
        <v>Oceania</v>
      </c>
      <c r="AC1741" s="14" t="str">
        <f>IFERROR(__xludf.DUMMYFUNCTION("""COMPUTED_VALUE"""),"New Zealand-Oceania")</f>
        <v>New Zealand-Oceania</v>
      </c>
      <c r="AD1741" s="14" t="str">
        <f>IFERROR(__xludf.DUMMYFUNCTION("""COMPUTED_VALUE"""),"2006")</f>
        <v>2006</v>
      </c>
      <c r="AE1741" s="14">
        <f>IFERROR(__xludf.DUMMYFUNCTION("""COMPUTED_VALUE"""),17119.0)</f>
        <v>17119</v>
      </c>
      <c r="AF1741" s="14">
        <f>IFERROR(__xludf.DUMMYFUNCTION("""COMPUTED_VALUE"""),33201.0)</f>
        <v>33201</v>
      </c>
    </row>
    <row r="1742">
      <c r="A1742" s="12">
        <v>1741.0</v>
      </c>
      <c r="B1742" s="12" t="s">
        <v>212</v>
      </c>
      <c r="C1742" s="5" t="s">
        <v>80</v>
      </c>
      <c r="D1742" s="11">
        <v>0.344</v>
      </c>
      <c r="E1742" s="11">
        <v>1.0</v>
      </c>
      <c r="F1742" s="8"/>
      <c r="G1742" s="11">
        <v>172.0</v>
      </c>
      <c r="H1742" s="11">
        <v>0.812</v>
      </c>
      <c r="I1742" s="11">
        <v>1.092</v>
      </c>
      <c r="J1742" s="9" t="s">
        <v>72</v>
      </c>
      <c r="K1742" s="14" t="str">
        <f>IFERROR(__xludf.DUMMYFUNCTION("ARRAYFORMULA(VLOOKUP(A1742,IMPORTRANGE(""https://docs.google.com/spreadsheets/d/1BuTWp7qHGjWhqrnf-OmePP568O4A5Am9ttzvVdP67zw/edit#gid=1603210130"", ""TOURISM!$A$2:$F$2692""), {2,3,4,5,6},0))"),"Oceania")</f>
        <v>Oceania</v>
      </c>
      <c r="L1742" s="14">
        <f>IFERROR(__xludf.DUMMYFUNCTION("""COMPUTED_VALUE"""),5.546E9)</f>
        <v>5546000000</v>
      </c>
      <c r="M1742" s="14" t="str">
        <f>IFERROR(__xludf.DUMMYFUNCTION("""COMPUTED_VALUE"""),"New Zealand-Oceania")</f>
        <v>New Zealand-Oceania</v>
      </c>
      <c r="N1742" s="14" t="str">
        <f>IFERROR(__xludf.DUMMYFUNCTION("""COMPUTED_VALUE"""),"2011")</f>
        <v>2011</v>
      </c>
      <c r="O1742" s="14">
        <f>IFERROR(__xludf.DUMMYFUNCTION("""COMPUTED_VALUE"""),3.462E9)</f>
        <v>3462000000</v>
      </c>
      <c r="P1742" s="15">
        <f>IFERROR(__xludf.DUMMYFUNCTION("ARRAYFORMULA(VLOOKUP(A1742,IMPORTRANGE(""https://docs.google.com/spreadsheets/d/1BuTWp7qHGjWhqrnf-OmePP568O4A5Am9ttzvVdP67zw/edit#gid=771602874"" ,""HUMAN RESOURCES!$A$2:$M$2692""), {2,3,4,5,6,7,8,9,10,11,12,13},0))"),0.014)</f>
        <v>0.014</v>
      </c>
      <c r="Q1742" s="14">
        <f>IFERROR(__xludf.DUMMYFUNCTION("""COMPUTED_VALUE"""),0.005)</f>
        <v>0.005</v>
      </c>
      <c r="R1742" s="14">
        <f>IFERROR(__xludf.DUMMYFUNCTION("""COMPUTED_VALUE"""),83.0)</f>
        <v>83</v>
      </c>
      <c r="S1742" s="14">
        <f>IFERROR(__xludf.DUMMYFUNCTION("""COMPUTED_VALUE"""),79.0)</f>
        <v>79</v>
      </c>
      <c r="T1742" s="14">
        <f>IFERROR(__xludf.DUMMYFUNCTION("""COMPUTED_VALUE"""),0.204)</f>
        <v>0.204</v>
      </c>
      <c r="U1742" s="14">
        <f>IFERROR(__xludf.DUMMYFUNCTION("""COMPUTED_VALUE"""),0.663)</f>
        <v>0.663</v>
      </c>
      <c r="V1742" s="14">
        <f>IFERROR(__xludf.DUMMYFUNCTION("""COMPUTED_VALUE"""),0.133)</f>
        <v>0.133</v>
      </c>
      <c r="W1742" s="14">
        <f>IFERROR(__xludf.DUMMYFUNCTION("""COMPUTED_VALUE"""),4405200.0)</f>
        <v>4405200</v>
      </c>
      <c r="X1742" s="14">
        <f>IFERROR(__xludf.DUMMYFUNCTION("""COMPUTED_VALUE"""),0.862)</f>
        <v>0.862</v>
      </c>
      <c r="Y1742" s="14" t="str">
        <f>IFERROR(__xludf.DUMMYFUNCTION("""COMPUTED_VALUE"""),"New Zealand-Oceania")</f>
        <v>New Zealand-Oceania</v>
      </c>
      <c r="Z1742" s="14" t="str">
        <f>IFERROR(__xludf.DUMMYFUNCTION("""COMPUTED_VALUE"""),"Oceania")</f>
        <v>Oceania</v>
      </c>
      <c r="AA1742" s="14" t="str">
        <f>IFERROR(__xludf.DUMMYFUNCTION("""COMPUTED_VALUE"""),"2011")</f>
        <v>2011</v>
      </c>
      <c r="AB1742" s="15" t="str">
        <f>IFERROR(__xludf.DUMMYFUNCTION("ARRAYFORMULA(VLOOKUP(A1742,IMPORTRANGE(""https://docs.google.com/spreadsheets/d/1BuTWp7qHGjWhqrnf-OmePP568O4A5Am9ttzvVdP67zw/edit#gid=1931367683"" ,""ENERGY!$A$2:$F$2692""), {2,3,4,5,6},0))"),"Oceania")</f>
        <v>Oceania</v>
      </c>
      <c r="AC1742" s="14" t="str">
        <f>IFERROR(__xludf.DUMMYFUNCTION("""COMPUTED_VALUE"""),"New Zealand-Oceania")</f>
        <v>New Zealand-Oceania</v>
      </c>
      <c r="AD1742" s="14" t="str">
        <f>IFERROR(__xludf.DUMMYFUNCTION("""COMPUTED_VALUE"""),"2006")</f>
        <v>2006</v>
      </c>
      <c r="AE1742" s="14">
        <f>IFERROR(__xludf.DUMMYFUNCTION("""COMPUTED_VALUE"""),17120.0)</f>
        <v>17120</v>
      </c>
      <c r="AF1742" s="14">
        <f>IFERROR(__xludf.DUMMYFUNCTION("""COMPUTED_VALUE"""),34510.0)</f>
        <v>34510</v>
      </c>
    </row>
    <row r="1743">
      <c r="A1743" s="12">
        <v>1742.0</v>
      </c>
      <c r="B1743" s="12" t="s">
        <v>212</v>
      </c>
      <c r="C1743" s="5" t="s">
        <v>80</v>
      </c>
      <c r="D1743" s="11">
        <v>0.34</v>
      </c>
      <c r="E1743" s="11">
        <v>1.0</v>
      </c>
      <c r="F1743" s="11">
        <v>3.0</v>
      </c>
      <c r="G1743" s="11">
        <v>152.0</v>
      </c>
      <c r="H1743" s="11">
        <v>0.82</v>
      </c>
      <c r="I1743" s="11">
        <v>1.104</v>
      </c>
      <c r="J1743" s="9" t="s">
        <v>73</v>
      </c>
      <c r="K1743" s="14" t="str">
        <f>IFERROR(__xludf.DUMMYFUNCTION("ARRAYFORMULA(VLOOKUP(A1743,IMPORTRANGE(""https://docs.google.com/spreadsheets/d/1BuTWp7qHGjWhqrnf-OmePP568O4A5Am9ttzvVdP67zw/edit#gid=1603210130"", ""TOURISM!$A$2:$F$2692""), {2,3,4,5,6},0))"),"Oceania")</f>
        <v>Oceania</v>
      </c>
      <c r="L1743" s="14">
        <f>IFERROR(__xludf.DUMMYFUNCTION("""COMPUTED_VALUE"""),5.467E9)</f>
        <v>5467000000</v>
      </c>
      <c r="M1743" s="14" t="str">
        <f>IFERROR(__xludf.DUMMYFUNCTION("""COMPUTED_VALUE"""),"New Zealand-Oceania")</f>
        <v>New Zealand-Oceania</v>
      </c>
      <c r="N1743" s="14" t="str">
        <f>IFERROR(__xludf.DUMMYFUNCTION("""COMPUTED_VALUE"""),"2012")</f>
        <v>2012</v>
      </c>
      <c r="O1743" s="14">
        <f>IFERROR(__xludf.DUMMYFUNCTION("""COMPUTED_VALUE"""),3.718E9)</f>
        <v>3718000000</v>
      </c>
      <c r="P1743" s="15">
        <f>IFERROR(__xludf.DUMMYFUNCTION("ARRAYFORMULA(VLOOKUP(A1743,IMPORTRANGE(""https://docs.google.com/spreadsheets/d/1BuTWp7qHGjWhqrnf-OmePP568O4A5Am9ttzvVdP67zw/edit#gid=771602874"" ,""HUMAN RESOURCES!$A$2:$M$2692""), {2,3,4,5,6,7,8,9,10,11,12,13},0))"),0.014)</f>
        <v>0.014</v>
      </c>
      <c r="Q1743" s="14">
        <f>IFERROR(__xludf.DUMMYFUNCTION("""COMPUTED_VALUE"""),0.005)</f>
        <v>0.005</v>
      </c>
      <c r="R1743" s="14">
        <f>IFERROR(__xludf.DUMMYFUNCTION("""COMPUTED_VALUE"""),83.0)</f>
        <v>83</v>
      </c>
      <c r="S1743" s="14">
        <f>IFERROR(__xludf.DUMMYFUNCTION("""COMPUTED_VALUE"""),79.0)</f>
        <v>79</v>
      </c>
      <c r="T1743" s="14">
        <f>IFERROR(__xludf.DUMMYFUNCTION("""COMPUTED_VALUE"""),0.203)</f>
        <v>0.203</v>
      </c>
      <c r="U1743" s="14">
        <f>IFERROR(__xludf.DUMMYFUNCTION("""COMPUTED_VALUE"""),0.661)</f>
        <v>0.661</v>
      </c>
      <c r="V1743" s="14">
        <f>IFERROR(__xludf.DUMMYFUNCTION("""COMPUTED_VALUE"""),0.136)</f>
        <v>0.136</v>
      </c>
      <c r="W1743" s="14">
        <f>IFERROR(__xludf.DUMMYFUNCTION("""COMPUTED_VALUE"""),4433000.0)</f>
        <v>4433000</v>
      </c>
      <c r="X1743" s="14">
        <f>IFERROR(__xludf.DUMMYFUNCTION("""COMPUTED_VALUE"""),0.862)</f>
        <v>0.862</v>
      </c>
      <c r="Y1743" s="14" t="str">
        <f>IFERROR(__xludf.DUMMYFUNCTION("""COMPUTED_VALUE"""),"New Zealand-Oceania")</f>
        <v>New Zealand-Oceania</v>
      </c>
      <c r="Z1743" s="14" t="str">
        <f>IFERROR(__xludf.DUMMYFUNCTION("""COMPUTED_VALUE"""),"Oceania")</f>
        <v>Oceania</v>
      </c>
      <c r="AA1743" s="14" t="str">
        <f>IFERROR(__xludf.DUMMYFUNCTION("""COMPUTED_VALUE"""),"2012")</f>
        <v>2012</v>
      </c>
      <c r="AB1743" s="15" t="str">
        <f>IFERROR(__xludf.DUMMYFUNCTION("ARRAYFORMULA(VLOOKUP(A1743,IMPORTRANGE(""https://docs.google.com/spreadsheets/d/1BuTWp7qHGjWhqrnf-OmePP568O4A5Am9ttzvVdP67zw/edit#gid=1931367683"" ,""ENERGY!$A$2:$F$2692""), {2,3,4,5,6},0))"),"Oceania")</f>
        <v>Oceania</v>
      </c>
      <c r="AC1743" s="14" t="str">
        <f>IFERROR(__xludf.DUMMYFUNCTION("""COMPUTED_VALUE"""),"New Zealand-Oceania")</f>
        <v>New Zealand-Oceania</v>
      </c>
      <c r="AD1743" s="14" t="str">
        <f>IFERROR(__xludf.DUMMYFUNCTION("""COMPUTED_VALUE"""),"2011")</f>
        <v>2011</v>
      </c>
      <c r="AE1743" s="14">
        <f>IFERROR(__xludf.DUMMYFUNCTION("""COMPUTED_VALUE"""),17056.0)</f>
        <v>17056</v>
      </c>
      <c r="AF1743" s="14">
        <f>IFERROR(__xludf.DUMMYFUNCTION("""COMPUTED_VALUE"""),32897.0)</f>
        <v>32897</v>
      </c>
    </row>
    <row r="1744">
      <c r="A1744" s="12">
        <v>1743.0</v>
      </c>
      <c r="B1744" s="12" t="s">
        <v>213</v>
      </c>
      <c r="C1744" s="5" t="s">
        <v>84</v>
      </c>
      <c r="D1744" s="8"/>
      <c r="E1744" s="8"/>
      <c r="F1744" s="8"/>
      <c r="G1744" s="8"/>
      <c r="H1744" s="11">
        <v>0.01</v>
      </c>
      <c r="I1744" s="11">
        <v>0.018</v>
      </c>
      <c r="J1744" s="9" t="s">
        <v>60</v>
      </c>
      <c r="K1744" s="14" t="str">
        <f>IFERROR(__xludf.DUMMYFUNCTION("ARRAYFORMULA(VLOOKUP(A1744,IMPORTRANGE(""https://docs.google.com/spreadsheets/d/1BuTWp7qHGjWhqrnf-OmePP568O4A5Am9ttzvVdP67zw/edit#gid=1603210130"", ""TOURISM!$A$2:$F$2692""), {2,3,4,5,6},0))"),"The Americas")</f>
        <v>The Americas</v>
      </c>
      <c r="L1744" s="14">
        <f>IFERROR(__xludf.DUMMYFUNCTION("""COMPUTED_VALUE"""),1.29E8)</f>
        <v>129000000</v>
      </c>
      <c r="M1744" s="14" t="str">
        <f>IFERROR(__xludf.DUMMYFUNCTION("""COMPUTED_VALUE"""),"Nicaragua-The Americas")</f>
        <v>Nicaragua-The Americas</v>
      </c>
      <c r="N1744" s="14" t="str">
        <f>IFERROR(__xludf.DUMMYFUNCTION("""COMPUTED_VALUE"""),"2000")</f>
        <v>2000</v>
      </c>
      <c r="O1744" s="14">
        <f>IFERROR(__xludf.DUMMYFUNCTION("""COMPUTED_VALUE"""),1.26E8)</f>
        <v>126000000</v>
      </c>
      <c r="P1744" s="15">
        <f>IFERROR(__xludf.DUMMYFUNCTION("ARRAYFORMULA(VLOOKUP(A1744,IMPORTRANGE(""https://docs.google.com/spreadsheets/d/1BuTWp7qHGjWhqrnf-OmePP568O4A5Am9ttzvVdP67zw/edit#gid=771602874"" ,""HUMAN RESOURCES!$A$2:$M$2692""), {2,3,4,5,6,7,8,9,10,11,12,13},0))"),0.028)</f>
        <v>0.028</v>
      </c>
      <c r="Q1744" s="14">
        <f>IFERROR(__xludf.DUMMYFUNCTION("""COMPUTED_VALUE"""),0.033)</f>
        <v>0.033</v>
      </c>
      <c r="R1744" s="14">
        <f>IFERROR(__xludf.DUMMYFUNCTION("""COMPUTED_VALUE"""),72.0)</f>
        <v>72</v>
      </c>
      <c r="S1744" s="14">
        <f>IFERROR(__xludf.DUMMYFUNCTION("""COMPUTED_VALUE"""),67.0)</f>
        <v>67</v>
      </c>
      <c r="T1744" s="14">
        <f>IFERROR(__xludf.DUMMYFUNCTION("""COMPUTED_VALUE"""),0.409)</f>
        <v>0.409</v>
      </c>
      <c r="U1744" s="14">
        <f>IFERROR(__xludf.DUMMYFUNCTION("""COMPUTED_VALUE"""),0.554)</f>
        <v>0.554</v>
      </c>
      <c r="V1744" s="14">
        <f>IFERROR(__xludf.DUMMYFUNCTION("""COMPUTED_VALUE"""),0.037)</f>
        <v>0.037</v>
      </c>
      <c r="W1744" s="14">
        <f>IFERROR(__xludf.DUMMYFUNCTION("""COMPUTED_VALUE"""),5100920.0)</f>
        <v>5100920</v>
      </c>
      <c r="X1744" s="14">
        <f>IFERROR(__xludf.DUMMYFUNCTION("""COMPUTED_VALUE"""),0.547)</f>
        <v>0.547</v>
      </c>
      <c r="Y1744" s="14" t="str">
        <f>IFERROR(__xludf.DUMMYFUNCTION("""COMPUTED_VALUE"""),"Nicaragua-The Americas")</f>
        <v>Nicaragua-The Americas</v>
      </c>
      <c r="Z1744" s="14" t="str">
        <f>IFERROR(__xludf.DUMMYFUNCTION("""COMPUTED_VALUE"""),"The Americas")</f>
        <v>The Americas</v>
      </c>
      <c r="AA1744" s="14" t="str">
        <f>IFERROR(__xludf.DUMMYFUNCTION("""COMPUTED_VALUE"""),"2000")</f>
        <v>2000</v>
      </c>
      <c r="AB1744" s="15" t="str">
        <f>IFERROR(__xludf.DUMMYFUNCTION("ARRAYFORMULA(VLOOKUP(A1744,IMPORTRANGE(""https://docs.google.com/spreadsheets/d/1BuTWp7qHGjWhqrnf-OmePP568O4A5Am9ttzvVdP67zw/edit#gid=1931367683"" ,""ENERGY!$A$2:$F$2692""), {2,3,4,5,6},0))"),"The Americas")</f>
        <v>The Americas</v>
      </c>
      <c r="AC1744" s="14" t="str">
        <f>IFERROR(__xludf.DUMMYFUNCTION("""COMPUTED_VALUE"""),"Nicaragua-The Americas")</f>
        <v>Nicaragua-The Americas</v>
      </c>
      <c r="AD1744" s="14" t="str">
        <f>IFERROR(__xludf.DUMMYFUNCTION("""COMPUTED_VALUE"""),"2000")</f>
        <v>2000</v>
      </c>
      <c r="AE1744" s="14"/>
      <c r="AF1744" s="14"/>
    </row>
    <row r="1745">
      <c r="A1745" s="12">
        <v>1744.0</v>
      </c>
      <c r="B1745" s="12" t="s">
        <v>213</v>
      </c>
      <c r="C1745" s="5" t="s">
        <v>84</v>
      </c>
      <c r="D1745" s="8"/>
      <c r="E1745" s="8"/>
      <c r="F1745" s="8"/>
      <c r="G1745" s="8"/>
      <c r="H1745" s="11">
        <v>0.014</v>
      </c>
      <c r="I1745" s="11">
        <v>0.032</v>
      </c>
      <c r="J1745" s="9" t="s">
        <v>62</v>
      </c>
      <c r="K1745" s="14" t="str">
        <f>IFERROR(__xludf.DUMMYFUNCTION("ARRAYFORMULA(VLOOKUP(A1745,IMPORTRANGE(""https://docs.google.com/spreadsheets/d/1BuTWp7qHGjWhqrnf-OmePP568O4A5Am9ttzvVdP67zw/edit#gid=1603210130"", ""TOURISM!$A$2:$F$2692""), {2,3,4,5,6},0))"),"The Americas")</f>
        <v>The Americas</v>
      </c>
      <c r="L1745" s="14">
        <f>IFERROR(__xludf.DUMMYFUNCTION("""COMPUTED_VALUE"""),1.35E8)</f>
        <v>135000000</v>
      </c>
      <c r="M1745" s="14" t="str">
        <f>IFERROR(__xludf.DUMMYFUNCTION("""COMPUTED_VALUE"""),"Nicaragua-The Americas")</f>
        <v>Nicaragua-The Americas</v>
      </c>
      <c r="N1745" s="14" t="str">
        <f>IFERROR(__xludf.DUMMYFUNCTION("""COMPUTED_VALUE"""),"2001")</f>
        <v>2001</v>
      </c>
      <c r="O1745" s="14">
        <f>IFERROR(__xludf.DUMMYFUNCTION("""COMPUTED_VALUE"""),1.28E8)</f>
        <v>128000000</v>
      </c>
      <c r="P1745" s="15">
        <f>IFERROR(__xludf.DUMMYFUNCTION("ARRAYFORMULA(VLOOKUP(A1745,IMPORTRANGE(""https://docs.google.com/spreadsheets/d/1BuTWp7qHGjWhqrnf-OmePP568O4A5Am9ttzvVdP67zw/edit#gid=771602874"" ,""HUMAN RESOURCES!$A$2:$M$2692""), {2,3,4,5,6,7,8,9,10,11,12,13},0))"),0.027)</f>
        <v>0.027</v>
      </c>
      <c r="Q1745" s="14">
        <f>IFERROR(__xludf.DUMMYFUNCTION("""COMPUTED_VALUE"""),0.031)</f>
        <v>0.031</v>
      </c>
      <c r="R1745" s="14">
        <f>IFERROR(__xludf.DUMMYFUNCTION("""COMPUTED_VALUE"""),73.0)</f>
        <v>73</v>
      </c>
      <c r="S1745" s="14">
        <f>IFERROR(__xludf.DUMMYFUNCTION("""COMPUTED_VALUE"""),67.0)</f>
        <v>67</v>
      </c>
      <c r="T1745" s="14">
        <f>IFERROR(__xludf.DUMMYFUNCTION("""COMPUTED_VALUE"""),0.403)</f>
        <v>0.403</v>
      </c>
      <c r="U1745" s="14">
        <f>IFERROR(__xludf.DUMMYFUNCTION("""COMPUTED_VALUE"""),0.559)</f>
        <v>0.559</v>
      </c>
      <c r="V1745" s="14">
        <f>IFERROR(__xludf.DUMMYFUNCTION("""COMPUTED_VALUE"""),0.038)</f>
        <v>0.038</v>
      </c>
      <c r="W1745" s="14">
        <f>IFERROR(__xludf.DUMMYFUNCTION("""COMPUTED_VALUE"""),5176685.0)</f>
        <v>5176685</v>
      </c>
      <c r="X1745" s="14">
        <f>IFERROR(__xludf.DUMMYFUNCTION("""COMPUTED_VALUE"""),0.55)</f>
        <v>0.55</v>
      </c>
      <c r="Y1745" s="14" t="str">
        <f>IFERROR(__xludf.DUMMYFUNCTION("""COMPUTED_VALUE"""),"Nicaragua-The Americas")</f>
        <v>Nicaragua-The Americas</v>
      </c>
      <c r="Z1745" s="14" t="str">
        <f>IFERROR(__xludf.DUMMYFUNCTION("""COMPUTED_VALUE"""),"The Americas")</f>
        <v>The Americas</v>
      </c>
      <c r="AA1745" s="14" t="str">
        <f>IFERROR(__xludf.DUMMYFUNCTION("""COMPUTED_VALUE"""),"2001")</f>
        <v>2001</v>
      </c>
      <c r="AB1745" s="15" t="str">
        <f>IFERROR(__xludf.DUMMYFUNCTION("ARRAYFORMULA(VLOOKUP(A1745,IMPORTRANGE(""https://docs.google.com/spreadsheets/d/1BuTWp7qHGjWhqrnf-OmePP568O4A5Am9ttzvVdP67zw/edit#gid=1931367683"" ,""ENERGY!$A$2:$F$2692""), {2,3,4,5,6},0))"),"The Americas")</f>
        <v>The Americas</v>
      </c>
      <c r="AC1745" s="14" t="str">
        <f>IFERROR(__xludf.DUMMYFUNCTION("""COMPUTED_VALUE"""),"Nicaragua-The Americas")</f>
        <v>Nicaragua-The Americas</v>
      </c>
      <c r="AD1745" s="14" t="str">
        <f>IFERROR(__xludf.DUMMYFUNCTION("""COMPUTED_VALUE"""),"2001")</f>
        <v>2001</v>
      </c>
      <c r="AE1745" s="14">
        <f>IFERROR(__xludf.DUMMYFUNCTION("""COMPUTED_VALUE"""),3038.0)</f>
        <v>3038</v>
      </c>
      <c r="AF1745" s="14"/>
    </row>
    <row r="1746">
      <c r="A1746" s="12">
        <v>1745.0</v>
      </c>
      <c r="B1746" s="12" t="s">
        <v>213</v>
      </c>
      <c r="C1746" s="5" t="s">
        <v>84</v>
      </c>
      <c r="D1746" s="8"/>
      <c r="E1746" s="8"/>
      <c r="F1746" s="8"/>
      <c r="G1746" s="8"/>
      <c r="H1746" s="11">
        <v>0.017</v>
      </c>
      <c r="I1746" s="11">
        <v>0.045</v>
      </c>
      <c r="J1746" s="9" t="s">
        <v>63</v>
      </c>
      <c r="K1746" s="14" t="str">
        <f>IFERROR(__xludf.DUMMYFUNCTION("ARRAYFORMULA(VLOOKUP(A1746,IMPORTRANGE(""https://docs.google.com/spreadsheets/d/1BuTWp7qHGjWhqrnf-OmePP568O4A5Am9ttzvVdP67zw/edit#gid=1603210130"", ""TOURISM!$A$2:$F$2692""), {2,3,4,5,6},0))"),"The Americas")</f>
        <v>The Americas</v>
      </c>
      <c r="L1746" s="14">
        <f>IFERROR(__xludf.DUMMYFUNCTION("""COMPUTED_VALUE"""),1.35E8)</f>
        <v>135000000</v>
      </c>
      <c r="M1746" s="14" t="str">
        <f>IFERROR(__xludf.DUMMYFUNCTION("""COMPUTED_VALUE"""),"Nicaragua-The Americas")</f>
        <v>Nicaragua-The Americas</v>
      </c>
      <c r="N1746" s="14" t="str">
        <f>IFERROR(__xludf.DUMMYFUNCTION("""COMPUTED_VALUE"""),"2002")</f>
        <v>2002</v>
      </c>
      <c r="O1746" s="14">
        <f>IFERROR(__xludf.DUMMYFUNCTION("""COMPUTED_VALUE"""),1.25E8)</f>
        <v>125000000</v>
      </c>
      <c r="P1746" s="15">
        <f>IFERROR(__xludf.DUMMYFUNCTION("ARRAYFORMULA(VLOOKUP(A1746,IMPORTRANGE(""https://docs.google.com/spreadsheets/d/1BuTWp7qHGjWhqrnf-OmePP568O4A5Am9ttzvVdP67zw/edit#gid=771602874"" ,""HUMAN RESOURCES!$A$2:$M$2692""), {2,3,4,5,6,7,8,9,10,11,12,13},0))"),0.027)</f>
        <v>0.027</v>
      </c>
      <c r="Q1746" s="14">
        <f>IFERROR(__xludf.DUMMYFUNCTION("""COMPUTED_VALUE"""),0.03)</f>
        <v>0.03</v>
      </c>
      <c r="R1746" s="14">
        <f>IFERROR(__xludf.DUMMYFUNCTION("""COMPUTED_VALUE"""),74.0)</f>
        <v>74</v>
      </c>
      <c r="S1746" s="14">
        <f>IFERROR(__xludf.DUMMYFUNCTION("""COMPUTED_VALUE"""),68.0)</f>
        <v>68</v>
      </c>
      <c r="T1746" s="14">
        <f>IFERROR(__xludf.DUMMYFUNCTION("""COMPUTED_VALUE"""),0.397)</f>
        <v>0.397</v>
      </c>
      <c r="U1746" s="14">
        <f>IFERROR(__xludf.DUMMYFUNCTION("""COMPUTED_VALUE"""),0.565)</f>
        <v>0.565</v>
      </c>
      <c r="V1746" s="14">
        <f>IFERROR(__xludf.DUMMYFUNCTION("""COMPUTED_VALUE"""),0.039)</f>
        <v>0.039</v>
      </c>
      <c r="W1746" s="14">
        <f>IFERROR(__xludf.DUMMYFUNCTION("""COMPUTED_VALUE"""),5248577.0)</f>
        <v>5248577</v>
      </c>
      <c r="X1746" s="14">
        <f>IFERROR(__xludf.DUMMYFUNCTION("""COMPUTED_VALUE"""),0.552)</f>
        <v>0.552</v>
      </c>
      <c r="Y1746" s="14" t="str">
        <f>IFERROR(__xludf.DUMMYFUNCTION("""COMPUTED_VALUE"""),"Nicaragua-The Americas")</f>
        <v>Nicaragua-The Americas</v>
      </c>
      <c r="Z1746" s="14" t="str">
        <f>IFERROR(__xludf.DUMMYFUNCTION("""COMPUTED_VALUE"""),"The Americas")</f>
        <v>The Americas</v>
      </c>
      <c r="AA1746" s="14" t="str">
        <f>IFERROR(__xludf.DUMMYFUNCTION("""COMPUTED_VALUE"""),"2002")</f>
        <v>2002</v>
      </c>
      <c r="AB1746" s="15" t="str">
        <f>IFERROR(__xludf.DUMMYFUNCTION("ARRAYFORMULA(VLOOKUP(A1746,IMPORTRANGE(""https://docs.google.com/spreadsheets/d/1BuTWp7qHGjWhqrnf-OmePP568O4A5Am9ttzvVdP67zw/edit#gid=1931367683"" ,""ENERGY!$A$2:$F$2692""), {2,3,4,5,6},0))"),"The Americas")</f>
        <v>The Americas</v>
      </c>
      <c r="AC1746" s="14" t="str">
        <f>IFERROR(__xludf.DUMMYFUNCTION("""COMPUTED_VALUE"""),"Nicaragua-The Americas")</f>
        <v>Nicaragua-The Americas</v>
      </c>
      <c r="AD1746" s="14" t="str">
        <f>IFERROR(__xludf.DUMMYFUNCTION("""COMPUTED_VALUE"""),"2002")</f>
        <v>2002</v>
      </c>
      <c r="AE1746" s="14">
        <f>IFERROR(__xludf.DUMMYFUNCTION("""COMPUTED_VALUE"""),2951.0)</f>
        <v>2951</v>
      </c>
      <c r="AF1746" s="14">
        <f>IFERROR(__xludf.DUMMYFUNCTION("""COMPUTED_VALUE"""),4547.0)</f>
        <v>4547</v>
      </c>
    </row>
    <row r="1747">
      <c r="A1747" s="12">
        <v>1746.0</v>
      </c>
      <c r="B1747" s="12" t="s">
        <v>213</v>
      </c>
      <c r="C1747" s="5" t="s">
        <v>84</v>
      </c>
      <c r="D1747" s="8"/>
      <c r="E1747" s="11">
        <v>46.0</v>
      </c>
      <c r="F1747" s="8"/>
      <c r="G1747" s="8"/>
      <c r="H1747" s="11">
        <v>0.019</v>
      </c>
      <c r="I1747" s="11">
        <v>0.088</v>
      </c>
      <c r="J1747" s="9" t="s">
        <v>64</v>
      </c>
      <c r="K1747" s="14" t="str">
        <f>IFERROR(__xludf.DUMMYFUNCTION("ARRAYFORMULA(VLOOKUP(A1747,IMPORTRANGE(""https://docs.google.com/spreadsheets/d/1BuTWp7qHGjWhqrnf-OmePP568O4A5Am9ttzvVdP67zw/edit#gid=1603210130"", ""TOURISM!$A$2:$F$2692""), {2,3,4,5,6},0))"),"The Americas")</f>
        <v>The Americas</v>
      </c>
      <c r="L1747" s="14">
        <f>IFERROR(__xludf.DUMMYFUNCTION("""COMPUTED_VALUE"""),1.6E8)</f>
        <v>160000000</v>
      </c>
      <c r="M1747" s="14" t="str">
        <f>IFERROR(__xludf.DUMMYFUNCTION("""COMPUTED_VALUE"""),"Nicaragua-The Americas")</f>
        <v>Nicaragua-The Americas</v>
      </c>
      <c r="N1747" s="14" t="str">
        <f>IFERROR(__xludf.DUMMYFUNCTION("""COMPUTED_VALUE"""),"2003")</f>
        <v>2003</v>
      </c>
      <c r="O1747" s="14">
        <f>IFERROR(__xludf.DUMMYFUNCTION("""COMPUTED_VALUE"""),1.39E8)</f>
        <v>139000000</v>
      </c>
      <c r="P1747" s="15">
        <f>IFERROR(__xludf.DUMMYFUNCTION("ARRAYFORMULA(VLOOKUP(A1747,IMPORTRANGE(""https://docs.google.com/spreadsheets/d/1BuTWp7qHGjWhqrnf-OmePP568O4A5Am9ttzvVdP67zw/edit#gid=771602874"" ,""HUMAN RESOURCES!$A$2:$M$2692""), {2,3,4,5,6,7,8,9,10,11,12,13},0))"),0.026)</f>
        <v>0.026</v>
      </c>
      <c r="Q1747" s="14">
        <f>IFERROR(__xludf.DUMMYFUNCTION("""COMPUTED_VALUE"""),0.029)</f>
        <v>0.029</v>
      </c>
      <c r="R1747" s="14">
        <f>IFERROR(__xludf.DUMMYFUNCTION("""COMPUTED_VALUE"""),74.0)</f>
        <v>74</v>
      </c>
      <c r="S1747" s="14">
        <f>IFERROR(__xludf.DUMMYFUNCTION("""COMPUTED_VALUE"""),68.0)</f>
        <v>68</v>
      </c>
      <c r="T1747" s="14">
        <f>IFERROR(__xludf.DUMMYFUNCTION("""COMPUTED_VALUE"""),0.391)</f>
        <v>0.391</v>
      </c>
      <c r="U1747" s="14">
        <f>IFERROR(__xludf.DUMMYFUNCTION("""COMPUTED_VALUE"""),0.57)</f>
        <v>0.57</v>
      </c>
      <c r="V1747" s="14">
        <f>IFERROR(__xludf.DUMMYFUNCTION("""COMPUTED_VALUE"""),0.039)</f>
        <v>0.039</v>
      </c>
      <c r="W1747" s="14">
        <f>IFERROR(__xludf.DUMMYFUNCTION("""COMPUTED_VALUE"""),5317878.0)</f>
        <v>5317878</v>
      </c>
      <c r="X1747" s="14">
        <f>IFERROR(__xludf.DUMMYFUNCTION("""COMPUTED_VALUE"""),0.555)</f>
        <v>0.555</v>
      </c>
      <c r="Y1747" s="14" t="str">
        <f>IFERROR(__xludf.DUMMYFUNCTION("""COMPUTED_VALUE"""),"Nicaragua-The Americas")</f>
        <v>Nicaragua-The Americas</v>
      </c>
      <c r="Z1747" s="14" t="str">
        <f>IFERROR(__xludf.DUMMYFUNCTION("""COMPUTED_VALUE"""),"The Americas")</f>
        <v>The Americas</v>
      </c>
      <c r="AA1747" s="14" t="str">
        <f>IFERROR(__xludf.DUMMYFUNCTION("""COMPUTED_VALUE"""),"2003")</f>
        <v>2003</v>
      </c>
      <c r="AB1747" s="15" t="str">
        <f>IFERROR(__xludf.DUMMYFUNCTION("ARRAYFORMULA(VLOOKUP(A1747,IMPORTRANGE(""https://docs.google.com/spreadsheets/d/1BuTWp7qHGjWhqrnf-OmePP568O4A5Am9ttzvVdP67zw/edit#gid=1931367683"" ,""ENERGY!$A$2:$F$2692""), {2,3,4,5,6},0))"),"The Americas")</f>
        <v>The Americas</v>
      </c>
      <c r="AC1747" s="14" t="str">
        <f>IFERROR(__xludf.DUMMYFUNCTION("""COMPUTED_VALUE"""),"Nicaragua-The Americas")</f>
        <v>Nicaragua-The Americas</v>
      </c>
      <c r="AD1747" s="14" t="str">
        <f>IFERROR(__xludf.DUMMYFUNCTION("""COMPUTED_VALUE"""),"2003")</f>
        <v>2003</v>
      </c>
      <c r="AE1747" s="14">
        <f>IFERROR(__xludf.DUMMYFUNCTION("""COMPUTED_VALUE"""),2903.0)</f>
        <v>2903</v>
      </c>
      <c r="AF1747" s="14">
        <f>IFERROR(__xludf.DUMMYFUNCTION("""COMPUTED_VALUE"""),4496.0)</f>
        <v>4496</v>
      </c>
    </row>
    <row r="1748">
      <c r="A1748" s="12">
        <v>1747.0</v>
      </c>
      <c r="B1748" s="12" t="s">
        <v>213</v>
      </c>
      <c r="C1748" s="5" t="s">
        <v>84</v>
      </c>
      <c r="D1748" s="8"/>
      <c r="E1748" s="11">
        <v>39.0</v>
      </c>
      <c r="F1748" s="8"/>
      <c r="G1748" s="8"/>
      <c r="H1748" s="11">
        <v>0.023</v>
      </c>
      <c r="I1748" s="11">
        <v>0.137</v>
      </c>
      <c r="J1748" s="9" t="s">
        <v>65</v>
      </c>
      <c r="K1748" s="14" t="str">
        <f>IFERROR(__xludf.DUMMYFUNCTION("ARRAYFORMULA(VLOOKUP(A1748,IMPORTRANGE(""https://docs.google.com/spreadsheets/d/1BuTWp7qHGjWhqrnf-OmePP568O4A5Am9ttzvVdP67zw/edit#gid=1603210130"", ""TOURISM!$A$2:$F$2692""), {2,3,4,5,6},0))"),"The Americas")</f>
        <v>The Americas</v>
      </c>
      <c r="L1748" s="14">
        <f>IFERROR(__xludf.DUMMYFUNCTION("""COMPUTED_VALUE"""),1.92E8)</f>
        <v>192000000</v>
      </c>
      <c r="M1748" s="14" t="str">
        <f>IFERROR(__xludf.DUMMYFUNCTION("""COMPUTED_VALUE"""),"Nicaragua-The Americas")</f>
        <v>Nicaragua-The Americas</v>
      </c>
      <c r="N1748" s="14" t="str">
        <f>IFERROR(__xludf.DUMMYFUNCTION("""COMPUTED_VALUE"""),"2004")</f>
        <v>2004</v>
      </c>
      <c r="O1748" s="14">
        <f>IFERROR(__xludf.DUMMYFUNCTION("""COMPUTED_VALUE"""),1.54E8)</f>
        <v>154000000</v>
      </c>
      <c r="P1748" s="15">
        <f>IFERROR(__xludf.DUMMYFUNCTION("ARRAYFORMULA(VLOOKUP(A1748,IMPORTRANGE(""https://docs.google.com/spreadsheets/d/1BuTWp7qHGjWhqrnf-OmePP568O4A5Am9ttzvVdP67zw/edit#gid=771602874"" ,""HUMAN RESOURCES!$A$2:$M$2692""), {2,3,4,5,6,7,8,9,10,11,12,13},0))"),0.026)</f>
        <v>0.026</v>
      </c>
      <c r="Q1748" s="14">
        <f>IFERROR(__xludf.DUMMYFUNCTION("""COMPUTED_VALUE"""),0.027)</f>
        <v>0.027</v>
      </c>
      <c r="R1748" s="14">
        <f>IFERROR(__xludf.DUMMYFUNCTION("""COMPUTED_VALUE"""),75.0)</f>
        <v>75</v>
      </c>
      <c r="S1748" s="14">
        <f>IFERROR(__xludf.DUMMYFUNCTION("""COMPUTED_VALUE"""),69.0)</f>
        <v>69</v>
      </c>
      <c r="T1748" s="14">
        <f>IFERROR(__xludf.DUMMYFUNCTION("""COMPUTED_VALUE"""),0.384)</f>
        <v>0.384</v>
      </c>
      <c r="U1748" s="14">
        <f>IFERROR(__xludf.DUMMYFUNCTION("""COMPUTED_VALUE"""),0.575)</f>
        <v>0.575</v>
      </c>
      <c r="V1748" s="14">
        <f>IFERROR(__xludf.DUMMYFUNCTION("""COMPUTED_VALUE"""),0.04)</f>
        <v>0.04</v>
      </c>
      <c r="W1748" s="14">
        <f>IFERROR(__xludf.DUMMYFUNCTION("""COMPUTED_VALUE"""),5386299.0)</f>
        <v>5386299</v>
      </c>
      <c r="X1748" s="14">
        <f>IFERROR(__xludf.DUMMYFUNCTION("""COMPUTED_VALUE"""),0.557)</f>
        <v>0.557</v>
      </c>
      <c r="Y1748" s="14" t="str">
        <f>IFERROR(__xludf.DUMMYFUNCTION("""COMPUTED_VALUE"""),"Nicaragua-The Americas")</f>
        <v>Nicaragua-The Americas</v>
      </c>
      <c r="Z1748" s="14" t="str">
        <f>IFERROR(__xludf.DUMMYFUNCTION("""COMPUTED_VALUE"""),"The Americas")</f>
        <v>The Americas</v>
      </c>
      <c r="AA1748" s="14" t="str">
        <f>IFERROR(__xludf.DUMMYFUNCTION("""COMPUTED_VALUE"""),"2004")</f>
        <v>2004</v>
      </c>
      <c r="AB1748" s="15" t="str">
        <f>IFERROR(__xludf.DUMMYFUNCTION("ARRAYFORMULA(VLOOKUP(A1748,IMPORTRANGE(""https://docs.google.com/spreadsheets/d/1BuTWp7qHGjWhqrnf-OmePP568O4A5Am9ttzvVdP67zw/edit#gid=1931367683"" ,""ENERGY!$A$2:$F$2692""), {2,3,4,5,6},0))"),"The Americas")</f>
        <v>The Americas</v>
      </c>
      <c r="AC1748" s="14" t="str">
        <f>IFERROR(__xludf.DUMMYFUNCTION("""COMPUTED_VALUE"""),"Nicaragua-The Americas")</f>
        <v>Nicaragua-The Americas</v>
      </c>
      <c r="AD1748" s="14" t="str">
        <f>IFERROR(__xludf.DUMMYFUNCTION("""COMPUTED_VALUE"""),"2004")</f>
        <v>2004</v>
      </c>
      <c r="AE1748" s="14">
        <f>IFERROR(__xludf.DUMMYFUNCTION("""COMPUTED_VALUE"""),2903.0)</f>
        <v>2903</v>
      </c>
      <c r="AF1748" s="14">
        <f>IFERROR(__xludf.DUMMYFUNCTION("""COMPUTED_VALUE"""),4386.0)</f>
        <v>4386</v>
      </c>
    </row>
    <row r="1749">
      <c r="A1749" s="12">
        <v>1748.0</v>
      </c>
      <c r="B1749" s="12" t="s">
        <v>213</v>
      </c>
      <c r="C1749" s="5" t="s">
        <v>84</v>
      </c>
      <c r="D1749" s="11">
        <v>0.635</v>
      </c>
      <c r="E1749" s="11">
        <v>39.0</v>
      </c>
      <c r="F1749" s="8"/>
      <c r="G1749" s="11">
        <v>240.0</v>
      </c>
      <c r="H1749" s="11">
        <v>0.026</v>
      </c>
      <c r="I1749" s="11">
        <v>0.205</v>
      </c>
      <c r="J1749" s="9" t="s">
        <v>66</v>
      </c>
      <c r="K1749" s="14" t="str">
        <f>IFERROR(__xludf.DUMMYFUNCTION("ARRAYFORMULA(VLOOKUP(A1749,IMPORTRANGE(""https://docs.google.com/spreadsheets/d/1BuTWp7qHGjWhqrnf-OmePP568O4A5Am9ttzvVdP67zw/edit#gid=1603210130"", ""TOURISM!$A$2:$F$2692""), {2,3,4,5,6},0))"),"The Americas")</f>
        <v>The Americas</v>
      </c>
      <c r="L1749" s="14">
        <f>IFERROR(__xludf.DUMMYFUNCTION("""COMPUTED_VALUE"""),2.06E8)</f>
        <v>206000000</v>
      </c>
      <c r="M1749" s="14" t="str">
        <f>IFERROR(__xludf.DUMMYFUNCTION("""COMPUTED_VALUE"""),"Nicaragua-The Americas")</f>
        <v>Nicaragua-The Americas</v>
      </c>
      <c r="N1749" s="14" t="str">
        <f>IFERROR(__xludf.DUMMYFUNCTION("""COMPUTED_VALUE"""),"2005")</f>
        <v>2005</v>
      </c>
      <c r="O1749" s="14">
        <f>IFERROR(__xludf.DUMMYFUNCTION("""COMPUTED_VALUE"""),1.62E8)</f>
        <v>162000000</v>
      </c>
      <c r="P1749" s="15">
        <f>IFERROR(__xludf.DUMMYFUNCTION("ARRAYFORMULA(VLOOKUP(A1749,IMPORTRANGE(""https://docs.google.com/spreadsheets/d/1BuTWp7qHGjWhqrnf-OmePP568O4A5Am9ttzvVdP67zw/edit#gid=771602874"" ,""HUMAN RESOURCES!$A$2:$M$2692""), {2,3,4,5,6,7,8,9,10,11,12,13},0))"),0.025)</f>
        <v>0.025</v>
      </c>
      <c r="Q1749" s="14">
        <f>IFERROR(__xludf.DUMMYFUNCTION("""COMPUTED_VALUE"""),0.026)</f>
        <v>0.026</v>
      </c>
      <c r="R1749" s="14">
        <f>IFERROR(__xludf.DUMMYFUNCTION("""COMPUTED_VALUE"""),75.0)</f>
        <v>75</v>
      </c>
      <c r="S1749" s="14">
        <f>IFERROR(__xludf.DUMMYFUNCTION("""COMPUTED_VALUE"""),69.0)</f>
        <v>69</v>
      </c>
      <c r="T1749" s="14">
        <f>IFERROR(__xludf.DUMMYFUNCTION("""COMPUTED_VALUE"""),0.378)</f>
        <v>0.378</v>
      </c>
      <c r="U1749" s="14">
        <f>IFERROR(__xludf.DUMMYFUNCTION("""COMPUTED_VALUE"""),0.581)</f>
        <v>0.581</v>
      </c>
      <c r="V1749" s="14">
        <f>IFERROR(__xludf.DUMMYFUNCTION("""COMPUTED_VALUE"""),0.041)</f>
        <v>0.041</v>
      </c>
      <c r="W1749" s="14">
        <f>IFERROR(__xludf.DUMMYFUNCTION("""COMPUTED_VALUE"""),5455219.0)</f>
        <v>5455219</v>
      </c>
      <c r="X1749" s="14">
        <f>IFERROR(__xludf.DUMMYFUNCTION("""COMPUTED_VALUE"""),0.559)</f>
        <v>0.559</v>
      </c>
      <c r="Y1749" s="14" t="str">
        <f>IFERROR(__xludf.DUMMYFUNCTION("""COMPUTED_VALUE"""),"Nicaragua-The Americas")</f>
        <v>Nicaragua-The Americas</v>
      </c>
      <c r="Z1749" s="14" t="str">
        <f>IFERROR(__xludf.DUMMYFUNCTION("""COMPUTED_VALUE"""),"The Americas")</f>
        <v>The Americas</v>
      </c>
      <c r="AA1749" s="14" t="str">
        <f>IFERROR(__xludf.DUMMYFUNCTION("""COMPUTED_VALUE"""),"2005")</f>
        <v>2005</v>
      </c>
      <c r="AB1749" s="15" t="str">
        <f>IFERROR(__xludf.DUMMYFUNCTION("ARRAYFORMULA(VLOOKUP(A1749,IMPORTRANGE(""https://docs.google.com/spreadsheets/d/1BuTWp7qHGjWhqrnf-OmePP568O4A5Am9ttzvVdP67zw/edit#gid=1931367683"" ,""ENERGY!$A$2:$F$2692""), {2,3,4,5,6},0))"),"The Americas")</f>
        <v>The Americas</v>
      </c>
      <c r="AC1749" s="14" t="str">
        <f>IFERROR(__xludf.DUMMYFUNCTION("""COMPUTED_VALUE"""),"Nicaragua-The Americas")</f>
        <v>Nicaragua-The Americas</v>
      </c>
      <c r="AD1749" s="14" t="str">
        <f>IFERROR(__xludf.DUMMYFUNCTION("""COMPUTED_VALUE"""),"2008")</f>
        <v>2008</v>
      </c>
      <c r="AE1749" s="14">
        <f>IFERROR(__xludf.DUMMYFUNCTION("""COMPUTED_VALUE"""),2871.0)</f>
        <v>2871</v>
      </c>
      <c r="AF1749" s="14">
        <f>IFERROR(__xludf.DUMMYFUNCTION("""COMPUTED_VALUE"""),4595.0)</f>
        <v>4595</v>
      </c>
    </row>
    <row r="1750">
      <c r="A1750" s="12">
        <v>1749.0</v>
      </c>
      <c r="B1750" s="12" t="s">
        <v>213</v>
      </c>
      <c r="C1750" s="5" t="s">
        <v>84</v>
      </c>
      <c r="D1750" s="11">
        <v>0.635</v>
      </c>
      <c r="E1750" s="11">
        <v>39.0</v>
      </c>
      <c r="F1750" s="8"/>
      <c r="G1750" s="11">
        <v>240.0</v>
      </c>
      <c r="H1750" s="11">
        <v>0.028</v>
      </c>
      <c r="I1750" s="11">
        <v>0.331</v>
      </c>
      <c r="J1750" s="9" t="s">
        <v>67</v>
      </c>
      <c r="K1750" s="14" t="str">
        <f>IFERROR(__xludf.DUMMYFUNCTION("ARRAYFORMULA(VLOOKUP(A1750,IMPORTRANGE(""https://docs.google.com/spreadsheets/d/1BuTWp7qHGjWhqrnf-OmePP568O4A5Am9ttzvVdP67zw/edit#gid=1603210130"", ""TOURISM!$A$2:$F$2692""), {2,3,4,5,6},0))"),"The Americas")</f>
        <v>The Americas</v>
      </c>
      <c r="L1750" s="14">
        <f>IFERROR(__xludf.DUMMYFUNCTION("""COMPUTED_VALUE"""),2.31E8)</f>
        <v>231000000</v>
      </c>
      <c r="M1750" s="14" t="str">
        <f>IFERROR(__xludf.DUMMYFUNCTION("""COMPUTED_VALUE"""),"Nicaragua-The Americas")</f>
        <v>Nicaragua-The Americas</v>
      </c>
      <c r="N1750" s="14" t="str">
        <f>IFERROR(__xludf.DUMMYFUNCTION("""COMPUTED_VALUE"""),"2006")</f>
        <v>2006</v>
      </c>
      <c r="O1750" s="14">
        <f>IFERROR(__xludf.DUMMYFUNCTION("""COMPUTED_VALUE"""),1.88E8)</f>
        <v>188000000</v>
      </c>
      <c r="P1750" s="15">
        <f>IFERROR(__xludf.DUMMYFUNCTION("ARRAYFORMULA(VLOOKUP(A1750,IMPORTRANGE(""https://docs.google.com/spreadsheets/d/1BuTWp7qHGjWhqrnf-OmePP568O4A5Am9ttzvVdP67zw/edit#gid=771602874"" ,""HUMAN RESOURCES!$A$2:$M$2692""), {2,3,4,5,6,7,8,9,10,11,12,13},0))"),0.025)</f>
        <v>0.025</v>
      </c>
      <c r="Q1750" s="14">
        <f>IFERROR(__xludf.DUMMYFUNCTION("""COMPUTED_VALUE"""),0.025)</f>
        <v>0.025</v>
      </c>
      <c r="R1750" s="14">
        <f>IFERROR(__xludf.DUMMYFUNCTION("""COMPUTED_VALUE"""),75.0)</f>
        <v>75</v>
      </c>
      <c r="S1750" s="14">
        <f>IFERROR(__xludf.DUMMYFUNCTION("""COMPUTED_VALUE"""),69.0)</f>
        <v>69</v>
      </c>
      <c r="T1750" s="14">
        <f>IFERROR(__xludf.DUMMYFUNCTION("""COMPUTED_VALUE"""),0.371)</f>
        <v>0.371</v>
      </c>
      <c r="U1750" s="14">
        <f>IFERROR(__xludf.DUMMYFUNCTION("""COMPUTED_VALUE"""),0.587)</f>
        <v>0.587</v>
      </c>
      <c r="V1750" s="14">
        <f>IFERROR(__xludf.DUMMYFUNCTION("""COMPUTED_VALUE"""),0.042)</f>
        <v>0.042</v>
      </c>
      <c r="W1750" s="14">
        <f>IFERROR(__xludf.DUMMYFUNCTION("""COMPUTED_VALUE"""),5524927.0)</f>
        <v>5524927</v>
      </c>
      <c r="X1750" s="14">
        <f>IFERROR(__xludf.DUMMYFUNCTION("""COMPUTED_VALUE"""),0.562)</f>
        <v>0.562</v>
      </c>
      <c r="Y1750" s="14" t="str">
        <f>IFERROR(__xludf.DUMMYFUNCTION("""COMPUTED_VALUE"""),"Nicaragua-The Americas")</f>
        <v>Nicaragua-The Americas</v>
      </c>
      <c r="Z1750" s="14" t="str">
        <f>IFERROR(__xludf.DUMMYFUNCTION("""COMPUTED_VALUE"""),"The Americas")</f>
        <v>The Americas</v>
      </c>
      <c r="AA1750" s="14" t="str">
        <f>IFERROR(__xludf.DUMMYFUNCTION("""COMPUTED_VALUE"""),"2006")</f>
        <v>2006</v>
      </c>
      <c r="AB1750" s="15" t="str">
        <f>IFERROR(__xludf.DUMMYFUNCTION("ARRAYFORMULA(VLOOKUP(A1750,IMPORTRANGE(""https://docs.google.com/spreadsheets/d/1BuTWp7qHGjWhqrnf-OmePP568O4A5Am9ttzvVdP67zw/edit#gid=1931367683"" ,""ENERGY!$A$2:$F$2692""), {2,3,4,5,6},0))"),"The Americas")</f>
        <v>The Americas</v>
      </c>
      <c r="AC1750" s="14" t="str">
        <f>IFERROR(__xludf.DUMMYFUNCTION("""COMPUTED_VALUE"""),"Nicaragua-The Americas")</f>
        <v>Nicaragua-The Americas</v>
      </c>
      <c r="AD1750" s="14" t="str">
        <f>IFERROR(__xludf.DUMMYFUNCTION("""COMPUTED_VALUE"""),"2012")</f>
        <v>2012</v>
      </c>
      <c r="AE1750" s="14">
        <f>IFERROR(__xludf.DUMMYFUNCTION("""COMPUTED_VALUE"""),2824.0)</f>
        <v>2824</v>
      </c>
      <c r="AF1750" s="14">
        <f>IFERROR(__xludf.DUMMYFUNCTION("""COMPUTED_VALUE"""),4466.0)</f>
        <v>4466</v>
      </c>
    </row>
    <row r="1751">
      <c r="A1751" s="12">
        <v>1750.0</v>
      </c>
      <c r="B1751" s="12" t="s">
        <v>213</v>
      </c>
      <c r="C1751" s="5" t="s">
        <v>84</v>
      </c>
      <c r="D1751" s="11">
        <v>0.635</v>
      </c>
      <c r="E1751" s="11">
        <v>39.0</v>
      </c>
      <c r="F1751" s="8"/>
      <c r="G1751" s="11">
        <v>240.0</v>
      </c>
      <c r="H1751" s="11">
        <v>0.039</v>
      </c>
      <c r="I1751" s="11">
        <v>0.447</v>
      </c>
      <c r="J1751" s="9" t="s">
        <v>68</v>
      </c>
      <c r="K1751" s="14" t="str">
        <f>IFERROR(__xludf.DUMMYFUNCTION("ARRAYFORMULA(VLOOKUP(A1751,IMPORTRANGE(""https://docs.google.com/spreadsheets/d/1BuTWp7qHGjWhqrnf-OmePP568O4A5Am9ttzvVdP67zw/edit#gid=1603210130"", ""TOURISM!$A$2:$F$2692""), {2,3,4,5,6},0))"),"The Americas")</f>
        <v>The Americas</v>
      </c>
      <c r="L1751" s="14">
        <f>IFERROR(__xludf.DUMMYFUNCTION("""COMPUTED_VALUE"""),2.55E8)</f>
        <v>255000000</v>
      </c>
      <c r="M1751" s="14" t="str">
        <f>IFERROR(__xludf.DUMMYFUNCTION("""COMPUTED_VALUE"""),"Nicaragua-The Americas")</f>
        <v>Nicaragua-The Americas</v>
      </c>
      <c r="N1751" s="14" t="str">
        <f>IFERROR(__xludf.DUMMYFUNCTION("""COMPUTED_VALUE"""),"2007")</f>
        <v>2007</v>
      </c>
      <c r="O1751" s="14">
        <f>IFERROR(__xludf.DUMMYFUNCTION("""COMPUTED_VALUE"""),2.79E8)</f>
        <v>279000000</v>
      </c>
      <c r="P1751" s="15">
        <f>IFERROR(__xludf.DUMMYFUNCTION("ARRAYFORMULA(VLOOKUP(A1751,IMPORTRANGE(""https://docs.google.com/spreadsheets/d/1BuTWp7qHGjWhqrnf-OmePP568O4A5Am9ttzvVdP67zw/edit#gid=771602874"" ,""HUMAN RESOURCES!$A$2:$M$2692""), {2,3,4,5,6,7,8,9,10,11,12,13},0))"),0.025)</f>
        <v>0.025</v>
      </c>
      <c r="Q1751" s="14">
        <f>IFERROR(__xludf.DUMMYFUNCTION("""COMPUTED_VALUE"""),0.024)</f>
        <v>0.024</v>
      </c>
      <c r="R1751" s="14">
        <f>IFERROR(__xludf.DUMMYFUNCTION("""COMPUTED_VALUE"""),76.0)</f>
        <v>76</v>
      </c>
      <c r="S1751" s="14">
        <f>IFERROR(__xludf.DUMMYFUNCTION("""COMPUTED_VALUE"""),70.0)</f>
        <v>70</v>
      </c>
      <c r="T1751" s="14">
        <f>IFERROR(__xludf.DUMMYFUNCTION("""COMPUTED_VALUE"""),0.364)</f>
        <v>0.364</v>
      </c>
      <c r="U1751" s="14">
        <f>IFERROR(__xludf.DUMMYFUNCTION("""COMPUTED_VALUE"""),0.592)</f>
        <v>0.592</v>
      </c>
      <c r="V1751" s="14">
        <f>IFERROR(__xludf.DUMMYFUNCTION("""COMPUTED_VALUE"""),0.043)</f>
        <v>0.043</v>
      </c>
      <c r="W1751" s="14">
        <f>IFERROR(__xludf.DUMMYFUNCTION("""COMPUTED_VALUE"""),5595533.0)</f>
        <v>5595533</v>
      </c>
      <c r="X1751" s="14">
        <f>IFERROR(__xludf.DUMMYFUNCTION("""COMPUTED_VALUE"""),0.564)</f>
        <v>0.564</v>
      </c>
      <c r="Y1751" s="14" t="str">
        <f>IFERROR(__xludf.DUMMYFUNCTION("""COMPUTED_VALUE"""),"Nicaragua-The Americas")</f>
        <v>Nicaragua-The Americas</v>
      </c>
      <c r="Z1751" s="14" t="str">
        <f>IFERROR(__xludf.DUMMYFUNCTION("""COMPUTED_VALUE"""),"The Americas")</f>
        <v>The Americas</v>
      </c>
      <c r="AA1751" s="14" t="str">
        <f>IFERROR(__xludf.DUMMYFUNCTION("""COMPUTED_VALUE"""),"2007")</f>
        <v>2007</v>
      </c>
      <c r="AB1751" s="15" t="str">
        <f>IFERROR(__xludf.DUMMYFUNCTION("ARRAYFORMULA(VLOOKUP(A1751,IMPORTRANGE(""https://docs.google.com/spreadsheets/d/1BuTWp7qHGjWhqrnf-OmePP568O4A5Am9ttzvVdP67zw/edit#gid=1931367683"" ,""ENERGY!$A$2:$F$2692""), {2,3,4,5,6},0))"),"The Americas")</f>
        <v>The Americas</v>
      </c>
      <c r="AC1751" s="14" t="str">
        <f>IFERROR(__xludf.DUMMYFUNCTION("""COMPUTED_VALUE"""),"Nicaragua-The Americas")</f>
        <v>Nicaragua-The Americas</v>
      </c>
      <c r="AD1751" s="14" t="str">
        <f>IFERROR(__xludf.DUMMYFUNCTION("""COMPUTED_VALUE"""),"2009")</f>
        <v>2009</v>
      </c>
      <c r="AE1751" s="14">
        <f>IFERROR(__xludf.DUMMYFUNCTION("""COMPUTED_VALUE"""),2836.0)</f>
        <v>2836</v>
      </c>
      <c r="AF1751" s="14">
        <f>IFERROR(__xludf.DUMMYFUNCTION("""COMPUTED_VALUE"""),4320.0)</f>
        <v>4320</v>
      </c>
    </row>
    <row r="1752">
      <c r="A1752" s="12">
        <v>1751.0</v>
      </c>
      <c r="B1752" s="12" t="s">
        <v>213</v>
      </c>
      <c r="C1752" s="5" t="s">
        <v>84</v>
      </c>
      <c r="D1752" s="11">
        <v>0.632</v>
      </c>
      <c r="E1752" s="11">
        <v>39.0</v>
      </c>
      <c r="F1752" s="8"/>
      <c r="G1752" s="11">
        <v>240.0</v>
      </c>
      <c r="H1752" s="11">
        <v>0.053</v>
      </c>
      <c r="I1752" s="11">
        <v>0.548</v>
      </c>
      <c r="J1752" s="9" t="s">
        <v>69</v>
      </c>
      <c r="K1752" s="14" t="str">
        <f>IFERROR(__xludf.DUMMYFUNCTION("ARRAYFORMULA(VLOOKUP(A1752,IMPORTRANGE(""https://docs.google.com/spreadsheets/d/1BuTWp7qHGjWhqrnf-OmePP568O4A5Am9ttzvVdP67zw/edit#gid=1603210130"", ""TOURISM!$A$2:$F$2692""), {2,3,4,5,6},0))"),"The Americas")</f>
        <v>The Americas</v>
      </c>
      <c r="L1752" s="14">
        <f>IFERROR(__xludf.DUMMYFUNCTION("""COMPUTED_VALUE"""),3.01E8)</f>
        <v>301000000</v>
      </c>
      <c r="M1752" s="14" t="str">
        <f>IFERROR(__xludf.DUMMYFUNCTION("""COMPUTED_VALUE"""),"Nicaragua-The Americas")</f>
        <v>Nicaragua-The Americas</v>
      </c>
      <c r="N1752" s="14" t="str">
        <f>IFERROR(__xludf.DUMMYFUNCTION("""COMPUTED_VALUE"""),"2008")</f>
        <v>2008</v>
      </c>
      <c r="O1752" s="14">
        <f>IFERROR(__xludf.DUMMYFUNCTION("""COMPUTED_VALUE"""),3.32E8)</f>
        <v>332000000</v>
      </c>
      <c r="P1752" s="15">
        <f>IFERROR(__xludf.DUMMYFUNCTION("ARRAYFORMULA(VLOOKUP(A1752,IMPORTRANGE(""https://docs.google.com/spreadsheets/d/1BuTWp7qHGjWhqrnf-OmePP568O4A5Am9ttzvVdP67zw/edit#gid=771602874"" ,""HUMAN RESOURCES!$A$2:$M$2692""), {2,3,4,5,6,7,8,9,10,11,12,13},0))"),0.025)</f>
        <v>0.025</v>
      </c>
      <c r="Q1752" s="14">
        <f>IFERROR(__xludf.DUMMYFUNCTION("""COMPUTED_VALUE"""),0.024)</f>
        <v>0.024</v>
      </c>
      <c r="R1752" s="14">
        <f>IFERROR(__xludf.DUMMYFUNCTION("""COMPUTED_VALUE"""),76.0)</f>
        <v>76</v>
      </c>
      <c r="S1752" s="14">
        <f>IFERROR(__xludf.DUMMYFUNCTION("""COMPUTED_VALUE"""),70.0)</f>
        <v>70</v>
      </c>
      <c r="T1752" s="14">
        <f>IFERROR(__xludf.DUMMYFUNCTION("""COMPUTED_VALUE"""),0.358)</f>
        <v>0.358</v>
      </c>
      <c r="U1752" s="14">
        <f>IFERROR(__xludf.DUMMYFUNCTION("""COMPUTED_VALUE"""),0.598)</f>
        <v>0.598</v>
      </c>
      <c r="V1752" s="14">
        <f>IFERROR(__xludf.DUMMYFUNCTION("""COMPUTED_VALUE"""),0.044)</f>
        <v>0.044</v>
      </c>
      <c r="W1752" s="14">
        <f>IFERROR(__xludf.DUMMYFUNCTION("""COMPUTED_VALUE"""),5667983.0)</f>
        <v>5667983</v>
      </c>
      <c r="X1752" s="14">
        <f>IFERROR(__xludf.DUMMYFUNCTION("""COMPUTED_VALUE"""),0.567)</f>
        <v>0.567</v>
      </c>
      <c r="Y1752" s="14" t="str">
        <f>IFERROR(__xludf.DUMMYFUNCTION("""COMPUTED_VALUE"""),"Nicaragua-The Americas")</f>
        <v>Nicaragua-The Americas</v>
      </c>
      <c r="Z1752" s="14" t="str">
        <f>IFERROR(__xludf.DUMMYFUNCTION("""COMPUTED_VALUE"""),"The Americas")</f>
        <v>The Americas</v>
      </c>
      <c r="AA1752" s="14" t="str">
        <f>IFERROR(__xludf.DUMMYFUNCTION("""COMPUTED_VALUE"""),"2008")</f>
        <v>2008</v>
      </c>
      <c r="AB1752" s="15" t="str">
        <f>IFERROR(__xludf.DUMMYFUNCTION("ARRAYFORMULA(VLOOKUP(A1752,IMPORTRANGE(""https://docs.google.com/spreadsheets/d/1BuTWp7qHGjWhqrnf-OmePP568O4A5Am9ttzvVdP67zw/edit#gid=1931367683"" ,""ENERGY!$A$2:$F$2692""), {2,3,4,5,6},0))"),"The Americas")</f>
        <v>The Americas</v>
      </c>
      <c r="AC1752" s="14" t="str">
        <f>IFERROR(__xludf.DUMMYFUNCTION("""COMPUTED_VALUE"""),"Nicaragua-The Americas")</f>
        <v>Nicaragua-The Americas</v>
      </c>
      <c r="AD1752" s="14" t="str">
        <f>IFERROR(__xludf.DUMMYFUNCTION("""COMPUTED_VALUE"""),"2006")</f>
        <v>2006</v>
      </c>
      <c r="AE1752" s="14">
        <f>IFERROR(__xludf.DUMMYFUNCTION("""COMPUTED_VALUE"""),2821.0)</f>
        <v>2821</v>
      </c>
      <c r="AF1752" s="14">
        <f>IFERROR(__xludf.DUMMYFUNCTION("""COMPUTED_VALUE"""),4426.0)</f>
        <v>4426</v>
      </c>
    </row>
    <row r="1753">
      <c r="A1753" s="12">
        <v>1752.0</v>
      </c>
      <c r="B1753" s="12" t="s">
        <v>213</v>
      </c>
      <c r="C1753" s="5" t="s">
        <v>84</v>
      </c>
      <c r="D1753" s="11">
        <v>0.632</v>
      </c>
      <c r="E1753" s="11">
        <v>39.0</v>
      </c>
      <c r="F1753" s="8"/>
      <c r="G1753" s="11">
        <v>240.0</v>
      </c>
      <c r="H1753" s="11">
        <v>0.073</v>
      </c>
      <c r="I1753" s="11">
        <v>0.582</v>
      </c>
      <c r="J1753" s="9" t="s">
        <v>70</v>
      </c>
      <c r="K1753" s="14" t="str">
        <f>IFERROR(__xludf.DUMMYFUNCTION("ARRAYFORMULA(VLOOKUP(A1753,IMPORTRANGE(""https://docs.google.com/spreadsheets/d/1BuTWp7qHGjWhqrnf-OmePP568O4A5Am9ttzvVdP67zw/edit#gid=1603210130"", ""TOURISM!$A$2:$F$2692""), {2,3,4,5,6},0))"),"The Americas")</f>
        <v>The Americas</v>
      </c>
      <c r="L1753" s="14">
        <f>IFERROR(__xludf.DUMMYFUNCTION("""COMPUTED_VALUE"""),3.34E8)</f>
        <v>334000000</v>
      </c>
      <c r="M1753" s="14" t="str">
        <f>IFERROR(__xludf.DUMMYFUNCTION("""COMPUTED_VALUE"""),"Nicaragua-The Americas")</f>
        <v>Nicaragua-The Americas</v>
      </c>
      <c r="N1753" s="14" t="str">
        <f>IFERROR(__xludf.DUMMYFUNCTION("""COMPUTED_VALUE"""),"2009")</f>
        <v>2009</v>
      </c>
      <c r="O1753" s="14">
        <f>IFERROR(__xludf.DUMMYFUNCTION("""COMPUTED_VALUE"""),3.0E8)</f>
        <v>300000000</v>
      </c>
      <c r="P1753" s="15">
        <f>IFERROR(__xludf.DUMMYFUNCTION("ARRAYFORMULA(VLOOKUP(A1753,IMPORTRANGE(""https://docs.google.com/spreadsheets/d/1BuTWp7qHGjWhqrnf-OmePP568O4A5Am9ttzvVdP67zw/edit#gid=771602874"" ,""HUMAN RESOURCES!$A$2:$M$2692""), {2,3,4,5,6,7,8,9,10,11,12,13},0))"),0.024)</f>
        <v>0.024</v>
      </c>
      <c r="Q1753" s="14">
        <f>IFERROR(__xludf.DUMMYFUNCTION("""COMPUTED_VALUE"""),0.023)</f>
        <v>0.023</v>
      </c>
      <c r="R1753" s="14">
        <f>IFERROR(__xludf.DUMMYFUNCTION("""COMPUTED_VALUE"""),77.0)</f>
        <v>77</v>
      </c>
      <c r="S1753" s="14">
        <f>IFERROR(__xludf.DUMMYFUNCTION("""COMPUTED_VALUE"""),70.0)</f>
        <v>70</v>
      </c>
      <c r="T1753" s="14">
        <f>IFERROR(__xludf.DUMMYFUNCTION("""COMPUTED_VALUE"""),0.351)</f>
        <v>0.351</v>
      </c>
      <c r="U1753" s="14">
        <f>IFERROR(__xludf.DUMMYFUNCTION("""COMPUTED_VALUE"""),0.604)</f>
        <v>0.604</v>
      </c>
      <c r="V1753" s="14">
        <f>IFERROR(__xludf.DUMMYFUNCTION("""COMPUTED_VALUE"""),0.045)</f>
        <v>0.045</v>
      </c>
      <c r="W1753" s="14">
        <f>IFERROR(__xludf.DUMMYFUNCTION("""COMPUTED_VALUE"""),5743329.0)</f>
        <v>5743329</v>
      </c>
      <c r="X1753" s="14">
        <f>IFERROR(__xludf.DUMMYFUNCTION("""COMPUTED_VALUE"""),0.57)</f>
        <v>0.57</v>
      </c>
      <c r="Y1753" s="14" t="str">
        <f>IFERROR(__xludf.DUMMYFUNCTION("""COMPUTED_VALUE"""),"Nicaragua-The Americas")</f>
        <v>Nicaragua-The Americas</v>
      </c>
      <c r="Z1753" s="14" t="str">
        <f>IFERROR(__xludf.DUMMYFUNCTION("""COMPUTED_VALUE"""),"The Americas")</f>
        <v>The Americas</v>
      </c>
      <c r="AA1753" s="14" t="str">
        <f>IFERROR(__xludf.DUMMYFUNCTION("""COMPUTED_VALUE"""),"2009")</f>
        <v>2009</v>
      </c>
      <c r="AB1753" s="15" t="str">
        <f>IFERROR(__xludf.DUMMYFUNCTION("ARRAYFORMULA(VLOOKUP(A1753,IMPORTRANGE(""https://docs.google.com/spreadsheets/d/1BuTWp7qHGjWhqrnf-OmePP568O4A5Am9ttzvVdP67zw/edit#gid=1931367683"" ,""ENERGY!$A$2:$F$2692""), {2,3,4,5,6},0))"),"The Americas")</f>
        <v>The Americas</v>
      </c>
      <c r="AC1753" s="14" t="str">
        <f>IFERROR(__xludf.DUMMYFUNCTION("""COMPUTED_VALUE"""),"Nicaragua-The Americas")</f>
        <v>Nicaragua-The Americas</v>
      </c>
      <c r="AD1753" s="14" t="str">
        <f>IFERROR(__xludf.DUMMYFUNCTION("""COMPUTED_VALUE"""),"2011")</f>
        <v>2011</v>
      </c>
      <c r="AE1753" s="14">
        <f>IFERROR(__xludf.DUMMYFUNCTION("""COMPUTED_VALUE"""),2758.0)</f>
        <v>2758</v>
      </c>
      <c r="AF1753" s="14">
        <f>IFERROR(__xludf.DUMMYFUNCTION("""COMPUTED_VALUE"""),4411.0)</f>
        <v>4411</v>
      </c>
    </row>
    <row r="1754">
      <c r="A1754" s="12">
        <v>1753.0</v>
      </c>
      <c r="B1754" s="12" t="s">
        <v>213</v>
      </c>
      <c r="C1754" s="5" t="s">
        <v>84</v>
      </c>
      <c r="D1754" s="11">
        <v>0.632</v>
      </c>
      <c r="E1754" s="11">
        <v>39.0</v>
      </c>
      <c r="F1754" s="8"/>
      <c r="G1754" s="11">
        <v>222.0</v>
      </c>
      <c r="H1754" s="11">
        <v>0.1</v>
      </c>
      <c r="I1754" s="11">
        <v>0.681</v>
      </c>
      <c r="J1754" s="9" t="s">
        <v>71</v>
      </c>
      <c r="K1754" s="14" t="str">
        <f>IFERROR(__xludf.DUMMYFUNCTION("ARRAYFORMULA(VLOOKUP(A1754,IMPORTRANGE(""https://docs.google.com/spreadsheets/d/1BuTWp7qHGjWhqrnf-OmePP568O4A5Am9ttzvVdP67zw/edit#gid=1603210130"", ""TOURISM!$A$2:$F$2692""), {2,3,4,5,6},0))"),"The Americas")</f>
        <v>The Americas</v>
      </c>
      <c r="L1754" s="14">
        <f>IFERROR(__xludf.DUMMYFUNCTION("""COMPUTED_VALUE"""),3.09E8)</f>
        <v>309000000</v>
      </c>
      <c r="M1754" s="14" t="str">
        <f>IFERROR(__xludf.DUMMYFUNCTION("""COMPUTED_VALUE"""),"Nicaragua-The Americas")</f>
        <v>Nicaragua-The Americas</v>
      </c>
      <c r="N1754" s="14" t="str">
        <f>IFERROR(__xludf.DUMMYFUNCTION("""COMPUTED_VALUE"""),"2010")</f>
        <v>2010</v>
      </c>
      <c r="O1754" s="14">
        <f>IFERROR(__xludf.DUMMYFUNCTION("""COMPUTED_VALUE"""),3.29E8)</f>
        <v>329000000</v>
      </c>
      <c r="P1754" s="15">
        <f>IFERROR(__xludf.DUMMYFUNCTION("ARRAYFORMULA(VLOOKUP(A1754,IMPORTRANGE(""https://docs.google.com/spreadsheets/d/1BuTWp7qHGjWhqrnf-OmePP568O4A5Am9ttzvVdP67zw/edit#gid=771602874"" ,""HUMAN RESOURCES!$A$2:$M$2692""), {2,3,4,5,6,7,8,9,10,11,12,13},0))"),0.024)</f>
        <v>0.024</v>
      </c>
      <c r="Q1754" s="14">
        <f>IFERROR(__xludf.DUMMYFUNCTION("""COMPUTED_VALUE"""),0.022)</f>
        <v>0.022</v>
      </c>
      <c r="R1754" s="14">
        <f>IFERROR(__xludf.DUMMYFUNCTION("""COMPUTED_VALUE"""),77.0)</f>
        <v>77</v>
      </c>
      <c r="S1754" s="14">
        <f>IFERROR(__xludf.DUMMYFUNCTION("""COMPUTED_VALUE"""),71.0)</f>
        <v>71</v>
      </c>
      <c r="T1754" s="14">
        <f>IFERROR(__xludf.DUMMYFUNCTION("""COMPUTED_VALUE"""),0.345)</f>
        <v>0.345</v>
      </c>
      <c r="U1754" s="14">
        <f>IFERROR(__xludf.DUMMYFUNCTION("""COMPUTED_VALUE"""),0.609)</f>
        <v>0.609</v>
      </c>
      <c r="V1754" s="14">
        <f>IFERROR(__xludf.DUMMYFUNCTION("""COMPUTED_VALUE"""),0.046)</f>
        <v>0.046</v>
      </c>
      <c r="W1754" s="14">
        <f>IFERROR(__xludf.DUMMYFUNCTION("""COMPUTED_VALUE"""),5822209.0)</f>
        <v>5822209</v>
      </c>
      <c r="X1754" s="14">
        <f>IFERROR(__xludf.DUMMYFUNCTION("""COMPUTED_VALUE"""),0.573)</f>
        <v>0.573</v>
      </c>
      <c r="Y1754" s="14" t="str">
        <f>IFERROR(__xludf.DUMMYFUNCTION("""COMPUTED_VALUE"""),"Nicaragua-The Americas")</f>
        <v>Nicaragua-The Americas</v>
      </c>
      <c r="Z1754" s="14" t="str">
        <f>IFERROR(__xludf.DUMMYFUNCTION("""COMPUTED_VALUE"""),"The Americas")</f>
        <v>The Americas</v>
      </c>
      <c r="AA1754" s="14" t="str">
        <f>IFERROR(__xludf.DUMMYFUNCTION("""COMPUTED_VALUE"""),"2010")</f>
        <v>2010</v>
      </c>
      <c r="AB1754" s="15" t="str">
        <f>IFERROR(__xludf.DUMMYFUNCTION("ARRAYFORMULA(VLOOKUP(A1754,IMPORTRANGE(""https://docs.google.com/spreadsheets/d/1BuTWp7qHGjWhqrnf-OmePP568O4A5Am9ttzvVdP67zw/edit#gid=1931367683"" ,""ENERGY!$A$2:$F$2692""), {2,3,4,5,6},0))"),"The Americas")</f>
        <v>The Americas</v>
      </c>
      <c r="AC1754" s="14" t="str">
        <f>IFERROR(__xludf.DUMMYFUNCTION("""COMPUTED_VALUE"""),"Nicaragua-The Americas")</f>
        <v>Nicaragua-The Americas</v>
      </c>
      <c r="AD1754" s="14" t="str">
        <f>IFERROR(__xludf.DUMMYFUNCTION("""COMPUTED_VALUE"""),"2006")</f>
        <v>2006</v>
      </c>
      <c r="AE1754" s="14">
        <f>IFERROR(__xludf.DUMMYFUNCTION("""COMPUTED_VALUE"""),2636.0)</f>
        <v>2636</v>
      </c>
      <c r="AF1754" s="14">
        <f>IFERROR(__xludf.DUMMYFUNCTION("""COMPUTED_VALUE"""),4037.0)</f>
        <v>4037</v>
      </c>
    </row>
    <row r="1755">
      <c r="A1755" s="12">
        <v>1754.0</v>
      </c>
      <c r="B1755" s="12" t="s">
        <v>213</v>
      </c>
      <c r="C1755" s="5" t="s">
        <v>84</v>
      </c>
      <c r="D1755" s="11">
        <v>0.669</v>
      </c>
      <c r="E1755" s="11">
        <v>39.0</v>
      </c>
      <c r="F1755" s="8"/>
      <c r="G1755" s="11">
        <v>207.0</v>
      </c>
      <c r="H1755" s="11">
        <v>0.106</v>
      </c>
      <c r="I1755" s="11">
        <v>0.817</v>
      </c>
      <c r="J1755" s="9" t="s">
        <v>72</v>
      </c>
      <c r="K1755" s="14" t="str">
        <f>IFERROR(__xludf.DUMMYFUNCTION("ARRAYFORMULA(VLOOKUP(A1755,IMPORTRANGE(""https://docs.google.com/spreadsheets/d/1BuTWp7qHGjWhqrnf-OmePP568O4A5Am9ttzvVdP67zw/edit#gid=1603210130"", ""TOURISM!$A$2:$F$2692""), {2,3,4,5,6},0))"),"The Americas")</f>
        <v>The Americas</v>
      </c>
      <c r="L1755" s="14">
        <f>IFERROR(__xludf.DUMMYFUNCTION("""COMPUTED_VALUE"""),3.78E8)</f>
        <v>378000000</v>
      </c>
      <c r="M1755" s="14" t="str">
        <f>IFERROR(__xludf.DUMMYFUNCTION("""COMPUTED_VALUE"""),"Nicaragua-The Americas")</f>
        <v>Nicaragua-The Americas</v>
      </c>
      <c r="N1755" s="14" t="str">
        <f>IFERROR(__xludf.DUMMYFUNCTION("""COMPUTED_VALUE"""),"2011")</f>
        <v>2011</v>
      </c>
      <c r="O1755" s="14">
        <f>IFERROR(__xludf.DUMMYFUNCTION("""COMPUTED_VALUE"""),3.8E8)</f>
        <v>380000000</v>
      </c>
      <c r="P1755" s="15">
        <f>IFERROR(__xludf.DUMMYFUNCTION("ARRAYFORMULA(VLOOKUP(A1755,IMPORTRANGE(""https://docs.google.com/spreadsheets/d/1BuTWp7qHGjWhqrnf-OmePP568O4A5Am9ttzvVdP67zw/edit#gid=771602874"" ,""HUMAN RESOURCES!$A$2:$M$2692""), {2,3,4,5,6,7,8,9,10,11,12,13},0))"),0.024)</f>
        <v>0.024</v>
      </c>
      <c r="Q1755" s="14">
        <f>IFERROR(__xludf.DUMMYFUNCTION("""COMPUTED_VALUE"""),0.021)</f>
        <v>0.021</v>
      </c>
      <c r="R1755" s="14">
        <f>IFERROR(__xludf.DUMMYFUNCTION("""COMPUTED_VALUE"""),77.0)</f>
        <v>77</v>
      </c>
      <c r="S1755" s="14">
        <f>IFERROR(__xludf.DUMMYFUNCTION("""COMPUTED_VALUE"""),71.0)</f>
        <v>71</v>
      </c>
      <c r="T1755" s="14">
        <f>IFERROR(__xludf.DUMMYFUNCTION("""COMPUTED_VALUE"""),0.339)</f>
        <v>0.339</v>
      </c>
      <c r="U1755" s="14">
        <f>IFERROR(__xludf.DUMMYFUNCTION("""COMPUTED_VALUE"""),0.615)</f>
        <v>0.615</v>
      </c>
      <c r="V1755" s="14">
        <f>IFERROR(__xludf.DUMMYFUNCTION("""COMPUTED_VALUE"""),0.046)</f>
        <v>0.046</v>
      </c>
      <c r="W1755" s="14">
        <f>IFERROR(__xludf.DUMMYFUNCTION("""COMPUTED_VALUE"""),5905146.0)</f>
        <v>5905146</v>
      </c>
      <c r="X1755" s="14">
        <f>IFERROR(__xludf.DUMMYFUNCTION("""COMPUTED_VALUE"""),0.575)</f>
        <v>0.575</v>
      </c>
      <c r="Y1755" s="14" t="str">
        <f>IFERROR(__xludf.DUMMYFUNCTION("""COMPUTED_VALUE"""),"Nicaragua-The Americas")</f>
        <v>Nicaragua-The Americas</v>
      </c>
      <c r="Z1755" s="14" t="str">
        <f>IFERROR(__xludf.DUMMYFUNCTION("""COMPUTED_VALUE"""),"The Americas")</f>
        <v>The Americas</v>
      </c>
      <c r="AA1755" s="14" t="str">
        <f>IFERROR(__xludf.DUMMYFUNCTION("""COMPUTED_VALUE"""),"2011")</f>
        <v>2011</v>
      </c>
      <c r="AB1755" s="15" t="str">
        <f>IFERROR(__xludf.DUMMYFUNCTION("ARRAYFORMULA(VLOOKUP(A1755,IMPORTRANGE(""https://docs.google.com/spreadsheets/d/1BuTWp7qHGjWhqrnf-OmePP568O4A5Am9ttzvVdP67zw/edit#gid=1931367683"" ,""ENERGY!$A$2:$F$2692""), {2,3,4,5,6},0))"),"The Americas")</f>
        <v>The Americas</v>
      </c>
      <c r="AC1755" s="14" t="str">
        <f>IFERROR(__xludf.DUMMYFUNCTION("""COMPUTED_VALUE"""),"Nicaragua-The Americas")</f>
        <v>Nicaragua-The Americas</v>
      </c>
      <c r="AD1755" s="14" t="str">
        <f>IFERROR(__xludf.DUMMYFUNCTION("""COMPUTED_VALUE"""),"2006")</f>
        <v>2006</v>
      </c>
      <c r="AE1755" s="14">
        <f>IFERROR(__xludf.DUMMYFUNCTION("""COMPUTED_VALUE"""),2544.0)</f>
        <v>2544</v>
      </c>
      <c r="AF1755" s="14">
        <f>IFERROR(__xludf.DUMMYFUNCTION("""COMPUTED_VALUE"""),3964.0)</f>
        <v>3964</v>
      </c>
    </row>
    <row r="1756">
      <c r="A1756" s="12">
        <v>1755.0</v>
      </c>
      <c r="B1756" s="12" t="s">
        <v>213</v>
      </c>
      <c r="C1756" s="5" t="s">
        <v>84</v>
      </c>
      <c r="D1756" s="11">
        <v>0.649</v>
      </c>
      <c r="E1756" s="11">
        <v>39.0</v>
      </c>
      <c r="F1756" s="11">
        <v>123.0</v>
      </c>
      <c r="G1756" s="11">
        <v>207.0</v>
      </c>
      <c r="H1756" s="11">
        <v>0.135</v>
      </c>
      <c r="I1756" s="11">
        <v>0.977</v>
      </c>
      <c r="J1756" s="9" t="s">
        <v>73</v>
      </c>
      <c r="K1756" s="14" t="str">
        <f>IFERROR(__xludf.DUMMYFUNCTION("ARRAYFORMULA(VLOOKUP(A1756,IMPORTRANGE(""https://docs.google.com/spreadsheets/d/1BuTWp7qHGjWhqrnf-OmePP568O4A5Am9ttzvVdP67zw/edit#gid=1603210130"", ""TOURISM!$A$2:$F$2692""), {2,3,4,5,6},0))"),"The Americas")</f>
        <v>The Americas</v>
      </c>
      <c r="L1756" s="14">
        <f>IFERROR(__xludf.DUMMYFUNCTION("""COMPUTED_VALUE"""),4.22E8)</f>
        <v>422000000</v>
      </c>
      <c r="M1756" s="14" t="str">
        <f>IFERROR(__xludf.DUMMYFUNCTION("""COMPUTED_VALUE"""),"Nicaragua-The Americas")</f>
        <v>Nicaragua-The Americas</v>
      </c>
      <c r="N1756" s="14" t="str">
        <f>IFERROR(__xludf.DUMMYFUNCTION("""COMPUTED_VALUE"""),"2012")</f>
        <v>2012</v>
      </c>
      <c r="O1756" s="14">
        <f>IFERROR(__xludf.DUMMYFUNCTION("""COMPUTED_VALUE"""),3.72E8)</f>
        <v>372000000</v>
      </c>
      <c r="P1756" s="15">
        <f>IFERROR(__xludf.DUMMYFUNCTION("ARRAYFORMULA(VLOOKUP(A1756,IMPORTRANGE(""https://docs.google.com/spreadsheets/d/1BuTWp7qHGjWhqrnf-OmePP568O4A5Am9ttzvVdP67zw/edit#gid=771602874"" ,""HUMAN RESOURCES!$A$2:$M$2692""), {2,3,4,5,6,7,8,9,10,11,12,13},0))"),0.023)</f>
        <v>0.023</v>
      </c>
      <c r="Q1756" s="14">
        <f>IFERROR(__xludf.DUMMYFUNCTION("""COMPUTED_VALUE"""),0.021)</f>
        <v>0.021</v>
      </c>
      <c r="R1756" s="14">
        <f>IFERROR(__xludf.DUMMYFUNCTION("""COMPUTED_VALUE"""),78.0)</f>
        <v>78</v>
      </c>
      <c r="S1756" s="14">
        <f>IFERROR(__xludf.DUMMYFUNCTION("""COMPUTED_VALUE"""),71.0)</f>
        <v>71</v>
      </c>
      <c r="T1756" s="14">
        <f>IFERROR(__xludf.DUMMYFUNCTION("""COMPUTED_VALUE"""),0.334)</f>
        <v>0.334</v>
      </c>
      <c r="U1756" s="14">
        <f>IFERROR(__xludf.DUMMYFUNCTION("""COMPUTED_VALUE"""),0.62)</f>
        <v>0.62</v>
      </c>
      <c r="V1756" s="14">
        <f>IFERROR(__xludf.DUMMYFUNCTION("""COMPUTED_VALUE"""),0.046)</f>
        <v>0.046</v>
      </c>
      <c r="W1756" s="14">
        <f>IFERROR(__xludf.DUMMYFUNCTION("""COMPUTED_VALUE"""),5991733.0)</f>
        <v>5991733</v>
      </c>
      <c r="X1756" s="14">
        <f>IFERROR(__xludf.DUMMYFUNCTION("""COMPUTED_VALUE"""),0.578)</f>
        <v>0.578</v>
      </c>
      <c r="Y1756" s="14" t="str">
        <f>IFERROR(__xludf.DUMMYFUNCTION("""COMPUTED_VALUE"""),"Nicaragua-The Americas")</f>
        <v>Nicaragua-The Americas</v>
      </c>
      <c r="Z1756" s="14" t="str">
        <f>IFERROR(__xludf.DUMMYFUNCTION("""COMPUTED_VALUE"""),"The Americas")</f>
        <v>The Americas</v>
      </c>
      <c r="AA1756" s="14" t="str">
        <f>IFERROR(__xludf.DUMMYFUNCTION("""COMPUTED_VALUE"""),"2012")</f>
        <v>2012</v>
      </c>
      <c r="AB1756" s="15" t="str">
        <f>IFERROR(__xludf.DUMMYFUNCTION("ARRAYFORMULA(VLOOKUP(A1756,IMPORTRANGE(""https://docs.google.com/spreadsheets/d/1BuTWp7qHGjWhqrnf-OmePP568O4A5Am9ttzvVdP67zw/edit#gid=1931367683"" ,""ENERGY!$A$2:$F$2692""), {2,3,4,5,6},0))"),"The Americas")</f>
        <v>The Americas</v>
      </c>
      <c r="AC1756" s="14" t="str">
        <f>IFERROR(__xludf.DUMMYFUNCTION("""COMPUTED_VALUE"""),"Nicaragua-The Americas")</f>
        <v>Nicaragua-The Americas</v>
      </c>
      <c r="AD1756" s="14" t="str">
        <f>IFERROR(__xludf.DUMMYFUNCTION("""COMPUTED_VALUE"""),"2011")</f>
        <v>2011</v>
      </c>
      <c r="AE1756" s="14">
        <f>IFERROR(__xludf.DUMMYFUNCTION("""COMPUTED_VALUE"""),2522.0)</f>
        <v>2522</v>
      </c>
      <c r="AF1756" s="14">
        <f>IFERROR(__xludf.DUMMYFUNCTION("""COMPUTED_VALUE"""),3762.0)</f>
        <v>3762</v>
      </c>
    </row>
    <row r="1757">
      <c r="A1757" s="12">
        <v>1756.0</v>
      </c>
      <c r="B1757" s="12" t="s">
        <v>214</v>
      </c>
      <c r="C1757" s="5" t="s">
        <v>77</v>
      </c>
      <c r="D1757" s="8"/>
      <c r="E1757" s="8"/>
      <c r="F1757" s="8"/>
      <c r="G1757" s="8"/>
      <c r="H1757" s="11">
        <v>0.0</v>
      </c>
      <c r="I1757" s="11">
        <v>0.0</v>
      </c>
      <c r="J1757" s="9" t="s">
        <v>60</v>
      </c>
      <c r="K1757" s="14" t="str">
        <f>IFERROR(__xludf.DUMMYFUNCTION("ARRAYFORMULA(VLOOKUP(A1757,IMPORTRANGE(""https://docs.google.com/spreadsheets/d/1BuTWp7qHGjWhqrnf-OmePP568O4A5Am9ttzvVdP67zw/edit#gid=1603210130"", ""TOURISM!$A$2:$F$2692""), {2,3,4,5,6},0))"),"Africa")</f>
        <v>Africa</v>
      </c>
      <c r="L1757" s="14">
        <f>IFERROR(__xludf.DUMMYFUNCTION("""COMPUTED_VALUE"""),2.3E7)</f>
        <v>23000000</v>
      </c>
      <c r="M1757" s="14" t="str">
        <f>IFERROR(__xludf.DUMMYFUNCTION("""COMPUTED_VALUE"""),"Niger-Africa")</f>
        <v>Niger-Africa</v>
      </c>
      <c r="N1757" s="14" t="str">
        <f>IFERROR(__xludf.DUMMYFUNCTION("""COMPUTED_VALUE"""),"2000")</f>
        <v>2000</v>
      </c>
      <c r="O1757" s="14">
        <f>IFERROR(__xludf.DUMMYFUNCTION("""COMPUTED_VALUE"""),3.2E7)</f>
        <v>32000000</v>
      </c>
      <c r="P1757" s="15">
        <f>IFERROR(__xludf.DUMMYFUNCTION("ARRAYFORMULA(VLOOKUP(A1757,IMPORTRANGE(""https://docs.google.com/spreadsheets/d/1BuTWp7qHGjWhqrnf-OmePP568O4A5Am9ttzvVdP67zw/edit#gid=771602874"" ,""HUMAN RESOURCES!$A$2:$M$2692""), {2,3,4,5,6,7,8,9,10,11,12,13},0))"),0.053)</f>
        <v>0.053</v>
      </c>
      <c r="Q1757" s="14">
        <f>IFERROR(__xludf.DUMMYFUNCTION("""COMPUTED_VALUE"""),0.101)</f>
        <v>0.101</v>
      </c>
      <c r="R1757" s="14">
        <f>IFERROR(__xludf.DUMMYFUNCTION("""COMPUTED_VALUE"""),51.0)</f>
        <v>51</v>
      </c>
      <c r="S1757" s="14">
        <f>IFERROR(__xludf.DUMMYFUNCTION("""COMPUTED_VALUE"""),51.0)</f>
        <v>51</v>
      </c>
      <c r="T1757" s="14">
        <f>IFERROR(__xludf.DUMMYFUNCTION("""COMPUTED_VALUE"""),0.479)</f>
        <v>0.479</v>
      </c>
      <c r="U1757" s="14">
        <f>IFERROR(__xludf.DUMMYFUNCTION("""COMPUTED_VALUE"""),0.495)</f>
        <v>0.495</v>
      </c>
      <c r="V1757" s="14">
        <f>IFERROR(__xludf.DUMMYFUNCTION("""COMPUTED_VALUE"""),0.025)</f>
        <v>0.025</v>
      </c>
      <c r="W1757" s="14">
        <f>IFERROR(__xludf.DUMMYFUNCTION("""COMPUTED_VALUE"""),1.0989815E7)</f>
        <v>10989815</v>
      </c>
      <c r="X1757" s="14">
        <f>IFERROR(__xludf.DUMMYFUNCTION("""COMPUTED_VALUE"""),0.162)</f>
        <v>0.162</v>
      </c>
      <c r="Y1757" s="14" t="str">
        <f>IFERROR(__xludf.DUMMYFUNCTION("""COMPUTED_VALUE"""),"Niger-Africa")</f>
        <v>Niger-Africa</v>
      </c>
      <c r="Z1757" s="14" t="str">
        <f>IFERROR(__xludf.DUMMYFUNCTION("""COMPUTED_VALUE"""),"Africa")</f>
        <v>Africa</v>
      </c>
      <c r="AA1757" s="14" t="str">
        <f>IFERROR(__xludf.DUMMYFUNCTION("""COMPUTED_VALUE"""),"2000")</f>
        <v>2000</v>
      </c>
      <c r="AB1757" s="15" t="str">
        <f>IFERROR(__xludf.DUMMYFUNCTION("ARRAYFORMULA(VLOOKUP(A1757,IMPORTRANGE(""https://docs.google.com/spreadsheets/d/1BuTWp7qHGjWhqrnf-OmePP568O4A5Am9ttzvVdP67zw/edit#gid=1931367683"" ,""ENERGY!$A$2:$F$2692""), {2,3,4,5,6},0))"),"Africa")</f>
        <v>Africa</v>
      </c>
      <c r="AC1757" s="14" t="str">
        <f>IFERROR(__xludf.DUMMYFUNCTION("""COMPUTED_VALUE"""),"Niger-Africa")</f>
        <v>Niger-Africa</v>
      </c>
      <c r="AD1757" s="14" t="str">
        <f>IFERROR(__xludf.DUMMYFUNCTION("""COMPUTED_VALUE"""),"2000")</f>
        <v>2000</v>
      </c>
      <c r="AE1757" s="14"/>
      <c r="AF1757" s="14"/>
    </row>
    <row r="1758">
      <c r="A1758" s="12">
        <v>1757.0</v>
      </c>
      <c r="B1758" s="12" t="s">
        <v>214</v>
      </c>
      <c r="C1758" s="5" t="s">
        <v>77</v>
      </c>
      <c r="D1758" s="8"/>
      <c r="E1758" s="8"/>
      <c r="F1758" s="8"/>
      <c r="G1758" s="8"/>
      <c r="H1758" s="11">
        <v>0.001</v>
      </c>
      <c r="I1758" s="11">
        <v>0.0</v>
      </c>
      <c r="J1758" s="9" t="s">
        <v>62</v>
      </c>
      <c r="K1758" s="14" t="str">
        <f>IFERROR(__xludf.DUMMYFUNCTION("ARRAYFORMULA(VLOOKUP(A1758,IMPORTRANGE(""https://docs.google.com/spreadsheets/d/1BuTWp7qHGjWhqrnf-OmePP568O4A5Am9ttzvVdP67zw/edit#gid=1603210130"", ""TOURISM!$A$2:$F$2692""), {2,3,4,5,6},0))"),"Africa")</f>
        <v>Africa</v>
      </c>
      <c r="L1758" s="14">
        <f>IFERROR(__xludf.DUMMYFUNCTION("""COMPUTED_VALUE"""),3.0E7)</f>
        <v>30000000</v>
      </c>
      <c r="M1758" s="14" t="str">
        <f>IFERROR(__xludf.DUMMYFUNCTION("""COMPUTED_VALUE"""),"Niger-Africa")</f>
        <v>Niger-Africa</v>
      </c>
      <c r="N1758" s="14" t="str">
        <f>IFERROR(__xludf.DUMMYFUNCTION("""COMPUTED_VALUE"""),"2001")</f>
        <v>2001</v>
      </c>
      <c r="O1758" s="14">
        <f>IFERROR(__xludf.DUMMYFUNCTION("""COMPUTED_VALUE"""),3.3E7)</f>
        <v>33000000</v>
      </c>
      <c r="P1758" s="15">
        <f>IFERROR(__xludf.DUMMYFUNCTION("ARRAYFORMULA(VLOOKUP(A1758,IMPORTRANGE(""https://docs.google.com/spreadsheets/d/1BuTWp7qHGjWhqrnf-OmePP568O4A5Am9ttzvVdP67zw/edit#gid=771602874"" ,""HUMAN RESOURCES!$A$2:$M$2692""), {2,3,4,5,6,7,8,9,10,11,12,13},0))"),0.053)</f>
        <v>0.053</v>
      </c>
      <c r="Q1758" s="14">
        <f>IFERROR(__xludf.DUMMYFUNCTION("""COMPUTED_VALUE"""),0.098)</f>
        <v>0.098</v>
      </c>
      <c r="R1758" s="14">
        <f>IFERROR(__xludf.DUMMYFUNCTION("""COMPUTED_VALUE"""),51.0)</f>
        <v>51</v>
      </c>
      <c r="S1758" s="14">
        <f>IFERROR(__xludf.DUMMYFUNCTION("""COMPUTED_VALUE"""),51.0)</f>
        <v>51</v>
      </c>
      <c r="T1758" s="14">
        <f>IFERROR(__xludf.DUMMYFUNCTION("""COMPUTED_VALUE"""),0.481)</f>
        <v>0.481</v>
      </c>
      <c r="U1758" s="14">
        <f>IFERROR(__xludf.DUMMYFUNCTION("""COMPUTED_VALUE"""),0.494)</f>
        <v>0.494</v>
      </c>
      <c r="V1758" s="14">
        <f>IFERROR(__xludf.DUMMYFUNCTION("""COMPUTED_VALUE"""),0.025)</f>
        <v>0.025</v>
      </c>
      <c r="W1758" s="14">
        <f>IFERROR(__xludf.DUMMYFUNCTION("""COMPUTED_VALUE"""),1.1396434E7)</f>
        <v>11396434</v>
      </c>
      <c r="X1758" s="14">
        <f>IFERROR(__xludf.DUMMYFUNCTION("""COMPUTED_VALUE"""),0.163)</f>
        <v>0.163</v>
      </c>
      <c r="Y1758" s="14" t="str">
        <f>IFERROR(__xludf.DUMMYFUNCTION("""COMPUTED_VALUE"""),"Niger-Africa")</f>
        <v>Niger-Africa</v>
      </c>
      <c r="Z1758" s="14" t="str">
        <f>IFERROR(__xludf.DUMMYFUNCTION("""COMPUTED_VALUE"""),"Africa")</f>
        <v>Africa</v>
      </c>
      <c r="AA1758" s="14" t="str">
        <f>IFERROR(__xludf.DUMMYFUNCTION("""COMPUTED_VALUE"""),"2001")</f>
        <v>2001</v>
      </c>
      <c r="AB1758" s="15" t="str">
        <f>IFERROR(__xludf.DUMMYFUNCTION("ARRAYFORMULA(VLOOKUP(A1758,IMPORTRANGE(""https://docs.google.com/spreadsheets/d/1BuTWp7qHGjWhqrnf-OmePP568O4A5Am9ttzvVdP67zw/edit#gid=1931367683"" ,""ENERGY!$A$2:$F$2692""), {2,3,4,5,6},0))"),"Africa")</f>
        <v>Africa</v>
      </c>
      <c r="AC1758" s="14" t="str">
        <f>IFERROR(__xludf.DUMMYFUNCTION("""COMPUTED_VALUE"""),"Niger-Africa")</f>
        <v>Niger-Africa</v>
      </c>
      <c r="AD1758" s="14" t="str">
        <f>IFERROR(__xludf.DUMMYFUNCTION("""COMPUTED_VALUE"""),"2001")</f>
        <v>2001</v>
      </c>
      <c r="AE1758" s="14"/>
      <c r="AF1758" s="14"/>
    </row>
    <row r="1759">
      <c r="A1759" s="12">
        <v>1758.0</v>
      </c>
      <c r="B1759" s="12" t="s">
        <v>214</v>
      </c>
      <c r="C1759" s="5" t="s">
        <v>77</v>
      </c>
      <c r="D1759" s="8"/>
      <c r="E1759" s="8"/>
      <c r="F1759" s="8"/>
      <c r="G1759" s="8"/>
      <c r="H1759" s="11">
        <v>0.001</v>
      </c>
      <c r="I1759" s="11">
        <v>0.005</v>
      </c>
      <c r="J1759" s="9" t="s">
        <v>63</v>
      </c>
      <c r="K1759" s="14" t="str">
        <f>IFERROR(__xludf.DUMMYFUNCTION("ARRAYFORMULA(VLOOKUP(A1759,IMPORTRANGE(""https://docs.google.com/spreadsheets/d/1BuTWp7qHGjWhqrnf-OmePP568O4A5Am9ttzvVdP67zw/edit#gid=1603210130"", ""TOURISM!$A$2:$F$2692""), {2,3,4,5,6},0))"),"Africa")</f>
        <v>Africa</v>
      </c>
      <c r="L1759" s="14">
        <f>IFERROR(__xludf.DUMMYFUNCTION("""COMPUTED_VALUE"""),2.0E7)</f>
        <v>20000000</v>
      </c>
      <c r="M1759" s="14" t="str">
        <f>IFERROR(__xludf.DUMMYFUNCTION("""COMPUTED_VALUE"""),"Niger-Africa")</f>
        <v>Niger-Africa</v>
      </c>
      <c r="N1759" s="14" t="str">
        <f>IFERROR(__xludf.DUMMYFUNCTION("""COMPUTED_VALUE"""),"2002")</f>
        <v>2002</v>
      </c>
      <c r="O1759" s="14">
        <f>IFERROR(__xludf.DUMMYFUNCTION("""COMPUTED_VALUE"""),2.9E7)</f>
        <v>29000000</v>
      </c>
      <c r="P1759" s="15">
        <f>IFERROR(__xludf.DUMMYFUNCTION("ARRAYFORMULA(VLOOKUP(A1759,IMPORTRANGE(""https://docs.google.com/spreadsheets/d/1BuTWp7qHGjWhqrnf-OmePP568O4A5Am9ttzvVdP67zw/edit#gid=771602874"" ,""HUMAN RESOURCES!$A$2:$M$2692""), {2,3,4,5,6,7,8,9,10,11,12,13},0))"),0.052)</f>
        <v>0.052</v>
      </c>
      <c r="Q1759" s="14">
        <f>IFERROR(__xludf.DUMMYFUNCTION("""COMPUTED_VALUE"""),0.094)</f>
        <v>0.094</v>
      </c>
      <c r="R1759" s="14">
        <f>IFERROR(__xludf.DUMMYFUNCTION("""COMPUTED_VALUE"""),52.0)</f>
        <v>52</v>
      </c>
      <c r="S1759" s="14">
        <f>IFERROR(__xludf.DUMMYFUNCTION("""COMPUTED_VALUE"""),52.0)</f>
        <v>52</v>
      </c>
      <c r="T1759" s="14">
        <f>IFERROR(__xludf.DUMMYFUNCTION("""COMPUTED_VALUE"""),0.483)</f>
        <v>0.483</v>
      </c>
      <c r="U1759" s="14">
        <f>IFERROR(__xludf.DUMMYFUNCTION("""COMPUTED_VALUE"""),0.491)</f>
        <v>0.491</v>
      </c>
      <c r="V1759" s="14">
        <f>IFERROR(__xludf.DUMMYFUNCTION("""COMPUTED_VALUE"""),0.025)</f>
        <v>0.025</v>
      </c>
      <c r="W1759" s="14">
        <f>IFERROR(__xludf.DUMMYFUNCTION("""COMPUTED_VALUE"""),1.1817297E7)</f>
        <v>11817297</v>
      </c>
      <c r="X1759" s="14">
        <f>IFERROR(__xludf.DUMMYFUNCTION("""COMPUTED_VALUE"""),0.164)</f>
        <v>0.164</v>
      </c>
      <c r="Y1759" s="14" t="str">
        <f>IFERROR(__xludf.DUMMYFUNCTION("""COMPUTED_VALUE"""),"Niger-Africa")</f>
        <v>Niger-Africa</v>
      </c>
      <c r="Z1759" s="14" t="str">
        <f>IFERROR(__xludf.DUMMYFUNCTION("""COMPUTED_VALUE"""),"Africa")</f>
        <v>Africa</v>
      </c>
      <c r="AA1759" s="14" t="str">
        <f>IFERROR(__xludf.DUMMYFUNCTION("""COMPUTED_VALUE"""),"2002")</f>
        <v>2002</v>
      </c>
      <c r="AB1759" s="15" t="str">
        <f>IFERROR(__xludf.DUMMYFUNCTION("ARRAYFORMULA(VLOOKUP(A1759,IMPORTRANGE(""https://docs.google.com/spreadsheets/d/1BuTWp7qHGjWhqrnf-OmePP568O4A5Am9ttzvVdP67zw/edit#gid=1931367683"" ,""ENERGY!$A$2:$F$2692""), {2,3,4,5,6},0))"),"Africa")</f>
        <v>Africa</v>
      </c>
      <c r="AC1759" s="14" t="str">
        <f>IFERROR(__xludf.DUMMYFUNCTION("""COMPUTED_VALUE"""),"Niger-Africa")</f>
        <v>Niger-Africa</v>
      </c>
      <c r="AD1759" s="14" t="str">
        <f>IFERROR(__xludf.DUMMYFUNCTION("""COMPUTED_VALUE"""),"2002")</f>
        <v>2002</v>
      </c>
      <c r="AE1759" s="14"/>
      <c r="AF1759" s="14">
        <f>IFERROR(__xludf.DUMMYFUNCTION("""COMPUTED_VALUE"""),1412.0)</f>
        <v>1412</v>
      </c>
    </row>
    <row r="1760">
      <c r="A1760" s="12">
        <v>1759.0</v>
      </c>
      <c r="B1760" s="12" t="s">
        <v>214</v>
      </c>
      <c r="C1760" s="5" t="s">
        <v>77</v>
      </c>
      <c r="D1760" s="8"/>
      <c r="E1760" s="11">
        <v>35.0</v>
      </c>
      <c r="F1760" s="8"/>
      <c r="G1760" s="8"/>
      <c r="H1760" s="11">
        <v>0.002</v>
      </c>
      <c r="I1760" s="11">
        <v>0.007</v>
      </c>
      <c r="J1760" s="9" t="s">
        <v>64</v>
      </c>
      <c r="K1760" s="14" t="str">
        <f>IFERROR(__xludf.DUMMYFUNCTION("ARRAYFORMULA(VLOOKUP(A1760,IMPORTRANGE(""https://docs.google.com/spreadsheets/d/1BuTWp7qHGjWhqrnf-OmePP568O4A5Am9ttzvVdP67zw/edit#gid=1603210130"", ""TOURISM!$A$2:$F$2692""), {2,3,4,5,6},0))"),"Africa")</f>
        <v>Africa</v>
      </c>
      <c r="L1760" s="14">
        <f>IFERROR(__xludf.DUMMYFUNCTION("""COMPUTED_VALUE"""),2.8E7)</f>
        <v>28000000</v>
      </c>
      <c r="M1760" s="14" t="str">
        <f>IFERROR(__xludf.DUMMYFUNCTION("""COMPUTED_VALUE"""),"Niger-Africa")</f>
        <v>Niger-Africa</v>
      </c>
      <c r="N1760" s="14" t="str">
        <f>IFERROR(__xludf.DUMMYFUNCTION("""COMPUTED_VALUE"""),"2003")</f>
        <v>2003</v>
      </c>
      <c r="O1760" s="14">
        <f>IFERROR(__xludf.DUMMYFUNCTION("""COMPUTED_VALUE"""),3.9E7)</f>
        <v>39000000</v>
      </c>
      <c r="P1760" s="15">
        <f>IFERROR(__xludf.DUMMYFUNCTION("ARRAYFORMULA(VLOOKUP(A1760,IMPORTRANGE(""https://docs.google.com/spreadsheets/d/1BuTWp7qHGjWhqrnf-OmePP568O4A5Am9ttzvVdP67zw/edit#gid=771602874"" ,""HUMAN RESOURCES!$A$2:$M$2692""), {2,3,4,5,6,7,8,9,10,11,12,13},0))"),0.052)</f>
        <v>0.052</v>
      </c>
      <c r="Q1760" s="14">
        <f>IFERROR(__xludf.DUMMYFUNCTION("""COMPUTED_VALUE"""),0.09)</f>
        <v>0.09</v>
      </c>
      <c r="R1760" s="14">
        <f>IFERROR(__xludf.DUMMYFUNCTION("""COMPUTED_VALUE"""),53.0)</f>
        <v>53</v>
      </c>
      <c r="S1760" s="14">
        <f>IFERROR(__xludf.DUMMYFUNCTION("""COMPUTED_VALUE"""),53.0)</f>
        <v>53</v>
      </c>
      <c r="T1760" s="14">
        <f>IFERROR(__xludf.DUMMYFUNCTION("""COMPUTED_VALUE"""),0.486)</f>
        <v>0.486</v>
      </c>
      <c r="U1760" s="14">
        <f>IFERROR(__xludf.DUMMYFUNCTION("""COMPUTED_VALUE"""),0.489)</f>
        <v>0.489</v>
      </c>
      <c r="V1760" s="14">
        <f>IFERROR(__xludf.DUMMYFUNCTION("""COMPUTED_VALUE"""),0.025)</f>
        <v>0.025</v>
      </c>
      <c r="W1760" s="14">
        <f>IFERROR(__xludf.DUMMYFUNCTION("""COMPUTED_VALUE"""),1.225404E7)</f>
        <v>12254040</v>
      </c>
      <c r="X1760" s="14">
        <f>IFERROR(__xludf.DUMMYFUNCTION("""COMPUTED_VALUE"""),0.165)</f>
        <v>0.165</v>
      </c>
      <c r="Y1760" s="14" t="str">
        <f>IFERROR(__xludf.DUMMYFUNCTION("""COMPUTED_VALUE"""),"Niger-Africa")</f>
        <v>Niger-Africa</v>
      </c>
      <c r="Z1760" s="14" t="str">
        <f>IFERROR(__xludf.DUMMYFUNCTION("""COMPUTED_VALUE"""),"Africa")</f>
        <v>Africa</v>
      </c>
      <c r="AA1760" s="14" t="str">
        <f>IFERROR(__xludf.DUMMYFUNCTION("""COMPUTED_VALUE"""),"2003")</f>
        <v>2003</v>
      </c>
      <c r="AB1760" s="15" t="str">
        <f>IFERROR(__xludf.DUMMYFUNCTION("ARRAYFORMULA(VLOOKUP(A1760,IMPORTRANGE(""https://docs.google.com/spreadsheets/d/1BuTWp7qHGjWhqrnf-OmePP568O4A5Am9ttzvVdP67zw/edit#gid=1931367683"" ,""ENERGY!$A$2:$F$2692""), {2,3,4,5,6},0))"),"Africa")</f>
        <v>Africa</v>
      </c>
      <c r="AC1760" s="14" t="str">
        <f>IFERROR(__xludf.DUMMYFUNCTION("""COMPUTED_VALUE"""),"Niger-Africa")</f>
        <v>Niger-Africa</v>
      </c>
      <c r="AD1760" s="14" t="str">
        <f>IFERROR(__xludf.DUMMYFUNCTION("""COMPUTED_VALUE"""),"2003")</f>
        <v>2003</v>
      </c>
      <c r="AE1760" s="14"/>
      <c r="AF1760" s="14">
        <f>IFERROR(__xludf.DUMMYFUNCTION("""COMPUTED_VALUE"""),1085.0)</f>
        <v>1085</v>
      </c>
    </row>
    <row r="1761">
      <c r="A1761" s="12">
        <v>1760.0</v>
      </c>
      <c r="B1761" s="12" t="s">
        <v>214</v>
      </c>
      <c r="C1761" s="5" t="s">
        <v>77</v>
      </c>
      <c r="D1761" s="8"/>
      <c r="E1761" s="11">
        <v>35.0</v>
      </c>
      <c r="F1761" s="8"/>
      <c r="G1761" s="8"/>
      <c r="H1761" s="11">
        <v>0.002</v>
      </c>
      <c r="I1761" s="11">
        <v>0.014</v>
      </c>
      <c r="J1761" s="9" t="s">
        <v>65</v>
      </c>
      <c r="K1761" s="14" t="str">
        <f>IFERROR(__xludf.DUMMYFUNCTION("ARRAYFORMULA(VLOOKUP(A1761,IMPORTRANGE(""https://docs.google.com/spreadsheets/d/1BuTWp7qHGjWhqrnf-OmePP568O4A5Am9ttzvVdP67zw/edit#gid=1603210130"", ""TOURISM!$A$2:$F$2692""), {2,3,4,5,6},0))"),"Africa")</f>
        <v>Africa</v>
      </c>
      <c r="L1761" s="14">
        <f>IFERROR(__xludf.DUMMYFUNCTION("""COMPUTED_VALUE"""),3.2E7)</f>
        <v>32000000</v>
      </c>
      <c r="M1761" s="14" t="str">
        <f>IFERROR(__xludf.DUMMYFUNCTION("""COMPUTED_VALUE"""),"Niger-Africa")</f>
        <v>Niger-Africa</v>
      </c>
      <c r="N1761" s="14" t="str">
        <f>IFERROR(__xludf.DUMMYFUNCTION("""COMPUTED_VALUE"""),"2004")</f>
        <v>2004</v>
      </c>
      <c r="O1761" s="14">
        <f>IFERROR(__xludf.DUMMYFUNCTION("""COMPUTED_VALUE"""),4.2E7)</f>
        <v>42000000</v>
      </c>
      <c r="P1761" s="15">
        <f>IFERROR(__xludf.DUMMYFUNCTION("ARRAYFORMULA(VLOOKUP(A1761,IMPORTRANGE(""https://docs.google.com/spreadsheets/d/1BuTWp7qHGjWhqrnf-OmePP568O4A5Am9ttzvVdP67zw/edit#gid=771602874"" ,""HUMAN RESOURCES!$A$2:$M$2692""), {2,3,4,5,6,7,8,9,10,11,12,13},0))"),0.052)</f>
        <v>0.052</v>
      </c>
      <c r="Q1761" s="14">
        <f>IFERROR(__xludf.DUMMYFUNCTION("""COMPUTED_VALUE"""),0.086)</f>
        <v>0.086</v>
      </c>
      <c r="R1761" s="14">
        <f>IFERROR(__xludf.DUMMYFUNCTION("""COMPUTED_VALUE"""),53.0)</f>
        <v>53</v>
      </c>
      <c r="S1761" s="14">
        <f>IFERROR(__xludf.DUMMYFUNCTION("""COMPUTED_VALUE"""),53.0)</f>
        <v>53</v>
      </c>
      <c r="T1761" s="14">
        <f>IFERROR(__xludf.DUMMYFUNCTION("""COMPUTED_VALUE"""),0.488)</f>
        <v>0.488</v>
      </c>
      <c r="U1761" s="14">
        <f>IFERROR(__xludf.DUMMYFUNCTION("""COMPUTED_VALUE"""),0.487)</f>
        <v>0.487</v>
      </c>
      <c r="V1761" s="14">
        <f>IFERROR(__xludf.DUMMYFUNCTION("""COMPUTED_VALUE"""),0.025)</f>
        <v>0.025</v>
      </c>
      <c r="W1761" s="14">
        <f>IFERROR(__xludf.DUMMYFUNCTION("""COMPUTED_VALUE"""),1.2708897E7)</f>
        <v>12708897</v>
      </c>
      <c r="X1761" s="14">
        <f>IFERROR(__xludf.DUMMYFUNCTION("""COMPUTED_VALUE"""),0.166)</f>
        <v>0.166</v>
      </c>
      <c r="Y1761" s="14" t="str">
        <f>IFERROR(__xludf.DUMMYFUNCTION("""COMPUTED_VALUE"""),"Niger-Africa")</f>
        <v>Niger-Africa</v>
      </c>
      <c r="Z1761" s="14" t="str">
        <f>IFERROR(__xludf.DUMMYFUNCTION("""COMPUTED_VALUE"""),"Africa")</f>
        <v>Africa</v>
      </c>
      <c r="AA1761" s="14" t="str">
        <f>IFERROR(__xludf.DUMMYFUNCTION("""COMPUTED_VALUE"""),"2004")</f>
        <v>2004</v>
      </c>
      <c r="AB1761" s="15" t="str">
        <f>IFERROR(__xludf.DUMMYFUNCTION("ARRAYFORMULA(VLOOKUP(A1761,IMPORTRANGE(""https://docs.google.com/spreadsheets/d/1BuTWp7qHGjWhqrnf-OmePP568O4A5Am9ttzvVdP67zw/edit#gid=1931367683"" ,""ENERGY!$A$2:$F$2692""), {2,3,4,5,6},0))"),"Africa")</f>
        <v>Africa</v>
      </c>
      <c r="AC1761" s="14" t="str">
        <f>IFERROR(__xludf.DUMMYFUNCTION("""COMPUTED_VALUE"""),"Niger-Africa")</f>
        <v>Niger-Africa</v>
      </c>
      <c r="AD1761" s="14" t="str">
        <f>IFERROR(__xludf.DUMMYFUNCTION("""COMPUTED_VALUE"""),"2004")</f>
        <v>2004</v>
      </c>
      <c r="AE1761" s="14"/>
      <c r="AF1761" s="14">
        <f>IFERROR(__xludf.DUMMYFUNCTION("""COMPUTED_VALUE"""),917.0)</f>
        <v>917</v>
      </c>
    </row>
    <row r="1762">
      <c r="A1762" s="12">
        <v>1761.0</v>
      </c>
      <c r="B1762" s="12" t="s">
        <v>214</v>
      </c>
      <c r="C1762" s="5" t="s">
        <v>77</v>
      </c>
      <c r="D1762" s="11">
        <v>0.423</v>
      </c>
      <c r="E1762" s="11">
        <v>35.0</v>
      </c>
      <c r="F1762" s="8"/>
      <c r="G1762" s="11">
        <v>270.0</v>
      </c>
      <c r="H1762" s="11">
        <v>0.002</v>
      </c>
      <c r="I1762" s="11">
        <v>0.025</v>
      </c>
      <c r="J1762" s="9" t="s">
        <v>66</v>
      </c>
      <c r="K1762" s="14" t="str">
        <f>IFERROR(__xludf.DUMMYFUNCTION("ARRAYFORMULA(VLOOKUP(A1762,IMPORTRANGE(""https://docs.google.com/spreadsheets/d/1BuTWp7qHGjWhqrnf-OmePP568O4A5Am9ttzvVdP67zw/edit#gid=1603210130"", ""TOURISM!$A$2:$F$2692""), {2,3,4,5,6},0))"),"Africa")</f>
        <v>Africa</v>
      </c>
      <c r="L1762" s="14">
        <f>IFERROR(__xludf.DUMMYFUNCTION("""COMPUTED_VALUE"""),4.4E7)</f>
        <v>44000000</v>
      </c>
      <c r="M1762" s="14" t="str">
        <f>IFERROR(__xludf.DUMMYFUNCTION("""COMPUTED_VALUE"""),"Niger-Africa")</f>
        <v>Niger-Africa</v>
      </c>
      <c r="N1762" s="14" t="str">
        <f>IFERROR(__xludf.DUMMYFUNCTION("""COMPUTED_VALUE"""),"2005")</f>
        <v>2005</v>
      </c>
      <c r="O1762" s="14">
        <f>IFERROR(__xludf.DUMMYFUNCTION("""COMPUTED_VALUE"""),4.2E7)</f>
        <v>42000000</v>
      </c>
      <c r="P1762" s="15">
        <f>IFERROR(__xludf.DUMMYFUNCTION("ARRAYFORMULA(VLOOKUP(A1762,IMPORTRANGE(""https://docs.google.com/spreadsheets/d/1BuTWp7qHGjWhqrnf-OmePP568O4A5Am9ttzvVdP67zw/edit#gid=771602874"" ,""HUMAN RESOURCES!$A$2:$M$2692""), {2,3,4,5,6,7,8,9,10,11,12,13},0))"),0.051)</f>
        <v>0.051</v>
      </c>
      <c r="Q1762" s="14">
        <f>IFERROR(__xludf.DUMMYFUNCTION("""COMPUTED_VALUE"""),0.082)</f>
        <v>0.082</v>
      </c>
      <c r="R1762" s="14">
        <f>IFERROR(__xludf.DUMMYFUNCTION("""COMPUTED_VALUE"""),54.0)</f>
        <v>54</v>
      </c>
      <c r="S1762" s="14">
        <f>IFERROR(__xludf.DUMMYFUNCTION("""COMPUTED_VALUE"""),54.0)</f>
        <v>54</v>
      </c>
      <c r="T1762" s="14">
        <f>IFERROR(__xludf.DUMMYFUNCTION("""COMPUTED_VALUE"""),0.49)</f>
        <v>0.49</v>
      </c>
      <c r="U1762" s="14">
        <f>IFERROR(__xludf.DUMMYFUNCTION("""COMPUTED_VALUE"""),0.485)</f>
        <v>0.485</v>
      </c>
      <c r="V1762" s="14">
        <f>IFERROR(__xludf.DUMMYFUNCTION("""COMPUTED_VALUE"""),0.025)</f>
        <v>0.025</v>
      </c>
      <c r="W1762" s="14">
        <f>IFERROR(__xludf.DUMMYFUNCTION("""COMPUTED_VALUE"""),1.3183798E7)</f>
        <v>13183798</v>
      </c>
      <c r="X1762" s="14">
        <f>IFERROR(__xludf.DUMMYFUNCTION("""COMPUTED_VALUE"""),0.167)</f>
        <v>0.167</v>
      </c>
      <c r="Y1762" s="14" t="str">
        <f>IFERROR(__xludf.DUMMYFUNCTION("""COMPUTED_VALUE"""),"Niger-Africa")</f>
        <v>Niger-Africa</v>
      </c>
      <c r="Z1762" s="14" t="str">
        <f>IFERROR(__xludf.DUMMYFUNCTION("""COMPUTED_VALUE"""),"Africa")</f>
        <v>Africa</v>
      </c>
      <c r="AA1762" s="14" t="str">
        <f>IFERROR(__xludf.DUMMYFUNCTION("""COMPUTED_VALUE"""),"2005")</f>
        <v>2005</v>
      </c>
      <c r="AB1762" s="15" t="str">
        <f>IFERROR(__xludf.DUMMYFUNCTION("ARRAYFORMULA(VLOOKUP(A1762,IMPORTRANGE(""https://docs.google.com/spreadsheets/d/1BuTWp7qHGjWhqrnf-OmePP568O4A5Am9ttzvVdP67zw/edit#gid=1931367683"" ,""ENERGY!$A$2:$F$2692""), {2,3,4,5,6},0))"),"Africa")</f>
        <v>Africa</v>
      </c>
      <c r="AC1762" s="14" t="str">
        <f>IFERROR(__xludf.DUMMYFUNCTION("""COMPUTED_VALUE"""),"Niger-Africa")</f>
        <v>Niger-Africa</v>
      </c>
      <c r="AD1762" s="14" t="str">
        <f>IFERROR(__xludf.DUMMYFUNCTION("""COMPUTED_VALUE"""),"2008")</f>
        <v>2008</v>
      </c>
      <c r="AE1762" s="14"/>
      <c r="AF1762" s="14">
        <f>IFERROR(__xludf.DUMMYFUNCTION("""COMPUTED_VALUE"""),821.0)</f>
        <v>821</v>
      </c>
    </row>
    <row r="1763">
      <c r="A1763" s="12">
        <v>1762.0</v>
      </c>
      <c r="B1763" s="12" t="s">
        <v>214</v>
      </c>
      <c r="C1763" s="5" t="s">
        <v>77</v>
      </c>
      <c r="D1763" s="11">
        <v>0.423</v>
      </c>
      <c r="E1763" s="11">
        <v>24.0</v>
      </c>
      <c r="F1763" s="8"/>
      <c r="G1763" s="11">
        <v>270.0</v>
      </c>
      <c r="H1763" s="11">
        <v>0.003</v>
      </c>
      <c r="I1763" s="11">
        <v>0.035</v>
      </c>
      <c r="J1763" s="9" t="s">
        <v>67</v>
      </c>
      <c r="K1763" s="14" t="str">
        <f>IFERROR(__xludf.DUMMYFUNCTION("ARRAYFORMULA(VLOOKUP(A1763,IMPORTRANGE(""https://docs.google.com/spreadsheets/d/1BuTWp7qHGjWhqrnf-OmePP568O4A5Am9ttzvVdP67zw/edit#gid=1603210130"", ""TOURISM!$A$2:$F$2692""), {2,3,4,5,6},0))"),"Africa")</f>
        <v>Africa</v>
      </c>
      <c r="L1763" s="14">
        <f>IFERROR(__xludf.DUMMYFUNCTION("""COMPUTED_VALUE"""),3.9E7)</f>
        <v>39000000</v>
      </c>
      <c r="M1763" s="14" t="str">
        <f>IFERROR(__xludf.DUMMYFUNCTION("""COMPUTED_VALUE"""),"Niger-Africa")</f>
        <v>Niger-Africa</v>
      </c>
      <c r="N1763" s="14" t="str">
        <f>IFERROR(__xludf.DUMMYFUNCTION("""COMPUTED_VALUE"""),"2006")</f>
        <v>2006</v>
      </c>
      <c r="O1763" s="14">
        <f>IFERROR(__xludf.DUMMYFUNCTION("""COMPUTED_VALUE"""),4.2E7)</f>
        <v>42000000</v>
      </c>
      <c r="P1763" s="15">
        <f>IFERROR(__xludf.DUMMYFUNCTION("ARRAYFORMULA(VLOOKUP(A1763,IMPORTRANGE(""https://docs.google.com/spreadsheets/d/1BuTWp7qHGjWhqrnf-OmePP568O4A5Am9ttzvVdP67zw/edit#gid=771602874"" ,""HUMAN RESOURCES!$A$2:$M$2692""), {2,3,4,5,6,7,8,9,10,11,12,13},0))"),0.051)</f>
        <v>0.051</v>
      </c>
      <c r="Q1763" s="14">
        <f>IFERROR(__xludf.DUMMYFUNCTION("""COMPUTED_VALUE"""),0.079)</f>
        <v>0.079</v>
      </c>
      <c r="R1763" s="14">
        <f>IFERROR(__xludf.DUMMYFUNCTION("""COMPUTED_VALUE"""),55.0)</f>
        <v>55</v>
      </c>
      <c r="S1763" s="14">
        <f>IFERROR(__xludf.DUMMYFUNCTION("""COMPUTED_VALUE"""),55.0)</f>
        <v>55</v>
      </c>
      <c r="T1763" s="14">
        <f>IFERROR(__xludf.DUMMYFUNCTION("""COMPUTED_VALUE"""),0.492)</f>
        <v>0.492</v>
      </c>
      <c r="U1763" s="14">
        <f>IFERROR(__xludf.DUMMYFUNCTION("""COMPUTED_VALUE"""),0.483)</f>
        <v>0.483</v>
      </c>
      <c r="V1763" s="14">
        <f>IFERROR(__xludf.DUMMYFUNCTION("""COMPUTED_VALUE"""),0.025)</f>
        <v>0.025</v>
      </c>
      <c r="W1763" s="14">
        <f>IFERROR(__xludf.DUMMYFUNCTION("""COMPUTED_VALUE"""),1.3679705E7)</f>
        <v>13679705</v>
      </c>
      <c r="X1763" s="14">
        <f>IFERROR(__xludf.DUMMYFUNCTION("""COMPUTED_VALUE"""),0.169)</f>
        <v>0.169</v>
      </c>
      <c r="Y1763" s="14" t="str">
        <f>IFERROR(__xludf.DUMMYFUNCTION("""COMPUTED_VALUE"""),"Niger-Africa")</f>
        <v>Niger-Africa</v>
      </c>
      <c r="Z1763" s="14" t="str">
        <f>IFERROR(__xludf.DUMMYFUNCTION("""COMPUTED_VALUE"""),"Africa")</f>
        <v>Africa</v>
      </c>
      <c r="AA1763" s="14" t="str">
        <f>IFERROR(__xludf.DUMMYFUNCTION("""COMPUTED_VALUE"""),"2006")</f>
        <v>2006</v>
      </c>
      <c r="AB1763" s="15" t="str">
        <f>IFERROR(__xludf.DUMMYFUNCTION("ARRAYFORMULA(VLOOKUP(A1763,IMPORTRANGE(""https://docs.google.com/spreadsheets/d/1BuTWp7qHGjWhqrnf-OmePP568O4A5Am9ttzvVdP67zw/edit#gid=1931367683"" ,""ENERGY!$A$2:$F$2692""), {2,3,4,5,6},0))"),"Africa")</f>
        <v>Africa</v>
      </c>
      <c r="AC1763" s="14" t="str">
        <f>IFERROR(__xludf.DUMMYFUNCTION("""COMPUTED_VALUE"""),"Niger-Africa")</f>
        <v>Niger-Africa</v>
      </c>
      <c r="AD1763" s="14" t="str">
        <f>IFERROR(__xludf.DUMMYFUNCTION("""COMPUTED_VALUE"""),"2012")</f>
        <v>2012</v>
      </c>
      <c r="AE1763" s="14"/>
      <c r="AF1763" s="14">
        <f>IFERROR(__xludf.DUMMYFUNCTION("""COMPUTED_VALUE"""),807.0)</f>
        <v>807</v>
      </c>
    </row>
    <row r="1764">
      <c r="A1764" s="12">
        <v>1763.0</v>
      </c>
      <c r="B1764" s="12" t="s">
        <v>214</v>
      </c>
      <c r="C1764" s="5" t="s">
        <v>77</v>
      </c>
      <c r="D1764" s="11">
        <v>0.424</v>
      </c>
      <c r="E1764" s="11">
        <v>23.0</v>
      </c>
      <c r="F1764" s="8"/>
      <c r="G1764" s="11">
        <v>270.0</v>
      </c>
      <c r="H1764" s="11">
        <v>0.004</v>
      </c>
      <c r="I1764" s="11">
        <v>0.063</v>
      </c>
      <c r="J1764" s="9" t="s">
        <v>68</v>
      </c>
      <c r="K1764" s="14" t="str">
        <f>IFERROR(__xludf.DUMMYFUNCTION("ARRAYFORMULA(VLOOKUP(A1764,IMPORTRANGE(""https://docs.google.com/spreadsheets/d/1BuTWp7qHGjWhqrnf-OmePP568O4A5Am9ttzvVdP67zw/edit#gid=1603210130"", ""TOURISM!$A$2:$F$2692""), {2,3,4,5,6},0))"),"Africa")</f>
        <v>Africa</v>
      </c>
      <c r="L1764" s="14">
        <f>IFERROR(__xludf.DUMMYFUNCTION("""COMPUTED_VALUE"""),4.4E7)</f>
        <v>44000000</v>
      </c>
      <c r="M1764" s="14" t="str">
        <f>IFERROR(__xludf.DUMMYFUNCTION("""COMPUTED_VALUE"""),"Niger-Africa")</f>
        <v>Niger-Africa</v>
      </c>
      <c r="N1764" s="14" t="str">
        <f>IFERROR(__xludf.DUMMYFUNCTION("""COMPUTED_VALUE"""),"2007")</f>
        <v>2007</v>
      </c>
      <c r="O1764" s="14">
        <f>IFERROR(__xludf.DUMMYFUNCTION("""COMPUTED_VALUE"""),4.8E7)</f>
        <v>48000000</v>
      </c>
      <c r="P1764" s="15">
        <f>IFERROR(__xludf.DUMMYFUNCTION("ARRAYFORMULA(VLOOKUP(A1764,IMPORTRANGE(""https://docs.google.com/spreadsheets/d/1BuTWp7qHGjWhqrnf-OmePP568O4A5Am9ttzvVdP67zw/edit#gid=771602874"" ,""HUMAN RESOURCES!$A$2:$M$2692""), {2,3,4,5,6,7,8,9,10,11,12,13},0))"),0.051)</f>
        <v>0.051</v>
      </c>
      <c r="Q1764" s="14">
        <f>IFERROR(__xludf.DUMMYFUNCTION("""COMPUTED_VALUE"""),0.075)</f>
        <v>0.075</v>
      </c>
      <c r="R1764" s="14">
        <f>IFERROR(__xludf.DUMMYFUNCTION("""COMPUTED_VALUE"""),55.0)</f>
        <v>55</v>
      </c>
      <c r="S1764" s="14">
        <f>IFERROR(__xludf.DUMMYFUNCTION("""COMPUTED_VALUE"""),55.0)</f>
        <v>55</v>
      </c>
      <c r="T1764" s="14">
        <f>IFERROR(__xludf.DUMMYFUNCTION("""COMPUTED_VALUE"""),0.494)</f>
        <v>0.494</v>
      </c>
      <c r="U1764" s="14">
        <f>IFERROR(__xludf.DUMMYFUNCTION("""COMPUTED_VALUE"""),0.481)</f>
        <v>0.481</v>
      </c>
      <c r="V1764" s="14">
        <f>IFERROR(__xludf.DUMMYFUNCTION("""COMPUTED_VALUE"""),0.025)</f>
        <v>0.025</v>
      </c>
      <c r="W1764" s="14">
        <f>IFERROR(__xludf.DUMMYFUNCTION("""COMPUTED_VALUE"""),1.4197289E7)</f>
        <v>14197289</v>
      </c>
      <c r="X1764" s="14">
        <f>IFERROR(__xludf.DUMMYFUNCTION("""COMPUTED_VALUE"""),0.17)</f>
        <v>0.17</v>
      </c>
      <c r="Y1764" s="14" t="str">
        <f>IFERROR(__xludf.DUMMYFUNCTION("""COMPUTED_VALUE"""),"Niger-Africa")</f>
        <v>Niger-Africa</v>
      </c>
      <c r="Z1764" s="14" t="str">
        <f>IFERROR(__xludf.DUMMYFUNCTION("""COMPUTED_VALUE"""),"Africa")</f>
        <v>Africa</v>
      </c>
      <c r="AA1764" s="14" t="str">
        <f>IFERROR(__xludf.DUMMYFUNCTION("""COMPUTED_VALUE"""),"2007")</f>
        <v>2007</v>
      </c>
      <c r="AB1764" s="15" t="str">
        <f>IFERROR(__xludf.DUMMYFUNCTION("ARRAYFORMULA(VLOOKUP(A1764,IMPORTRANGE(""https://docs.google.com/spreadsheets/d/1BuTWp7qHGjWhqrnf-OmePP568O4A5Am9ttzvVdP67zw/edit#gid=1931367683"" ,""ENERGY!$A$2:$F$2692""), {2,3,4,5,6},0))"),"Africa")</f>
        <v>Africa</v>
      </c>
      <c r="AC1764" s="14" t="str">
        <f>IFERROR(__xludf.DUMMYFUNCTION("""COMPUTED_VALUE"""),"Niger-Africa")</f>
        <v>Niger-Africa</v>
      </c>
      <c r="AD1764" s="14" t="str">
        <f>IFERROR(__xludf.DUMMYFUNCTION("""COMPUTED_VALUE"""),"2009")</f>
        <v>2009</v>
      </c>
      <c r="AE1764" s="14"/>
      <c r="AF1764" s="14">
        <f>IFERROR(__xludf.DUMMYFUNCTION("""COMPUTED_VALUE"""),829.0)</f>
        <v>829</v>
      </c>
    </row>
    <row r="1765">
      <c r="A1765" s="12">
        <v>1764.0</v>
      </c>
      <c r="B1765" s="12" t="s">
        <v>214</v>
      </c>
      <c r="C1765" s="5" t="s">
        <v>77</v>
      </c>
      <c r="D1765" s="11">
        <v>0.423</v>
      </c>
      <c r="E1765" s="11">
        <v>19.0</v>
      </c>
      <c r="F1765" s="8"/>
      <c r="G1765" s="11">
        <v>270.0</v>
      </c>
      <c r="H1765" s="11">
        <v>0.007</v>
      </c>
      <c r="I1765" s="11">
        <v>0.129</v>
      </c>
      <c r="J1765" s="9" t="s">
        <v>69</v>
      </c>
      <c r="K1765" s="14" t="str">
        <f>IFERROR(__xludf.DUMMYFUNCTION("ARRAYFORMULA(VLOOKUP(A1765,IMPORTRANGE(""https://docs.google.com/spreadsheets/d/1BuTWp7qHGjWhqrnf-OmePP568O4A5Am9ttzvVdP67zw/edit#gid=1603210130"", ""TOURISM!$A$2:$F$2692""), {2,3,4,5,6},0))"),"Africa")</f>
        <v>Africa</v>
      </c>
      <c r="L1765" s="14">
        <f>IFERROR(__xludf.DUMMYFUNCTION("""COMPUTED_VALUE"""),8.6E7)</f>
        <v>86000000</v>
      </c>
      <c r="M1765" s="14" t="str">
        <f>IFERROR(__xludf.DUMMYFUNCTION("""COMPUTED_VALUE"""),"Niger-Africa")</f>
        <v>Niger-Africa</v>
      </c>
      <c r="N1765" s="14" t="str">
        <f>IFERROR(__xludf.DUMMYFUNCTION("""COMPUTED_VALUE"""),"2008")</f>
        <v>2008</v>
      </c>
      <c r="O1765" s="14">
        <f>IFERROR(__xludf.DUMMYFUNCTION("""COMPUTED_VALUE"""),9.8E7)</f>
        <v>98000000</v>
      </c>
      <c r="P1765" s="15">
        <f>IFERROR(__xludf.DUMMYFUNCTION("ARRAYFORMULA(VLOOKUP(A1765,IMPORTRANGE(""https://docs.google.com/spreadsheets/d/1BuTWp7qHGjWhqrnf-OmePP568O4A5Am9ttzvVdP67zw/edit#gid=771602874"" ,""HUMAN RESOURCES!$A$2:$M$2692""), {2,3,4,5,6,7,8,9,10,11,12,13},0))"),0.05)</f>
        <v>0.05</v>
      </c>
      <c r="Q1765" s="14">
        <f>IFERROR(__xludf.DUMMYFUNCTION("""COMPUTED_VALUE"""),0.072)</f>
        <v>0.072</v>
      </c>
      <c r="R1765" s="14">
        <f>IFERROR(__xludf.DUMMYFUNCTION("""COMPUTED_VALUE"""),56.0)</f>
        <v>56</v>
      </c>
      <c r="S1765" s="14">
        <f>IFERROR(__xludf.DUMMYFUNCTION("""COMPUTED_VALUE"""),56.0)</f>
        <v>56</v>
      </c>
      <c r="T1765" s="14">
        <f>IFERROR(__xludf.DUMMYFUNCTION("""COMPUTED_VALUE"""),0.496)</f>
        <v>0.496</v>
      </c>
      <c r="U1765" s="14">
        <f>IFERROR(__xludf.DUMMYFUNCTION("""COMPUTED_VALUE"""),0.479)</f>
        <v>0.479</v>
      </c>
      <c r="V1765" s="14">
        <f>IFERROR(__xludf.DUMMYFUNCTION("""COMPUTED_VALUE"""),0.026)</f>
        <v>0.026</v>
      </c>
      <c r="W1765" s="14">
        <f>IFERROR(__xludf.DUMMYFUNCTION("""COMPUTED_VALUE"""),1.4737895E7)</f>
        <v>14737895</v>
      </c>
      <c r="X1765" s="14">
        <f>IFERROR(__xludf.DUMMYFUNCTION("""COMPUTED_VALUE"""),0.172)</f>
        <v>0.172</v>
      </c>
      <c r="Y1765" s="14" t="str">
        <f>IFERROR(__xludf.DUMMYFUNCTION("""COMPUTED_VALUE"""),"Niger-Africa")</f>
        <v>Niger-Africa</v>
      </c>
      <c r="Z1765" s="14" t="str">
        <f>IFERROR(__xludf.DUMMYFUNCTION("""COMPUTED_VALUE"""),"Africa")</f>
        <v>Africa</v>
      </c>
      <c r="AA1765" s="14" t="str">
        <f>IFERROR(__xludf.DUMMYFUNCTION("""COMPUTED_VALUE"""),"2008")</f>
        <v>2008</v>
      </c>
      <c r="AB1765" s="15" t="str">
        <f>IFERROR(__xludf.DUMMYFUNCTION("ARRAYFORMULA(VLOOKUP(A1765,IMPORTRANGE(""https://docs.google.com/spreadsheets/d/1BuTWp7qHGjWhqrnf-OmePP568O4A5Am9ttzvVdP67zw/edit#gid=1931367683"" ,""ENERGY!$A$2:$F$2692""), {2,3,4,5,6},0))"),"Africa")</f>
        <v>Africa</v>
      </c>
      <c r="AC1765" s="14" t="str">
        <f>IFERROR(__xludf.DUMMYFUNCTION("""COMPUTED_VALUE"""),"Niger-Africa")</f>
        <v>Niger-Africa</v>
      </c>
      <c r="AD1765" s="14" t="str">
        <f>IFERROR(__xludf.DUMMYFUNCTION("""COMPUTED_VALUE"""),"2006")</f>
        <v>2006</v>
      </c>
      <c r="AE1765" s="14"/>
      <c r="AF1765" s="14">
        <f>IFERROR(__xludf.DUMMYFUNCTION("""COMPUTED_VALUE"""),964.0)</f>
        <v>964</v>
      </c>
    </row>
    <row r="1766">
      <c r="A1766" s="12">
        <v>1765.0</v>
      </c>
      <c r="B1766" s="12" t="s">
        <v>214</v>
      </c>
      <c r="C1766" s="5" t="s">
        <v>77</v>
      </c>
      <c r="D1766" s="11">
        <v>0.465</v>
      </c>
      <c r="E1766" s="11">
        <v>17.0</v>
      </c>
      <c r="F1766" s="8"/>
      <c r="G1766" s="11">
        <v>270.0</v>
      </c>
      <c r="H1766" s="11">
        <v>0.008</v>
      </c>
      <c r="I1766" s="11">
        <v>0.17</v>
      </c>
      <c r="J1766" s="9" t="s">
        <v>70</v>
      </c>
      <c r="K1766" s="14" t="str">
        <f>IFERROR(__xludf.DUMMYFUNCTION("ARRAYFORMULA(VLOOKUP(A1766,IMPORTRANGE(""https://docs.google.com/spreadsheets/d/1BuTWp7qHGjWhqrnf-OmePP568O4A5Am9ttzvVdP67zw/edit#gid=1603210130"", ""TOURISM!$A$2:$F$2692""), {2,3,4,5,6},0))"),"Africa")</f>
        <v>Africa</v>
      </c>
      <c r="L1766" s="14">
        <f>IFERROR(__xludf.DUMMYFUNCTION("""COMPUTED_VALUE"""),6.9E7)</f>
        <v>69000000</v>
      </c>
      <c r="M1766" s="14" t="str">
        <f>IFERROR(__xludf.DUMMYFUNCTION("""COMPUTED_VALUE"""),"Niger-Africa")</f>
        <v>Niger-Africa</v>
      </c>
      <c r="N1766" s="14" t="str">
        <f>IFERROR(__xludf.DUMMYFUNCTION("""COMPUTED_VALUE"""),"2009")</f>
        <v>2009</v>
      </c>
      <c r="O1766" s="14">
        <f>IFERROR(__xludf.DUMMYFUNCTION("""COMPUTED_VALUE"""),8.4E7)</f>
        <v>84000000</v>
      </c>
      <c r="P1766" s="15">
        <f>IFERROR(__xludf.DUMMYFUNCTION("ARRAYFORMULA(VLOOKUP(A1766,IMPORTRANGE(""https://docs.google.com/spreadsheets/d/1BuTWp7qHGjWhqrnf-OmePP568O4A5Am9ttzvVdP67zw/edit#gid=771602874"" ,""HUMAN RESOURCES!$A$2:$M$2692""), {2,3,4,5,6,7,8,9,10,11,12,13},0))"),0.05)</f>
        <v>0.05</v>
      </c>
      <c r="Q1766" s="14">
        <f>IFERROR(__xludf.DUMMYFUNCTION("""COMPUTED_VALUE"""),0.069)</f>
        <v>0.069</v>
      </c>
      <c r="R1766" s="14">
        <f>IFERROR(__xludf.DUMMYFUNCTION("""COMPUTED_VALUE"""),57.0)</f>
        <v>57</v>
      </c>
      <c r="S1766" s="14">
        <f>IFERROR(__xludf.DUMMYFUNCTION("""COMPUTED_VALUE"""),56.0)</f>
        <v>56</v>
      </c>
      <c r="T1766" s="14">
        <f>IFERROR(__xludf.DUMMYFUNCTION("""COMPUTED_VALUE"""),0.497)</f>
        <v>0.497</v>
      </c>
      <c r="U1766" s="14">
        <f>IFERROR(__xludf.DUMMYFUNCTION("""COMPUTED_VALUE"""),0.477)</f>
        <v>0.477</v>
      </c>
      <c r="V1766" s="14">
        <f>IFERROR(__xludf.DUMMYFUNCTION("""COMPUTED_VALUE"""),0.026)</f>
        <v>0.026</v>
      </c>
      <c r="W1766" s="14">
        <f>IFERROR(__xludf.DUMMYFUNCTION("""COMPUTED_VALUE"""),1.5302948E7)</f>
        <v>15302948</v>
      </c>
      <c r="X1766" s="14">
        <f>IFERROR(__xludf.DUMMYFUNCTION("""COMPUTED_VALUE"""),0.174)</f>
        <v>0.174</v>
      </c>
      <c r="Y1766" s="14" t="str">
        <f>IFERROR(__xludf.DUMMYFUNCTION("""COMPUTED_VALUE"""),"Niger-Africa")</f>
        <v>Niger-Africa</v>
      </c>
      <c r="Z1766" s="14" t="str">
        <f>IFERROR(__xludf.DUMMYFUNCTION("""COMPUTED_VALUE"""),"Africa")</f>
        <v>Africa</v>
      </c>
      <c r="AA1766" s="14" t="str">
        <f>IFERROR(__xludf.DUMMYFUNCTION("""COMPUTED_VALUE"""),"2009")</f>
        <v>2009</v>
      </c>
      <c r="AB1766" s="15" t="str">
        <f>IFERROR(__xludf.DUMMYFUNCTION("ARRAYFORMULA(VLOOKUP(A1766,IMPORTRANGE(""https://docs.google.com/spreadsheets/d/1BuTWp7qHGjWhqrnf-OmePP568O4A5Am9ttzvVdP67zw/edit#gid=1931367683"" ,""ENERGY!$A$2:$F$2692""), {2,3,4,5,6},0))"),"Africa")</f>
        <v>Africa</v>
      </c>
      <c r="AC1766" s="14" t="str">
        <f>IFERROR(__xludf.DUMMYFUNCTION("""COMPUTED_VALUE"""),"Niger-Africa")</f>
        <v>Niger-Africa</v>
      </c>
      <c r="AD1766" s="14" t="str">
        <f>IFERROR(__xludf.DUMMYFUNCTION("""COMPUTED_VALUE"""),"2011")</f>
        <v>2011</v>
      </c>
      <c r="AE1766" s="14"/>
      <c r="AF1766" s="14">
        <f>IFERROR(__xludf.DUMMYFUNCTION("""COMPUTED_VALUE"""),880.0)</f>
        <v>880</v>
      </c>
    </row>
    <row r="1767">
      <c r="A1767" s="12">
        <v>1766.0</v>
      </c>
      <c r="B1767" s="12" t="s">
        <v>214</v>
      </c>
      <c r="C1767" s="5" t="s">
        <v>77</v>
      </c>
      <c r="D1767" s="11">
        <v>0.465</v>
      </c>
      <c r="E1767" s="11">
        <v>17.0</v>
      </c>
      <c r="F1767" s="8"/>
      <c r="G1767" s="11">
        <v>270.0</v>
      </c>
      <c r="H1767" s="11">
        <v>0.008</v>
      </c>
      <c r="I1767" s="11">
        <v>0.231</v>
      </c>
      <c r="J1767" s="9" t="s">
        <v>71</v>
      </c>
      <c r="K1767" s="14" t="str">
        <f>IFERROR(__xludf.DUMMYFUNCTION("ARRAYFORMULA(VLOOKUP(A1767,IMPORTRANGE(""https://docs.google.com/spreadsheets/d/1BuTWp7qHGjWhqrnf-OmePP568O4A5Am9ttzvVdP67zw/edit#gid=1603210130"", ""TOURISM!$A$2:$F$2692""), {2,3,4,5,6},0))"),"Africa")</f>
        <v>Africa</v>
      </c>
      <c r="L1767" s="14">
        <f>IFERROR(__xludf.DUMMYFUNCTION("""COMPUTED_VALUE"""),8.6E7)</f>
        <v>86000000</v>
      </c>
      <c r="M1767" s="14" t="str">
        <f>IFERROR(__xludf.DUMMYFUNCTION("""COMPUTED_VALUE"""),"Niger-Africa")</f>
        <v>Niger-Africa</v>
      </c>
      <c r="N1767" s="14" t="str">
        <f>IFERROR(__xludf.DUMMYFUNCTION("""COMPUTED_VALUE"""),"2010")</f>
        <v>2010</v>
      </c>
      <c r="O1767" s="14"/>
      <c r="P1767" s="15">
        <f>IFERROR(__xludf.DUMMYFUNCTION("ARRAYFORMULA(VLOOKUP(A1767,IMPORTRANGE(""https://docs.google.com/spreadsheets/d/1BuTWp7qHGjWhqrnf-OmePP568O4A5Am9ttzvVdP67zw/edit#gid=771602874"" ,""HUMAN RESOURCES!$A$2:$M$2692""), {2,3,4,5,6,7,8,9,10,11,12,13},0))"),0.05)</f>
        <v>0.05</v>
      </c>
      <c r="Q1767" s="14">
        <f>IFERROR(__xludf.DUMMYFUNCTION("""COMPUTED_VALUE"""),0.066)</f>
        <v>0.066</v>
      </c>
      <c r="R1767" s="14">
        <f>IFERROR(__xludf.DUMMYFUNCTION("""COMPUTED_VALUE"""),57.0)</f>
        <v>57</v>
      </c>
      <c r="S1767" s="14">
        <f>IFERROR(__xludf.DUMMYFUNCTION("""COMPUTED_VALUE"""),57.0)</f>
        <v>57</v>
      </c>
      <c r="T1767" s="14">
        <f>IFERROR(__xludf.DUMMYFUNCTION("""COMPUTED_VALUE"""),0.498)</f>
        <v>0.498</v>
      </c>
      <c r="U1767" s="14">
        <f>IFERROR(__xludf.DUMMYFUNCTION("""COMPUTED_VALUE"""),0.476)</f>
        <v>0.476</v>
      </c>
      <c r="V1767" s="14">
        <f>IFERROR(__xludf.DUMMYFUNCTION("""COMPUTED_VALUE"""),0.026)</f>
        <v>0.026</v>
      </c>
      <c r="W1767" s="14">
        <f>IFERROR(__xludf.DUMMYFUNCTION("""COMPUTED_VALUE"""),1.5893746E7)</f>
        <v>15893746</v>
      </c>
      <c r="X1767" s="14">
        <f>IFERROR(__xludf.DUMMYFUNCTION("""COMPUTED_VALUE"""),0.176)</f>
        <v>0.176</v>
      </c>
      <c r="Y1767" s="14" t="str">
        <f>IFERROR(__xludf.DUMMYFUNCTION("""COMPUTED_VALUE"""),"Niger-Africa")</f>
        <v>Niger-Africa</v>
      </c>
      <c r="Z1767" s="14" t="str">
        <f>IFERROR(__xludf.DUMMYFUNCTION("""COMPUTED_VALUE"""),"Africa")</f>
        <v>Africa</v>
      </c>
      <c r="AA1767" s="14" t="str">
        <f>IFERROR(__xludf.DUMMYFUNCTION("""COMPUTED_VALUE"""),"2010")</f>
        <v>2010</v>
      </c>
      <c r="AB1767" s="15" t="str">
        <f>IFERROR(__xludf.DUMMYFUNCTION("ARRAYFORMULA(VLOOKUP(A1767,IMPORTRANGE(""https://docs.google.com/spreadsheets/d/1BuTWp7qHGjWhqrnf-OmePP568O4A5Am9ttzvVdP67zw/edit#gid=1931367683"" ,""ENERGY!$A$2:$F$2692""), {2,3,4,5,6},0))"),"Africa")</f>
        <v>Africa</v>
      </c>
      <c r="AC1767" s="14" t="str">
        <f>IFERROR(__xludf.DUMMYFUNCTION("""COMPUTED_VALUE"""),"Niger-Africa")</f>
        <v>Niger-Africa</v>
      </c>
      <c r="AD1767" s="14" t="str">
        <f>IFERROR(__xludf.DUMMYFUNCTION("""COMPUTED_VALUE"""),"2006")</f>
        <v>2006</v>
      </c>
      <c r="AE1767" s="14"/>
      <c r="AF1767" s="14">
        <f>IFERROR(__xludf.DUMMYFUNCTION("""COMPUTED_VALUE"""),814.0)</f>
        <v>814</v>
      </c>
    </row>
    <row r="1768">
      <c r="A1768" s="12">
        <v>1767.0</v>
      </c>
      <c r="B1768" s="12" t="s">
        <v>214</v>
      </c>
      <c r="C1768" s="5" t="s">
        <v>77</v>
      </c>
      <c r="D1768" s="11">
        <v>0.438</v>
      </c>
      <c r="E1768" s="11">
        <v>17.0</v>
      </c>
      <c r="F1768" s="8"/>
      <c r="G1768" s="11">
        <v>270.0</v>
      </c>
      <c r="H1768" s="11">
        <v>0.013</v>
      </c>
      <c r="I1768" s="11">
        <v>0.287</v>
      </c>
      <c r="J1768" s="9" t="s">
        <v>72</v>
      </c>
      <c r="K1768" s="14" t="str">
        <f>IFERROR(__xludf.DUMMYFUNCTION("ARRAYFORMULA(VLOOKUP(A1768,IMPORTRANGE(""https://docs.google.com/spreadsheets/d/1BuTWp7qHGjWhqrnf-OmePP568O4A5Am9ttzvVdP67zw/edit#gid=1603210130"", ""TOURISM!$A$2:$F$2692""), {2,3,4,5,6},0))"),"Africa")</f>
        <v>Africa</v>
      </c>
      <c r="L1768" s="14">
        <f>IFERROR(__xludf.DUMMYFUNCTION("""COMPUTED_VALUE"""),8.6E7)</f>
        <v>86000000</v>
      </c>
      <c r="M1768" s="14" t="str">
        <f>IFERROR(__xludf.DUMMYFUNCTION("""COMPUTED_VALUE"""),"Niger-Africa")</f>
        <v>Niger-Africa</v>
      </c>
      <c r="N1768" s="14" t="str">
        <f>IFERROR(__xludf.DUMMYFUNCTION("""COMPUTED_VALUE"""),"2011")</f>
        <v>2011</v>
      </c>
      <c r="O1768" s="14"/>
      <c r="P1768" s="15">
        <f>IFERROR(__xludf.DUMMYFUNCTION("ARRAYFORMULA(VLOOKUP(A1768,IMPORTRANGE(""https://docs.google.com/spreadsheets/d/1BuTWp7qHGjWhqrnf-OmePP568O4A5Am9ttzvVdP67zw/edit#gid=771602874"" ,""HUMAN RESOURCES!$A$2:$M$2692""), {2,3,4,5,6,7,8,9,10,11,12,13},0))"),0.05)</f>
        <v>0.05</v>
      </c>
      <c r="Q1768" s="14">
        <f>IFERROR(__xludf.DUMMYFUNCTION("""COMPUTED_VALUE"""),0.064)</f>
        <v>0.064</v>
      </c>
      <c r="R1768" s="14">
        <f>IFERROR(__xludf.DUMMYFUNCTION("""COMPUTED_VALUE"""),58.0)</f>
        <v>58</v>
      </c>
      <c r="S1768" s="14">
        <f>IFERROR(__xludf.DUMMYFUNCTION("""COMPUTED_VALUE"""),57.0)</f>
        <v>57</v>
      </c>
      <c r="T1768" s="14">
        <f>IFERROR(__xludf.DUMMYFUNCTION("""COMPUTED_VALUE"""),0.499)</f>
        <v>0.499</v>
      </c>
      <c r="U1768" s="14">
        <f>IFERROR(__xludf.DUMMYFUNCTION("""COMPUTED_VALUE"""),0.475)</f>
        <v>0.475</v>
      </c>
      <c r="V1768" s="14">
        <f>IFERROR(__xludf.DUMMYFUNCTION("""COMPUTED_VALUE"""),0.026)</f>
        <v>0.026</v>
      </c>
      <c r="W1768" s="14">
        <f>IFERROR(__xludf.DUMMYFUNCTION("""COMPUTED_VALUE"""),1.6511462E7)</f>
        <v>16511462</v>
      </c>
      <c r="X1768" s="14">
        <f>IFERROR(__xludf.DUMMYFUNCTION("""COMPUTED_VALUE"""),0.178)</f>
        <v>0.178</v>
      </c>
      <c r="Y1768" s="14" t="str">
        <f>IFERROR(__xludf.DUMMYFUNCTION("""COMPUTED_VALUE"""),"Niger-Africa")</f>
        <v>Niger-Africa</v>
      </c>
      <c r="Z1768" s="14" t="str">
        <f>IFERROR(__xludf.DUMMYFUNCTION("""COMPUTED_VALUE"""),"Africa")</f>
        <v>Africa</v>
      </c>
      <c r="AA1768" s="14" t="str">
        <f>IFERROR(__xludf.DUMMYFUNCTION("""COMPUTED_VALUE"""),"2011")</f>
        <v>2011</v>
      </c>
      <c r="AB1768" s="15" t="str">
        <f>IFERROR(__xludf.DUMMYFUNCTION("ARRAYFORMULA(VLOOKUP(A1768,IMPORTRANGE(""https://docs.google.com/spreadsheets/d/1BuTWp7qHGjWhqrnf-OmePP568O4A5Am9ttzvVdP67zw/edit#gid=1931367683"" ,""ENERGY!$A$2:$F$2692""), {2,3,4,5,6},0))"),"Africa")</f>
        <v>Africa</v>
      </c>
      <c r="AC1768" s="14" t="str">
        <f>IFERROR(__xludf.DUMMYFUNCTION("""COMPUTED_VALUE"""),"Niger-Africa")</f>
        <v>Niger-Africa</v>
      </c>
      <c r="AD1768" s="14" t="str">
        <f>IFERROR(__xludf.DUMMYFUNCTION("""COMPUTED_VALUE"""),"2006")</f>
        <v>2006</v>
      </c>
      <c r="AE1768" s="14"/>
      <c r="AF1768" s="14">
        <f>IFERROR(__xludf.DUMMYFUNCTION("""COMPUTED_VALUE"""),759.0)</f>
        <v>759</v>
      </c>
    </row>
    <row r="1769">
      <c r="A1769" s="12">
        <v>1768.0</v>
      </c>
      <c r="B1769" s="12" t="s">
        <v>214</v>
      </c>
      <c r="C1769" s="5" t="s">
        <v>77</v>
      </c>
      <c r="D1769" s="11">
        <v>0.438</v>
      </c>
      <c r="E1769" s="11">
        <v>17.0</v>
      </c>
      <c r="F1769" s="11">
        <v>174.0</v>
      </c>
      <c r="G1769" s="11">
        <v>270.0</v>
      </c>
      <c r="H1769" s="11">
        <v>0.014</v>
      </c>
      <c r="I1769" s="11">
        <v>0.314</v>
      </c>
      <c r="J1769" s="9" t="s">
        <v>73</v>
      </c>
      <c r="K1769" s="14" t="str">
        <f>IFERROR(__xludf.DUMMYFUNCTION("ARRAYFORMULA(VLOOKUP(A1769,IMPORTRANGE(""https://docs.google.com/spreadsheets/d/1BuTWp7qHGjWhqrnf-OmePP568O4A5Am9ttzvVdP67zw/edit#gid=1603210130"", ""TOURISM!$A$2:$F$2692""), {2,3,4,5,6},0))"),"Africa")</f>
        <v>Africa</v>
      </c>
      <c r="L1769" s="14"/>
      <c r="M1769" s="14" t="str">
        <f>IFERROR(__xludf.DUMMYFUNCTION("""COMPUTED_VALUE"""),"Niger-Africa")</f>
        <v>Niger-Africa</v>
      </c>
      <c r="N1769" s="14" t="str">
        <f>IFERROR(__xludf.DUMMYFUNCTION("""COMPUTED_VALUE"""),"2012")</f>
        <v>2012</v>
      </c>
      <c r="O1769" s="14"/>
      <c r="P1769" s="15">
        <f>IFERROR(__xludf.DUMMYFUNCTION("ARRAYFORMULA(VLOOKUP(A1769,IMPORTRANGE(""https://docs.google.com/spreadsheets/d/1BuTWp7qHGjWhqrnf-OmePP568O4A5Am9ttzvVdP67zw/edit#gid=771602874"" ,""HUMAN RESOURCES!$A$2:$M$2692""), {2,3,4,5,6,7,8,9,10,11,12,13},0))"),0.05)</f>
        <v>0.05</v>
      </c>
      <c r="Q1769" s="14">
        <f>IFERROR(__xludf.DUMMYFUNCTION("""COMPUTED_VALUE"""),0.062)</f>
        <v>0.062</v>
      </c>
      <c r="R1769" s="14">
        <f>IFERROR(__xludf.DUMMYFUNCTION("""COMPUTED_VALUE"""),58.0)</f>
        <v>58</v>
      </c>
      <c r="S1769" s="14">
        <f>IFERROR(__xludf.DUMMYFUNCTION("""COMPUTED_VALUE"""),58.0)</f>
        <v>58</v>
      </c>
      <c r="T1769" s="14">
        <f>IFERROR(__xludf.DUMMYFUNCTION("""COMPUTED_VALUE"""),0.5)</f>
        <v>0.5</v>
      </c>
      <c r="U1769" s="14">
        <f>IFERROR(__xludf.DUMMYFUNCTION("""COMPUTED_VALUE"""),0.474)</f>
        <v>0.474</v>
      </c>
      <c r="V1769" s="14">
        <f>IFERROR(__xludf.DUMMYFUNCTION("""COMPUTED_VALUE"""),0.026)</f>
        <v>0.026</v>
      </c>
      <c r="W1769" s="14">
        <f>IFERROR(__xludf.DUMMYFUNCTION("""COMPUTED_VALUE"""),1.7157042E7)</f>
        <v>17157042</v>
      </c>
      <c r="X1769" s="14">
        <f>IFERROR(__xludf.DUMMYFUNCTION("""COMPUTED_VALUE"""),0.18)</f>
        <v>0.18</v>
      </c>
      <c r="Y1769" s="14" t="str">
        <f>IFERROR(__xludf.DUMMYFUNCTION("""COMPUTED_VALUE"""),"Niger-Africa")</f>
        <v>Niger-Africa</v>
      </c>
      <c r="Z1769" s="14" t="str">
        <f>IFERROR(__xludf.DUMMYFUNCTION("""COMPUTED_VALUE"""),"Africa")</f>
        <v>Africa</v>
      </c>
      <c r="AA1769" s="14" t="str">
        <f>IFERROR(__xludf.DUMMYFUNCTION("""COMPUTED_VALUE"""),"2012")</f>
        <v>2012</v>
      </c>
      <c r="AB1769" s="15" t="str">
        <f>IFERROR(__xludf.DUMMYFUNCTION("ARRAYFORMULA(VLOOKUP(A1769,IMPORTRANGE(""https://docs.google.com/spreadsheets/d/1BuTWp7qHGjWhqrnf-OmePP568O4A5Am9ttzvVdP67zw/edit#gid=1931367683"" ,""ENERGY!$A$2:$F$2692""), {2,3,4,5,6},0))"),"Africa")</f>
        <v>Africa</v>
      </c>
      <c r="AC1769" s="14" t="str">
        <f>IFERROR(__xludf.DUMMYFUNCTION("""COMPUTED_VALUE"""),"Niger-Africa")</f>
        <v>Niger-Africa</v>
      </c>
      <c r="AD1769" s="14" t="str">
        <f>IFERROR(__xludf.DUMMYFUNCTION("""COMPUTED_VALUE"""),"2011")</f>
        <v>2011</v>
      </c>
      <c r="AE1769" s="14"/>
      <c r="AF1769" s="14">
        <f>IFERROR(__xludf.DUMMYFUNCTION("""COMPUTED_VALUE"""),796.0)</f>
        <v>796</v>
      </c>
    </row>
    <row r="1770">
      <c r="A1770" s="12">
        <v>1769.0</v>
      </c>
      <c r="B1770" s="12" t="s">
        <v>215</v>
      </c>
      <c r="C1770" s="5" t="s">
        <v>77</v>
      </c>
      <c r="D1770" s="8"/>
      <c r="E1770" s="8"/>
      <c r="F1770" s="8"/>
      <c r="G1770" s="8"/>
      <c r="H1770" s="11">
        <v>0.001</v>
      </c>
      <c r="I1770" s="11">
        <v>0.0</v>
      </c>
      <c r="J1770" s="9" t="s">
        <v>60</v>
      </c>
      <c r="K1770" s="14" t="str">
        <f>IFERROR(__xludf.DUMMYFUNCTION("ARRAYFORMULA(VLOOKUP(A1770,IMPORTRANGE(""https://docs.google.com/spreadsheets/d/1BuTWp7qHGjWhqrnf-OmePP568O4A5Am9ttzvVdP67zw/edit#gid=1603210130"", ""TOURISM!$A$2:$F$2692""), {2,3,4,5,6},0))"),"Africa")</f>
        <v>Africa</v>
      </c>
      <c r="L1770" s="14">
        <f>IFERROR(__xludf.DUMMYFUNCTION("""COMPUTED_VALUE"""),1.86E8)</f>
        <v>186000000</v>
      </c>
      <c r="M1770" s="14" t="str">
        <f>IFERROR(__xludf.DUMMYFUNCTION("""COMPUTED_VALUE"""),"Nigeria-Africa")</f>
        <v>Nigeria-Africa</v>
      </c>
      <c r="N1770" s="14" t="str">
        <f>IFERROR(__xludf.DUMMYFUNCTION("""COMPUTED_VALUE"""),"2000")</f>
        <v>2000</v>
      </c>
      <c r="O1770" s="14">
        <f>IFERROR(__xludf.DUMMYFUNCTION("""COMPUTED_VALUE"""),6.1E8)</f>
        <v>610000000</v>
      </c>
      <c r="P1770" s="15">
        <f>IFERROR(__xludf.DUMMYFUNCTION("ARRAYFORMULA(VLOOKUP(A1770,IMPORTRANGE(""https://docs.google.com/spreadsheets/d/1BuTWp7qHGjWhqrnf-OmePP568O4A5Am9ttzvVdP67zw/edit#gid=771602874"" ,""HUMAN RESOURCES!$A$2:$M$2692""), {2,3,4,5,6,7,8,9,10,11,12,13},0))"),0.043)</f>
        <v>0.043</v>
      </c>
      <c r="Q1770" s="14">
        <f>IFERROR(__xludf.DUMMYFUNCTION("""COMPUTED_VALUE"""),0.113)</f>
        <v>0.113</v>
      </c>
      <c r="R1770" s="14">
        <f>IFERROR(__xludf.DUMMYFUNCTION("""COMPUTED_VALUE"""),47.0)</f>
        <v>47</v>
      </c>
      <c r="S1770" s="14">
        <f>IFERROR(__xludf.DUMMYFUNCTION("""COMPUTED_VALUE"""),46.0)</f>
        <v>46</v>
      </c>
      <c r="T1770" s="14">
        <f>IFERROR(__xludf.DUMMYFUNCTION("""COMPUTED_VALUE"""),0.435)</f>
        <v>0.435</v>
      </c>
      <c r="U1770" s="14">
        <f>IFERROR(__xludf.DUMMYFUNCTION("""COMPUTED_VALUE"""),0.537)</f>
        <v>0.537</v>
      </c>
      <c r="V1770" s="14">
        <f>IFERROR(__xludf.DUMMYFUNCTION("""COMPUTED_VALUE"""),0.028)</f>
        <v>0.028</v>
      </c>
      <c r="W1770" s="14">
        <f>IFERROR(__xludf.DUMMYFUNCTION("""COMPUTED_VALUE"""),1.22876727E8)</f>
        <v>122876727</v>
      </c>
      <c r="X1770" s="14">
        <f>IFERROR(__xludf.DUMMYFUNCTION("""COMPUTED_VALUE"""),0.348)</f>
        <v>0.348</v>
      </c>
      <c r="Y1770" s="14" t="str">
        <f>IFERROR(__xludf.DUMMYFUNCTION("""COMPUTED_VALUE"""),"Nigeria-Africa")</f>
        <v>Nigeria-Africa</v>
      </c>
      <c r="Z1770" s="14" t="str">
        <f>IFERROR(__xludf.DUMMYFUNCTION("""COMPUTED_VALUE"""),"Africa")</f>
        <v>Africa</v>
      </c>
      <c r="AA1770" s="14" t="str">
        <f>IFERROR(__xludf.DUMMYFUNCTION("""COMPUTED_VALUE"""),"2000")</f>
        <v>2000</v>
      </c>
      <c r="AB1770" s="15" t="str">
        <f>IFERROR(__xludf.DUMMYFUNCTION("ARRAYFORMULA(VLOOKUP(A1770,IMPORTRANGE(""https://docs.google.com/spreadsheets/d/1BuTWp7qHGjWhqrnf-OmePP568O4A5Am9ttzvVdP67zw/edit#gid=1931367683"" ,""ENERGY!$A$2:$F$2692""), {2,3,4,5,6},0))"),"Africa")</f>
        <v>Africa</v>
      </c>
      <c r="AC1770" s="14" t="str">
        <f>IFERROR(__xludf.DUMMYFUNCTION("""COMPUTED_VALUE"""),"Nigeria-Africa")</f>
        <v>Nigeria-Africa</v>
      </c>
      <c r="AD1770" s="14" t="str">
        <f>IFERROR(__xludf.DUMMYFUNCTION("""COMPUTED_VALUE"""),"2000")</f>
        <v>2000</v>
      </c>
      <c r="AE1770" s="14"/>
      <c r="AF1770" s="14"/>
    </row>
    <row r="1771">
      <c r="A1771" s="12">
        <v>1770.0</v>
      </c>
      <c r="B1771" s="12" t="s">
        <v>215</v>
      </c>
      <c r="C1771" s="5" t="s">
        <v>77</v>
      </c>
      <c r="D1771" s="8"/>
      <c r="E1771" s="8"/>
      <c r="F1771" s="8"/>
      <c r="G1771" s="8"/>
      <c r="H1771" s="11">
        <v>0.001</v>
      </c>
      <c r="I1771" s="11">
        <v>0.002</v>
      </c>
      <c r="J1771" s="9" t="s">
        <v>62</v>
      </c>
      <c r="K1771" s="14" t="str">
        <f>IFERROR(__xludf.DUMMYFUNCTION("ARRAYFORMULA(VLOOKUP(A1771,IMPORTRANGE(""https://docs.google.com/spreadsheets/d/1BuTWp7qHGjWhqrnf-OmePP568O4A5Am9ttzvVdP67zw/edit#gid=1603210130"", ""TOURISM!$A$2:$F$2692""), {2,3,4,5,6},0))"),"Africa")</f>
        <v>Africa</v>
      </c>
      <c r="L1771" s="14">
        <f>IFERROR(__xludf.DUMMYFUNCTION("""COMPUTED_VALUE"""),1.68E8)</f>
        <v>168000000</v>
      </c>
      <c r="M1771" s="14" t="str">
        <f>IFERROR(__xludf.DUMMYFUNCTION("""COMPUTED_VALUE"""),"Nigeria-Africa")</f>
        <v>Nigeria-Africa</v>
      </c>
      <c r="N1771" s="14" t="str">
        <f>IFERROR(__xludf.DUMMYFUNCTION("""COMPUTED_VALUE"""),"2001")</f>
        <v>2001</v>
      </c>
      <c r="O1771" s="14">
        <f>IFERROR(__xludf.DUMMYFUNCTION("""COMPUTED_VALUE"""),8.58E8)</f>
        <v>858000000</v>
      </c>
      <c r="P1771" s="15">
        <f>IFERROR(__xludf.DUMMYFUNCTION("ARRAYFORMULA(VLOOKUP(A1771,IMPORTRANGE(""https://docs.google.com/spreadsheets/d/1BuTWp7qHGjWhqrnf-OmePP568O4A5Am9ttzvVdP67zw/edit#gid=771602874"" ,""HUMAN RESOURCES!$A$2:$M$2692""), {2,3,4,5,6,7,8,9,10,11,12,13},0))"),0.043)</f>
        <v>0.043</v>
      </c>
      <c r="Q1771" s="14">
        <f>IFERROR(__xludf.DUMMYFUNCTION("""COMPUTED_VALUE"""),0.11)</f>
        <v>0.11</v>
      </c>
      <c r="R1771" s="14">
        <f>IFERROR(__xludf.DUMMYFUNCTION("""COMPUTED_VALUE"""),47.0)</f>
        <v>47</v>
      </c>
      <c r="S1771" s="14">
        <f>IFERROR(__xludf.DUMMYFUNCTION("""COMPUTED_VALUE"""),46.0)</f>
        <v>46</v>
      </c>
      <c r="T1771" s="14">
        <f>IFERROR(__xludf.DUMMYFUNCTION("""COMPUTED_VALUE"""),0.435)</f>
        <v>0.435</v>
      </c>
      <c r="U1771" s="14">
        <f>IFERROR(__xludf.DUMMYFUNCTION("""COMPUTED_VALUE"""),0.538)</f>
        <v>0.538</v>
      </c>
      <c r="V1771" s="14">
        <f>IFERROR(__xludf.DUMMYFUNCTION("""COMPUTED_VALUE"""),0.028)</f>
        <v>0.028</v>
      </c>
      <c r="W1771" s="14">
        <f>IFERROR(__xludf.DUMMYFUNCTION("""COMPUTED_VALUE"""),1.26004992E8)</f>
        <v>126004992</v>
      </c>
      <c r="X1771" s="14">
        <f>IFERROR(__xludf.DUMMYFUNCTION("""COMPUTED_VALUE"""),0.357)</f>
        <v>0.357</v>
      </c>
      <c r="Y1771" s="14" t="str">
        <f>IFERROR(__xludf.DUMMYFUNCTION("""COMPUTED_VALUE"""),"Nigeria-Africa")</f>
        <v>Nigeria-Africa</v>
      </c>
      <c r="Z1771" s="14" t="str">
        <f>IFERROR(__xludf.DUMMYFUNCTION("""COMPUTED_VALUE"""),"Africa")</f>
        <v>Africa</v>
      </c>
      <c r="AA1771" s="14" t="str">
        <f>IFERROR(__xludf.DUMMYFUNCTION("""COMPUTED_VALUE"""),"2001")</f>
        <v>2001</v>
      </c>
      <c r="AB1771" s="15" t="str">
        <f>IFERROR(__xludf.DUMMYFUNCTION("ARRAYFORMULA(VLOOKUP(A1771,IMPORTRANGE(""https://docs.google.com/spreadsheets/d/1BuTWp7qHGjWhqrnf-OmePP568O4A5Am9ttzvVdP67zw/edit#gid=1931367683"" ,""ENERGY!$A$2:$F$2692""), {2,3,4,5,6},0))"),"Africa")</f>
        <v>Africa</v>
      </c>
      <c r="AC1771" s="14" t="str">
        <f>IFERROR(__xludf.DUMMYFUNCTION("""COMPUTED_VALUE"""),"Nigeria-Africa")</f>
        <v>Nigeria-Africa</v>
      </c>
      <c r="AD1771" s="14" t="str">
        <f>IFERROR(__xludf.DUMMYFUNCTION("""COMPUTED_VALUE"""),"2001")</f>
        <v>2001</v>
      </c>
      <c r="AE1771" s="14">
        <f>IFERROR(__xludf.DUMMYFUNCTION("""COMPUTED_VALUE"""),118325.0)</f>
        <v>118325</v>
      </c>
      <c r="AF1771" s="14"/>
    </row>
    <row r="1772">
      <c r="A1772" s="12">
        <v>1771.0</v>
      </c>
      <c r="B1772" s="12" t="s">
        <v>215</v>
      </c>
      <c r="C1772" s="5" t="s">
        <v>77</v>
      </c>
      <c r="D1772" s="8"/>
      <c r="E1772" s="8"/>
      <c r="F1772" s="8"/>
      <c r="G1772" s="8"/>
      <c r="H1772" s="11">
        <v>0.003</v>
      </c>
      <c r="I1772" s="11">
        <v>0.012</v>
      </c>
      <c r="J1772" s="9" t="s">
        <v>63</v>
      </c>
      <c r="K1772" s="14" t="str">
        <f>IFERROR(__xludf.DUMMYFUNCTION("ARRAYFORMULA(VLOOKUP(A1772,IMPORTRANGE(""https://docs.google.com/spreadsheets/d/1BuTWp7qHGjWhqrnf-OmePP568O4A5Am9ttzvVdP67zw/edit#gid=1603210130"", ""TOURISM!$A$2:$F$2692""), {2,3,4,5,6},0))"),"Africa")</f>
        <v>Africa</v>
      </c>
      <c r="L1772" s="14">
        <f>IFERROR(__xludf.DUMMYFUNCTION("""COMPUTED_VALUE"""),2.56E8)</f>
        <v>256000000</v>
      </c>
      <c r="M1772" s="14" t="str">
        <f>IFERROR(__xludf.DUMMYFUNCTION("""COMPUTED_VALUE"""),"Nigeria-Africa")</f>
        <v>Nigeria-Africa</v>
      </c>
      <c r="N1772" s="14" t="str">
        <f>IFERROR(__xludf.DUMMYFUNCTION("""COMPUTED_VALUE"""),"2002")</f>
        <v>2002</v>
      </c>
      <c r="O1772" s="14">
        <f>IFERROR(__xludf.DUMMYFUNCTION("""COMPUTED_VALUE"""),9.1E8)</f>
        <v>910000000</v>
      </c>
      <c r="P1772" s="15">
        <f>IFERROR(__xludf.DUMMYFUNCTION("ARRAYFORMULA(VLOOKUP(A1772,IMPORTRANGE(""https://docs.google.com/spreadsheets/d/1BuTWp7qHGjWhqrnf-OmePP568O4A5Am9ttzvVdP67zw/edit#gid=771602874"" ,""HUMAN RESOURCES!$A$2:$M$2692""), {2,3,4,5,6,7,8,9,10,11,12,13},0))"),0.043)</f>
        <v>0.043</v>
      </c>
      <c r="Q1772" s="14">
        <f>IFERROR(__xludf.DUMMYFUNCTION("""COMPUTED_VALUE"""),0.106)</f>
        <v>0.106</v>
      </c>
      <c r="R1772" s="14">
        <f>IFERROR(__xludf.DUMMYFUNCTION("""COMPUTED_VALUE"""),48.0)</f>
        <v>48</v>
      </c>
      <c r="S1772" s="14">
        <f>IFERROR(__xludf.DUMMYFUNCTION("""COMPUTED_VALUE"""),47.0)</f>
        <v>47</v>
      </c>
      <c r="T1772" s="14">
        <f>IFERROR(__xludf.DUMMYFUNCTION("""COMPUTED_VALUE"""),0.434)</f>
        <v>0.434</v>
      </c>
      <c r="U1772" s="14">
        <f>IFERROR(__xludf.DUMMYFUNCTION("""COMPUTED_VALUE"""),0.538)</f>
        <v>0.538</v>
      </c>
      <c r="V1772" s="14">
        <f>IFERROR(__xludf.DUMMYFUNCTION("""COMPUTED_VALUE"""),0.028)</f>
        <v>0.028</v>
      </c>
      <c r="W1772" s="14">
        <f>IFERROR(__xludf.DUMMYFUNCTION("""COMPUTED_VALUE"""),1.29224641E8)</f>
        <v>129224641</v>
      </c>
      <c r="X1772" s="14">
        <f>IFERROR(__xludf.DUMMYFUNCTION("""COMPUTED_VALUE"""),0.365)</f>
        <v>0.365</v>
      </c>
      <c r="Y1772" s="14" t="str">
        <f>IFERROR(__xludf.DUMMYFUNCTION("""COMPUTED_VALUE"""),"Nigeria-Africa")</f>
        <v>Nigeria-Africa</v>
      </c>
      <c r="Z1772" s="14" t="str">
        <f>IFERROR(__xludf.DUMMYFUNCTION("""COMPUTED_VALUE"""),"Africa")</f>
        <v>Africa</v>
      </c>
      <c r="AA1772" s="14" t="str">
        <f>IFERROR(__xludf.DUMMYFUNCTION("""COMPUTED_VALUE"""),"2002")</f>
        <v>2002</v>
      </c>
      <c r="AB1772" s="15" t="str">
        <f>IFERROR(__xludf.DUMMYFUNCTION("ARRAYFORMULA(VLOOKUP(A1772,IMPORTRANGE(""https://docs.google.com/spreadsheets/d/1BuTWp7qHGjWhqrnf-OmePP568O4A5Am9ttzvVdP67zw/edit#gid=1931367683"" ,""ENERGY!$A$2:$F$2692""), {2,3,4,5,6},0))"),"Africa")</f>
        <v>Africa</v>
      </c>
      <c r="AC1772" s="14" t="str">
        <f>IFERROR(__xludf.DUMMYFUNCTION("""COMPUTED_VALUE"""),"Nigeria-Africa")</f>
        <v>Nigeria-Africa</v>
      </c>
      <c r="AD1772" s="14" t="str">
        <f>IFERROR(__xludf.DUMMYFUNCTION("""COMPUTED_VALUE"""),"2002")</f>
        <v>2002</v>
      </c>
      <c r="AE1772" s="14">
        <f>IFERROR(__xludf.DUMMYFUNCTION("""COMPUTED_VALUE"""),115138.0)</f>
        <v>115138</v>
      </c>
      <c r="AF1772" s="14">
        <f>IFERROR(__xludf.DUMMYFUNCTION("""COMPUTED_VALUE"""),78910.0)</f>
        <v>78910</v>
      </c>
    </row>
    <row r="1773">
      <c r="A1773" s="12">
        <v>1772.0</v>
      </c>
      <c r="B1773" s="12" t="s">
        <v>215</v>
      </c>
      <c r="C1773" s="5" t="s">
        <v>77</v>
      </c>
      <c r="D1773" s="8"/>
      <c r="E1773" s="11">
        <v>36.0</v>
      </c>
      <c r="F1773" s="8"/>
      <c r="G1773" s="8"/>
      <c r="H1773" s="11">
        <v>0.006</v>
      </c>
      <c r="I1773" s="11">
        <v>0.024</v>
      </c>
      <c r="J1773" s="9" t="s">
        <v>64</v>
      </c>
      <c r="K1773" s="14" t="str">
        <f>IFERROR(__xludf.DUMMYFUNCTION("ARRAYFORMULA(VLOOKUP(A1773,IMPORTRANGE(""https://docs.google.com/spreadsheets/d/1BuTWp7qHGjWhqrnf-OmePP568O4A5Am9ttzvVdP67zw/edit#gid=1603210130"", ""TOURISM!$A$2:$F$2692""), {2,3,4,5,6},0))"),"Africa")</f>
        <v>Africa</v>
      </c>
      <c r="L1773" s="14">
        <f>IFERROR(__xludf.DUMMYFUNCTION("""COMPUTED_VALUE"""),5.8E7)</f>
        <v>58000000</v>
      </c>
      <c r="M1773" s="14" t="str">
        <f>IFERROR(__xludf.DUMMYFUNCTION("""COMPUTED_VALUE"""),"Nigeria-Africa")</f>
        <v>Nigeria-Africa</v>
      </c>
      <c r="N1773" s="14" t="str">
        <f>IFERROR(__xludf.DUMMYFUNCTION("""COMPUTED_VALUE"""),"2003")</f>
        <v>2003</v>
      </c>
      <c r="O1773" s="14">
        <f>IFERROR(__xludf.DUMMYFUNCTION("""COMPUTED_VALUE"""),2.076E9)</f>
        <v>2076000000</v>
      </c>
      <c r="P1773" s="15">
        <f>IFERROR(__xludf.DUMMYFUNCTION("ARRAYFORMULA(VLOOKUP(A1773,IMPORTRANGE(""https://docs.google.com/spreadsheets/d/1BuTWp7qHGjWhqrnf-OmePP568O4A5Am9ttzvVdP67zw/edit#gid=771602874"" ,""HUMAN RESOURCES!$A$2:$M$2692""), {2,3,4,5,6,7,8,9,10,11,12,13},0))"),0.043)</f>
        <v>0.043</v>
      </c>
      <c r="Q1773" s="14">
        <f>IFERROR(__xludf.DUMMYFUNCTION("""COMPUTED_VALUE"""),0.103)</f>
        <v>0.103</v>
      </c>
      <c r="R1773" s="14">
        <f>IFERROR(__xludf.DUMMYFUNCTION("""COMPUTED_VALUE"""),48.0)</f>
        <v>48</v>
      </c>
      <c r="S1773" s="14">
        <f>IFERROR(__xludf.DUMMYFUNCTION("""COMPUTED_VALUE"""),47.0)</f>
        <v>47</v>
      </c>
      <c r="T1773" s="14">
        <f>IFERROR(__xludf.DUMMYFUNCTION("""COMPUTED_VALUE"""),0.435)</f>
        <v>0.435</v>
      </c>
      <c r="U1773" s="14">
        <f>IFERROR(__xludf.DUMMYFUNCTION("""COMPUTED_VALUE"""),0.538)</f>
        <v>0.538</v>
      </c>
      <c r="V1773" s="14">
        <f>IFERROR(__xludf.DUMMYFUNCTION("""COMPUTED_VALUE"""),0.028)</f>
        <v>0.028</v>
      </c>
      <c r="W1773" s="14">
        <f>IFERROR(__xludf.DUMMYFUNCTION("""COMPUTED_VALUE"""),1.32550146E8)</f>
        <v>132550146</v>
      </c>
      <c r="X1773" s="14">
        <f>IFERROR(__xludf.DUMMYFUNCTION("""COMPUTED_VALUE"""),0.374)</f>
        <v>0.374</v>
      </c>
      <c r="Y1773" s="14" t="str">
        <f>IFERROR(__xludf.DUMMYFUNCTION("""COMPUTED_VALUE"""),"Nigeria-Africa")</f>
        <v>Nigeria-Africa</v>
      </c>
      <c r="Z1773" s="14" t="str">
        <f>IFERROR(__xludf.DUMMYFUNCTION("""COMPUTED_VALUE"""),"Africa")</f>
        <v>Africa</v>
      </c>
      <c r="AA1773" s="14" t="str">
        <f>IFERROR(__xludf.DUMMYFUNCTION("""COMPUTED_VALUE"""),"2003")</f>
        <v>2003</v>
      </c>
      <c r="AB1773" s="15" t="str">
        <f>IFERROR(__xludf.DUMMYFUNCTION("ARRAYFORMULA(VLOOKUP(A1773,IMPORTRANGE(""https://docs.google.com/spreadsheets/d/1BuTWp7qHGjWhqrnf-OmePP568O4A5Am9ttzvVdP67zw/edit#gid=1931367683"" ,""ENERGY!$A$2:$F$2692""), {2,3,4,5,6},0))"),"Africa")</f>
        <v>Africa</v>
      </c>
      <c r="AC1773" s="14" t="str">
        <f>IFERROR(__xludf.DUMMYFUNCTION("""COMPUTED_VALUE"""),"Nigeria-Africa")</f>
        <v>Nigeria-Africa</v>
      </c>
      <c r="AD1773" s="14" t="str">
        <f>IFERROR(__xludf.DUMMYFUNCTION("""COMPUTED_VALUE"""),"2003")</f>
        <v>2003</v>
      </c>
      <c r="AE1773" s="14">
        <f>IFERROR(__xludf.DUMMYFUNCTION("""COMPUTED_VALUE"""),109255.0)</f>
        <v>109255</v>
      </c>
      <c r="AF1773" s="14">
        <f>IFERROR(__xludf.DUMMYFUNCTION("""COMPUTED_VALUE"""),71719.0)</f>
        <v>71719</v>
      </c>
    </row>
    <row r="1774">
      <c r="A1774" s="12">
        <v>1773.0</v>
      </c>
      <c r="B1774" s="12" t="s">
        <v>215</v>
      </c>
      <c r="C1774" s="5" t="s">
        <v>77</v>
      </c>
      <c r="D1774" s="8"/>
      <c r="E1774" s="11">
        <v>36.0</v>
      </c>
      <c r="F1774" s="8"/>
      <c r="G1774" s="8"/>
      <c r="H1774" s="11">
        <v>0.013</v>
      </c>
      <c r="I1774" s="11">
        <v>0.067</v>
      </c>
      <c r="J1774" s="9" t="s">
        <v>65</v>
      </c>
      <c r="K1774" s="14" t="str">
        <f>IFERROR(__xludf.DUMMYFUNCTION("ARRAYFORMULA(VLOOKUP(A1774,IMPORTRANGE(""https://docs.google.com/spreadsheets/d/1BuTWp7qHGjWhqrnf-OmePP568O4A5Am9ttzvVdP67zw/edit#gid=1603210130"", ""TOURISM!$A$2:$F$2692""), {2,3,4,5,6},0))"),"Africa")</f>
        <v>Africa</v>
      </c>
      <c r="L1774" s="14">
        <f>IFERROR(__xludf.DUMMYFUNCTION("""COMPUTED_VALUE"""),4.9E7)</f>
        <v>49000000</v>
      </c>
      <c r="M1774" s="14" t="str">
        <f>IFERROR(__xludf.DUMMYFUNCTION("""COMPUTED_VALUE"""),"Nigeria-Africa")</f>
        <v>Nigeria-Africa</v>
      </c>
      <c r="N1774" s="14" t="str">
        <f>IFERROR(__xludf.DUMMYFUNCTION("""COMPUTED_VALUE"""),"2004")</f>
        <v>2004</v>
      </c>
      <c r="O1774" s="14"/>
      <c r="P1774" s="15">
        <f>IFERROR(__xludf.DUMMYFUNCTION("ARRAYFORMULA(VLOOKUP(A1774,IMPORTRANGE(""https://docs.google.com/spreadsheets/d/1BuTWp7qHGjWhqrnf-OmePP568O4A5Am9ttzvVdP67zw/edit#gid=771602874"" ,""HUMAN RESOURCES!$A$2:$M$2692""), {2,3,4,5,6,7,8,9,10,11,12,13},0))"),0.043)</f>
        <v>0.043</v>
      </c>
      <c r="Q1774" s="14">
        <f>IFERROR(__xludf.DUMMYFUNCTION("""COMPUTED_VALUE"""),0.1)</f>
        <v>0.1</v>
      </c>
      <c r="R1774" s="14">
        <f>IFERROR(__xludf.DUMMYFUNCTION("""COMPUTED_VALUE"""),49.0)</f>
        <v>49</v>
      </c>
      <c r="S1774" s="14">
        <f>IFERROR(__xludf.DUMMYFUNCTION("""COMPUTED_VALUE"""),48.0)</f>
        <v>48</v>
      </c>
      <c r="T1774" s="14">
        <f>IFERROR(__xludf.DUMMYFUNCTION("""COMPUTED_VALUE"""),0.435)</f>
        <v>0.435</v>
      </c>
      <c r="U1774" s="14">
        <f>IFERROR(__xludf.DUMMYFUNCTION("""COMPUTED_VALUE"""),0.538)</f>
        <v>0.538</v>
      </c>
      <c r="V1774" s="14">
        <f>IFERROR(__xludf.DUMMYFUNCTION("""COMPUTED_VALUE"""),0.027)</f>
        <v>0.027</v>
      </c>
      <c r="W1774" s="14">
        <f>IFERROR(__xludf.DUMMYFUNCTION("""COMPUTED_VALUE"""),1.3599925E8)</f>
        <v>135999250</v>
      </c>
      <c r="X1774" s="14">
        <f>IFERROR(__xludf.DUMMYFUNCTION("""COMPUTED_VALUE"""),0.382)</f>
        <v>0.382</v>
      </c>
      <c r="Y1774" s="14" t="str">
        <f>IFERROR(__xludf.DUMMYFUNCTION("""COMPUTED_VALUE"""),"Nigeria-Africa")</f>
        <v>Nigeria-Africa</v>
      </c>
      <c r="Z1774" s="14" t="str">
        <f>IFERROR(__xludf.DUMMYFUNCTION("""COMPUTED_VALUE"""),"Africa")</f>
        <v>Africa</v>
      </c>
      <c r="AA1774" s="14" t="str">
        <f>IFERROR(__xludf.DUMMYFUNCTION("""COMPUTED_VALUE"""),"2004")</f>
        <v>2004</v>
      </c>
      <c r="AB1774" s="15" t="str">
        <f>IFERROR(__xludf.DUMMYFUNCTION("ARRAYFORMULA(VLOOKUP(A1774,IMPORTRANGE(""https://docs.google.com/spreadsheets/d/1BuTWp7qHGjWhqrnf-OmePP568O4A5Am9ttzvVdP67zw/edit#gid=1931367683"" ,""ENERGY!$A$2:$F$2692""), {2,3,4,5,6},0))"),"Africa")</f>
        <v>Africa</v>
      </c>
      <c r="AC1774" s="14" t="str">
        <f>IFERROR(__xludf.DUMMYFUNCTION("""COMPUTED_VALUE"""),"Nigeria-Africa")</f>
        <v>Nigeria-Africa</v>
      </c>
      <c r="AD1774" s="14" t="str">
        <f>IFERROR(__xludf.DUMMYFUNCTION("""COMPUTED_VALUE"""),"2004")</f>
        <v>2004</v>
      </c>
      <c r="AE1774" s="14">
        <f>IFERROR(__xludf.DUMMYFUNCTION("""COMPUTED_VALUE"""),111225.0)</f>
        <v>111225</v>
      </c>
      <c r="AF1774" s="14">
        <f>IFERROR(__xludf.DUMMYFUNCTION("""COMPUTED_VALUE"""),92621.0)</f>
        <v>92621</v>
      </c>
    </row>
    <row r="1775">
      <c r="A1775" s="12">
        <v>1774.0</v>
      </c>
      <c r="B1775" s="12" t="s">
        <v>215</v>
      </c>
      <c r="C1775" s="5" t="s">
        <v>77</v>
      </c>
      <c r="D1775" s="11">
        <v>0.316</v>
      </c>
      <c r="E1775" s="11">
        <v>35.0</v>
      </c>
      <c r="F1775" s="8"/>
      <c r="G1775" s="11">
        <v>1120.0</v>
      </c>
      <c r="H1775" s="11">
        <v>0.035</v>
      </c>
      <c r="I1775" s="11">
        <v>0.133</v>
      </c>
      <c r="J1775" s="9" t="s">
        <v>66</v>
      </c>
      <c r="K1775" s="14" t="str">
        <f>IFERROR(__xludf.DUMMYFUNCTION("ARRAYFORMULA(VLOOKUP(A1775,IMPORTRANGE(""https://docs.google.com/spreadsheets/d/1BuTWp7qHGjWhqrnf-OmePP568O4A5Am9ttzvVdP67zw/edit#gid=1603210130"", ""TOURISM!$A$2:$F$2692""), {2,3,4,5,6},0))"),"Africa")</f>
        <v>Africa</v>
      </c>
      <c r="L1775" s="14">
        <f>IFERROR(__xludf.DUMMYFUNCTION("""COMPUTED_VALUE"""),1.39E8)</f>
        <v>139000000</v>
      </c>
      <c r="M1775" s="14" t="str">
        <f>IFERROR(__xludf.DUMMYFUNCTION("""COMPUTED_VALUE"""),"Nigeria-Africa")</f>
        <v>Nigeria-Africa</v>
      </c>
      <c r="N1775" s="14" t="str">
        <f>IFERROR(__xludf.DUMMYFUNCTION("""COMPUTED_VALUE"""),"2005")</f>
        <v>2005</v>
      </c>
      <c r="O1775" s="14">
        <f>IFERROR(__xludf.DUMMYFUNCTION("""COMPUTED_VALUE"""),5.01E8)</f>
        <v>501000000</v>
      </c>
      <c r="P1775" s="15">
        <f>IFERROR(__xludf.DUMMYFUNCTION("ARRAYFORMULA(VLOOKUP(A1775,IMPORTRANGE(""https://docs.google.com/spreadsheets/d/1BuTWp7qHGjWhqrnf-OmePP568O4A5Am9ttzvVdP67zw/edit#gid=771602874"" ,""HUMAN RESOURCES!$A$2:$M$2692""), {2,3,4,5,6,7,8,9,10,11,12,13},0))"),0.042)</f>
        <v>0.042</v>
      </c>
      <c r="Q1775" s="14">
        <f>IFERROR(__xludf.DUMMYFUNCTION("""COMPUTED_VALUE"""),0.097)</f>
        <v>0.097</v>
      </c>
      <c r="R1775" s="14">
        <f>IFERROR(__xludf.DUMMYFUNCTION("""COMPUTED_VALUE"""),49.0)</f>
        <v>49</v>
      </c>
      <c r="S1775" s="14">
        <f>IFERROR(__xludf.DUMMYFUNCTION("""COMPUTED_VALUE"""),48.0)</f>
        <v>48</v>
      </c>
      <c r="T1775" s="14">
        <f>IFERROR(__xludf.DUMMYFUNCTION("""COMPUTED_VALUE"""),0.436)</f>
        <v>0.436</v>
      </c>
      <c r="U1775" s="14">
        <f>IFERROR(__xludf.DUMMYFUNCTION("""COMPUTED_VALUE"""),0.537)</f>
        <v>0.537</v>
      </c>
      <c r="V1775" s="14">
        <f>IFERROR(__xludf.DUMMYFUNCTION("""COMPUTED_VALUE"""),0.027)</f>
        <v>0.027</v>
      </c>
      <c r="W1775" s="14">
        <f>IFERROR(__xludf.DUMMYFUNCTION("""COMPUTED_VALUE"""),1.39585891E8)</f>
        <v>139585891</v>
      </c>
      <c r="X1775" s="14">
        <f>IFERROR(__xludf.DUMMYFUNCTION("""COMPUTED_VALUE"""),0.391)</f>
        <v>0.391</v>
      </c>
      <c r="Y1775" s="14" t="str">
        <f>IFERROR(__xludf.DUMMYFUNCTION("""COMPUTED_VALUE"""),"Nigeria-Africa")</f>
        <v>Nigeria-Africa</v>
      </c>
      <c r="Z1775" s="14" t="str">
        <f>IFERROR(__xludf.DUMMYFUNCTION("""COMPUTED_VALUE"""),"Africa")</f>
        <v>Africa</v>
      </c>
      <c r="AA1775" s="14" t="str">
        <f>IFERROR(__xludf.DUMMYFUNCTION("""COMPUTED_VALUE"""),"2005")</f>
        <v>2005</v>
      </c>
      <c r="AB1775" s="15" t="str">
        <f>IFERROR(__xludf.DUMMYFUNCTION("ARRAYFORMULA(VLOOKUP(A1775,IMPORTRANGE(""https://docs.google.com/spreadsheets/d/1BuTWp7qHGjWhqrnf-OmePP568O4A5Am9ttzvVdP67zw/edit#gid=1931367683"" ,""ENERGY!$A$2:$F$2692""), {2,3,4,5,6},0))"),"Africa")</f>
        <v>Africa</v>
      </c>
      <c r="AC1775" s="14" t="str">
        <f>IFERROR(__xludf.DUMMYFUNCTION("""COMPUTED_VALUE"""),"Nigeria-Africa")</f>
        <v>Nigeria-Africa</v>
      </c>
      <c r="AD1775" s="14" t="str">
        <f>IFERROR(__xludf.DUMMYFUNCTION("""COMPUTED_VALUE"""),"2008")</f>
        <v>2008</v>
      </c>
      <c r="AE1775" s="14">
        <f>IFERROR(__xludf.DUMMYFUNCTION("""COMPUTED_VALUE"""),107683.0)</f>
        <v>107683</v>
      </c>
      <c r="AF1775" s="14">
        <f>IFERROR(__xludf.DUMMYFUNCTION("""COMPUTED_VALUE"""),95210.0)</f>
        <v>95210</v>
      </c>
    </row>
    <row r="1776">
      <c r="A1776" s="12">
        <v>1775.0</v>
      </c>
      <c r="B1776" s="12" t="s">
        <v>215</v>
      </c>
      <c r="C1776" s="5" t="s">
        <v>77</v>
      </c>
      <c r="D1776" s="11">
        <v>0.322</v>
      </c>
      <c r="E1776" s="11">
        <v>35.0</v>
      </c>
      <c r="F1776" s="8"/>
      <c r="G1776" s="11">
        <v>1120.0</v>
      </c>
      <c r="H1776" s="11">
        <v>0.055</v>
      </c>
      <c r="I1776" s="11">
        <v>0.226</v>
      </c>
      <c r="J1776" s="9" t="s">
        <v>67</v>
      </c>
      <c r="K1776" s="14" t="str">
        <f>IFERROR(__xludf.DUMMYFUNCTION("ARRAYFORMULA(VLOOKUP(A1776,IMPORTRANGE(""https://docs.google.com/spreadsheets/d/1BuTWp7qHGjWhqrnf-OmePP568O4A5Am9ttzvVdP67zw/edit#gid=1603210130"", ""TOURISM!$A$2:$F$2692""), {2,3,4,5,6},0))"),"Africa")</f>
        <v>Africa</v>
      </c>
      <c r="L1776" s="14">
        <f>IFERROR(__xludf.DUMMYFUNCTION("""COMPUTED_VALUE"""),2.09E8)</f>
        <v>209000000</v>
      </c>
      <c r="M1776" s="14" t="str">
        <f>IFERROR(__xludf.DUMMYFUNCTION("""COMPUTED_VALUE"""),"Nigeria-Africa")</f>
        <v>Nigeria-Africa</v>
      </c>
      <c r="N1776" s="14" t="str">
        <f>IFERROR(__xludf.DUMMYFUNCTION("""COMPUTED_VALUE"""),"2006")</f>
        <v>2006</v>
      </c>
      <c r="O1776" s="14">
        <f>IFERROR(__xludf.DUMMYFUNCTION("""COMPUTED_VALUE"""),3.536E9)</f>
        <v>3536000000</v>
      </c>
      <c r="P1776" s="15">
        <f>IFERROR(__xludf.DUMMYFUNCTION("ARRAYFORMULA(VLOOKUP(A1776,IMPORTRANGE(""https://docs.google.com/spreadsheets/d/1BuTWp7qHGjWhqrnf-OmePP568O4A5Am9ttzvVdP67zw/edit#gid=771602874"" ,""HUMAN RESOURCES!$A$2:$M$2692""), {2,3,4,5,6,7,8,9,10,11,12,13},0))"),0.042)</f>
        <v>0.042</v>
      </c>
      <c r="Q1776" s="14">
        <f>IFERROR(__xludf.DUMMYFUNCTION("""COMPUTED_VALUE"""),0.094)</f>
        <v>0.094</v>
      </c>
      <c r="R1776" s="14">
        <f>IFERROR(__xludf.DUMMYFUNCTION("""COMPUTED_VALUE"""),50.0)</f>
        <v>50</v>
      </c>
      <c r="S1776" s="14">
        <f>IFERROR(__xludf.DUMMYFUNCTION("""COMPUTED_VALUE"""),49.0)</f>
        <v>49</v>
      </c>
      <c r="T1776" s="14">
        <f>IFERROR(__xludf.DUMMYFUNCTION("""COMPUTED_VALUE"""),0.436)</f>
        <v>0.436</v>
      </c>
      <c r="U1776" s="14">
        <f>IFERROR(__xludf.DUMMYFUNCTION("""COMPUTED_VALUE"""),0.536)</f>
        <v>0.536</v>
      </c>
      <c r="V1776" s="14">
        <f>IFERROR(__xludf.DUMMYFUNCTION("""COMPUTED_VALUE"""),0.027)</f>
        <v>0.027</v>
      </c>
      <c r="W1776" s="14">
        <f>IFERROR(__xludf.DUMMYFUNCTION("""COMPUTED_VALUE"""),1.43314909E8)</f>
        <v>143314909</v>
      </c>
      <c r="X1776" s="14">
        <f>IFERROR(__xludf.DUMMYFUNCTION("""COMPUTED_VALUE"""),0.399)</f>
        <v>0.399</v>
      </c>
      <c r="Y1776" s="14" t="str">
        <f>IFERROR(__xludf.DUMMYFUNCTION("""COMPUTED_VALUE"""),"Nigeria-Africa")</f>
        <v>Nigeria-Africa</v>
      </c>
      <c r="Z1776" s="14" t="str">
        <f>IFERROR(__xludf.DUMMYFUNCTION("""COMPUTED_VALUE"""),"Africa")</f>
        <v>Africa</v>
      </c>
      <c r="AA1776" s="14" t="str">
        <f>IFERROR(__xludf.DUMMYFUNCTION("""COMPUTED_VALUE"""),"2006")</f>
        <v>2006</v>
      </c>
      <c r="AB1776" s="15" t="str">
        <f>IFERROR(__xludf.DUMMYFUNCTION("ARRAYFORMULA(VLOOKUP(A1776,IMPORTRANGE(""https://docs.google.com/spreadsheets/d/1BuTWp7qHGjWhqrnf-OmePP568O4A5Am9ttzvVdP67zw/edit#gid=1931367683"" ,""ENERGY!$A$2:$F$2692""), {2,3,4,5,6},0))"),"Africa")</f>
        <v>Africa</v>
      </c>
      <c r="AC1776" s="14" t="str">
        <f>IFERROR(__xludf.DUMMYFUNCTION("""COMPUTED_VALUE"""),"Nigeria-Africa")</f>
        <v>Nigeria-Africa</v>
      </c>
      <c r="AD1776" s="14" t="str">
        <f>IFERROR(__xludf.DUMMYFUNCTION("""COMPUTED_VALUE"""),"2012")</f>
        <v>2012</v>
      </c>
      <c r="AE1776" s="14">
        <f>IFERROR(__xludf.DUMMYFUNCTION("""COMPUTED_VALUE"""),107005.0)</f>
        <v>107005</v>
      </c>
      <c r="AF1776" s="14">
        <f>IFERROR(__xludf.DUMMYFUNCTION("""COMPUTED_VALUE"""),98514.0)</f>
        <v>98514</v>
      </c>
    </row>
    <row r="1777">
      <c r="A1777" s="12">
        <v>1776.0</v>
      </c>
      <c r="B1777" s="12" t="s">
        <v>215</v>
      </c>
      <c r="C1777" s="5" t="s">
        <v>77</v>
      </c>
      <c r="D1777" s="11">
        <v>0.322</v>
      </c>
      <c r="E1777" s="11">
        <v>27.0</v>
      </c>
      <c r="F1777" s="8"/>
      <c r="G1777" s="11">
        <v>1120.0</v>
      </c>
      <c r="H1777" s="11">
        <v>0.068</v>
      </c>
      <c r="I1777" s="11">
        <v>0.274</v>
      </c>
      <c r="J1777" s="9" t="s">
        <v>68</v>
      </c>
      <c r="K1777" s="14" t="str">
        <f>IFERROR(__xludf.DUMMYFUNCTION("ARRAYFORMULA(VLOOKUP(A1777,IMPORTRANGE(""https://docs.google.com/spreadsheets/d/1BuTWp7qHGjWhqrnf-OmePP568O4A5Am9ttzvVdP67zw/edit#gid=1603210130"", ""TOURISM!$A$2:$F$2692""), {2,3,4,5,6},0))"),"Africa")</f>
        <v>Africa</v>
      </c>
      <c r="L1777" s="14">
        <f>IFERROR(__xludf.DUMMYFUNCTION("""COMPUTED_VALUE"""),3.37E8)</f>
        <v>337000000</v>
      </c>
      <c r="M1777" s="14" t="str">
        <f>IFERROR(__xludf.DUMMYFUNCTION("""COMPUTED_VALUE"""),"Nigeria-Africa")</f>
        <v>Nigeria-Africa</v>
      </c>
      <c r="N1777" s="14" t="str">
        <f>IFERROR(__xludf.DUMMYFUNCTION("""COMPUTED_VALUE"""),"2007")</f>
        <v>2007</v>
      </c>
      <c r="O1777" s="14">
        <f>IFERROR(__xludf.DUMMYFUNCTION("""COMPUTED_VALUE"""),6.664E9)</f>
        <v>6664000000</v>
      </c>
      <c r="P1777" s="15">
        <f>IFERROR(__xludf.DUMMYFUNCTION("ARRAYFORMULA(VLOOKUP(A1777,IMPORTRANGE(""https://docs.google.com/spreadsheets/d/1BuTWp7qHGjWhqrnf-OmePP568O4A5Am9ttzvVdP67zw/edit#gid=771602874"" ,""HUMAN RESOURCES!$A$2:$M$2692""), {2,3,4,5,6,7,8,9,10,11,12,13},0))"),0.042)</f>
        <v>0.042</v>
      </c>
      <c r="Q1777" s="14">
        <f>IFERROR(__xludf.DUMMYFUNCTION("""COMPUTED_VALUE"""),0.091)</f>
        <v>0.091</v>
      </c>
      <c r="R1777" s="14">
        <f>IFERROR(__xludf.DUMMYFUNCTION("""COMPUTED_VALUE"""),50.0)</f>
        <v>50</v>
      </c>
      <c r="S1777" s="14">
        <f>IFERROR(__xludf.DUMMYFUNCTION("""COMPUTED_VALUE"""),49.0)</f>
        <v>49</v>
      </c>
      <c r="T1777" s="14">
        <f>IFERROR(__xludf.DUMMYFUNCTION("""COMPUTED_VALUE"""),0.437)</f>
        <v>0.437</v>
      </c>
      <c r="U1777" s="14">
        <f>IFERROR(__xludf.DUMMYFUNCTION("""COMPUTED_VALUE"""),0.536)</f>
        <v>0.536</v>
      </c>
      <c r="V1777" s="14">
        <f>IFERROR(__xludf.DUMMYFUNCTION("""COMPUTED_VALUE"""),0.027)</f>
        <v>0.027</v>
      </c>
      <c r="W1777" s="14">
        <f>IFERROR(__xludf.DUMMYFUNCTION("""COMPUTED_VALUE"""),1.47187353E8)</f>
        <v>147187353</v>
      </c>
      <c r="X1777" s="14">
        <f>IFERROR(__xludf.DUMMYFUNCTION("""COMPUTED_VALUE"""),0.408)</f>
        <v>0.408</v>
      </c>
      <c r="Y1777" s="14" t="str">
        <f>IFERROR(__xludf.DUMMYFUNCTION("""COMPUTED_VALUE"""),"Nigeria-Africa")</f>
        <v>Nigeria-Africa</v>
      </c>
      <c r="Z1777" s="14" t="str">
        <f>IFERROR(__xludf.DUMMYFUNCTION("""COMPUTED_VALUE"""),"Africa")</f>
        <v>Africa</v>
      </c>
      <c r="AA1777" s="14" t="str">
        <f>IFERROR(__xludf.DUMMYFUNCTION("""COMPUTED_VALUE"""),"2007")</f>
        <v>2007</v>
      </c>
      <c r="AB1777" s="15" t="str">
        <f>IFERROR(__xludf.DUMMYFUNCTION("ARRAYFORMULA(VLOOKUP(A1777,IMPORTRANGE(""https://docs.google.com/spreadsheets/d/1BuTWp7qHGjWhqrnf-OmePP568O4A5Am9ttzvVdP67zw/edit#gid=1931367683"" ,""ENERGY!$A$2:$F$2692""), {2,3,4,5,6},0))"),"Africa")</f>
        <v>Africa</v>
      </c>
      <c r="AC1777" s="14" t="str">
        <f>IFERROR(__xludf.DUMMYFUNCTION("""COMPUTED_VALUE"""),"Nigeria-Africa")</f>
        <v>Nigeria-Africa</v>
      </c>
      <c r="AD1777" s="14" t="str">
        <f>IFERROR(__xludf.DUMMYFUNCTION("""COMPUTED_VALUE"""),"2009")</f>
        <v>2009</v>
      </c>
      <c r="AE1777" s="14">
        <f>IFERROR(__xludf.DUMMYFUNCTION("""COMPUTED_VALUE"""),106509.0)</f>
        <v>106509</v>
      </c>
      <c r="AF1777" s="14">
        <f>IFERROR(__xludf.DUMMYFUNCTION("""COMPUTED_VALUE"""),104697.0)</f>
        <v>104697</v>
      </c>
    </row>
    <row r="1778">
      <c r="A1778" s="12">
        <v>1777.0</v>
      </c>
      <c r="B1778" s="12" t="s">
        <v>215</v>
      </c>
      <c r="C1778" s="5" t="s">
        <v>77</v>
      </c>
      <c r="D1778" s="11">
        <v>0.322</v>
      </c>
      <c r="E1778" s="11">
        <v>25.0</v>
      </c>
      <c r="F1778" s="8"/>
      <c r="G1778" s="11">
        <v>938.0</v>
      </c>
      <c r="H1778" s="11">
        <v>0.159</v>
      </c>
      <c r="I1778" s="11">
        <v>0.417</v>
      </c>
      <c r="J1778" s="9" t="s">
        <v>69</v>
      </c>
      <c r="K1778" s="14" t="str">
        <f>IFERROR(__xludf.DUMMYFUNCTION("ARRAYFORMULA(VLOOKUP(A1778,IMPORTRANGE(""https://docs.google.com/spreadsheets/d/1BuTWp7qHGjWhqrnf-OmePP568O4A5Am9ttzvVdP67zw/edit#gid=1603210130"", ""TOURISM!$A$2:$F$2692""), {2,3,4,5,6},0))"),"Africa")</f>
        <v>Africa</v>
      </c>
      <c r="L1778" s="14">
        <f>IFERROR(__xludf.DUMMYFUNCTION("""COMPUTED_VALUE"""),9.59E8)</f>
        <v>959000000</v>
      </c>
      <c r="M1778" s="14" t="str">
        <f>IFERROR(__xludf.DUMMYFUNCTION("""COMPUTED_VALUE"""),"Nigeria-Africa")</f>
        <v>Nigeria-Africa</v>
      </c>
      <c r="N1778" s="14" t="str">
        <f>IFERROR(__xludf.DUMMYFUNCTION("""COMPUTED_VALUE"""),"2008")</f>
        <v>2008</v>
      </c>
      <c r="O1778" s="14">
        <f>IFERROR(__xludf.DUMMYFUNCTION("""COMPUTED_VALUE"""),1.1009E10)</f>
        <v>11009000000</v>
      </c>
      <c r="P1778" s="15">
        <f>IFERROR(__xludf.DUMMYFUNCTION("ARRAYFORMULA(VLOOKUP(A1778,IMPORTRANGE(""https://docs.google.com/spreadsheets/d/1BuTWp7qHGjWhqrnf-OmePP568O4A5Am9ttzvVdP67zw/edit#gid=771602874"" ,""HUMAN RESOURCES!$A$2:$M$2692""), {2,3,4,5,6,7,8,9,10,11,12,13},0))"),0.042)</f>
        <v>0.042</v>
      </c>
      <c r="Q1778" s="14">
        <f>IFERROR(__xludf.DUMMYFUNCTION("""COMPUTED_VALUE"""),0.088)</f>
        <v>0.088</v>
      </c>
      <c r="R1778" s="14">
        <f>IFERROR(__xludf.DUMMYFUNCTION("""COMPUTED_VALUE"""),51.0)</f>
        <v>51</v>
      </c>
      <c r="S1778" s="14">
        <f>IFERROR(__xludf.DUMMYFUNCTION("""COMPUTED_VALUE"""),50.0)</f>
        <v>50</v>
      </c>
      <c r="T1778" s="14">
        <f>IFERROR(__xludf.DUMMYFUNCTION("""COMPUTED_VALUE"""),0.438)</f>
        <v>0.438</v>
      </c>
      <c r="U1778" s="14">
        <f>IFERROR(__xludf.DUMMYFUNCTION("""COMPUTED_VALUE"""),0.535)</f>
        <v>0.535</v>
      </c>
      <c r="V1778" s="14">
        <f>IFERROR(__xludf.DUMMYFUNCTION("""COMPUTED_VALUE"""),0.027)</f>
        <v>0.027</v>
      </c>
      <c r="W1778" s="14">
        <f>IFERROR(__xludf.DUMMYFUNCTION("""COMPUTED_VALUE"""),1.5120808E8)</f>
        <v>151208080</v>
      </c>
      <c r="X1778" s="14">
        <f>IFERROR(__xludf.DUMMYFUNCTION("""COMPUTED_VALUE"""),0.417)</f>
        <v>0.417</v>
      </c>
      <c r="Y1778" s="14" t="str">
        <f>IFERROR(__xludf.DUMMYFUNCTION("""COMPUTED_VALUE"""),"Nigeria-Africa")</f>
        <v>Nigeria-Africa</v>
      </c>
      <c r="Z1778" s="14" t="str">
        <f>IFERROR(__xludf.DUMMYFUNCTION("""COMPUTED_VALUE"""),"Africa")</f>
        <v>Africa</v>
      </c>
      <c r="AA1778" s="14" t="str">
        <f>IFERROR(__xludf.DUMMYFUNCTION("""COMPUTED_VALUE"""),"2008")</f>
        <v>2008</v>
      </c>
      <c r="AB1778" s="15" t="str">
        <f>IFERROR(__xludf.DUMMYFUNCTION("ARRAYFORMULA(VLOOKUP(A1778,IMPORTRANGE(""https://docs.google.com/spreadsheets/d/1BuTWp7qHGjWhqrnf-OmePP568O4A5Am9ttzvVdP67zw/edit#gid=1931367683"" ,""ENERGY!$A$2:$F$2692""), {2,3,4,5,6},0))"),"Africa")</f>
        <v>Africa</v>
      </c>
      <c r="AC1778" s="14" t="str">
        <f>IFERROR(__xludf.DUMMYFUNCTION("""COMPUTED_VALUE"""),"Nigeria-Africa")</f>
        <v>Nigeria-Africa</v>
      </c>
      <c r="AD1778" s="14" t="str">
        <f>IFERROR(__xludf.DUMMYFUNCTION("""COMPUTED_VALUE"""),"2007")</f>
        <v>2007</v>
      </c>
      <c r="AE1778" s="14">
        <f>IFERROR(__xludf.DUMMYFUNCTION("""COMPUTED_VALUE"""),101751.0)</f>
        <v>101751</v>
      </c>
      <c r="AF1778" s="14">
        <f>IFERROR(__xludf.DUMMYFUNCTION("""COMPUTED_VALUE"""),97047.0)</f>
        <v>97047</v>
      </c>
    </row>
    <row r="1779">
      <c r="A1779" s="12">
        <v>1778.0</v>
      </c>
      <c r="B1779" s="12" t="s">
        <v>215</v>
      </c>
      <c r="C1779" s="5" t="s">
        <v>77</v>
      </c>
      <c r="D1779" s="11">
        <v>0.322</v>
      </c>
      <c r="E1779" s="11">
        <v>25.0</v>
      </c>
      <c r="F1779" s="8"/>
      <c r="G1779" s="11">
        <v>938.0</v>
      </c>
      <c r="H1779" s="11">
        <v>0.2</v>
      </c>
      <c r="I1779" s="11">
        <v>0.48</v>
      </c>
      <c r="J1779" s="9" t="s">
        <v>70</v>
      </c>
      <c r="K1779" s="14" t="str">
        <f>IFERROR(__xludf.DUMMYFUNCTION("ARRAYFORMULA(VLOOKUP(A1779,IMPORTRANGE(""https://docs.google.com/spreadsheets/d/1BuTWp7qHGjWhqrnf-OmePP568O4A5Am9ttzvVdP67zw/edit#gid=1603210130"", ""TOURISM!$A$2:$F$2692""), {2,3,4,5,6},0))"),"Africa")</f>
        <v>Africa</v>
      </c>
      <c r="L1779" s="14">
        <f>IFERROR(__xludf.DUMMYFUNCTION("""COMPUTED_VALUE"""),7.91E8)</f>
        <v>791000000</v>
      </c>
      <c r="M1779" s="14" t="str">
        <f>IFERROR(__xludf.DUMMYFUNCTION("""COMPUTED_VALUE"""),"Nigeria-Africa")</f>
        <v>Nigeria-Africa</v>
      </c>
      <c r="N1779" s="14" t="str">
        <f>IFERROR(__xludf.DUMMYFUNCTION("""COMPUTED_VALUE"""),"2009")</f>
        <v>2009</v>
      </c>
      <c r="O1779" s="14">
        <f>IFERROR(__xludf.DUMMYFUNCTION("""COMPUTED_VALUE"""),6.236E9)</f>
        <v>6236000000</v>
      </c>
      <c r="P1779" s="15">
        <f>IFERROR(__xludf.DUMMYFUNCTION("ARRAYFORMULA(VLOOKUP(A1779,IMPORTRANGE(""https://docs.google.com/spreadsheets/d/1BuTWp7qHGjWhqrnf-OmePP568O4A5Am9ttzvVdP67zw/edit#gid=771602874"" ,""HUMAN RESOURCES!$A$2:$M$2692""), {2,3,4,5,6,7,8,9,10,11,12,13},0))"),0.042)</f>
        <v>0.042</v>
      </c>
      <c r="Q1779" s="14">
        <f>IFERROR(__xludf.DUMMYFUNCTION("""COMPUTED_VALUE"""),0.085)</f>
        <v>0.085</v>
      </c>
      <c r="R1779" s="14">
        <f>IFERROR(__xludf.DUMMYFUNCTION("""COMPUTED_VALUE"""),51.0)</f>
        <v>51</v>
      </c>
      <c r="S1779" s="14">
        <f>IFERROR(__xludf.DUMMYFUNCTION("""COMPUTED_VALUE"""),51.0)</f>
        <v>51</v>
      </c>
      <c r="T1779" s="14">
        <f>IFERROR(__xludf.DUMMYFUNCTION("""COMPUTED_VALUE"""),0.439)</f>
        <v>0.439</v>
      </c>
      <c r="U1779" s="14">
        <f>IFERROR(__xludf.DUMMYFUNCTION("""COMPUTED_VALUE"""),0.534)</f>
        <v>0.534</v>
      </c>
      <c r="V1779" s="14">
        <f>IFERROR(__xludf.DUMMYFUNCTION("""COMPUTED_VALUE"""),0.027)</f>
        <v>0.027</v>
      </c>
      <c r="W1779" s="14">
        <f>IFERROR(__xludf.DUMMYFUNCTION("""COMPUTED_VALUE"""),1.5538102E8)</f>
        <v>155381020</v>
      </c>
      <c r="X1779" s="14">
        <f>IFERROR(__xludf.DUMMYFUNCTION("""COMPUTED_VALUE"""),0.426)</f>
        <v>0.426</v>
      </c>
      <c r="Y1779" s="14" t="str">
        <f>IFERROR(__xludf.DUMMYFUNCTION("""COMPUTED_VALUE"""),"Nigeria-Africa")</f>
        <v>Nigeria-Africa</v>
      </c>
      <c r="Z1779" s="14" t="str">
        <f>IFERROR(__xludf.DUMMYFUNCTION("""COMPUTED_VALUE"""),"Africa")</f>
        <v>Africa</v>
      </c>
      <c r="AA1779" s="14" t="str">
        <f>IFERROR(__xludf.DUMMYFUNCTION("""COMPUTED_VALUE"""),"2009")</f>
        <v>2009</v>
      </c>
      <c r="AB1779" s="15" t="str">
        <f>IFERROR(__xludf.DUMMYFUNCTION("ARRAYFORMULA(VLOOKUP(A1779,IMPORTRANGE(""https://docs.google.com/spreadsheets/d/1BuTWp7qHGjWhqrnf-OmePP568O4A5Am9ttzvVdP67zw/edit#gid=1931367683"" ,""ENERGY!$A$2:$F$2692""), {2,3,4,5,6},0))"),"Africa")</f>
        <v>Africa</v>
      </c>
      <c r="AC1779" s="14" t="str">
        <f>IFERROR(__xludf.DUMMYFUNCTION("""COMPUTED_VALUE"""),"Nigeria-Africa")</f>
        <v>Nigeria-Africa</v>
      </c>
      <c r="AD1779" s="14" t="str">
        <f>IFERROR(__xludf.DUMMYFUNCTION("""COMPUTED_VALUE"""),"2011")</f>
        <v>2011</v>
      </c>
      <c r="AE1779" s="14">
        <f>IFERROR(__xludf.DUMMYFUNCTION("""COMPUTED_VALUE"""),99007.0)</f>
        <v>99007</v>
      </c>
      <c r="AF1779" s="14">
        <f>IFERROR(__xludf.DUMMYFUNCTION("""COMPUTED_VALUE"""),93138.0)</f>
        <v>93138</v>
      </c>
    </row>
    <row r="1780">
      <c r="A1780" s="12">
        <v>1779.0</v>
      </c>
      <c r="B1780" s="12" t="s">
        <v>215</v>
      </c>
      <c r="C1780" s="5" t="s">
        <v>77</v>
      </c>
      <c r="D1780" s="11">
        <v>0.322</v>
      </c>
      <c r="E1780" s="11">
        <v>25.0</v>
      </c>
      <c r="F1780" s="8"/>
      <c r="G1780" s="11">
        <v>938.0</v>
      </c>
      <c r="H1780" s="11">
        <v>0.24</v>
      </c>
      <c r="I1780" s="11">
        <v>0.547</v>
      </c>
      <c r="J1780" s="9" t="s">
        <v>71</v>
      </c>
      <c r="K1780" s="14" t="str">
        <f>IFERROR(__xludf.DUMMYFUNCTION("ARRAYFORMULA(VLOOKUP(A1780,IMPORTRANGE(""https://docs.google.com/spreadsheets/d/1BuTWp7qHGjWhqrnf-OmePP568O4A5Am9ttzvVdP67zw/edit#gid=1603210130"", ""TOURISM!$A$2:$F$2692""), {2,3,4,5,6},0))"),"Africa")</f>
        <v>Africa</v>
      </c>
      <c r="L1780" s="14">
        <f>IFERROR(__xludf.DUMMYFUNCTION("""COMPUTED_VALUE"""),7.38E8)</f>
        <v>738000000</v>
      </c>
      <c r="M1780" s="14" t="str">
        <f>IFERROR(__xludf.DUMMYFUNCTION("""COMPUTED_VALUE"""),"Nigeria-Africa")</f>
        <v>Nigeria-Africa</v>
      </c>
      <c r="N1780" s="14" t="str">
        <f>IFERROR(__xludf.DUMMYFUNCTION("""COMPUTED_VALUE"""),"2010")</f>
        <v>2010</v>
      </c>
      <c r="O1780" s="14">
        <f>IFERROR(__xludf.DUMMYFUNCTION("""COMPUTED_VALUE"""),8.379E9)</f>
        <v>8379000000</v>
      </c>
      <c r="P1780" s="15">
        <f>IFERROR(__xludf.DUMMYFUNCTION("ARRAYFORMULA(VLOOKUP(A1780,IMPORTRANGE(""https://docs.google.com/spreadsheets/d/1BuTWp7qHGjWhqrnf-OmePP568O4A5Am9ttzvVdP67zw/edit#gid=771602874"" ,""HUMAN RESOURCES!$A$2:$M$2692""), {2,3,4,5,6,7,8,9,10,11,12,13},0))"),0.042)</f>
        <v>0.042</v>
      </c>
      <c r="Q1780" s="14">
        <f>IFERROR(__xludf.DUMMYFUNCTION("""COMPUTED_VALUE"""),0.082)</f>
        <v>0.082</v>
      </c>
      <c r="R1780" s="14">
        <f>IFERROR(__xludf.DUMMYFUNCTION("""COMPUTED_VALUE"""),52.0)</f>
        <v>52</v>
      </c>
      <c r="S1780" s="14">
        <f>IFERROR(__xludf.DUMMYFUNCTION("""COMPUTED_VALUE"""),51.0)</f>
        <v>51</v>
      </c>
      <c r="T1780" s="14">
        <f>IFERROR(__xludf.DUMMYFUNCTION("""COMPUTED_VALUE"""),0.44)</f>
        <v>0.44</v>
      </c>
      <c r="U1780" s="14">
        <f>IFERROR(__xludf.DUMMYFUNCTION("""COMPUTED_VALUE"""),0.532)</f>
        <v>0.532</v>
      </c>
      <c r="V1780" s="14">
        <f>IFERROR(__xludf.DUMMYFUNCTION("""COMPUTED_VALUE"""),0.027)</f>
        <v>0.027</v>
      </c>
      <c r="W1780" s="14">
        <f>IFERROR(__xludf.DUMMYFUNCTION("""COMPUTED_VALUE"""),1.5970778E8)</f>
        <v>159707780</v>
      </c>
      <c r="X1780" s="14">
        <f>IFERROR(__xludf.DUMMYFUNCTION("""COMPUTED_VALUE"""),0.435)</f>
        <v>0.435</v>
      </c>
      <c r="Y1780" s="14" t="str">
        <f>IFERROR(__xludf.DUMMYFUNCTION("""COMPUTED_VALUE"""),"Nigeria-Africa")</f>
        <v>Nigeria-Africa</v>
      </c>
      <c r="Z1780" s="14" t="str">
        <f>IFERROR(__xludf.DUMMYFUNCTION("""COMPUTED_VALUE"""),"Africa")</f>
        <v>Africa</v>
      </c>
      <c r="AA1780" s="14" t="str">
        <f>IFERROR(__xludf.DUMMYFUNCTION("""COMPUTED_VALUE"""),"2010")</f>
        <v>2010</v>
      </c>
      <c r="AB1780" s="15" t="str">
        <f>IFERROR(__xludf.DUMMYFUNCTION("ARRAYFORMULA(VLOOKUP(A1780,IMPORTRANGE(""https://docs.google.com/spreadsheets/d/1BuTWp7qHGjWhqrnf-OmePP568O4A5Am9ttzvVdP67zw/edit#gid=1931367683"" ,""ENERGY!$A$2:$F$2692""), {2,3,4,5,6},0))"),"Africa")</f>
        <v>Africa</v>
      </c>
      <c r="AC1780" s="14" t="str">
        <f>IFERROR(__xludf.DUMMYFUNCTION("""COMPUTED_VALUE"""),"Nigeria-Africa")</f>
        <v>Nigeria-Africa</v>
      </c>
      <c r="AD1780" s="14" t="str">
        <f>IFERROR(__xludf.DUMMYFUNCTION("""COMPUTED_VALUE"""),"2006")</f>
        <v>2006</v>
      </c>
      <c r="AE1780" s="14">
        <f>IFERROR(__xludf.DUMMYFUNCTION("""COMPUTED_VALUE"""),97389.0)</f>
        <v>97389</v>
      </c>
      <c r="AF1780" s="14">
        <f>IFERROR(__xludf.DUMMYFUNCTION("""COMPUTED_VALUE"""),98125.0)</f>
        <v>98125</v>
      </c>
    </row>
    <row r="1781">
      <c r="A1781" s="12">
        <v>1780.0</v>
      </c>
      <c r="B1781" s="12" t="s">
        <v>215</v>
      </c>
      <c r="C1781" s="5" t="s">
        <v>77</v>
      </c>
      <c r="D1781" s="11">
        <v>0.327</v>
      </c>
      <c r="E1781" s="11">
        <v>28.0</v>
      </c>
      <c r="F1781" s="8"/>
      <c r="G1781" s="11">
        <v>938.0</v>
      </c>
      <c r="H1781" s="11">
        <v>0.284</v>
      </c>
      <c r="I1781" s="11">
        <v>0.58</v>
      </c>
      <c r="J1781" s="9" t="s">
        <v>72</v>
      </c>
      <c r="K1781" s="14" t="str">
        <f>IFERROR(__xludf.DUMMYFUNCTION("ARRAYFORMULA(VLOOKUP(A1781,IMPORTRANGE(""https://docs.google.com/spreadsheets/d/1BuTWp7qHGjWhqrnf-OmePP568O4A5Am9ttzvVdP67zw/edit#gid=1603210130"", ""TOURISM!$A$2:$F$2692""), {2,3,4,5,6},0))"),"Africa")</f>
        <v>Africa</v>
      </c>
      <c r="L1781" s="14">
        <f>IFERROR(__xludf.DUMMYFUNCTION("""COMPUTED_VALUE"""),6.88E8)</f>
        <v>688000000</v>
      </c>
      <c r="M1781" s="14" t="str">
        <f>IFERROR(__xludf.DUMMYFUNCTION("""COMPUTED_VALUE"""),"Nigeria-Africa")</f>
        <v>Nigeria-Africa</v>
      </c>
      <c r="N1781" s="14" t="str">
        <f>IFERROR(__xludf.DUMMYFUNCTION("""COMPUTED_VALUE"""),"2011")</f>
        <v>2011</v>
      </c>
      <c r="O1781" s="14">
        <f>IFERROR(__xludf.DUMMYFUNCTION("""COMPUTED_VALUE"""),9.534E9)</f>
        <v>9534000000</v>
      </c>
      <c r="P1781" s="15">
        <f>IFERROR(__xludf.DUMMYFUNCTION("ARRAYFORMULA(VLOOKUP(A1781,IMPORTRANGE(""https://docs.google.com/spreadsheets/d/1BuTWp7qHGjWhqrnf-OmePP568O4A5Am9ttzvVdP67zw/edit#gid=771602874"" ,""HUMAN RESOURCES!$A$2:$M$2692""), {2,3,4,5,6,7,8,9,10,11,12,13},0))"),0.042)</f>
        <v>0.042</v>
      </c>
      <c r="Q1781" s="14">
        <f>IFERROR(__xludf.DUMMYFUNCTION("""COMPUTED_VALUE"""),0.079)</f>
        <v>0.079</v>
      </c>
      <c r="R1781" s="14">
        <f>IFERROR(__xludf.DUMMYFUNCTION("""COMPUTED_VALUE"""),52.0)</f>
        <v>52</v>
      </c>
      <c r="S1781" s="14">
        <f>IFERROR(__xludf.DUMMYFUNCTION("""COMPUTED_VALUE"""),51.0)</f>
        <v>51</v>
      </c>
      <c r="T1781" s="14">
        <f>IFERROR(__xludf.DUMMYFUNCTION("""COMPUTED_VALUE"""),0.441)</f>
        <v>0.441</v>
      </c>
      <c r="U1781" s="14">
        <f>IFERROR(__xludf.DUMMYFUNCTION("""COMPUTED_VALUE"""),0.531)</f>
        <v>0.531</v>
      </c>
      <c r="V1781" s="14">
        <f>IFERROR(__xludf.DUMMYFUNCTION("""COMPUTED_VALUE"""),0.027)</f>
        <v>0.027</v>
      </c>
      <c r="W1781" s="14">
        <f>IFERROR(__xludf.DUMMYFUNCTION("""COMPUTED_VALUE"""),1.64192925E8)</f>
        <v>164192925</v>
      </c>
      <c r="X1781" s="14">
        <f>IFERROR(__xludf.DUMMYFUNCTION("""COMPUTED_VALUE"""),0.444)</f>
        <v>0.444</v>
      </c>
      <c r="Y1781" s="14" t="str">
        <f>IFERROR(__xludf.DUMMYFUNCTION("""COMPUTED_VALUE"""),"Nigeria-Africa")</f>
        <v>Nigeria-Africa</v>
      </c>
      <c r="Z1781" s="14" t="str">
        <f>IFERROR(__xludf.DUMMYFUNCTION("""COMPUTED_VALUE"""),"Africa")</f>
        <v>Africa</v>
      </c>
      <c r="AA1781" s="14" t="str">
        <f>IFERROR(__xludf.DUMMYFUNCTION("""COMPUTED_VALUE"""),"2011")</f>
        <v>2011</v>
      </c>
      <c r="AB1781" s="15" t="str">
        <f>IFERROR(__xludf.DUMMYFUNCTION("ARRAYFORMULA(VLOOKUP(A1781,IMPORTRANGE(""https://docs.google.com/spreadsheets/d/1BuTWp7qHGjWhqrnf-OmePP568O4A5Am9ttzvVdP67zw/edit#gid=1931367683"" ,""ENERGY!$A$2:$F$2692""), {2,3,4,5,6},0))"),"Africa")</f>
        <v>Africa</v>
      </c>
      <c r="AC1781" s="14" t="str">
        <f>IFERROR(__xludf.DUMMYFUNCTION("""COMPUTED_VALUE"""),"Nigeria-Africa")</f>
        <v>Nigeria-Africa</v>
      </c>
      <c r="AD1781" s="14" t="str">
        <f>IFERROR(__xludf.DUMMYFUNCTION("""COMPUTED_VALUE"""),"2006")</f>
        <v>2006</v>
      </c>
      <c r="AE1781" s="14">
        <f>IFERROR(__xludf.DUMMYFUNCTION("""COMPUTED_VALUE"""),94633.0)</f>
        <v>94633</v>
      </c>
      <c r="AF1781" s="14">
        <f>IFERROR(__xludf.DUMMYFUNCTION("""COMPUTED_VALUE"""),83351.0)</f>
        <v>83351</v>
      </c>
    </row>
    <row r="1782">
      <c r="A1782" s="12">
        <v>1781.0</v>
      </c>
      <c r="B1782" s="12" t="s">
        <v>215</v>
      </c>
      <c r="C1782" s="5" t="s">
        <v>77</v>
      </c>
      <c r="D1782" s="11">
        <v>0.338</v>
      </c>
      <c r="E1782" s="11">
        <v>28.0</v>
      </c>
      <c r="F1782" s="11">
        <v>138.0</v>
      </c>
      <c r="G1782" s="11">
        <v>956.0</v>
      </c>
      <c r="H1782" s="11">
        <v>0.328</v>
      </c>
      <c r="I1782" s="11">
        <v>0.668</v>
      </c>
      <c r="J1782" s="9" t="s">
        <v>73</v>
      </c>
      <c r="K1782" s="14" t="str">
        <f>IFERROR(__xludf.DUMMYFUNCTION("ARRAYFORMULA(VLOOKUP(A1782,IMPORTRANGE(""https://docs.google.com/spreadsheets/d/1BuTWp7qHGjWhqrnf-OmePP568O4A5Am9ttzvVdP67zw/edit#gid=1603210130"", ""TOURISM!$A$2:$F$2692""), {2,3,4,5,6},0))"),"Africa")</f>
        <v>Africa</v>
      </c>
      <c r="L1782" s="14">
        <f>IFERROR(__xludf.DUMMYFUNCTION("""COMPUTED_VALUE"""),6.41E8)</f>
        <v>641000000</v>
      </c>
      <c r="M1782" s="14" t="str">
        <f>IFERROR(__xludf.DUMMYFUNCTION("""COMPUTED_VALUE"""),"Nigeria-Africa")</f>
        <v>Nigeria-Africa</v>
      </c>
      <c r="N1782" s="14" t="str">
        <f>IFERROR(__xludf.DUMMYFUNCTION("""COMPUTED_VALUE"""),"2012")</f>
        <v>2012</v>
      </c>
      <c r="O1782" s="14">
        <f>IFERROR(__xludf.DUMMYFUNCTION("""COMPUTED_VALUE"""),9.28E9)</f>
        <v>9280000000</v>
      </c>
      <c r="P1782" s="15">
        <f>IFERROR(__xludf.DUMMYFUNCTION("ARRAYFORMULA(VLOOKUP(A1782,IMPORTRANGE(""https://docs.google.com/spreadsheets/d/1BuTWp7qHGjWhqrnf-OmePP568O4A5Am9ttzvVdP67zw/edit#gid=771602874"" ,""HUMAN RESOURCES!$A$2:$M$2692""), {2,3,4,5,6,7,8,9,10,11,12,13},0))"),0.042)</f>
        <v>0.042</v>
      </c>
      <c r="Q1782" s="14">
        <f>IFERROR(__xludf.DUMMYFUNCTION("""COMPUTED_VALUE"""),0.077)</f>
        <v>0.077</v>
      </c>
      <c r="R1782" s="14">
        <f>IFERROR(__xludf.DUMMYFUNCTION("""COMPUTED_VALUE"""),52.0)</f>
        <v>52</v>
      </c>
      <c r="S1782" s="14">
        <f>IFERROR(__xludf.DUMMYFUNCTION("""COMPUTED_VALUE"""),52.0)</f>
        <v>52</v>
      </c>
      <c r="T1782" s="14">
        <f>IFERROR(__xludf.DUMMYFUNCTION("""COMPUTED_VALUE"""),0.442)</f>
        <v>0.442</v>
      </c>
      <c r="U1782" s="14">
        <f>IFERROR(__xludf.DUMMYFUNCTION("""COMPUTED_VALUE"""),0.531)</f>
        <v>0.531</v>
      </c>
      <c r="V1782" s="14">
        <f>IFERROR(__xludf.DUMMYFUNCTION("""COMPUTED_VALUE"""),0.027)</f>
        <v>0.027</v>
      </c>
      <c r="W1782" s="14">
        <f>IFERROR(__xludf.DUMMYFUNCTION("""COMPUTED_VALUE"""),1.68833776E8)</f>
        <v>168833776</v>
      </c>
      <c r="X1782" s="14">
        <f>IFERROR(__xludf.DUMMYFUNCTION("""COMPUTED_VALUE"""),0.452)</f>
        <v>0.452</v>
      </c>
      <c r="Y1782" s="14" t="str">
        <f>IFERROR(__xludf.DUMMYFUNCTION("""COMPUTED_VALUE"""),"Nigeria-Africa")</f>
        <v>Nigeria-Africa</v>
      </c>
      <c r="Z1782" s="14" t="str">
        <f>IFERROR(__xludf.DUMMYFUNCTION("""COMPUTED_VALUE"""),"Africa")</f>
        <v>Africa</v>
      </c>
      <c r="AA1782" s="14" t="str">
        <f>IFERROR(__xludf.DUMMYFUNCTION("""COMPUTED_VALUE"""),"2012")</f>
        <v>2012</v>
      </c>
      <c r="AB1782" s="15" t="str">
        <f>IFERROR(__xludf.DUMMYFUNCTION("ARRAYFORMULA(VLOOKUP(A1782,IMPORTRANGE(""https://docs.google.com/spreadsheets/d/1BuTWp7qHGjWhqrnf-OmePP568O4A5Am9ttzvVdP67zw/edit#gid=1931367683"" ,""ENERGY!$A$2:$F$2692""), {2,3,4,5,6},0))"),"Africa")</f>
        <v>Africa</v>
      </c>
      <c r="AC1782" s="14" t="str">
        <f>IFERROR(__xludf.DUMMYFUNCTION("""COMPUTED_VALUE"""),"Nigeria-Africa")</f>
        <v>Nigeria-Africa</v>
      </c>
      <c r="AD1782" s="14" t="str">
        <f>IFERROR(__xludf.DUMMYFUNCTION("""COMPUTED_VALUE"""),"2011")</f>
        <v>2011</v>
      </c>
      <c r="AE1782" s="14">
        <f>IFERROR(__xludf.DUMMYFUNCTION("""COMPUTED_VALUE"""),90596.0)</f>
        <v>90596</v>
      </c>
      <c r="AF1782" s="14">
        <f>IFERROR(__xludf.DUMMYFUNCTION("""COMPUTED_VALUE"""),79182.0)</f>
        <v>79182</v>
      </c>
    </row>
    <row r="1783">
      <c r="A1783" s="12">
        <v>1782.0</v>
      </c>
      <c r="B1783" s="12" t="s">
        <v>216</v>
      </c>
      <c r="C1783" s="5" t="s">
        <v>61</v>
      </c>
      <c r="D1783" s="8"/>
      <c r="E1783" s="8"/>
      <c r="F1783" s="8"/>
      <c r="G1783" s="8"/>
      <c r="H1783" s="8"/>
      <c r="I1783" s="8"/>
      <c r="J1783" s="9" t="s">
        <v>60</v>
      </c>
      <c r="K1783" s="14" t="str">
        <f>IFERROR(__xludf.DUMMYFUNCTION("ARRAYFORMULA(VLOOKUP(A1783,IMPORTRANGE(""https://docs.google.com/spreadsheets/d/1BuTWp7qHGjWhqrnf-OmePP568O4A5Am9ttzvVdP67zw/edit#gid=1603210130"", ""TOURISM!$A$2:$F$2692""), {2,3,4,5,6},0))"),"Asia")</f>
        <v>Asia</v>
      </c>
      <c r="L1783" s="14"/>
      <c r="M1783" s="14" t="str">
        <f>IFERROR(__xludf.DUMMYFUNCTION("""COMPUTED_VALUE"""),"North Korea-Asia")</f>
        <v>North Korea-Asia</v>
      </c>
      <c r="N1783" s="14" t="str">
        <f>IFERROR(__xludf.DUMMYFUNCTION("""COMPUTED_VALUE"""),"2000")</f>
        <v>2000</v>
      </c>
      <c r="O1783" s="14"/>
      <c r="P1783" s="15">
        <f>IFERROR(__xludf.DUMMYFUNCTION("ARRAYFORMULA(VLOOKUP(A1783,IMPORTRANGE(""https://docs.google.com/spreadsheets/d/1BuTWp7qHGjWhqrnf-OmePP568O4A5Am9ttzvVdP67zw/edit#gid=771602874"" ,""HUMAN RESOURCES!$A$2:$M$2692""), {2,3,4,5,6,7,8,9,10,11,12,13},0))"),0.018)</f>
        <v>0.018</v>
      </c>
      <c r="Q1783" s="14">
        <f>IFERROR(__xludf.DUMMYFUNCTION("""COMPUTED_VALUE"""),0.045)</f>
        <v>0.045</v>
      </c>
      <c r="R1783" s="14">
        <f>IFERROR(__xludf.DUMMYFUNCTION("""COMPUTED_VALUE"""),69.0)</f>
        <v>69</v>
      </c>
      <c r="S1783" s="14">
        <f>IFERROR(__xludf.DUMMYFUNCTION("""COMPUTED_VALUE"""),61.0)</f>
        <v>61</v>
      </c>
      <c r="T1783" s="14">
        <f>IFERROR(__xludf.DUMMYFUNCTION("""COMPUTED_VALUE"""),0.26)</f>
        <v>0.26</v>
      </c>
      <c r="U1783" s="14">
        <f>IFERROR(__xludf.DUMMYFUNCTION("""COMPUTED_VALUE"""),0.681)</f>
        <v>0.681</v>
      </c>
      <c r="V1783" s="14">
        <f>IFERROR(__xludf.DUMMYFUNCTION("""COMPUTED_VALUE"""),0.059)</f>
        <v>0.059</v>
      </c>
      <c r="W1783" s="14">
        <f>IFERROR(__xludf.DUMMYFUNCTION("""COMPUTED_VALUE"""),2.2840225E7)</f>
        <v>22840225</v>
      </c>
      <c r="X1783" s="14">
        <f>IFERROR(__xludf.DUMMYFUNCTION("""COMPUTED_VALUE"""),0.594)</f>
        <v>0.594</v>
      </c>
      <c r="Y1783" s="14" t="str">
        <f>IFERROR(__xludf.DUMMYFUNCTION("""COMPUTED_VALUE"""),"North Korea-Asia")</f>
        <v>North Korea-Asia</v>
      </c>
      <c r="Z1783" s="14" t="str">
        <f>IFERROR(__xludf.DUMMYFUNCTION("""COMPUTED_VALUE"""),"Asia")</f>
        <v>Asia</v>
      </c>
      <c r="AA1783" s="14" t="str">
        <f>IFERROR(__xludf.DUMMYFUNCTION("""COMPUTED_VALUE"""),"2000")</f>
        <v>2000</v>
      </c>
      <c r="AB1783" s="15" t="str">
        <f>IFERROR(__xludf.DUMMYFUNCTION("ARRAYFORMULA(VLOOKUP(A1783,IMPORTRANGE(""https://docs.google.com/spreadsheets/d/1BuTWp7qHGjWhqrnf-OmePP568O4A5Am9ttzvVdP67zw/edit#gid=1931367683"" ,""ENERGY!$A$2:$F$2692""), {2,3,4,5,6},0))"),"Asia")</f>
        <v>Asia</v>
      </c>
      <c r="AC1783" s="14" t="str">
        <f>IFERROR(__xludf.DUMMYFUNCTION("""COMPUTED_VALUE"""),"North Korea-Asia")</f>
        <v>North Korea-Asia</v>
      </c>
      <c r="AD1783" s="14" t="str">
        <f>IFERROR(__xludf.DUMMYFUNCTION("""COMPUTED_VALUE"""),"2000")</f>
        <v>2000</v>
      </c>
      <c r="AE1783" s="14"/>
      <c r="AF1783" s="14"/>
    </row>
    <row r="1784">
      <c r="A1784" s="12">
        <v>1783.0</v>
      </c>
      <c r="B1784" s="12" t="s">
        <v>216</v>
      </c>
      <c r="C1784" s="5" t="s">
        <v>61</v>
      </c>
      <c r="D1784" s="8"/>
      <c r="E1784" s="8"/>
      <c r="F1784" s="8"/>
      <c r="G1784" s="8"/>
      <c r="H1784" s="8"/>
      <c r="I1784" s="8"/>
      <c r="J1784" s="9" t="s">
        <v>62</v>
      </c>
      <c r="K1784" s="14" t="str">
        <f>IFERROR(__xludf.DUMMYFUNCTION("ARRAYFORMULA(VLOOKUP(A1784,IMPORTRANGE(""https://docs.google.com/spreadsheets/d/1BuTWp7qHGjWhqrnf-OmePP568O4A5Am9ttzvVdP67zw/edit#gid=1603210130"", ""TOURISM!$A$2:$F$2692""), {2,3,4,5,6},0))"),"Asia")</f>
        <v>Asia</v>
      </c>
      <c r="L1784" s="14"/>
      <c r="M1784" s="14" t="str">
        <f>IFERROR(__xludf.DUMMYFUNCTION("""COMPUTED_VALUE"""),"North Korea-Asia")</f>
        <v>North Korea-Asia</v>
      </c>
      <c r="N1784" s="14" t="str">
        <f>IFERROR(__xludf.DUMMYFUNCTION("""COMPUTED_VALUE"""),"2001")</f>
        <v>2001</v>
      </c>
      <c r="O1784" s="14"/>
      <c r="P1784" s="15">
        <f>IFERROR(__xludf.DUMMYFUNCTION("ARRAYFORMULA(VLOOKUP(A1784,IMPORTRANGE(""https://docs.google.com/spreadsheets/d/1BuTWp7qHGjWhqrnf-OmePP568O4A5Am9ttzvVdP67zw/edit#gid=771602874"" ,""HUMAN RESOURCES!$A$2:$M$2692""), {2,3,4,5,6,7,8,9,10,11,12,13},0))"),0.017)</f>
        <v>0.017</v>
      </c>
      <c r="Q1784" s="14">
        <f>IFERROR(__xludf.DUMMYFUNCTION("""COMPUTED_VALUE"""),0.039)</f>
        <v>0.039</v>
      </c>
      <c r="R1784" s="14">
        <f>IFERROR(__xludf.DUMMYFUNCTION("""COMPUTED_VALUE"""),70.0)</f>
        <v>70</v>
      </c>
      <c r="S1784" s="14">
        <f>IFERROR(__xludf.DUMMYFUNCTION("""COMPUTED_VALUE"""),62.0)</f>
        <v>62</v>
      </c>
      <c r="T1784" s="14">
        <f>IFERROR(__xludf.DUMMYFUNCTION("""COMPUTED_VALUE"""),0.258)</f>
        <v>0.258</v>
      </c>
      <c r="U1784" s="14">
        <f>IFERROR(__xludf.DUMMYFUNCTION("""COMPUTED_VALUE"""),0.68)</f>
        <v>0.68</v>
      </c>
      <c r="V1784" s="14">
        <f>IFERROR(__xludf.DUMMYFUNCTION("""COMPUTED_VALUE"""),0.062)</f>
        <v>0.062</v>
      </c>
      <c r="W1784" s="14">
        <f>IFERROR(__xludf.DUMMYFUNCTION("""COMPUTED_VALUE"""),2.3043449E7)</f>
        <v>23043449</v>
      </c>
      <c r="X1784" s="14">
        <f>IFERROR(__xludf.DUMMYFUNCTION("""COMPUTED_VALUE"""),0.595)</f>
        <v>0.595</v>
      </c>
      <c r="Y1784" s="14" t="str">
        <f>IFERROR(__xludf.DUMMYFUNCTION("""COMPUTED_VALUE"""),"North Korea-Asia")</f>
        <v>North Korea-Asia</v>
      </c>
      <c r="Z1784" s="14" t="str">
        <f>IFERROR(__xludf.DUMMYFUNCTION("""COMPUTED_VALUE"""),"Asia")</f>
        <v>Asia</v>
      </c>
      <c r="AA1784" s="14" t="str">
        <f>IFERROR(__xludf.DUMMYFUNCTION("""COMPUTED_VALUE"""),"2001")</f>
        <v>2001</v>
      </c>
      <c r="AB1784" s="15" t="str">
        <f>IFERROR(__xludf.DUMMYFUNCTION("ARRAYFORMULA(VLOOKUP(A1784,IMPORTRANGE(""https://docs.google.com/spreadsheets/d/1BuTWp7qHGjWhqrnf-OmePP568O4A5Am9ttzvVdP67zw/edit#gid=1931367683"" ,""ENERGY!$A$2:$F$2692""), {2,3,4,5,6},0))"),"Asia")</f>
        <v>Asia</v>
      </c>
      <c r="AC1784" s="14" t="str">
        <f>IFERROR(__xludf.DUMMYFUNCTION("""COMPUTED_VALUE"""),"North Korea-Asia")</f>
        <v>North Korea-Asia</v>
      </c>
      <c r="AD1784" s="14" t="str">
        <f>IFERROR(__xludf.DUMMYFUNCTION("""COMPUTED_VALUE"""),"2001")</f>
        <v>2001</v>
      </c>
      <c r="AE1784" s="14">
        <f>IFERROR(__xludf.DUMMYFUNCTION("""COMPUTED_VALUE"""),19037.0)</f>
        <v>19037</v>
      </c>
      <c r="AF1784" s="14"/>
    </row>
    <row r="1785">
      <c r="A1785" s="12">
        <v>1784.0</v>
      </c>
      <c r="B1785" s="12" t="s">
        <v>216</v>
      </c>
      <c r="C1785" s="5" t="s">
        <v>61</v>
      </c>
      <c r="D1785" s="8"/>
      <c r="E1785" s="8"/>
      <c r="F1785" s="8"/>
      <c r="G1785" s="8"/>
      <c r="H1785" s="8"/>
      <c r="I1785" s="8"/>
      <c r="J1785" s="9" t="s">
        <v>63</v>
      </c>
      <c r="K1785" s="14" t="str">
        <f>IFERROR(__xludf.DUMMYFUNCTION("ARRAYFORMULA(VLOOKUP(A1785,IMPORTRANGE(""https://docs.google.com/spreadsheets/d/1BuTWp7qHGjWhqrnf-OmePP568O4A5Am9ttzvVdP67zw/edit#gid=1603210130"", ""TOURISM!$A$2:$F$2692""), {2,3,4,5,6},0))"),"Asia")</f>
        <v>Asia</v>
      </c>
      <c r="L1785" s="14"/>
      <c r="M1785" s="14" t="str">
        <f>IFERROR(__xludf.DUMMYFUNCTION("""COMPUTED_VALUE"""),"North Korea-Asia")</f>
        <v>North Korea-Asia</v>
      </c>
      <c r="N1785" s="14" t="str">
        <f>IFERROR(__xludf.DUMMYFUNCTION("""COMPUTED_VALUE"""),"2002")</f>
        <v>2002</v>
      </c>
      <c r="O1785" s="14"/>
      <c r="P1785" s="15">
        <f>IFERROR(__xludf.DUMMYFUNCTION("ARRAYFORMULA(VLOOKUP(A1785,IMPORTRANGE(""https://docs.google.com/spreadsheets/d/1BuTWp7qHGjWhqrnf-OmePP568O4A5Am9ttzvVdP67zw/edit#gid=771602874"" ,""HUMAN RESOURCES!$A$2:$M$2692""), {2,3,4,5,6,7,8,9,10,11,12,13},0))"),0.017)</f>
        <v>0.017</v>
      </c>
      <c r="Q1785" s="14">
        <f>IFERROR(__xludf.DUMMYFUNCTION("""COMPUTED_VALUE"""),0.034)</f>
        <v>0.034</v>
      </c>
      <c r="R1785" s="14">
        <f>IFERROR(__xludf.DUMMYFUNCTION("""COMPUTED_VALUE"""),70.0)</f>
        <v>70</v>
      </c>
      <c r="S1785" s="14">
        <f>IFERROR(__xludf.DUMMYFUNCTION("""COMPUTED_VALUE"""),63.0)</f>
        <v>63</v>
      </c>
      <c r="T1785" s="14">
        <f>IFERROR(__xludf.DUMMYFUNCTION("""COMPUTED_VALUE"""),0.256)</f>
        <v>0.256</v>
      </c>
      <c r="U1785" s="14">
        <f>IFERROR(__xludf.DUMMYFUNCTION("""COMPUTED_VALUE"""),0.68)</f>
        <v>0.68</v>
      </c>
      <c r="V1785" s="14">
        <f>IFERROR(__xludf.DUMMYFUNCTION("""COMPUTED_VALUE"""),0.065)</f>
        <v>0.065</v>
      </c>
      <c r="W1785" s="14">
        <f>IFERROR(__xludf.DUMMYFUNCTION("""COMPUTED_VALUE"""),2.3248059E7)</f>
        <v>23248059</v>
      </c>
      <c r="X1785" s="14">
        <f>IFERROR(__xludf.DUMMYFUNCTION("""COMPUTED_VALUE"""),0.596)</f>
        <v>0.596</v>
      </c>
      <c r="Y1785" s="14" t="str">
        <f>IFERROR(__xludf.DUMMYFUNCTION("""COMPUTED_VALUE"""),"North Korea-Asia")</f>
        <v>North Korea-Asia</v>
      </c>
      <c r="Z1785" s="14" t="str">
        <f>IFERROR(__xludf.DUMMYFUNCTION("""COMPUTED_VALUE"""),"Asia")</f>
        <v>Asia</v>
      </c>
      <c r="AA1785" s="14" t="str">
        <f>IFERROR(__xludf.DUMMYFUNCTION("""COMPUTED_VALUE"""),"2002")</f>
        <v>2002</v>
      </c>
      <c r="AB1785" s="15" t="str">
        <f>IFERROR(__xludf.DUMMYFUNCTION("ARRAYFORMULA(VLOOKUP(A1785,IMPORTRANGE(""https://docs.google.com/spreadsheets/d/1BuTWp7qHGjWhqrnf-OmePP568O4A5Am9ttzvVdP67zw/edit#gid=1931367683"" ,""ENERGY!$A$2:$F$2692""), {2,3,4,5,6},0))"),"Asia")</f>
        <v>Asia</v>
      </c>
      <c r="AC1785" s="14" t="str">
        <f>IFERROR(__xludf.DUMMYFUNCTION("""COMPUTED_VALUE"""),"North Korea-Asia")</f>
        <v>North Korea-Asia</v>
      </c>
      <c r="AD1785" s="14" t="str">
        <f>IFERROR(__xludf.DUMMYFUNCTION("""COMPUTED_VALUE"""),"2002")</f>
        <v>2002</v>
      </c>
      <c r="AE1785" s="14">
        <f>IFERROR(__xludf.DUMMYFUNCTION("""COMPUTED_VALUE"""),18794.0)</f>
        <v>18794</v>
      </c>
      <c r="AF1785" s="14">
        <f>IFERROR(__xludf.DUMMYFUNCTION("""COMPUTED_VALUE"""),71624.0)</f>
        <v>71624</v>
      </c>
    </row>
    <row r="1786">
      <c r="A1786" s="12">
        <v>1785.0</v>
      </c>
      <c r="B1786" s="12" t="s">
        <v>216</v>
      </c>
      <c r="C1786" s="5" t="s">
        <v>61</v>
      </c>
      <c r="D1786" s="8"/>
      <c r="E1786" s="8"/>
      <c r="F1786" s="8"/>
      <c r="G1786" s="8"/>
      <c r="H1786" s="8"/>
      <c r="I1786" s="8"/>
      <c r="J1786" s="9" t="s">
        <v>64</v>
      </c>
      <c r="K1786" s="14" t="str">
        <f>IFERROR(__xludf.DUMMYFUNCTION("ARRAYFORMULA(VLOOKUP(A1786,IMPORTRANGE(""https://docs.google.com/spreadsheets/d/1BuTWp7qHGjWhqrnf-OmePP568O4A5Am9ttzvVdP67zw/edit#gid=1603210130"", ""TOURISM!$A$2:$F$2692""), {2,3,4,5,6},0))"),"Asia")</f>
        <v>Asia</v>
      </c>
      <c r="L1786" s="14"/>
      <c r="M1786" s="14" t="str">
        <f>IFERROR(__xludf.DUMMYFUNCTION("""COMPUTED_VALUE"""),"North Korea-Asia")</f>
        <v>North Korea-Asia</v>
      </c>
      <c r="N1786" s="14" t="str">
        <f>IFERROR(__xludf.DUMMYFUNCTION("""COMPUTED_VALUE"""),"2003")</f>
        <v>2003</v>
      </c>
      <c r="O1786" s="14"/>
      <c r="P1786" s="15">
        <f>IFERROR(__xludf.DUMMYFUNCTION("ARRAYFORMULA(VLOOKUP(A1786,IMPORTRANGE(""https://docs.google.com/spreadsheets/d/1BuTWp7qHGjWhqrnf-OmePP568O4A5Am9ttzvVdP67zw/edit#gid=771602874"" ,""HUMAN RESOURCES!$A$2:$M$2692""), {2,3,4,5,6,7,8,9,10,11,12,13},0))"),0.016)</f>
        <v>0.016</v>
      </c>
      <c r="Q1786" s="14">
        <f>IFERROR(__xludf.DUMMYFUNCTION("""COMPUTED_VALUE"""),0.03)</f>
        <v>0.03</v>
      </c>
      <c r="R1786" s="14">
        <f>IFERROR(__xludf.DUMMYFUNCTION("""COMPUTED_VALUE"""),71.0)</f>
        <v>71</v>
      </c>
      <c r="S1786" s="14">
        <f>IFERROR(__xludf.DUMMYFUNCTION("""COMPUTED_VALUE"""),64.0)</f>
        <v>64</v>
      </c>
      <c r="T1786" s="14">
        <f>IFERROR(__xludf.DUMMYFUNCTION("""COMPUTED_VALUE"""),0.253)</f>
        <v>0.253</v>
      </c>
      <c r="U1786" s="14">
        <f>IFERROR(__xludf.DUMMYFUNCTION("""COMPUTED_VALUE"""),0.679)</f>
        <v>0.679</v>
      </c>
      <c r="V1786" s="14">
        <f>IFERROR(__xludf.DUMMYFUNCTION("""COMPUTED_VALUE"""),0.068)</f>
        <v>0.068</v>
      </c>
      <c r="W1786" s="14">
        <f>IFERROR(__xludf.DUMMYFUNCTION("""COMPUTED_VALUE"""),2.344918E7)</f>
        <v>23449180</v>
      </c>
      <c r="X1786" s="14">
        <f>IFERROR(__xludf.DUMMYFUNCTION("""COMPUTED_VALUE"""),0.596)</f>
        <v>0.596</v>
      </c>
      <c r="Y1786" s="14" t="str">
        <f>IFERROR(__xludf.DUMMYFUNCTION("""COMPUTED_VALUE"""),"North Korea-Asia")</f>
        <v>North Korea-Asia</v>
      </c>
      <c r="Z1786" s="14" t="str">
        <f>IFERROR(__xludf.DUMMYFUNCTION("""COMPUTED_VALUE"""),"Asia")</f>
        <v>Asia</v>
      </c>
      <c r="AA1786" s="14" t="str">
        <f>IFERROR(__xludf.DUMMYFUNCTION("""COMPUTED_VALUE"""),"2003")</f>
        <v>2003</v>
      </c>
      <c r="AB1786" s="15" t="str">
        <f>IFERROR(__xludf.DUMMYFUNCTION("ARRAYFORMULA(VLOOKUP(A1786,IMPORTRANGE(""https://docs.google.com/spreadsheets/d/1BuTWp7qHGjWhqrnf-OmePP568O4A5Am9ttzvVdP67zw/edit#gid=1931367683"" ,""ENERGY!$A$2:$F$2692""), {2,3,4,5,6},0))"),"Asia")</f>
        <v>Asia</v>
      </c>
      <c r="AC1786" s="14" t="str">
        <f>IFERROR(__xludf.DUMMYFUNCTION("""COMPUTED_VALUE"""),"North Korea-Asia")</f>
        <v>North Korea-Asia</v>
      </c>
      <c r="AD1786" s="14" t="str">
        <f>IFERROR(__xludf.DUMMYFUNCTION("""COMPUTED_VALUE"""),"2003")</f>
        <v>2003</v>
      </c>
      <c r="AE1786" s="14">
        <f>IFERROR(__xludf.DUMMYFUNCTION("""COMPUTED_VALUE"""),19358.0)</f>
        <v>19358</v>
      </c>
      <c r="AF1786" s="14">
        <f>IFERROR(__xludf.DUMMYFUNCTION("""COMPUTED_VALUE"""),74686.0)</f>
        <v>74686</v>
      </c>
    </row>
    <row r="1787">
      <c r="A1787" s="12">
        <v>1786.0</v>
      </c>
      <c r="B1787" s="12" t="s">
        <v>216</v>
      </c>
      <c r="C1787" s="5" t="s">
        <v>61</v>
      </c>
      <c r="D1787" s="8"/>
      <c r="E1787" s="8"/>
      <c r="F1787" s="8"/>
      <c r="G1787" s="8"/>
      <c r="H1787" s="8"/>
      <c r="I1787" s="8"/>
      <c r="J1787" s="9" t="s">
        <v>65</v>
      </c>
      <c r="K1787" s="14" t="str">
        <f>IFERROR(__xludf.DUMMYFUNCTION("ARRAYFORMULA(VLOOKUP(A1787,IMPORTRANGE(""https://docs.google.com/spreadsheets/d/1BuTWp7qHGjWhqrnf-OmePP568O4A5Am9ttzvVdP67zw/edit#gid=1603210130"", ""TOURISM!$A$2:$F$2692""), {2,3,4,5,6},0))"),"Asia")</f>
        <v>Asia</v>
      </c>
      <c r="L1787" s="14"/>
      <c r="M1787" s="14" t="str">
        <f>IFERROR(__xludf.DUMMYFUNCTION("""COMPUTED_VALUE"""),"North Korea-Asia")</f>
        <v>North Korea-Asia</v>
      </c>
      <c r="N1787" s="14" t="str">
        <f>IFERROR(__xludf.DUMMYFUNCTION("""COMPUTED_VALUE"""),"2004")</f>
        <v>2004</v>
      </c>
      <c r="O1787" s="14"/>
      <c r="P1787" s="15">
        <f>IFERROR(__xludf.DUMMYFUNCTION("ARRAYFORMULA(VLOOKUP(A1787,IMPORTRANGE(""https://docs.google.com/spreadsheets/d/1BuTWp7qHGjWhqrnf-OmePP568O4A5Am9ttzvVdP67zw/edit#gid=771602874"" ,""HUMAN RESOURCES!$A$2:$M$2692""), {2,3,4,5,6,7,8,9,10,11,12,13},0))"),0.016)</f>
        <v>0.016</v>
      </c>
      <c r="Q1787" s="14">
        <f>IFERROR(__xludf.DUMMYFUNCTION("""COMPUTED_VALUE"""),0.028)</f>
        <v>0.028</v>
      </c>
      <c r="R1787" s="14">
        <f>IFERROR(__xludf.DUMMYFUNCTION("""COMPUTED_VALUE"""),72.0)</f>
        <v>72</v>
      </c>
      <c r="S1787" s="14">
        <f>IFERROR(__xludf.DUMMYFUNCTION("""COMPUTED_VALUE"""),64.0)</f>
        <v>64</v>
      </c>
      <c r="T1787" s="14">
        <f>IFERROR(__xludf.DUMMYFUNCTION("""COMPUTED_VALUE"""),0.25)</f>
        <v>0.25</v>
      </c>
      <c r="U1787" s="14">
        <f>IFERROR(__xludf.DUMMYFUNCTION("""COMPUTED_VALUE"""),0.678)</f>
        <v>0.678</v>
      </c>
      <c r="V1787" s="14">
        <f>IFERROR(__xludf.DUMMYFUNCTION("""COMPUTED_VALUE"""),0.071)</f>
        <v>0.071</v>
      </c>
      <c r="W1787" s="14">
        <f>IFERROR(__xludf.DUMMYFUNCTION("""COMPUTED_VALUE"""),2.3639303E7)</f>
        <v>23639303</v>
      </c>
      <c r="X1787" s="14">
        <f>IFERROR(__xludf.DUMMYFUNCTION("""COMPUTED_VALUE"""),0.597)</f>
        <v>0.597</v>
      </c>
      <c r="Y1787" s="14" t="str">
        <f>IFERROR(__xludf.DUMMYFUNCTION("""COMPUTED_VALUE"""),"North Korea-Asia")</f>
        <v>North Korea-Asia</v>
      </c>
      <c r="Z1787" s="14" t="str">
        <f>IFERROR(__xludf.DUMMYFUNCTION("""COMPUTED_VALUE"""),"Asia")</f>
        <v>Asia</v>
      </c>
      <c r="AA1787" s="14" t="str">
        <f>IFERROR(__xludf.DUMMYFUNCTION("""COMPUTED_VALUE"""),"2004")</f>
        <v>2004</v>
      </c>
      <c r="AB1787" s="15" t="str">
        <f>IFERROR(__xludf.DUMMYFUNCTION("ARRAYFORMULA(VLOOKUP(A1787,IMPORTRANGE(""https://docs.google.com/spreadsheets/d/1BuTWp7qHGjWhqrnf-OmePP568O4A5Am9ttzvVdP67zw/edit#gid=1931367683"" ,""ENERGY!$A$2:$F$2692""), {2,3,4,5,6},0))"),"Asia")</f>
        <v>Asia</v>
      </c>
      <c r="AC1787" s="14" t="str">
        <f>IFERROR(__xludf.DUMMYFUNCTION("""COMPUTED_VALUE"""),"North Korea-Asia")</f>
        <v>North Korea-Asia</v>
      </c>
      <c r="AD1787" s="14" t="str">
        <f>IFERROR(__xludf.DUMMYFUNCTION("""COMPUTED_VALUE"""),"2004")</f>
        <v>2004</v>
      </c>
      <c r="AE1787" s="14">
        <f>IFERROR(__xludf.DUMMYFUNCTION("""COMPUTED_VALUE"""),20164.0)</f>
        <v>20164</v>
      </c>
      <c r="AF1787" s="14">
        <f>IFERROR(__xludf.DUMMYFUNCTION("""COMPUTED_VALUE"""),78081.0)</f>
        <v>78081</v>
      </c>
    </row>
    <row r="1788">
      <c r="A1788" s="12">
        <v>1787.0</v>
      </c>
      <c r="B1788" s="12" t="s">
        <v>216</v>
      </c>
      <c r="C1788" s="5" t="s">
        <v>61</v>
      </c>
      <c r="D1788" s="8"/>
      <c r="E1788" s="8"/>
      <c r="F1788" s="8"/>
      <c r="G1788" s="8"/>
      <c r="H1788" s="8"/>
      <c r="I1788" s="8"/>
      <c r="J1788" s="9" t="s">
        <v>66</v>
      </c>
      <c r="K1788" s="14" t="str">
        <f>IFERROR(__xludf.DUMMYFUNCTION("ARRAYFORMULA(VLOOKUP(A1788,IMPORTRANGE(""https://docs.google.com/spreadsheets/d/1BuTWp7qHGjWhqrnf-OmePP568O4A5Am9ttzvVdP67zw/edit#gid=1603210130"", ""TOURISM!$A$2:$F$2692""), {2,3,4,5,6},0))"),"Asia")</f>
        <v>Asia</v>
      </c>
      <c r="L1788" s="14"/>
      <c r="M1788" s="14" t="str">
        <f>IFERROR(__xludf.DUMMYFUNCTION("""COMPUTED_VALUE"""),"North Korea-Asia")</f>
        <v>North Korea-Asia</v>
      </c>
      <c r="N1788" s="14" t="str">
        <f>IFERROR(__xludf.DUMMYFUNCTION("""COMPUTED_VALUE"""),"2005")</f>
        <v>2005</v>
      </c>
      <c r="O1788" s="14"/>
      <c r="P1788" s="15">
        <f>IFERROR(__xludf.DUMMYFUNCTION("ARRAYFORMULA(VLOOKUP(A1788,IMPORTRANGE(""https://docs.google.com/spreadsheets/d/1BuTWp7qHGjWhqrnf-OmePP568O4A5Am9ttzvVdP67zw/edit#gid=771602874"" ,""HUMAN RESOURCES!$A$2:$M$2692""), {2,3,4,5,6,7,8,9,10,11,12,13},0))"),0.016)</f>
        <v>0.016</v>
      </c>
      <c r="Q1788" s="14">
        <f>IFERROR(__xludf.DUMMYFUNCTION("""COMPUTED_VALUE"""),0.026)</f>
        <v>0.026</v>
      </c>
      <c r="R1788" s="14">
        <f>IFERROR(__xludf.DUMMYFUNCTION("""COMPUTED_VALUE"""),72.0)</f>
        <v>72</v>
      </c>
      <c r="S1788" s="14">
        <f>IFERROR(__xludf.DUMMYFUNCTION("""COMPUTED_VALUE"""),65.0)</f>
        <v>65</v>
      </c>
      <c r="T1788" s="14">
        <f>IFERROR(__xludf.DUMMYFUNCTION("""COMPUTED_VALUE"""),0.247)</f>
        <v>0.247</v>
      </c>
      <c r="U1788" s="14">
        <f>IFERROR(__xludf.DUMMYFUNCTION("""COMPUTED_VALUE"""),0.678)</f>
        <v>0.678</v>
      </c>
      <c r="V1788" s="14">
        <f>IFERROR(__xludf.DUMMYFUNCTION("""COMPUTED_VALUE"""),0.074)</f>
        <v>0.074</v>
      </c>
      <c r="W1788" s="14">
        <f>IFERROR(__xludf.DUMMYFUNCTION("""COMPUTED_VALUE"""),2.3813333E7)</f>
        <v>23813333</v>
      </c>
      <c r="X1788" s="14">
        <f>IFERROR(__xludf.DUMMYFUNCTION("""COMPUTED_VALUE"""),0.598)</f>
        <v>0.598</v>
      </c>
      <c r="Y1788" s="14" t="str">
        <f>IFERROR(__xludf.DUMMYFUNCTION("""COMPUTED_VALUE"""),"North Korea-Asia")</f>
        <v>North Korea-Asia</v>
      </c>
      <c r="Z1788" s="14" t="str">
        <f>IFERROR(__xludf.DUMMYFUNCTION("""COMPUTED_VALUE"""),"Asia")</f>
        <v>Asia</v>
      </c>
      <c r="AA1788" s="14" t="str">
        <f>IFERROR(__xludf.DUMMYFUNCTION("""COMPUTED_VALUE"""),"2005")</f>
        <v>2005</v>
      </c>
      <c r="AB1788" s="15" t="str">
        <f>IFERROR(__xludf.DUMMYFUNCTION("ARRAYFORMULA(VLOOKUP(A1788,IMPORTRANGE(""https://docs.google.com/spreadsheets/d/1BuTWp7qHGjWhqrnf-OmePP568O4A5Am9ttzvVdP67zw/edit#gid=1931367683"" ,""ENERGY!$A$2:$F$2692""), {2,3,4,5,6},0))"),"Asia")</f>
        <v>Asia</v>
      </c>
      <c r="AC1788" s="14" t="str">
        <f>IFERROR(__xludf.DUMMYFUNCTION("""COMPUTED_VALUE"""),"North Korea-Asia")</f>
        <v>North Korea-Asia</v>
      </c>
      <c r="AD1788" s="14" t="str">
        <f>IFERROR(__xludf.DUMMYFUNCTION("""COMPUTED_VALUE"""),"2008")</f>
        <v>2008</v>
      </c>
      <c r="AE1788" s="14">
        <f>IFERROR(__xludf.DUMMYFUNCTION("""COMPUTED_VALUE"""),18300.0)</f>
        <v>18300</v>
      </c>
      <c r="AF1788" s="14">
        <f>IFERROR(__xludf.DUMMYFUNCTION("""COMPUTED_VALUE"""),70370.0)</f>
        <v>70370</v>
      </c>
    </row>
    <row r="1789">
      <c r="A1789" s="12">
        <v>1788.0</v>
      </c>
      <c r="B1789" s="12" t="s">
        <v>216</v>
      </c>
      <c r="C1789" s="5" t="s">
        <v>61</v>
      </c>
      <c r="D1789" s="8"/>
      <c r="E1789" s="8"/>
      <c r="F1789" s="8"/>
      <c r="G1789" s="8"/>
      <c r="H1789" s="8"/>
      <c r="I1789" s="8"/>
      <c r="J1789" s="9" t="s">
        <v>67</v>
      </c>
      <c r="K1789" s="14" t="str">
        <f>IFERROR(__xludf.DUMMYFUNCTION("ARRAYFORMULA(VLOOKUP(A1789,IMPORTRANGE(""https://docs.google.com/spreadsheets/d/1BuTWp7qHGjWhqrnf-OmePP568O4A5Am9ttzvVdP67zw/edit#gid=1603210130"", ""TOURISM!$A$2:$F$2692""), {2,3,4,5,6},0))"),"Asia")</f>
        <v>Asia</v>
      </c>
      <c r="L1789" s="14"/>
      <c r="M1789" s="14" t="str">
        <f>IFERROR(__xludf.DUMMYFUNCTION("""COMPUTED_VALUE"""),"North Korea-Asia")</f>
        <v>North Korea-Asia</v>
      </c>
      <c r="N1789" s="14" t="str">
        <f>IFERROR(__xludf.DUMMYFUNCTION("""COMPUTED_VALUE"""),"2006")</f>
        <v>2006</v>
      </c>
      <c r="O1789" s="14"/>
      <c r="P1789" s="15">
        <f>IFERROR(__xludf.DUMMYFUNCTION("ARRAYFORMULA(VLOOKUP(A1789,IMPORTRANGE(""https://docs.google.com/spreadsheets/d/1BuTWp7qHGjWhqrnf-OmePP568O4A5Am9ttzvVdP67zw/edit#gid=771602874"" ,""HUMAN RESOURCES!$A$2:$M$2692""), {2,3,4,5,6,7,8,9,10,11,12,13},0))"),0.015)</f>
        <v>0.015</v>
      </c>
      <c r="Q1789" s="14">
        <f>IFERROR(__xludf.DUMMYFUNCTION("""COMPUTED_VALUE"""),0.026)</f>
        <v>0.026</v>
      </c>
      <c r="R1789" s="14">
        <f>IFERROR(__xludf.DUMMYFUNCTION("""COMPUTED_VALUE"""),72.0)</f>
        <v>72</v>
      </c>
      <c r="S1789" s="14">
        <f>IFERROR(__xludf.DUMMYFUNCTION("""COMPUTED_VALUE"""),65.0)</f>
        <v>65</v>
      </c>
      <c r="T1789" s="14">
        <f>IFERROR(__xludf.DUMMYFUNCTION("""COMPUTED_VALUE"""),0.243)</f>
        <v>0.243</v>
      </c>
      <c r="U1789" s="14">
        <f>IFERROR(__xludf.DUMMYFUNCTION("""COMPUTED_VALUE"""),0.679)</f>
        <v>0.679</v>
      </c>
      <c r="V1789" s="14">
        <f>IFERROR(__xludf.DUMMYFUNCTION("""COMPUTED_VALUE"""),0.077)</f>
        <v>0.077</v>
      </c>
      <c r="W1789" s="14">
        <f>IFERROR(__xludf.DUMMYFUNCTION("""COMPUTED_VALUE"""),2.3969917E7)</f>
        <v>23969917</v>
      </c>
      <c r="X1789" s="14">
        <f>IFERROR(__xludf.DUMMYFUNCTION("""COMPUTED_VALUE"""),0.599)</f>
        <v>0.599</v>
      </c>
      <c r="Y1789" s="14" t="str">
        <f>IFERROR(__xludf.DUMMYFUNCTION("""COMPUTED_VALUE"""),"North Korea-Asia")</f>
        <v>North Korea-Asia</v>
      </c>
      <c r="Z1789" s="14" t="str">
        <f>IFERROR(__xludf.DUMMYFUNCTION("""COMPUTED_VALUE"""),"Asia")</f>
        <v>Asia</v>
      </c>
      <c r="AA1789" s="14" t="str">
        <f>IFERROR(__xludf.DUMMYFUNCTION("""COMPUTED_VALUE"""),"2006")</f>
        <v>2006</v>
      </c>
      <c r="AB1789" s="15" t="str">
        <f>IFERROR(__xludf.DUMMYFUNCTION("ARRAYFORMULA(VLOOKUP(A1789,IMPORTRANGE(""https://docs.google.com/spreadsheets/d/1BuTWp7qHGjWhqrnf-OmePP568O4A5Am9ttzvVdP67zw/edit#gid=1931367683"" ,""ENERGY!$A$2:$F$2692""), {2,3,4,5,6},0))"),"Asia")</f>
        <v>Asia</v>
      </c>
      <c r="AC1789" s="14" t="str">
        <f>IFERROR(__xludf.DUMMYFUNCTION("""COMPUTED_VALUE"""),"North Korea-Asia")</f>
        <v>North Korea-Asia</v>
      </c>
      <c r="AD1789" s="14" t="str">
        <f>IFERROR(__xludf.DUMMYFUNCTION("""COMPUTED_VALUE"""),"2012")</f>
        <v>2012</v>
      </c>
      <c r="AE1789" s="14">
        <f>IFERROR(__xludf.DUMMYFUNCTION("""COMPUTED_VALUE"""),21544.0)</f>
        <v>21544</v>
      </c>
      <c r="AF1789" s="14">
        <f>IFERROR(__xludf.DUMMYFUNCTION("""COMPUTED_VALUE"""),84557.0)</f>
        <v>84557</v>
      </c>
    </row>
    <row r="1790">
      <c r="A1790" s="12">
        <v>1789.0</v>
      </c>
      <c r="B1790" s="12" t="s">
        <v>216</v>
      </c>
      <c r="C1790" s="5" t="s">
        <v>61</v>
      </c>
      <c r="D1790" s="8"/>
      <c r="E1790" s="8"/>
      <c r="F1790" s="8"/>
      <c r="G1790" s="8"/>
      <c r="H1790" s="8"/>
      <c r="I1790" s="8"/>
      <c r="J1790" s="9" t="s">
        <v>68</v>
      </c>
      <c r="K1790" s="14" t="str">
        <f>IFERROR(__xludf.DUMMYFUNCTION("ARRAYFORMULA(VLOOKUP(A1790,IMPORTRANGE(""https://docs.google.com/spreadsheets/d/1BuTWp7qHGjWhqrnf-OmePP568O4A5Am9ttzvVdP67zw/edit#gid=1603210130"", ""TOURISM!$A$2:$F$2692""), {2,3,4,5,6},0))"),"Asia")</f>
        <v>Asia</v>
      </c>
      <c r="L1790" s="14"/>
      <c r="M1790" s="14" t="str">
        <f>IFERROR(__xludf.DUMMYFUNCTION("""COMPUTED_VALUE"""),"North Korea-Asia")</f>
        <v>North Korea-Asia</v>
      </c>
      <c r="N1790" s="14" t="str">
        <f>IFERROR(__xludf.DUMMYFUNCTION("""COMPUTED_VALUE"""),"2007")</f>
        <v>2007</v>
      </c>
      <c r="O1790" s="14"/>
      <c r="P1790" s="15">
        <f>IFERROR(__xludf.DUMMYFUNCTION("ARRAYFORMULA(VLOOKUP(A1790,IMPORTRANGE(""https://docs.google.com/spreadsheets/d/1BuTWp7qHGjWhqrnf-OmePP568O4A5Am9ttzvVdP67zw/edit#gid=771602874"" ,""HUMAN RESOURCES!$A$2:$M$2692""), {2,3,4,5,6,7,8,9,10,11,12,13},0))"),0.015)</f>
        <v>0.015</v>
      </c>
      <c r="Q1790" s="14">
        <f>IFERROR(__xludf.DUMMYFUNCTION("""COMPUTED_VALUE"""),0.026)</f>
        <v>0.026</v>
      </c>
      <c r="R1790" s="14">
        <f>IFERROR(__xludf.DUMMYFUNCTION("""COMPUTED_VALUE"""),72.0)</f>
        <v>72</v>
      </c>
      <c r="S1790" s="14">
        <f>IFERROR(__xludf.DUMMYFUNCTION("""COMPUTED_VALUE"""),65.0)</f>
        <v>65</v>
      </c>
      <c r="T1790" s="14">
        <f>IFERROR(__xludf.DUMMYFUNCTION("""COMPUTED_VALUE"""),0.239)</f>
        <v>0.239</v>
      </c>
      <c r="U1790" s="14">
        <f>IFERROR(__xludf.DUMMYFUNCTION("""COMPUTED_VALUE"""),0.681)</f>
        <v>0.681</v>
      </c>
      <c r="V1790" s="14">
        <f>IFERROR(__xludf.DUMMYFUNCTION("""COMPUTED_VALUE"""),0.08)</f>
        <v>0.08</v>
      </c>
      <c r="W1790" s="14">
        <f>IFERROR(__xludf.DUMMYFUNCTION("""COMPUTED_VALUE"""),2.4111989E7)</f>
        <v>24111989</v>
      </c>
      <c r="X1790" s="14">
        <f>IFERROR(__xludf.DUMMYFUNCTION("""COMPUTED_VALUE"""),0.6)</f>
        <v>0.6</v>
      </c>
      <c r="Y1790" s="14" t="str">
        <f>IFERROR(__xludf.DUMMYFUNCTION("""COMPUTED_VALUE"""),"North Korea-Asia")</f>
        <v>North Korea-Asia</v>
      </c>
      <c r="Z1790" s="14" t="str">
        <f>IFERROR(__xludf.DUMMYFUNCTION("""COMPUTED_VALUE"""),"Asia")</f>
        <v>Asia</v>
      </c>
      <c r="AA1790" s="14" t="str">
        <f>IFERROR(__xludf.DUMMYFUNCTION("""COMPUTED_VALUE"""),"2007")</f>
        <v>2007</v>
      </c>
      <c r="AB1790" s="15" t="str">
        <f>IFERROR(__xludf.DUMMYFUNCTION("ARRAYFORMULA(VLOOKUP(A1790,IMPORTRANGE(""https://docs.google.com/spreadsheets/d/1BuTWp7qHGjWhqrnf-OmePP568O4A5Am9ttzvVdP67zw/edit#gid=1931367683"" ,""ENERGY!$A$2:$F$2692""), {2,3,4,5,6},0))"),"Asia")</f>
        <v>Asia</v>
      </c>
      <c r="AC1790" s="14" t="str">
        <f>IFERROR(__xludf.DUMMYFUNCTION("""COMPUTED_VALUE"""),"North Korea-Asia")</f>
        <v>North Korea-Asia</v>
      </c>
      <c r="AD1790" s="14" t="str">
        <f>IFERROR(__xludf.DUMMYFUNCTION("""COMPUTED_VALUE"""),"2009")</f>
        <v>2009</v>
      </c>
      <c r="AE1790" s="14">
        <f>IFERROR(__xludf.DUMMYFUNCTION("""COMPUTED_VALUE"""),21331.0)</f>
        <v>21331</v>
      </c>
      <c r="AF1790" s="14">
        <f>IFERROR(__xludf.DUMMYFUNCTION("""COMPUTED_VALUE"""),83014.0)</f>
        <v>83014</v>
      </c>
    </row>
    <row r="1791">
      <c r="A1791" s="12">
        <v>1790.0</v>
      </c>
      <c r="B1791" s="12" t="s">
        <v>216</v>
      </c>
      <c r="C1791" s="5" t="s">
        <v>61</v>
      </c>
      <c r="D1791" s="8"/>
      <c r="E1791" s="8"/>
      <c r="F1791" s="8"/>
      <c r="G1791" s="8"/>
      <c r="H1791" s="8"/>
      <c r="I1791" s="8"/>
      <c r="J1791" s="9" t="s">
        <v>69</v>
      </c>
      <c r="K1791" s="14" t="str">
        <f>IFERROR(__xludf.DUMMYFUNCTION("ARRAYFORMULA(VLOOKUP(A1791,IMPORTRANGE(""https://docs.google.com/spreadsheets/d/1BuTWp7qHGjWhqrnf-OmePP568O4A5Am9ttzvVdP67zw/edit#gid=1603210130"", ""TOURISM!$A$2:$F$2692""), {2,3,4,5,6},0))"),"Asia")</f>
        <v>Asia</v>
      </c>
      <c r="L1791" s="14"/>
      <c r="M1791" s="14" t="str">
        <f>IFERROR(__xludf.DUMMYFUNCTION("""COMPUTED_VALUE"""),"North Korea-Asia")</f>
        <v>North Korea-Asia</v>
      </c>
      <c r="N1791" s="14" t="str">
        <f>IFERROR(__xludf.DUMMYFUNCTION("""COMPUTED_VALUE"""),"2008")</f>
        <v>2008</v>
      </c>
      <c r="O1791" s="14"/>
      <c r="P1791" s="15">
        <f>IFERROR(__xludf.DUMMYFUNCTION("ARRAYFORMULA(VLOOKUP(A1791,IMPORTRANGE(""https://docs.google.com/spreadsheets/d/1BuTWp7qHGjWhqrnf-OmePP568O4A5Am9ttzvVdP67zw/edit#gid=771602874"" ,""HUMAN RESOURCES!$A$2:$M$2692""), {2,3,4,5,6,7,8,9,10,11,12,13},0))"),0.015)</f>
        <v>0.015</v>
      </c>
      <c r="Q1791" s="14">
        <f>IFERROR(__xludf.DUMMYFUNCTION("""COMPUTED_VALUE"""),0.026)</f>
        <v>0.026</v>
      </c>
      <c r="R1791" s="14">
        <f>IFERROR(__xludf.DUMMYFUNCTION("""COMPUTED_VALUE"""),72.0)</f>
        <v>72</v>
      </c>
      <c r="S1791" s="14">
        <f>IFERROR(__xludf.DUMMYFUNCTION("""COMPUTED_VALUE"""),65.0)</f>
        <v>65</v>
      </c>
      <c r="T1791" s="14">
        <f>IFERROR(__xludf.DUMMYFUNCTION("""COMPUTED_VALUE"""),0.235)</f>
        <v>0.235</v>
      </c>
      <c r="U1791" s="14">
        <f>IFERROR(__xludf.DUMMYFUNCTION("""COMPUTED_VALUE"""),0.682)</f>
        <v>0.682</v>
      </c>
      <c r="V1791" s="14">
        <f>IFERROR(__xludf.DUMMYFUNCTION("""COMPUTED_VALUE"""),0.083)</f>
        <v>0.083</v>
      </c>
      <c r="W1791" s="14">
        <f>IFERROR(__xludf.DUMMYFUNCTION("""COMPUTED_VALUE"""),2.4243894E7)</f>
        <v>24243894</v>
      </c>
      <c r="X1791" s="14">
        <f>IFERROR(__xludf.DUMMYFUNCTION("""COMPUTED_VALUE"""),0.6)</f>
        <v>0.6</v>
      </c>
      <c r="Y1791" s="14" t="str">
        <f>IFERROR(__xludf.DUMMYFUNCTION("""COMPUTED_VALUE"""),"North Korea-Asia")</f>
        <v>North Korea-Asia</v>
      </c>
      <c r="Z1791" s="14" t="str">
        <f>IFERROR(__xludf.DUMMYFUNCTION("""COMPUTED_VALUE"""),"Asia")</f>
        <v>Asia</v>
      </c>
      <c r="AA1791" s="14" t="str">
        <f>IFERROR(__xludf.DUMMYFUNCTION("""COMPUTED_VALUE"""),"2008")</f>
        <v>2008</v>
      </c>
      <c r="AB1791" s="15" t="str">
        <f>IFERROR(__xludf.DUMMYFUNCTION("ARRAYFORMULA(VLOOKUP(A1791,IMPORTRANGE(""https://docs.google.com/spreadsheets/d/1BuTWp7qHGjWhqrnf-OmePP568O4A5Am9ttzvVdP67zw/edit#gid=1931367683"" ,""ENERGY!$A$2:$F$2692""), {2,3,4,5,6},0))"),"Asia")</f>
        <v>Asia</v>
      </c>
      <c r="AC1791" s="14" t="str">
        <f>IFERROR(__xludf.DUMMYFUNCTION("""COMPUTED_VALUE"""),"North Korea-Asia")</f>
        <v>North Korea-Asia</v>
      </c>
      <c r="AD1791" s="14" t="str">
        <f>IFERROR(__xludf.DUMMYFUNCTION("""COMPUTED_VALUE"""),"2007")</f>
        <v>2007</v>
      </c>
      <c r="AE1791" s="14">
        <f>IFERROR(__xludf.DUMMYFUNCTION("""COMPUTED_VALUE"""),20494.0)</f>
        <v>20494</v>
      </c>
      <c r="AF1791" s="14">
        <f>IFERROR(__xludf.DUMMYFUNCTION("""COMPUTED_VALUE"""),79482.0)</f>
        <v>79482</v>
      </c>
    </row>
    <row r="1792">
      <c r="A1792" s="12">
        <v>1791.0</v>
      </c>
      <c r="B1792" s="12" t="s">
        <v>216</v>
      </c>
      <c r="C1792" s="5" t="s">
        <v>61</v>
      </c>
      <c r="D1792" s="8"/>
      <c r="E1792" s="8"/>
      <c r="F1792" s="8"/>
      <c r="G1792" s="8"/>
      <c r="H1792" s="8"/>
      <c r="I1792" s="11">
        <v>0.003</v>
      </c>
      <c r="J1792" s="9" t="s">
        <v>70</v>
      </c>
      <c r="K1792" s="14" t="str">
        <f>IFERROR(__xludf.DUMMYFUNCTION("ARRAYFORMULA(VLOOKUP(A1792,IMPORTRANGE(""https://docs.google.com/spreadsheets/d/1BuTWp7qHGjWhqrnf-OmePP568O4A5Am9ttzvVdP67zw/edit#gid=1603210130"", ""TOURISM!$A$2:$F$2692""), {2,3,4,5,6},0))"),"Asia")</f>
        <v>Asia</v>
      </c>
      <c r="L1792" s="14"/>
      <c r="M1792" s="14" t="str">
        <f>IFERROR(__xludf.DUMMYFUNCTION("""COMPUTED_VALUE"""),"North Korea-Asia")</f>
        <v>North Korea-Asia</v>
      </c>
      <c r="N1792" s="14" t="str">
        <f>IFERROR(__xludf.DUMMYFUNCTION("""COMPUTED_VALUE"""),"2009")</f>
        <v>2009</v>
      </c>
      <c r="O1792" s="14"/>
      <c r="P1792" s="15">
        <f>IFERROR(__xludf.DUMMYFUNCTION("ARRAYFORMULA(VLOOKUP(A1792,IMPORTRANGE(""https://docs.google.com/spreadsheets/d/1BuTWp7qHGjWhqrnf-OmePP568O4A5Am9ttzvVdP67zw/edit#gid=771602874"" ,""HUMAN RESOURCES!$A$2:$M$2692""), {2,3,4,5,6,7,8,9,10,11,12,13},0))"),0.014)</f>
        <v>0.014</v>
      </c>
      <c r="Q1792" s="14">
        <f>IFERROR(__xludf.DUMMYFUNCTION("""COMPUTED_VALUE"""),0.025)</f>
        <v>0.025</v>
      </c>
      <c r="R1792" s="14">
        <f>IFERROR(__xludf.DUMMYFUNCTION("""COMPUTED_VALUE"""),72.0)</f>
        <v>72</v>
      </c>
      <c r="S1792" s="14">
        <f>IFERROR(__xludf.DUMMYFUNCTION("""COMPUTED_VALUE"""),65.0)</f>
        <v>65</v>
      </c>
      <c r="T1792" s="14">
        <f>IFERROR(__xludf.DUMMYFUNCTION("""COMPUTED_VALUE"""),0.231)</f>
        <v>0.231</v>
      </c>
      <c r="U1792" s="14">
        <f>IFERROR(__xludf.DUMMYFUNCTION("""COMPUTED_VALUE"""),0.684)</f>
        <v>0.684</v>
      </c>
      <c r="V1792" s="14">
        <f>IFERROR(__xludf.DUMMYFUNCTION("""COMPUTED_VALUE"""),0.085)</f>
        <v>0.085</v>
      </c>
      <c r="W1792" s="14">
        <f>IFERROR(__xludf.DUMMYFUNCTION("""COMPUTED_VALUE"""),2.4371865E7)</f>
        <v>24371865</v>
      </c>
      <c r="X1792" s="14">
        <f>IFERROR(__xludf.DUMMYFUNCTION("""COMPUTED_VALUE"""),0.601)</f>
        <v>0.601</v>
      </c>
      <c r="Y1792" s="14" t="str">
        <f>IFERROR(__xludf.DUMMYFUNCTION("""COMPUTED_VALUE"""),"North Korea-Asia")</f>
        <v>North Korea-Asia</v>
      </c>
      <c r="Z1792" s="14" t="str">
        <f>IFERROR(__xludf.DUMMYFUNCTION("""COMPUTED_VALUE"""),"Asia")</f>
        <v>Asia</v>
      </c>
      <c r="AA1792" s="14" t="str">
        <f>IFERROR(__xludf.DUMMYFUNCTION("""COMPUTED_VALUE"""),"2009")</f>
        <v>2009</v>
      </c>
      <c r="AB1792" s="15" t="str">
        <f>IFERROR(__xludf.DUMMYFUNCTION("ARRAYFORMULA(VLOOKUP(A1792,IMPORTRANGE(""https://docs.google.com/spreadsheets/d/1BuTWp7qHGjWhqrnf-OmePP568O4A5Am9ttzvVdP67zw/edit#gid=1931367683"" ,""ENERGY!$A$2:$F$2692""), {2,3,4,5,6},0))"),"Asia")</f>
        <v>Asia</v>
      </c>
      <c r="AC1792" s="14" t="str">
        <f>IFERROR(__xludf.DUMMYFUNCTION("""COMPUTED_VALUE"""),"North Korea-Asia")</f>
        <v>North Korea-Asia</v>
      </c>
      <c r="AD1792" s="14" t="str">
        <f>IFERROR(__xludf.DUMMYFUNCTION("""COMPUTED_VALUE"""),"2011")</f>
        <v>2011</v>
      </c>
      <c r="AE1792" s="14">
        <f>IFERROR(__xludf.DUMMYFUNCTION("""COMPUTED_VALUE"""),20027.0)</f>
        <v>20027</v>
      </c>
      <c r="AF1792" s="14">
        <f>IFERROR(__xludf.DUMMYFUNCTION("""COMPUTED_VALUE"""),77777.0)</f>
        <v>77777</v>
      </c>
    </row>
    <row r="1793">
      <c r="A1793" s="12">
        <v>1792.0</v>
      </c>
      <c r="B1793" s="12" t="s">
        <v>216</v>
      </c>
      <c r="C1793" s="5" t="s">
        <v>61</v>
      </c>
      <c r="D1793" s="8"/>
      <c r="E1793" s="8"/>
      <c r="F1793" s="8"/>
      <c r="G1793" s="8"/>
      <c r="H1793" s="8"/>
      <c r="I1793" s="11">
        <v>0.018</v>
      </c>
      <c r="J1793" s="9" t="s">
        <v>71</v>
      </c>
      <c r="K1793" s="14" t="str">
        <f>IFERROR(__xludf.DUMMYFUNCTION("ARRAYFORMULA(VLOOKUP(A1793,IMPORTRANGE(""https://docs.google.com/spreadsheets/d/1BuTWp7qHGjWhqrnf-OmePP568O4A5Am9ttzvVdP67zw/edit#gid=1603210130"", ""TOURISM!$A$2:$F$2692""), {2,3,4,5,6},0))"),"Asia")</f>
        <v>Asia</v>
      </c>
      <c r="L1793" s="14"/>
      <c r="M1793" s="14" t="str">
        <f>IFERROR(__xludf.DUMMYFUNCTION("""COMPUTED_VALUE"""),"North Korea-Asia")</f>
        <v>North Korea-Asia</v>
      </c>
      <c r="N1793" s="14" t="str">
        <f>IFERROR(__xludf.DUMMYFUNCTION("""COMPUTED_VALUE"""),"2010")</f>
        <v>2010</v>
      </c>
      <c r="O1793" s="14"/>
      <c r="P1793" s="15">
        <f>IFERROR(__xludf.DUMMYFUNCTION("ARRAYFORMULA(VLOOKUP(A1793,IMPORTRANGE(""https://docs.google.com/spreadsheets/d/1BuTWp7qHGjWhqrnf-OmePP568O4A5Am9ttzvVdP67zw/edit#gid=771602874"" ,""HUMAN RESOURCES!$A$2:$M$2692""), {2,3,4,5,6,7,8,9,10,11,12,13},0))"),0.014)</f>
        <v>0.014</v>
      </c>
      <c r="Q1793" s="14">
        <f>IFERROR(__xludf.DUMMYFUNCTION("""COMPUTED_VALUE"""),0.025)</f>
        <v>0.025</v>
      </c>
      <c r="R1793" s="14">
        <f>IFERROR(__xludf.DUMMYFUNCTION("""COMPUTED_VALUE"""),72.0)</f>
        <v>72</v>
      </c>
      <c r="S1793" s="14">
        <f>IFERROR(__xludf.DUMMYFUNCTION("""COMPUTED_VALUE"""),66.0)</f>
        <v>66</v>
      </c>
      <c r="T1793" s="14">
        <f>IFERROR(__xludf.DUMMYFUNCTION("""COMPUTED_VALUE"""),0.227)</f>
        <v>0.227</v>
      </c>
      <c r="U1793" s="14">
        <f>IFERROR(__xludf.DUMMYFUNCTION("""COMPUTED_VALUE"""),0.686)</f>
        <v>0.686</v>
      </c>
      <c r="V1793" s="14">
        <f>IFERROR(__xludf.DUMMYFUNCTION("""COMPUTED_VALUE"""),0.088)</f>
        <v>0.088</v>
      </c>
      <c r="W1793" s="14">
        <f>IFERROR(__xludf.DUMMYFUNCTION("""COMPUTED_VALUE"""),2.450052E7)</f>
        <v>24500520</v>
      </c>
      <c r="X1793" s="14">
        <f>IFERROR(__xludf.DUMMYFUNCTION("""COMPUTED_VALUE"""),0.602)</f>
        <v>0.602</v>
      </c>
      <c r="Y1793" s="14" t="str">
        <f>IFERROR(__xludf.DUMMYFUNCTION("""COMPUTED_VALUE"""),"North Korea-Asia")</f>
        <v>North Korea-Asia</v>
      </c>
      <c r="Z1793" s="14" t="str">
        <f>IFERROR(__xludf.DUMMYFUNCTION("""COMPUTED_VALUE"""),"Asia")</f>
        <v>Asia</v>
      </c>
      <c r="AA1793" s="14" t="str">
        <f>IFERROR(__xludf.DUMMYFUNCTION("""COMPUTED_VALUE"""),"2010")</f>
        <v>2010</v>
      </c>
      <c r="AB1793" s="15" t="str">
        <f>IFERROR(__xludf.DUMMYFUNCTION("ARRAYFORMULA(VLOOKUP(A1793,IMPORTRANGE(""https://docs.google.com/spreadsheets/d/1BuTWp7qHGjWhqrnf-OmePP568O4A5Am9ttzvVdP67zw/edit#gid=1931367683"" ,""ENERGY!$A$2:$F$2692""), {2,3,4,5,6},0))"),"Asia")</f>
        <v>Asia</v>
      </c>
      <c r="AC1793" s="14" t="str">
        <f>IFERROR(__xludf.DUMMYFUNCTION("""COMPUTED_VALUE"""),"North Korea-Asia")</f>
        <v>North Korea-Asia</v>
      </c>
      <c r="AD1793" s="14" t="str">
        <f>IFERROR(__xludf.DUMMYFUNCTION("""COMPUTED_VALUE"""),"2006")</f>
        <v>2006</v>
      </c>
      <c r="AE1793" s="14">
        <f>IFERROR(__xludf.DUMMYFUNCTION("""COMPUTED_VALUE"""),19566.0)</f>
        <v>19566</v>
      </c>
      <c r="AF1793" s="14">
        <f>IFERROR(__xludf.DUMMYFUNCTION("""COMPUTED_VALUE"""),76109.0)</f>
        <v>76109</v>
      </c>
    </row>
    <row r="1794">
      <c r="A1794" s="12">
        <v>1793.0</v>
      </c>
      <c r="B1794" s="12" t="s">
        <v>216</v>
      </c>
      <c r="C1794" s="5" t="s">
        <v>61</v>
      </c>
      <c r="D1794" s="8"/>
      <c r="E1794" s="8"/>
      <c r="F1794" s="8"/>
      <c r="G1794" s="8"/>
      <c r="H1794" s="8"/>
      <c r="I1794" s="11">
        <v>0.041</v>
      </c>
      <c r="J1794" s="9" t="s">
        <v>72</v>
      </c>
      <c r="K1794" s="14" t="str">
        <f>IFERROR(__xludf.DUMMYFUNCTION("ARRAYFORMULA(VLOOKUP(A1794,IMPORTRANGE(""https://docs.google.com/spreadsheets/d/1BuTWp7qHGjWhqrnf-OmePP568O4A5Am9ttzvVdP67zw/edit#gid=1603210130"", ""TOURISM!$A$2:$F$2692""), {2,3,4,5,6},0))"),"Asia")</f>
        <v>Asia</v>
      </c>
      <c r="L1794" s="14"/>
      <c r="M1794" s="14" t="str">
        <f>IFERROR(__xludf.DUMMYFUNCTION("""COMPUTED_VALUE"""),"North Korea-Asia")</f>
        <v>North Korea-Asia</v>
      </c>
      <c r="N1794" s="14" t="str">
        <f>IFERROR(__xludf.DUMMYFUNCTION("""COMPUTED_VALUE"""),"2011")</f>
        <v>2011</v>
      </c>
      <c r="O1794" s="14"/>
      <c r="P1794" s="15">
        <f>IFERROR(__xludf.DUMMYFUNCTION("ARRAYFORMULA(VLOOKUP(A1794,IMPORTRANGE(""https://docs.google.com/spreadsheets/d/1BuTWp7qHGjWhqrnf-OmePP568O4A5Am9ttzvVdP67zw/edit#gid=771602874"" ,""HUMAN RESOURCES!$A$2:$M$2692""), {2,3,4,5,6,7,8,9,10,11,12,13},0))"),0.014)</f>
        <v>0.014</v>
      </c>
      <c r="Q1794" s="14">
        <f>IFERROR(__xludf.DUMMYFUNCTION("""COMPUTED_VALUE"""),0.024)</f>
        <v>0.024</v>
      </c>
      <c r="R1794" s="14">
        <f>IFERROR(__xludf.DUMMYFUNCTION("""COMPUTED_VALUE"""),73.0)</f>
        <v>73</v>
      </c>
      <c r="S1794" s="14">
        <f>IFERROR(__xludf.DUMMYFUNCTION("""COMPUTED_VALUE"""),66.0)</f>
        <v>66</v>
      </c>
      <c r="T1794" s="14">
        <f>IFERROR(__xludf.DUMMYFUNCTION("""COMPUTED_VALUE"""),0.223)</f>
        <v>0.223</v>
      </c>
      <c r="U1794" s="14">
        <f>IFERROR(__xludf.DUMMYFUNCTION("""COMPUTED_VALUE"""),0.687)</f>
        <v>0.687</v>
      </c>
      <c r="V1794" s="14">
        <f>IFERROR(__xludf.DUMMYFUNCTION("""COMPUTED_VALUE"""),0.09)</f>
        <v>0.09</v>
      </c>
      <c r="W1794" s="14">
        <f>IFERROR(__xludf.DUMMYFUNCTION("""COMPUTED_VALUE"""),2.4631291E7)</f>
        <v>24631291</v>
      </c>
      <c r="X1794" s="14">
        <f>IFERROR(__xludf.DUMMYFUNCTION("""COMPUTED_VALUE"""),0.603)</f>
        <v>0.603</v>
      </c>
      <c r="Y1794" s="14" t="str">
        <f>IFERROR(__xludf.DUMMYFUNCTION("""COMPUTED_VALUE"""),"North Korea-Asia")</f>
        <v>North Korea-Asia</v>
      </c>
      <c r="Z1794" s="14" t="str">
        <f>IFERROR(__xludf.DUMMYFUNCTION("""COMPUTED_VALUE"""),"Asia")</f>
        <v>Asia</v>
      </c>
      <c r="AA1794" s="14" t="str">
        <f>IFERROR(__xludf.DUMMYFUNCTION("""COMPUTED_VALUE"""),"2011")</f>
        <v>2011</v>
      </c>
      <c r="AB1794" s="15" t="str">
        <f>IFERROR(__xludf.DUMMYFUNCTION("ARRAYFORMULA(VLOOKUP(A1794,IMPORTRANGE(""https://docs.google.com/spreadsheets/d/1BuTWp7qHGjWhqrnf-OmePP568O4A5Am9ttzvVdP67zw/edit#gid=1931367683"" ,""ENERGY!$A$2:$F$2692""), {2,3,4,5,6},0))"),"Asia")</f>
        <v>Asia</v>
      </c>
      <c r="AC1794" s="14" t="str">
        <f>IFERROR(__xludf.DUMMYFUNCTION("""COMPUTED_VALUE"""),"North Korea-Asia")</f>
        <v>North Korea-Asia</v>
      </c>
      <c r="AD1794" s="14" t="str">
        <f>IFERROR(__xludf.DUMMYFUNCTION("""COMPUTED_VALUE"""),"2006")</f>
        <v>2006</v>
      </c>
      <c r="AE1794" s="14">
        <f>IFERROR(__xludf.DUMMYFUNCTION("""COMPUTED_VALUE"""),20369.0)</f>
        <v>20369</v>
      </c>
      <c r="AF1794" s="14">
        <f>IFERROR(__xludf.DUMMYFUNCTION("""COMPUTED_VALUE"""),79475.0)</f>
        <v>79475</v>
      </c>
    </row>
    <row r="1795">
      <c r="A1795" s="12">
        <v>1794.0</v>
      </c>
      <c r="B1795" s="12" t="s">
        <v>216</v>
      </c>
      <c r="C1795" s="5" t="s">
        <v>61</v>
      </c>
      <c r="D1795" s="8"/>
      <c r="E1795" s="8"/>
      <c r="F1795" s="8"/>
      <c r="G1795" s="8"/>
      <c r="H1795" s="8"/>
      <c r="I1795" s="11">
        <v>0.069</v>
      </c>
      <c r="J1795" s="9" t="s">
        <v>73</v>
      </c>
      <c r="K1795" s="14" t="str">
        <f>IFERROR(__xludf.DUMMYFUNCTION("ARRAYFORMULA(VLOOKUP(A1795,IMPORTRANGE(""https://docs.google.com/spreadsheets/d/1BuTWp7qHGjWhqrnf-OmePP568O4A5Am9ttzvVdP67zw/edit#gid=1603210130"", ""TOURISM!$A$2:$F$2692""), {2,3,4,5,6},0))"),"Asia")</f>
        <v>Asia</v>
      </c>
      <c r="L1795" s="14"/>
      <c r="M1795" s="14" t="str">
        <f>IFERROR(__xludf.DUMMYFUNCTION("""COMPUTED_VALUE"""),"North Korea-Asia")</f>
        <v>North Korea-Asia</v>
      </c>
      <c r="N1795" s="14" t="str">
        <f>IFERROR(__xludf.DUMMYFUNCTION("""COMPUTED_VALUE"""),"2012")</f>
        <v>2012</v>
      </c>
      <c r="O1795" s="14"/>
      <c r="P1795" s="15">
        <f>IFERROR(__xludf.DUMMYFUNCTION("ARRAYFORMULA(VLOOKUP(A1795,IMPORTRANGE(""https://docs.google.com/spreadsheets/d/1BuTWp7qHGjWhqrnf-OmePP568O4A5Am9ttzvVdP67zw/edit#gid=771602874"" ,""HUMAN RESOURCES!$A$2:$M$2692""), {2,3,4,5,6,7,8,9,10,11,12,13},0))"),0.014)</f>
        <v>0.014</v>
      </c>
      <c r="Q1795" s="14">
        <f>IFERROR(__xludf.DUMMYFUNCTION("""COMPUTED_VALUE"""),0.023)</f>
        <v>0.023</v>
      </c>
      <c r="R1795" s="14">
        <f>IFERROR(__xludf.DUMMYFUNCTION("""COMPUTED_VALUE"""),73.0)</f>
        <v>73</v>
      </c>
      <c r="S1795" s="14">
        <f>IFERROR(__xludf.DUMMYFUNCTION("""COMPUTED_VALUE"""),66.0)</f>
        <v>66</v>
      </c>
      <c r="T1795" s="14">
        <f>IFERROR(__xludf.DUMMYFUNCTION("""COMPUTED_VALUE"""),0.22)</f>
        <v>0.22</v>
      </c>
      <c r="U1795" s="14">
        <f>IFERROR(__xludf.DUMMYFUNCTION("""COMPUTED_VALUE"""),0.688)</f>
        <v>0.688</v>
      </c>
      <c r="V1795" s="14">
        <f>IFERROR(__xludf.DUMMYFUNCTION("""COMPUTED_VALUE"""),0.092)</f>
        <v>0.092</v>
      </c>
      <c r="W1795" s="14">
        <f>IFERROR(__xludf.DUMMYFUNCTION("""COMPUTED_VALUE"""),2.4763188E7)</f>
        <v>24763188</v>
      </c>
      <c r="X1795" s="14">
        <f>IFERROR(__xludf.DUMMYFUNCTION("""COMPUTED_VALUE"""),0.604)</f>
        <v>0.604</v>
      </c>
      <c r="Y1795" s="14" t="str">
        <f>IFERROR(__xludf.DUMMYFUNCTION("""COMPUTED_VALUE"""),"North Korea-Asia")</f>
        <v>North Korea-Asia</v>
      </c>
      <c r="Z1795" s="14" t="str">
        <f>IFERROR(__xludf.DUMMYFUNCTION("""COMPUTED_VALUE"""),"Asia")</f>
        <v>Asia</v>
      </c>
      <c r="AA1795" s="14" t="str">
        <f>IFERROR(__xludf.DUMMYFUNCTION("""COMPUTED_VALUE"""),"2012")</f>
        <v>2012</v>
      </c>
      <c r="AB1795" s="15" t="str">
        <f>IFERROR(__xludf.DUMMYFUNCTION("ARRAYFORMULA(VLOOKUP(A1795,IMPORTRANGE(""https://docs.google.com/spreadsheets/d/1BuTWp7qHGjWhqrnf-OmePP568O4A5Am9ttzvVdP67zw/edit#gid=1931367683"" ,""ENERGY!$A$2:$F$2692""), {2,3,4,5,6},0))"),"Asia")</f>
        <v>Asia</v>
      </c>
      <c r="AC1795" s="14" t="str">
        <f>IFERROR(__xludf.DUMMYFUNCTION("""COMPUTED_VALUE"""),"North Korea-Asia")</f>
        <v>North Korea-Asia</v>
      </c>
      <c r="AD1795" s="14" t="str">
        <f>IFERROR(__xludf.DUMMYFUNCTION("""COMPUTED_VALUE"""),"2011")</f>
        <v>2011</v>
      </c>
      <c r="AE1795" s="14">
        <f>IFERROR(__xludf.DUMMYFUNCTION("""COMPUTED_VALUE"""),19717.0)</f>
        <v>19717</v>
      </c>
      <c r="AF1795" s="14">
        <f>IFERROR(__xludf.DUMMYFUNCTION("""COMPUTED_VALUE"""),76699.0)</f>
        <v>76699</v>
      </c>
    </row>
    <row r="1796">
      <c r="A1796" s="12">
        <v>1795.0</v>
      </c>
      <c r="B1796" s="12" t="s">
        <v>217</v>
      </c>
      <c r="C1796" s="5" t="s">
        <v>75</v>
      </c>
      <c r="D1796" s="8"/>
      <c r="E1796" s="8"/>
      <c r="F1796" s="8"/>
      <c r="G1796" s="8"/>
      <c r="H1796" s="11">
        <v>0.025</v>
      </c>
      <c r="I1796" s="11">
        <v>0.056</v>
      </c>
      <c r="J1796" s="9" t="s">
        <v>60</v>
      </c>
      <c r="K1796" s="14" t="str">
        <f>IFERROR(__xludf.DUMMYFUNCTION("ARRAYFORMULA(VLOOKUP(A1796,IMPORTRANGE(""https://docs.google.com/spreadsheets/d/1BuTWp7qHGjWhqrnf-OmePP568O4A5Am9ttzvVdP67zw/edit#gid=1603210130"", ""TOURISM!$A$2:$F$2692""), {2,3,4,5,6},0))"),"Europe")</f>
        <v>Europe</v>
      </c>
      <c r="L1796" s="14">
        <f>IFERROR(__xludf.DUMMYFUNCTION("""COMPUTED_VALUE"""),8.8E7)</f>
        <v>88000000</v>
      </c>
      <c r="M1796" s="14" t="str">
        <f>IFERROR(__xludf.DUMMYFUNCTION("""COMPUTED_VALUE"""),"North Macedonia-Europe")</f>
        <v>North Macedonia-Europe</v>
      </c>
      <c r="N1796" s="14" t="str">
        <f>IFERROR(__xludf.DUMMYFUNCTION("""COMPUTED_VALUE"""),"2000")</f>
        <v>2000</v>
      </c>
      <c r="O1796" s="14">
        <f>IFERROR(__xludf.DUMMYFUNCTION("""COMPUTED_VALUE"""),5.8E7)</f>
        <v>58000000</v>
      </c>
      <c r="P1796" s="15">
        <f>IFERROR(__xludf.DUMMYFUNCTION("ARRAYFORMULA(VLOOKUP(A1796,IMPORTRANGE(""https://docs.google.com/spreadsheets/d/1BuTWp7qHGjWhqrnf-OmePP568O4A5Am9ttzvVdP67zw/edit#gid=771602874"" ,""HUMAN RESOURCES!$A$2:$M$2692""), {2,3,4,5,6,7,8,9,10,11,12,13},0))"),0.013)</f>
        <v>0.013</v>
      </c>
      <c r="Q1796" s="14">
        <f>IFERROR(__xludf.DUMMYFUNCTION("""COMPUTED_VALUE"""),0.014)</f>
        <v>0.014</v>
      </c>
      <c r="R1796" s="14">
        <f>IFERROR(__xludf.DUMMYFUNCTION("""COMPUTED_VALUE"""),76.0)</f>
        <v>76</v>
      </c>
      <c r="S1796" s="14">
        <f>IFERROR(__xludf.DUMMYFUNCTION("""COMPUTED_VALUE"""),71.0)</f>
        <v>71</v>
      </c>
      <c r="T1796" s="14">
        <f>IFERROR(__xludf.DUMMYFUNCTION("""COMPUTED_VALUE"""),0.224)</f>
        <v>0.224</v>
      </c>
      <c r="U1796" s="14">
        <f>IFERROR(__xludf.DUMMYFUNCTION("""COMPUTED_VALUE"""),0.676)</f>
        <v>0.676</v>
      </c>
      <c r="V1796" s="14">
        <f>IFERROR(__xludf.DUMMYFUNCTION("""COMPUTED_VALUE"""),0.1)</f>
        <v>0.1</v>
      </c>
      <c r="W1796" s="14">
        <f>IFERROR(__xludf.DUMMYFUNCTION("""COMPUTED_VALUE"""),2052129.0)</f>
        <v>2052129</v>
      </c>
      <c r="X1796" s="14">
        <f>IFERROR(__xludf.DUMMYFUNCTION("""COMPUTED_VALUE"""),0.585)</f>
        <v>0.585</v>
      </c>
      <c r="Y1796" s="14" t="str">
        <f>IFERROR(__xludf.DUMMYFUNCTION("""COMPUTED_VALUE"""),"North Macedonia-Europe")</f>
        <v>North Macedonia-Europe</v>
      </c>
      <c r="Z1796" s="14" t="str">
        <f>IFERROR(__xludf.DUMMYFUNCTION("""COMPUTED_VALUE"""),"Europe")</f>
        <v>Europe</v>
      </c>
      <c r="AA1796" s="14" t="str">
        <f>IFERROR(__xludf.DUMMYFUNCTION("""COMPUTED_VALUE"""),"2000")</f>
        <v>2000</v>
      </c>
      <c r="AB1796" s="15" t="str">
        <f>IFERROR(__xludf.DUMMYFUNCTION("ARRAYFORMULA(VLOOKUP(A1796,IMPORTRANGE(""https://docs.google.com/spreadsheets/d/1BuTWp7qHGjWhqrnf-OmePP568O4A5Am9ttzvVdP67zw/edit#gid=1931367683"" ,""ENERGY!$A$2:$F$2692""), {2,3,4,5,6},0))"),"Europe")</f>
        <v>Europe</v>
      </c>
      <c r="AC1796" s="14" t="str">
        <f>IFERROR(__xludf.DUMMYFUNCTION("""COMPUTED_VALUE"""),"North Macedonia-Europe")</f>
        <v>North Macedonia-Europe</v>
      </c>
      <c r="AD1796" s="14" t="str">
        <f>IFERROR(__xludf.DUMMYFUNCTION("""COMPUTED_VALUE"""),"2000")</f>
        <v>2000</v>
      </c>
      <c r="AE1796" s="14"/>
      <c r="AF1796" s="14"/>
    </row>
    <row r="1797">
      <c r="A1797" s="12">
        <v>1796.0</v>
      </c>
      <c r="B1797" s="12" t="s">
        <v>217</v>
      </c>
      <c r="C1797" s="5" t="s">
        <v>75</v>
      </c>
      <c r="D1797" s="8"/>
      <c r="E1797" s="8"/>
      <c r="F1797" s="8"/>
      <c r="G1797" s="8"/>
      <c r="H1797" s="11">
        <v>0.035</v>
      </c>
      <c r="I1797" s="11">
        <v>0.108</v>
      </c>
      <c r="J1797" s="9" t="s">
        <v>62</v>
      </c>
      <c r="K1797" s="14" t="str">
        <f>IFERROR(__xludf.DUMMYFUNCTION("ARRAYFORMULA(VLOOKUP(A1797,IMPORTRANGE(""https://docs.google.com/spreadsheets/d/1BuTWp7qHGjWhqrnf-OmePP568O4A5Am9ttzvVdP67zw/edit#gid=1603210130"", ""TOURISM!$A$2:$F$2692""), {2,3,4,5,6},0))"),"Europe")</f>
        <v>Europe</v>
      </c>
      <c r="L1797" s="14">
        <f>IFERROR(__xludf.DUMMYFUNCTION("""COMPUTED_VALUE"""),4.9E7)</f>
        <v>49000000</v>
      </c>
      <c r="M1797" s="14" t="str">
        <f>IFERROR(__xludf.DUMMYFUNCTION("""COMPUTED_VALUE"""),"North Macedonia-Europe")</f>
        <v>North Macedonia-Europe</v>
      </c>
      <c r="N1797" s="14" t="str">
        <f>IFERROR(__xludf.DUMMYFUNCTION("""COMPUTED_VALUE"""),"2001")</f>
        <v>2001</v>
      </c>
      <c r="O1797" s="14">
        <f>IFERROR(__xludf.DUMMYFUNCTION("""COMPUTED_VALUE"""),6.0E7)</f>
        <v>60000000</v>
      </c>
      <c r="P1797" s="15">
        <f>IFERROR(__xludf.DUMMYFUNCTION("ARRAYFORMULA(VLOOKUP(A1797,IMPORTRANGE(""https://docs.google.com/spreadsheets/d/1BuTWp7qHGjWhqrnf-OmePP568O4A5Am9ttzvVdP67zw/edit#gid=771602874"" ,""HUMAN RESOURCES!$A$2:$M$2692""), {2,3,4,5,6,7,8,9,10,11,12,13},0))"),0.012)</f>
        <v>0.012</v>
      </c>
      <c r="Q1797" s="14">
        <f>IFERROR(__xludf.DUMMYFUNCTION("""COMPUTED_VALUE"""),0.014)</f>
        <v>0.014</v>
      </c>
      <c r="R1797" s="14">
        <f>IFERROR(__xludf.DUMMYFUNCTION("""COMPUTED_VALUE"""),76.0)</f>
        <v>76</v>
      </c>
      <c r="S1797" s="14">
        <f>IFERROR(__xludf.DUMMYFUNCTION("""COMPUTED_VALUE"""),71.0)</f>
        <v>71</v>
      </c>
      <c r="T1797" s="14">
        <f>IFERROR(__xludf.DUMMYFUNCTION("""COMPUTED_VALUE"""),0.219)</f>
        <v>0.219</v>
      </c>
      <c r="U1797" s="14">
        <f>IFERROR(__xludf.DUMMYFUNCTION("""COMPUTED_VALUE"""),0.679)</f>
        <v>0.679</v>
      </c>
      <c r="V1797" s="14">
        <f>IFERROR(__xludf.DUMMYFUNCTION("""COMPUTED_VALUE"""),0.103)</f>
        <v>0.103</v>
      </c>
      <c r="W1797" s="14">
        <f>IFERROR(__xludf.DUMMYFUNCTION("""COMPUTED_VALUE"""),2065098.0)</f>
        <v>2065098</v>
      </c>
      <c r="X1797" s="14">
        <f>IFERROR(__xludf.DUMMYFUNCTION("""COMPUTED_VALUE"""),0.583)</f>
        <v>0.583</v>
      </c>
      <c r="Y1797" s="14" t="str">
        <f>IFERROR(__xludf.DUMMYFUNCTION("""COMPUTED_VALUE"""),"North Macedonia-Europe")</f>
        <v>North Macedonia-Europe</v>
      </c>
      <c r="Z1797" s="14" t="str">
        <f>IFERROR(__xludf.DUMMYFUNCTION("""COMPUTED_VALUE"""),"Europe")</f>
        <v>Europe</v>
      </c>
      <c r="AA1797" s="14" t="str">
        <f>IFERROR(__xludf.DUMMYFUNCTION("""COMPUTED_VALUE"""),"2001")</f>
        <v>2001</v>
      </c>
      <c r="AB1797" s="15" t="str">
        <f>IFERROR(__xludf.DUMMYFUNCTION("ARRAYFORMULA(VLOOKUP(A1797,IMPORTRANGE(""https://docs.google.com/spreadsheets/d/1BuTWp7qHGjWhqrnf-OmePP568O4A5Am9ttzvVdP67zw/edit#gid=1931367683"" ,""ENERGY!$A$2:$F$2692""), {2,3,4,5,6},0))"),"Europe")</f>
        <v>Europe</v>
      </c>
      <c r="AC1797" s="14" t="str">
        <f>IFERROR(__xludf.DUMMYFUNCTION("""COMPUTED_VALUE"""),"North Macedonia-Europe")</f>
        <v>North Macedonia-Europe</v>
      </c>
      <c r="AD1797" s="14" t="str">
        <f>IFERROR(__xludf.DUMMYFUNCTION("""COMPUTED_VALUE"""),"2001")</f>
        <v>2001</v>
      </c>
      <c r="AE1797" s="14">
        <f>IFERROR(__xludf.DUMMYFUNCTION("""COMPUTED_VALUE"""),3122.0)</f>
        <v>3122</v>
      </c>
      <c r="AF1797" s="14"/>
    </row>
    <row r="1798">
      <c r="A1798" s="12">
        <v>1797.0</v>
      </c>
      <c r="B1798" s="12" t="s">
        <v>217</v>
      </c>
      <c r="C1798" s="5" t="s">
        <v>75</v>
      </c>
      <c r="D1798" s="8"/>
      <c r="E1798" s="8"/>
      <c r="F1798" s="8"/>
      <c r="G1798" s="8"/>
      <c r="H1798" s="11">
        <v>0.173</v>
      </c>
      <c r="I1798" s="11">
        <v>0.176</v>
      </c>
      <c r="J1798" s="9" t="s">
        <v>63</v>
      </c>
      <c r="K1798" s="14" t="str">
        <f>IFERROR(__xludf.DUMMYFUNCTION("ARRAYFORMULA(VLOOKUP(A1798,IMPORTRANGE(""https://docs.google.com/spreadsheets/d/1BuTWp7qHGjWhqrnf-OmePP568O4A5Am9ttzvVdP67zw/edit#gid=1603210130"", ""TOURISM!$A$2:$F$2692""), {2,3,4,5,6},0))"),"Europe")</f>
        <v>Europe</v>
      </c>
      <c r="L1798" s="14">
        <f>IFERROR(__xludf.DUMMYFUNCTION("""COMPUTED_VALUE"""),5.5E7)</f>
        <v>55000000</v>
      </c>
      <c r="M1798" s="14" t="str">
        <f>IFERROR(__xludf.DUMMYFUNCTION("""COMPUTED_VALUE"""),"North Macedonia-Europe")</f>
        <v>North Macedonia-Europe</v>
      </c>
      <c r="N1798" s="14" t="str">
        <f>IFERROR(__xludf.DUMMYFUNCTION("""COMPUTED_VALUE"""),"2002")</f>
        <v>2002</v>
      </c>
      <c r="O1798" s="14">
        <f>IFERROR(__xludf.DUMMYFUNCTION("""COMPUTED_VALUE"""),6.0E7)</f>
        <v>60000000</v>
      </c>
      <c r="P1798" s="15">
        <f>IFERROR(__xludf.DUMMYFUNCTION("ARRAYFORMULA(VLOOKUP(A1798,IMPORTRANGE(""https://docs.google.com/spreadsheets/d/1BuTWp7qHGjWhqrnf-OmePP568O4A5Am9ttzvVdP67zw/edit#gid=771602874"" ,""HUMAN RESOURCES!$A$2:$M$2692""), {2,3,4,5,6,7,8,9,10,11,12,13},0))"),0.012)</f>
        <v>0.012</v>
      </c>
      <c r="Q1798" s="14">
        <f>IFERROR(__xludf.DUMMYFUNCTION("""COMPUTED_VALUE"""),0.013)</f>
        <v>0.013</v>
      </c>
      <c r="R1798" s="14">
        <f>IFERROR(__xludf.DUMMYFUNCTION("""COMPUTED_VALUE"""),76.0)</f>
        <v>76</v>
      </c>
      <c r="S1798" s="14">
        <f>IFERROR(__xludf.DUMMYFUNCTION("""COMPUTED_VALUE"""),71.0)</f>
        <v>71</v>
      </c>
      <c r="T1798" s="14">
        <f>IFERROR(__xludf.DUMMYFUNCTION("""COMPUTED_VALUE"""),0.213)</f>
        <v>0.213</v>
      </c>
      <c r="U1798" s="14">
        <f>IFERROR(__xludf.DUMMYFUNCTION("""COMPUTED_VALUE"""),0.681)</f>
        <v>0.681</v>
      </c>
      <c r="V1798" s="14">
        <f>IFERROR(__xludf.DUMMYFUNCTION("""COMPUTED_VALUE"""),0.106)</f>
        <v>0.106</v>
      </c>
      <c r="W1798" s="14">
        <f>IFERROR(__xludf.DUMMYFUNCTION("""COMPUTED_VALUE"""),2074441.0)</f>
        <v>2074441</v>
      </c>
      <c r="X1798" s="14">
        <f>IFERROR(__xludf.DUMMYFUNCTION("""COMPUTED_VALUE"""),0.581)</f>
        <v>0.581</v>
      </c>
      <c r="Y1798" s="14" t="str">
        <f>IFERROR(__xludf.DUMMYFUNCTION("""COMPUTED_VALUE"""),"North Macedonia-Europe")</f>
        <v>North Macedonia-Europe</v>
      </c>
      <c r="Z1798" s="14" t="str">
        <f>IFERROR(__xludf.DUMMYFUNCTION("""COMPUTED_VALUE"""),"Europe")</f>
        <v>Europe</v>
      </c>
      <c r="AA1798" s="14" t="str">
        <f>IFERROR(__xludf.DUMMYFUNCTION("""COMPUTED_VALUE"""),"2002")</f>
        <v>2002</v>
      </c>
      <c r="AB1798" s="15" t="str">
        <f>IFERROR(__xludf.DUMMYFUNCTION("ARRAYFORMULA(VLOOKUP(A1798,IMPORTRANGE(""https://docs.google.com/spreadsheets/d/1BuTWp7qHGjWhqrnf-OmePP568O4A5Am9ttzvVdP67zw/edit#gid=1931367683"" ,""ENERGY!$A$2:$F$2692""), {2,3,4,5,6},0))"),"Europe")</f>
        <v>Europe</v>
      </c>
      <c r="AC1798" s="14" t="str">
        <f>IFERROR(__xludf.DUMMYFUNCTION("""COMPUTED_VALUE"""),"North Macedonia-Europe")</f>
        <v>North Macedonia-Europe</v>
      </c>
      <c r="AD1798" s="14" t="str">
        <f>IFERROR(__xludf.DUMMYFUNCTION("""COMPUTED_VALUE"""),"2002")</f>
        <v>2002</v>
      </c>
      <c r="AE1798" s="14">
        <f>IFERROR(__xludf.DUMMYFUNCTION("""COMPUTED_VALUE"""),2883.0)</f>
        <v>2883</v>
      </c>
      <c r="AF1798" s="14">
        <f>IFERROR(__xludf.DUMMYFUNCTION("""COMPUTED_VALUE"""),10873.0)</f>
        <v>10873</v>
      </c>
    </row>
    <row r="1799">
      <c r="A1799" s="12">
        <v>1798.0</v>
      </c>
      <c r="B1799" s="12" t="s">
        <v>217</v>
      </c>
      <c r="C1799" s="5" t="s">
        <v>75</v>
      </c>
      <c r="D1799" s="8"/>
      <c r="E1799" s="11">
        <v>48.0</v>
      </c>
      <c r="F1799" s="8"/>
      <c r="G1799" s="8"/>
      <c r="H1799" s="11">
        <v>0.191</v>
      </c>
      <c r="I1799" s="11">
        <v>0.373</v>
      </c>
      <c r="J1799" s="9" t="s">
        <v>64</v>
      </c>
      <c r="K1799" s="14" t="str">
        <f>IFERROR(__xludf.DUMMYFUNCTION("ARRAYFORMULA(VLOOKUP(A1799,IMPORTRANGE(""https://docs.google.com/spreadsheets/d/1BuTWp7qHGjWhqrnf-OmePP568O4A5Am9ttzvVdP67zw/edit#gid=1603210130"", ""TOURISM!$A$2:$F$2692""), {2,3,4,5,6},0))"),"Europe")</f>
        <v>Europe</v>
      </c>
      <c r="L1799" s="14">
        <f>IFERROR(__xludf.DUMMYFUNCTION("""COMPUTED_VALUE"""),8.6E7)</f>
        <v>86000000</v>
      </c>
      <c r="M1799" s="14" t="str">
        <f>IFERROR(__xludf.DUMMYFUNCTION("""COMPUTED_VALUE"""),"North Macedonia-Europe")</f>
        <v>North Macedonia-Europe</v>
      </c>
      <c r="N1799" s="14" t="str">
        <f>IFERROR(__xludf.DUMMYFUNCTION("""COMPUTED_VALUE"""),"2003")</f>
        <v>2003</v>
      </c>
      <c r="O1799" s="14">
        <f>IFERROR(__xludf.DUMMYFUNCTION("""COMPUTED_VALUE"""),7.1E7)</f>
        <v>71000000</v>
      </c>
      <c r="P1799" s="15">
        <f>IFERROR(__xludf.DUMMYFUNCTION("ARRAYFORMULA(VLOOKUP(A1799,IMPORTRANGE(""https://docs.google.com/spreadsheets/d/1BuTWp7qHGjWhqrnf-OmePP568O4A5Am9ttzvVdP67zw/edit#gid=771602874"" ,""HUMAN RESOURCES!$A$2:$M$2692""), {2,3,4,5,6,7,8,9,10,11,12,13},0))"),0.012)</f>
        <v>0.012</v>
      </c>
      <c r="Q1799" s="14">
        <f>IFERROR(__xludf.DUMMYFUNCTION("""COMPUTED_VALUE"""),0.013)</f>
        <v>0.013</v>
      </c>
      <c r="R1799" s="14">
        <f>IFERROR(__xludf.DUMMYFUNCTION("""COMPUTED_VALUE"""),76.0)</f>
        <v>76</v>
      </c>
      <c r="S1799" s="14">
        <f>IFERROR(__xludf.DUMMYFUNCTION("""COMPUTED_VALUE"""),71.0)</f>
        <v>71</v>
      </c>
      <c r="T1799" s="14">
        <f>IFERROR(__xludf.DUMMYFUNCTION("""COMPUTED_VALUE"""),0.208)</f>
        <v>0.208</v>
      </c>
      <c r="U1799" s="14">
        <f>IFERROR(__xludf.DUMMYFUNCTION("""COMPUTED_VALUE"""),0.684)</f>
        <v>0.684</v>
      </c>
      <c r="V1799" s="14">
        <f>IFERROR(__xludf.DUMMYFUNCTION("""COMPUTED_VALUE"""),0.108)</f>
        <v>0.108</v>
      </c>
      <c r="W1799" s="14">
        <f>IFERROR(__xludf.DUMMYFUNCTION("""COMPUTED_VALUE"""),2080866.0)</f>
        <v>2080866</v>
      </c>
      <c r="X1799" s="14">
        <f>IFERROR(__xludf.DUMMYFUNCTION("""COMPUTED_VALUE"""),0.579)</f>
        <v>0.579</v>
      </c>
      <c r="Y1799" s="14" t="str">
        <f>IFERROR(__xludf.DUMMYFUNCTION("""COMPUTED_VALUE"""),"North Macedonia-Europe")</f>
        <v>North Macedonia-Europe</v>
      </c>
      <c r="Z1799" s="14" t="str">
        <f>IFERROR(__xludf.DUMMYFUNCTION("""COMPUTED_VALUE"""),"Europe")</f>
        <v>Europe</v>
      </c>
      <c r="AA1799" s="14" t="str">
        <f>IFERROR(__xludf.DUMMYFUNCTION("""COMPUTED_VALUE"""),"2003")</f>
        <v>2003</v>
      </c>
      <c r="AB1799" s="15" t="str">
        <f>IFERROR(__xludf.DUMMYFUNCTION("ARRAYFORMULA(VLOOKUP(A1799,IMPORTRANGE(""https://docs.google.com/spreadsheets/d/1BuTWp7qHGjWhqrnf-OmePP568O4A5Am9ttzvVdP67zw/edit#gid=1931367683"" ,""ENERGY!$A$2:$F$2692""), {2,3,4,5,6},0))"),"Europe")</f>
        <v>Europe</v>
      </c>
      <c r="AC1799" s="14" t="str">
        <f>IFERROR(__xludf.DUMMYFUNCTION("""COMPUTED_VALUE"""),"North Macedonia-Europe")</f>
        <v>North Macedonia-Europe</v>
      </c>
      <c r="AD1799" s="14" t="str">
        <f>IFERROR(__xludf.DUMMYFUNCTION("""COMPUTED_VALUE"""),"2003")</f>
        <v>2003</v>
      </c>
      <c r="AE1799" s="14">
        <f>IFERROR(__xludf.DUMMYFUNCTION("""COMPUTED_VALUE"""),2811.0)</f>
        <v>2811</v>
      </c>
      <c r="AF1799" s="14">
        <f>IFERROR(__xludf.DUMMYFUNCTION("""COMPUTED_VALUE"""),11408.0)</f>
        <v>11408</v>
      </c>
    </row>
    <row r="1800">
      <c r="A1800" s="12">
        <v>1799.0</v>
      </c>
      <c r="B1800" s="12" t="s">
        <v>217</v>
      </c>
      <c r="C1800" s="5" t="s">
        <v>75</v>
      </c>
      <c r="D1800" s="8"/>
      <c r="E1800" s="11">
        <v>48.0</v>
      </c>
      <c r="F1800" s="8"/>
      <c r="G1800" s="8"/>
      <c r="H1800" s="11">
        <v>0.244</v>
      </c>
      <c r="I1800" s="11">
        <v>0.473</v>
      </c>
      <c r="J1800" s="9" t="s">
        <v>65</v>
      </c>
      <c r="K1800" s="14" t="str">
        <f>IFERROR(__xludf.DUMMYFUNCTION("ARRAYFORMULA(VLOOKUP(A1800,IMPORTRANGE(""https://docs.google.com/spreadsheets/d/1BuTWp7qHGjWhqrnf-OmePP568O4A5Am9ttzvVdP67zw/edit#gid=1603210130"", ""TOURISM!$A$2:$F$2692""), {2,3,4,5,6},0))"),"Europe")</f>
        <v>Europe</v>
      </c>
      <c r="L1800" s="14">
        <f>IFERROR(__xludf.DUMMYFUNCTION("""COMPUTED_VALUE"""),1.03E8)</f>
        <v>103000000</v>
      </c>
      <c r="M1800" s="14" t="str">
        <f>IFERROR(__xludf.DUMMYFUNCTION("""COMPUTED_VALUE"""),"North Macedonia-Europe")</f>
        <v>North Macedonia-Europe</v>
      </c>
      <c r="N1800" s="14" t="str">
        <f>IFERROR(__xludf.DUMMYFUNCTION("""COMPUTED_VALUE"""),"2004")</f>
        <v>2004</v>
      </c>
      <c r="O1800" s="14">
        <f>IFERROR(__xludf.DUMMYFUNCTION("""COMPUTED_VALUE"""),8.5E7)</f>
        <v>85000000</v>
      </c>
      <c r="P1800" s="15">
        <f>IFERROR(__xludf.DUMMYFUNCTION("ARRAYFORMULA(VLOOKUP(A1800,IMPORTRANGE(""https://docs.google.com/spreadsheets/d/1BuTWp7qHGjWhqrnf-OmePP568O4A5Am9ttzvVdP67zw/edit#gid=771602874"" ,""HUMAN RESOURCES!$A$2:$M$2692""), {2,3,4,5,6,7,8,9,10,11,12,13},0))"),0.012)</f>
        <v>0.012</v>
      </c>
      <c r="Q1800" s="14">
        <f>IFERROR(__xludf.DUMMYFUNCTION("""COMPUTED_VALUE"""),0.012)</f>
        <v>0.012</v>
      </c>
      <c r="R1800" s="14">
        <f>IFERROR(__xludf.DUMMYFUNCTION("""COMPUTED_VALUE"""),77.0)</f>
        <v>77</v>
      </c>
      <c r="S1800" s="14">
        <f>IFERROR(__xludf.DUMMYFUNCTION("""COMPUTED_VALUE"""),72.0)</f>
        <v>72</v>
      </c>
      <c r="T1800" s="14">
        <f>IFERROR(__xludf.DUMMYFUNCTION("""COMPUTED_VALUE"""),0.203)</f>
        <v>0.203</v>
      </c>
      <c r="U1800" s="14">
        <f>IFERROR(__xludf.DUMMYFUNCTION("""COMPUTED_VALUE"""),0.687)</f>
        <v>0.687</v>
      </c>
      <c r="V1800" s="14">
        <f>IFERROR(__xludf.DUMMYFUNCTION("""COMPUTED_VALUE"""),0.11)</f>
        <v>0.11</v>
      </c>
      <c r="W1800" s="14">
        <f>IFERROR(__xludf.DUMMYFUNCTION("""COMPUTED_VALUE"""),2085728.0)</f>
        <v>2085728</v>
      </c>
      <c r="X1800" s="14">
        <f>IFERROR(__xludf.DUMMYFUNCTION("""COMPUTED_VALUE"""),0.577)</f>
        <v>0.577</v>
      </c>
      <c r="Y1800" s="14" t="str">
        <f>IFERROR(__xludf.DUMMYFUNCTION("""COMPUTED_VALUE"""),"North Macedonia-Europe")</f>
        <v>North Macedonia-Europe</v>
      </c>
      <c r="Z1800" s="14" t="str">
        <f>IFERROR(__xludf.DUMMYFUNCTION("""COMPUTED_VALUE"""),"Europe")</f>
        <v>Europe</v>
      </c>
      <c r="AA1800" s="14" t="str">
        <f>IFERROR(__xludf.DUMMYFUNCTION("""COMPUTED_VALUE"""),"2004")</f>
        <v>2004</v>
      </c>
      <c r="AB1800" s="15" t="str">
        <f>IFERROR(__xludf.DUMMYFUNCTION("ARRAYFORMULA(VLOOKUP(A1800,IMPORTRANGE(""https://docs.google.com/spreadsheets/d/1BuTWp7qHGjWhqrnf-OmePP568O4A5Am9ttzvVdP67zw/edit#gid=1931367683"" ,""ENERGY!$A$2:$F$2692""), {2,3,4,5,6},0))"),"Europe")</f>
        <v>Europe</v>
      </c>
      <c r="AC1800" s="14" t="str">
        <f>IFERROR(__xludf.DUMMYFUNCTION("""COMPUTED_VALUE"""),"North Macedonia-Europe")</f>
        <v>North Macedonia-Europe</v>
      </c>
      <c r="AD1800" s="14" t="str">
        <f>IFERROR(__xludf.DUMMYFUNCTION("""COMPUTED_VALUE"""),"2004")</f>
        <v>2004</v>
      </c>
      <c r="AE1800" s="14">
        <f>IFERROR(__xludf.DUMMYFUNCTION("""COMPUTED_VALUE"""),3012.0)</f>
        <v>3012</v>
      </c>
      <c r="AF1800" s="14">
        <f>IFERROR(__xludf.DUMMYFUNCTION("""COMPUTED_VALUE"""),11848.0)</f>
        <v>11848</v>
      </c>
    </row>
    <row r="1801">
      <c r="A1801" s="12">
        <v>1800.0</v>
      </c>
      <c r="B1801" s="12" t="s">
        <v>217</v>
      </c>
      <c r="C1801" s="5" t="s">
        <v>75</v>
      </c>
      <c r="D1801" s="11">
        <v>0.203</v>
      </c>
      <c r="E1801" s="11">
        <v>48.0</v>
      </c>
      <c r="F1801" s="8"/>
      <c r="G1801" s="11">
        <v>192.0</v>
      </c>
      <c r="H1801" s="11">
        <v>0.265</v>
      </c>
      <c r="I1801" s="11">
        <v>0.541</v>
      </c>
      <c r="J1801" s="9" t="s">
        <v>66</v>
      </c>
      <c r="K1801" s="14" t="str">
        <f>IFERROR(__xludf.DUMMYFUNCTION("ARRAYFORMULA(VLOOKUP(A1801,IMPORTRANGE(""https://docs.google.com/spreadsheets/d/1BuTWp7qHGjWhqrnf-OmePP568O4A5Am9ttzvVdP67zw/edit#gid=1603210130"", ""TOURISM!$A$2:$F$2692""), {2,3,4,5,6},0))"),"Europe")</f>
        <v>Europe</v>
      </c>
      <c r="L1801" s="14">
        <f>IFERROR(__xludf.DUMMYFUNCTION("""COMPUTED_VALUE"""),1.16E8)</f>
        <v>116000000</v>
      </c>
      <c r="M1801" s="14" t="str">
        <f>IFERROR(__xludf.DUMMYFUNCTION("""COMPUTED_VALUE"""),"North Macedonia-Europe")</f>
        <v>North Macedonia-Europe</v>
      </c>
      <c r="N1801" s="14" t="str">
        <f>IFERROR(__xludf.DUMMYFUNCTION("""COMPUTED_VALUE"""),"2005")</f>
        <v>2005</v>
      </c>
      <c r="O1801" s="14">
        <f>IFERROR(__xludf.DUMMYFUNCTION("""COMPUTED_VALUE"""),9.7E7)</f>
        <v>97000000</v>
      </c>
      <c r="P1801" s="15">
        <f>IFERROR(__xludf.DUMMYFUNCTION("ARRAYFORMULA(VLOOKUP(A1801,IMPORTRANGE(""https://docs.google.com/spreadsheets/d/1BuTWp7qHGjWhqrnf-OmePP568O4A5Am9ttzvVdP67zw/edit#gid=771602874"" ,""HUMAN RESOURCES!$A$2:$M$2692""), {2,3,4,5,6,7,8,9,10,11,12,13},0))"),0.011)</f>
        <v>0.011</v>
      </c>
      <c r="Q1801" s="14">
        <f>IFERROR(__xludf.DUMMYFUNCTION("""COMPUTED_VALUE"""),0.012)</f>
        <v>0.012</v>
      </c>
      <c r="R1801" s="14">
        <f>IFERROR(__xludf.DUMMYFUNCTION("""COMPUTED_VALUE"""),77.0)</f>
        <v>77</v>
      </c>
      <c r="S1801" s="14">
        <f>IFERROR(__xludf.DUMMYFUNCTION("""COMPUTED_VALUE"""),72.0)</f>
        <v>72</v>
      </c>
      <c r="T1801" s="14">
        <f>IFERROR(__xludf.DUMMYFUNCTION("""COMPUTED_VALUE"""),0.198)</f>
        <v>0.198</v>
      </c>
      <c r="U1801" s="14">
        <f>IFERROR(__xludf.DUMMYFUNCTION("""COMPUTED_VALUE"""),0.69)</f>
        <v>0.69</v>
      </c>
      <c r="V1801" s="14">
        <f>IFERROR(__xludf.DUMMYFUNCTION("""COMPUTED_VALUE"""),0.112)</f>
        <v>0.112</v>
      </c>
      <c r="W1801" s="14">
        <f>IFERROR(__xludf.DUMMYFUNCTION("""COMPUTED_VALUE"""),2090044.0)</f>
        <v>2090044</v>
      </c>
      <c r="X1801" s="14">
        <f>IFERROR(__xludf.DUMMYFUNCTION("""COMPUTED_VALUE"""),0.575)</f>
        <v>0.575</v>
      </c>
      <c r="Y1801" s="14" t="str">
        <f>IFERROR(__xludf.DUMMYFUNCTION("""COMPUTED_VALUE"""),"North Macedonia-Europe")</f>
        <v>North Macedonia-Europe</v>
      </c>
      <c r="Z1801" s="14" t="str">
        <f>IFERROR(__xludf.DUMMYFUNCTION("""COMPUTED_VALUE"""),"Europe")</f>
        <v>Europe</v>
      </c>
      <c r="AA1801" s="14" t="str">
        <f>IFERROR(__xludf.DUMMYFUNCTION("""COMPUTED_VALUE"""),"2005")</f>
        <v>2005</v>
      </c>
      <c r="AB1801" s="15" t="str">
        <f>IFERROR(__xludf.DUMMYFUNCTION("ARRAYFORMULA(VLOOKUP(A1801,IMPORTRANGE(""https://docs.google.com/spreadsheets/d/1BuTWp7qHGjWhqrnf-OmePP568O4A5Am9ttzvVdP67zw/edit#gid=1931367683"" ,""ENERGY!$A$2:$F$2692""), {2,3,4,5,6},0))"),"Europe")</f>
        <v>Europe</v>
      </c>
      <c r="AC1801" s="14" t="str">
        <f>IFERROR(__xludf.DUMMYFUNCTION("""COMPUTED_VALUE"""),"North Macedonia-Europe")</f>
        <v>North Macedonia-Europe</v>
      </c>
      <c r="AD1801" s="14" t="str">
        <f>IFERROR(__xludf.DUMMYFUNCTION("""COMPUTED_VALUE"""),"2008")</f>
        <v>2008</v>
      </c>
      <c r="AE1801" s="14">
        <f>IFERROR(__xludf.DUMMYFUNCTION("""COMPUTED_VALUE"""),3045.0)</f>
        <v>3045</v>
      </c>
      <c r="AF1801" s="14">
        <f>IFERROR(__xludf.DUMMYFUNCTION("""COMPUTED_VALUE"""),11379.0)</f>
        <v>11379</v>
      </c>
    </row>
    <row r="1802">
      <c r="A1802" s="12">
        <v>1801.0</v>
      </c>
      <c r="B1802" s="12" t="s">
        <v>217</v>
      </c>
      <c r="C1802" s="5" t="s">
        <v>75</v>
      </c>
      <c r="D1802" s="11">
        <v>0.203</v>
      </c>
      <c r="E1802" s="11">
        <v>18.0</v>
      </c>
      <c r="F1802" s="8"/>
      <c r="G1802" s="11">
        <v>192.0</v>
      </c>
      <c r="H1802" s="11">
        <v>0.286</v>
      </c>
      <c r="I1802" s="11">
        <v>0.604</v>
      </c>
      <c r="J1802" s="9" t="s">
        <v>67</v>
      </c>
      <c r="K1802" s="14" t="str">
        <f>IFERROR(__xludf.DUMMYFUNCTION("ARRAYFORMULA(VLOOKUP(A1802,IMPORTRANGE(""https://docs.google.com/spreadsheets/d/1BuTWp7qHGjWhqrnf-OmePP568O4A5Am9ttzvVdP67zw/edit#gid=1603210130"", ""TOURISM!$A$2:$F$2692""), {2,3,4,5,6},0))"),"Europe")</f>
        <v>Europe</v>
      </c>
      <c r="L1802" s="14">
        <f>IFERROR(__xludf.DUMMYFUNCTION("""COMPUTED_VALUE"""),1.56E8)</f>
        <v>156000000</v>
      </c>
      <c r="M1802" s="14" t="str">
        <f>IFERROR(__xludf.DUMMYFUNCTION("""COMPUTED_VALUE"""),"North Macedonia-Europe")</f>
        <v>North Macedonia-Europe</v>
      </c>
      <c r="N1802" s="14" t="str">
        <f>IFERROR(__xludf.DUMMYFUNCTION("""COMPUTED_VALUE"""),"2006")</f>
        <v>2006</v>
      </c>
      <c r="O1802" s="14">
        <f>IFERROR(__xludf.DUMMYFUNCTION("""COMPUTED_VALUE"""),1.1E8)</f>
        <v>110000000</v>
      </c>
      <c r="P1802" s="15">
        <f>IFERROR(__xludf.DUMMYFUNCTION("ARRAYFORMULA(VLOOKUP(A1802,IMPORTRANGE(""https://docs.google.com/spreadsheets/d/1BuTWp7qHGjWhqrnf-OmePP568O4A5Am9ttzvVdP67zw/edit#gid=771602874"" ,""HUMAN RESOURCES!$A$2:$M$2692""), {2,3,4,5,6,7,8,9,10,11,12,13},0))"),0.011)</f>
        <v>0.011</v>
      </c>
      <c r="Q1802" s="14">
        <f>IFERROR(__xludf.DUMMYFUNCTION("""COMPUTED_VALUE"""),0.012)</f>
        <v>0.012</v>
      </c>
      <c r="R1802" s="14">
        <f>IFERROR(__xludf.DUMMYFUNCTION("""COMPUTED_VALUE"""),77.0)</f>
        <v>77</v>
      </c>
      <c r="S1802" s="14">
        <f>IFERROR(__xludf.DUMMYFUNCTION("""COMPUTED_VALUE"""),72.0)</f>
        <v>72</v>
      </c>
      <c r="T1802" s="14">
        <f>IFERROR(__xludf.DUMMYFUNCTION("""COMPUTED_VALUE"""),0.192)</f>
        <v>0.192</v>
      </c>
      <c r="U1802" s="14">
        <f>IFERROR(__xludf.DUMMYFUNCTION("""COMPUTED_VALUE"""),0.694)</f>
        <v>0.694</v>
      </c>
      <c r="V1802" s="14">
        <f>IFERROR(__xludf.DUMMYFUNCTION("""COMPUTED_VALUE"""),0.113)</f>
        <v>0.113</v>
      </c>
      <c r="W1802" s="14">
        <f>IFERROR(__xludf.DUMMYFUNCTION("""COMPUTED_VALUE"""),2093801.0)</f>
        <v>2093801</v>
      </c>
      <c r="X1802" s="14">
        <f>IFERROR(__xludf.DUMMYFUNCTION("""COMPUTED_VALUE"""),0.574)</f>
        <v>0.574</v>
      </c>
      <c r="Y1802" s="14" t="str">
        <f>IFERROR(__xludf.DUMMYFUNCTION("""COMPUTED_VALUE"""),"North Macedonia-Europe")</f>
        <v>North Macedonia-Europe</v>
      </c>
      <c r="Z1802" s="14" t="str">
        <f>IFERROR(__xludf.DUMMYFUNCTION("""COMPUTED_VALUE"""),"Europe")</f>
        <v>Europe</v>
      </c>
      <c r="AA1802" s="14" t="str">
        <f>IFERROR(__xludf.DUMMYFUNCTION("""COMPUTED_VALUE"""),"2006")</f>
        <v>2006</v>
      </c>
      <c r="AB1802" s="15" t="str">
        <f>IFERROR(__xludf.DUMMYFUNCTION("ARRAYFORMULA(VLOOKUP(A1802,IMPORTRANGE(""https://docs.google.com/spreadsheets/d/1BuTWp7qHGjWhqrnf-OmePP568O4A5Am9ttzvVdP67zw/edit#gid=1931367683"" ,""ENERGY!$A$2:$F$2692""), {2,3,4,5,6},0))"),"Europe")</f>
        <v>Europe</v>
      </c>
      <c r="AC1802" s="14" t="str">
        <f>IFERROR(__xludf.DUMMYFUNCTION("""COMPUTED_VALUE"""),"North Macedonia-Europe")</f>
        <v>North Macedonia-Europe</v>
      </c>
      <c r="AD1802" s="14" t="str">
        <f>IFERROR(__xludf.DUMMYFUNCTION("""COMPUTED_VALUE"""),"2012")</f>
        <v>2012</v>
      </c>
      <c r="AE1802" s="14">
        <f>IFERROR(__xludf.DUMMYFUNCTION("""COMPUTED_VALUE"""),2924.0)</f>
        <v>2924</v>
      </c>
      <c r="AF1802" s="14">
        <f>IFERROR(__xludf.DUMMYFUNCTION("""COMPUTED_VALUE"""),10939.0)</f>
        <v>10939</v>
      </c>
    </row>
    <row r="1803">
      <c r="A1803" s="12">
        <v>1802.0</v>
      </c>
      <c r="B1803" s="12" t="s">
        <v>217</v>
      </c>
      <c r="C1803" s="5" t="s">
        <v>75</v>
      </c>
      <c r="D1803" s="11">
        <v>0.203</v>
      </c>
      <c r="E1803" s="11">
        <v>15.0</v>
      </c>
      <c r="F1803" s="8"/>
      <c r="G1803" s="11">
        <v>192.0</v>
      </c>
      <c r="H1803" s="11">
        <v>0.363</v>
      </c>
      <c r="I1803" s="11">
        <v>0.856</v>
      </c>
      <c r="J1803" s="9" t="s">
        <v>68</v>
      </c>
      <c r="K1803" s="14" t="str">
        <f>IFERROR(__xludf.DUMMYFUNCTION("ARRAYFORMULA(VLOOKUP(A1803,IMPORTRANGE(""https://docs.google.com/spreadsheets/d/1BuTWp7qHGjWhqrnf-OmePP568O4A5Am9ttzvVdP67zw/edit#gid=1603210130"", ""TOURISM!$A$2:$F$2692""), {2,3,4,5,6},0))"),"Europe")</f>
        <v>Europe</v>
      </c>
      <c r="L1803" s="14">
        <f>IFERROR(__xludf.DUMMYFUNCTION("""COMPUTED_VALUE"""),2.19E8)</f>
        <v>219000000</v>
      </c>
      <c r="M1803" s="14" t="str">
        <f>IFERROR(__xludf.DUMMYFUNCTION("""COMPUTED_VALUE"""),"North Macedonia-Europe")</f>
        <v>North Macedonia-Europe</v>
      </c>
      <c r="N1803" s="14" t="str">
        <f>IFERROR(__xludf.DUMMYFUNCTION("""COMPUTED_VALUE"""),"2007")</f>
        <v>2007</v>
      </c>
      <c r="O1803" s="14">
        <f>IFERROR(__xludf.DUMMYFUNCTION("""COMPUTED_VALUE"""),1.47E8)</f>
        <v>147000000</v>
      </c>
      <c r="P1803" s="15">
        <f>IFERROR(__xludf.DUMMYFUNCTION("ARRAYFORMULA(VLOOKUP(A1803,IMPORTRANGE(""https://docs.google.com/spreadsheets/d/1BuTWp7qHGjWhqrnf-OmePP568O4A5Am9ttzvVdP67zw/edit#gid=771602874"" ,""HUMAN RESOURCES!$A$2:$M$2692""), {2,3,4,5,6,7,8,9,10,11,12,13},0))"),0.011)</f>
        <v>0.011</v>
      </c>
      <c r="Q1803" s="14">
        <f>IFERROR(__xludf.DUMMYFUNCTION("""COMPUTED_VALUE"""),0.011)</f>
        <v>0.011</v>
      </c>
      <c r="R1803" s="14">
        <f>IFERROR(__xludf.DUMMYFUNCTION("""COMPUTED_VALUE"""),77.0)</f>
        <v>77</v>
      </c>
      <c r="S1803" s="14">
        <f>IFERROR(__xludf.DUMMYFUNCTION("""COMPUTED_VALUE"""),72.0)</f>
        <v>72</v>
      </c>
      <c r="T1803" s="14">
        <f>IFERROR(__xludf.DUMMYFUNCTION("""COMPUTED_VALUE"""),0.187)</f>
        <v>0.187</v>
      </c>
      <c r="U1803" s="14">
        <f>IFERROR(__xludf.DUMMYFUNCTION("""COMPUTED_VALUE"""),0.699)</f>
        <v>0.699</v>
      </c>
      <c r="V1803" s="14">
        <f>IFERROR(__xludf.DUMMYFUNCTION("""COMPUTED_VALUE"""),0.114)</f>
        <v>0.114</v>
      </c>
      <c r="W1803" s="14">
        <f>IFERROR(__xludf.DUMMYFUNCTION("""COMPUTED_VALUE"""),2096620.0)</f>
        <v>2096620</v>
      </c>
      <c r="X1803" s="14">
        <f>IFERROR(__xludf.DUMMYFUNCTION("""COMPUTED_VALUE"""),0.572)</f>
        <v>0.572</v>
      </c>
      <c r="Y1803" s="14" t="str">
        <f>IFERROR(__xludf.DUMMYFUNCTION("""COMPUTED_VALUE"""),"North Macedonia-Europe")</f>
        <v>North Macedonia-Europe</v>
      </c>
      <c r="Z1803" s="14" t="str">
        <f>IFERROR(__xludf.DUMMYFUNCTION("""COMPUTED_VALUE"""),"Europe")</f>
        <v>Europe</v>
      </c>
      <c r="AA1803" s="14" t="str">
        <f>IFERROR(__xludf.DUMMYFUNCTION("""COMPUTED_VALUE"""),"2007")</f>
        <v>2007</v>
      </c>
      <c r="AB1803" s="15" t="str">
        <f>IFERROR(__xludf.DUMMYFUNCTION("ARRAYFORMULA(VLOOKUP(A1803,IMPORTRANGE(""https://docs.google.com/spreadsheets/d/1BuTWp7qHGjWhqrnf-OmePP568O4A5Am9ttzvVdP67zw/edit#gid=1931367683"" ,""ENERGY!$A$2:$F$2692""), {2,3,4,5,6},0))"),"Europe")</f>
        <v>Europe</v>
      </c>
      <c r="AC1803" s="14" t="str">
        <f>IFERROR(__xludf.DUMMYFUNCTION("""COMPUTED_VALUE"""),"North Macedonia-Europe")</f>
        <v>North Macedonia-Europe</v>
      </c>
      <c r="AD1803" s="14" t="str">
        <f>IFERROR(__xludf.DUMMYFUNCTION("""COMPUTED_VALUE"""),"2009")</f>
        <v>2009</v>
      </c>
      <c r="AE1803" s="14">
        <f>IFERROR(__xludf.DUMMYFUNCTION("""COMPUTED_VALUE"""),2842.0)</f>
        <v>2842</v>
      </c>
      <c r="AF1803" s="14">
        <f>IFERROR(__xludf.DUMMYFUNCTION("""COMPUTED_VALUE"""),11280.0)</f>
        <v>11280</v>
      </c>
    </row>
    <row r="1804">
      <c r="A1804" s="12">
        <v>1803.0</v>
      </c>
      <c r="B1804" s="12" t="s">
        <v>217</v>
      </c>
      <c r="C1804" s="5" t="s">
        <v>75</v>
      </c>
      <c r="D1804" s="11">
        <v>0.174</v>
      </c>
      <c r="E1804" s="11">
        <v>9.0</v>
      </c>
      <c r="F1804" s="8"/>
      <c r="G1804" s="11">
        <v>150.0</v>
      </c>
      <c r="H1804" s="11">
        <v>0.46</v>
      </c>
      <c r="I1804" s="11">
        <v>0.937</v>
      </c>
      <c r="J1804" s="9" t="s">
        <v>69</v>
      </c>
      <c r="K1804" s="14" t="str">
        <f>IFERROR(__xludf.DUMMYFUNCTION("ARRAYFORMULA(VLOOKUP(A1804,IMPORTRANGE(""https://docs.google.com/spreadsheets/d/1BuTWp7qHGjWhqrnf-OmePP568O4A5Am9ttzvVdP67zw/edit#gid=1603210130"", ""TOURISM!$A$2:$F$2692""), {2,3,4,5,6},0))"),"Europe")</f>
        <v>Europe</v>
      </c>
      <c r="L1804" s="14">
        <f>IFERROR(__xludf.DUMMYFUNCTION("""COMPUTED_VALUE"""),2.62E8)</f>
        <v>262000000</v>
      </c>
      <c r="M1804" s="14" t="str">
        <f>IFERROR(__xludf.DUMMYFUNCTION("""COMPUTED_VALUE"""),"North Macedonia-Europe")</f>
        <v>North Macedonia-Europe</v>
      </c>
      <c r="N1804" s="14" t="str">
        <f>IFERROR(__xludf.DUMMYFUNCTION("""COMPUTED_VALUE"""),"2008")</f>
        <v>2008</v>
      </c>
      <c r="O1804" s="14">
        <f>IFERROR(__xludf.DUMMYFUNCTION("""COMPUTED_VALUE"""),1.9E8)</f>
        <v>190000000</v>
      </c>
      <c r="P1804" s="15">
        <f>IFERROR(__xludf.DUMMYFUNCTION("ARRAYFORMULA(VLOOKUP(A1804,IMPORTRANGE(""https://docs.google.com/spreadsheets/d/1BuTWp7qHGjWhqrnf-OmePP568O4A5Am9ttzvVdP67zw/edit#gid=771602874"" ,""HUMAN RESOURCES!$A$2:$M$2692""), {2,3,4,5,6,7,8,9,10,11,12,13},0))"),0.011)</f>
        <v>0.011</v>
      </c>
      <c r="Q1804" s="14">
        <f>IFERROR(__xludf.DUMMYFUNCTION("""COMPUTED_VALUE"""),0.01)</f>
        <v>0.01</v>
      </c>
      <c r="R1804" s="14">
        <f>IFERROR(__xludf.DUMMYFUNCTION("""COMPUTED_VALUE"""),77.0)</f>
        <v>77</v>
      </c>
      <c r="S1804" s="14">
        <f>IFERROR(__xludf.DUMMYFUNCTION("""COMPUTED_VALUE"""),72.0)</f>
        <v>72</v>
      </c>
      <c r="T1804" s="14">
        <f>IFERROR(__xludf.DUMMYFUNCTION("""COMPUTED_VALUE"""),0.182)</f>
        <v>0.182</v>
      </c>
      <c r="U1804" s="14">
        <f>IFERROR(__xludf.DUMMYFUNCTION("""COMPUTED_VALUE"""),0.703)</f>
        <v>0.703</v>
      </c>
      <c r="V1804" s="14">
        <f>IFERROR(__xludf.DUMMYFUNCTION("""COMPUTED_VALUE"""),0.115)</f>
        <v>0.115</v>
      </c>
      <c r="W1804" s="14">
        <f>IFERROR(__xludf.DUMMYFUNCTION("""COMPUTED_VALUE"""),2098769.0)</f>
        <v>2098769</v>
      </c>
      <c r="X1804" s="14">
        <f>IFERROR(__xludf.DUMMYFUNCTION("""COMPUTED_VALUE"""),0.571)</f>
        <v>0.571</v>
      </c>
      <c r="Y1804" s="14" t="str">
        <f>IFERROR(__xludf.DUMMYFUNCTION("""COMPUTED_VALUE"""),"North Macedonia-Europe")</f>
        <v>North Macedonia-Europe</v>
      </c>
      <c r="Z1804" s="14" t="str">
        <f>IFERROR(__xludf.DUMMYFUNCTION("""COMPUTED_VALUE"""),"Europe")</f>
        <v>Europe</v>
      </c>
      <c r="AA1804" s="14" t="str">
        <f>IFERROR(__xludf.DUMMYFUNCTION("""COMPUTED_VALUE"""),"2008")</f>
        <v>2008</v>
      </c>
      <c r="AB1804" s="15" t="str">
        <f>IFERROR(__xludf.DUMMYFUNCTION("ARRAYFORMULA(VLOOKUP(A1804,IMPORTRANGE(""https://docs.google.com/spreadsheets/d/1BuTWp7qHGjWhqrnf-OmePP568O4A5Am9ttzvVdP67zw/edit#gid=1931367683"" ,""ENERGY!$A$2:$F$2692""), {2,3,4,5,6},0))"),"Europe")</f>
        <v>Europe</v>
      </c>
      <c r="AC1804" s="14" t="str">
        <f>IFERROR(__xludf.DUMMYFUNCTION("""COMPUTED_VALUE"""),"North Macedonia-Europe")</f>
        <v>North Macedonia-Europe</v>
      </c>
      <c r="AD1804" s="14" t="str">
        <f>IFERROR(__xludf.DUMMYFUNCTION("""COMPUTED_VALUE"""),"2007")</f>
        <v>2007</v>
      </c>
      <c r="AE1804" s="14">
        <f>IFERROR(__xludf.DUMMYFUNCTION("""COMPUTED_VALUE"""),2756.0)</f>
        <v>2756</v>
      </c>
      <c r="AF1804" s="14">
        <f>IFERROR(__xludf.DUMMYFUNCTION("""COMPUTED_VALUE"""),11192.0)</f>
        <v>11192</v>
      </c>
    </row>
    <row r="1805">
      <c r="A1805" s="12">
        <v>1804.0</v>
      </c>
      <c r="B1805" s="12" t="s">
        <v>217</v>
      </c>
      <c r="C1805" s="5" t="s">
        <v>75</v>
      </c>
      <c r="D1805" s="11">
        <v>0.146</v>
      </c>
      <c r="E1805" s="11">
        <v>4.0</v>
      </c>
      <c r="F1805" s="8"/>
      <c r="G1805" s="11">
        <v>150.0</v>
      </c>
      <c r="H1805" s="11">
        <v>0.518</v>
      </c>
      <c r="I1805" s="11">
        <v>0.925</v>
      </c>
      <c r="J1805" s="9" t="s">
        <v>70</v>
      </c>
      <c r="K1805" s="14" t="str">
        <f>IFERROR(__xludf.DUMMYFUNCTION("ARRAYFORMULA(VLOOKUP(A1805,IMPORTRANGE(""https://docs.google.com/spreadsheets/d/1BuTWp7qHGjWhqrnf-OmePP568O4A5Am9ttzvVdP67zw/edit#gid=1603210130"", ""TOURISM!$A$2:$F$2692""), {2,3,4,5,6},0))"),"Europe")</f>
        <v>Europe</v>
      </c>
      <c r="L1805" s="14">
        <f>IFERROR(__xludf.DUMMYFUNCTION("""COMPUTED_VALUE"""),2.32E8)</f>
        <v>232000000</v>
      </c>
      <c r="M1805" s="14" t="str">
        <f>IFERROR(__xludf.DUMMYFUNCTION("""COMPUTED_VALUE"""),"North Macedonia-Europe")</f>
        <v>North Macedonia-Europe</v>
      </c>
      <c r="N1805" s="14" t="str">
        <f>IFERROR(__xludf.DUMMYFUNCTION("""COMPUTED_VALUE"""),"2009")</f>
        <v>2009</v>
      </c>
      <c r="O1805" s="14">
        <f>IFERROR(__xludf.DUMMYFUNCTION("""COMPUTED_VALUE"""),1.5E8)</f>
        <v>150000000</v>
      </c>
      <c r="P1805" s="15">
        <f>IFERROR(__xludf.DUMMYFUNCTION("ARRAYFORMULA(VLOOKUP(A1805,IMPORTRANGE(""https://docs.google.com/spreadsheets/d/1BuTWp7qHGjWhqrnf-OmePP568O4A5Am9ttzvVdP67zw/edit#gid=771602874"" ,""HUMAN RESOURCES!$A$2:$M$2692""), {2,3,4,5,6,7,8,9,10,11,12,13},0))"),0.011)</f>
        <v>0.011</v>
      </c>
      <c r="Q1805" s="14">
        <f>IFERROR(__xludf.DUMMYFUNCTION("""COMPUTED_VALUE"""),0.01)</f>
        <v>0.01</v>
      </c>
      <c r="R1805" s="14">
        <f>IFERROR(__xludf.DUMMYFUNCTION("""COMPUTED_VALUE"""),77.0)</f>
        <v>77</v>
      </c>
      <c r="S1805" s="14">
        <f>IFERROR(__xludf.DUMMYFUNCTION("""COMPUTED_VALUE"""),72.0)</f>
        <v>72</v>
      </c>
      <c r="T1805" s="14">
        <f>IFERROR(__xludf.DUMMYFUNCTION("""COMPUTED_VALUE"""),0.178)</f>
        <v>0.178</v>
      </c>
      <c r="U1805" s="14">
        <f>IFERROR(__xludf.DUMMYFUNCTION("""COMPUTED_VALUE"""),0.707)</f>
        <v>0.707</v>
      </c>
      <c r="V1805" s="14">
        <f>IFERROR(__xludf.DUMMYFUNCTION("""COMPUTED_VALUE"""),0.115)</f>
        <v>0.115</v>
      </c>
      <c r="W1805" s="14">
        <f>IFERROR(__xludf.DUMMYFUNCTION("""COMPUTED_VALUE"""),2100558.0)</f>
        <v>2100558</v>
      </c>
      <c r="X1805" s="14">
        <f>IFERROR(__xludf.DUMMYFUNCTION("""COMPUTED_VALUE"""),0.57)</f>
        <v>0.57</v>
      </c>
      <c r="Y1805" s="14" t="str">
        <f>IFERROR(__xludf.DUMMYFUNCTION("""COMPUTED_VALUE"""),"North Macedonia-Europe")</f>
        <v>North Macedonia-Europe</v>
      </c>
      <c r="Z1805" s="14" t="str">
        <f>IFERROR(__xludf.DUMMYFUNCTION("""COMPUTED_VALUE"""),"Europe")</f>
        <v>Europe</v>
      </c>
      <c r="AA1805" s="14" t="str">
        <f>IFERROR(__xludf.DUMMYFUNCTION("""COMPUTED_VALUE"""),"2009")</f>
        <v>2009</v>
      </c>
      <c r="AB1805" s="15" t="str">
        <f>IFERROR(__xludf.DUMMYFUNCTION("ARRAYFORMULA(VLOOKUP(A1805,IMPORTRANGE(""https://docs.google.com/spreadsheets/d/1BuTWp7qHGjWhqrnf-OmePP568O4A5Am9ttzvVdP67zw/edit#gid=1931367683"" ,""ENERGY!$A$2:$F$2692""), {2,3,4,5,6},0))"),"Europe")</f>
        <v>Europe</v>
      </c>
      <c r="AC1805" s="14" t="str">
        <f>IFERROR(__xludf.DUMMYFUNCTION("""COMPUTED_VALUE"""),"North Macedonia-Europe")</f>
        <v>North Macedonia-Europe</v>
      </c>
      <c r="AD1805" s="14" t="str">
        <f>IFERROR(__xludf.DUMMYFUNCTION("""COMPUTED_VALUE"""),"2011")</f>
        <v>2011</v>
      </c>
      <c r="AE1805" s="14">
        <f>IFERROR(__xludf.DUMMYFUNCTION("""COMPUTED_VALUE"""),2776.0)</f>
        <v>2776</v>
      </c>
      <c r="AF1805" s="14">
        <f>IFERROR(__xludf.DUMMYFUNCTION("""COMPUTED_VALUE"""),11309.0)</f>
        <v>11309</v>
      </c>
    </row>
    <row r="1806">
      <c r="A1806" s="12">
        <v>1805.0</v>
      </c>
      <c r="B1806" s="12" t="s">
        <v>217</v>
      </c>
      <c r="C1806" s="5" t="s">
        <v>75</v>
      </c>
      <c r="D1806" s="11">
        <v>0.083</v>
      </c>
      <c r="E1806" s="11">
        <v>3.0</v>
      </c>
      <c r="F1806" s="8"/>
      <c r="G1806" s="11">
        <v>119.0</v>
      </c>
      <c r="H1806" s="11">
        <v>0.519</v>
      </c>
      <c r="I1806" s="11">
        <v>1.024</v>
      </c>
      <c r="J1806" s="9" t="s">
        <v>71</v>
      </c>
      <c r="K1806" s="14" t="str">
        <f>IFERROR(__xludf.DUMMYFUNCTION("ARRAYFORMULA(VLOOKUP(A1806,IMPORTRANGE(""https://docs.google.com/spreadsheets/d/1BuTWp7qHGjWhqrnf-OmePP568O4A5Am9ttzvVdP67zw/edit#gid=1603210130"", ""TOURISM!$A$2:$F$2692""), {2,3,4,5,6},0))"),"Europe")</f>
        <v>Europe</v>
      </c>
      <c r="L1806" s="14">
        <f>IFERROR(__xludf.DUMMYFUNCTION("""COMPUTED_VALUE"""),2.09E8)</f>
        <v>209000000</v>
      </c>
      <c r="M1806" s="14" t="str">
        <f>IFERROR(__xludf.DUMMYFUNCTION("""COMPUTED_VALUE"""),"North Macedonia-Europe")</f>
        <v>North Macedonia-Europe</v>
      </c>
      <c r="N1806" s="14" t="str">
        <f>IFERROR(__xludf.DUMMYFUNCTION("""COMPUTED_VALUE"""),"2010")</f>
        <v>2010</v>
      </c>
      <c r="O1806" s="14">
        <f>IFERROR(__xludf.DUMMYFUNCTION("""COMPUTED_VALUE"""),1.41E8)</f>
        <v>141000000</v>
      </c>
      <c r="P1806" s="15">
        <f>IFERROR(__xludf.DUMMYFUNCTION("ARRAYFORMULA(VLOOKUP(A1806,IMPORTRANGE(""https://docs.google.com/spreadsheets/d/1BuTWp7qHGjWhqrnf-OmePP568O4A5Am9ttzvVdP67zw/edit#gid=771602874"" ,""HUMAN RESOURCES!$A$2:$M$2692""), {2,3,4,5,6,7,8,9,10,11,12,13},0))"),0.011)</f>
        <v>0.011</v>
      </c>
      <c r="Q1806" s="14">
        <f>IFERROR(__xludf.DUMMYFUNCTION("""COMPUTED_VALUE"""),0.009)</f>
        <v>0.009</v>
      </c>
      <c r="R1806" s="14">
        <f>IFERROR(__xludf.DUMMYFUNCTION("""COMPUTED_VALUE"""),77.0)</f>
        <v>77</v>
      </c>
      <c r="S1806" s="14">
        <f>IFERROR(__xludf.DUMMYFUNCTION("""COMPUTED_VALUE"""),73.0)</f>
        <v>73</v>
      </c>
      <c r="T1806" s="14">
        <f>IFERROR(__xludf.DUMMYFUNCTION("""COMPUTED_VALUE"""),0.174)</f>
        <v>0.174</v>
      </c>
      <c r="U1806" s="14">
        <f>IFERROR(__xludf.DUMMYFUNCTION("""COMPUTED_VALUE"""),0.709)</f>
        <v>0.709</v>
      </c>
      <c r="V1806" s="14">
        <f>IFERROR(__xludf.DUMMYFUNCTION("""COMPUTED_VALUE"""),0.117)</f>
        <v>0.117</v>
      </c>
      <c r="W1806" s="14">
        <f>IFERROR(__xludf.DUMMYFUNCTION("""COMPUTED_VALUE"""),2102216.0)</f>
        <v>2102216</v>
      </c>
      <c r="X1806" s="14">
        <f>IFERROR(__xludf.DUMMYFUNCTION("""COMPUTED_VALUE"""),0.57)</f>
        <v>0.57</v>
      </c>
      <c r="Y1806" s="14" t="str">
        <f>IFERROR(__xludf.DUMMYFUNCTION("""COMPUTED_VALUE"""),"North Macedonia-Europe")</f>
        <v>North Macedonia-Europe</v>
      </c>
      <c r="Z1806" s="14" t="str">
        <f>IFERROR(__xludf.DUMMYFUNCTION("""COMPUTED_VALUE"""),"Europe")</f>
        <v>Europe</v>
      </c>
      <c r="AA1806" s="14" t="str">
        <f>IFERROR(__xludf.DUMMYFUNCTION("""COMPUTED_VALUE"""),"2010")</f>
        <v>2010</v>
      </c>
      <c r="AB1806" s="15" t="str">
        <f>IFERROR(__xludf.DUMMYFUNCTION("ARRAYFORMULA(VLOOKUP(A1806,IMPORTRANGE(""https://docs.google.com/spreadsheets/d/1BuTWp7qHGjWhqrnf-OmePP568O4A5Am9ttzvVdP67zw/edit#gid=1931367683"" ,""ENERGY!$A$2:$F$2692""), {2,3,4,5,6},0))"),"Europe")</f>
        <v>Europe</v>
      </c>
      <c r="AC1806" s="14" t="str">
        <f>IFERROR(__xludf.DUMMYFUNCTION("""COMPUTED_VALUE"""),"North Macedonia-Europe")</f>
        <v>North Macedonia-Europe</v>
      </c>
      <c r="AD1806" s="14" t="str">
        <f>IFERROR(__xludf.DUMMYFUNCTION("""COMPUTED_VALUE"""),"2006")</f>
        <v>2006</v>
      </c>
      <c r="AE1806" s="14">
        <f>IFERROR(__xludf.DUMMYFUNCTION("""COMPUTED_VALUE"""),2527.0)</f>
        <v>2527</v>
      </c>
      <c r="AF1806" s="14">
        <f>IFERROR(__xludf.DUMMYFUNCTION("""COMPUTED_VALUE"""),10935.0)</f>
        <v>10935</v>
      </c>
    </row>
    <row r="1807">
      <c r="A1807" s="12">
        <v>1806.0</v>
      </c>
      <c r="B1807" s="12" t="s">
        <v>217</v>
      </c>
      <c r="C1807" s="5" t="s">
        <v>75</v>
      </c>
      <c r="D1807" s="11">
        <v>0.084</v>
      </c>
      <c r="E1807" s="11">
        <v>3.0</v>
      </c>
      <c r="F1807" s="8"/>
      <c r="G1807" s="11">
        <v>119.0</v>
      </c>
      <c r="H1807" s="11">
        <v>0.567</v>
      </c>
      <c r="I1807" s="11">
        <v>1.052</v>
      </c>
      <c r="J1807" s="9" t="s">
        <v>72</v>
      </c>
      <c r="K1807" s="14" t="str">
        <f>IFERROR(__xludf.DUMMYFUNCTION("ARRAYFORMULA(VLOOKUP(A1807,IMPORTRANGE(""https://docs.google.com/spreadsheets/d/1BuTWp7qHGjWhqrnf-OmePP568O4A5Am9ttzvVdP67zw/edit#gid=1603210130"", ""TOURISM!$A$2:$F$2692""), {2,3,4,5,6},0))"),"Europe")</f>
        <v>Europe</v>
      </c>
      <c r="L1807" s="14">
        <f>IFERROR(__xludf.DUMMYFUNCTION("""COMPUTED_VALUE"""),2.42E8)</f>
        <v>242000000</v>
      </c>
      <c r="M1807" s="14" t="str">
        <f>IFERROR(__xludf.DUMMYFUNCTION("""COMPUTED_VALUE"""),"North Macedonia-Europe")</f>
        <v>North Macedonia-Europe</v>
      </c>
      <c r="N1807" s="14" t="str">
        <f>IFERROR(__xludf.DUMMYFUNCTION("""COMPUTED_VALUE"""),"2011")</f>
        <v>2011</v>
      </c>
      <c r="O1807" s="14">
        <f>IFERROR(__xludf.DUMMYFUNCTION("""COMPUTED_VALUE"""),1.59E8)</f>
        <v>159000000</v>
      </c>
      <c r="P1807" s="15">
        <f>IFERROR(__xludf.DUMMYFUNCTION("ARRAYFORMULA(VLOOKUP(A1807,IMPORTRANGE(""https://docs.google.com/spreadsheets/d/1BuTWp7qHGjWhqrnf-OmePP568O4A5Am9ttzvVdP67zw/edit#gid=771602874"" ,""HUMAN RESOURCES!$A$2:$M$2692""), {2,3,4,5,6,7,8,9,10,11,12,13},0))"),0.011)</f>
        <v>0.011</v>
      </c>
      <c r="Q1807" s="14">
        <f>IFERROR(__xludf.DUMMYFUNCTION("""COMPUTED_VALUE"""),0.008)</f>
        <v>0.008</v>
      </c>
      <c r="R1807" s="14">
        <f>IFERROR(__xludf.DUMMYFUNCTION("""COMPUTED_VALUE"""),77.0)</f>
        <v>77</v>
      </c>
      <c r="S1807" s="14">
        <f>IFERROR(__xludf.DUMMYFUNCTION("""COMPUTED_VALUE"""),73.0)</f>
        <v>73</v>
      </c>
      <c r="T1807" s="14">
        <f>IFERROR(__xludf.DUMMYFUNCTION("""COMPUTED_VALUE"""),0.171)</f>
        <v>0.171</v>
      </c>
      <c r="U1807" s="14">
        <f>IFERROR(__xludf.DUMMYFUNCTION("""COMPUTED_VALUE"""),0.71)</f>
        <v>0.71</v>
      </c>
      <c r="V1807" s="14">
        <f>IFERROR(__xludf.DUMMYFUNCTION("""COMPUTED_VALUE"""),0.118)</f>
        <v>0.118</v>
      </c>
      <c r="W1807" s="14">
        <f>IFERROR(__xludf.DUMMYFUNCTION("""COMPUTED_VALUE"""),2103890.0)</f>
        <v>2103890</v>
      </c>
      <c r="X1807" s="14">
        <f>IFERROR(__xludf.DUMMYFUNCTION("""COMPUTED_VALUE"""),0.57)</f>
        <v>0.57</v>
      </c>
      <c r="Y1807" s="14" t="str">
        <f>IFERROR(__xludf.DUMMYFUNCTION("""COMPUTED_VALUE"""),"North Macedonia-Europe")</f>
        <v>North Macedonia-Europe</v>
      </c>
      <c r="Z1807" s="14" t="str">
        <f>IFERROR(__xludf.DUMMYFUNCTION("""COMPUTED_VALUE"""),"Europe")</f>
        <v>Europe</v>
      </c>
      <c r="AA1807" s="14" t="str">
        <f>IFERROR(__xludf.DUMMYFUNCTION("""COMPUTED_VALUE"""),"2011")</f>
        <v>2011</v>
      </c>
      <c r="AB1807" s="15" t="str">
        <f>IFERROR(__xludf.DUMMYFUNCTION("ARRAYFORMULA(VLOOKUP(A1807,IMPORTRANGE(""https://docs.google.com/spreadsheets/d/1BuTWp7qHGjWhqrnf-OmePP568O4A5Am9ttzvVdP67zw/edit#gid=1931367683"" ,""ENERGY!$A$2:$F$2692""), {2,3,4,5,6},0))"),"Europe")</f>
        <v>Europe</v>
      </c>
      <c r="AC1807" s="14" t="str">
        <f>IFERROR(__xludf.DUMMYFUNCTION("""COMPUTED_VALUE"""),"North Macedonia-Europe")</f>
        <v>North Macedonia-Europe</v>
      </c>
      <c r="AD1807" s="14" t="str">
        <f>IFERROR(__xludf.DUMMYFUNCTION("""COMPUTED_VALUE"""),"2006")</f>
        <v>2006</v>
      </c>
      <c r="AE1807" s="14">
        <f>IFERROR(__xludf.DUMMYFUNCTION("""COMPUTED_VALUE"""),2577.0)</f>
        <v>2577</v>
      </c>
      <c r="AF1807" s="14">
        <f>IFERROR(__xludf.DUMMYFUNCTION("""COMPUTED_VALUE"""),11998.0)</f>
        <v>11998</v>
      </c>
    </row>
    <row r="1808">
      <c r="A1808" s="12">
        <v>1807.0</v>
      </c>
      <c r="B1808" s="12" t="s">
        <v>217</v>
      </c>
      <c r="C1808" s="5" t="s">
        <v>75</v>
      </c>
      <c r="D1808" s="11">
        <v>0.082</v>
      </c>
      <c r="E1808" s="11">
        <v>2.0</v>
      </c>
      <c r="F1808" s="11">
        <v>36.0</v>
      </c>
      <c r="G1808" s="11">
        <v>119.0</v>
      </c>
      <c r="H1808" s="11">
        <v>0.574</v>
      </c>
      <c r="I1808" s="11">
        <v>1.062</v>
      </c>
      <c r="J1808" s="9" t="s">
        <v>73</v>
      </c>
      <c r="K1808" s="14" t="str">
        <f>IFERROR(__xludf.DUMMYFUNCTION("ARRAYFORMULA(VLOOKUP(A1808,IMPORTRANGE(""https://docs.google.com/spreadsheets/d/1BuTWp7qHGjWhqrnf-OmePP568O4A5Am9ttzvVdP67zw/edit#gid=1603210130"", ""TOURISM!$A$2:$F$2692""), {2,3,4,5,6},0))"),"Europe")</f>
        <v>Europe</v>
      </c>
      <c r="L1808" s="14">
        <f>IFERROR(__xludf.DUMMYFUNCTION("""COMPUTED_VALUE"""),2.37E8)</f>
        <v>237000000</v>
      </c>
      <c r="M1808" s="14" t="str">
        <f>IFERROR(__xludf.DUMMYFUNCTION("""COMPUTED_VALUE"""),"North Macedonia-Europe")</f>
        <v>North Macedonia-Europe</v>
      </c>
      <c r="N1808" s="14" t="str">
        <f>IFERROR(__xludf.DUMMYFUNCTION("""COMPUTED_VALUE"""),"2012")</f>
        <v>2012</v>
      </c>
      <c r="O1808" s="14">
        <f>IFERROR(__xludf.DUMMYFUNCTION("""COMPUTED_VALUE"""),1.53E8)</f>
        <v>153000000</v>
      </c>
      <c r="P1808" s="15">
        <f>IFERROR(__xludf.DUMMYFUNCTION("ARRAYFORMULA(VLOOKUP(A1808,IMPORTRANGE(""https://docs.google.com/spreadsheets/d/1BuTWp7qHGjWhqrnf-OmePP568O4A5Am9ttzvVdP67zw/edit#gid=771602874"" ,""HUMAN RESOURCES!$A$2:$M$2692""), {2,3,4,5,6,7,8,9,10,11,12,13},0))"),0.011)</f>
        <v>0.011</v>
      </c>
      <c r="Q1808" s="14">
        <f>IFERROR(__xludf.DUMMYFUNCTION("""COMPUTED_VALUE"""),0.007)</f>
        <v>0.007</v>
      </c>
      <c r="R1808" s="14">
        <f>IFERROR(__xludf.DUMMYFUNCTION("""COMPUTED_VALUE"""),77.0)</f>
        <v>77</v>
      </c>
      <c r="S1808" s="14">
        <f>IFERROR(__xludf.DUMMYFUNCTION("""COMPUTED_VALUE"""),73.0)</f>
        <v>73</v>
      </c>
      <c r="T1808" s="14">
        <f>IFERROR(__xludf.DUMMYFUNCTION("""COMPUTED_VALUE"""),0.169)</f>
        <v>0.169</v>
      </c>
      <c r="U1808" s="14">
        <f>IFERROR(__xludf.DUMMYFUNCTION("""COMPUTED_VALUE"""),0.711)</f>
        <v>0.711</v>
      </c>
      <c r="V1808" s="14">
        <f>IFERROR(__xludf.DUMMYFUNCTION("""COMPUTED_VALUE"""),0.12)</f>
        <v>0.12</v>
      </c>
      <c r="W1808" s="14">
        <f>IFERROR(__xludf.DUMMYFUNCTION("""COMPUTED_VALUE"""),2105575.0)</f>
        <v>2105575</v>
      </c>
      <c r="X1808" s="14">
        <f>IFERROR(__xludf.DUMMYFUNCTION("""COMPUTED_VALUE"""),0.57)</f>
        <v>0.57</v>
      </c>
      <c r="Y1808" s="14" t="str">
        <f>IFERROR(__xludf.DUMMYFUNCTION("""COMPUTED_VALUE"""),"North Macedonia-Europe")</f>
        <v>North Macedonia-Europe</v>
      </c>
      <c r="Z1808" s="14" t="str">
        <f>IFERROR(__xludf.DUMMYFUNCTION("""COMPUTED_VALUE"""),"Europe")</f>
        <v>Europe</v>
      </c>
      <c r="AA1808" s="14" t="str">
        <f>IFERROR(__xludf.DUMMYFUNCTION("""COMPUTED_VALUE"""),"2012")</f>
        <v>2012</v>
      </c>
      <c r="AB1808" s="15" t="str">
        <f>IFERROR(__xludf.DUMMYFUNCTION("ARRAYFORMULA(VLOOKUP(A1808,IMPORTRANGE(""https://docs.google.com/spreadsheets/d/1BuTWp7qHGjWhqrnf-OmePP568O4A5Am9ttzvVdP67zw/edit#gid=1931367683"" ,""ENERGY!$A$2:$F$2692""), {2,3,4,5,6},0))"),"Europe")</f>
        <v>Europe</v>
      </c>
      <c r="AC1808" s="14" t="str">
        <f>IFERROR(__xludf.DUMMYFUNCTION("""COMPUTED_VALUE"""),"North Macedonia-Europe")</f>
        <v>North Macedonia-Europe</v>
      </c>
      <c r="AD1808" s="14" t="str">
        <f>IFERROR(__xludf.DUMMYFUNCTION("""COMPUTED_VALUE"""),"2011")</f>
        <v>2011</v>
      </c>
      <c r="AE1808" s="14">
        <f>IFERROR(__xludf.DUMMYFUNCTION("""COMPUTED_VALUE"""),2668.0)</f>
        <v>2668</v>
      </c>
      <c r="AF1808" s="14">
        <f>IFERROR(__xludf.DUMMYFUNCTION("""COMPUTED_VALUE"""),12064.0)</f>
        <v>12064</v>
      </c>
    </row>
    <row r="1809">
      <c r="A1809" s="12">
        <v>1808.0</v>
      </c>
      <c r="B1809" s="12" t="s">
        <v>218</v>
      </c>
      <c r="C1809" s="5" t="s">
        <v>75</v>
      </c>
      <c r="D1809" s="8"/>
      <c r="E1809" s="8"/>
      <c r="F1809" s="8"/>
      <c r="G1809" s="8"/>
      <c r="H1809" s="11">
        <v>0.52</v>
      </c>
      <c r="I1809" s="11">
        <v>0.718</v>
      </c>
      <c r="J1809" s="9" t="s">
        <v>60</v>
      </c>
      <c r="K1809" s="14" t="str">
        <f>IFERROR(__xludf.DUMMYFUNCTION("ARRAYFORMULA(VLOOKUP(A1809,IMPORTRANGE(""https://docs.google.com/spreadsheets/d/1BuTWp7qHGjWhqrnf-OmePP568O4A5Am9ttzvVdP67zw/edit#gid=1603210130"", ""TOURISM!$A$2:$F$2692""), {2,3,4,5,6},0))"),"Europe")</f>
        <v>Europe</v>
      </c>
      <c r="L1809" s="14">
        <f>IFERROR(__xludf.DUMMYFUNCTION("""COMPUTED_VALUE"""),2.521E9)</f>
        <v>2521000000</v>
      </c>
      <c r="M1809" s="14" t="str">
        <f>IFERROR(__xludf.DUMMYFUNCTION("""COMPUTED_VALUE"""),"Norway-Europe")</f>
        <v>Norway-Europe</v>
      </c>
      <c r="N1809" s="14" t="str">
        <f>IFERROR(__xludf.DUMMYFUNCTION("""COMPUTED_VALUE"""),"2000")</f>
        <v>2000</v>
      </c>
      <c r="O1809" s="14">
        <f>IFERROR(__xludf.DUMMYFUNCTION("""COMPUTED_VALUE"""),4.893E9)</f>
        <v>4893000000</v>
      </c>
      <c r="P1809" s="15">
        <f>IFERROR(__xludf.DUMMYFUNCTION("ARRAYFORMULA(VLOOKUP(A1809,IMPORTRANGE(""https://docs.google.com/spreadsheets/d/1BuTWp7qHGjWhqrnf-OmePP568O4A5Am9ttzvVdP67zw/edit#gid=771602874"" ,""HUMAN RESOURCES!$A$2:$M$2692""), {2,3,4,5,6,7,8,9,10,11,12,13},0))"),0.013)</f>
        <v>0.013</v>
      </c>
      <c r="Q1809" s="14">
        <f>IFERROR(__xludf.DUMMYFUNCTION("""COMPUTED_VALUE"""),0.004)</f>
        <v>0.004</v>
      </c>
      <c r="R1809" s="14">
        <f>IFERROR(__xludf.DUMMYFUNCTION("""COMPUTED_VALUE"""),81.0)</f>
        <v>81</v>
      </c>
      <c r="S1809" s="14">
        <f>IFERROR(__xludf.DUMMYFUNCTION("""COMPUTED_VALUE"""),76.0)</f>
        <v>76</v>
      </c>
      <c r="T1809" s="14">
        <f>IFERROR(__xludf.DUMMYFUNCTION("""COMPUTED_VALUE"""),0.2)</f>
        <v>0.2</v>
      </c>
      <c r="U1809" s="14">
        <f>IFERROR(__xludf.DUMMYFUNCTION("""COMPUTED_VALUE"""),0.648)</f>
        <v>0.648</v>
      </c>
      <c r="V1809" s="14">
        <f>IFERROR(__xludf.DUMMYFUNCTION("""COMPUTED_VALUE"""),0.152)</f>
        <v>0.152</v>
      </c>
      <c r="W1809" s="14">
        <f>IFERROR(__xludf.DUMMYFUNCTION("""COMPUTED_VALUE"""),4490967.0)</f>
        <v>4490967</v>
      </c>
      <c r="X1809" s="14">
        <f>IFERROR(__xludf.DUMMYFUNCTION("""COMPUTED_VALUE"""),0.761)</f>
        <v>0.761</v>
      </c>
      <c r="Y1809" s="14" t="str">
        <f>IFERROR(__xludf.DUMMYFUNCTION("""COMPUTED_VALUE"""),"Norway-Europe")</f>
        <v>Norway-Europe</v>
      </c>
      <c r="Z1809" s="14" t="str">
        <f>IFERROR(__xludf.DUMMYFUNCTION("""COMPUTED_VALUE"""),"Europe")</f>
        <v>Europe</v>
      </c>
      <c r="AA1809" s="14" t="str">
        <f>IFERROR(__xludf.DUMMYFUNCTION("""COMPUTED_VALUE"""),"2000")</f>
        <v>2000</v>
      </c>
      <c r="AB1809" s="15" t="str">
        <f>IFERROR(__xludf.DUMMYFUNCTION("ARRAYFORMULA(VLOOKUP(A1809,IMPORTRANGE(""https://docs.google.com/spreadsheets/d/1BuTWp7qHGjWhqrnf-OmePP568O4A5Am9ttzvVdP67zw/edit#gid=1931367683"" ,""ENERGY!$A$2:$F$2692""), {2,3,4,5,6},0))"),"Europe")</f>
        <v>Europe</v>
      </c>
      <c r="AC1809" s="14" t="str">
        <f>IFERROR(__xludf.DUMMYFUNCTION("""COMPUTED_VALUE"""),"Norway-Europe")</f>
        <v>Norway-Europe</v>
      </c>
      <c r="AD1809" s="14" t="str">
        <f>IFERROR(__xludf.DUMMYFUNCTION("""COMPUTED_VALUE"""),"2000")</f>
        <v>2000</v>
      </c>
      <c r="AE1809" s="14">
        <f>IFERROR(__xludf.DUMMYFUNCTION("""COMPUTED_VALUE"""),29818.0)</f>
        <v>29818</v>
      </c>
      <c r="AF1809" s="14"/>
    </row>
    <row r="1810">
      <c r="A1810" s="12">
        <v>1809.0</v>
      </c>
      <c r="B1810" s="12" t="s">
        <v>218</v>
      </c>
      <c r="C1810" s="5" t="s">
        <v>75</v>
      </c>
      <c r="D1810" s="8"/>
      <c r="E1810" s="8"/>
      <c r="F1810" s="8"/>
      <c r="G1810" s="8"/>
      <c r="H1810" s="11">
        <v>0.64</v>
      </c>
      <c r="I1810" s="11">
        <v>0.796</v>
      </c>
      <c r="J1810" s="9" t="s">
        <v>62</v>
      </c>
      <c r="K1810" s="14" t="str">
        <f>IFERROR(__xludf.DUMMYFUNCTION("ARRAYFORMULA(VLOOKUP(A1810,IMPORTRANGE(""https://docs.google.com/spreadsheets/d/1BuTWp7qHGjWhqrnf-OmePP568O4A5Am9ttzvVdP67zw/edit#gid=1603210130"", ""TOURISM!$A$2:$F$2692""), {2,3,4,5,6},0))"),"Europe")</f>
        <v>Europe</v>
      </c>
      <c r="L1810" s="14">
        <f>IFERROR(__xludf.DUMMYFUNCTION("""COMPUTED_VALUE"""),2.38E9)</f>
        <v>2380000000</v>
      </c>
      <c r="M1810" s="14" t="str">
        <f>IFERROR(__xludf.DUMMYFUNCTION("""COMPUTED_VALUE"""),"Norway-Europe")</f>
        <v>Norway-Europe</v>
      </c>
      <c r="N1810" s="14" t="str">
        <f>IFERROR(__xludf.DUMMYFUNCTION("""COMPUTED_VALUE"""),"2001")</f>
        <v>2001</v>
      </c>
      <c r="O1810" s="14">
        <f>IFERROR(__xludf.DUMMYFUNCTION("""COMPUTED_VALUE"""),4.718E9)</f>
        <v>4718000000</v>
      </c>
      <c r="P1810" s="15">
        <f>IFERROR(__xludf.DUMMYFUNCTION("ARRAYFORMULA(VLOOKUP(A1810,IMPORTRANGE(""https://docs.google.com/spreadsheets/d/1BuTWp7qHGjWhqrnf-OmePP568O4A5Am9ttzvVdP67zw/edit#gid=771602874"" ,""HUMAN RESOURCES!$A$2:$M$2692""), {2,3,4,5,6,7,8,9,10,11,12,13},0))"),0.013)</f>
        <v>0.013</v>
      </c>
      <c r="Q1810" s="14">
        <f>IFERROR(__xludf.DUMMYFUNCTION("""COMPUTED_VALUE"""),0.004)</f>
        <v>0.004</v>
      </c>
      <c r="R1810" s="14">
        <f>IFERROR(__xludf.DUMMYFUNCTION("""COMPUTED_VALUE"""),82.0)</f>
        <v>82</v>
      </c>
      <c r="S1810" s="14">
        <f>IFERROR(__xludf.DUMMYFUNCTION("""COMPUTED_VALUE"""),76.0)</f>
        <v>76</v>
      </c>
      <c r="T1810" s="14">
        <f>IFERROR(__xludf.DUMMYFUNCTION("""COMPUTED_VALUE"""),0.2)</f>
        <v>0.2</v>
      </c>
      <c r="U1810" s="14">
        <f>IFERROR(__xludf.DUMMYFUNCTION("""COMPUTED_VALUE"""),0.65)</f>
        <v>0.65</v>
      </c>
      <c r="V1810" s="14">
        <f>IFERROR(__xludf.DUMMYFUNCTION("""COMPUTED_VALUE"""),0.15)</f>
        <v>0.15</v>
      </c>
      <c r="W1810" s="14">
        <f>IFERROR(__xludf.DUMMYFUNCTION("""COMPUTED_VALUE"""),4513751.0)</f>
        <v>4513751</v>
      </c>
      <c r="X1810" s="14">
        <f>IFERROR(__xludf.DUMMYFUNCTION("""COMPUTED_VALUE"""),0.766)</f>
        <v>0.766</v>
      </c>
      <c r="Y1810" s="14" t="str">
        <f>IFERROR(__xludf.DUMMYFUNCTION("""COMPUTED_VALUE"""),"Norway-Europe")</f>
        <v>Norway-Europe</v>
      </c>
      <c r="Z1810" s="14" t="str">
        <f>IFERROR(__xludf.DUMMYFUNCTION("""COMPUTED_VALUE"""),"Europe")</f>
        <v>Europe</v>
      </c>
      <c r="AA1810" s="14" t="str">
        <f>IFERROR(__xludf.DUMMYFUNCTION("""COMPUTED_VALUE"""),"2001")</f>
        <v>2001</v>
      </c>
      <c r="AB1810" s="15" t="str">
        <f>IFERROR(__xludf.DUMMYFUNCTION("ARRAYFORMULA(VLOOKUP(A1810,IMPORTRANGE(""https://docs.google.com/spreadsheets/d/1BuTWp7qHGjWhqrnf-OmePP568O4A5Am9ttzvVdP67zw/edit#gid=1931367683"" ,""ENERGY!$A$2:$F$2692""), {2,3,4,5,6},0))"),"Europe")</f>
        <v>Europe</v>
      </c>
      <c r="AC1810" s="14" t="str">
        <f>IFERROR(__xludf.DUMMYFUNCTION("""COMPUTED_VALUE"""),"Norway-Europe")</f>
        <v>Norway-Europe</v>
      </c>
      <c r="AD1810" s="14" t="str">
        <f>IFERROR(__xludf.DUMMYFUNCTION("""COMPUTED_VALUE"""),"2001")</f>
        <v>2001</v>
      </c>
      <c r="AE1810" s="14">
        <f>IFERROR(__xludf.DUMMYFUNCTION("""COMPUTED_VALUE"""),28137.0)</f>
        <v>28137</v>
      </c>
      <c r="AF1810" s="14"/>
    </row>
    <row r="1811">
      <c r="A1811" s="12">
        <v>1810.0</v>
      </c>
      <c r="B1811" s="12" t="s">
        <v>218</v>
      </c>
      <c r="C1811" s="5" t="s">
        <v>75</v>
      </c>
      <c r="D1811" s="8"/>
      <c r="E1811" s="8"/>
      <c r="F1811" s="8"/>
      <c r="G1811" s="8"/>
      <c r="H1811" s="11">
        <v>0.728</v>
      </c>
      <c r="I1811" s="11">
        <v>0.835</v>
      </c>
      <c r="J1811" s="9" t="s">
        <v>63</v>
      </c>
      <c r="K1811" s="14" t="str">
        <f>IFERROR(__xludf.DUMMYFUNCTION("ARRAYFORMULA(VLOOKUP(A1811,IMPORTRANGE(""https://docs.google.com/spreadsheets/d/1BuTWp7qHGjWhqrnf-OmePP568O4A5Am9ttzvVdP67zw/edit#gid=1603210130"", ""TOURISM!$A$2:$F$2692""), {2,3,4,5,6},0))"),"Europe")</f>
        <v>Europe</v>
      </c>
      <c r="L1811" s="14">
        <f>IFERROR(__xludf.DUMMYFUNCTION("""COMPUTED_VALUE"""),2.581E9)</f>
        <v>2581000000</v>
      </c>
      <c r="M1811" s="14" t="str">
        <f>IFERROR(__xludf.DUMMYFUNCTION("""COMPUTED_VALUE"""),"Norway-Europe")</f>
        <v>Norway-Europe</v>
      </c>
      <c r="N1811" s="14" t="str">
        <f>IFERROR(__xludf.DUMMYFUNCTION("""COMPUTED_VALUE"""),"2002")</f>
        <v>2002</v>
      </c>
      <c r="O1811" s="14">
        <f>IFERROR(__xludf.DUMMYFUNCTION("""COMPUTED_VALUE"""),5.61E9)</f>
        <v>5610000000</v>
      </c>
      <c r="P1811" s="15">
        <f>IFERROR(__xludf.DUMMYFUNCTION("ARRAYFORMULA(VLOOKUP(A1811,IMPORTRANGE(""https://docs.google.com/spreadsheets/d/1BuTWp7qHGjWhqrnf-OmePP568O4A5Am9ttzvVdP67zw/edit#gid=771602874"" ,""HUMAN RESOURCES!$A$2:$M$2692""), {2,3,4,5,6,7,8,9,10,11,12,13},0))"),0.012)</f>
        <v>0.012</v>
      </c>
      <c r="Q1811" s="14">
        <f>IFERROR(__xludf.DUMMYFUNCTION("""COMPUTED_VALUE"""),0.004)</f>
        <v>0.004</v>
      </c>
      <c r="R1811" s="14">
        <f>IFERROR(__xludf.DUMMYFUNCTION("""COMPUTED_VALUE"""),82.0)</f>
        <v>82</v>
      </c>
      <c r="S1811" s="14">
        <f>IFERROR(__xludf.DUMMYFUNCTION("""COMPUTED_VALUE"""),77.0)</f>
        <v>77</v>
      </c>
      <c r="T1811" s="14">
        <f>IFERROR(__xludf.DUMMYFUNCTION("""COMPUTED_VALUE"""),0.2)</f>
        <v>0.2</v>
      </c>
      <c r="U1811" s="14">
        <f>IFERROR(__xludf.DUMMYFUNCTION("""COMPUTED_VALUE"""),0.651)</f>
        <v>0.651</v>
      </c>
      <c r="V1811" s="14">
        <f>IFERROR(__xludf.DUMMYFUNCTION("""COMPUTED_VALUE"""),0.149)</f>
        <v>0.149</v>
      </c>
      <c r="W1811" s="14">
        <f>IFERROR(__xludf.DUMMYFUNCTION("""COMPUTED_VALUE"""),4538159.0)</f>
        <v>4538159</v>
      </c>
      <c r="X1811" s="14">
        <f>IFERROR(__xludf.DUMMYFUNCTION("""COMPUTED_VALUE"""),0.77)</f>
        <v>0.77</v>
      </c>
      <c r="Y1811" s="14" t="str">
        <f>IFERROR(__xludf.DUMMYFUNCTION("""COMPUTED_VALUE"""),"Norway-Europe")</f>
        <v>Norway-Europe</v>
      </c>
      <c r="Z1811" s="14" t="str">
        <f>IFERROR(__xludf.DUMMYFUNCTION("""COMPUTED_VALUE"""),"Europe")</f>
        <v>Europe</v>
      </c>
      <c r="AA1811" s="14" t="str">
        <f>IFERROR(__xludf.DUMMYFUNCTION("""COMPUTED_VALUE"""),"2002")</f>
        <v>2002</v>
      </c>
      <c r="AB1811" s="15" t="str">
        <f>IFERROR(__xludf.DUMMYFUNCTION("ARRAYFORMULA(VLOOKUP(A1811,IMPORTRANGE(""https://docs.google.com/spreadsheets/d/1BuTWp7qHGjWhqrnf-OmePP568O4A5Am9ttzvVdP67zw/edit#gid=1931367683"" ,""ENERGY!$A$2:$F$2692""), {2,3,4,5,6},0))"),"Europe")</f>
        <v>Europe</v>
      </c>
      <c r="AC1811" s="14" t="str">
        <f>IFERROR(__xludf.DUMMYFUNCTION("""COMPUTED_VALUE"""),"Norway-Europe")</f>
        <v>Norway-Europe</v>
      </c>
      <c r="AD1811" s="14" t="str">
        <f>IFERROR(__xludf.DUMMYFUNCTION("""COMPUTED_VALUE"""),"2002")</f>
        <v>2002</v>
      </c>
      <c r="AE1811" s="14">
        <f>IFERROR(__xludf.DUMMYFUNCTION("""COMPUTED_VALUE"""),32338.0)</f>
        <v>32338</v>
      </c>
      <c r="AF1811" s="14">
        <f>IFERROR(__xludf.DUMMYFUNCTION("""COMPUTED_VALUE"""),57187.0)</f>
        <v>57187</v>
      </c>
    </row>
    <row r="1812">
      <c r="A1812" s="12">
        <v>1811.0</v>
      </c>
      <c r="B1812" s="12" t="s">
        <v>218</v>
      </c>
      <c r="C1812" s="5" t="s">
        <v>75</v>
      </c>
      <c r="D1812" s="8"/>
      <c r="E1812" s="11">
        <v>18.0</v>
      </c>
      <c r="F1812" s="8"/>
      <c r="G1812" s="8"/>
      <c r="H1812" s="11">
        <v>0.781</v>
      </c>
      <c r="I1812" s="11">
        <v>0.891</v>
      </c>
      <c r="J1812" s="9" t="s">
        <v>64</v>
      </c>
      <c r="K1812" s="14" t="str">
        <f>IFERROR(__xludf.DUMMYFUNCTION("ARRAYFORMULA(VLOOKUP(A1812,IMPORTRANGE(""https://docs.google.com/spreadsheets/d/1BuTWp7qHGjWhqrnf-OmePP568O4A5Am9ttzvVdP67zw/edit#gid=1603210130"", ""TOURISM!$A$2:$F$2692""), {2,3,4,5,6},0))"),"Europe")</f>
        <v>Europe</v>
      </c>
      <c r="L1812" s="14">
        <f>IFERROR(__xludf.DUMMYFUNCTION("""COMPUTED_VALUE"""),2.989E9)</f>
        <v>2989000000</v>
      </c>
      <c r="M1812" s="14" t="str">
        <f>IFERROR(__xludf.DUMMYFUNCTION("""COMPUTED_VALUE"""),"Norway-Europe")</f>
        <v>Norway-Europe</v>
      </c>
      <c r="N1812" s="14" t="str">
        <f>IFERROR(__xludf.DUMMYFUNCTION("""COMPUTED_VALUE"""),"2003")</f>
        <v>2003</v>
      </c>
      <c r="O1812" s="14">
        <f>IFERROR(__xludf.DUMMYFUNCTION("""COMPUTED_VALUE"""),7.089E9)</f>
        <v>7089000000</v>
      </c>
      <c r="P1812" s="15">
        <f>IFERROR(__xludf.DUMMYFUNCTION("ARRAYFORMULA(VLOOKUP(A1812,IMPORTRANGE(""https://docs.google.com/spreadsheets/d/1BuTWp7qHGjWhqrnf-OmePP568O4A5Am9ttzvVdP67zw/edit#gid=771602874"" ,""HUMAN RESOURCES!$A$2:$M$2692""), {2,3,4,5,6,7,8,9,10,11,12,13},0))"),0.012)</f>
        <v>0.012</v>
      </c>
      <c r="Q1812" s="14">
        <f>IFERROR(__xludf.DUMMYFUNCTION("""COMPUTED_VALUE"""),0.004)</f>
        <v>0.004</v>
      </c>
      <c r="R1812" s="14">
        <f>IFERROR(__xludf.DUMMYFUNCTION("""COMPUTED_VALUE"""),82.0)</f>
        <v>82</v>
      </c>
      <c r="S1812" s="14">
        <f>IFERROR(__xludf.DUMMYFUNCTION("""COMPUTED_VALUE"""),77.0)</f>
        <v>77</v>
      </c>
      <c r="T1812" s="14">
        <f>IFERROR(__xludf.DUMMYFUNCTION("""COMPUTED_VALUE"""),0.199)</f>
        <v>0.199</v>
      </c>
      <c r="U1812" s="14">
        <f>IFERROR(__xludf.DUMMYFUNCTION("""COMPUTED_VALUE"""),0.653)</f>
        <v>0.653</v>
      </c>
      <c r="V1812" s="14">
        <f>IFERROR(__xludf.DUMMYFUNCTION("""COMPUTED_VALUE"""),0.148)</f>
        <v>0.148</v>
      </c>
      <c r="W1812" s="14">
        <f>IFERROR(__xludf.DUMMYFUNCTION("""COMPUTED_VALUE"""),4564855.0)</f>
        <v>4564855</v>
      </c>
      <c r="X1812" s="14">
        <f>IFERROR(__xludf.DUMMYFUNCTION("""COMPUTED_VALUE"""),0.772)</f>
        <v>0.772</v>
      </c>
      <c r="Y1812" s="14" t="str">
        <f>IFERROR(__xludf.DUMMYFUNCTION("""COMPUTED_VALUE"""),"Norway-Europe")</f>
        <v>Norway-Europe</v>
      </c>
      <c r="Z1812" s="14" t="str">
        <f>IFERROR(__xludf.DUMMYFUNCTION("""COMPUTED_VALUE"""),"Europe")</f>
        <v>Europe</v>
      </c>
      <c r="AA1812" s="14" t="str">
        <f>IFERROR(__xludf.DUMMYFUNCTION("""COMPUTED_VALUE"""),"2003")</f>
        <v>2003</v>
      </c>
      <c r="AB1812" s="15" t="str">
        <f>IFERROR(__xludf.DUMMYFUNCTION("ARRAYFORMULA(VLOOKUP(A1812,IMPORTRANGE(""https://docs.google.com/spreadsheets/d/1BuTWp7qHGjWhqrnf-OmePP568O4A5Am9ttzvVdP67zw/edit#gid=1931367683"" ,""ENERGY!$A$2:$F$2692""), {2,3,4,5,6},0))"),"Europe")</f>
        <v>Europe</v>
      </c>
      <c r="AC1812" s="14" t="str">
        <f>IFERROR(__xludf.DUMMYFUNCTION("""COMPUTED_VALUE"""),"Norway-Europe")</f>
        <v>Norway-Europe</v>
      </c>
      <c r="AD1812" s="14" t="str">
        <f>IFERROR(__xludf.DUMMYFUNCTION("""COMPUTED_VALUE"""),"2003")</f>
        <v>2003</v>
      </c>
      <c r="AE1812" s="14">
        <f>IFERROR(__xludf.DUMMYFUNCTION("""COMPUTED_VALUE"""),29775.0)</f>
        <v>29775</v>
      </c>
      <c r="AF1812" s="14">
        <f>IFERROR(__xludf.DUMMYFUNCTION("""COMPUTED_VALUE"""),47077.0)</f>
        <v>47077</v>
      </c>
    </row>
    <row r="1813">
      <c r="A1813" s="12">
        <v>1812.0</v>
      </c>
      <c r="B1813" s="12" t="s">
        <v>218</v>
      </c>
      <c r="C1813" s="5" t="s">
        <v>75</v>
      </c>
      <c r="D1813" s="8"/>
      <c r="E1813" s="11">
        <v>18.0</v>
      </c>
      <c r="F1813" s="8"/>
      <c r="G1813" s="8"/>
      <c r="H1813" s="11">
        <v>0.777</v>
      </c>
      <c r="I1813" s="11">
        <v>0.986</v>
      </c>
      <c r="J1813" s="9" t="s">
        <v>65</v>
      </c>
      <c r="K1813" s="14" t="str">
        <f>IFERROR(__xludf.DUMMYFUNCTION("ARRAYFORMULA(VLOOKUP(A1813,IMPORTRANGE(""https://docs.google.com/spreadsheets/d/1BuTWp7qHGjWhqrnf-OmePP568O4A5Am9ttzvVdP67zw/edit#gid=1603210130"", ""TOURISM!$A$2:$F$2692""), {2,3,4,5,6},0))"),"Europe")</f>
        <v>Europe</v>
      </c>
      <c r="L1813" s="14">
        <f>IFERROR(__xludf.DUMMYFUNCTION("""COMPUTED_VALUE"""),3.531E9)</f>
        <v>3531000000</v>
      </c>
      <c r="M1813" s="14" t="str">
        <f>IFERROR(__xludf.DUMMYFUNCTION("""COMPUTED_VALUE"""),"Norway-Europe")</f>
        <v>Norway-Europe</v>
      </c>
      <c r="N1813" s="14" t="str">
        <f>IFERROR(__xludf.DUMMYFUNCTION("""COMPUTED_VALUE"""),"2004")</f>
        <v>2004</v>
      </c>
      <c r="O1813" s="14">
        <f>IFERROR(__xludf.DUMMYFUNCTION("""COMPUTED_VALUE"""),8.894E9)</f>
        <v>8894000000</v>
      </c>
      <c r="P1813" s="15">
        <f>IFERROR(__xludf.DUMMYFUNCTION("ARRAYFORMULA(VLOOKUP(A1813,IMPORTRANGE(""https://docs.google.com/spreadsheets/d/1BuTWp7qHGjWhqrnf-OmePP568O4A5Am9ttzvVdP67zw/edit#gid=771602874"" ,""HUMAN RESOURCES!$A$2:$M$2692""), {2,3,4,5,6,7,8,9,10,11,12,13},0))"),0.012)</f>
        <v>0.012</v>
      </c>
      <c r="Q1813" s="14">
        <f>IFERROR(__xludf.DUMMYFUNCTION("""COMPUTED_VALUE"""),0.003)</f>
        <v>0.003</v>
      </c>
      <c r="R1813" s="14">
        <f>IFERROR(__xludf.DUMMYFUNCTION("""COMPUTED_VALUE"""),82.0)</f>
        <v>82</v>
      </c>
      <c r="S1813" s="14">
        <f>IFERROR(__xludf.DUMMYFUNCTION("""COMPUTED_VALUE"""),78.0)</f>
        <v>78</v>
      </c>
      <c r="T1813" s="14">
        <f>IFERROR(__xludf.DUMMYFUNCTION("""COMPUTED_VALUE"""),0.198)</f>
        <v>0.198</v>
      </c>
      <c r="U1813" s="14">
        <f>IFERROR(__xludf.DUMMYFUNCTION("""COMPUTED_VALUE"""),0.655)</f>
        <v>0.655</v>
      </c>
      <c r="V1813" s="14">
        <f>IFERROR(__xludf.DUMMYFUNCTION("""COMPUTED_VALUE"""),0.148)</f>
        <v>0.148</v>
      </c>
      <c r="W1813" s="14">
        <f>IFERROR(__xludf.DUMMYFUNCTION("""COMPUTED_VALUE"""),4591910.0)</f>
        <v>4591910</v>
      </c>
      <c r="X1813" s="14">
        <f>IFERROR(__xludf.DUMMYFUNCTION("""COMPUTED_VALUE"""),0.773)</f>
        <v>0.773</v>
      </c>
      <c r="Y1813" s="14" t="str">
        <f>IFERROR(__xludf.DUMMYFUNCTION("""COMPUTED_VALUE"""),"Norway-Europe")</f>
        <v>Norway-Europe</v>
      </c>
      <c r="Z1813" s="14" t="str">
        <f>IFERROR(__xludf.DUMMYFUNCTION("""COMPUTED_VALUE"""),"Europe")</f>
        <v>Europe</v>
      </c>
      <c r="AA1813" s="14" t="str">
        <f>IFERROR(__xludf.DUMMYFUNCTION("""COMPUTED_VALUE"""),"2004")</f>
        <v>2004</v>
      </c>
      <c r="AB1813" s="15" t="str">
        <f>IFERROR(__xludf.DUMMYFUNCTION("ARRAYFORMULA(VLOOKUP(A1813,IMPORTRANGE(""https://docs.google.com/spreadsheets/d/1BuTWp7qHGjWhqrnf-OmePP568O4A5Am9ttzvVdP67zw/edit#gid=1931367683"" ,""ENERGY!$A$2:$F$2692""), {2,3,4,5,6},0))"),"Europe")</f>
        <v>Europe</v>
      </c>
      <c r="AC1813" s="14" t="str">
        <f>IFERROR(__xludf.DUMMYFUNCTION("""COMPUTED_VALUE"""),"Norway-Europe")</f>
        <v>Norway-Europe</v>
      </c>
      <c r="AD1813" s="14" t="str">
        <f>IFERROR(__xludf.DUMMYFUNCTION("""COMPUTED_VALUE"""),"2004")</f>
        <v>2004</v>
      </c>
      <c r="AE1813" s="14">
        <f>IFERROR(__xludf.DUMMYFUNCTION("""COMPUTED_VALUE"""),29805.0)</f>
        <v>29805</v>
      </c>
      <c r="AF1813" s="14">
        <f>IFERROR(__xludf.DUMMYFUNCTION("""COMPUTED_VALUE"""),50326.0)</f>
        <v>50326</v>
      </c>
    </row>
    <row r="1814">
      <c r="A1814" s="12">
        <v>1813.0</v>
      </c>
      <c r="B1814" s="12" t="s">
        <v>218</v>
      </c>
      <c r="C1814" s="5" t="s">
        <v>75</v>
      </c>
      <c r="D1814" s="11">
        <v>0.411</v>
      </c>
      <c r="E1814" s="11">
        <v>8.0</v>
      </c>
      <c r="F1814" s="8"/>
      <c r="G1814" s="11">
        <v>87.0</v>
      </c>
      <c r="H1814" s="11">
        <v>0.82</v>
      </c>
      <c r="I1814" s="11">
        <v>1.028</v>
      </c>
      <c r="J1814" s="9" t="s">
        <v>66</v>
      </c>
      <c r="K1814" s="14" t="str">
        <f>IFERROR(__xludf.DUMMYFUNCTION("ARRAYFORMULA(VLOOKUP(A1814,IMPORTRANGE(""https://docs.google.com/spreadsheets/d/1BuTWp7qHGjWhqrnf-OmePP568O4A5Am9ttzvVdP67zw/edit#gid=1603210130"", ""TOURISM!$A$2:$F$2692""), {2,3,4,5,6},0))"),"Europe")</f>
        <v>Europe</v>
      </c>
      <c r="L1814" s="14">
        <f>IFERROR(__xludf.DUMMYFUNCTION("""COMPUTED_VALUE"""),4.243E9)</f>
        <v>4243000000</v>
      </c>
      <c r="M1814" s="14" t="str">
        <f>IFERROR(__xludf.DUMMYFUNCTION("""COMPUTED_VALUE"""),"Norway-Europe")</f>
        <v>Norway-Europe</v>
      </c>
      <c r="N1814" s="14" t="str">
        <f>IFERROR(__xludf.DUMMYFUNCTION("""COMPUTED_VALUE"""),"2005")</f>
        <v>2005</v>
      </c>
      <c r="O1814" s="14">
        <f>IFERROR(__xludf.DUMMYFUNCTION("""COMPUTED_VALUE"""),1.04E10)</f>
        <v>10400000000</v>
      </c>
      <c r="P1814" s="15">
        <f>IFERROR(__xludf.DUMMYFUNCTION("ARRAYFORMULA(VLOOKUP(A1814,IMPORTRANGE(""https://docs.google.com/spreadsheets/d/1BuTWp7qHGjWhqrnf-OmePP568O4A5Am9ttzvVdP67zw/edit#gid=771602874"" ,""HUMAN RESOURCES!$A$2:$M$2692""), {2,3,4,5,6,7,8,9,10,11,12,13},0))"),0.012)</f>
        <v>0.012</v>
      </c>
      <c r="Q1814" s="14">
        <f>IFERROR(__xludf.DUMMYFUNCTION("""COMPUTED_VALUE"""),0.003)</f>
        <v>0.003</v>
      </c>
      <c r="R1814" s="14">
        <f>IFERROR(__xludf.DUMMYFUNCTION("""COMPUTED_VALUE"""),83.0)</f>
        <v>83</v>
      </c>
      <c r="S1814" s="14">
        <f>IFERROR(__xludf.DUMMYFUNCTION("""COMPUTED_VALUE"""),78.0)</f>
        <v>78</v>
      </c>
      <c r="T1814" s="14">
        <f>IFERROR(__xludf.DUMMYFUNCTION("""COMPUTED_VALUE"""),0.196)</f>
        <v>0.196</v>
      </c>
      <c r="U1814" s="14">
        <f>IFERROR(__xludf.DUMMYFUNCTION("""COMPUTED_VALUE"""),0.656)</f>
        <v>0.656</v>
      </c>
      <c r="V1814" s="14">
        <f>IFERROR(__xludf.DUMMYFUNCTION("""COMPUTED_VALUE"""),0.147)</f>
        <v>0.147</v>
      </c>
      <c r="W1814" s="14">
        <f>IFERROR(__xludf.DUMMYFUNCTION("""COMPUTED_VALUE"""),4623291.0)</f>
        <v>4623291</v>
      </c>
      <c r="X1814" s="14">
        <f>IFERROR(__xludf.DUMMYFUNCTION("""COMPUTED_VALUE"""),0.775)</f>
        <v>0.775</v>
      </c>
      <c r="Y1814" s="14" t="str">
        <f>IFERROR(__xludf.DUMMYFUNCTION("""COMPUTED_VALUE"""),"Norway-Europe")</f>
        <v>Norway-Europe</v>
      </c>
      <c r="Z1814" s="14" t="str">
        <f>IFERROR(__xludf.DUMMYFUNCTION("""COMPUTED_VALUE"""),"Europe")</f>
        <v>Europe</v>
      </c>
      <c r="AA1814" s="14" t="str">
        <f>IFERROR(__xludf.DUMMYFUNCTION("""COMPUTED_VALUE"""),"2005")</f>
        <v>2005</v>
      </c>
      <c r="AB1814" s="15" t="str">
        <f>IFERROR(__xludf.DUMMYFUNCTION("ARRAYFORMULA(VLOOKUP(A1814,IMPORTRANGE(""https://docs.google.com/spreadsheets/d/1BuTWp7qHGjWhqrnf-OmePP568O4A5Am9ttzvVdP67zw/edit#gid=1931367683"" ,""ENERGY!$A$2:$F$2692""), {2,3,4,5,6},0))"),"Europe")</f>
        <v>Europe</v>
      </c>
      <c r="AC1814" s="14" t="str">
        <f>IFERROR(__xludf.DUMMYFUNCTION("""COMPUTED_VALUE"""),"Norway-Europe")</f>
        <v>Norway-Europe</v>
      </c>
      <c r="AD1814" s="14" t="str">
        <f>IFERROR(__xludf.DUMMYFUNCTION("""COMPUTED_VALUE"""),"2008")</f>
        <v>2008</v>
      </c>
      <c r="AE1814" s="14">
        <f>IFERROR(__xludf.DUMMYFUNCTION("""COMPUTED_VALUE"""),27547.0)</f>
        <v>27547</v>
      </c>
      <c r="AF1814" s="14">
        <f>IFERROR(__xludf.DUMMYFUNCTION("""COMPUTED_VALUE"""),45089.0)</f>
        <v>45089</v>
      </c>
    </row>
    <row r="1815">
      <c r="A1815" s="12">
        <v>1814.0</v>
      </c>
      <c r="B1815" s="12" t="s">
        <v>218</v>
      </c>
      <c r="C1815" s="5" t="s">
        <v>75</v>
      </c>
      <c r="D1815" s="11">
        <v>0.411</v>
      </c>
      <c r="E1815" s="11">
        <v>7.0</v>
      </c>
      <c r="F1815" s="8"/>
      <c r="G1815" s="11">
        <v>87.0</v>
      </c>
      <c r="H1815" s="11">
        <v>0.826</v>
      </c>
      <c r="I1815" s="11">
        <v>1.043</v>
      </c>
      <c r="J1815" s="9" t="s">
        <v>67</v>
      </c>
      <c r="K1815" s="14" t="str">
        <f>IFERROR(__xludf.DUMMYFUNCTION("ARRAYFORMULA(VLOOKUP(A1815,IMPORTRANGE(""https://docs.google.com/spreadsheets/d/1BuTWp7qHGjWhqrnf-OmePP568O4A5Am9ttzvVdP67zw/edit#gid=1603210130"", ""TOURISM!$A$2:$F$2692""), {2,3,4,5,6},0))"),"Europe")</f>
        <v>Europe</v>
      </c>
      <c r="L1815" s="14">
        <f>IFERROR(__xludf.DUMMYFUNCTION("""COMPUTED_VALUE"""),4.289E9)</f>
        <v>4289000000</v>
      </c>
      <c r="M1815" s="14" t="str">
        <f>IFERROR(__xludf.DUMMYFUNCTION("""COMPUTED_VALUE"""),"Norway-Europe")</f>
        <v>Norway-Europe</v>
      </c>
      <c r="N1815" s="14" t="str">
        <f>IFERROR(__xludf.DUMMYFUNCTION("""COMPUTED_VALUE"""),"2006")</f>
        <v>2006</v>
      </c>
      <c r="O1815" s="14">
        <f>IFERROR(__xludf.DUMMYFUNCTION("""COMPUTED_VALUE"""),1.1273E10)</f>
        <v>11273000000</v>
      </c>
      <c r="P1815" s="15">
        <f>IFERROR(__xludf.DUMMYFUNCTION("ARRAYFORMULA(VLOOKUP(A1815,IMPORTRANGE(""https://docs.google.com/spreadsheets/d/1BuTWp7qHGjWhqrnf-OmePP568O4A5Am9ttzvVdP67zw/edit#gid=771602874"" ,""HUMAN RESOURCES!$A$2:$M$2692""), {2,3,4,5,6,7,8,9,10,11,12,13},0))"),0.013)</f>
        <v>0.013</v>
      </c>
      <c r="Q1815" s="14">
        <f>IFERROR(__xludf.DUMMYFUNCTION("""COMPUTED_VALUE"""),0.003)</f>
        <v>0.003</v>
      </c>
      <c r="R1815" s="14">
        <f>IFERROR(__xludf.DUMMYFUNCTION("""COMPUTED_VALUE"""),83.0)</f>
        <v>83</v>
      </c>
      <c r="S1815" s="14">
        <f>IFERROR(__xludf.DUMMYFUNCTION("""COMPUTED_VALUE"""),78.0)</f>
        <v>78</v>
      </c>
      <c r="T1815" s="14">
        <f>IFERROR(__xludf.DUMMYFUNCTION("""COMPUTED_VALUE"""),0.195)</f>
        <v>0.195</v>
      </c>
      <c r="U1815" s="14">
        <f>IFERROR(__xludf.DUMMYFUNCTION("""COMPUTED_VALUE"""),0.658)</f>
        <v>0.658</v>
      </c>
      <c r="V1815" s="14">
        <f>IFERROR(__xludf.DUMMYFUNCTION("""COMPUTED_VALUE"""),0.147)</f>
        <v>0.147</v>
      </c>
      <c r="W1815" s="14">
        <f>IFERROR(__xludf.DUMMYFUNCTION("""COMPUTED_VALUE"""),4660677.0)</f>
        <v>4660677</v>
      </c>
      <c r="X1815" s="14">
        <f>IFERROR(__xludf.DUMMYFUNCTION("""COMPUTED_VALUE"""),0.779)</f>
        <v>0.779</v>
      </c>
      <c r="Y1815" s="14" t="str">
        <f>IFERROR(__xludf.DUMMYFUNCTION("""COMPUTED_VALUE"""),"Norway-Europe")</f>
        <v>Norway-Europe</v>
      </c>
      <c r="Z1815" s="14" t="str">
        <f>IFERROR(__xludf.DUMMYFUNCTION("""COMPUTED_VALUE"""),"Europe")</f>
        <v>Europe</v>
      </c>
      <c r="AA1815" s="14" t="str">
        <f>IFERROR(__xludf.DUMMYFUNCTION("""COMPUTED_VALUE"""),"2006")</f>
        <v>2006</v>
      </c>
      <c r="AB1815" s="15" t="str">
        <f>IFERROR(__xludf.DUMMYFUNCTION("ARRAYFORMULA(VLOOKUP(A1815,IMPORTRANGE(""https://docs.google.com/spreadsheets/d/1BuTWp7qHGjWhqrnf-OmePP568O4A5Am9ttzvVdP67zw/edit#gid=1931367683"" ,""ENERGY!$A$2:$F$2692""), {2,3,4,5,6},0))"),"Europe")</f>
        <v>Europe</v>
      </c>
      <c r="AC1815" s="14" t="str">
        <f>IFERROR(__xludf.DUMMYFUNCTION("""COMPUTED_VALUE"""),"Norway-Europe")</f>
        <v>Norway-Europe</v>
      </c>
      <c r="AD1815" s="14" t="str">
        <f>IFERROR(__xludf.DUMMYFUNCTION("""COMPUTED_VALUE"""),"2012")</f>
        <v>2012</v>
      </c>
      <c r="AE1815" s="14">
        <f>IFERROR(__xludf.DUMMYFUNCTION("""COMPUTED_VALUE"""),27129.0)</f>
        <v>27129</v>
      </c>
      <c r="AF1815" s="14">
        <f>IFERROR(__xludf.DUMMYFUNCTION("""COMPUTED_VALUE"""),44257.0)</f>
        <v>44257</v>
      </c>
    </row>
    <row r="1816">
      <c r="A1816" s="12">
        <v>1815.0</v>
      </c>
      <c r="B1816" s="12" t="s">
        <v>218</v>
      </c>
      <c r="C1816" s="5" t="s">
        <v>75</v>
      </c>
      <c r="D1816" s="11">
        <v>0.411</v>
      </c>
      <c r="E1816" s="11">
        <v>7.0</v>
      </c>
      <c r="F1816" s="8"/>
      <c r="G1816" s="11">
        <v>87.0</v>
      </c>
      <c r="H1816" s="11">
        <v>0.869</v>
      </c>
      <c r="I1816" s="11">
        <v>1.067</v>
      </c>
      <c r="J1816" s="9" t="s">
        <v>68</v>
      </c>
      <c r="K1816" s="14" t="str">
        <f>IFERROR(__xludf.DUMMYFUNCTION("ARRAYFORMULA(VLOOKUP(A1816,IMPORTRANGE(""https://docs.google.com/spreadsheets/d/1BuTWp7qHGjWhqrnf-OmePP568O4A5Am9ttzvVdP67zw/edit#gid=1603210130"", ""TOURISM!$A$2:$F$2692""), {2,3,4,5,6},0))"),"Europe")</f>
        <v>Europe</v>
      </c>
      <c r="L1816" s="14">
        <f>IFERROR(__xludf.DUMMYFUNCTION("""COMPUTED_VALUE"""),5.322E9)</f>
        <v>5322000000</v>
      </c>
      <c r="M1816" s="14" t="str">
        <f>IFERROR(__xludf.DUMMYFUNCTION("""COMPUTED_VALUE"""),"Norway-Europe")</f>
        <v>Norway-Europe</v>
      </c>
      <c r="N1816" s="14" t="str">
        <f>IFERROR(__xludf.DUMMYFUNCTION("""COMPUTED_VALUE"""),"2007")</f>
        <v>2007</v>
      </c>
      <c r="O1816" s="14">
        <f>IFERROR(__xludf.DUMMYFUNCTION("""COMPUTED_VALUE"""),1.3256E10)</f>
        <v>13256000000</v>
      </c>
      <c r="P1816" s="15">
        <f>IFERROR(__xludf.DUMMYFUNCTION("ARRAYFORMULA(VLOOKUP(A1816,IMPORTRANGE(""https://docs.google.com/spreadsheets/d/1BuTWp7qHGjWhqrnf-OmePP568O4A5Am9ttzvVdP67zw/edit#gid=771602874"" ,""HUMAN RESOURCES!$A$2:$M$2692""), {2,3,4,5,6,7,8,9,10,11,12,13},0))"),0.012)</f>
        <v>0.012</v>
      </c>
      <c r="Q1816" s="14">
        <f>IFERROR(__xludf.DUMMYFUNCTION("""COMPUTED_VALUE"""),0.003)</f>
        <v>0.003</v>
      </c>
      <c r="R1816" s="14">
        <f>IFERROR(__xludf.DUMMYFUNCTION("""COMPUTED_VALUE"""),83.0)</f>
        <v>83</v>
      </c>
      <c r="S1816" s="14">
        <f>IFERROR(__xludf.DUMMYFUNCTION("""COMPUTED_VALUE"""),78.0)</f>
        <v>78</v>
      </c>
      <c r="T1816" s="14">
        <f>IFERROR(__xludf.DUMMYFUNCTION("""COMPUTED_VALUE"""),0.193)</f>
        <v>0.193</v>
      </c>
      <c r="U1816" s="14">
        <f>IFERROR(__xludf.DUMMYFUNCTION("""COMPUTED_VALUE"""),0.66)</f>
        <v>0.66</v>
      </c>
      <c r="V1816" s="14">
        <f>IFERROR(__xludf.DUMMYFUNCTION("""COMPUTED_VALUE"""),0.147)</f>
        <v>0.147</v>
      </c>
      <c r="W1816" s="14">
        <f>IFERROR(__xludf.DUMMYFUNCTION("""COMPUTED_VALUE"""),4709153.0)</f>
        <v>4709153</v>
      </c>
      <c r="X1816" s="14">
        <f>IFERROR(__xludf.DUMMYFUNCTION("""COMPUTED_VALUE"""),0.782)</f>
        <v>0.782</v>
      </c>
      <c r="Y1816" s="14" t="str">
        <f>IFERROR(__xludf.DUMMYFUNCTION("""COMPUTED_VALUE"""),"Norway-Europe")</f>
        <v>Norway-Europe</v>
      </c>
      <c r="Z1816" s="14" t="str">
        <f>IFERROR(__xludf.DUMMYFUNCTION("""COMPUTED_VALUE"""),"Europe")</f>
        <v>Europe</v>
      </c>
      <c r="AA1816" s="14" t="str">
        <f>IFERROR(__xludf.DUMMYFUNCTION("""COMPUTED_VALUE"""),"2007")</f>
        <v>2007</v>
      </c>
      <c r="AB1816" s="15" t="str">
        <f>IFERROR(__xludf.DUMMYFUNCTION("ARRAYFORMULA(VLOOKUP(A1816,IMPORTRANGE(""https://docs.google.com/spreadsheets/d/1BuTWp7qHGjWhqrnf-OmePP568O4A5Am9ttzvVdP67zw/edit#gid=1931367683"" ,""ENERGY!$A$2:$F$2692""), {2,3,4,5,6},0))"),"Europe")</f>
        <v>Europe</v>
      </c>
      <c r="AC1816" s="14" t="str">
        <f>IFERROR(__xludf.DUMMYFUNCTION("""COMPUTED_VALUE"""),"Norway-Europe")</f>
        <v>Norway-Europe</v>
      </c>
      <c r="AD1816" s="14" t="str">
        <f>IFERROR(__xludf.DUMMYFUNCTION("""COMPUTED_VALUE"""),"2009")</f>
        <v>2009</v>
      </c>
      <c r="AE1816" s="14">
        <f>IFERROR(__xludf.DUMMYFUNCTION("""COMPUTED_VALUE"""),26771.0)</f>
        <v>26771</v>
      </c>
      <c r="AF1816" s="14">
        <f>IFERROR(__xludf.DUMMYFUNCTION("""COMPUTED_VALUE"""),42438.0)</f>
        <v>42438</v>
      </c>
    </row>
    <row r="1817">
      <c r="A1817" s="12">
        <v>1816.0</v>
      </c>
      <c r="B1817" s="12" t="s">
        <v>218</v>
      </c>
      <c r="C1817" s="5" t="s">
        <v>75</v>
      </c>
      <c r="D1817" s="11">
        <v>0.407</v>
      </c>
      <c r="E1817" s="11">
        <v>7.0</v>
      </c>
      <c r="F1817" s="8"/>
      <c r="G1817" s="11">
        <v>87.0</v>
      </c>
      <c r="H1817" s="11">
        <v>0.906</v>
      </c>
      <c r="I1817" s="11">
        <v>1.091</v>
      </c>
      <c r="J1817" s="9" t="s">
        <v>69</v>
      </c>
      <c r="K1817" s="14" t="str">
        <f>IFERROR(__xludf.DUMMYFUNCTION("ARRAYFORMULA(VLOOKUP(A1817,IMPORTRANGE(""https://docs.google.com/spreadsheets/d/1BuTWp7qHGjWhqrnf-OmePP568O4A5Am9ttzvVdP67zw/edit#gid=1603210130"", ""TOURISM!$A$2:$F$2692""), {2,3,4,5,6},0))"),"Europe")</f>
        <v>Europe</v>
      </c>
      <c r="L1817" s="14">
        <f>IFERROR(__xludf.DUMMYFUNCTION("""COMPUTED_VALUE"""),5.702E9)</f>
        <v>5702000000</v>
      </c>
      <c r="M1817" s="14" t="str">
        <f>IFERROR(__xludf.DUMMYFUNCTION("""COMPUTED_VALUE"""),"Norway-Europe")</f>
        <v>Norway-Europe</v>
      </c>
      <c r="N1817" s="14" t="str">
        <f>IFERROR(__xludf.DUMMYFUNCTION("""COMPUTED_VALUE"""),"2008")</f>
        <v>2008</v>
      </c>
      <c r="O1817" s="14">
        <f>IFERROR(__xludf.DUMMYFUNCTION("""COMPUTED_VALUE"""),1.5118E10)</f>
        <v>15118000000</v>
      </c>
      <c r="P1817" s="15">
        <f>IFERROR(__xludf.DUMMYFUNCTION("ARRAYFORMULA(VLOOKUP(A1817,IMPORTRANGE(""https://docs.google.com/spreadsheets/d/1BuTWp7qHGjWhqrnf-OmePP568O4A5Am9ttzvVdP67zw/edit#gid=771602874"" ,""HUMAN RESOURCES!$A$2:$M$2692""), {2,3,4,5,6,7,8,9,10,11,12,13},0))"),0.013)</f>
        <v>0.013</v>
      </c>
      <c r="Q1817" s="14">
        <f>IFERROR(__xludf.DUMMYFUNCTION("""COMPUTED_VALUE"""),0.003)</f>
        <v>0.003</v>
      </c>
      <c r="R1817" s="14">
        <f>IFERROR(__xludf.DUMMYFUNCTION("""COMPUTED_VALUE"""),83.0)</f>
        <v>83</v>
      </c>
      <c r="S1817" s="14">
        <f>IFERROR(__xludf.DUMMYFUNCTION("""COMPUTED_VALUE"""),78.0)</f>
        <v>78</v>
      </c>
      <c r="T1817" s="14">
        <f>IFERROR(__xludf.DUMMYFUNCTION("""COMPUTED_VALUE"""),0.191)</f>
        <v>0.191</v>
      </c>
      <c r="U1817" s="14">
        <f>IFERROR(__xludf.DUMMYFUNCTION("""COMPUTED_VALUE"""),0.661)</f>
        <v>0.661</v>
      </c>
      <c r="V1817" s="14">
        <f>IFERROR(__xludf.DUMMYFUNCTION("""COMPUTED_VALUE"""),0.148)</f>
        <v>0.148</v>
      </c>
      <c r="W1817" s="14">
        <f>IFERROR(__xludf.DUMMYFUNCTION("""COMPUTED_VALUE"""),4768212.0)</f>
        <v>4768212</v>
      </c>
      <c r="X1817" s="14">
        <f>IFERROR(__xludf.DUMMYFUNCTION("""COMPUTED_VALUE"""),0.785)</f>
        <v>0.785</v>
      </c>
      <c r="Y1817" s="14" t="str">
        <f>IFERROR(__xludf.DUMMYFUNCTION("""COMPUTED_VALUE"""),"Norway-Europe")</f>
        <v>Norway-Europe</v>
      </c>
      <c r="Z1817" s="14" t="str">
        <f>IFERROR(__xludf.DUMMYFUNCTION("""COMPUTED_VALUE"""),"Europe")</f>
        <v>Europe</v>
      </c>
      <c r="AA1817" s="14" t="str">
        <f>IFERROR(__xludf.DUMMYFUNCTION("""COMPUTED_VALUE"""),"2008")</f>
        <v>2008</v>
      </c>
      <c r="AB1817" s="15" t="str">
        <f>IFERROR(__xludf.DUMMYFUNCTION("ARRAYFORMULA(VLOOKUP(A1817,IMPORTRANGE(""https://docs.google.com/spreadsheets/d/1BuTWp7qHGjWhqrnf-OmePP568O4A5Am9ttzvVdP67zw/edit#gid=1931367683"" ,""ENERGY!$A$2:$F$2692""), {2,3,4,5,6},0))"),"Europe")</f>
        <v>Europe</v>
      </c>
      <c r="AC1817" s="14" t="str">
        <f>IFERROR(__xludf.DUMMYFUNCTION("""COMPUTED_VALUE"""),"Norway-Europe")</f>
        <v>Norway-Europe</v>
      </c>
      <c r="AD1817" s="14" t="str">
        <f>IFERROR(__xludf.DUMMYFUNCTION("""COMPUTED_VALUE"""),"2007")</f>
        <v>2007</v>
      </c>
      <c r="AE1817" s="14">
        <f>IFERROR(__xludf.DUMMYFUNCTION("""COMPUTED_VALUE"""),26433.0)</f>
        <v>26433</v>
      </c>
      <c r="AF1817" s="14">
        <f>IFERROR(__xludf.DUMMYFUNCTION("""COMPUTED_VALUE"""),42666.0)</f>
        <v>42666</v>
      </c>
    </row>
    <row r="1818">
      <c r="A1818" s="12">
        <v>1817.0</v>
      </c>
      <c r="B1818" s="12" t="s">
        <v>218</v>
      </c>
      <c r="C1818" s="5" t="s">
        <v>75</v>
      </c>
      <c r="D1818" s="11">
        <v>0.407</v>
      </c>
      <c r="E1818" s="11">
        <v>7.0</v>
      </c>
      <c r="F1818" s="8"/>
      <c r="G1818" s="11">
        <v>87.0</v>
      </c>
      <c r="H1818" s="11">
        <v>0.921</v>
      </c>
      <c r="I1818" s="11">
        <v>1.107</v>
      </c>
      <c r="J1818" s="9" t="s">
        <v>70</v>
      </c>
      <c r="K1818" s="14" t="str">
        <f>IFERROR(__xludf.DUMMYFUNCTION("ARRAYFORMULA(VLOOKUP(A1818,IMPORTRANGE(""https://docs.google.com/spreadsheets/d/1BuTWp7qHGjWhqrnf-OmePP568O4A5Am9ttzvVdP67zw/edit#gid=1603210130"", ""TOURISM!$A$2:$F$2692""), {2,3,4,5,6},0))"),"Europe")</f>
        <v>Europe</v>
      </c>
      <c r="L1818" s="14">
        <f>IFERROR(__xludf.DUMMYFUNCTION("""COMPUTED_VALUE"""),4.949E9)</f>
        <v>4949000000</v>
      </c>
      <c r="M1818" s="14" t="str">
        <f>IFERROR(__xludf.DUMMYFUNCTION("""COMPUTED_VALUE"""),"Norway-Europe")</f>
        <v>Norway-Europe</v>
      </c>
      <c r="N1818" s="14" t="str">
        <f>IFERROR(__xludf.DUMMYFUNCTION("""COMPUTED_VALUE"""),"2009")</f>
        <v>2009</v>
      </c>
      <c r="O1818" s="14">
        <f>IFERROR(__xludf.DUMMYFUNCTION("""COMPUTED_VALUE"""),1.3221E10)</f>
        <v>13221000000</v>
      </c>
      <c r="P1818" s="15">
        <f>IFERROR(__xludf.DUMMYFUNCTION("ARRAYFORMULA(VLOOKUP(A1818,IMPORTRANGE(""https://docs.google.com/spreadsheets/d/1BuTWp7qHGjWhqrnf-OmePP568O4A5Am9ttzvVdP67zw/edit#gid=771602874"" ,""HUMAN RESOURCES!$A$2:$M$2692""), {2,3,4,5,6,7,8,9,10,11,12,13},0))"),0.013)</f>
        <v>0.013</v>
      </c>
      <c r="Q1818" s="14">
        <f>IFERROR(__xludf.DUMMYFUNCTION("""COMPUTED_VALUE"""),0.003)</f>
        <v>0.003</v>
      </c>
      <c r="R1818" s="14">
        <f>IFERROR(__xludf.DUMMYFUNCTION("""COMPUTED_VALUE"""),83.0)</f>
        <v>83</v>
      </c>
      <c r="S1818" s="14">
        <f>IFERROR(__xludf.DUMMYFUNCTION("""COMPUTED_VALUE"""),79.0)</f>
        <v>79</v>
      </c>
      <c r="T1818" s="14">
        <f>IFERROR(__xludf.DUMMYFUNCTION("""COMPUTED_VALUE"""),0.189)</f>
        <v>0.189</v>
      </c>
      <c r="U1818" s="14">
        <f>IFERROR(__xludf.DUMMYFUNCTION("""COMPUTED_VALUE"""),0.662)</f>
        <v>0.662</v>
      </c>
      <c r="V1818" s="14">
        <f>IFERROR(__xludf.DUMMYFUNCTION("""COMPUTED_VALUE"""),0.149)</f>
        <v>0.149</v>
      </c>
      <c r="W1818" s="14">
        <f>IFERROR(__xludf.DUMMYFUNCTION("""COMPUTED_VALUE"""),4828726.0)</f>
        <v>4828726</v>
      </c>
      <c r="X1818" s="14">
        <f>IFERROR(__xludf.DUMMYFUNCTION("""COMPUTED_VALUE"""),0.788)</f>
        <v>0.788</v>
      </c>
      <c r="Y1818" s="14" t="str">
        <f>IFERROR(__xludf.DUMMYFUNCTION("""COMPUTED_VALUE"""),"Norway-Europe")</f>
        <v>Norway-Europe</v>
      </c>
      <c r="Z1818" s="14" t="str">
        <f>IFERROR(__xludf.DUMMYFUNCTION("""COMPUTED_VALUE"""),"Europe")</f>
        <v>Europe</v>
      </c>
      <c r="AA1818" s="14" t="str">
        <f>IFERROR(__xludf.DUMMYFUNCTION("""COMPUTED_VALUE"""),"2009")</f>
        <v>2009</v>
      </c>
      <c r="AB1818" s="15" t="str">
        <f>IFERROR(__xludf.DUMMYFUNCTION("ARRAYFORMULA(VLOOKUP(A1818,IMPORTRANGE(""https://docs.google.com/spreadsheets/d/1BuTWp7qHGjWhqrnf-OmePP568O4A5Am9ttzvVdP67zw/edit#gid=1931367683"" ,""ENERGY!$A$2:$F$2692""), {2,3,4,5,6},0))"),"Europe")</f>
        <v>Europe</v>
      </c>
      <c r="AC1818" s="14" t="str">
        <f>IFERROR(__xludf.DUMMYFUNCTION("""COMPUTED_VALUE"""),"Norway-Europe")</f>
        <v>Norway-Europe</v>
      </c>
      <c r="AD1818" s="14" t="str">
        <f>IFERROR(__xludf.DUMMYFUNCTION("""COMPUTED_VALUE"""),"2011")</f>
        <v>2011</v>
      </c>
      <c r="AE1818" s="14">
        <f>IFERROR(__xludf.DUMMYFUNCTION("""COMPUTED_VALUE"""),27020.0)</f>
        <v>27020</v>
      </c>
      <c r="AF1818" s="14">
        <f>IFERROR(__xludf.DUMMYFUNCTION("""COMPUTED_VALUE"""),42625.0)</f>
        <v>42625</v>
      </c>
    </row>
    <row r="1819">
      <c r="A1819" s="12">
        <v>1818.0</v>
      </c>
      <c r="B1819" s="12" t="s">
        <v>218</v>
      </c>
      <c r="C1819" s="5" t="s">
        <v>75</v>
      </c>
      <c r="D1819" s="11">
        <v>0.407</v>
      </c>
      <c r="E1819" s="11">
        <v>7.0</v>
      </c>
      <c r="F1819" s="8"/>
      <c r="G1819" s="11">
        <v>87.0</v>
      </c>
      <c r="H1819" s="11">
        <v>0.934</v>
      </c>
      <c r="I1819" s="11">
        <v>1.145</v>
      </c>
      <c r="J1819" s="9" t="s">
        <v>71</v>
      </c>
      <c r="K1819" s="14" t="str">
        <f>IFERROR(__xludf.DUMMYFUNCTION("ARRAYFORMULA(VLOOKUP(A1819,IMPORTRANGE(""https://docs.google.com/spreadsheets/d/1BuTWp7qHGjWhqrnf-OmePP568O4A5Am9ttzvVdP67zw/edit#gid=1603210130"", ""TOURISM!$A$2:$F$2692""), {2,3,4,5,6},0))"),"Europe")</f>
        <v>Europe</v>
      </c>
      <c r="L1819" s="14">
        <f>IFERROR(__xludf.DUMMYFUNCTION("""COMPUTED_VALUE"""),5.299E9)</f>
        <v>5299000000</v>
      </c>
      <c r="M1819" s="14" t="str">
        <f>IFERROR(__xludf.DUMMYFUNCTION("""COMPUTED_VALUE"""),"Norway-Europe")</f>
        <v>Norway-Europe</v>
      </c>
      <c r="N1819" s="14" t="str">
        <f>IFERROR(__xludf.DUMMYFUNCTION("""COMPUTED_VALUE"""),"2010")</f>
        <v>2010</v>
      </c>
      <c r="O1819" s="14">
        <f>IFERROR(__xludf.DUMMYFUNCTION("""COMPUTED_VALUE"""),1.4658E10)</f>
        <v>14658000000</v>
      </c>
      <c r="P1819" s="15">
        <f>IFERROR(__xludf.DUMMYFUNCTION("ARRAYFORMULA(VLOOKUP(A1819,IMPORTRANGE(""https://docs.google.com/spreadsheets/d/1BuTWp7qHGjWhqrnf-OmePP568O4A5Am9ttzvVdP67zw/edit#gid=771602874"" ,""HUMAN RESOURCES!$A$2:$M$2692""), {2,3,4,5,6,7,8,9,10,11,12,13},0))"),0.013)</f>
        <v>0.013</v>
      </c>
      <c r="Q1819" s="14">
        <f>IFERROR(__xludf.DUMMYFUNCTION("""COMPUTED_VALUE"""),0.003)</f>
        <v>0.003</v>
      </c>
      <c r="R1819" s="14">
        <f>IFERROR(__xludf.DUMMYFUNCTION("""COMPUTED_VALUE"""),83.0)</f>
        <v>83</v>
      </c>
      <c r="S1819" s="14">
        <f>IFERROR(__xludf.DUMMYFUNCTION("""COMPUTED_VALUE"""),79.0)</f>
        <v>79</v>
      </c>
      <c r="T1819" s="14">
        <f>IFERROR(__xludf.DUMMYFUNCTION("""COMPUTED_VALUE"""),0.188)</f>
        <v>0.188</v>
      </c>
      <c r="U1819" s="14">
        <f>IFERROR(__xludf.DUMMYFUNCTION("""COMPUTED_VALUE"""),0.662)</f>
        <v>0.662</v>
      </c>
      <c r="V1819" s="14">
        <f>IFERROR(__xludf.DUMMYFUNCTION("""COMPUTED_VALUE"""),0.15)</f>
        <v>0.15</v>
      </c>
      <c r="W1819" s="14">
        <f>IFERROR(__xludf.DUMMYFUNCTION("""COMPUTED_VALUE"""),4889252.0)</f>
        <v>4889252</v>
      </c>
      <c r="X1819" s="14">
        <f>IFERROR(__xludf.DUMMYFUNCTION("""COMPUTED_VALUE"""),0.791)</f>
        <v>0.791</v>
      </c>
      <c r="Y1819" s="14" t="str">
        <f>IFERROR(__xludf.DUMMYFUNCTION("""COMPUTED_VALUE"""),"Norway-Europe")</f>
        <v>Norway-Europe</v>
      </c>
      <c r="Z1819" s="14" t="str">
        <f>IFERROR(__xludf.DUMMYFUNCTION("""COMPUTED_VALUE"""),"Europe")</f>
        <v>Europe</v>
      </c>
      <c r="AA1819" s="14" t="str">
        <f>IFERROR(__xludf.DUMMYFUNCTION("""COMPUTED_VALUE"""),"2010")</f>
        <v>2010</v>
      </c>
      <c r="AB1819" s="15" t="str">
        <f>IFERROR(__xludf.DUMMYFUNCTION("ARRAYFORMULA(VLOOKUP(A1819,IMPORTRANGE(""https://docs.google.com/spreadsheets/d/1BuTWp7qHGjWhqrnf-OmePP568O4A5Am9ttzvVdP67zw/edit#gid=1931367683"" ,""ENERGY!$A$2:$F$2692""), {2,3,4,5,6},0))"),"Europe")</f>
        <v>Europe</v>
      </c>
      <c r="AC1819" s="14" t="str">
        <f>IFERROR(__xludf.DUMMYFUNCTION("""COMPUTED_VALUE"""),"Norway-Europe")</f>
        <v>Norway-Europe</v>
      </c>
      <c r="AD1819" s="14" t="str">
        <f>IFERROR(__xludf.DUMMYFUNCTION("""COMPUTED_VALUE"""),"2006")</f>
        <v>2006</v>
      </c>
      <c r="AE1819" s="14">
        <f>IFERROR(__xludf.DUMMYFUNCTION("""COMPUTED_VALUE"""),24912.0)</f>
        <v>24912</v>
      </c>
      <c r="AF1819" s="14">
        <f>IFERROR(__xludf.DUMMYFUNCTION("""COMPUTED_VALUE"""),37429.0)</f>
        <v>37429</v>
      </c>
    </row>
    <row r="1820">
      <c r="A1820" s="12">
        <v>1819.0</v>
      </c>
      <c r="B1820" s="12" t="s">
        <v>218</v>
      </c>
      <c r="C1820" s="5" t="s">
        <v>75</v>
      </c>
      <c r="D1820" s="11">
        <v>0.407</v>
      </c>
      <c r="E1820" s="11">
        <v>7.0</v>
      </c>
      <c r="F1820" s="8"/>
      <c r="G1820" s="11">
        <v>87.0</v>
      </c>
      <c r="H1820" s="11">
        <v>0.935</v>
      </c>
      <c r="I1820" s="11">
        <v>1.158</v>
      </c>
      <c r="J1820" s="9" t="s">
        <v>72</v>
      </c>
      <c r="K1820" s="14" t="str">
        <f>IFERROR(__xludf.DUMMYFUNCTION("ARRAYFORMULA(VLOOKUP(A1820,IMPORTRANGE(""https://docs.google.com/spreadsheets/d/1BuTWp7qHGjWhqrnf-OmePP568O4A5Am9ttzvVdP67zw/edit#gid=1603210130"", ""TOURISM!$A$2:$F$2692""), {2,3,4,5,6},0))"),"Europe")</f>
        <v>Europe</v>
      </c>
      <c r="L1820" s="14">
        <f>IFERROR(__xludf.DUMMYFUNCTION("""COMPUTED_VALUE"""),6.301E9)</f>
        <v>6301000000</v>
      </c>
      <c r="M1820" s="14" t="str">
        <f>IFERROR(__xludf.DUMMYFUNCTION("""COMPUTED_VALUE"""),"Norway-Europe")</f>
        <v>Norway-Europe</v>
      </c>
      <c r="N1820" s="14" t="str">
        <f>IFERROR(__xludf.DUMMYFUNCTION("""COMPUTED_VALUE"""),"2011")</f>
        <v>2011</v>
      </c>
      <c r="O1820" s="14">
        <f>IFERROR(__xludf.DUMMYFUNCTION("""COMPUTED_VALUE"""),1.6833E10)</f>
        <v>16833000000</v>
      </c>
      <c r="P1820" s="15">
        <f>IFERROR(__xludf.DUMMYFUNCTION("ARRAYFORMULA(VLOOKUP(A1820,IMPORTRANGE(""https://docs.google.com/spreadsheets/d/1BuTWp7qHGjWhqrnf-OmePP568O4A5Am9ttzvVdP67zw/edit#gid=771602874"" ,""HUMAN RESOURCES!$A$2:$M$2692""), {2,3,4,5,6,7,8,9,10,11,12,13},0))"),0.012)</f>
        <v>0.012</v>
      </c>
      <c r="Q1820" s="14">
        <f>IFERROR(__xludf.DUMMYFUNCTION("""COMPUTED_VALUE"""),0.003)</f>
        <v>0.003</v>
      </c>
      <c r="R1820" s="14">
        <f>IFERROR(__xludf.DUMMYFUNCTION("""COMPUTED_VALUE"""),84.0)</f>
        <v>84</v>
      </c>
      <c r="S1820" s="14">
        <f>IFERROR(__xludf.DUMMYFUNCTION("""COMPUTED_VALUE"""),79.0)</f>
        <v>79</v>
      </c>
      <c r="T1820" s="14">
        <f>IFERROR(__xludf.DUMMYFUNCTION("""COMPUTED_VALUE"""),0.187)</f>
        <v>0.187</v>
      </c>
      <c r="U1820" s="14">
        <f>IFERROR(__xludf.DUMMYFUNCTION("""COMPUTED_VALUE"""),0.661)</f>
        <v>0.661</v>
      </c>
      <c r="V1820" s="14">
        <f>IFERROR(__xludf.DUMMYFUNCTION("""COMPUTED_VALUE"""),0.152)</f>
        <v>0.152</v>
      </c>
      <c r="W1820" s="14">
        <f>IFERROR(__xludf.DUMMYFUNCTION("""COMPUTED_VALUE"""),4953088.0)</f>
        <v>4953088</v>
      </c>
      <c r="X1820" s="14">
        <f>IFERROR(__xludf.DUMMYFUNCTION("""COMPUTED_VALUE"""),0.794)</f>
        <v>0.794</v>
      </c>
      <c r="Y1820" s="14" t="str">
        <f>IFERROR(__xludf.DUMMYFUNCTION("""COMPUTED_VALUE"""),"Norway-Europe")</f>
        <v>Norway-Europe</v>
      </c>
      <c r="Z1820" s="14" t="str">
        <f>IFERROR(__xludf.DUMMYFUNCTION("""COMPUTED_VALUE"""),"Europe")</f>
        <v>Europe</v>
      </c>
      <c r="AA1820" s="14" t="str">
        <f>IFERROR(__xludf.DUMMYFUNCTION("""COMPUTED_VALUE"""),"2011")</f>
        <v>2011</v>
      </c>
      <c r="AB1820" s="15" t="str">
        <f>IFERROR(__xludf.DUMMYFUNCTION("ARRAYFORMULA(VLOOKUP(A1820,IMPORTRANGE(""https://docs.google.com/spreadsheets/d/1BuTWp7qHGjWhqrnf-OmePP568O4A5Am9ttzvVdP67zw/edit#gid=1931367683"" ,""ENERGY!$A$2:$F$2692""), {2,3,4,5,6},0))"),"Europe")</f>
        <v>Europe</v>
      </c>
      <c r="AC1820" s="14" t="str">
        <f>IFERROR(__xludf.DUMMYFUNCTION("""COMPUTED_VALUE"""),"Norway-Europe")</f>
        <v>Norway-Europe</v>
      </c>
      <c r="AD1820" s="14" t="str">
        <f>IFERROR(__xludf.DUMMYFUNCTION("""COMPUTED_VALUE"""),"2006")</f>
        <v>2006</v>
      </c>
      <c r="AE1820" s="14">
        <f>IFERROR(__xludf.DUMMYFUNCTION("""COMPUTED_VALUE"""),26823.0)</f>
        <v>26823</v>
      </c>
      <c r="AF1820" s="14">
        <f>IFERROR(__xludf.DUMMYFUNCTION("""COMPUTED_VALUE"""),41092.0)</f>
        <v>41092</v>
      </c>
    </row>
    <row r="1821">
      <c r="A1821" s="12">
        <v>1820.0</v>
      </c>
      <c r="B1821" s="12" t="s">
        <v>218</v>
      </c>
      <c r="C1821" s="5" t="s">
        <v>75</v>
      </c>
      <c r="D1821" s="11">
        <v>0.407</v>
      </c>
      <c r="E1821" s="11">
        <v>7.0</v>
      </c>
      <c r="F1821" s="11">
        <v>7.0</v>
      </c>
      <c r="G1821" s="11">
        <v>87.0</v>
      </c>
      <c r="H1821" s="11">
        <v>0.946</v>
      </c>
      <c r="I1821" s="11">
        <v>1.167</v>
      </c>
      <c r="J1821" s="9" t="s">
        <v>73</v>
      </c>
      <c r="K1821" s="14" t="str">
        <f>IFERROR(__xludf.DUMMYFUNCTION("ARRAYFORMULA(VLOOKUP(A1821,IMPORTRANGE(""https://docs.google.com/spreadsheets/d/1BuTWp7qHGjWhqrnf-OmePP568O4A5Am9ttzvVdP67zw/edit#gid=1603210130"", ""TOURISM!$A$2:$F$2692""), {2,3,4,5,6},0))"),"Europe")</f>
        <v>Europe</v>
      </c>
      <c r="L1821" s="14">
        <f>IFERROR(__xludf.DUMMYFUNCTION("""COMPUTED_VALUE"""),5.353E9)</f>
        <v>5353000000</v>
      </c>
      <c r="M1821" s="14" t="str">
        <f>IFERROR(__xludf.DUMMYFUNCTION("""COMPUTED_VALUE"""),"Norway-Europe")</f>
        <v>Norway-Europe</v>
      </c>
      <c r="N1821" s="14" t="str">
        <f>IFERROR(__xludf.DUMMYFUNCTION("""COMPUTED_VALUE"""),"2012")</f>
        <v>2012</v>
      </c>
      <c r="O1821" s="14">
        <f>IFERROR(__xludf.DUMMYFUNCTION("""COMPUTED_VALUE"""),1.7559E10)</f>
        <v>17559000000</v>
      </c>
      <c r="P1821" s="15">
        <f>IFERROR(__xludf.DUMMYFUNCTION("ARRAYFORMULA(VLOOKUP(A1821,IMPORTRANGE(""https://docs.google.com/spreadsheets/d/1BuTWp7qHGjWhqrnf-OmePP568O4A5Am9ttzvVdP67zw/edit#gid=771602874"" ,""HUMAN RESOURCES!$A$2:$M$2692""), {2,3,4,5,6,7,8,9,10,11,12,13},0))"),0.012)</f>
        <v>0.012</v>
      </c>
      <c r="Q1821" s="14">
        <f>IFERROR(__xludf.DUMMYFUNCTION("""COMPUTED_VALUE"""),0.002)</f>
        <v>0.002</v>
      </c>
      <c r="R1821" s="14">
        <f>IFERROR(__xludf.DUMMYFUNCTION("""COMPUTED_VALUE"""),84.0)</f>
        <v>84</v>
      </c>
      <c r="S1821" s="14">
        <f>IFERROR(__xludf.DUMMYFUNCTION("""COMPUTED_VALUE"""),80.0)</f>
        <v>80</v>
      </c>
      <c r="T1821" s="14">
        <f>IFERROR(__xludf.DUMMYFUNCTION("""COMPUTED_VALUE"""),0.186)</f>
        <v>0.186</v>
      </c>
      <c r="U1821" s="14">
        <f>IFERROR(__xludf.DUMMYFUNCTION("""COMPUTED_VALUE"""),0.659)</f>
        <v>0.659</v>
      </c>
      <c r="V1821" s="14">
        <f>IFERROR(__xludf.DUMMYFUNCTION("""COMPUTED_VALUE"""),0.155)</f>
        <v>0.155</v>
      </c>
      <c r="W1821" s="14">
        <f>IFERROR(__xludf.DUMMYFUNCTION("""COMPUTED_VALUE"""),5018573.0)</f>
        <v>5018573</v>
      </c>
      <c r="X1821" s="14">
        <f>IFERROR(__xludf.DUMMYFUNCTION("""COMPUTED_VALUE"""),0.797)</f>
        <v>0.797</v>
      </c>
      <c r="Y1821" s="14" t="str">
        <f>IFERROR(__xludf.DUMMYFUNCTION("""COMPUTED_VALUE"""),"Norway-Europe")</f>
        <v>Norway-Europe</v>
      </c>
      <c r="Z1821" s="14" t="str">
        <f>IFERROR(__xludf.DUMMYFUNCTION("""COMPUTED_VALUE"""),"Europe")</f>
        <v>Europe</v>
      </c>
      <c r="AA1821" s="14" t="str">
        <f>IFERROR(__xludf.DUMMYFUNCTION("""COMPUTED_VALUE"""),"2012")</f>
        <v>2012</v>
      </c>
      <c r="AB1821" s="15" t="str">
        <f>IFERROR(__xludf.DUMMYFUNCTION("ARRAYFORMULA(VLOOKUP(A1821,IMPORTRANGE(""https://docs.google.com/spreadsheets/d/1BuTWp7qHGjWhqrnf-OmePP568O4A5Am9ttzvVdP67zw/edit#gid=1931367683"" ,""ENERGY!$A$2:$F$2692""), {2,3,4,5,6},0))"),"Europe")</f>
        <v>Europe</v>
      </c>
      <c r="AC1821" s="14" t="str">
        <f>IFERROR(__xludf.DUMMYFUNCTION("""COMPUTED_VALUE"""),"Norway-Europe")</f>
        <v>Norway-Europe</v>
      </c>
      <c r="AD1821" s="14" t="str">
        <f>IFERROR(__xludf.DUMMYFUNCTION("""COMPUTED_VALUE"""),"2011")</f>
        <v>2011</v>
      </c>
      <c r="AE1821" s="14">
        <f>IFERROR(__xludf.DUMMYFUNCTION("""COMPUTED_VALUE"""),26092.0)</f>
        <v>26092</v>
      </c>
      <c r="AF1821" s="14">
        <f>IFERROR(__xludf.DUMMYFUNCTION("""COMPUTED_VALUE"""),38808.0)</f>
        <v>38808</v>
      </c>
    </row>
    <row r="1822">
      <c r="A1822" s="12">
        <v>1821.0</v>
      </c>
      <c r="B1822" s="12" t="s">
        <v>219</v>
      </c>
      <c r="C1822" s="5" t="s">
        <v>93</v>
      </c>
      <c r="D1822" s="8"/>
      <c r="E1822" s="8"/>
      <c r="F1822" s="8"/>
      <c r="G1822" s="8"/>
      <c r="H1822" s="11">
        <v>0.035</v>
      </c>
      <c r="I1822" s="11">
        <v>0.074</v>
      </c>
      <c r="J1822" s="9" t="s">
        <v>60</v>
      </c>
      <c r="K1822" s="14" t="str">
        <f>IFERROR(__xludf.DUMMYFUNCTION("ARRAYFORMULA(VLOOKUP(A1822,IMPORTRANGE(""https://docs.google.com/spreadsheets/d/1BuTWp7qHGjWhqrnf-OmePP568O4A5Am9ttzvVdP67zw/edit#gid=1603210130"", ""TOURISM!$A$2:$F$2692""), {2,3,4,5,6},0))"),"Middle East")</f>
        <v>Middle East</v>
      </c>
      <c r="L1822" s="14">
        <f>IFERROR(__xludf.DUMMYFUNCTION("""COMPUTED_VALUE"""),3.77E8)</f>
        <v>377000000</v>
      </c>
      <c r="M1822" s="14" t="str">
        <f>IFERROR(__xludf.DUMMYFUNCTION("""COMPUTED_VALUE"""),"Oman-Middle East")</f>
        <v>Oman-Middle East</v>
      </c>
      <c r="N1822" s="14" t="str">
        <f>IFERROR(__xludf.DUMMYFUNCTION("""COMPUTED_VALUE"""),"2000")</f>
        <v>2000</v>
      </c>
      <c r="O1822" s="14">
        <f>IFERROR(__xludf.DUMMYFUNCTION("""COMPUTED_VALUE"""),6.29E8)</f>
        <v>629000000</v>
      </c>
      <c r="P1822" s="15">
        <f>IFERROR(__xludf.DUMMYFUNCTION("ARRAYFORMULA(VLOOKUP(A1822,IMPORTRANGE(""https://docs.google.com/spreadsheets/d/1BuTWp7qHGjWhqrnf-OmePP568O4A5Am9ttzvVdP67zw/edit#gid=771602874"" ,""HUMAN RESOURCES!$A$2:$M$2692""), {2,3,4,5,6,7,8,9,10,11,12,13},0))"),0.024)</f>
        <v>0.024</v>
      </c>
      <c r="Q1822" s="14">
        <f>IFERROR(__xludf.DUMMYFUNCTION("""COMPUTED_VALUE"""),0.014)</f>
        <v>0.014</v>
      </c>
      <c r="R1822" s="14">
        <f>IFERROR(__xludf.DUMMYFUNCTION("""COMPUTED_VALUE"""),74.0)</f>
        <v>74</v>
      </c>
      <c r="S1822" s="14">
        <f>IFERROR(__xludf.DUMMYFUNCTION("""COMPUTED_VALUE"""),70.0)</f>
        <v>70</v>
      </c>
      <c r="T1822" s="14">
        <f>IFERROR(__xludf.DUMMYFUNCTION("""COMPUTED_VALUE"""),0.372)</f>
        <v>0.372</v>
      </c>
      <c r="U1822" s="14">
        <f>IFERROR(__xludf.DUMMYFUNCTION("""COMPUTED_VALUE"""),0.605)</f>
        <v>0.605</v>
      </c>
      <c r="V1822" s="14">
        <f>IFERROR(__xludf.DUMMYFUNCTION("""COMPUTED_VALUE"""),0.023)</f>
        <v>0.023</v>
      </c>
      <c r="W1822" s="14">
        <f>IFERROR(__xludf.DUMMYFUNCTION("""COMPUTED_VALUE"""),2192535.0)</f>
        <v>2192535</v>
      </c>
      <c r="X1822" s="14">
        <f>IFERROR(__xludf.DUMMYFUNCTION("""COMPUTED_VALUE"""),0.716)</f>
        <v>0.716</v>
      </c>
      <c r="Y1822" s="14" t="str">
        <f>IFERROR(__xludf.DUMMYFUNCTION("""COMPUTED_VALUE"""),"Oman-Middle East")</f>
        <v>Oman-Middle East</v>
      </c>
      <c r="Z1822" s="14" t="str">
        <f>IFERROR(__xludf.DUMMYFUNCTION("""COMPUTED_VALUE"""),"Middle East")</f>
        <v>Middle East</v>
      </c>
      <c r="AA1822" s="14" t="str">
        <f>IFERROR(__xludf.DUMMYFUNCTION("""COMPUTED_VALUE"""),"2000")</f>
        <v>2000</v>
      </c>
      <c r="AB1822" s="15" t="str">
        <f>IFERROR(__xludf.DUMMYFUNCTION("ARRAYFORMULA(VLOOKUP(A1822,IMPORTRANGE(""https://docs.google.com/spreadsheets/d/1BuTWp7qHGjWhqrnf-OmePP568O4A5Am9ttzvVdP67zw/edit#gid=1931367683"" ,""ENERGY!$A$2:$F$2692""), {2,3,4,5,6},0))"),"Middle East")</f>
        <v>Middle East</v>
      </c>
      <c r="AC1822" s="14" t="str">
        <f>IFERROR(__xludf.DUMMYFUNCTION("""COMPUTED_VALUE"""),"Oman-Middle East")</f>
        <v>Oman-Middle East</v>
      </c>
      <c r="AD1822" s="14" t="str">
        <f>IFERROR(__xludf.DUMMYFUNCTION("""COMPUTED_VALUE"""),"2000")</f>
        <v>2000</v>
      </c>
      <c r="AE1822" s="14"/>
      <c r="AF1822" s="14"/>
    </row>
    <row r="1823">
      <c r="A1823" s="12">
        <v>1822.0</v>
      </c>
      <c r="B1823" s="12" t="s">
        <v>219</v>
      </c>
      <c r="C1823" s="5" t="s">
        <v>93</v>
      </c>
      <c r="D1823" s="8"/>
      <c r="E1823" s="8"/>
      <c r="F1823" s="8"/>
      <c r="G1823" s="8"/>
      <c r="H1823" s="11">
        <v>0.059</v>
      </c>
      <c r="I1823" s="11">
        <v>0.144</v>
      </c>
      <c r="J1823" s="9" t="s">
        <v>62</v>
      </c>
      <c r="K1823" s="14" t="str">
        <f>IFERROR(__xludf.DUMMYFUNCTION("ARRAYFORMULA(VLOOKUP(A1823,IMPORTRANGE(""https://docs.google.com/spreadsheets/d/1BuTWp7qHGjWhqrnf-OmePP568O4A5Am9ttzvVdP67zw/edit#gid=1603210130"", ""TOURISM!$A$2:$F$2692""), {2,3,4,5,6},0))"),"Middle East")</f>
        <v>Middle East</v>
      </c>
      <c r="L1823" s="14">
        <f>IFERROR(__xludf.DUMMYFUNCTION("""COMPUTED_VALUE"""),5.38E8)</f>
        <v>538000000</v>
      </c>
      <c r="M1823" s="14" t="str">
        <f>IFERROR(__xludf.DUMMYFUNCTION("""COMPUTED_VALUE"""),"Oman-Middle East")</f>
        <v>Oman-Middle East</v>
      </c>
      <c r="N1823" s="14" t="str">
        <f>IFERROR(__xludf.DUMMYFUNCTION("""COMPUTED_VALUE"""),"2001")</f>
        <v>2001</v>
      </c>
      <c r="O1823" s="14">
        <f>IFERROR(__xludf.DUMMYFUNCTION("""COMPUTED_VALUE"""),7.03E8)</f>
        <v>703000000</v>
      </c>
      <c r="P1823" s="15">
        <f>IFERROR(__xludf.DUMMYFUNCTION("ARRAYFORMULA(VLOOKUP(A1823,IMPORTRANGE(""https://docs.google.com/spreadsheets/d/1BuTWp7qHGjWhqrnf-OmePP568O4A5Am9ttzvVdP67zw/edit#gid=771602874"" ,""HUMAN RESOURCES!$A$2:$M$2692""), {2,3,4,5,6,7,8,9,10,11,12,13},0))"),0.023)</f>
        <v>0.023</v>
      </c>
      <c r="Q1823" s="14">
        <f>IFERROR(__xludf.DUMMYFUNCTION("""COMPUTED_VALUE"""),0.013)</f>
        <v>0.013</v>
      </c>
      <c r="R1823" s="14">
        <f>IFERROR(__xludf.DUMMYFUNCTION("""COMPUTED_VALUE"""),75.0)</f>
        <v>75</v>
      </c>
      <c r="S1823" s="14">
        <f>IFERROR(__xludf.DUMMYFUNCTION("""COMPUTED_VALUE"""),71.0)</f>
        <v>71</v>
      </c>
      <c r="T1823" s="14">
        <f>IFERROR(__xludf.DUMMYFUNCTION("""COMPUTED_VALUE"""),0.369)</f>
        <v>0.369</v>
      </c>
      <c r="U1823" s="14">
        <f>IFERROR(__xludf.DUMMYFUNCTION("""COMPUTED_VALUE"""),0.607)</f>
        <v>0.607</v>
      </c>
      <c r="V1823" s="14">
        <f>IFERROR(__xludf.DUMMYFUNCTION("""COMPUTED_VALUE"""),0.024)</f>
        <v>0.024</v>
      </c>
      <c r="W1823" s="14">
        <f>IFERROR(__xludf.DUMMYFUNCTION("""COMPUTED_VALUE"""),2239025.0)</f>
        <v>2239025</v>
      </c>
      <c r="X1823" s="14">
        <f>IFERROR(__xludf.DUMMYFUNCTION("""COMPUTED_VALUE"""),0.715)</f>
        <v>0.715</v>
      </c>
      <c r="Y1823" s="14" t="str">
        <f>IFERROR(__xludf.DUMMYFUNCTION("""COMPUTED_VALUE"""),"Oman-Middle East")</f>
        <v>Oman-Middle East</v>
      </c>
      <c r="Z1823" s="14" t="str">
        <f>IFERROR(__xludf.DUMMYFUNCTION("""COMPUTED_VALUE"""),"Middle East")</f>
        <v>Middle East</v>
      </c>
      <c r="AA1823" s="14" t="str">
        <f>IFERROR(__xludf.DUMMYFUNCTION("""COMPUTED_VALUE"""),"2001")</f>
        <v>2001</v>
      </c>
      <c r="AB1823" s="15" t="str">
        <f>IFERROR(__xludf.DUMMYFUNCTION("ARRAYFORMULA(VLOOKUP(A1823,IMPORTRANGE(""https://docs.google.com/spreadsheets/d/1BuTWp7qHGjWhqrnf-OmePP568O4A5Am9ttzvVdP67zw/edit#gid=1931367683"" ,""ENERGY!$A$2:$F$2692""), {2,3,4,5,6},0))"),"Middle East")</f>
        <v>Middle East</v>
      </c>
      <c r="AC1823" s="14" t="str">
        <f>IFERROR(__xludf.DUMMYFUNCTION("""COMPUTED_VALUE"""),"Oman-Middle East")</f>
        <v>Oman-Middle East</v>
      </c>
      <c r="AD1823" s="14" t="str">
        <f>IFERROR(__xludf.DUMMYFUNCTION("""COMPUTED_VALUE"""),"2001")</f>
        <v>2001</v>
      </c>
      <c r="AE1823" s="14">
        <f>IFERROR(__xludf.DUMMYFUNCTION("""COMPUTED_VALUE"""),25276.0)</f>
        <v>25276</v>
      </c>
      <c r="AF1823" s="14"/>
    </row>
    <row r="1824">
      <c r="A1824" s="12">
        <v>1823.0</v>
      </c>
      <c r="B1824" s="12" t="s">
        <v>219</v>
      </c>
      <c r="C1824" s="5" t="s">
        <v>93</v>
      </c>
      <c r="D1824" s="8"/>
      <c r="E1824" s="8"/>
      <c r="F1824" s="8"/>
      <c r="G1824" s="8"/>
      <c r="H1824" s="11">
        <v>0.069</v>
      </c>
      <c r="I1824" s="11">
        <v>0.201</v>
      </c>
      <c r="J1824" s="9" t="s">
        <v>63</v>
      </c>
      <c r="K1824" s="14" t="str">
        <f>IFERROR(__xludf.DUMMYFUNCTION("ARRAYFORMULA(VLOOKUP(A1824,IMPORTRANGE(""https://docs.google.com/spreadsheets/d/1BuTWp7qHGjWhqrnf-OmePP568O4A5Am9ttzvVdP67zw/edit#gid=1603210130"", ""TOURISM!$A$2:$F$2692""), {2,3,4,5,6},0))"),"Middle East")</f>
        <v>Middle East</v>
      </c>
      <c r="L1824" s="14">
        <f>IFERROR(__xludf.DUMMYFUNCTION("""COMPUTED_VALUE"""),5.39E8)</f>
        <v>539000000</v>
      </c>
      <c r="M1824" s="14" t="str">
        <f>IFERROR(__xludf.DUMMYFUNCTION("""COMPUTED_VALUE"""),"Oman-Middle East")</f>
        <v>Oman-Middle East</v>
      </c>
      <c r="N1824" s="14" t="str">
        <f>IFERROR(__xludf.DUMMYFUNCTION("""COMPUTED_VALUE"""),"2002")</f>
        <v>2002</v>
      </c>
      <c r="O1824" s="14">
        <f>IFERROR(__xludf.DUMMYFUNCTION("""COMPUTED_VALUE"""),7.02E8)</f>
        <v>702000000</v>
      </c>
      <c r="P1824" s="15">
        <f>IFERROR(__xludf.DUMMYFUNCTION("ARRAYFORMULA(VLOOKUP(A1824,IMPORTRANGE(""https://docs.google.com/spreadsheets/d/1BuTWp7qHGjWhqrnf-OmePP568O4A5Am9ttzvVdP67zw/edit#gid=771602874"" ,""HUMAN RESOURCES!$A$2:$M$2692""), {2,3,4,5,6,7,8,9,10,11,12,13},0))"),0.023)</f>
        <v>0.023</v>
      </c>
      <c r="Q1824" s="14">
        <f>IFERROR(__xludf.DUMMYFUNCTION("""COMPUTED_VALUE"""),0.013)</f>
        <v>0.013</v>
      </c>
      <c r="R1824" s="14">
        <f>IFERROR(__xludf.DUMMYFUNCTION("""COMPUTED_VALUE"""),75.0)</f>
        <v>75</v>
      </c>
      <c r="S1824" s="14">
        <f>IFERROR(__xludf.DUMMYFUNCTION("""COMPUTED_VALUE"""),71.0)</f>
        <v>71</v>
      </c>
      <c r="T1824" s="14">
        <f>IFERROR(__xludf.DUMMYFUNCTION("""COMPUTED_VALUE"""),0.366)</f>
        <v>0.366</v>
      </c>
      <c r="U1824" s="14">
        <f>IFERROR(__xludf.DUMMYFUNCTION("""COMPUTED_VALUE"""),0.609)</f>
        <v>0.609</v>
      </c>
      <c r="V1824" s="14">
        <f>IFERROR(__xludf.DUMMYFUNCTION("""COMPUTED_VALUE"""),0.024)</f>
        <v>0.024</v>
      </c>
      <c r="W1824" s="14">
        <f>IFERROR(__xludf.DUMMYFUNCTION("""COMPUTED_VALUE"""),2308409.0)</f>
        <v>2308409</v>
      </c>
      <c r="X1824" s="14">
        <f>IFERROR(__xludf.DUMMYFUNCTION("""COMPUTED_VALUE"""),0.715)</f>
        <v>0.715</v>
      </c>
      <c r="Y1824" s="14" t="str">
        <f>IFERROR(__xludf.DUMMYFUNCTION("""COMPUTED_VALUE"""),"Oman-Middle East")</f>
        <v>Oman-Middle East</v>
      </c>
      <c r="Z1824" s="14" t="str">
        <f>IFERROR(__xludf.DUMMYFUNCTION("""COMPUTED_VALUE"""),"Middle East")</f>
        <v>Middle East</v>
      </c>
      <c r="AA1824" s="14" t="str">
        <f>IFERROR(__xludf.DUMMYFUNCTION("""COMPUTED_VALUE"""),"2002")</f>
        <v>2002</v>
      </c>
      <c r="AB1824" s="15" t="str">
        <f>IFERROR(__xludf.DUMMYFUNCTION("ARRAYFORMULA(VLOOKUP(A1824,IMPORTRANGE(""https://docs.google.com/spreadsheets/d/1BuTWp7qHGjWhqrnf-OmePP568O4A5Am9ttzvVdP67zw/edit#gid=1931367683"" ,""ENERGY!$A$2:$F$2692""), {2,3,4,5,6},0))"),"Middle East")</f>
        <v>Middle East</v>
      </c>
      <c r="AC1824" s="14" t="str">
        <f>IFERROR(__xludf.DUMMYFUNCTION("""COMPUTED_VALUE"""),"Oman-Middle East")</f>
        <v>Oman-Middle East</v>
      </c>
      <c r="AD1824" s="14" t="str">
        <f>IFERROR(__xludf.DUMMYFUNCTION("""COMPUTED_VALUE"""),"2002")</f>
        <v>2002</v>
      </c>
      <c r="AE1824" s="14">
        <f>IFERROR(__xludf.DUMMYFUNCTION("""COMPUTED_VALUE"""),23158.0)</f>
        <v>23158</v>
      </c>
      <c r="AF1824" s="14">
        <f>IFERROR(__xludf.DUMMYFUNCTION("""COMPUTED_VALUE"""),57202.0)</f>
        <v>57202</v>
      </c>
    </row>
    <row r="1825">
      <c r="A1825" s="12">
        <v>1824.0</v>
      </c>
      <c r="B1825" s="12" t="s">
        <v>219</v>
      </c>
      <c r="C1825" s="5" t="s">
        <v>93</v>
      </c>
      <c r="D1825" s="8"/>
      <c r="E1825" s="11">
        <v>35.0</v>
      </c>
      <c r="F1825" s="8"/>
      <c r="G1825" s="8"/>
      <c r="H1825" s="11">
        <v>0.073</v>
      </c>
      <c r="I1825" s="11">
        <v>0.249</v>
      </c>
      <c r="J1825" s="9" t="s">
        <v>64</v>
      </c>
      <c r="K1825" s="14" t="str">
        <f>IFERROR(__xludf.DUMMYFUNCTION("ARRAYFORMULA(VLOOKUP(A1825,IMPORTRANGE(""https://docs.google.com/spreadsheets/d/1BuTWp7qHGjWhqrnf-OmePP568O4A5Am9ttzvVdP67zw/edit#gid=1603210130"", ""TOURISM!$A$2:$F$2692""), {2,3,4,5,6},0))"),"Middle East")</f>
        <v>Middle East</v>
      </c>
      <c r="L1825" s="14">
        <f>IFERROR(__xludf.DUMMYFUNCTION("""COMPUTED_VALUE"""),5.46E8)</f>
        <v>546000000</v>
      </c>
      <c r="M1825" s="14" t="str">
        <f>IFERROR(__xludf.DUMMYFUNCTION("""COMPUTED_VALUE"""),"Oman-Middle East")</f>
        <v>Oman-Middle East</v>
      </c>
      <c r="N1825" s="14" t="str">
        <f>IFERROR(__xludf.DUMMYFUNCTION("""COMPUTED_VALUE"""),"2003")</f>
        <v>2003</v>
      </c>
      <c r="O1825" s="14">
        <f>IFERROR(__xludf.DUMMYFUNCTION("""COMPUTED_VALUE"""),8.04E8)</f>
        <v>804000000</v>
      </c>
      <c r="P1825" s="15">
        <f>IFERROR(__xludf.DUMMYFUNCTION("ARRAYFORMULA(VLOOKUP(A1825,IMPORTRANGE(""https://docs.google.com/spreadsheets/d/1BuTWp7qHGjWhqrnf-OmePP568O4A5Am9ttzvVdP67zw/edit#gid=771602874"" ,""HUMAN RESOURCES!$A$2:$M$2692""), {2,3,4,5,6,7,8,9,10,11,12,13},0))"),0.022)</f>
        <v>0.022</v>
      </c>
      <c r="Q1825" s="14">
        <f>IFERROR(__xludf.DUMMYFUNCTION("""COMPUTED_VALUE"""),0.012)</f>
        <v>0.012</v>
      </c>
      <c r="R1825" s="14">
        <f>IFERROR(__xludf.DUMMYFUNCTION("""COMPUTED_VALUE"""),76.0)</f>
        <v>76</v>
      </c>
      <c r="S1825" s="14">
        <f>IFERROR(__xludf.DUMMYFUNCTION("""COMPUTED_VALUE"""),72.0)</f>
        <v>72</v>
      </c>
      <c r="T1825" s="14">
        <f>IFERROR(__xludf.DUMMYFUNCTION("""COMPUTED_VALUE"""),0.364)</f>
        <v>0.364</v>
      </c>
      <c r="U1825" s="14">
        <f>IFERROR(__xludf.DUMMYFUNCTION("""COMPUTED_VALUE"""),0.612)</f>
        <v>0.612</v>
      </c>
      <c r="V1825" s="14">
        <f>IFERROR(__xludf.DUMMYFUNCTION("""COMPUTED_VALUE"""),0.025)</f>
        <v>0.025</v>
      </c>
      <c r="W1825" s="14">
        <f>IFERROR(__xludf.DUMMYFUNCTION("""COMPUTED_VALUE"""),2389121.0)</f>
        <v>2389121</v>
      </c>
      <c r="X1825" s="14">
        <f>IFERROR(__xludf.DUMMYFUNCTION("""COMPUTED_VALUE"""),0.715)</f>
        <v>0.715</v>
      </c>
      <c r="Y1825" s="14" t="str">
        <f>IFERROR(__xludf.DUMMYFUNCTION("""COMPUTED_VALUE"""),"Oman-Middle East")</f>
        <v>Oman-Middle East</v>
      </c>
      <c r="Z1825" s="14" t="str">
        <f>IFERROR(__xludf.DUMMYFUNCTION("""COMPUTED_VALUE"""),"Middle East")</f>
        <v>Middle East</v>
      </c>
      <c r="AA1825" s="14" t="str">
        <f>IFERROR(__xludf.DUMMYFUNCTION("""COMPUTED_VALUE"""),"2003")</f>
        <v>2003</v>
      </c>
      <c r="AB1825" s="15" t="str">
        <f>IFERROR(__xludf.DUMMYFUNCTION("ARRAYFORMULA(VLOOKUP(A1825,IMPORTRANGE(""https://docs.google.com/spreadsheets/d/1BuTWp7qHGjWhqrnf-OmePP568O4A5Am9ttzvVdP67zw/edit#gid=1931367683"" ,""ENERGY!$A$2:$F$2692""), {2,3,4,5,6},0))"),"Middle East")</f>
        <v>Middle East</v>
      </c>
      <c r="AC1825" s="14" t="str">
        <f>IFERROR(__xludf.DUMMYFUNCTION("""COMPUTED_VALUE"""),"Oman-Middle East")</f>
        <v>Oman-Middle East</v>
      </c>
      <c r="AD1825" s="14" t="str">
        <f>IFERROR(__xludf.DUMMYFUNCTION("""COMPUTED_VALUE"""),"2003")</f>
        <v>2003</v>
      </c>
      <c r="AE1825" s="14">
        <f>IFERROR(__xludf.DUMMYFUNCTION("""COMPUTED_VALUE"""),18279.0)</f>
        <v>18279</v>
      </c>
      <c r="AF1825" s="14">
        <f>IFERROR(__xludf.DUMMYFUNCTION("""COMPUTED_VALUE"""),40264.0)</f>
        <v>40264</v>
      </c>
    </row>
    <row r="1826">
      <c r="A1826" s="12">
        <v>1825.0</v>
      </c>
      <c r="B1826" s="12" t="s">
        <v>219</v>
      </c>
      <c r="C1826" s="5" t="s">
        <v>93</v>
      </c>
      <c r="D1826" s="8"/>
      <c r="E1826" s="11">
        <v>35.0</v>
      </c>
      <c r="F1826" s="8"/>
      <c r="G1826" s="8"/>
      <c r="H1826" s="11">
        <v>0.068</v>
      </c>
      <c r="I1826" s="11">
        <v>0.327</v>
      </c>
      <c r="J1826" s="9" t="s">
        <v>65</v>
      </c>
      <c r="K1826" s="14" t="str">
        <f>IFERROR(__xludf.DUMMYFUNCTION("ARRAYFORMULA(VLOOKUP(A1826,IMPORTRANGE(""https://docs.google.com/spreadsheets/d/1BuTWp7qHGjWhqrnf-OmePP568O4A5Am9ttzvVdP67zw/edit#gid=1603210130"", ""TOURISM!$A$2:$F$2692""), {2,3,4,5,6},0))"),"Middle East")</f>
        <v>Middle East</v>
      </c>
      <c r="L1826" s="14">
        <f>IFERROR(__xludf.DUMMYFUNCTION("""COMPUTED_VALUE"""),6.01E8)</f>
        <v>601000000</v>
      </c>
      <c r="M1826" s="14" t="str">
        <f>IFERROR(__xludf.DUMMYFUNCTION("""COMPUTED_VALUE"""),"Oman-Middle East")</f>
        <v>Oman-Middle East</v>
      </c>
      <c r="N1826" s="14" t="str">
        <f>IFERROR(__xludf.DUMMYFUNCTION("""COMPUTED_VALUE"""),"2004")</f>
        <v>2004</v>
      </c>
      <c r="O1826" s="14">
        <f>IFERROR(__xludf.DUMMYFUNCTION("""COMPUTED_VALUE"""),8.23E8)</f>
        <v>823000000</v>
      </c>
      <c r="P1826" s="15">
        <f>IFERROR(__xludf.DUMMYFUNCTION("ARRAYFORMULA(VLOOKUP(A1826,IMPORTRANGE(""https://docs.google.com/spreadsheets/d/1BuTWp7qHGjWhqrnf-OmePP568O4A5Am9ttzvVdP67zw/edit#gid=771602874"" ,""HUMAN RESOURCES!$A$2:$M$2692""), {2,3,4,5,6,7,8,9,10,11,12,13},0))"),0.022)</f>
        <v>0.022</v>
      </c>
      <c r="Q1826" s="14">
        <f>IFERROR(__xludf.DUMMYFUNCTION("""COMPUTED_VALUE"""),0.011)</f>
        <v>0.011</v>
      </c>
      <c r="R1826" s="14">
        <f>IFERROR(__xludf.DUMMYFUNCTION("""COMPUTED_VALUE"""),76.0)</f>
        <v>76</v>
      </c>
      <c r="S1826" s="14">
        <f>IFERROR(__xludf.DUMMYFUNCTION("""COMPUTED_VALUE"""),72.0)</f>
        <v>72</v>
      </c>
      <c r="T1826" s="14">
        <f>IFERROR(__xludf.DUMMYFUNCTION("""COMPUTED_VALUE"""),0.359)</f>
        <v>0.359</v>
      </c>
      <c r="U1826" s="14">
        <f>IFERROR(__xludf.DUMMYFUNCTION("""COMPUTED_VALUE"""),0.616)</f>
        <v>0.616</v>
      </c>
      <c r="V1826" s="14">
        <f>IFERROR(__xludf.DUMMYFUNCTION("""COMPUTED_VALUE"""),0.025)</f>
        <v>0.025</v>
      </c>
      <c r="W1826" s="14">
        <f>IFERROR(__xludf.DUMMYFUNCTION("""COMPUTED_VALUE"""),2464001.0)</f>
        <v>2464001</v>
      </c>
      <c r="X1826" s="14">
        <f>IFERROR(__xludf.DUMMYFUNCTION("""COMPUTED_VALUE"""),0.718)</f>
        <v>0.718</v>
      </c>
      <c r="Y1826" s="14" t="str">
        <f>IFERROR(__xludf.DUMMYFUNCTION("""COMPUTED_VALUE"""),"Oman-Middle East")</f>
        <v>Oman-Middle East</v>
      </c>
      <c r="Z1826" s="14" t="str">
        <f>IFERROR(__xludf.DUMMYFUNCTION("""COMPUTED_VALUE"""),"Middle East")</f>
        <v>Middle East</v>
      </c>
      <c r="AA1826" s="14" t="str">
        <f>IFERROR(__xludf.DUMMYFUNCTION("""COMPUTED_VALUE"""),"2004")</f>
        <v>2004</v>
      </c>
      <c r="AB1826" s="15" t="str">
        <f>IFERROR(__xludf.DUMMYFUNCTION("ARRAYFORMULA(VLOOKUP(A1826,IMPORTRANGE(""https://docs.google.com/spreadsheets/d/1BuTWp7qHGjWhqrnf-OmePP568O4A5Am9ttzvVdP67zw/edit#gid=1931367683"" ,""ENERGY!$A$2:$F$2692""), {2,3,4,5,6},0))"),"Middle East")</f>
        <v>Middle East</v>
      </c>
      <c r="AC1826" s="14" t="str">
        <f>IFERROR(__xludf.DUMMYFUNCTION("""COMPUTED_VALUE"""),"Oman-Middle East")</f>
        <v>Oman-Middle East</v>
      </c>
      <c r="AD1826" s="14" t="str">
        <f>IFERROR(__xludf.DUMMYFUNCTION("""COMPUTED_VALUE"""),"2004")</f>
        <v>2004</v>
      </c>
      <c r="AE1826" s="14">
        <f>IFERROR(__xludf.DUMMYFUNCTION("""COMPUTED_VALUE"""),18679.0)</f>
        <v>18679</v>
      </c>
      <c r="AF1826" s="14">
        <f>IFERROR(__xludf.DUMMYFUNCTION("""COMPUTED_VALUE"""),41067.0)</f>
        <v>41067</v>
      </c>
    </row>
    <row r="1827">
      <c r="A1827" s="12">
        <v>1826.0</v>
      </c>
      <c r="B1827" s="12" t="s">
        <v>219</v>
      </c>
      <c r="C1827" s="5" t="s">
        <v>93</v>
      </c>
      <c r="D1827" s="11">
        <v>0.195</v>
      </c>
      <c r="E1827" s="11">
        <v>35.0</v>
      </c>
      <c r="F1827" s="8"/>
      <c r="G1827" s="11">
        <v>52.0</v>
      </c>
      <c r="H1827" s="11">
        <v>0.067</v>
      </c>
      <c r="I1827" s="11">
        <v>0.529</v>
      </c>
      <c r="J1827" s="9" t="s">
        <v>66</v>
      </c>
      <c r="K1827" s="14" t="str">
        <f>IFERROR(__xludf.DUMMYFUNCTION("ARRAYFORMULA(VLOOKUP(A1827,IMPORTRANGE(""https://docs.google.com/spreadsheets/d/1BuTWp7qHGjWhqrnf-OmePP568O4A5Am9ttzvVdP67zw/edit#gid=1603210130"", ""TOURISM!$A$2:$F$2692""), {2,3,4,5,6},0))"),"Middle East")</f>
        <v>Middle East</v>
      </c>
      <c r="L1827" s="14">
        <f>IFERROR(__xludf.DUMMYFUNCTION("""COMPUTED_VALUE"""),6.27E8)</f>
        <v>627000000</v>
      </c>
      <c r="M1827" s="14" t="str">
        <f>IFERROR(__xludf.DUMMYFUNCTION("""COMPUTED_VALUE"""),"Oman-Middle East")</f>
        <v>Oman-Middle East</v>
      </c>
      <c r="N1827" s="14" t="str">
        <f>IFERROR(__xludf.DUMMYFUNCTION("""COMPUTED_VALUE"""),"2005")</f>
        <v>2005</v>
      </c>
      <c r="O1827" s="14">
        <f>IFERROR(__xludf.DUMMYFUNCTION("""COMPUTED_VALUE"""),8.63E8)</f>
        <v>863000000</v>
      </c>
      <c r="P1827" s="15">
        <f>IFERROR(__xludf.DUMMYFUNCTION("ARRAYFORMULA(VLOOKUP(A1827,IMPORTRANGE(""https://docs.google.com/spreadsheets/d/1BuTWp7qHGjWhqrnf-OmePP568O4A5Am9ttzvVdP67zw/edit#gid=771602874"" ,""HUMAN RESOURCES!$A$2:$M$2692""), {2,3,4,5,6,7,8,9,10,11,12,13},0))"),0.022)</f>
        <v>0.022</v>
      </c>
      <c r="Q1827" s="14">
        <f>IFERROR(__xludf.DUMMYFUNCTION("""COMPUTED_VALUE"""),0.011)</f>
        <v>0.011</v>
      </c>
      <c r="R1827" s="14">
        <f>IFERROR(__xludf.DUMMYFUNCTION("""COMPUTED_VALUE"""),77.0)</f>
        <v>77</v>
      </c>
      <c r="S1827" s="14">
        <f>IFERROR(__xludf.DUMMYFUNCTION("""COMPUTED_VALUE"""),72.0)</f>
        <v>72</v>
      </c>
      <c r="T1827" s="14">
        <f>IFERROR(__xludf.DUMMYFUNCTION("""COMPUTED_VALUE"""),0.351)</f>
        <v>0.351</v>
      </c>
      <c r="U1827" s="14">
        <f>IFERROR(__xludf.DUMMYFUNCTION("""COMPUTED_VALUE"""),0.624)</f>
        <v>0.624</v>
      </c>
      <c r="V1827" s="14">
        <f>IFERROR(__xludf.DUMMYFUNCTION("""COMPUTED_VALUE"""),0.025)</f>
        <v>0.025</v>
      </c>
      <c r="W1827" s="14">
        <f>IFERROR(__xludf.DUMMYFUNCTION("""COMPUTED_VALUE"""),2522325.0)</f>
        <v>2522325</v>
      </c>
      <c r="X1827" s="14">
        <f>IFERROR(__xludf.DUMMYFUNCTION("""COMPUTED_VALUE"""),0.724)</f>
        <v>0.724</v>
      </c>
      <c r="Y1827" s="14" t="str">
        <f>IFERROR(__xludf.DUMMYFUNCTION("""COMPUTED_VALUE"""),"Oman-Middle East")</f>
        <v>Oman-Middle East</v>
      </c>
      <c r="Z1827" s="14" t="str">
        <f>IFERROR(__xludf.DUMMYFUNCTION("""COMPUTED_VALUE"""),"Middle East")</f>
        <v>Middle East</v>
      </c>
      <c r="AA1827" s="14" t="str">
        <f>IFERROR(__xludf.DUMMYFUNCTION("""COMPUTED_VALUE"""),"2005")</f>
        <v>2005</v>
      </c>
      <c r="AB1827" s="15" t="str">
        <f>IFERROR(__xludf.DUMMYFUNCTION("ARRAYFORMULA(VLOOKUP(A1827,IMPORTRANGE(""https://docs.google.com/spreadsheets/d/1BuTWp7qHGjWhqrnf-OmePP568O4A5Am9ttzvVdP67zw/edit#gid=1931367683"" ,""ENERGY!$A$2:$F$2692""), {2,3,4,5,6},0))"),"Middle East")</f>
        <v>Middle East</v>
      </c>
      <c r="AC1827" s="14" t="str">
        <f>IFERROR(__xludf.DUMMYFUNCTION("""COMPUTED_VALUE"""),"Oman-Middle East")</f>
        <v>Oman-Middle East</v>
      </c>
      <c r="AD1827" s="14" t="str">
        <f>IFERROR(__xludf.DUMMYFUNCTION("""COMPUTED_VALUE"""),"2008")</f>
        <v>2008</v>
      </c>
      <c r="AE1827" s="14">
        <f>IFERROR(__xludf.DUMMYFUNCTION("""COMPUTED_VALUE"""),17583.0)</f>
        <v>17583</v>
      </c>
      <c r="AF1827" s="14">
        <f>IFERROR(__xludf.DUMMYFUNCTION("""COMPUTED_VALUE"""),44587.0)</f>
        <v>44587</v>
      </c>
    </row>
    <row r="1828">
      <c r="A1828" s="12">
        <v>1827.0</v>
      </c>
      <c r="B1828" s="12" t="s">
        <v>219</v>
      </c>
      <c r="C1828" s="5" t="s">
        <v>93</v>
      </c>
      <c r="D1828" s="11">
        <v>0.203</v>
      </c>
      <c r="E1828" s="11">
        <v>35.0</v>
      </c>
      <c r="F1828" s="8"/>
      <c r="G1828" s="11">
        <v>52.0</v>
      </c>
      <c r="H1828" s="11">
        <v>0.083</v>
      </c>
      <c r="I1828" s="11">
        <v>0.712</v>
      </c>
      <c r="J1828" s="9" t="s">
        <v>67</v>
      </c>
      <c r="K1828" s="14" t="str">
        <f>IFERROR(__xludf.DUMMYFUNCTION("ARRAYFORMULA(VLOOKUP(A1828,IMPORTRANGE(""https://docs.google.com/spreadsheets/d/1BuTWp7qHGjWhqrnf-OmePP568O4A5Am9ttzvVdP67zw/edit#gid=1603210130"", ""TOURISM!$A$2:$F$2692""), {2,3,4,5,6},0))"),"Middle East")</f>
        <v>Middle East</v>
      </c>
      <c r="L1828" s="14">
        <f>IFERROR(__xludf.DUMMYFUNCTION("""COMPUTED_VALUE"""),7.49E8)</f>
        <v>749000000</v>
      </c>
      <c r="M1828" s="14" t="str">
        <f>IFERROR(__xludf.DUMMYFUNCTION("""COMPUTED_VALUE"""),"Oman-Middle East")</f>
        <v>Oman-Middle East</v>
      </c>
      <c r="N1828" s="14" t="str">
        <f>IFERROR(__xludf.DUMMYFUNCTION("""COMPUTED_VALUE"""),"2006")</f>
        <v>2006</v>
      </c>
      <c r="O1828" s="14">
        <f>IFERROR(__xludf.DUMMYFUNCTION("""COMPUTED_VALUE"""),8.94E8)</f>
        <v>894000000</v>
      </c>
      <c r="P1828" s="15">
        <f>IFERROR(__xludf.DUMMYFUNCTION("ARRAYFORMULA(VLOOKUP(A1828,IMPORTRANGE(""https://docs.google.com/spreadsheets/d/1BuTWp7qHGjWhqrnf-OmePP568O4A5Am9ttzvVdP67zw/edit#gid=771602874"" ,""HUMAN RESOURCES!$A$2:$M$2692""), {2,3,4,5,6,7,8,9,10,11,12,13},0))"),0.022)</f>
        <v>0.022</v>
      </c>
      <c r="Q1828" s="14">
        <f>IFERROR(__xludf.DUMMYFUNCTION("""COMPUTED_VALUE"""),0.011)</f>
        <v>0.011</v>
      </c>
      <c r="R1828" s="14">
        <f>IFERROR(__xludf.DUMMYFUNCTION("""COMPUTED_VALUE"""),77.0)</f>
        <v>77</v>
      </c>
      <c r="S1828" s="14">
        <f>IFERROR(__xludf.DUMMYFUNCTION("""COMPUTED_VALUE"""),73.0)</f>
        <v>73</v>
      </c>
      <c r="T1828" s="14">
        <f>IFERROR(__xludf.DUMMYFUNCTION("""COMPUTED_VALUE"""),0.34)</f>
        <v>0.34</v>
      </c>
      <c r="U1828" s="14">
        <f>IFERROR(__xludf.DUMMYFUNCTION("""COMPUTED_VALUE"""),0.635)</f>
        <v>0.635</v>
      </c>
      <c r="V1828" s="14">
        <f>IFERROR(__xludf.DUMMYFUNCTION("""COMPUTED_VALUE"""),0.025)</f>
        <v>0.025</v>
      </c>
      <c r="W1828" s="14">
        <f>IFERROR(__xludf.DUMMYFUNCTION("""COMPUTED_VALUE"""),2554905.0)</f>
        <v>2554905</v>
      </c>
      <c r="X1828" s="14">
        <f>IFERROR(__xludf.DUMMYFUNCTION("""COMPUTED_VALUE"""),0.73)</f>
        <v>0.73</v>
      </c>
      <c r="Y1828" s="14" t="str">
        <f>IFERROR(__xludf.DUMMYFUNCTION("""COMPUTED_VALUE"""),"Oman-Middle East")</f>
        <v>Oman-Middle East</v>
      </c>
      <c r="Z1828" s="14" t="str">
        <f>IFERROR(__xludf.DUMMYFUNCTION("""COMPUTED_VALUE"""),"Middle East")</f>
        <v>Middle East</v>
      </c>
      <c r="AA1828" s="14" t="str">
        <f>IFERROR(__xludf.DUMMYFUNCTION("""COMPUTED_VALUE"""),"2006")</f>
        <v>2006</v>
      </c>
      <c r="AB1828" s="15" t="str">
        <f>IFERROR(__xludf.DUMMYFUNCTION("ARRAYFORMULA(VLOOKUP(A1828,IMPORTRANGE(""https://docs.google.com/spreadsheets/d/1BuTWp7qHGjWhqrnf-OmePP568O4A5Am9ttzvVdP67zw/edit#gid=1931367683"" ,""ENERGY!$A$2:$F$2692""), {2,3,4,5,6},0))"),"Middle East")</f>
        <v>Middle East</v>
      </c>
      <c r="AC1828" s="14" t="str">
        <f>IFERROR(__xludf.DUMMYFUNCTION("""COMPUTED_VALUE"""),"Oman-Middle East")</f>
        <v>Oman-Middle East</v>
      </c>
      <c r="AD1828" s="14" t="str">
        <f>IFERROR(__xludf.DUMMYFUNCTION("""COMPUTED_VALUE"""),"2012")</f>
        <v>2012</v>
      </c>
      <c r="AE1828" s="14">
        <f>IFERROR(__xludf.DUMMYFUNCTION("""COMPUTED_VALUE"""),15183.0)</f>
        <v>15183</v>
      </c>
      <c r="AF1828" s="14">
        <f>IFERROR(__xludf.DUMMYFUNCTION("""COMPUTED_VALUE"""),39604.0)</f>
        <v>39604</v>
      </c>
    </row>
    <row r="1829">
      <c r="A1829" s="12">
        <v>1828.0</v>
      </c>
      <c r="B1829" s="12" t="s">
        <v>219</v>
      </c>
      <c r="C1829" s="5" t="s">
        <v>93</v>
      </c>
      <c r="D1829" s="11">
        <v>0.12</v>
      </c>
      <c r="E1829" s="11">
        <v>35.0</v>
      </c>
      <c r="F1829" s="8"/>
      <c r="G1829" s="11">
        <v>62.0</v>
      </c>
      <c r="H1829" s="11">
        <v>0.167</v>
      </c>
      <c r="I1829" s="11">
        <v>0.973</v>
      </c>
      <c r="J1829" s="9" t="s">
        <v>68</v>
      </c>
      <c r="K1829" s="14" t="str">
        <f>IFERROR(__xludf.DUMMYFUNCTION("ARRAYFORMULA(VLOOKUP(A1829,IMPORTRANGE(""https://docs.google.com/spreadsheets/d/1BuTWp7qHGjWhqrnf-OmePP568O4A5Am9ttzvVdP67zw/edit#gid=1603210130"", ""TOURISM!$A$2:$F$2692""), {2,3,4,5,6},0))"),"Middle East")</f>
        <v>Middle East</v>
      </c>
      <c r="L1829" s="14">
        <f>IFERROR(__xludf.DUMMYFUNCTION("""COMPUTED_VALUE"""),9.05E8)</f>
        <v>905000000</v>
      </c>
      <c r="M1829" s="14" t="str">
        <f>IFERROR(__xludf.DUMMYFUNCTION("""COMPUTED_VALUE"""),"Oman-Middle East")</f>
        <v>Oman-Middle East</v>
      </c>
      <c r="N1829" s="14" t="str">
        <f>IFERROR(__xludf.DUMMYFUNCTION("""COMPUTED_VALUE"""),"2007")</f>
        <v>2007</v>
      </c>
      <c r="O1829" s="14">
        <f>IFERROR(__xludf.DUMMYFUNCTION("""COMPUTED_VALUE"""),9.52E8)</f>
        <v>952000000</v>
      </c>
      <c r="P1829" s="15">
        <f>IFERROR(__xludf.DUMMYFUNCTION("ARRAYFORMULA(VLOOKUP(A1829,IMPORTRANGE(""https://docs.google.com/spreadsheets/d/1BuTWp7qHGjWhqrnf-OmePP568O4A5Am9ttzvVdP67zw/edit#gid=771602874"" ,""HUMAN RESOURCES!$A$2:$M$2692""), {2,3,4,5,6,7,8,9,10,11,12,13},0))"),0.022)</f>
        <v>0.022</v>
      </c>
      <c r="Q1829" s="14">
        <f>IFERROR(__xludf.DUMMYFUNCTION("""COMPUTED_VALUE"""),0.01)</f>
        <v>0.01</v>
      </c>
      <c r="R1829" s="14">
        <f>IFERROR(__xludf.DUMMYFUNCTION("""COMPUTED_VALUE"""),77.0)</f>
        <v>77</v>
      </c>
      <c r="S1829" s="14">
        <f>IFERROR(__xludf.DUMMYFUNCTION("""COMPUTED_VALUE"""),73.0)</f>
        <v>73</v>
      </c>
      <c r="T1829" s="14">
        <f>IFERROR(__xludf.DUMMYFUNCTION("""COMPUTED_VALUE"""),0.327)</f>
        <v>0.327</v>
      </c>
      <c r="U1829" s="14">
        <f>IFERROR(__xludf.DUMMYFUNCTION("""COMPUTED_VALUE"""),0.649)</f>
        <v>0.649</v>
      </c>
      <c r="V1829" s="14">
        <f>IFERROR(__xludf.DUMMYFUNCTION("""COMPUTED_VALUE"""),0.024)</f>
        <v>0.024</v>
      </c>
      <c r="W1829" s="14">
        <f>IFERROR(__xludf.DUMMYFUNCTION("""COMPUTED_VALUE"""),2569739.0)</f>
        <v>2569739</v>
      </c>
      <c r="X1829" s="14">
        <f>IFERROR(__xludf.DUMMYFUNCTION("""COMPUTED_VALUE"""),0.735)</f>
        <v>0.735</v>
      </c>
      <c r="Y1829" s="14" t="str">
        <f>IFERROR(__xludf.DUMMYFUNCTION("""COMPUTED_VALUE"""),"Oman-Middle East")</f>
        <v>Oman-Middle East</v>
      </c>
      <c r="Z1829" s="14" t="str">
        <f>IFERROR(__xludf.DUMMYFUNCTION("""COMPUTED_VALUE"""),"Middle East")</f>
        <v>Middle East</v>
      </c>
      <c r="AA1829" s="14" t="str">
        <f>IFERROR(__xludf.DUMMYFUNCTION("""COMPUTED_VALUE"""),"2007")</f>
        <v>2007</v>
      </c>
      <c r="AB1829" s="15" t="str">
        <f>IFERROR(__xludf.DUMMYFUNCTION("ARRAYFORMULA(VLOOKUP(A1829,IMPORTRANGE(""https://docs.google.com/spreadsheets/d/1BuTWp7qHGjWhqrnf-OmePP568O4A5Am9ttzvVdP67zw/edit#gid=1931367683"" ,""ENERGY!$A$2:$F$2692""), {2,3,4,5,6},0))"),"Middle East")</f>
        <v>Middle East</v>
      </c>
      <c r="AC1829" s="14" t="str">
        <f>IFERROR(__xludf.DUMMYFUNCTION("""COMPUTED_VALUE"""),"Oman-Middle East")</f>
        <v>Oman-Middle East</v>
      </c>
      <c r="AD1829" s="14" t="str">
        <f>IFERROR(__xludf.DUMMYFUNCTION("""COMPUTED_VALUE"""),"2009")</f>
        <v>2009</v>
      </c>
      <c r="AE1829" s="14">
        <f>IFERROR(__xludf.DUMMYFUNCTION("""COMPUTED_VALUE"""),10772.0)</f>
        <v>10772</v>
      </c>
      <c r="AF1829" s="14">
        <f>IFERROR(__xludf.DUMMYFUNCTION("""COMPUTED_VALUE"""),29893.0)</f>
        <v>29893</v>
      </c>
    </row>
    <row r="1830">
      <c r="A1830" s="12">
        <v>1829.0</v>
      </c>
      <c r="B1830" s="12" t="s">
        <v>219</v>
      </c>
      <c r="C1830" s="5" t="s">
        <v>93</v>
      </c>
      <c r="D1830" s="11">
        <v>0.216</v>
      </c>
      <c r="E1830" s="11">
        <v>14.0</v>
      </c>
      <c r="F1830" s="8"/>
      <c r="G1830" s="11">
        <v>62.0</v>
      </c>
      <c r="H1830" s="11">
        <v>0.2</v>
      </c>
      <c r="I1830" s="11">
        <v>1.241</v>
      </c>
      <c r="J1830" s="9" t="s">
        <v>69</v>
      </c>
      <c r="K1830" s="14" t="str">
        <f>IFERROR(__xludf.DUMMYFUNCTION("ARRAYFORMULA(VLOOKUP(A1830,IMPORTRANGE(""https://docs.google.com/spreadsheets/d/1BuTWp7qHGjWhqrnf-OmePP568O4A5Am9ttzvVdP67zw/edit#gid=1603210130"", ""TOURISM!$A$2:$F$2692""), {2,3,4,5,6},0))"),"Middle East")</f>
        <v>Middle East</v>
      </c>
      <c r="L1830" s="14">
        <f>IFERROR(__xludf.DUMMYFUNCTION("""COMPUTED_VALUE"""),1.105E9)</f>
        <v>1105000000</v>
      </c>
      <c r="M1830" s="14" t="str">
        <f>IFERROR(__xludf.DUMMYFUNCTION("""COMPUTED_VALUE"""),"Oman-Middle East")</f>
        <v>Oman-Middle East</v>
      </c>
      <c r="N1830" s="14" t="str">
        <f>IFERROR(__xludf.DUMMYFUNCTION("""COMPUTED_VALUE"""),"2008")</f>
        <v>2008</v>
      </c>
      <c r="O1830" s="14">
        <f>IFERROR(__xludf.DUMMYFUNCTION("""COMPUTED_VALUE"""),1.197E9)</f>
        <v>1197000000</v>
      </c>
      <c r="P1830" s="15">
        <f>IFERROR(__xludf.DUMMYFUNCTION("ARRAYFORMULA(VLOOKUP(A1830,IMPORTRANGE(""https://docs.google.com/spreadsheets/d/1BuTWp7qHGjWhqrnf-OmePP568O4A5Am9ttzvVdP67zw/edit#gid=771602874"" ,""HUMAN RESOURCES!$A$2:$M$2692""), {2,3,4,5,6,7,8,9,10,11,12,13},0))"),0.022)</f>
        <v>0.022</v>
      </c>
      <c r="Q1830" s="14">
        <f>IFERROR(__xludf.DUMMYFUNCTION("""COMPUTED_VALUE"""),0.01)</f>
        <v>0.01</v>
      </c>
      <c r="R1830" s="14">
        <f>IFERROR(__xludf.DUMMYFUNCTION("""COMPUTED_VALUE"""),78.0)</f>
        <v>78</v>
      </c>
      <c r="S1830" s="14">
        <f>IFERROR(__xludf.DUMMYFUNCTION("""COMPUTED_VALUE"""),73.0)</f>
        <v>73</v>
      </c>
      <c r="T1830" s="14">
        <f>IFERROR(__xludf.DUMMYFUNCTION("""COMPUTED_VALUE"""),0.311)</f>
        <v>0.311</v>
      </c>
      <c r="U1830" s="14">
        <f>IFERROR(__xludf.DUMMYFUNCTION("""COMPUTED_VALUE"""),0.665)</f>
        <v>0.665</v>
      </c>
      <c r="V1830" s="14">
        <f>IFERROR(__xludf.DUMMYFUNCTION("""COMPUTED_VALUE"""),0.024)</f>
        <v>0.024</v>
      </c>
      <c r="W1830" s="14">
        <f>IFERROR(__xludf.DUMMYFUNCTION("""COMPUTED_VALUE"""),2593523.0)</f>
        <v>2593523</v>
      </c>
      <c r="X1830" s="14">
        <f>IFERROR(__xludf.DUMMYFUNCTION("""COMPUTED_VALUE"""),0.741)</f>
        <v>0.741</v>
      </c>
      <c r="Y1830" s="14" t="str">
        <f>IFERROR(__xludf.DUMMYFUNCTION("""COMPUTED_VALUE"""),"Oman-Middle East")</f>
        <v>Oman-Middle East</v>
      </c>
      <c r="Z1830" s="14" t="str">
        <f>IFERROR(__xludf.DUMMYFUNCTION("""COMPUTED_VALUE"""),"Middle East")</f>
        <v>Middle East</v>
      </c>
      <c r="AA1830" s="14" t="str">
        <f>IFERROR(__xludf.DUMMYFUNCTION("""COMPUTED_VALUE"""),"2008")</f>
        <v>2008</v>
      </c>
      <c r="AB1830" s="15" t="str">
        <f>IFERROR(__xludf.DUMMYFUNCTION("ARRAYFORMULA(VLOOKUP(A1830,IMPORTRANGE(""https://docs.google.com/spreadsheets/d/1BuTWp7qHGjWhqrnf-OmePP568O4A5Am9ttzvVdP67zw/edit#gid=1931367683"" ,""ENERGY!$A$2:$F$2692""), {2,3,4,5,6},0))"),"Middle East")</f>
        <v>Middle East</v>
      </c>
      <c r="AC1830" s="14" t="str">
        <f>IFERROR(__xludf.DUMMYFUNCTION("""COMPUTED_VALUE"""),"Oman-Middle East")</f>
        <v>Oman-Middle East</v>
      </c>
      <c r="AD1830" s="14" t="str">
        <f>IFERROR(__xludf.DUMMYFUNCTION("""COMPUTED_VALUE"""),"2007")</f>
        <v>2007</v>
      </c>
      <c r="AE1830" s="14">
        <f>IFERROR(__xludf.DUMMYFUNCTION("""COMPUTED_VALUE"""),9603.0)</f>
        <v>9603</v>
      </c>
      <c r="AF1830" s="14">
        <f>IFERROR(__xludf.DUMMYFUNCTION("""COMPUTED_VALUE"""),27987.0)</f>
        <v>27987</v>
      </c>
    </row>
    <row r="1831">
      <c r="A1831" s="12">
        <v>1830.0</v>
      </c>
      <c r="B1831" s="12" t="s">
        <v>219</v>
      </c>
      <c r="C1831" s="5" t="s">
        <v>93</v>
      </c>
      <c r="D1831" s="11">
        <v>0.216</v>
      </c>
      <c r="E1831" s="11">
        <v>12.0</v>
      </c>
      <c r="F1831" s="8"/>
      <c r="G1831" s="11">
        <v>62.0</v>
      </c>
      <c r="H1831" s="11">
        <v>0.268</v>
      </c>
      <c r="I1831" s="11">
        <v>1.491</v>
      </c>
      <c r="J1831" s="9" t="s">
        <v>70</v>
      </c>
      <c r="K1831" s="14" t="str">
        <f>IFERROR(__xludf.DUMMYFUNCTION("ARRAYFORMULA(VLOOKUP(A1831,IMPORTRANGE(""https://docs.google.com/spreadsheets/d/1BuTWp7qHGjWhqrnf-OmePP568O4A5Am9ttzvVdP67zw/edit#gid=1603210130"", ""TOURISM!$A$2:$F$2692""), {2,3,4,5,6},0))"),"Middle East")</f>
        <v>Middle East</v>
      </c>
      <c r="L1831" s="14">
        <f>IFERROR(__xludf.DUMMYFUNCTION("""COMPUTED_VALUE"""),1.092E9)</f>
        <v>1092000000</v>
      </c>
      <c r="M1831" s="14" t="str">
        <f>IFERROR(__xludf.DUMMYFUNCTION("""COMPUTED_VALUE"""),"Oman-Middle East")</f>
        <v>Oman-Middle East</v>
      </c>
      <c r="N1831" s="14" t="str">
        <f>IFERROR(__xludf.DUMMYFUNCTION("""COMPUTED_VALUE"""),"2009")</f>
        <v>2009</v>
      </c>
      <c r="O1831" s="14">
        <f>IFERROR(__xludf.DUMMYFUNCTION("""COMPUTED_VALUE"""),1.295E9)</f>
        <v>1295000000</v>
      </c>
      <c r="P1831" s="15">
        <f>IFERROR(__xludf.DUMMYFUNCTION("ARRAYFORMULA(VLOOKUP(A1831,IMPORTRANGE(""https://docs.google.com/spreadsheets/d/1BuTWp7qHGjWhqrnf-OmePP568O4A5Am9ttzvVdP67zw/edit#gid=771602874"" ,""HUMAN RESOURCES!$A$2:$M$2692""), {2,3,4,5,6,7,8,9,10,11,12,13},0))"),0.022)</f>
        <v>0.022</v>
      </c>
      <c r="Q1831" s="14">
        <f>IFERROR(__xludf.DUMMYFUNCTION("""COMPUTED_VALUE"""),0.01)</f>
        <v>0.01</v>
      </c>
      <c r="R1831" s="14">
        <f>IFERROR(__xludf.DUMMYFUNCTION("""COMPUTED_VALUE"""),78.0)</f>
        <v>78</v>
      </c>
      <c r="S1831" s="14">
        <f>IFERROR(__xludf.DUMMYFUNCTION("""COMPUTED_VALUE"""),74.0)</f>
        <v>74</v>
      </c>
      <c r="T1831" s="14">
        <f>IFERROR(__xludf.DUMMYFUNCTION("""COMPUTED_VALUE"""),0.292)</f>
        <v>0.292</v>
      </c>
      <c r="U1831" s="14">
        <f>IFERROR(__xludf.DUMMYFUNCTION("""COMPUTED_VALUE"""),0.683)</f>
        <v>0.683</v>
      </c>
      <c r="V1831" s="14">
        <f>IFERROR(__xludf.DUMMYFUNCTION("""COMPUTED_VALUE"""),0.024)</f>
        <v>0.024</v>
      </c>
      <c r="W1831" s="14">
        <f>IFERROR(__xludf.DUMMYFUNCTION("""COMPUTED_VALUE"""),2663224.0)</f>
        <v>2663224</v>
      </c>
      <c r="X1831" s="14">
        <f>IFERROR(__xludf.DUMMYFUNCTION("""COMPUTED_VALUE"""),0.746)</f>
        <v>0.746</v>
      </c>
      <c r="Y1831" s="14" t="str">
        <f>IFERROR(__xludf.DUMMYFUNCTION("""COMPUTED_VALUE"""),"Oman-Middle East")</f>
        <v>Oman-Middle East</v>
      </c>
      <c r="Z1831" s="14" t="str">
        <f>IFERROR(__xludf.DUMMYFUNCTION("""COMPUTED_VALUE"""),"Middle East")</f>
        <v>Middle East</v>
      </c>
      <c r="AA1831" s="14" t="str">
        <f>IFERROR(__xludf.DUMMYFUNCTION("""COMPUTED_VALUE"""),"2009")</f>
        <v>2009</v>
      </c>
      <c r="AB1831" s="15" t="str">
        <f>IFERROR(__xludf.DUMMYFUNCTION("ARRAYFORMULA(VLOOKUP(A1831,IMPORTRANGE(""https://docs.google.com/spreadsheets/d/1BuTWp7qHGjWhqrnf-OmePP568O4A5Am9ttzvVdP67zw/edit#gid=1931367683"" ,""ENERGY!$A$2:$F$2692""), {2,3,4,5,6},0))"),"Middle East")</f>
        <v>Middle East</v>
      </c>
      <c r="AC1831" s="14" t="str">
        <f>IFERROR(__xludf.DUMMYFUNCTION("""COMPUTED_VALUE"""),"Oman-Middle East")</f>
        <v>Oman-Middle East</v>
      </c>
      <c r="AD1831" s="14" t="str">
        <f>IFERROR(__xludf.DUMMYFUNCTION("""COMPUTED_VALUE"""),"2011")</f>
        <v>2011</v>
      </c>
      <c r="AE1831" s="14">
        <f>IFERROR(__xludf.DUMMYFUNCTION("""COMPUTED_VALUE"""),9350.0)</f>
        <v>9350</v>
      </c>
      <c r="AF1831" s="14">
        <f>IFERROR(__xludf.DUMMYFUNCTION("""COMPUTED_VALUE"""),32391.0)</f>
        <v>32391</v>
      </c>
    </row>
    <row r="1832">
      <c r="A1832" s="12">
        <v>1831.0</v>
      </c>
      <c r="B1832" s="12" t="s">
        <v>219</v>
      </c>
      <c r="C1832" s="5" t="s">
        <v>93</v>
      </c>
      <c r="D1832" s="11">
        <v>0.216</v>
      </c>
      <c r="E1832" s="11">
        <v>12.0</v>
      </c>
      <c r="F1832" s="8"/>
      <c r="G1832" s="11">
        <v>62.0</v>
      </c>
      <c r="H1832" s="11">
        <v>0.358</v>
      </c>
      <c r="I1832" s="11">
        <v>1.643</v>
      </c>
      <c r="J1832" s="9" t="s">
        <v>71</v>
      </c>
      <c r="K1832" s="14" t="str">
        <f>IFERROR(__xludf.DUMMYFUNCTION("ARRAYFORMULA(VLOOKUP(A1832,IMPORTRANGE(""https://docs.google.com/spreadsheets/d/1BuTWp7qHGjWhqrnf-OmePP568O4A5Am9ttzvVdP67zw/edit#gid=1603210130"", ""TOURISM!$A$2:$F$2692""), {2,3,4,5,6},0))"),"Middle East")</f>
        <v>Middle East</v>
      </c>
      <c r="L1832" s="14">
        <f>IFERROR(__xludf.DUMMYFUNCTION("""COMPUTED_VALUE"""),1.246E9)</f>
        <v>1246000000</v>
      </c>
      <c r="M1832" s="14" t="str">
        <f>IFERROR(__xludf.DUMMYFUNCTION("""COMPUTED_VALUE"""),"Oman-Middle East")</f>
        <v>Oman-Middle East</v>
      </c>
      <c r="N1832" s="14" t="str">
        <f>IFERROR(__xludf.DUMMYFUNCTION("""COMPUTED_VALUE"""),"2010")</f>
        <v>2010</v>
      </c>
      <c r="O1832" s="14">
        <f>IFERROR(__xludf.DUMMYFUNCTION("""COMPUTED_VALUE"""),1.768E9)</f>
        <v>1768000000</v>
      </c>
      <c r="P1832" s="15">
        <f>IFERROR(__xludf.DUMMYFUNCTION("ARRAYFORMULA(VLOOKUP(A1832,IMPORTRANGE(""https://docs.google.com/spreadsheets/d/1BuTWp7qHGjWhqrnf-OmePP568O4A5Am9ttzvVdP67zw/edit#gid=771602874"" ,""HUMAN RESOURCES!$A$2:$M$2692""), {2,3,4,5,6,7,8,9,10,11,12,13},0))"),0.022)</f>
        <v>0.022</v>
      </c>
      <c r="Q1832" s="14">
        <f>IFERROR(__xludf.DUMMYFUNCTION("""COMPUTED_VALUE"""),0.01)</f>
        <v>0.01</v>
      </c>
      <c r="R1832" s="14">
        <f>IFERROR(__xludf.DUMMYFUNCTION("""COMPUTED_VALUE"""),78.0)</f>
        <v>78</v>
      </c>
      <c r="S1832" s="14">
        <f>IFERROR(__xludf.DUMMYFUNCTION("""COMPUTED_VALUE"""),74.0)</f>
        <v>74</v>
      </c>
      <c r="T1832" s="14">
        <f>IFERROR(__xludf.DUMMYFUNCTION("""COMPUTED_VALUE"""),0.274)</f>
        <v>0.274</v>
      </c>
      <c r="U1832" s="14">
        <f>IFERROR(__xludf.DUMMYFUNCTION("""COMPUTED_VALUE"""),0.701)</f>
        <v>0.701</v>
      </c>
      <c r="V1832" s="14">
        <f>IFERROR(__xludf.DUMMYFUNCTION("""COMPUTED_VALUE"""),0.025)</f>
        <v>0.025</v>
      </c>
      <c r="W1832" s="14">
        <f>IFERROR(__xludf.DUMMYFUNCTION("""COMPUTED_VALUE"""),2802768.0)</f>
        <v>2802768</v>
      </c>
      <c r="X1832" s="14">
        <f>IFERROR(__xludf.DUMMYFUNCTION("""COMPUTED_VALUE"""),0.752)</f>
        <v>0.752</v>
      </c>
      <c r="Y1832" s="14" t="str">
        <f>IFERROR(__xludf.DUMMYFUNCTION("""COMPUTED_VALUE"""),"Oman-Middle East")</f>
        <v>Oman-Middle East</v>
      </c>
      <c r="Z1832" s="14" t="str">
        <f>IFERROR(__xludf.DUMMYFUNCTION("""COMPUTED_VALUE"""),"Middle East")</f>
        <v>Middle East</v>
      </c>
      <c r="AA1832" s="14" t="str">
        <f>IFERROR(__xludf.DUMMYFUNCTION("""COMPUTED_VALUE"""),"2010")</f>
        <v>2010</v>
      </c>
      <c r="AB1832" s="15" t="str">
        <f>IFERROR(__xludf.DUMMYFUNCTION("ARRAYFORMULA(VLOOKUP(A1832,IMPORTRANGE(""https://docs.google.com/spreadsheets/d/1BuTWp7qHGjWhqrnf-OmePP568O4A5Am9ttzvVdP67zw/edit#gid=1931367683"" ,""ENERGY!$A$2:$F$2692""), {2,3,4,5,6},0))"),"Middle East")</f>
        <v>Middle East</v>
      </c>
      <c r="AC1832" s="14" t="str">
        <f>IFERROR(__xludf.DUMMYFUNCTION("""COMPUTED_VALUE"""),"Oman-Middle East")</f>
        <v>Oman-Middle East</v>
      </c>
      <c r="AD1832" s="14" t="str">
        <f>IFERROR(__xludf.DUMMYFUNCTION("""COMPUTED_VALUE"""),"2006")</f>
        <v>2006</v>
      </c>
      <c r="AE1832" s="14">
        <f>IFERROR(__xludf.DUMMYFUNCTION("""COMPUTED_VALUE"""),8818.0)</f>
        <v>8818</v>
      </c>
      <c r="AF1832" s="14">
        <f>IFERROR(__xludf.DUMMYFUNCTION("""COMPUTED_VALUE"""),25471.0)</f>
        <v>25471</v>
      </c>
    </row>
    <row r="1833">
      <c r="A1833" s="12">
        <v>1832.0</v>
      </c>
      <c r="B1833" s="12" t="s">
        <v>219</v>
      </c>
      <c r="C1833" s="5" t="s">
        <v>93</v>
      </c>
      <c r="D1833" s="11">
        <v>0.22</v>
      </c>
      <c r="E1833" s="11">
        <v>8.0</v>
      </c>
      <c r="F1833" s="8"/>
      <c r="G1833" s="11">
        <v>62.0</v>
      </c>
      <c r="H1833" s="11">
        <v>0.48</v>
      </c>
      <c r="I1833" s="11">
        <v>1.59</v>
      </c>
      <c r="J1833" s="9" t="s">
        <v>72</v>
      </c>
      <c r="K1833" s="14" t="str">
        <f>IFERROR(__xludf.DUMMYFUNCTION("ARRAYFORMULA(VLOOKUP(A1833,IMPORTRANGE(""https://docs.google.com/spreadsheets/d/1BuTWp7qHGjWhqrnf-OmePP568O4A5Am9ttzvVdP67zw/edit#gid=1603210130"", ""TOURISM!$A$2:$F$2692""), {2,3,4,5,6},0))"),"Middle East")</f>
        <v>Middle East</v>
      </c>
      <c r="L1833" s="14">
        <f>IFERROR(__xludf.DUMMYFUNCTION("""COMPUTED_VALUE"""),1.612E9)</f>
        <v>1612000000</v>
      </c>
      <c r="M1833" s="14" t="str">
        <f>IFERROR(__xludf.DUMMYFUNCTION("""COMPUTED_VALUE"""),"Oman-Middle East")</f>
        <v>Oman-Middle East</v>
      </c>
      <c r="N1833" s="14" t="str">
        <f>IFERROR(__xludf.DUMMYFUNCTION("""COMPUTED_VALUE"""),"2011")</f>
        <v>2011</v>
      </c>
      <c r="O1833" s="14">
        <f>IFERROR(__xludf.DUMMYFUNCTION("""COMPUTED_VALUE"""),1.982E9)</f>
        <v>1982000000</v>
      </c>
      <c r="P1833" s="15">
        <f>IFERROR(__xludf.DUMMYFUNCTION("ARRAYFORMULA(VLOOKUP(A1833,IMPORTRANGE(""https://docs.google.com/spreadsheets/d/1BuTWp7qHGjWhqrnf-OmePP568O4A5Am9ttzvVdP67zw/edit#gid=771602874"" ,""HUMAN RESOURCES!$A$2:$M$2692""), {2,3,4,5,6,7,8,9,10,11,12,13},0))"),0.022)</f>
        <v>0.022</v>
      </c>
      <c r="Q1833" s="14">
        <f>IFERROR(__xludf.DUMMYFUNCTION("""COMPUTED_VALUE"""),0.01)</f>
        <v>0.01</v>
      </c>
      <c r="R1833" s="14">
        <f>IFERROR(__xludf.DUMMYFUNCTION("""COMPUTED_VALUE"""),79.0)</f>
        <v>79</v>
      </c>
      <c r="S1833" s="14">
        <f>IFERROR(__xludf.DUMMYFUNCTION("""COMPUTED_VALUE"""),74.0)</f>
        <v>74</v>
      </c>
      <c r="T1833" s="14">
        <f>IFERROR(__xludf.DUMMYFUNCTION("""COMPUTED_VALUE"""),0.257)</f>
        <v>0.257</v>
      </c>
      <c r="U1833" s="14">
        <f>IFERROR(__xludf.DUMMYFUNCTION("""COMPUTED_VALUE"""),0.717)</f>
        <v>0.717</v>
      </c>
      <c r="V1833" s="14">
        <f>IFERROR(__xludf.DUMMYFUNCTION("""COMPUTED_VALUE"""),0.026)</f>
        <v>0.026</v>
      </c>
      <c r="W1833" s="14">
        <f>IFERROR(__xludf.DUMMYFUNCTION("""COMPUTED_VALUE"""),3024774.0)</f>
        <v>3024774</v>
      </c>
      <c r="X1833" s="14">
        <f>IFERROR(__xludf.DUMMYFUNCTION("""COMPUTED_VALUE"""),0.757)</f>
        <v>0.757</v>
      </c>
      <c r="Y1833" s="14" t="str">
        <f>IFERROR(__xludf.DUMMYFUNCTION("""COMPUTED_VALUE"""),"Oman-Middle East")</f>
        <v>Oman-Middle East</v>
      </c>
      <c r="Z1833" s="14" t="str">
        <f>IFERROR(__xludf.DUMMYFUNCTION("""COMPUTED_VALUE"""),"Middle East")</f>
        <v>Middle East</v>
      </c>
      <c r="AA1833" s="14" t="str">
        <f>IFERROR(__xludf.DUMMYFUNCTION("""COMPUTED_VALUE"""),"2011")</f>
        <v>2011</v>
      </c>
      <c r="AB1833" s="15" t="str">
        <f>IFERROR(__xludf.DUMMYFUNCTION("ARRAYFORMULA(VLOOKUP(A1833,IMPORTRANGE(""https://docs.google.com/spreadsheets/d/1BuTWp7qHGjWhqrnf-OmePP568O4A5Am9ttzvVdP67zw/edit#gid=1931367683"" ,""ENERGY!$A$2:$F$2692""), {2,3,4,5,6},0))"),"Middle East")</f>
        <v>Middle East</v>
      </c>
      <c r="AC1833" s="14" t="str">
        <f>IFERROR(__xludf.DUMMYFUNCTION("""COMPUTED_VALUE"""),"Oman-Middle East")</f>
        <v>Oman-Middle East</v>
      </c>
      <c r="AD1833" s="14" t="str">
        <f>IFERROR(__xludf.DUMMYFUNCTION("""COMPUTED_VALUE"""),"2006")</f>
        <v>2006</v>
      </c>
      <c r="AE1833" s="14">
        <f>IFERROR(__xludf.DUMMYFUNCTION("""COMPUTED_VALUE"""),8420.0)</f>
        <v>8420</v>
      </c>
      <c r="AF1833" s="14">
        <f>IFERROR(__xludf.DUMMYFUNCTION("""COMPUTED_VALUE"""),20286.0)</f>
        <v>20286</v>
      </c>
    </row>
    <row r="1834">
      <c r="A1834" s="12">
        <v>1833.0</v>
      </c>
      <c r="B1834" s="12" t="s">
        <v>219</v>
      </c>
      <c r="C1834" s="5" t="s">
        <v>93</v>
      </c>
      <c r="D1834" s="11">
        <v>0.22</v>
      </c>
      <c r="E1834" s="11">
        <v>8.0</v>
      </c>
      <c r="F1834" s="11">
        <v>44.0</v>
      </c>
      <c r="G1834" s="11">
        <v>62.0</v>
      </c>
      <c r="H1834" s="11">
        <v>0.6</v>
      </c>
      <c r="I1834" s="11">
        <v>1.593</v>
      </c>
      <c r="J1834" s="9" t="s">
        <v>73</v>
      </c>
      <c r="K1834" s="14" t="str">
        <f>IFERROR(__xludf.DUMMYFUNCTION("ARRAYFORMULA(VLOOKUP(A1834,IMPORTRANGE(""https://docs.google.com/spreadsheets/d/1BuTWp7qHGjWhqrnf-OmePP568O4A5Am9ttzvVdP67zw/edit#gid=1603210130"", ""TOURISM!$A$2:$F$2692""), {2,3,4,5,6},0))"),"Middle East")</f>
        <v>Middle East</v>
      </c>
      <c r="L1834" s="14">
        <f>IFERROR(__xludf.DUMMYFUNCTION("""COMPUTED_VALUE"""),1.779E9)</f>
        <v>1779000000</v>
      </c>
      <c r="M1834" s="14" t="str">
        <f>IFERROR(__xludf.DUMMYFUNCTION("""COMPUTED_VALUE"""),"Oman-Middle East")</f>
        <v>Oman-Middle East</v>
      </c>
      <c r="N1834" s="14" t="str">
        <f>IFERROR(__xludf.DUMMYFUNCTION("""COMPUTED_VALUE"""),"2012")</f>
        <v>2012</v>
      </c>
      <c r="O1834" s="14">
        <f>IFERROR(__xludf.DUMMYFUNCTION("""COMPUTED_VALUE"""),2.184E9)</f>
        <v>2184000000</v>
      </c>
      <c r="P1834" s="15">
        <f>IFERROR(__xludf.DUMMYFUNCTION("ARRAYFORMULA(VLOOKUP(A1834,IMPORTRANGE(""https://docs.google.com/spreadsheets/d/1BuTWp7qHGjWhqrnf-OmePP568O4A5Am9ttzvVdP67zw/edit#gid=771602874"" ,""HUMAN RESOURCES!$A$2:$M$2692""), {2,3,4,5,6,7,8,9,10,11,12,13},0))"),0.021)</f>
        <v>0.021</v>
      </c>
      <c r="Q1834" s="14">
        <f>IFERROR(__xludf.DUMMYFUNCTION("""COMPUTED_VALUE"""),0.01)</f>
        <v>0.01</v>
      </c>
      <c r="R1834" s="14">
        <f>IFERROR(__xludf.DUMMYFUNCTION("""COMPUTED_VALUE"""),79.0)</f>
        <v>79</v>
      </c>
      <c r="S1834" s="14">
        <f>IFERROR(__xludf.DUMMYFUNCTION("""COMPUTED_VALUE"""),75.0)</f>
        <v>75</v>
      </c>
      <c r="T1834" s="14">
        <f>IFERROR(__xludf.DUMMYFUNCTION("""COMPUTED_VALUE"""),0.242)</f>
        <v>0.242</v>
      </c>
      <c r="U1834" s="14">
        <f>IFERROR(__xludf.DUMMYFUNCTION("""COMPUTED_VALUE"""),0.731)</f>
        <v>0.731</v>
      </c>
      <c r="V1834" s="14">
        <f>IFERROR(__xludf.DUMMYFUNCTION("""COMPUTED_VALUE"""),0.028)</f>
        <v>0.028</v>
      </c>
      <c r="W1834" s="14">
        <f>IFERROR(__xludf.DUMMYFUNCTION("""COMPUTED_VALUE"""),3314001.0)</f>
        <v>3314001</v>
      </c>
      <c r="X1834" s="14">
        <f>IFERROR(__xludf.DUMMYFUNCTION("""COMPUTED_VALUE"""),0.762)</f>
        <v>0.762</v>
      </c>
      <c r="Y1834" s="14" t="str">
        <f>IFERROR(__xludf.DUMMYFUNCTION("""COMPUTED_VALUE"""),"Oman-Middle East")</f>
        <v>Oman-Middle East</v>
      </c>
      <c r="Z1834" s="14" t="str">
        <f>IFERROR(__xludf.DUMMYFUNCTION("""COMPUTED_VALUE"""),"Middle East")</f>
        <v>Middle East</v>
      </c>
      <c r="AA1834" s="14" t="str">
        <f>IFERROR(__xludf.DUMMYFUNCTION("""COMPUTED_VALUE"""),"2012")</f>
        <v>2012</v>
      </c>
      <c r="AB1834" s="15" t="str">
        <f>IFERROR(__xludf.DUMMYFUNCTION("ARRAYFORMULA(VLOOKUP(A1834,IMPORTRANGE(""https://docs.google.com/spreadsheets/d/1BuTWp7qHGjWhqrnf-OmePP568O4A5Am9ttzvVdP67zw/edit#gid=1931367683"" ,""ENERGY!$A$2:$F$2692""), {2,3,4,5,6},0))"),"Middle East")</f>
        <v>Middle East</v>
      </c>
      <c r="AC1834" s="14" t="str">
        <f>IFERROR(__xludf.DUMMYFUNCTION("""COMPUTED_VALUE"""),"Oman-Middle East")</f>
        <v>Oman-Middle East</v>
      </c>
      <c r="AD1834" s="14" t="str">
        <f>IFERROR(__xludf.DUMMYFUNCTION("""COMPUTED_VALUE"""),"2011")</f>
        <v>2011</v>
      </c>
      <c r="AE1834" s="14">
        <f>IFERROR(__xludf.DUMMYFUNCTION("""COMPUTED_VALUE"""),8083.0)</f>
        <v>8083</v>
      </c>
      <c r="AF1834" s="14">
        <f>IFERROR(__xludf.DUMMYFUNCTION("""COMPUTED_VALUE"""),21896.0)</f>
        <v>21896</v>
      </c>
    </row>
    <row r="1835">
      <c r="A1835" s="12">
        <v>1834.0</v>
      </c>
      <c r="B1835" s="12" t="s">
        <v>220</v>
      </c>
      <c r="C1835" s="5" t="s">
        <v>61</v>
      </c>
      <c r="D1835" s="8"/>
      <c r="E1835" s="8"/>
      <c r="F1835" s="8"/>
      <c r="G1835" s="8"/>
      <c r="H1835" s="8"/>
      <c r="I1835" s="11">
        <v>0.002</v>
      </c>
      <c r="J1835" s="9" t="s">
        <v>60</v>
      </c>
      <c r="K1835" s="14" t="str">
        <f>IFERROR(__xludf.DUMMYFUNCTION("ARRAYFORMULA(VLOOKUP(A1835,IMPORTRANGE(""https://docs.google.com/spreadsheets/d/1BuTWp7qHGjWhqrnf-OmePP568O4A5Am9ttzvVdP67zw/edit#gid=1603210130"", ""TOURISM!$A$2:$F$2692""), {2,3,4,5,6},0))"),"Asia")</f>
        <v>Asia</v>
      </c>
      <c r="L1835" s="14">
        <f>IFERROR(__xludf.DUMMYFUNCTION("""COMPUTED_VALUE"""),5.51E8)</f>
        <v>551000000</v>
      </c>
      <c r="M1835" s="14" t="str">
        <f>IFERROR(__xludf.DUMMYFUNCTION("""COMPUTED_VALUE"""),"Pakistan-Asia")</f>
        <v>Pakistan-Asia</v>
      </c>
      <c r="N1835" s="14" t="str">
        <f>IFERROR(__xludf.DUMMYFUNCTION("""COMPUTED_VALUE"""),"2000")</f>
        <v>2000</v>
      </c>
      <c r="O1835" s="14">
        <f>IFERROR(__xludf.DUMMYFUNCTION("""COMPUTED_VALUE"""),5.74E8)</f>
        <v>574000000</v>
      </c>
      <c r="P1835" s="15">
        <f>IFERROR(__xludf.DUMMYFUNCTION("ARRAYFORMULA(VLOOKUP(A1835,IMPORTRANGE(""https://docs.google.com/spreadsheets/d/1BuTWp7qHGjWhqrnf-OmePP568O4A5Am9ttzvVdP67zw/edit#gid=771602874"" ,""HUMAN RESOURCES!$A$2:$M$2692""), {2,3,4,5,6,7,8,9,10,11,12,13},0))"),0.031)</f>
        <v>0.031</v>
      </c>
      <c r="Q1835" s="14">
        <f>IFERROR(__xludf.DUMMYFUNCTION("""COMPUTED_VALUE"""),0.088)</f>
        <v>0.088</v>
      </c>
      <c r="R1835" s="14">
        <f>IFERROR(__xludf.DUMMYFUNCTION("""COMPUTED_VALUE"""),65.0)</f>
        <v>65</v>
      </c>
      <c r="S1835" s="14">
        <f>IFERROR(__xludf.DUMMYFUNCTION("""COMPUTED_VALUE"""),63.0)</f>
        <v>63</v>
      </c>
      <c r="T1835" s="14">
        <f>IFERROR(__xludf.DUMMYFUNCTION("""COMPUTED_VALUE"""),0.415)</f>
        <v>0.415</v>
      </c>
      <c r="U1835" s="14">
        <f>IFERROR(__xludf.DUMMYFUNCTION("""COMPUTED_VALUE"""),0.546)</f>
        <v>0.546</v>
      </c>
      <c r="V1835" s="14">
        <f>IFERROR(__xludf.DUMMYFUNCTION("""COMPUTED_VALUE"""),0.039)</f>
        <v>0.039</v>
      </c>
      <c r="W1835" s="14">
        <f>IFERROR(__xludf.DUMMYFUNCTION("""COMPUTED_VALUE"""),1.43832014E8)</f>
        <v>143832014</v>
      </c>
      <c r="X1835" s="14">
        <f>IFERROR(__xludf.DUMMYFUNCTION("""COMPUTED_VALUE"""),0.332)</f>
        <v>0.332</v>
      </c>
      <c r="Y1835" s="14" t="str">
        <f>IFERROR(__xludf.DUMMYFUNCTION("""COMPUTED_VALUE"""),"Pakistan-Asia")</f>
        <v>Pakistan-Asia</v>
      </c>
      <c r="Z1835" s="14" t="str">
        <f>IFERROR(__xludf.DUMMYFUNCTION("""COMPUTED_VALUE"""),"Asia")</f>
        <v>Asia</v>
      </c>
      <c r="AA1835" s="14" t="str">
        <f>IFERROR(__xludf.DUMMYFUNCTION("""COMPUTED_VALUE"""),"2000")</f>
        <v>2000</v>
      </c>
      <c r="AB1835" s="15" t="str">
        <f>IFERROR(__xludf.DUMMYFUNCTION("ARRAYFORMULA(VLOOKUP(A1835,IMPORTRANGE(""https://docs.google.com/spreadsheets/d/1BuTWp7qHGjWhqrnf-OmePP568O4A5Am9ttzvVdP67zw/edit#gid=1931367683"" ,""ENERGY!$A$2:$F$2692""), {2,3,4,5,6},0))"),"Asia")</f>
        <v>Asia</v>
      </c>
      <c r="AC1835" s="14" t="str">
        <f>IFERROR(__xludf.DUMMYFUNCTION("""COMPUTED_VALUE"""),"Pakistan-Asia")</f>
        <v>Pakistan-Asia</v>
      </c>
      <c r="AD1835" s="14" t="str">
        <f>IFERROR(__xludf.DUMMYFUNCTION("""COMPUTED_VALUE"""),"2000")</f>
        <v>2000</v>
      </c>
      <c r="AE1835" s="14"/>
      <c r="AF1835" s="14"/>
    </row>
    <row r="1836">
      <c r="A1836" s="12">
        <v>1835.0</v>
      </c>
      <c r="B1836" s="12" t="s">
        <v>220</v>
      </c>
      <c r="C1836" s="5" t="s">
        <v>61</v>
      </c>
      <c r="D1836" s="8"/>
      <c r="E1836" s="8"/>
      <c r="F1836" s="8"/>
      <c r="G1836" s="8"/>
      <c r="H1836" s="11">
        <v>0.013</v>
      </c>
      <c r="I1836" s="11">
        <v>0.005</v>
      </c>
      <c r="J1836" s="9" t="s">
        <v>62</v>
      </c>
      <c r="K1836" s="14" t="str">
        <f>IFERROR(__xludf.DUMMYFUNCTION("ARRAYFORMULA(VLOOKUP(A1836,IMPORTRANGE(""https://docs.google.com/spreadsheets/d/1BuTWp7qHGjWhqrnf-OmePP568O4A5Am9ttzvVdP67zw/edit#gid=1603210130"", ""TOURISM!$A$2:$F$2692""), {2,3,4,5,6},0))"),"Asia")</f>
        <v>Asia</v>
      </c>
      <c r="L1836" s="14">
        <f>IFERROR(__xludf.DUMMYFUNCTION("""COMPUTED_VALUE"""),5.33E8)</f>
        <v>533000000</v>
      </c>
      <c r="M1836" s="14" t="str">
        <f>IFERROR(__xludf.DUMMYFUNCTION("""COMPUTED_VALUE"""),"Pakistan-Asia")</f>
        <v>Pakistan-Asia</v>
      </c>
      <c r="N1836" s="14" t="str">
        <f>IFERROR(__xludf.DUMMYFUNCTION("""COMPUTED_VALUE"""),"2001")</f>
        <v>2001</v>
      </c>
      <c r="O1836" s="14">
        <f>IFERROR(__xludf.DUMMYFUNCTION("""COMPUTED_VALUE"""),5.55E8)</f>
        <v>555000000</v>
      </c>
      <c r="P1836" s="15">
        <f>IFERROR(__xludf.DUMMYFUNCTION("ARRAYFORMULA(VLOOKUP(A1836,IMPORTRANGE(""https://docs.google.com/spreadsheets/d/1BuTWp7qHGjWhqrnf-OmePP568O4A5Am9ttzvVdP67zw/edit#gid=771602874"" ,""HUMAN RESOURCES!$A$2:$M$2692""), {2,3,4,5,6,7,8,9,10,11,12,13},0))"),0.03)</f>
        <v>0.03</v>
      </c>
      <c r="Q1836" s="14">
        <f>IFERROR(__xludf.DUMMYFUNCTION("""COMPUTED_VALUE"""),0.086)</f>
        <v>0.086</v>
      </c>
      <c r="R1836" s="14">
        <f>IFERROR(__xludf.DUMMYFUNCTION("""COMPUTED_VALUE"""),65.0)</f>
        <v>65</v>
      </c>
      <c r="S1836" s="14">
        <f>IFERROR(__xludf.DUMMYFUNCTION("""COMPUTED_VALUE"""),63.0)</f>
        <v>63</v>
      </c>
      <c r="T1836" s="14">
        <f>IFERROR(__xludf.DUMMYFUNCTION("""COMPUTED_VALUE"""),0.409)</f>
        <v>0.409</v>
      </c>
      <c r="U1836" s="14">
        <f>IFERROR(__xludf.DUMMYFUNCTION("""COMPUTED_VALUE"""),0.552)</f>
        <v>0.552</v>
      </c>
      <c r="V1836" s="14">
        <f>IFERROR(__xludf.DUMMYFUNCTION("""COMPUTED_VALUE"""),0.04)</f>
        <v>0.04</v>
      </c>
      <c r="W1836" s="14">
        <f>IFERROR(__xludf.DUMMYFUNCTION("""COMPUTED_VALUE"""),1.46857081E8)</f>
        <v>146857081</v>
      </c>
      <c r="X1836" s="14">
        <f>IFERROR(__xludf.DUMMYFUNCTION("""COMPUTED_VALUE"""),0.334)</f>
        <v>0.334</v>
      </c>
      <c r="Y1836" s="14" t="str">
        <f>IFERROR(__xludf.DUMMYFUNCTION("""COMPUTED_VALUE"""),"Pakistan-Asia")</f>
        <v>Pakistan-Asia</v>
      </c>
      <c r="Z1836" s="14" t="str">
        <f>IFERROR(__xludf.DUMMYFUNCTION("""COMPUTED_VALUE"""),"Asia")</f>
        <v>Asia</v>
      </c>
      <c r="AA1836" s="14" t="str">
        <f>IFERROR(__xludf.DUMMYFUNCTION("""COMPUTED_VALUE"""),"2001")</f>
        <v>2001</v>
      </c>
      <c r="AB1836" s="15" t="str">
        <f>IFERROR(__xludf.DUMMYFUNCTION("ARRAYFORMULA(VLOOKUP(A1836,IMPORTRANGE(""https://docs.google.com/spreadsheets/d/1BuTWp7qHGjWhqrnf-OmePP568O4A5Am9ttzvVdP67zw/edit#gid=1931367683"" ,""ENERGY!$A$2:$F$2692""), {2,3,4,5,6},0))"),"Asia")</f>
        <v>Asia</v>
      </c>
      <c r="AC1836" s="14" t="str">
        <f>IFERROR(__xludf.DUMMYFUNCTION("""COMPUTED_VALUE"""),"Pakistan-Asia")</f>
        <v>Pakistan-Asia</v>
      </c>
      <c r="AD1836" s="14" t="str">
        <f>IFERROR(__xludf.DUMMYFUNCTION("""COMPUTED_VALUE"""),"2001")</f>
        <v>2001</v>
      </c>
      <c r="AE1836" s="14">
        <f>IFERROR(__xludf.DUMMYFUNCTION("""COMPUTED_VALUE"""),84845.0)</f>
        <v>84845</v>
      </c>
      <c r="AF1836" s="14"/>
    </row>
    <row r="1837">
      <c r="A1837" s="12">
        <v>1836.0</v>
      </c>
      <c r="B1837" s="12" t="s">
        <v>220</v>
      </c>
      <c r="C1837" s="5" t="s">
        <v>61</v>
      </c>
      <c r="D1837" s="8"/>
      <c r="E1837" s="8"/>
      <c r="F1837" s="8"/>
      <c r="G1837" s="8"/>
      <c r="H1837" s="11">
        <v>0.026</v>
      </c>
      <c r="I1837" s="11">
        <v>0.011</v>
      </c>
      <c r="J1837" s="9" t="s">
        <v>63</v>
      </c>
      <c r="K1837" s="14" t="str">
        <f>IFERROR(__xludf.DUMMYFUNCTION("ARRAYFORMULA(VLOOKUP(A1837,IMPORTRANGE(""https://docs.google.com/spreadsheets/d/1BuTWp7qHGjWhqrnf-OmePP568O4A5Am9ttzvVdP67zw/edit#gid=1603210130"", ""TOURISM!$A$2:$F$2692""), {2,3,4,5,6},0))"),"Asia")</f>
        <v>Asia</v>
      </c>
      <c r="L1837" s="14">
        <f>IFERROR(__xludf.DUMMYFUNCTION("""COMPUTED_VALUE"""),5.62E8)</f>
        <v>562000000</v>
      </c>
      <c r="M1837" s="14" t="str">
        <f>IFERROR(__xludf.DUMMYFUNCTION("""COMPUTED_VALUE"""),"Pakistan-Asia")</f>
        <v>Pakistan-Asia</v>
      </c>
      <c r="N1837" s="14" t="str">
        <f>IFERROR(__xludf.DUMMYFUNCTION("""COMPUTED_VALUE"""),"2002")</f>
        <v>2002</v>
      </c>
      <c r="O1837" s="14">
        <f>IFERROR(__xludf.DUMMYFUNCTION("""COMPUTED_VALUE"""),4.91E8)</f>
        <v>491000000</v>
      </c>
      <c r="P1837" s="15">
        <f>IFERROR(__xludf.DUMMYFUNCTION("ARRAYFORMULA(VLOOKUP(A1837,IMPORTRANGE(""https://docs.google.com/spreadsheets/d/1BuTWp7qHGjWhqrnf-OmePP568O4A5Am9ttzvVdP67zw/edit#gid=771602874"" ,""HUMAN RESOURCES!$A$2:$M$2692""), {2,3,4,5,6,7,8,9,10,11,12,13},0))"),0.029)</f>
        <v>0.029</v>
      </c>
      <c r="Q1837" s="14">
        <f>IFERROR(__xludf.DUMMYFUNCTION("""COMPUTED_VALUE"""),0.085)</f>
        <v>0.085</v>
      </c>
      <c r="R1837" s="14">
        <f>IFERROR(__xludf.DUMMYFUNCTION("""COMPUTED_VALUE"""),65.0)</f>
        <v>65</v>
      </c>
      <c r="S1837" s="14">
        <f>IFERROR(__xludf.DUMMYFUNCTION("""COMPUTED_VALUE"""),64.0)</f>
        <v>64</v>
      </c>
      <c r="T1837" s="14">
        <f>IFERROR(__xludf.DUMMYFUNCTION("""COMPUTED_VALUE"""),0.402)</f>
        <v>0.402</v>
      </c>
      <c r="U1837" s="14">
        <f>IFERROR(__xludf.DUMMYFUNCTION("""COMPUTED_VALUE"""),0.558)</f>
        <v>0.558</v>
      </c>
      <c r="V1837" s="14">
        <f>IFERROR(__xludf.DUMMYFUNCTION("""COMPUTED_VALUE"""),0.04)</f>
        <v>0.04</v>
      </c>
      <c r="W1837" s="14">
        <f>IFERROR(__xludf.DUMMYFUNCTION("""COMPUTED_VALUE"""),1.49693684E8)</f>
        <v>149693684</v>
      </c>
      <c r="X1837" s="14">
        <f>IFERROR(__xludf.DUMMYFUNCTION("""COMPUTED_VALUE"""),0.338)</f>
        <v>0.338</v>
      </c>
      <c r="Y1837" s="14" t="str">
        <f>IFERROR(__xludf.DUMMYFUNCTION("""COMPUTED_VALUE"""),"Pakistan-Asia")</f>
        <v>Pakistan-Asia</v>
      </c>
      <c r="Z1837" s="14" t="str">
        <f>IFERROR(__xludf.DUMMYFUNCTION("""COMPUTED_VALUE"""),"Asia")</f>
        <v>Asia</v>
      </c>
      <c r="AA1837" s="14" t="str">
        <f>IFERROR(__xludf.DUMMYFUNCTION("""COMPUTED_VALUE"""),"2002")</f>
        <v>2002</v>
      </c>
      <c r="AB1837" s="15" t="str">
        <f>IFERROR(__xludf.DUMMYFUNCTION("ARRAYFORMULA(VLOOKUP(A1837,IMPORTRANGE(""https://docs.google.com/spreadsheets/d/1BuTWp7qHGjWhqrnf-OmePP568O4A5Am9ttzvVdP67zw/edit#gid=1931367683"" ,""ENERGY!$A$2:$F$2692""), {2,3,4,5,6},0))"),"Asia")</f>
        <v>Asia</v>
      </c>
      <c r="AC1837" s="14" t="str">
        <f>IFERROR(__xludf.DUMMYFUNCTION("""COMPUTED_VALUE"""),"Pakistan-Asia")</f>
        <v>Pakistan-Asia</v>
      </c>
      <c r="AD1837" s="14" t="str">
        <f>IFERROR(__xludf.DUMMYFUNCTION("""COMPUTED_VALUE"""),"2002")</f>
        <v>2002</v>
      </c>
      <c r="AE1837" s="14">
        <f>IFERROR(__xludf.DUMMYFUNCTION("""COMPUTED_VALUE"""),84311.0)</f>
        <v>84311</v>
      </c>
      <c r="AF1837" s="14">
        <f>IFERROR(__xludf.DUMMYFUNCTION("""COMPUTED_VALUE"""),161396.0)</f>
        <v>161396</v>
      </c>
    </row>
    <row r="1838">
      <c r="A1838" s="12">
        <v>1837.0</v>
      </c>
      <c r="B1838" s="12" t="s">
        <v>220</v>
      </c>
      <c r="C1838" s="5" t="s">
        <v>61</v>
      </c>
      <c r="D1838" s="8"/>
      <c r="E1838" s="11">
        <v>24.0</v>
      </c>
      <c r="F1838" s="8"/>
      <c r="G1838" s="8"/>
      <c r="H1838" s="11">
        <v>0.05</v>
      </c>
      <c r="I1838" s="11">
        <v>0.016</v>
      </c>
      <c r="J1838" s="9" t="s">
        <v>64</v>
      </c>
      <c r="K1838" s="14" t="str">
        <f>IFERROR(__xludf.DUMMYFUNCTION("ARRAYFORMULA(VLOOKUP(A1838,IMPORTRANGE(""https://docs.google.com/spreadsheets/d/1BuTWp7qHGjWhqrnf-OmePP568O4A5Am9ttzvVdP67zw/edit#gid=1603210130"", ""TOURISM!$A$2:$F$2692""), {2,3,4,5,6},0))"),"Asia")</f>
        <v>Asia</v>
      </c>
      <c r="L1838" s="14">
        <f>IFERROR(__xludf.DUMMYFUNCTION("""COMPUTED_VALUE"""),6.2E8)</f>
        <v>620000000</v>
      </c>
      <c r="M1838" s="14" t="str">
        <f>IFERROR(__xludf.DUMMYFUNCTION("""COMPUTED_VALUE"""),"Pakistan-Asia")</f>
        <v>Pakistan-Asia</v>
      </c>
      <c r="N1838" s="14" t="str">
        <f>IFERROR(__xludf.DUMMYFUNCTION("""COMPUTED_VALUE"""),"2003")</f>
        <v>2003</v>
      </c>
      <c r="O1838" s="14">
        <f>IFERROR(__xludf.DUMMYFUNCTION("""COMPUTED_VALUE"""),1.163E9)</f>
        <v>1163000000</v>
      </c>
      <c r="P1838" s="15">
        <f>IFERROR(__xludf.DUMMYFUNCTION("ARRAYFORMULA(VLOOKUP(A1838,IMPORTRANGE(""https://docs.google.com/spreadsheets/d/1BuTWp7qHGjWhqrnf-OmePP568O4A5Am9ttzvVdP67zw/edit#gid=771602874"" ,""HUMAN RESOURCES!$A$2:$M$2692""), {2,3,4,5,6,7,8,9,10,11,12,13},0))"),0.029)</f>
        <v>0.029</v>
      </c>
      <c r="Q1838" s="14">
        <f>IFERROR(__xludf.DUMMYFUNCTION("""COMPUTED_VALUE"""),0.083)</f>
        <v>0.083</v>
      </c>
      <c r="R1838" s="14">
        <f>IFERROR(__xludf.DUMMYFUNCTION("""COMPUTED_VALUE"""),65.0)</f>
        <v>65</v>
      </c>
      <c r="S1838" s="14">
        <f>IFERROR(__xludf.DUMMYFUNCTION("""COMPUTED_VALUE"""),64.0)</f>
        <v>64</v>
      </c>
      <c r="T1838" s="14">
        <f>IFERROR(__xludf.DUMMYFUNCTION("""COMPUTED_VALUE"""),0.395)</f>
        <v>0.395</v>
      </c>
      <c r="U1838" s="14">
        <f>IFERROR(__xludf.DUMMYFUNCTION("""COMPUTED_VALUE"""),0.564)</f>
        <v>0.564</v>
      </c>
      <c r="V1838" s="14">
        <f>IFERROR(__xludf.DUMMYFUNCTION("""COMPUTED_VALUE"""),0.04)</f>
        <v>0.04</v>
      </c>
      <c r="W1838" s="14">
        <f>IFERROR(__xludf.DUMMYFUNCTION("""COMPUTED_VALUE"""),1.52419974E8)</f>
        <v>152419974</v>
      </c>
      <c r="X1838" s="14">
        <f>IFERROR(__xludf.DUMMYFUNCTION("""COMPUTED_VALUE"""),0.341)</f>
        <v>0.341</v>
      </c>
      <c r="Y1838" s="14" t="str">
        <f>IFERROR(__xludf.DUMMYFUNCTION("""COMPUTED_VALUE"""),"Pakistan-Asia")</f>
        <v>Pakistan-Asia</v>
      </c>
      <c r="Z1838" s="14" t="str">
        <f>IFERROR(__xludf.DUMMYFUNCTION("""COMPUTED_VALUE"""),"Asia")</f>
        <v>Asia</v>
      </c>
      <c r="AA1838" s="14" t="str">
        <f>IFERROR(__xludf.DUMMYFUNCTION("""COMPUTED_VALUE"""),"2003")</f>
        <v>2003</v>
      </c>
      <c r="AB1838" s="15" t="str">
        <f>IFERROR(__xludf.DUMMYFUNCTION("ARRAYFORMULA(VLOOKUP(A1838,IMPORTRANGE(""https://docs.google.com/spreadsheets/d/1BuTWp7qHGjWhqrnf-OmePP568O4A5Am9ttzvVdP67zw/edit#gid=1931367683"" ,""ENERGY!$A$2:$F$2692""), {2,3,4,5,6},0))"),"Asia")</f>
        <v>Asia</v>
      </c>
      <c r="AC1838" s="14" t="str">
        <f>IFERROR(__xludf.DUMMYFUNCTION("""COMPUTED_VALUE"""),"Pakistan-Asia")</f>
        <v>Pakistan-Asia</v>
      </c>
      <c r="AD1838" s="14" t="str">
        <f>IFERROR(__xludf.DUMMYFUNCTION("""COMPUTED_VALUE"""),"2003")</f>
        <v>2003</v>
      </c>
      <c r="AE1838" s="14">
        <f>IFERROR(__xludf.DUMMYFUNCTION("""COMPUTED_VALUE"""),83197.0)</f>
        <v>83197</v>
      </c>
      <c r="AF1838" s="14">
        <f>IFERROR(__xludf.DUMMYFUNCTION("""COMPUTED_VALUE"""),157890.0)</f>
        <v>157890</v>
      </c>
    </row>
    <row r="1839">
      <c r="A1839" s="12">
        <v>1838.0</v>
      </c>
      <c r="B1839" s="12" t="s">
        <v>220</v>
      </c>
      <c r="C1839" s="5" t="s">
        <v>61</v>
      </c>
      <c r="D1839" s="8"/>
      <c r="E1839" s="11">
        <v>24.0</v>
      </c>
      <c r="F1839" s="8"/>
      <c r="G1839" s="8"/>
      <c r="H1839" s="11">
        <v>0.062</v>
      </c>
      <c r="I1839" s="11">
        <v>0.032</v>
      </c>
      <c r="J1839" s="9" t="s">
        <v>65</v>
      </c>
      <c r="K1839" s="14" t="str">
        <f>IFERROR(__xludf.DUMMYFUNCTION("ARRAYFORMULA(VLOOKUP(A1839,IMPORTRANGE(""https://docs.google.com/spreadsheets/d/1BuTWp7qHGjWhqrnf-OmePP568O4A5Am9ttzvVdP67zw/edit#gid=1603210130"", ""TOURISM!$A$2:$F$2692""), {2,3,4,5,6},0))"),"Asia")</f>
        <v>Asia</v>
      </c>
      <c r="L1839" s="14">
        <f>IFERROR(__xludf.DUMMYFUNCTION("""COMPUTED_VALUE"""),7.65E8)</f>
        <v>765000000</v>
      </c>
      <c r="M1839" s="14" t="str">
        <f>IFERROR(__xludf.DUMMYFUNCTION("""COMPUTED_VALUE"""),"Pakistan-Asia")</f>
        <v>Pakistan-Asia</v>
      </c>
      <c r="N1839" s="14" t="str">
        <f>IFERROR(__xludf.DUMMYFUNCTION("""COMPUTED_VALUE"""),"2004")</f>
        <v>2004</v>
      </c>
      <c r="O1839" s="14">
        <f>IFERROR(__xludf.DUMMYFUNCTION("""COMPUTED_VALUE"""),1.612E9)</f>
        <v>1612000000</v>
      </c>
      <c r="P1839" s="15">
        <f>IFERROR(__xludf.DUMMYFUNCTION("ARRAYFORMULA(VLOOKUP(A1839,IMPORTRANGE(""https://docs.google.com/spreadsheets/d/1BuTWp7qHGjWhqrnf-OmePP568O4A5Am9ttzvVdP67zw/edit#gid=771602874"" ,""HUMAN RESOURCES!$A$2:$M$2692""), {2,3,4,5,6,7,8,9,10,11,12,13},0))"),0.028)</f>
        <v>0.028</v>
      </c>
      <c r="Q1839" s="14">
        <f>IFERROR(__xludf.DUMMYFUNCTION("""COMPUTED_VALUE"""),0.082)</f>
        <v>0.082</v>
      </c>
      <c r="R1839" s="14">
        <f>IFERROR(__xludf.DUMMYFUNCTION("""COMPUTED_VALUE"""),66.0)</f>
        <v>66</v>
      </c>
      <c r="S1839" s="14">
        <f>IFERROR(__xludf.DUMMYFUNCTION("""COMPUTED_VALUE"""),64.0)</f>
        <v>64</v>
      </c>
      <c r="T1839" s="14">
        <f>IFERROR(__xludf.DUMMYFUNCTION("""COMPUTED_VALUE"""),0.388)</f>
        <v>0.388</v>
      </c>
      <c r="U1839" s="14">
        <f>IFERROR(__xludf.DUMMYFUNCTION("""COMPUTED_VALUE"""),0.571)</f>
        <v>0.571</v>
      </c>
      <c r="V1839" s="14">
        <f>IFERROR(__xludf.DUMMYFUNCTION("""COMPUTED_VALUE"""),0.041)</f>
        <v>0.041</v>
      </c>
      <c r="W1839" s="14">
        <f>IFERROR(__xludf.DUMMYFUNCTION("""COMPUTED_VALUE"""),1.55151394E8)</f>
        <v>155151394</v>
      </c>
      <c r="X1839" s="14">
        <f>IFERROR(__xludf.DUMMYFUNCTION("""COMPUTED_VALUE"""),0.344)</f>
        <v>0.344</v>
      </c>
      <c r="Y1839" s="14" t="str">
        <f>IFERROR(__xludf.DUMMYFUNCTION("""COMPUTED_VALUE"""),"Pakistan-Asia")</f>
        <v>Pakistan-Asia</v>
      </c>
      <c r="Z1839" s="14" t="str">
        <f>IFERROR(__xludf.DUMMYFUNCTION("""COMPUTED_VALUE"""),"Asia")</f>
        <v>Asia</v>
      </c>
      <c r="AA1839" s="14" t="str">
        <f>IFERROR(__xludf.DUMMYFUNCTION("""COMPUTED_VALUE"""),"2004")</f>
        <v>2004</v>
      </c>
      <c r="AB1839" s="15" t="str">
        <f>IFERROR(__xludf.DUMMYFUNCTION("ARRAYFORMULA(VLOOKUP(A1839,IMPORTRANGE(""https://docs.google.com/spreadsheets/d/1BuTWp7qHGjWhqrnf-OmePP568O4A5Am9ttzvVdP67zw/edit#gid=1931367683"" ,""ENERGY!$A$2:$F$2692""), {2,3,4,5,6},0))"),"Asia")</f>
        <v>Asia</v>
      </c>
      <c r="AC1839" s="14" t="str">
        <f>IFERROR(__xludf.DUMMYFUNCTION("""COMPUTED_VALUE"""),"Pakistan-Asia")</f>
        <v>Pakistan-Asia</v>
      </c>
      <c r="AD1839" s="14" t="str">
        <f>IFERROR(__xludf.DUMMYFUNCTION("""COMPUTED_VALUE"""),"2004")</f>
        <v>2004</v>
      </c>
      <c r="AE1839" s="14">
        <f>IFERROR(__xludf.DUMMYFUNCTION("""COMPUTED_VALUE"""),82046.0)</f>
        <v>82046</v>
      </c>
      <c r="AF1839" s="14">
        <f>IFERROR(__xludf.DUMMYFUNCTION("""COMPUTED_VALUE"""),156676.0)</f>
        <v>156676</v>
      </c>
    </row>
    <row r="1840">
      <c r="A1840" s="12">
        <v>1839.0</v>
      </c>
      <c r="B1840" s="12" t="s">
        <v>220</v>
      </c>
      <c r="C1840" s="5" t="s">
        <v>61</v>
      </c>
      <c r="D1840" s="11">
        <v>0.431</v>
      </c>
      <c r="E1840" s="11">
        <v>24.0</v>
      </c>
      <c r="F1840" s="8"/>
      <c r="G1840" s="11">
        <v>560.0</v>
      </c>
      <c r="H1840" s="11">
        <v>0.063</v>
      </c>
      <c r="I1840" s="11">
        <v>0.081</v>
      </c>
      <c r="J1840" s="9" t="s">
        <v>66</v>
      </c>
      <c r="K1840" s="14" t="str">
        <f>IFERROR(__xludf.DUMMYFUNCTION("ARRAYFORMULA(VLOOKUP(A1840,IMPORTRANGE(""https://docs.google.com/spreadsheets/d/1BuTWp7qHGjWhqrnf-OmePP568O4A5Am9ttzvVdP67zw/edit#gid=1603210130"", ""TOURISM!$A$2:$F$2692""), {2,3,4,5,6},0))"),"Asia")</f>
        <v>Asia</v>
      </c>
      <c r="L1840" s="14">
        <f>IFERROR(__xludf.DUMMYFUNCTION("""COMPUTED_VALUE"""),8.28E8)</f>
        <v>828000000</v>
      </c>
      <c r="M1840" s="14" t="str">
        <f>IFERROR(__xludf.DUMMYFUNCTION("""COMPUTED_VALUE"""),"Pakistan-Asia")</f>
        <v>Pakistan-Asia</v>
      </c>
      <c r="N1840" s="14" t="str">
        <f>IFERROR(__xludf.DUMMYFUNCTION("""COMPUTED_VALUE"""),"2005")</f>
        <v>2005</v>
      </c>
      <c r="O1840" s="14">
        <f>IFERROR(__xludf.DUMMYFUNCTION("""COMPUTED_VALUE"""),1.753E9)</f>
        <v>1753000000</v>
      </c>
      <c r="P1840" s="15">
        <f>IFERROR(__xludf.DUMMYFUNCTION("ARRAYFORMULA(VLOOKUP(A1840,IMPORTRANGE(""https://docs.google.com/spreadsheets/d/1BuTWp7qHGjWhqrnf-OmePP568O4A5Am9ttzvVdP67zw/edit#gid=771602874"" ,""HUMAN RESOURCES!$A$2:$M$2692""), {2,3,4,5,6,7,8,9,10,11,12,13},0))"),0.028)</f>
        <v>0.028</v>
      </c>
      <c r="Q1840" s="14">
        <f>IFERROR(__xludf.DUMMYFUNCTION("""COMPUTED_VALUE"""),0.08)</f>
        <v>0.08</v>
      </c>
      <c r="R1840" s="14">
        <f>IFERROR(__xludf.DUMMYFUNCTION("""COMPUTED_VALUE"""),66.0)</f>
        <v>66</v>
      </c>
      <c r="S1840" s="14">
        <f>IFERROR(__xludf.DUMMYFUNCTION("""COMPUTED_VALUE"""),64.0)</f>
        <v>64</v>
      </c>
      <c r="T1840" s="14">
        <f>IFERROR(__xludf.DUMMYFUNCTION("""COMPUTED_VALUE"""),0.382)</f>
        <v>0.382</v>
      </c>
      <c r="U1840" s="14">
        <f>IFERROR(__xludf.DUMMYFUNCTION("""COMPUTED_VALUE"""),0.577)</f>
        <v>0.577</v>
      </c>
      <c r="V1840" s="14">
        <f>IFERROR(__xludf.DUMMYFUNCTION("""COMPUTED_VALUE"""),0.041)</f>
        <v>0.041</v>
      </c>
      <c r="W1840" s="14">
        <f>IFERROR(__xludf.DUMMYFUNCTION("""COMPUTED_VALUE"""),1.57971415E8)</f>
        <v>157971415</v>
      </c>
      <c r="X1840" s="14">
        <f>IFERROR(__xludf.DUMMYFUNCTION("""COMPUTED_VALUE"""),0.347)</f>
        <v>0.347</v>
      </c>
      <c r="Y1840" s="14" t="str">
        <f>IFERROR(__xludf.DUMMYFUNCTION("""COMPUTED_VALUE"""),"Pakistan-Asia")</f>
        <v>Pakistan-Asia</v>
      </c>
      <c r="Z1840" s="14" t="str">
        <f>IFERROR(__xludf.DUMMYFUNCTION("""COMPUTED_VALUE"""),"Asia")</f>
        <v>Asia</v>
      </c>
      <c r="AA1840" s="14" t="str">
        <f>IFERROR(__xludf.DUMMYFUNCTION("""COMPUTED_VALUE"""),"2005")</f>
        <v>2005</v>
      </c>
      <c r="AB1840" s="15" t="str">
        <f>IFERROR(__xludf.DUMMYFUNCTION("ARRAYFORMULA(VLOOKUP(A1840,IMPORTRANGE(""https://docs.google.com/spreadsheets/d/1BuTWp7qHGjWhqrnf-OmePP568O4A5Am9ttzvVdP67zw/edit#gid=1931367683"" ,""ENERGY!$A$2:$F$2692""), {2,3,4,5,6},0))"),"Asia")</f>
        <v>Asia</v>
      </c>
      <c r="AC1840" s="14" t="str">
        <f>IFERROR(__xludf.DUMMYFUNCTION("""COMPUTED_VALUE"""),"Pakistan-Asia")</f>
        <v>Pakistan-Asia</v>
      </c>
      <c r="AD1840" s="14" t="str">
        <f>IFERROR(__xludf.DUMMYFUNCTION("""COMPUTED_VALUE"""),"2008")</f>
        <v>2008</v>
      </c>
      <c r="AE1840" s="14">
        <f>IFERROR(__xludf.DUMMYFUNCTION("""COMPUTED_VALUE"""),83538.0)</f>
        <v>83538</v>
      </c>
      <c r="AF1840" s="14">
        <f>IFERROR(__xludf.DUMMYFUNCTION("""COMPUTED_VALUE"""),158895.0)</f>
        <v>158895</v>
      </c>
    </row>
    <row r="1841">
      <c r="A1841" s="12">
        <v>1840.0</v>
      </c>
      <c r="B1841" s="12" t="s">
        <v>220</v>
      </c>
      <c r="C1841" s="5" t="s">
        <v>61</v>
      </c>
      <c r="D1841" s="11">
        <v>0.416</v>
      </c>
      <c r="E1841" s="11">
        <v>24.0</v>
      </c>
      <c r="F1841" s="8"/>
      <c r="G1841" s="11">
        <v>560.0</v>
      </c>
      <c r="H1841" s="11">
        <v>0.065</v>
      </c>
      <c r="I1841" s="11">
        <v>0.214</v>
      </c>
      <c r="J1841" s="9" t="s">
        <v>67</v>
      </c>
      <c r="K1841" s="14" t="str">
        <f>IFERROR(__xludf.DUMMYFUNCTION("ARRAYFORMULA(VLOOKUP(A1841,IMPORTRANGE(""https://docs.google.com/spreadsheets/d/1BuTWp7qHGjWhqrnf-OmePP568O4A5Am9ttzvVdP67zw/edit#gid=1603210130"", ""TOURISM!$A$2:$F$2692""), {2,3,4,5,6},0))"),"Asia")</f>
        <v>Asia</v>
      </c>
      <c r="L1841" s="14">
        <f>IFERROR(__xludf.DUMMYFUNCTION("""COMPUTED_VALUE"""),9.19E8)</f>
        <v>919000000</v>
      </c>
      <c r="M1841" s="14" t="str">
        <f>IFERROR(__xludf.DUMMYFUNCTION("""COMPUTED_VALUE"""),"Pakistan-Asia")</f>
        <v>Pakistan-Asia</v>
      </c>
      <c r="N1841" s="14" t="str">
        <f>IFERROR(__xludf.DUMMYFUNCTION("""COMPUTED_VALUE"""),"2006")</f>
        <v>2006</v>
      </c>
      <c r="O1841" s="14">
        <f>IFERROR(__xludf.DUMMYFUNCTION("""COMPUTED_VALUE"""),2.029E9)</f>
        <v>2029000000</v>
      </c>
      <c r="P1841" s="15">
        <f>IFERROR(__xludf.DUMMYFUNCTION("ARRAYFORMULA(VLOOKUP(A1841,IMPORTRANGE(""https://docs.google.com/spreadsheets/d/1BuTWp7qHGjWhqrnf-OmePP568O4A5Am9ttzvVdP67zw/edit#gid=771602874"" ,""HUMAN RESOURCES!$A$2:$M$2692""), {2,3,4,5,6,7,8,9,10,11,12,13},0))"),0.028)</f>
        <v>0.028</v>
      </c>
      <c r="Q1841" s="14">
        <f>IFERROR(__xludf.DUMMYFUNCTION("""COMPUTED_VALUE"""),0.079)</f>
        <v>0.079</v>
      </c>
      <c r="R1841" s="14">
        <f>IFERROR(__xludf.DUMMYFUNCTION("""COMPUTED_VALUE"""),66.0)</f>
        <v>66</v>
      </c>
      <c r="S1841" s="14">
        <f>IFERROR(__xludf.DUMMYFUNCTION("""COMPUTED_VALUE"""),65.0)</f>
        <v>65</v>
      </c>
      <c r="T1841" s="14">
        <f>IFERROR(__xludf.DUMMYFUNCTION("""COMPUTED_VALUE"""),0.376)</f>
        <v>0.376</v>
      </c>
      <c r="U1841" s="14">
        <f>IFERROR(__xludf.DUMMYFUNCTION("""COMPUTED_VALUE"""),0.583)</f>
        <v>0.583</v>
      </c>
      <c r="V1841" s="14">
        <f>IFERROR(__xludf.DUMMYFUNCTION("""COMPUTED_VALUE"""),0.042)</f>
        <v>0.042</v>
      </c>
      <c r="W1841" s="14">
        <f>IFERROR(__xludf.DUMMYFUNCTION("""COMPUTED_VALUE"""),1.60905794E8)</f>
        <v>160905794</v>
      </c>
      <c r="X1841" s="14">
        <f>IFERROR(__xludf.DUMMYFUNCTION("""COMPUTED_VALUE"""),0.351)</f>
        <v>0.351</v>
      </c>
      <c r="Y1841" s="14" t="str">
        <f>IFERROR(__xludf.DUMMYFUNCTION("""COMPUTED_VALUE"""),"Pakistan-Asia")</f>
        <v>Pakistan-Asia</v>
      </c>
      <c r="Z1841" s="14" t="str">
        <f>IFERROR(__xludf.DUMMYFUNCTION("""COMPUTED_VALUE"""),"Asia")</f>
        <v>Asia</v>
      </c>
      <c r="AA1841" s="14" t="str">
        <f>IFERROR(__xludf.DUMMYFUNCTION("""COMPUTED_VALUE"""),"2006")</f>
        <v>2006</v>
      </c>
      <c r="AB1841" s="15" t="str">
        <f>IFERROR(__xludf.DUMMYFUNCTION("ARRAYFORMULA(VLOOKUP(A1841,IMPORTRANGE(""https://docs.google.com/spreadsheets/d/1BuTWp7qHGjWhqrnf-OmePP568O4A5Am9ttzvVdP67zw/edit#gid=1931367683"" ,""ENERGY!$A$2:$F$2692""), {2,3,4,5,6},0))"),"Asia")</f>
        <v>Asia</v>
      </c>
      <c r="AC1841" s="14" t="str">
        <f>IFERROR(__xludf.DUMMYFUNCTION("""COMPUTED_VALUE"""),"Pakistan-Asia")</f>
        <v>Pakistan-Asia</v>
      </c>
      <c r="AD1841" s="14" t="str">
        <f>IFERROR(__xludf.DUMMYFUNCTION("""COMPUTED_VALUE"""),"2012")</f>
        <v>2012</v>
      </c>
      <c r="AE1841" s="14">
        <f>IFERROR(__xludf.DUMMYFUNCTION("""COMPUTED_VALUE"""),79345.0)</f>
        <v>79345</v>
      </c>
      <c r="AF1841" s="14">
        <f>IFERROR(__xludf.DUMMYFUNCTION("""COMPUTED_VALUE"""),146075.0)</f>
        <v>146075</v>
      </c>
    </row>
    <row r="1842">
      <c r="A1842" s="12">
        <v>1841.0</v>
      </c>
      <c r="B1842" s="12" t="s">
        <v>220</v>
      </c>
      <c r="C1842" s="5" t="s">
        <v>61</v>
      </c>
      <c r="D1842" s="11">
        <v>0.402</v>
      </c>
      <c r="E1842" s="11">
        <v>24.0</v>
      </c>
      <c r="F1842" s="8"/>
      <c r="G1842" s="11">
        <v>560.0</v>
      </c>
      <c r="H1842" s="11">
        <v>0.068</v>
      </c>
      <c r="I1842" s="11">
        <v>0.383</v>
      </c>
      <c r="J1842" s="9" t="s">
        <v>68</v>
      </c>
      <c r="K1842" s="14" t="str">
        <f>IFERROR(__xludf.DUMMYFUNCTION("ARRAYFORMULA(VLOOKUP(A1842,IMPORTRANGE(""https://docs.google.com/spreadsheets/d/1BuTWp7qHGjWhqrnf-OmePP568O4A5Am9ttzvVdP67zw/edit#gid=1603210130"", ""TOURISM!$A$2:$F$2692""), {2,3,4,5,6},0))"),"Asia")</f>
        <v>Asia</v>
      </c>
      <c r="L1842" s="14">
        <f>IFERROR(__xludf.DUMMYFUNCTION("""COMPUTED_VALUE"""),9.12E8)</f>
        <v>912000000</v>
      </c>
      <c r="M1842" s="14" t="str">
        <f>IFERROR(__xludf.DUMMYFUNCTION("""COMPUTED_VALUE"""),"Pakistan-Asia")</f>
        <v>Pakistan-Asia</v>
      </c>
      <c r="N1842" s="14" t="str">
        <f>IFERROR(__xludf.DUMMYFUNCTION("""COMPUTED_VALUE"""),"2007")</f>
        <v>2007</v>
      </c>
      <c r="O1842" s="14">
        <f>IFERROR(__xludf.DUMMYFUNCTION("""COMPUTED_VALUE"""),2.083E9)</f>
        <v>2083000000</v>
      </c>
      <c r="P1842" s="15">
        <f>IFERROR(__xludf.DUMMYFUNCTION("ARRAYFORMULA(VLOOKUP(A1842,IMPORTRANGE(""https://docs.google.com/spreadsheets/d/1BuTWp7qHGjWhqrnf-OmePP568O4A5Am9ttzvVdP67zw/edit#gid=771602874"" ,""HUMAN RESOURCES!$A$2:$M$2692""), {2,3,4,5,6,7,8,9,10,11,12,13},0))"),0.028)</f>
        <v>0.028</v>
      </c>
      <c r="Q1842" s="14">
        <f>IFERROR(__xludf.DUMMYFUNCTION("""COMPUTED_VALUE"""),0.078)</f>
        <v>0.078</v>
      </c>
      <c r="R1842" s="14">
        <f>IFERROR(__xludf.DUMMYFUNCTION("""COMPUTED_VALUE"""),66.0)</f>
        <v>66</v>
      </c>
      <c r="S1842" s="14">
        <f>IFERROR(__xludf.DUMMYFUNCTION("""COMPUTED_VALUE"""),65.0)</f>
        <v>65</v>
      </c>
      <c r="T1842" s="14">
        <f>IFERROR(__xludf.DUMMYFUNCTION("""COMPUTED_VALUE"""),0.37)</f>
        <v>0.37</v>
      </c>
      <c r="U1842" s="14">
        <f>IFERROR(__xludf.DUMMYFUNCTION("""COMPUTED_VALUE"""),0.588)</f>
        <v>0.588</v>
      </c>
      <c r="V1842" s="14">
        <f>IFERROR(__xludf.DUMMYFUNCTION("""COMPUTED_VALUE"""),0.042)</f>
        <v>0.042</v>
      </c>
      <c r="W1842" s="14">
        <f>IFERROR(__xludf.DUMMYFUNCTION("""COMPUTED_VALUE"""),1.63928329E8)</f>
        <v>163928329</v>
      </c>
      <c r="X1842" s="14">
        <f>IFERROR(__xludf.DUMMYFUNCTION("""COMPUTED_VALUE"""),0.354)</f>
        <v>0.354</v>
      </c>
      <c r="Y1842" s="14" t="str">
        <f>IFERROR(__xludf.DUMMYFUNCTION("""COMPUTED_VALUE"""),"Pakistan-Asia")</f>
        <v>Pakistan-Asia</v>
      </c>
      <c r="Z1842" s="14" t="str">
        <f>IFERROR(__xludf.DUMMYFUNCTION("""COMPUTED_VALUE"""),"Asia")</f>
        <v>Asia</v>
      </c>
      <c r="AA1842" s="14" t="str">
        <f>IFERROR(__xludf.DUMMYFUNCTION("""COMPUTED_VALUE"""),"2007")</f>
        <v>2007</v>
      </c>
      <c r="AB1842" s="15" t="str">
        <f>IFERROR(__xludf.DUMMYFUNCTION("ARRAYFORMULA(VLOOKUP(A1842,IMPORTRANGE(""https://docs.google.com/spreadsheets/d/1BuTWp7qHGjWhqrnf-OmePP568O4A5Am9ttzvVdP67zw/edit#gid=1931367683"" ,""ENERGY!$A$2:$F$2692""), {2,3,4,5,6},0))"),"Asia")</f>
        <v>Asia</v>
      </c>
      <c r="AC1842" s="14" t="str">
        <f>IFERROR(__xludf.DUMMYFUNCTION("""COMPUTED_VALUE"""),"Pakistan-Asia")</f>
        <v>Pakistan-Asia</v>
      </c>
      <c r="AD1842" s="14" t="str">
        <f>IFERROR(__xludf.DUMMYFUNCTION("""COMPUTED_VALUE"""),"2009")</f>
        <v>2009</v>
      </c>
      <c r="AE1842" s="14">
        <f>IFERROR(__xludf.DUMMYFUNCTION("""COMPUTED_VALUE"""),76227.0)</f>
        <v>76227</v>
      </c>
      <c r="AF1842" s="14">
        <f>IFERROR(__xludf.DUMMYFUNCTION("""COMPUTED_VALUE"""),136636.0)</f>
        <v>136636</v>
      </c>
    </row>
    <row r="1843">
      <c r="A1843" s="12">
        <v>1842.0</v>
      </c>
      <c r="B1843" s="12" t="s">
        <v>220</v>
      </c>
      <c r="C1843" s="5" t="s">
        <v>61</v>
      </c>
      <c r="D1843" s="11">
        <v>0.288</v>
      </c>
      <c r="E1843" s="11">
        <v>24.0</v>
      </c>
      <c r="F1843" s="8"/>
      <c r="G1843" s="11">
        <v>560.0</v>
      </c>
      <c r="H1843" s="11">
        <v>0.07</v>
      </c>
      <c r="I1843" s="11">
        <v>0.527</v>
      </c>
      <c r="J1843" s="9" t="s">
        <v>69</v>
      </c>
      <c r="K1843" s="14" t="str">
        <f>IFERROR(__xludf.DUMMYFUNCTION("ARRAYFORMULA(VLOOKUP(A1843,IMPORTRANGE(""https://docs.google.com/spreadsheets/d/1BuTWp7qHGjWhqrnf-OmePP568O4A5Am9ttzvVdP67zw/edit#gid=1603210130"", ""TOURISM!$A$2:$F$2692""), {2,3,4,5,6},0))"),"Asia")</f>
        <v>Asia</v>
      </c>
      <c r="L1843" s="14">
        <f>IFERROR(__xludf.DUMMYFUNCTION("""COMPUTED_VALUE"""),9.86E8)</f>
        <v>986000000</v>
      </c>
      <c r="M1843" s="14" t="str">
        <f>IFERROR(__xludf.DUMMYFUNCTION("""COMPUTED_VALUE"""),"Pakistan-Asia")</f>
        <v>Pakistan-Asia</v>
      </c>
      <c r="N1843" s="14" t="str">
        <f>IFERROR(__xludf.DUMMYFUNCTION("""COMPUTED_VALUE"""),"2008")</f>
        <v>2008</v>
      </c>
      <c r="O1843" s="14">
        <f>IFERROR(__xludf.DUMMYFUNCTION("""COMPUTED_VALUE"""),2.163E9)</f>
        <v>2163000000</v>
      </c>
      <c r="P1843" s="15">
        <f>IFERROR(__xludf.DUMMYFUNCTION("ARRAYFORMULA(VLOOKUP(A1843,IMPORTRANGE(""https://docs.google.com/spreadsheets/d/1BuTWp7qHGjWhqrnf-OmePP568O4A5Am9ttzvVdP67zw/edit#gid=771602874"" ,""HUMAN RESOURCES!$A$2:$M$2692""), {2,3,4,5,6,7,8,9,10,11,12,13},0))"),0.027)</f>
        <v>0.027</v>
      </c>
      <c r="Q1843" s="14">
        <f>IFERROR(__xludf.DUMMYFUNCTION("""COMPUTED_VALUE"""),0.076)</f>
        <v>0.076</v>
      </c>
      <c r="R1843" s="14">
        <f>IFERROR(__xludf.DUMMYFUNCTION("""COMPUTED_VALUE"""),67.0)</f>
        <v>67</v>
      </c>
      <c r="S1843" s="14">
        <f>IFERROR(__xludf.DUMMYFUNCTION("""COMPUTED_VALUE"""),65.0)</f>
        <v>65</v>
      </c>
      <c r="T1843" s="14">
        <f>IFERROR(__xludf.DUMMYFUNCTION("""COMPUTED_VALUE"""),0.365)</f>
        <v>0.365</v>
      </c>
      <c r="U1843" s="14">
        <f>IFERROR(__xludf.DUMMYFUNCTION("""COMPUTED_VALUE"""),0.593)</f>
        <v>0.593</v>
      </c>
      <c r="V1843" s="14">
        <f>IFERROR(__xludf.DUMMYFUNCTION("""COMPUTED_VALUE"""),0.043)</f>
        <v>0.043</v>
      </c>
      <c r="W1843" s="14">
        <f>IFERROR(__xludf.DUMMYFUNCTION("""COMPUTED_VALUE"""),1.67008083E8)</f>
        <v>167008083</v>
      </c>
      <c r="X1843" s="14">
        <f>IFERROR(__xludf.DUMMYFUNCTION("""COMPUTED_VALUE"""),0.358)</f>
        <v>0.358</v>
      </c>
      <c r="Y1843" s="14" t="str">
        <f>IFERROR(__xludf.DUMMYFUNCTION("""COMPUTED_VALUE"""),"Pakistan-Asia")</f>
        <v>Pakistan-Asia</v>
      </c>
      <c r="Z1843" s="14" t="str">
        <f>IFERROR(__xludf.DUMMYFUNCTION("""COMPUTED_VALUE"""),"Asia")</f>
        <v>Asia</v>
      </c>
      <c r="AA1843" s="14" t="str">
        <f>IFERROR(__xludf.DUMMYFUNCTION("""COMPUTED_VALUE"""),"2008")</f>
        <v>2008</v>
      </c>
      <c r="AB1843" s="15" t="str">
        <f>IFERROR(__xludf.DUMMYFUNCTION("ARRAYFORMULA(VLOOKUP(A1843,IMPORTRANGE(""https://docs.google.com/spreadsheets/d/1BuTWp7qHGjWhqrnf-OmePP568O4A5Am9ttzvVdP67zw/edit#gid=1931367683"" ,""ENERGY!$A$2:$F$2692""), {2,3,4,5,6},0))"),"Asia")</f>
        <v>Asia</v>
      </c>
      <c r="AC1843" s="14" t="str">
        <f>IFERROR(__xludf.DUMMYFUNCTION("""COMPUTED_VALUE"""),"Pakistan-Asia")</f>
        <v>Pakistan-Asia</v>
      </c>
      <c r="AD1843" s="14" t="str">
        <f>IFERROR(__xludf.DUMMYFUNCTION("""COMPUTED_VALUE"""),"2007")</f>
        <v>2007</v>
      </c>
      <c r="AE1843" s="14">
        <f>IFERROR(__xludf.DUMMYFUNCTION("""COMPUTED_VALUE"""),73580.0)</f>
        <v>73580</v>
      </c>
      <c r="AF1843" s="14">
        <f>IFERROR(__xludf.DUMMYFUNCTION("""COMPUTED_VALUE"""),131601.0)</f>
        <v>131601</v>
      </c>
    </row>
    <row r="1844">
      <c r="A1844" s="12">
        <v>1843.0</v>
      </c>
      <c r="B1844" s="12" t="s">
        <v>220</v>
      </c>
      <c r="C1844" s="5" t="s">
        <v>61</v>
      </c>
      <c r="D1844" s="11">
        <v>0.309</v>
      </c>
      <c r="E1844" s="11">
        <v>21.0</v>
      </c>
      <c r="F1844" s="8"/>
      <c r="G1844" s="11">
        <v>560.0</v>
      </c>
      <c r="H1844" s="11">
        <v>0.075</v>
      </c>
      <c r="I1844" s="11">
        <v>0.555</v>
      </c>
      <c r="J1844" s="9" t="s">
        <v>70</v>
      </c>
      <c r="K1844" s="14" t="str">
        <f>IFERROR(__xludf.DUMMYFUNCTION("ARRAYFORMULA(VLOOKUP(A1844,IMPORTRANGE(""https://docs.google.com/spreadsheets/d/1BuTWp7qHGjWhqrnf-OmePP568O4A5Am9ttzvVdP67zw/edit#gid=1603210130"", ""TOURISM!$A$2:$F$2692""), {2,3,4,5,6},0))"),"Asia")</f>
        <v>Asia</v>
      </c>
      <c r="L1844" s="14">
        <f>IFERROR(__xludf.DUMMYFUNCTION("""COMPUTED_VALUE"""),9.5E8)</f>
        <v>950000000</v>
      </c>
      <c r="M1844" s="14" t="str">
        <f>IFERROR(__xludf.DUMMYFUNCTION("""COMPUTED_VALUE"""),"Pakistan-Asia")</f>
        <v>Pakistan-Asia</v>
      </c>
      <c r="N1844" s="14" t="str">
        <f>IFERROR(__xludf.DUMMYFUNCTION("""COMPUTED_VALUE"""),"2009")</f>
        <v>2009</v>
      </c>
      <c r="O1844" s="14">
        <f>IFERROR(__xludf.DUMMYFUNCTION("""COMPUTED_VALUE"""),1.098E9)</f>
        <v>1098000000</v>
      </c>
      <c r="P1844" s="15">
        <f>IFERROR(__xludf.DUMMYFUNCTION("ARRAYFORMULA(VLOOKUP(A1844,IMPORTRANGE(""https://docs.google.com/spreadsheets/d/1BuTWp7qHGjWhqrnf-OmePP568O4A5Am9ttzvVdP67zw/edit#gid=771602874"" ,""HUMAN RESOURCES!$A$2:$M$2692""), {2,3,4,5,6,7,8,9,10,11,12,13},0))"),0.027)</f>
        <v>0.027</v>
      </c>
      <c r="Q1844" s="14">
        <f>IFERROR(__xludf.DUMMYFUNCTION("""COMPUTED_VALUE"""),0.075)</f>
        <v>0.075</v>
      </c>
      <c r="R1844" s="14">
        <f>IFERROR(__xludf.DUMMYFUNCTION("""COMPUTED_VALUE"""),67.0)</f>
        <v>67</v>
      </c>
      <c r="S1844" s="14">
        <f>IFERROR(__xludf.DUMMYFUNCTION("""COMPUTED_VALUE"""),65.0)</f>
        <v>65</v>
      </c>
      <c r="T1844" s="14">
        <f>IFERROR(__xludf.DUMMYFUNCTION("""COMPUTED_VALUE"""),0.36)</f>
        <v>0.36</v>
      </c>
      <c r="U1844" s="14">
        <f>IFERROR(__xludf.DUMMYFUNCTION("""COMPUTED_VALUE"""),0.597)</f>
        <v>0.597</v>
      </c>
      <c r="V1844" s="14">
        <f>IFERROR(__xludf.DUMMYFUNCTION("""COMPUTED_VALUE"""),0.043)</f>
        <v>0.043</v>
      </c>
      <c r="W1844" s="14">
        <f>IFERROR(__xludf.DUMMYFUNCTION("""COMPUTED_VALUE"""),1.70093999E8)</f>
        <v>170093999</v>
      </c>
      <c r="X1844" s="14">
        <f>IFERROR(__xludf.DUMMYFUNCTION("""COMPUTED_VALUE"""),0.362)</f>
        <v>0.362</v>
      </c>
      <c r="Y1844" s="14" t="str">
        <f>IFERROR(__xludf.DUMMYFUNCTION("""COMPUTED_VALUE"""),"Pakistan-Asia")</f>
        <v>Pakistan-Asia</v>
      </c>
      <c r="Z1844" s="14" t="str">
        <f>IFERROR(__xludf.DUMMYFUNCTION("""COMPUTED_VALUE"""),"Asia")</f>
        <v>Asia</v>
      </c>
      <c r="AA1844" s="14" t="str">
        <f>IFERROR(__xludf.DUMMYFUNCTION("""COMPUTED_VALUE"""),"2009")</f>
        <v>2009</v>
      </c>
      <c r="AB1844" s="15" t="str">
        <f>IFERROR(__xludf.DUMMYFUNCTION("ARRAYFORMULA(VLOOKUP(A1844,IMPORTRANGE(""https://docs.google.com/spreadsheets/d/1BuTWp7qHGjWhqrnf-OmePP568O4A5Am9ttzvVdP67zw/edit#gid=1931367683"" ,""ENERGY!$A$2:$F$2692""), {2,3,4,5,6},0))"),"Asia")</f>
        <v>Asia</v>
      </c>
      <c r="AC1844" s="14" t="str">
        <f>IFERROR(__xludf.DUMMYFUNCTION("""COMPUTED_VALUE"""),"Pakistan-Asia")</f>
        <v>Pakistan-Asia</v>
      </c>
      <c r="AD1844" s="14" t="str">
        <f>IFERROR(__xludf.DUMMYFUNCTION("""COMPUTED_VALUE"""),"2011")</f>
        <v>2011</v>
      </c>
      <c r="AE1844" s="14">
        <f>IFERROR(__xludf.DUMMYFUNCTION("""COMPUTED_VALUE"""),68695.0)</f>
        <v>68695</v>
      </c>
      <c r="AF1844" s="14">
        <f>IFERROR(__xludf.DUMMYFUNCTION("""COMPUTED_VALUE"""),118895.0)</f>
        <v>118895</v>
      </c>
    </row>
    <row r="1845">
      <c r="A1845" s="12">
        <v>1844.0</v>
      </c>
      <c r="B1845" s="12" t="s">
        <v>220</v>
      </c>
      <c r="C1845" s="5" t="s">
        <v>61</v>
      </c>
      <c r="D1845" s="11">
        <v>0.309</v>
      </c>
      <c r="E1845" s="11">
        <v>21.0</v>
      </c>
      <c r="F1845" s="8"/>
      <c r="G1845" s="11">
        <v>560.0</v>
      </c>
      <c r="H1845" s="11">
        <v>0.08</v>
      </c>
      <c r="I1845" s="11">
        <v>0.573</v>
      </c>
      <c r="J1845" s="9" t="s">
        <v>71</v>
      </c>
      <c r="K1845" s="14" t="str">
        <f>IFERROR(__xludf.DUMMYFUNCTION("ARRAYFORMULA(VLOOKUP(A1845,IMPORTRANGE(""https://docs.google.com/spreadsheets/d/1BuTWp7qHGjWhqrnf-OmePP568O4A5Am9ttzvVdP67zw/edit#gid=1603210130"", ""TOURISM!$A$2:$F$2692""), {2,3,4,5,6},0))"),"Asia")</f>
        <v>Asia</v>
      </c>
      <c r="L1845" s="14">
        <f>IFERROR(__xludf.DUMMYFUNCTION("""COMPUTED_VALUE"""),9.98E8)</f>
        <v>998000000</v>
      </c>
      <c r="M1845" s="14" t="str">
        <f>IFERROR(__xludf.DUMMYFUNCTION("""COMPUTED_VALUE"""),"Pakistan-Asia")</f>
        <v>Pakistan-Asia</v>
      </c>
      <c r="N1845" s="14" t="str">
        <f>IFERROR(__xludf.DUMMYFUNCTION("""COMPUTED_VALUE"""),"2010")</f>
        <v>2010</v>
      </c>
      <c r="O1845" s="14">
        <f>IFERROR(__xludf.DUMMYFUNCTION("""COMPUTED_VALUE"""),1.37E9)</f>
        <v>1370000000</v>
      </c>
      <c r="P1845" s="15">
        <f>IFERROR(__xludf.DUMMYFUNCTION("ARRAYFORMULA(VLOOKUP(A1845,IMPORTRANGE(""https://docs.google.com/spreadsheets/d/1BuTWp7qHGjWhqrnf-OmePP568O4A5Am9ttzvVdP67zw/edit#gid=771602874"" ,""HUMAN RESOURCES!$A$2:$M$2692""), {2,3,4,5,6,7,8,9,10,11,12,13},0))"),0.027)</f>
        <v>0.027</v>
      </c>
      <c r="Q1845" s="14">
        <f>IFERROR(__xludf.DUMMYFUNCTION("""COMPUTED_VALUE"""),0.073)</f>
        <v>0.073</v>
      </c>
      <c r="R1845" s="14">
        <f>IFERROR(__xludf.DUMMYFUNCTION("""COMPUTED_VALUE"""),67.0)</f>
        <v>67</v>
      </c>
      <c r="S1845" s="14">
        <f>IFERROR(__xludf.DUMMYFUNCTION("""COMPUTED_VALUE"""),65.0)</f>
        <v>65</v>
      </c>
      <c r="T1845" s="14">
        <f>IFERROR(__xludf.DUMMYFUNCTION("""COMPUTED_VALUE"""),0.354)</f>
        <v>0.354</v>
      </c>
      <c r="U1845" s="14">
        <f>IFERROR(__xludf.DUMMYFUNCTION("""COMPUTED_VALUE"""),0.602)</f>
        <v>0.602</v>
      </c>
      <c r="V1845" s="14">
        <f>IFERROR(__xludf.DUMMYFUNCTION("""COMPUTED_VALUE"""),0.043)</f>
        <v>0.043</v>
      </c>
      <c r="W1845" s="14">
        <f>IFERROR(__xludf.DUMMYFUNCTION("""COMPUTED_VALUE"""),1.73149306E8)</f>
        <v>173149306</v>
      </c>
      <c r="X1845" s="14">
        <f>IFERROR(__xludf.DUMMYFUNCTION("""COMPUTED_VALUE"""),0.366)</f>
        <v>0.366</v>
      </c>
      <c r="Y1845" s="14" t="str">
        <f>IFERROR(__xludf.DUMMYFUNCTION("""COMPUTED_VALUE"""),"Pakistan-Asia")</f>
        <v>Pakistan-Asia</v>
      </c>
      <c r="Z1845" s="14" t="str">
        <f>IFERROR(__xludf.DUMMYFUNCTION("""COMPUTED_VALUE"""),"Asia")</f>
        <v>Asia</v>
      </c>
      <c r="AA1845" s="14" t="str">
        <f>IFERROR(__xludf.DUMMYFUNCTION("""COMPUTED_VALUE"""),"2010")</f>
        <v>2010</v>
      </c>
      <c r="AB1845" s="15" t="str">
        <f>IFERROR(__xludf.DUMMYFUNCTION("ARRAYFORMULA(VLOOKUP(A1845,IMPORTRANGE(""https://docs.google.com/spreadsheets/d/1BuTWp7qHGjWhqrnf-OmePP568O4A5Am9ttzvVdP67zw/edit#gid=1931367683"" ,""ENERGY!$A$2:$F$2692""), {2,3,4,5,6},0))"),"Asia")</f>
        <v>Asia</v>
      </c>
      <c r="AC1845" s="14" t="str">
        <f>IFERROR(__xludf.DUMMYFUNCTION("""COMPUTED_VALUE"""),"Pakistan-Asia")</f>
        <v>Pakistan-Asia</v>
      </c>
      <c r="AD1845" s="14" t="str">
        <f>IFERROR(__xludf.DUMMYFUNCTION("""COMPUTED_VALUE"""),"2006")</f>
        <v>2006</v>
      </c>
      <c r="AE1845" s="14">
        <f>IFERROR(__xludf.DUMMYFUNCTION("""COMPUTED_VALUE"""),65775.0)</f>
        <v>65775</v>
      </c>
      <c r="AF1845" s="14">
        <f>IFERROR(__xludf.DUMMYFUNCTION("""COMPUTED_VALUE"""),114084.0)</f>
        <v>114084</v>
      </c>
    </row>
    <row r="1846">
      <c r="A1846" s="12">
        <v>1845.0</v>
      </c>
      <c r="B1846" s="12" t="s">
        <v>220</v>
      </c>
      <c r="C1846" s="5" t="s">
        <v>61</v>
      </c>
      <c r="D1846" s="11">
        <v>0.346</v>
      </c>
      <c r="E1846" s="11">
        <v>21.0</v>
      </c>
      <c r="F1846" s="8"/>
      <c r="G1846" s="11">
        <v>560.0</v>
      </c>
      <c r="H1846" s="11">
        <v>0.09</v>
      </c>
      <c r="I1846" s="11">
        <v>0.618</v>
      </c>
      <c r="J1846" s="9" t="s">
        <v>72</v>
      </c>
      <c r="K1846" s="14" t="str">
        <f>IFERROR(__xludf.DUMMYFUNCTION("ARRAYFORMULA(VLOOKUP(A1846,IMPORTRANGE(""https://docs.google.com/spreadsheets/d/1BuTWp7qHGjWhqrnf-OmePP568O4A5Am9ttzvVdP67zw/edit#gid=1603210130"", ""TOURISM!$A$2:$F$2692""), {2,3,4,5,6},0))"),"Asia")</f>
        <v>Asia</v>
      </c>
      <c r="L1846" s="14">
        <f>IFERROR(__xludf.DUMMYFUNCTION("""COMPUTED_VALUE"""),1.123E9)</f>
        <v>1123000000</v>
      </c>
      <c r="M1846" s="14" t="str">
        <f>IFERROR(__xludf.DUMMYFUNCTION("""COMPUTED_VALUE"""),"Pakistan-Asia")</f>
        <v>Pakistan-Asia</v>
      </c>
      <c r="N1846" s="14" t="str">
        <f>IFERROR(__xludf.DUMMYFUNCTION("""COMPUTED_VALUE"""),"2011")</f>
        <v>2011</v>
      </c>
      <c r="O1846" s="14">
        <f>IFERROR(__xludf.DUMMYFUNCTION("""COMPUTED_VALUE"""),1.851E9)</f>
        <v>1851000000</v>
      </c>
      <c r="P1846" s="15">
        <f>IFERROR(__xludf.DUMMYFUNCTION("ARRAYFORMULA(VLOOKUP(A1846,IMPORTRANGE(""https://docs.google.com/spreadsheets/d/1BuTWp7qHGjWhqrnf-OmePP568O4A5Am9ttzvVdP67zw/edit#gid=771602874"" ,""HUMAN RESOURCES!$A$2:$M$2692""), {2,3,4,5,6,7,8,9,10,11,12,13},0))"),0.026)</f>
        <v>0.026</v>
      </c>
      <c r="Q1846" s="14">
        <f>IFERROR(__xludf.DUMMYFUNCTION("""COMPUTED_VALUE"""),0.072)</f>
        <v>0.072</v>
      </c>
      <c r="R1846" s="14">
        <f>IFERROR(__xludf.DUMMYFUNCTION("""COMPUTED_VALUE"""),67.0)</f>
        <v>67</v>
      </c>
      <c r="S1846" s="14">
        <f>IFERROR(__xludf.DUMMYFUNCTION("""COMPUTED_VALUE"""),65.0)</f>
        <v>65</v>
      </c>
      <c r="T1846" s="14">
        <f>IFERROR(__xludf.DUMMYFUNCTION("""COMPUTED_VALUE"""),0.349)</f>
        <v>0.349</v>
      </c>
      <c r="U1846" s="14">
        <f>IFERROR(__xludf.DUMMYFUNCTION("""COMPUTED_VALUE"""),0.608)</f>
        <v>0.608</v>
      </c>
      <c r="V1846" s="14">
        <f>IFERROR(__xludf.DUMMYFUNCTION("""COMPUTED_VALUE"""),0.043)</f>
        <v>0.043</v>
      </c>
      <c r="W1846" s="14">
        <f>IFERROR(__xludf.DUMMYFUNCTION("""COMPUTED_VALUE"""),1.76166353E8)</f>
        <v>176166353</v>
      </c>
      <c r="X1846" s="14">
        <f>IFERROR(__xludf.DUMMYFUNCTION("""COMPUTED_VALUE"""),0.37)</f>
        <v>0.37</v>
      </c>
      <c r="Y1846" s="14" t="str">
        <f>IFERROR(__xludf.DUMMYFUNCTION("""COMPUTED_VALUE"""),"Pakistan-Asia")</f>
        <v>Pakistan-Asia</v>
      </c>
      <c r="Z1846" s="14" t="str">
        <f>IFERROR(__xludf.DUMMYFUNCTION("""COMPUTED_VALUE"""),"Asia")</f>
        <v>Asia</v>
      </c>
      <c r="AA1846" s="14" t="str">
        <f>IFERROR(__xludf.DUMMYFUNCTION("""COMPUTED_VALUE"""),"2011")</f>
        <v>2011</v>
      </c>
      <c r="AB1846" s="15" t="str">
        <f>IFERROR(__xludf.DUMMYFUNCTION("ARRAYFORMULA(VLOOKUP(A1846,IMPORTRANGE(""https://docs.google.com/spreadsheets/d/1BuTWp7qHGjWhqrnf-OmePP568O4A5Am9ttzvVdP67zw/edit#gid=1931367683"" ,""ENERGY!$A$2:$F$2692""), {2,3,4,5,6},0))"),"Asia")</f>
        <v>Asia</v>
      </c>
      <c r="AC1846" s="14" t="str">
        <f>IFERROR(__xludf.DUMMYFUNCTION("""COMPUTED_VALUE"""),"Pakistan-Asia")</f>
        <v>Pakistan-Asia</v>
      </c>
      <c r="AD1846" s="14" t="str">
        <f>IFERROR(__xludf.DUMMYFUNCTION("""COMPUTED_VALUE"""),"2006")</f>
        <v>2006</v>
      </c>
      <c r="AE1846" s="14">
        <f>IFERROR(__xludf.DUMMYFUNCTION("""COMPUTED_VALUE"""),65091.0)</f>
        <v>65091</v>
      </c>
      <c r="AF1846" s="14">
        <f>IFERROR(__xludf.DUMMYFUNCTION("""COMPUTED_VALUE"""),108283.0)</f>
        <v>108283</v>
      </c>
    </row>
    <row r="1847">
      <c r="A1847" s="12">
        <v>1846.0</v>
      </c>
      <c r="B1847" s="12" t="s">
        <v>220</v>
      </c>
      <c r="C1847" s="5" t="s">
        <v>61</v>
      </c>
      <c r="D1847" s="11">
        <v>0.346</v>
      </c>
      <c r="E1847" s="11">
        <v>21.0</v>
      </c>
      <c r="F1847" s="11">
        <v>106.0</v>
      </c>
      <c r="G1847" s="11">
        <v>560.0</v>
      </c>
      <c r="H1847" s="11">
        <v>0.1</v>
      </c>
      <c r="I1847" s="11">
        <v>0.671</v>
      </c>
      <c r="J1847" s="9" t="s">
        <v>73</v>
      </c>
      <c r="K1847" s="14" t="str">
        <f>IFERROR(__xludf.DUMMYFUNCTION("ARRAYFORMULA(VLOOKUP(A1847,IMPORTRANGE(""https://docs.google.com/spreadsheets/d/1BuTWp7qHGjWhqrnf-OmePP568O4A5Am9ttzvVdP67zw/edit#gid=1603210130"", ""TOURISM!$A$2:$F$2692""), {2,3,4,5,6},0))"),"Asia")</f>
        <v>Asia</v>
      </c>
      <c r="L1847" s="14">
        <f>IFERROR(__xludf.DUMMYFUNCTION("""COMPUTED_VALUE"""),1.014E9)</f>
        <v>1014000000</v>
      </c>
      <c r="M1847" s="14" t="str">
        <f>IFERROR(__xludf.DUMMYFUNCTION("""COMPUTED_VALUE"""),"Pakistan-Asia")</f>
        <v>Pakistan-Asia</v>
      </c>
      <c r="N1847" s="14" t="str">
        <f>IFERROR(__xludf.DUMMYFUNCTION("""COMPUTED_VALUE"""),"2012")</f>
        <v>2012</v>
      </c>
      <c r="O1847" s="14">
        <f>IFERROR(__xludf.DUMMYFUNCTION("""COMPUTED_VALUE"""),1.801E9)</f>
        <v>1801000000</v>
      </c>
      <c r="P1847" s="15">
        <f>IFERROR(__xludf.DUMMYFUNCTION("ARRAYFORMULA(VLOOKUP(A1847,IMPORTRANGE(""https://docs.google.com/spreadsheets/d/1BuTWp7qHGjWhqrnf-OmePP568O4A5Am9ttzvVdP67zw/edit#gid=771602874"" ,""HUMAN RESOURCES!$A$2:$M$2692""), {2,3,4,5,6,7,8,9,10,11,12,13},0))"),0.026)</f>
        <v>0.026</v>
      </c>
      <c r="Q1847" s="14">
        <f>IFERROR(__xludf.DUMMYFUNCTION("""COMPUTED_VALUE"""),0.071)</f>
        <v>0.071</v>
      </c>
      <c r="R1847" s="14">
        <f>IFERROR(__xludf.DUMMYFUNCTION("""COMPUTED_VALUE"""),67.0)</f>
        <v>67</v>
      </c>
      <c r="S1847" s="14">
        <f>IFERROR(__xludf.DUMMYFUNCTION("""COMPUTED_VALUE"""),66.0)</f>
        <v>66</v>
      </c>
      <c r="T1847" s="14">
        <f>IFERROR(__xludf.DUMMYFUNCTION("""COMPUTED_VALUE"""),0.343)</f>
        <v>0.343</v>
      </c>
      <c r="U1847" s="14">
        <f>IFERROR(__xludf.DUMMYFUNCTION("""COMPUTED_VALUE"""),0.613)</f>
        <v>0.613</v>
      </c>
      <c r="V1847" s="14">
        <f>IFERROR(__xludf.DUMMYFUNCTION("""COMPUTED_VALUE"""),0.044)</f>
        <v>0.044</v>
      </c>
      <c r="W1847" s="14">
        <f>IFERROR(__xludf.DUMMYFUNCTION("""COMPUTED_VALUE"""),1.79160111E8)</f>
        <v>179160111</v>
      </c>
      <c r="X1847" s="14">
        <f>IFERROR(__xludf.DUMMYFUNCTION("""COMPUTED_VALUE"""),0.374)</f>
        <v>0.374</v>
      </c>
      <c r="Y1847" s="14" t="str">
        <f>IFERROR(__xludf.DUMMYFUNCTION("""COMPUTED_VALUE"""),"Pakistan-Asia")</f>
        <v>Pakistan-Asia</v>
      </c>
      <c r="Z1847" s="14" t="str">
        <f>IFERROR(__xludf.DUMMYFUNCTION("""COMPUTED_VALUE"""),"Asia")</f>
        <v>Asia</v>
      </c>
      <c r="AA1847" s="14" t="str">
        <f>IFERROR(__xludf.DUMMYFUNCTION("""COMPUTED_VALUE"""),"2012")</f>
        <v>2012</v>
      </c>
      <c r="AB1847" s="15" t="str">
        <f>IFERROR(__xludf.DUMMYFUNCTION("ARRAYFORMULA(VLOOKUP(A1847,IMPORTRANGE(""https://docs.google.com/spreadsheets/d/1BuTWp7qHGjWhqrnf-OmePP568O4A5Am9ttzvVdP67zw/edit#gid=1931367683"" ,""ENERGY!$A$2:$F$2692""), {2,3,4,5,6},0))"),"Asia")</f>
        <v>Asia</v>
      </c>
      <c r="AC1847" s="14" t="str">
        <f>IFERROR(__xludf.DUMMYFUNCTION("""COMPUTED_VALUE"""),"Pakistan-Asia")</f>
        <v>Pakistan-Asia</v>
      </c>
      <c r="AD1847" s="14" t="str">
        <f>IFERROR(__xludf.DUMMYFUNCTION("""COMPUTED_VALUE"""),"2011")</f>
        <v>2011</v>
      </c>
      <c r="AE1847" s="14">
        <f>IFERROR(__xludf.DUMMYFUNCTION("""COMPUTED_VALUE"""),64067.0)</f>
        <v>64067</v>
      </c>
      <c r="AF1847" s="14">
        <f>IFERROR(__xludf.DUMMYFUNCTION("""COMPUTED_VALUE"""),106449.0)</f>
        <v>106449</v>
      </c>
    </row>
    <row r="1848">
      <c r="A1848" s="12">
        <v>1847.0</v>
      </c>
      <c r="B1848" s="12" t="s">
        <v>221</v>
      </c>
      <c r="C1848" s="5" t="s">
        <v>84</v>
      </c>
      <c r="D1848" s="8"/>
      <c r="E1848" s="8"/>
      <c r="F1848" s="8"/>
      <c r="G1848" s="8"/>
      <c r="H1848" s="11">
        <v>0.066</v>
      </c>
      <c r="I1848" s="11">
        <v>0.134</v>
      </c>
      <c r="J1848" s="9" t="s">
        <v>60</v>
      </c>
      <c r="K1848" s="14" t="str">
        <f>IFERROR(__xludf.DUMMYFUNCTION("ARRAYFORMULA(VLOOKUP(A1848,IMPORTRANGE(""https://docs.google.com/spreadsheets/d/1BuTWp7qHGjWhqrnf-OmePP568O4A5Am9ttzvVdP67zw/edit#gid=1603210130"", ""TOURISM!$A$2:$F$2692""), {2,3,4,5,6},0))"),"The Americas")</f>
        <v>The Americas</v>
      </c>
      <c r="L1848" s="14">
        <f>IFERROR(__xludf.DUMMYFUNCTION("""COMPUTED_VALUE"""),6.28E8)</f>
        <v>628000000</v>
      </c>
      <c r="M1848" s="14" t="str">
        <f>IFERROR(__xludf.DUMMYFUNCTION("""COMPUTED_VALUE"""),"Panama-The Americas")</f>
        <v>Panama-The Americas</v>
      </c>
      <c r="N1848" s="14" t="str">
        <f>IFERROR(__xludf.DUMMYFUNCTION("""COMPUTED_VALUE"""),"2000")</f>
        <v>2000</v>
      </c>
      <c r="O1848" s="14">
        <f>IFERROR(__xludf.DUMMYFUNCTION("""COMPUTED_VALUE"""),2.41E8)</f>
        <v>241000000</v>
      </c>
      <c r="P1848" s="15">
        <f>IFERROR(__xludf.DUMMYFUNCTION("ARRAYFORMULA(VLOOKUP(A1848,IMPORTRANGE(""https://docs.google.com/spreadsheets/d/1BuTWp7qHGjWhqrnf-OmePP568O4A5Am9ttzvVdP67zw/edit#gid=771602874"" ,""HUMAN RESOURCES!$A$2:$M$2692""), {2,3,4,5,6,7,8,9,10,11,12,13},0))"),0.024)</f>
        <v>0.024</v>
      </c>
      <c r="Q1848" s="14">
        <f>IFERROR(__xludf.DUMMYFUNCTION("""COMPUTED_VALUE"""),0.022)</f>
        <v>0.022</v>
      </c>
      <c r="R1848" s="14">
        <f>IFERROR(__xludf.DUMMYFUNCTION("""COMPUTED_VALUE"""),78.0)</f>
        <v>78</v>
      </c>
      <c r="S1848" s="14">
        <f>IFERROR(__xludf.DUMMYFUNCTION("""COMPUTED_VALUE"""),73.0)</f>
        <v>73</v>
      </c>
      <c r="T1848" s="14">
        <f>IFERROR(__xludf.DUMMYFUNCTION("""COMPUTED_VALUE"""),0.321)</f>
        <v>0.321</v>
      </c>
      <c r="U1848" s="14">
        <f>IFERROR(__xludf.DUMMYFUNCTION("""COMPUTED_VALUE"""),0.623)</f>
        <v>0.623</v>
      </c>
      <c r="V1848" s="14">
        <f>IFERROR(__xludf.DUMMYFUNCTION("""COMPUTED_VALUE"""),0.055)</f>
        <v>0.055</v>
      </c>
      <c r="W1848" s="14">
        <f>IFERROR(__xludf.DUMMYFUNCTION("""COMPUTED_VALUE"""),3054812.0)</f>
        <v>3054812</v>
      </c>
      <c r="X1848" s="14">
        <f>IFERROR(__xludf.DUMMYFUNCTION("""COMPUTED_VALUE"""),0.622)</f>
        <v>0.622</v>
      </c>
      <c r="Y1848" s="14" t="str">
        <f>IFERROR(__xludf.DUMMYFUNCTION("""COMPUTED_VALUE"""),"Panama-The Americas")</f>
        <v>Panama-The Americas</v>
      </c>
      <c r="Z1848" s="14" t="str">
        <f>IFERROR(__xludf.DUMMYFUNCTION("""COMPUTED_VALUE"""),"The Americas")</f>
        <v>The Americas</v>
      </c>
      <c r="AA1848" s="14" t="str">
        <f>IFERROR(__xludf.DUMMYFUNCTION("""COMPUTED_VALUE"""),"2000")</f>
        <v>2000</v>
      </c>
      <c r="AB1848" s="15" t="str">
        <f>IFERROR(__xludf.DUMMYFUNCTION("ARRAYFORMULA(VLOOKUP(A1848,IMPORTRANGE(""https://docs.google.com/spreadsheets/d/1BuTWp7qHGjWhqrnf-OmePP568O4A5Am9ttzvVdP67zw/edit#gid=1931367683"" ,""ENERGY!$A$2:$F$2692""), {2,3,4,5,6},0))"),"The Americas")</f>
        <v>The Americas</v>
      </c>
      <c r="AC1848" s="14" t="str">
        <f>IFERROR(__xludf.DUMMYFUNCTION("""COMPUTED_VALUE"""),"Panama-The Americas")</f>
        <v>Panama-The Americas</v>
      </c>
      <c r="AD1848" s="14" t="str">
        <f>IFERROR(__xludf.DUMMYFUNCTION("""COMPUTED_VALUE"""),"2000")</f>
        <v>2000</v>
      </c>
      <c r="AE1848" s="14"/>
      <c r="AF1848" s="14"/>
    </row>
    <row r="1849">
      <c r="A1849" s="12">
        <v>1848.0</v>
      </c>
      <c r="B1849" s="12" t="s">
        <v>221</v>
      </c>
      <c r="C1849" s="5" t="s">
        <v>84</v>
      </c>
      <c r="D1849" s="8"/>
      <c r="E1849" s="8"/>
      <c r="F1849" s="8"/>
      <c r="G1849" s="8"/>
      <c r="H1849" s="11">
        <v>0.073</v>
      </c>
      <c r="I1849" s="11">
        <v>0.152</v>
      </c>
      <c r="J1849" s="9" t="s">
        <v>62</v>
      </c>
      <c r="K1849" s="14" t="str">
        <f>IFERROR(__xludf.DUMMYFUNCTION("ARRAYFORMULA(VLOOKUP(A1849,IMPORTRANGE(""https://docs.google.com/spreadsheets/d/1BuTWp7qHGjWhqrnf-OmePP568O4A5Am9ttzvVdP67zw/edit#gid=1603210130"", ""TOURISM!$A$2:$F$2692""), {2,3,4,5,6},0))"),"The Americas")</f>
        <v>The Americas</v>
      </c>
      <c r="L1849" s="14">
        <f>IFERROR(__xludf.DUMMYFUNCTION("""COMPUTED_VALUE"""),6.65E8)</f>
        <v>665000000</v>
      </c>
      <c r="M1849" s="14" t="str">
        <f>IFERROR(__xludf.DUMMYFUNCTION("""COMPUTED_VALUE"""),"Panama-The Americas")</f>
        <v>Panama-The Americas</v>
      </c>
      <c r="N1849" s="14" t="str">
        <f>IFERROR(__xludf.DUMMYFUNCTION("""COMPUTED_VALUE"""),"2001")</f>
        <v>2001</v>
      </c>
      <c r="O1849" s="14">
        <f>IFERROR(__xludf.DUMMYFUNCTION("""COMPUTED_VALUE"""),2.27E8)</f>
        <v>227000000</v>
      </c>
      <c r="P1849" s="15">
        <f>IFERROR(__xludf.DUMMYFUNCTION("ARRAYFORMULA(VLOOKUP(A1849,IMPORTRANGE(""https://docs.google.com/spreadsheets/d/1BuTWp7qHGjWhqrnf-OmePP568O4A5Am9ttzvVdP67zw/edit#gid=771602874"" ,""HUMAN RESOURCES!$A$2:$M$2692""), {2,3,4,5,6,7,8,9,10,11,12,13},0))"),0.024)</f>
        <v>0.024</v>
      </c>
      <c r="Q1849" s="14">
        <f>IFERROR(__xludf.DUMMYFUNCTION("""COMPUTED_VALUE"""),0.021)</f>
        <v>0.021</v>
      </c>
      <c r="R1849" s="14">
        <f>IFERROR(__xludf.DUMMYFUNCTION("""COMPUTED_VALUE"""),78.0)</f>
        <v>78</v>
      </c>
      <c r="S1849" s="14">
        <f>IFERROR(__xludf.DUMMYFUNCTION("""COMPUTED_VALUE"""),73.0)</f>
        <v>73</v>
      </c>
      <c r="T1849" s="14">
        <f>IFERROR(__xludf.DUMMYFUNCTION("""COMPUTED_VALUE"""),0.318)</f>
        <v>0.318</v>
      </c>
      <c r="U1849" s="14">
        <f>IFERROR(__xludf.DUMMYFUNCTION("""COMPUTED_VALUE"""),0.625)</f>
        <v>0.625</v>
      </c>
      <c r="V1849" s="14">
        <f>IFERROR(__xludf.DUMMYFUNCTION("""COMPUTED_VALUE"""),0.056)</f>
        <v>0.056</v>
      </c>
      <c r="W1849" s="14">
        <f>IFERROR(__xludf.DUMMYFUNCTION("""COMPUTED_VALUE"""),3116409.0)</f>
        <v>3116409</v>
      </c>
      <c r="X1849" s="14">
        <f>IFERROR(__xludf.DUMMYFUNCTION("""COMPUTED_VALUE"""),0.625)</f>
        <v>0.625</v>
      </c>
      <c r="Y1849" s="14" t="str">
        <f>IFERROR(__xludf.DUMMYFUNCTION("""COMPUTED_VALUE"""),"Panama-The Americas")</f>
        <v>Panama-The Americas</v>
      </c>
      <c r="Z1849" s="14" t="str">
        <f>IFERROR(__xludf.DUMMYFUNCTION("""COMPUTED_VALUE"""),"The Americas")</f>
        <v>The Americas</v>
      </c>
      <c r="AA1849" s="14" t="str">
        <f>IFERROR(__xludf.DUMMYFUNCTION("""COMPUTED_VALUE"""),"2001")</f>
        <v>2001</v>
      </c>
      <c r="AB1849" s="15" t="str">
        <f>IFERROR(__xludf.DUMMYFUNCTION("ARRAYFORMULA(VLOOKUP(A1849,IMPORTRANGE(""https://docs.google.com/spreadsheets/d/1BuTWp7qHGjWhqrnf-OmePP568O4A5Am9ttzvVdP67zw/edit#gid=1931367683"" ,""ENERGY!$A$2:$F$2692""), {2,3,4,5,6},0))"),"The Americas")</f>
        <v>The Americas</v>
      </c>
      <c r="AC1849" s="14" t="str">
        <f>IFERROR(__xludf.DUMMYFUNCTION("""COMPUTED_VALUE"""),"Panama-The Americas")</f>
        <v>Panama-The Americas</v>
      </c>
      <c r="AD1849" s="14" t="str">
        <f>IFERROR(__xludf.DUMMYFUNCTION("""COMPUTED_VALUE"""),"2001")</f>
        <v>2001</v>
      </c>
      <c r="AE1849" s="14">
        <f>IFERROR(__xludf.DUMMYFUNCTION("""COMPUTED_VALUE"""),4058.0)</f>
        <v>4058</v>
      </c>
      <c r="AF1849" s="14"/>
    </row>
    <row r="1850">
      <c r="A1850" s="12">
        <v>1849.0</v>
      </c>
      <c r="B1850" s="12" t="s">
        <v>221</v>
      </c>
      <c r="C1850" s="5" t="s">
        <v>84</v>
      </c>
      <c r="D1850" s="8"/>
      <c r="E1850" s="8"/>
      <c r="F1850" s="8"/>
      <c r="G1850" s="8"/>
      <c r="H1850" s="11">
        <v>0.085</v>
      </c>
      <c r="I1850" s="11">
        <v>0.165</v>
      </c>
      <c r="J1850" s="9" t="s">
        <v>63</v>
      </c>
      <c r="K1850" s="14" t="str">
        <f>IFERROR(__xludf.DUMMYFUNCTION("ARRAYFORMULA(VLOOKUP(A1850,IMPORTRANGE(""https://docs.google.com/spreadsheets/d/1BuTWp7qHGjWhqrnf-OmePP568O4A5Am9ttzvVdP67zw/edit#gid=1603210130"", ""TOURISM!$A$2:$F$2692""), {2,3,4,5,6},0))"),"The Americas")</f>
        <v>The Americas</v>
      </c>
      <c r="L1850" s="14">
        <f>IFERROR(__xludf.DUMMYFUNCTION("""COMPUTED_VALUE"""),7.1E8)</f>
        <v>710000000</v>
      </c>
      <c r="M1850" s="14" t="str">
        <f>IFERROR(__xludf.DUMMYFUNCTION("""COMPUTED_VALUE"""),"Panama-The Americas")</f>
        <v>Panama-The Americas</v>
      </c>
      <c r="N1850" s="14" t="str">
        <f>IFERROR(__xludf.DUMMYFUNCTION("""COMPUTED_VALUE"""),"2002")</f>
        <v>2002</v>
      </c>
      <c r="O1850" s="14">
        <f>IFERROR(__xludf.DUMMYFUNCTION("""COMPUTED_VALUE"""),2.52E8)</f>
        <v>252000000</v>
      </c>
      <c r="P1850" s="15">
        <f>IFERROR(__xludf.DUMMYFUNCTION("ARRAYFORMULA(VLOOKUP(A1850,IMPORTRANGE(""https://docs.google.com/spreadsheets/d/1BuTWp7qHGjWhqrnf-OmePP568O4A5Am9ttzvVdP67zw/edit#gid=771602874"" ,""HUMAN RESOURCES!$A$2:$M$2692""), {2,3,4,5,6,7,8,9,10,11,12,13},0))"),0.023)</f>
        <v>0.023</v>
      </c>
      <c r="Q1850" s="14">
        <f>IFERROR(__xludf.DUMMYFUNCTION("""COMPUTED_VALUE"""),0.021)</f>
        <v>0.021</v>
      </c>
      <c r="R1850" s="14">
        <f>IFERROR(__xludf.DUMMYFUNCTION("""COMPUTED_VALUE"""),78.0)</f>
        <v>78</v>
      </c>
      <c r="S1850" s="14">
        <f>IFERROR(__xludf.DUMMYFUNCTION("""COMPUTED_VALUE"""),73.0)</f>
        <v>73</v>
      </c>
      <c r="T1850" s="14">
        <f>IFERROR(__xludf.DUMMYFUNCTION("""COMPUTED_VALUE"""),0.316)</f>
        <v>0.316</v>
      </c>
      <c r="U1850" s="14">
        <f>IFERROR(__xludf.DUMMYFUNCTION("""COMPUTED_VALUE"""),0.627)</f>
        <v>0.627</v>
      </c>
      <c r="V1850" s="14">
        <f>IFERROR(__xludf.DUMMYFUNCTION("""COMPUTED_VALUE"""),0.057)</f>
        <v>0.057</v>
      </c>
      <c r="W1850" s="14">
        <f>IFERROR(__xludf.DUMMYFUNCTION("""COMPUTED_VALUE"""),3178450.0)</f>
        <v>3178450</v>
      </c>
      <c r="X1850" s="14">
        <f>IFERROR(__xludf.DUMMYFUNCTION("""COMPUTED_VALUE"""),0.628)</f>
        <v>0.628</v>
      </c>
      <c r="Y1850" s="14" t="str">
        <f>IFERROR(__xludf.DUMMYFUNCTION("""COMPUTED_VALUE"""),"Panama-The Americas")</f>
        <v>Panama-The Americas</v>
      </c>
      <c r="Z1850" s="14" t="str">
        <f>IFERROR(__xludf.DUMMYFUNCTION("""COMPUTED_VALUE"""),"The Americas")</f>
        <v>The Americas</v>
      </c>
      <c r="AA1850" s="14" t="str">
        <f>IFERROR(__xludf.DUMMYFUNCTION("""COMPUTED_VALUE"""),"2002")</f>
        <v>2002</v>
      </c>
      <c r="AB1850" s="15" t="str">
        <f>IFERROR(__xludf.DUMMYFUNCTION("ARRAYFORMULA(VLOOKUP(A1850,IMPORTRANGE(""https://docs.google.com/spreadsheets/d/1BuTWp7qHGjWhqrnf-OmePP568O4A5Am9ttzvVdP67zw/edit#gid=1931367683"" ,""ENERGY!$A$2:$F$2692""), {2,3,4,5,6},0))"),"The Americas")</f>
        <v>The Americas</v>
      </c>
      <c r="AC1850" s="14" t="str">
        <f>IFERROR(__xludf.DUMMYFUNCTION("""COMPUTED_VALUE"""),"Panama-The Americas")</f>
        <v>Panama-The Americas</v>
      </c>
      <c r="AD1850" s="14" t="str">
        <f>IFERROR(__xludf.DUMMYFUNCTION("""COMPUTED_VALUE"""),"2002")</f>
        <v>2002</v>
      </c>
      <c r="AE1850" s="14">
        <f>IFERROR(__xludf.DUMMYFUNCTION("""COMPUTED_VALUE"""),3710.0)</f>
        <v>3710</v>
      </c>
      <c r="AF1850" s="14">
        <f>IFERROR(__xludf.DUMMYFUNCTION("""COMPUTED_VALUE"""),9633.0)</f>
        <v>9633</v>
      </c>
    </row>
    <row r="1851">
      <c r="A1851" s="12">
        <v>1850.0</v>
      </c>
      <c r="B1851" s="12" t="s">
        <v>221</v>
      </c>
      <c r="C1851" s="5" t="s">
        <v>84</v>
      </c>
      <c r="D1851" s="8"/>
      <c r="E1851" s="11">
        <v>18.0</v>
      </c>
      <c r="F1851" s="8"/>
      <c r="G1851" s="8"/>
      <c r="H1851" s="11">
        <v>0.1</v>
      </c>
      <c r="I1851" s="11">
        <v>0.214</v>
      </c>
      <c r="J1851" s="9" t="s">
        <v>64</v>
      </c>
      <c r="K1851" s="14" t="str">
        <f>IFERROR(__xludf.DUMMYFUNCTION("ARRAYFORMULA(VLOOKUP(A1851,IMPORTRANGE(""https://docs.google.com/spreadsheets/d/1BuTWp7qHGjWhqrnf-OmePP568O4A5Am9ttzvVdP67zw/edit#gid=1603210130"", ""TOURISM!$A$2:$F$2692""), {2,3,4,5,6},0))"),"The Americas")</f>
        <v>The Americas</v>
      </c>
      <c r="L1851" s="14">
        <f>IFERROR(__xludf.DUMMYFUNCTION("""COMPUTED_VALUE"""),8.04E8)</f>
        <v>804000000</v>
      </c>
      <c r="M1851" s="14" t="str">
        <f>IFERROR(__xludf.DUMMYFUNCTION("""COMPUTED_VALUE"""),"Panama-The Americas")</f>
        <v>Panama-The Americas</v>
      </c>
      <c r="N1851" s="14" t="str">
        <f>IFERROR(__xludf.DUMMYFUNCTION("""COMPUTED_VALUE"""),"2003")</f>
        <v>2003</v>
      </c>
      <c r="O1851" s="14">
        <f>IFERROR(__xludf.DUMMYFUNCTION("""COMPUTED_VALUE"""),2.67E8)</f>
        <v>267000000</v>
      </c>
      <c r="P1851" s="15">
        <f>IFERROR(__xludf.DUMMYFUNCTION("ARRAYFORMULA(VLOOKUP(A1851,IMPORTRANGE(""https://docs.google.com/spreadsheets/d/1BuTWp7qHGjWhqrnf-OmePP568O4A5Am9ttzvVdP67zw/edit#gid=771602874"" ,""HUMAN RESOURCES!$A$2:$M$2692""), {2,3,4,5,6,7,8,9,10,11,12,13},0))"),0.023)</f>
        <v>0.023</v>
      </c>
      <c r="Q1851" s="14">
        <f>IFERROR(__xludf.DUMMYFUNCTION("""COMPUTED_VALUE"""),0.02)</f>
        <v>0.02</v>
      </c>
      <c r="R1851" s="14">
        <f>IFERROR(__xludf.DUMMYFUNCTION("""COMPUTED_VALUE"""),78.0)</f>
        <v>78</v>
      </c>
      <c r="S1851" s="14">
        <f>IFERROR(__xludf.DUMMYFUNCTION("""COMPUTED_VALUE"""),73.0)</f>
        <v>73</v>
      </c>
      <c r="T1851" s="14">
        <f>IFERROR(__xludf.DUMMYFUNCTION("""COMPUTED_VALUE"""),0.313)</f>
        <v>0.313</v>
      </c>
      <c r="U1851" s="14">
        <f>IFERROR(__xludf.DUMMYFUNCTION("""COMPUTED_VALUE"""),0.629)</f>
        <v>0.629</v>
      </c>
      <c r="V1851" s="14">
        <f>IFERROR(__xludf.DUMMYFUNCTION("""COMPUTED_VALUE"""),0.058)</f>
        <v>0.058</v>
      </c>
      <c r="W1851" s="14">
        <f>IFERROR(__xludf.DUMMYFUNCTION("""COMPUTED_VALUE"""),3240805.0)</f>
        <v>3240805</v>
      </c>
      <c r="X1851" s="14">
        <f>IFERROR(__xludf.DUMMYFUNCTION("""COMPUTED_VALUE"""),0.631)</f>
        <v>0.631</v>
      </c>
      <c r="Y1851" s="14" t="str">
        <f>IFERROR(__xludf.DUMMYFUNCTION("""COMPUTED_VALUE"""),"Panama-The Americas")</f>
        <v>Panama-The Americas</v>
      </c>
      <c r="Z1851" s="14" t="str">
        <f>IFERROR(__xludf.DUMMYFUNCTION("""COMPUTED_VALUE"""),"The Americas")</f>
        <v>The Americas</v>
      </c>
      <c r="AA1851" s="14" t="str">
        <f>IFERROR(__xludf.DUMMYFUNCTION("""COMPUTED_VALUE"""),"2003")</f>
        <v>2003</v>
      </c>
      <c r="AB1851" s="15" t="str">
        <f>IFERROR(__xludf.DUMMYFUNCTION("ARRAYFORMULA(VLOOKUP(A1851,IMPORTRANGE(""https://docs.google.com/spreadsheets/d/1BuTWp7qHGjWhqrnf-OmePP568O4A5Am9ttzvVdP67zw/edit#gid=1931367683"" ,""ENERGY!$A$2:$F$2692""), {2,3,4,5,6},0))"),"The Americas")</f>
        <v>The Americas</v>
      </c>
      <c r="AC1851" s="14" t="str">
        <f>IFERROR(__xludf.DUMMYFUNCTION("""COMPUTED_VALUE"""),"Panama-The Americas")</f>
        <v>Panama-The Americas</v>
      </c>
      <c r="AD1851" s="14" t="str">
        <f>IFERROR(__xludf.DUMMYFUNCTION("""COMPUTED_VALUE"""),"2003")</f>
        <v>2003</v>
      </c>
      <c r="AE1851" s="14">
        <f>IFERROR(__xludf.DUMMYFUNCTION("""COMPUTED_VALUE"""),3367.0)</f>
        <v>3367</v>
      </c>
      <c r="AF1851" s="14">
        <f>IFERROR(__xludf.DUMMYFUNCTION("""COMPUTED_VALUE"""),8636.0)</f>
        <v>8636</v>
      </c>
    </row>
    <row r="1852">
      <c r="A1852" s="12">
        <v>1851.0</v>
      </c>
      <c r="B1852" s="12" t="s">
        <v>221</v>
      </c>
      <c r="C1852" s="5" t="s">
        <v>84</v>
      </c>
      <c r="D1852" s="8"/>
      <c r="E1852" s="11">
        <v>18.0</v>
      </c>
      <c r="F1852" s="8"/>
      <c r="G1852" s="8"/>
      <c r="H1852" s="11">
        <v>0.111</v>
      </c>
      <c r="I1852" s="11">
        <v>0.381</v>
      </c>
      <c r="J1852" s="9" t="s">
        <v>65</v>
      </c>
      <c r="K1852" s="14" t="str">
        <f>IFERROR(__xludf.DUMMYFUNCTION("ARRAYFORMULA(VLOOKUP(A1852,IMPORTRANGE(""https://docs.google.com/spreadsheets/d/1BuTWp7qHGjWhqrnf-OmePP568O4A5Am9ttzvVdP67zw/edit#gid=1603210130"", ""TOURISM!$A$2:$F$2692""), {2,3,4,5,6},0))"),"The Americas")</f>
        <v>The Americas</v>
      </c>
      <c r="L1852" s="14">
        <f>IFERROR(__xludf.DUMMYFUNCTION("""COMPUTED_VALUE"""),9.03E8)</f>
        <v>903000000</v>
      </c>
      <c r="M1852" s="14" t="str">
        <f>IFERROR(__xludf.DUMMYFUNCTION("""COMPUTED_VALUE"""),"Panama-The Americas")</f>
        <v>Panama-The Americas</v>
      </c>
      <c r="N1852" s="14" t="str">
        <f>IFERROR(__xludf.DUMMYFUNCTION("""COMPUTED_VALUE"""),"2004")</f>
        <v>2004</v>
      </c>
      <c r="O1852" s="14">
        <f>IFERROR(__xludf.DUMMYFUNCTION("""COMPUTED_VALUE"""),2.94E8)</f>
        <v>294000000</v>
      </c>
      <c r="P1852" s="15">
        <f>IFERROR(__xludf.DUMMYFUNCTION("ARRAYFORMULA(VLOOKUP(A1852,IMPORTRANGE(""https://docs.google.com/spreadsheets/d/1BuTWp7qHGjWhqrnf-OmePP568O4A5Am9ttzvVdP67zw/edit#gid=771602874"" ,""HUMAN RESOURCES!$A$2:$M$2692""), {2,3,4,5,6,7,8,9,10,11,12,13},0))"),0.023)</f>
        <v>0.023</v>
      </c>
      <c r="Q1852" s="14">
        <f>IFERROR(__xludf.DUMMYFUNCTION("""COMPUTED_VALUE"""),0.02)</f>
        <v>0.02</v>
      </c>
      <c r="R1852" s="14">
        <f>IFERROR(__xludf.DUMMYFUNCTION("""COMPUTED_VALUE"""),79.0)</f>
        <v>79</v>
      </c>
      <c r="S1852" s="14">
        <f>IFERROR(__xludf.DUMMYFUNCTION("""COMPUTED_VALUE"""),73.0)</f>
        <v>73</v>
      </c>
      <c r="T1852" s="14">
        <f>IFERROR(__xludf.DUMMYFUNCTION("""COMPUTED_VALUE"""),0.31)</f>
        <v>0.31</v>
      </c>
      <c r="U1852" s="14">
        <f>IFERROR(__xludf.DUMMYFUNCTION("""COMPUTED_VALUE"""),0.63)</f>
        <v>0.63</v>
      </c>
      <c r="V1852" s="14">
        <f>IFERROR(__xludf.DUMMYFUNCTION("""COMPUTED_VALUE"""),0.06)</f>
        <v>0.06</v>
      </c>
      <c r="W1852" s="14">
        <f>IFERROR(__xludf.DUMMYFUNCTION("""COMPUTED_VALUE"""),3303335.0)</f>
        <v>3303335</v>
      </c>
      <c r="X1852" s="14">
        <f>IFERROR(__xludf.DUMMYFUNCTION("""COMPUTED_VALUE"""),0.634)</f>
        <v>0.634</v>
      </c>
      <c r="Y1852" s="14" t="str">
        <f>IFERROR(__xludf.DUMMYFUNCTION("""COMPUTED_VALUE"""),"Panama-The Americas")</f>
        <v>Panama-The Americas</v>
      </c>
      <c r="Z1852" s="14" t="str">
        <f>IFERROR(__xludf.DUMMYFUNCTION("""COMPUTED_VALUE"""),"The Americas")</f>
        <v>The Americas</v>
      </c>
      <c r="AA1852" s="14" t="str">
        <f>IFERROR(__xludf.DUMMYFUNCTION("""COMPUTED_VALUE"""),"2004")</f>
        <v>2004</v>
      </c>
      <c r="AB1852" s="15" t="str">
        <f>IFERROR(__xludf.DUMMYFUNCTION("ARRAYFORMULA(VLOOKUP(A1852,IMPORTRANGE(""https://docs.google.com/spreadsheets/d/1BuTWp7qHGjWhqrnf-OmePP568O4A5Am9ttzvVdP67zw/edit#gid=1931367683"" ,""ENERGY!$A$2:$F$2692""), {2,3,4,5,6},0))"),"The Americas")</f>
        <v>The Americas</v>
      </c>
      <c r="AC1852" s="14" t="str">
        <f>IFERROR(__xludf.DUMMYFUNCTION("""COMPUTED_VALUE"""),"Panama-The Americas")</f>
        <v>Panama-The Americas</v>
      </c>
      <c r="AD1852" s="14" t="str">
        <f>IFERROR(__xludf.DUMMYFUNCTION("""COMPUTED_VALUE"""),"2004")</f>
        <v>2004</v>
      </c>
      <c r="AE1852" s="14">
        <f>IFERROR(__xludf.DUMMYFUNCTION("""COMPUTED_VALUE"""),3053.0)</f>
        <v>3053</v>
      </c>
      <c r="AF1852" s="14">
        <f>IFERROR(__xludf.DUMMYFUNCTION("""COMPUTED_VALUE"""),7576.0)</f>
        <v>7576</v>
      </c>
    </row>
    <row r="1853">
      <c r="A1853" s="12">
        <v>1852.0</v>
      </c>
      <c r="B1853" s="12" t="s">
        <v>221</v>
      </c>
      <c r="C1853" s="5" t="s">
        <v>84</v>
      </c>
      <c r="D1853" s="11">
        <v>0.439</v>
      </c>
      <c r="E1853" s="11">
        <v>18.0</v>
      </c>
      <c r="F1853" s="8"/>
      <c r="G1853" s="11">
        <v>560.0</v>
      </c>
      <c r="H1853" s="11">
        <v>0.115</v>
      </c>
      <c r="I1853" s="11">
        <v>0.52</v>
      </c>
      <c r="J1853" s="9" t="s">
        <v>66</v>
      </c>
      <c r="K1853" s="14" t="str">
        <f>IFERROR(__xludf.DUMMYFUNCTION("ARRAYFORMULA(VLOOKUP(A1853,IMPORTRANGE(""https://docs.google.com/spreadsheets/d/1BuTWp7qHGjWhqrnf-OmePP568O4A5Am9ttzvVdP67zw/edit#gid=1603210130"", ""TOURISM!$A$2:$F$2692""), {2,3,4,5,6},0))"),"The Americas")</f>
        <v>The Americas</v>
      </c>
      <c r="L1853" s="14">
        <f>IFERROR(__xludf.DUMMYFUNCTION("""COMPUTED_VALUE"""),1.108E9)</f>
        <v>1108000000</v>
      </c>
      <c r="M1853" s="14" t="str">
        <f>IFERROR(__xludf.DUMMYFUNCTION("""COMPUTED_VALUE"""),"Panama-The Americas")</f>
        <v>Panama-The Americas</v>
      </c>
      <c r="N1853" s="14" t="str">
        <f>IFERROR(__xludf.DUMMYFUNCTION("""COMPUTED_VALUE"""),"2005")</f>
        <v>2005</v>
      </c>
      <c r="O1853" s="14">
        <f>IFERROR(__xludf.DUMMYFUNCTION("""COMPUTED_VALUE"""),3.88E8)</f>
        <v>388000000</v>
      </c>
      <c r="P1853" s="15">
        <f>IFERROR(__xludf.DUMMYFUNCTION("ARRAYFORMULA(VLOOKUP(A1853,IMPORTRANGE(""https://docs.google.com/spreadsheets/d/1BuTWp7qHGjWhqrnf-OmePP568O4A5Am9ttzvVdP67zw/edit#gid=771602874"" ,""HUMAN RESOURCES!$A$2:$M$2692""), {2,3,4,5,6,7,8,9,10,11,12,13},0))"),0.022)</f>
        <v>0.022</v>
      </c>
      <c r="Q1853" s="14">
        <f>IFERROR(__xludf.DUMMYFUNCTION("""COMPUTED_VALUE"""),0.019)</f>
        <v>0.019</v>
      </c>
      <c r="R1853" s="14">
        <f>IFERROR(__xludf.DUMMYFUNCTION("""COMPUTED_VALUE"""),79.0)</f>
        <v>79</v>
      </c>
      <c r="S1853" s="14">
        <f>IFERROR(__xludf.DUMMYFUNCTION("""COMPUTED_VALUE"""),73.0)</f>
        <v>73</v>
      </c>
      <c r="T1853" s="14">
        <f>IFERROR(__xludf.DUMMYFUNCTION("""COMPUTED_VALUE"""),0.307)</f>
        <v>0.307</v>
      </c>
      <c r="U1853" s="14">
        <f>IFERROR(__xludf.DUMMYFUNCTION("""COMPUTED_VALUE"""),0.632)</f>
        <v>0.632</v>
      </c>
      <c r="V1853" s="14">
        <f>IFERROR(__xludf.DUMMYFUNCTION("""COMPUTED_VALUE"""),0.061)</f>
        <v>0.061</v>
      </c>
      <c r="W1853" s="14">
        <f>IFERROR(__xludf.DUMMYFUNCTION("""COMPUTED_VALUE"""),3365929.0)</f>
        <v>3365929</v>
      </c>
      <c r="X1853" s="14">
        <f>IFERROR(__xludf.DUMMYFUNCTION("""COMPUTED_VALUE"""),0.637)</f>
        <v>0.637</v>
      </c>
      <c r="Y1853" s="14" t="str">
        <f>IFERROR(__xludf.DUMMYFUNCTION("""COMPUTED_VALUE"""),"Panama-The Americas")</f>
        <v>Panama-The Americas</v>
      </c>
      <c r="Z1853" s="14" t="str">
        <f>IFERROR(__xludf.DUMMYFUNCTION("""COMPUTED_VALUE"""),"The Americas")</f>
        <v>The Americas</v>
      </c>
      <c r="AA1853" s="14" t="str">
        <f>IFERROR(__xludf.DUMMYFUNCTION("""COMPUTED_VALUE"""),"2005")</f>
        <v>2005</v>
      </c>
      <c r="AB1853" s="15" t="str">
        <f>IFERROR(__xludf.DUMMYFUNCTION("ARRAYFORMULA(VLOOKUP(A1853,IMPORTRANGE(""https://docs.google.com/spreadsheets/d/1BuTWp7qHGjWhqrnf-OmePP568O4A5Am9ttzvVdP67zw/edit#gid=1931367683"" ,""ENERGY!$A$2:$F$2692""), {2,3,4,5,6},0))"),"The Americas")</f>
        <v>The Americas</v>
      </c>
      <c r="AC1853" s="14" t="str">
        <f>IFERROR(__xludf.DUMMYFUNCTION("""COMPUTED_VALUE"""),"Panama-The Americas")</f>
        <v>Panama-The Americas</v>
      </c>
      <c r="AD1853" s="14" t="str">
        <f>IFERROR(__xludf.DUMMYFUNCTION("""COMPUTED_VALUE"""),"2008")</f>
        <v>2008</v>
      </c>
      <c r="AE1853" s="14">
        <f>IFERROR(__xludf.DUMMYFUNCTION("""COMPUTED_VALUE"""),3024.0)</f>
        <v>3024</v>
      </c>
      <c r="AF1853" s="14">
        <f>IFERROR(__xludf.DUMMYFUNCTION("""COMPUTED_VALUE"""),7125.0)</f>
        <v>7125</v>
      </c>
    </row>
    <row r="1854">
      <c r="A1854" s="12">
        <v>1853.0</v>
      </c>
      <c r="B1854" s="12" t="s">
        <v>221</v>
      </c>
      <c r="C1854" s="5" t="s">
        <v>84</v>
      </c>
      <c r="D1854" s="11">
        <v>0.441</v>
      </c>
      <c r="E1854" s="11">
        <v>18.0</v>
      </c>
      <c r="F1854" s="8"/>
      <c r="G1854" s="11">
        <v>560.0</v>
      </c>
      <c r="H1854" s="11">
        <v>0.173</v>
      </c>
      <c r="I1854" s="11">
        <v>0.634</v>
      </c>
      <c r="J1854" s="9" t="s">
        <v>67</v>
      </c>
      <c r="K1854" s="14" t="str">
        <f>IFERROR(__xludf.DUMMYFUNCTION("ARRAYFORMULA(VLOOKUP(A1854,IMPORTRANGE(""https://docs.google.com/spreadsheets/d/1BuTWp7qHGjWhqrnf-OmePP568O4A5Am9ttzvVdP67zw/edit#gid=1603210130"", ""TOURISM!$A$2:$F$2692""), {2,3,4,5,6},0))"),"The Americas")</f>
        <v>The Americas</v>
      </c>
      <c r="L1854" s="14">
        <f>IFERROR(__xludf.DUMMYFUNCTION("""COMPUTED_VALUE"""),1.425E9)</f>
        <v>1425000000</v>
      </c>
      <c r="M1854" s="14" t="str">
        <f>IFERROR(__xludf.DUMMYFUNCTION("""COMPUTED_VALUE"""),"Panama-The Americas")</f>
        <v>Panama-The Americas</v>
      </c>
      <c r="N1854" s="14" t="str">
        <f>IFERROR(__xludf.DUMMYFUNCTION("""COMPUTED_VALUE"""),"2006")</f>
        <v>2006</v>
      </c>
      <c r="O1854" s="14">
        <f>IFERROR(__xludf.DUMMYFUNCTION("""COMPUTED_VALUE"""),4.03E8)</f>
        <v>403000000</v>
      </c>
      <c r="P1854" s="15">
        <f>IFERROR(__xludf.DUMMYFUNCTION("ARRAYFORMULA(VLOOKUP(A1854,IMPORTRANGE(""https://docs.google.com/spreadsheets/d/1BuTWp7qHGjWhqrnf-OmePP568O4A5Am9ttzvVdP67zw/edit#gid=771602874"" ,""HUMAN RESOURCES!$A$2:$M$2692""), {2,3,4,5,6,7,8,9,10,11,12,13},0))"),0.022)</f>
        <v>0.022</v>
      </c>
      <c r="Q1854" s="14">
        <f>IFERROR(__xludf.DUMMYFUNCTION("""COMPUTED_VALUE"""),0.019)</f>
        <v>0.019</v>
      </c>
      <c r="R1854" s="14">
        <f>IFERROR(__xludf.DUMMYFUNCTION("""COMPUTED_VALUE"""),79.0)</f>
        <v>79</v>
      </c>
      <c r="S1854" s="14">
        <f>IFERROR(__xludf.DUMMYFUNCTION("""COMPUTED_VALUE"""),73.0)</f>
        <v>73</v>
      </c>
      <c r="T1854" s="14">
        <f>IFERROR(__xludf.DUMMYFUNCTION("""COMPUTED_VALUE"""),0.305)</f>
        <v>0.305</v>
      </c>
      <c r="U1854" s="14">
        <f>IFERROR(__xludf.DUMMYFUNCTION("""COMPUTED_VALUE"""),0.633)</f>
        <v>0.633</v>
      </c>
      <c r="V1854" s="14">
        <f>IFERROR(__xludf.DUMMYFUNCTION("""COMPUTED_VALUE"""),0.062)</f>
        <v>0.062</v>
      </c>
      <c r="W1854" s="14">
        <f>IFERROR(__xludf.DUMMYFUNCTION("""COMPUTED_VALUE"""),3428509.0)</f>
        <v>3428509</v>
      </c>
      <c r="X1854" s="14">
        <f>IFERROR(__xludf.DUMMYFUNCTION("""COMPUTED_VALUE"""),0.64)</f>
        <v>0.64</v>
      </c>
      <c r="Y1854" s="14" t="str">
        <f>IFERROR(__xludf.DUMMYFUNCTION("""COMPUTED_VALUE"""),"Panama-The Americas")</f>
        <v>Panama-The Americas</v>
      </c>
      <c r="Z1854" s="14" t="str">
        <f>IFERROR(__xludf.DUMMYFUNCTION("""COMPUTED_VALUE"""),"The Americas")</f>
        <v>The Americas</v>
      </c>
      <c r="AA1854" s="14" t="str">
        <f>IFERROR(__xludf.DUMMYFUNCTION("""COMPUTED_VALUE"""),"2006")</f>
        <v>2006</v>
      </c>
      <c r="AB1854" s="15" t="str">
        <f>IFERROR(__xludf.DUMMYFUNCTION("ARRAYFORMULA(VLOOKUP(A1854,IMPORTRANGE(""https://docs.google.com/spreadsheets/d/1BuTWp7qHGjWhqrnf-OmePP568O4A5Am9ttzvVdP67zw/edit#gid=1931367683"" ,""ENERGY!$A$2:$F$2692""), {2,3,4,5,6},0))"),"The Americas")</f>
        <v>The Americas</v>
      </c>
      <c r="AC1854" s="14" t="str">
        <f>IFERROR(__xludf.DUMMYFUNCTION("""COMPUTED_VALUE"""),"Panama-The Americas")</f>
        <v>Panama-The Americas</v>
      </c>
      <c r="AD1854" s="14" t="str">
        <f>IFERROR(__xludf.DUMMYFUNCTION("""COMPUTED_VALUE"""),"2012")</f>
        <v>2012</v>
      </c>
      <c r="AE1854" s="14">
        <f>IFERROR(__xludf.DUMMYFUNCTION("""COMPUTED_VALUE"""),3093.0)</f>
        <v>3093</v>
      </c>
      <c r="AF1854" s="14">
        <f>IFERROR(__xludf.DUMMYFUNCTION("""COMPUTED_VALUE"""),7371.0)</f>
        <v>7371</v>
      </c>
    </row>
    <row r="1855">
      <c r="A1855" s="12">
        <v>1854.0</v>
      </c>
      <c r="B1855" s="12" t="s">
        <v>221</v>
      </c>
      <c r="C1855" s="5" t="s">
        <v>84</v>
      </c>
      <c r="D1855" s="11">
        <v>0.447</v>
      </c>
      <c r="E1855" s="11">
        <v>18.0</v>
      </c>
      <c r="F1855" s="8"/>
      <c r="G1855" s="11">
        <v>482.0</v>
      </c>
      <c r="H1855" s="11">
        <v>0.223</v>
      </c>
      <c r="I1855" s="11">
        <v>0.862</v>
      </c>
      <c r="J1855" s="9" t="s">
        <v>68</v>
      </c>
      <c r="K1855" s="14" t="str">
        <f>IFERROR(__xludf.DUMMYFUNCTION("ARRAYFORMULA(VLOOKUP(A1855,IMPORTRANGE(""https://docs.google.com/spreadsheets/d/1BuTWp7qHGjWhqrnf-OmePP568O4A5Am9ttzvVdP67zw/edit#gid=1603210130"", ""TOURISM!$A$2:$F$2692""), {2,3,4,5,6},0))"),"The Americas")</f>
        <v>The Americas</v>
      </c>
      <c r="L1855" s="14">
        <f>IFERROR(__xludf.DUMMYFUNCTION("""COMPUTED_VALUE"""),1.806E9)</f>
        <v>1806000000</v>
      </c>
      <c r="M1855" s="14" t="str">
        <f>IFERROR(__xludf.DUMMYFUNCTION("""COMPUTED_VALUE"""),"Panama-The Americas")</f>
        <v>Panama-The Americas</v>
      </c>
      <c r="N1855" s="14" t="str">
        <f>IFERROR(__xludf.DUMMYFUNCTION("""COMPUTED_VALUE"""),"2007")</f>
        <v>2007</v>
      </c>
      <c r="O1855" s="14">
        <f>IFERROR(__xludf.DUMMYFUNCTION("""COMPUTED_VALUE"""),4.57E8)</f>
        <v>457000000</v>
      </c>
      <c r="P1855" s="15">
        <f>IFERROR(__xludf.DUMMYFUNCTION("ARRAYFORMULA(VLOOKUP(A1855,IMPORTRANGE(""https://docs.google.com/spreadsheets/d/1BuTWp7qHGjWhqrnf-OmePP568O4A5Am9ttzvVdP67zw/edit#gid=771602874"" ,""HUMAN RESOURCES!$A$2:$M$2692""), {2,3,4,5,6,7,8,9,10,11,12,13},0))"),0.021)</f>
        <v>0.021</v>
      </c>
      <c r="Q1855" s="14">
        <f>IFERROR(__xludf.DUMMYFUNCTION("""COMPUTED_VALUE"""),0.018)</f>
        <v>0.018</v>
      </c>
      <c r="R1855" s="14">
        <f>IFERROR(__xludf.DUMMYFUNCTION("""COMPUTED_VALUE"""),79.0)</f>
        <v>79</v>
      </c>
      <c r="S1855" s="14">
        <f>IFERROR(__xludf.DUMMYFUNCTION("""COMPUTED_VALUE"""),74.0)</f>
        <v>74</v>
      </c>
      <c r="T1855" s="14">
        <f>IFERROR(__xludf.DUMMYFUNCTION("""COMPUTED_VALUE"""),0.302)</f>
        <v>0.302</v>
      </c>
      <c r="U1855" s="14">
        <f>IFERROR(__xludf.DUMMYFUNCTION("""COMPUTED_VALUE"""),0.635)</f>
        <v>0.635</v>
      </c>
      <c r="V1855" s="14">
        <f>IFERROR(__xludf.DUMMYFUNCTION("""COMPUTED_VALUE"""),0.063)</f>
        <v>0.063</v>
      </c>
      <c r="W1855" s="14">
        <f>IFERROR(__xludf.DUMMYFUNCTION("""COMPUTED_VALUE"""),3491034.0)</f>
        <v>3491034</v>
      </c>
      <c r="X1855" s="14">
        <f>IFERROR(__xludf.DUMMYFUNCTION("""COMPUTED_VALUE"""),0.643)</f>
        <v>0.643</v>
      </c>
      <c r="Y1855" s="14" t="str">
        <f>IFERROR(__xludf.DUMMYFUNCTION("""COMPUTED_VALUE"""),"Panama-The Americas")</f>
        <v>Panama-The Americas</v>
      </c>
      <c r="Z1855" s="14" t="str">
        <f>IFERROR(__xludf.DUMMYFUNCTION("""COMPUTED_VALUE"""),"The Americas")</f>
        <v>The Americas</v>
      </c>
      <c r="AA1855" s="14" t="str">
        <f>IFERROR(__xludf.DUMMYFUNCTION("""COMPUTED_VALUE"""),"2007")</f>
        <v>2007</v>
      </c>
      <c r="AB1855" s="15" t="str">
        <f>IFERROR(__xludf.DUMMYFUNCTION("ARRAYFORMULA(VLOOKUP(A1855,IMPORTRANGE(""https://docs.google.com/spreadsheets/d/1BuTWp7qHGjWhqrnf-OmePP568O4A5Am9ttzvVdP67zw/edit#gid=1931367683"" ,""ENERGY!$A$2:$F$2692""), {2,3,4,5,6},0))"),"The Americas")</f>
        <v>The Americas</v>
      </c>
      <c r="AC1855" s="14" t="str">
        <f>IFERROR(__xludf.DUMMYFUNCTION("""COMPUTED_VALUE"""),"Panama-The Americas")</f>
        <v>Panama-The Americas</v>
      </c>
      <c r="AD1855" s="14" t="str">
        <f>IFERROR(__xludf.DUMMYFUNCTION("""COMPUTED_VALUE"""),"2009")</f>
        <v>2009</v>
      </c>
      <c r="AE1855" s="14">
        <f>IFERROR(__xludf.DUMMYFUNCTION("""COMPUTED_VALUE"""),2884.0)</f>
        <v>2884</v>
      </c>
      <c r="AF1855" s="14">
        <f>IFERROR(__xludf.DUMMYFUNCTION("""COMPUTED_VALUE"""),6839.0)</f>
        <v>6839</v>
      </c>
    </row>
    <row r="1856">
      <c r="A1856" s="12">
        <v>1855.0</v>
      </c>
      <c r="B1856" s="12" t="s">
        <v>221</v>
      </c>
      <c r="C1856" s="5" t="s">
        <v>84</v>
      </c>
      <c r="D1856" s="11">
        <v>0.438</v>
      </c>
      <c r="E1856" s="11">
        <v>12.0</v>
      </c>
      <c r="F1856" s="8"/>
      <c r="G1856" s="11">
        <v>482.0</v>
      </c>
      <c r="H1856" s="11">
        <v>0.338</v>
      </c>
      <c r="I1856" s="11">
        <v>1.102</v>
      </c>
      <c r="J1856" s="9" t="s">
        <v>69</v>
      </c>
      <c r="K1856" s="14" t="str">
        <f>IFERROR(__xludf.DUMMYFUNCTION("ARRAYFORMULA(VLOOKUP(A1856,IMPORTRANGE(""https://docs.google.com/spreadsheets/d/1BuTWp7qHGjWhqrnf-OmePP568O4A5Am9ttzvVdP67zw/edit#gid=1603210130"", ""TOURISM!$A$2:$F$2692""), {2,3,4,5,6},0))"),"The Americas")</f>
        <v>The Americas</v>
      </c>
      <c r="L1856" s="14">
        <f>IFERROR(__xludf.DUMMYFUNCTION("""COMPUTED_VALUE"""),2.208E9)</f>
        <v>2208000000</v>
      </c>
      <c r="M1856" s="14" t="str">
        <f>IFERROR(__xludf.DUMMYFUNCTION("""COMPUTED_VALUE"""),"Panama-The Americas")</f>
        <v>Panama-The Americas</v>
      </c>
      <c r="N1856" s="14" t="str">
        <f>IFERROR(__xludf.DUMMYFUNCTION("""COMPUTED_VALUE"""),"2008")</f>
        <v>2008</v>
      </c>
      <c r="O1856" s="14">
        <f>IFERROR(__xludf.DUMMYFUNCTION("""COMPUTED_VALUE"""),5.6E8)</f>
        <v>560000000</v>
      </c>
      <c r="P1856" s="15">
        <f>IFERROR(__xludf.DUMMYFUNCTION("ARRAYFORMULA(VLOOKUP(A1856,IMPORTRANGE(""https://docs.google.com/spreadsheets/d/1BuTWp7qHGjWhqrnf-OmePP568O4A5Am9ttzvVdP67zw/edit#gid=771602874"" ,""HUMAN RESOURCES!$A$2:$M$2692""), {2,3,4,5,6,7,8,9,10,11,12,13},0))"),0.021)</f>
        <v>0.021</v>
      </c>
      <c r="Q1856" s="14">
        <f>IFERROR(__xludf.DUMMYFUNCTION("""COMPUTED_VALUE"""),0.018)</f>
        <v>0.018</v>
      </c>
      <c r="R1856" s="14">
        <f>IFERROR(__xludf.DUMMYFUNCTION("""COMPUTED_VALUE"""),80.0)</f>
        <v>80</v>
      </c>
      <c r="S1856" s="14">
        <f>IFERROR(__xludf.DUMMYFUNCTION("""COMPUTED_VALUE"""),74.0)</f>
        <v>74</v>
      </c>
      <c r="T1856" s="14">
        <f>IFERROR(__xludf.DUMMYFUNCTION("""COMPUTED_VALUE"""),0.299)</f>
        <v>0.299</v>
      </c>
      <c r="U1856" s="14">
        <f>IFERROR(__xludf.DUMMYFUNCTION("""COMPUTED_VALUE"""),0.636)</f>
        <v>0.636</v>
      </c>
      <c r="V1856" s="14">
        <f>IFERROR(__xludf.DUMMYFUNCTION("""COMPUTED_VALUE"""),0.065)</f>
        <v>0.065</v>
      </c>
      <c r="W1856" s="14">
        <f>IFERROR(__xludf.DUMMYFUNCTION("""COMPUTED_VALUE"""),3553480.0)</f>
        <v>3553480</v>
      </c>
      <c r="X1856" s="14">
        <f>IFERROR(__xludf.DUMMYFUNCTION("""COMPUTED_VALUE"""),0.645)</f>
        <v>0.645</v>
      </c>
      <c r="Y1856" s="14" t="str">
        <f>IFERROR(__xludf.DUMMYFUNCTION("""COMPUTED_VALUE"""),"Panama-The Americas")</f>
        <v>Panama-The Americas</v>
      </c>
      <c r="Z1856" s="14" t="str">
        <f>IFERROR(__xludf.DUMMYFUNCTION("""COMPUTED_VALUE"""),"The Americas")</f>
        <v>The Americas</v>
      </c>
      <c r="AA1856" s="14" t="str">
        <f>IFERROR(__xludf.DUMMYFUNCTION("""COMPUTED_VALUE"""),"2008")</f>
        <v>2008</v>
      </c>
      <c r="AB1856" s="15" t="str">
        <f>IFERROR(__xludf.DUMMYFUNCTION("ARRAYFORMULA(VLOOKUP(A1856,IMPORTRANGE(""https://docs.google.com/spreadsheets/d/1BuTWp7qHGjWhqrnf-OmePP568O4A5Am9ttzvVdP67zw/edit#gid=1931367683"" ,""ENERGY!$A$2:$F$2692""), {2,3,4,5,6},0))"),"The Americas")</f>
        <v>The Americas</v>
      </c>
      <c r="AC1856" s="14" t="str">
        <f>IFERROR(__xludf.DUMMYFUNCTION("""COMPUTED_VALUE"""),"Panama-The Americas")</f>
        <v>Panama-The Americas</v>
      </c>
      <c r="AD1856" s="14" t="str">
        <f>IFERROR(__xludf.DUMMYFUNCTION("""COMPUTED_VALUE"""),"2007")</f>
        <v>2007</v>
      </c>
      <c r="AE1856" s="14">
        <f>IFERROR(__xludf.DUMMYFUNCTION("""COMPUTED_VALUE"""),2613.0)</f>
        <v>2613</v>
      </c>
      <c r="AF1856" s="14">
        <f>IFERROR(__xludf.DUMMYFUNCTION("""COMPUTED_VALUE"""),5805.0)</f>
        <v>5805</v>
      </c>
    </row>
    <row r="1857">
      <c r="A1857" s="12">
        <v>1856.0</v>
      </c>
      <c r="B1857" s="12" t="s">
        <v>221</v>
      </c>
      <c r="C1857" s="5" t="s">
        <v>84</v>
      </c>
      <c r="D1857" s="11">
        <v>0.438</v>
      </c>
      <c r="E1857" s="11">
        <v>12.0</v>
      </c>
      <c r="F1857" s="8"/>
      <c r="G1857" s="11">
        <v>482.0</v>
      </c>
      <c r="H1857" s="11">
        <v>0.391</v>
      </c>
      <c r="I1857" s="11">
        <v>1.678</v>
      </c>
      <c r="J1857" s="9" t="s">
        <v>70</v>
      </c>
      <c r="K1857" s="14" t="str">
        <f>IFERROR(__xludf.DUMMYFUNCTION("ARRAYFORMULA(VLOOKUP(A1857,IMPORTRANGE(""https://docs.google.com/spreadsheets/d/1BuTWp7qHGjWhqrnf-OmePP568O4A5Am9ttzvVdP67zw/edit#gid=1603210130"", ""TOURISM!$A$2:$F$2692""), {2,3,4,5,6},0))"),"The Americas")</f>
        <v>The Americas</v>
      </c>
      <c r="L1857" s="14">
        <f>IFERROR(__xludf.DUMMYFUNCTION("""COMPUTED_VALUE"""),2.28E9)</f>
        <v>2280000000</v>
      </c>
      <c r="M1857" s="14" t="str">
        <f>IFERROR(__xludf.DUMMYFUNCTION("""COMPUTED_VALUE"""),"Panama-The Americas")</f>
        <v>Panama-The Americas</v>
      </c>
      <c r="N1857" s="14" t="str">
        <f>IFERROR(__xludf.DUMMYFUNCTION("""COMPUTED_VALUE"""),"2009")</f>
        <v>2009</v>
      </c>
      <c r="O1857" s="14">
        <f>IFERROR(__xludf.DUMMYFUNCTION("""COMPUTED_VALUE"""),5.03E8)</f>
        <v>503000000</v>
      </c>
      <c r="P1857" s="15">
        <f>IFERROR(__xludf.DUMMYFUNCTION("ARRAYFORMULA(VLOOKUP(A1857,IMPORTRANGE(""https://docs.google.com/spreadsheets/d/1BuTWp7qHGjWhqrnf-OmePP568O4A5Am9ttzvVdP67zw/edit#gid=771602874"" ,""HUMAN RESOURCES!$A$2:$M$2692""), {2,3,4,5,6,7,8,9,10,11,12,13},0))"),0.021)</f>
        <v>0.021</v>
      </c>
      <c r="Q1857" s="14">
        <f>IFERROR(__xludf.DUMMYFUNCTION("""COMPUTED_VALUE"""),0.017)</f>
        <v>0.017</v>
      </c>
      <c r="R1857" s="14">
        <f>IFERROR(__xludf.DUMMYFUNCTION("""COMPUTED_VALUE"""),80.0)</f>
        <v>80</v>
      </c>
      <c r="S1857" s="14">
        <f>IFERROR(__xludf.DUMMYFUNCTION("""COMPUTED_VALUE"""),74.0)</f>
        <v>74</v>
      </c>
      <c r="T1857" s="14">
        <f>IFERROR(__xludf.DUMMYFUNCTION("""COMPUTED_VALUE"""),0.296)</f>
        <v>0.296</v>
      </c>
      <c r="U1857" s="14">
        <f>IFERROR(__xludf.DUMMYFUNCTION("""COMPUTED_VALUE"""),0.638)</f>
        <v>0.638</v>
      </c>
      <c r="V1857" s="14">
        <f>IFERROR(__xludf.DUMMYFUNCTION("""COMPUTED_VALUE"""),0.066)</f>
        <v>0.066</v>
      </c>
      <c r="W1857" s="14">
        <f>IFERROR(__xludf.DUMMYFUNCTION("""COMPUTED_VALUE"""),3615846.0)</f>
        <v>3615846</v>
      </c>
      <c r="X1857" s="14">
        <f>IFERROR(__xludf.DUMMYFUNCTION("""COMPUTED_VALUE"""),0.648)</f>
        <v>0.648</v>
      </c>
      <c r="Y1857" s="14" t="str">
        <f>IFERROR(__xludf.DUMMYFUNCTION("""COMPUTED_VALUE"""),"Panama-The Americas")</f>
        <v>Panama-The Americas</v>
      </c>
      <c r="Z1857" s="14" t="str">
        <f>IFERROR(__xludf.DUMMYFUNCTION("""COMPUTED_VALUE"""),"The Americas")</f>
        <v>The Americas</v>
      </c>
      <c r="AA1857" s="14" t="str">
        <f>IFERROR(__xludf.DUMMYFUNCTION("""COMPUTED_VALUE"""),"2009")</f>
        <v>2009</v>
      </c>
      <c r="AB1857" s="15" t="str">
        <f>IFERROR(__xludf.DUMMYFUNCTION("ARRAYFORMULA(VLOOKUP(A1857,IMPORTRANGE(""https://docs.google.com/spreadsheets/d/1BuTWp7qHGjWhqrnf-OmePP568O4A5Am9ttzvVdP67zw/edit#gid=1931367683"" ,""ENERGY!$A$2:$F$2692""), {2,3,4,5,6},0))"),"The Americas")</f>
        <v>The Americas</v>
      </c>
      <c r="AC1857" s="14" t="str">
        <f>IFERROR(__xludf.DUMMYFUNCTION("""COMPUTED_VALUE"""),"Panama-The Americas")</f>
        <v>Panama-The Americas</v>
      </c>
      <c r="AD1857" s="14" t="str">
        <f>IFERROR(__xludf.DUMMYFUNCTION("""COMPUTED_VALUE"""),"2011")</f>
        <v>2011</v>
      </c>
      <c r="AE1857" s="14">
        <f>IFERROR(__xludf.DUMMYFUNCTION("""COMPUTED_VALUE"""),2649.0)</f>
        <v>2649</v>
      </c>
      <c r="AF1857" s="14">
        <f>IFERROR(__xludf.DUMMYFUNCTION("""COMPUTED_VALUE"""),6153.0)</f>
        <v>6153</v>
      </c>
    </row>
    <row r="1858">
      <c r="A1858" s="12">
        <v>1857.0</v>
      </c>
      <c r="B1858" s="12" t="s">
        <v>221</v>
      </c>
      <c r="C1858" s="5" t="s">
        <v>84</v>
      </c>
      <c r="D1858" s="11">
        <v>0.438</v>
      </c>
      <c r="E1858" s="11">
        <v>9.0</v>
      </c>
      <c r="F1858" s="8"/>
      <c r="G1858" s="11">
        <v>482.0</v>
      </c>
      <c r="H1858" s="11">
        <v>0.401</v>
      </c>
      <c r="I1858" s="11">
        <v>1.807</v>
      </c>
      <c r="J1858" s="9" t="s">
        <v>71</v>
      </c>
      <c r="K1858" s="14" t="str">
        <f>IFERROR(__xludf.DUMMYFUNCTION("ARRAYFORMULA(VLOOKUP(A1858,IMPORTRANGE(""https://docs.google.com/spreadsheets/d/1BuTWp7qHGjWhqrnf-OmePP568O4A5Am9ttzvVdP67zw/edit#gid=1603210130"", ""TOURISM!$A$2:$F$2692""), {2,3,4,5,6},0))"),"The Americas")</f>
        <v>The Americas</v>
      </c>
      <c r="L1858" s="14">
        <f>IFERROR(__xludf.DUMMYFUNCTION("""COMPUTED_VALUE"""),2.552E9)</f>
        <v>2552000000</v>
      </c>
      <c r="M1858" s="14" t="str">
        <f>IFERROR(__xludf.DUMMYFUNCTION("""COMPUTED_VALUE"""),"Panama-The Americas")</f>
        <v>Panama-The Americas</v>
      </c>
      <c r="N1858" s="14" t="str">
        <f>IFERROR(__xludf.DUMMYFUNCTION("""COMPUTED_VALUE"""),"2010")</f>
        <v>2010</v>
      </c>
      <c r="O1858" s="14">
        <f>IFERROR(__xludf.DUMMYFUNCTION("""COMPUTED_VALUE"""),5.75E8)</f>
        <v>575000000</v>
      </c>
      <c r="P1858" s="15">
        <f>IFERROR(__xludf.DUMMYFUNCTION("ARRAYFORMULA(VLOOKUP(A1858,IMPORTRANGE(""https://docs.google.com/spreadsheets/d/1BuTWp7qHGjWhqrnf-OmePP568O4A5Am9ttzvVdP67zw/edit#gid=771602874"" ,""HUMAN RESOURCES!$A$2:$M$2692""), {2,3,4,5,6,7,8,9,10,11,12,13},0))"),0.02)</f>
        <v>0.02</v>
      </c>
      <c r="Q1858" s="14">
        <f>IFERROR(__xludf.DUMMYFUNCTION("""COMPUTED_VALUE"""),0.017)</f>
        <v>0.017</v>
      </c>
      <c r="R1858" s="14">
        <f>IFERROR(__xludf.DUMMYFUNCTION("""COMPUTED_VALUE"""),80.0)</f>
        <v>80</v>
      </c>
      <c r="S1858" s="14">
        <f>IFERROR(__xludf.DUMMYFUNCTION("""COMPUTED_VALUE"""),74.0)</f>
        <v>74</v>
      </c>
      <c r="T1858" s="14">
        <f>IFERROR(__xludf.DUMMYFUNCTION("""COMPUTED_VALUE"""),0.293)</f>
        <v>0.293</v>
      </c>
      <c r="U1858" s="14">
        <f>IFERROR(__xludf.DUMMYFUNCTION("""COMPUTED_VALUE"""),0.639)</f>
        <v>0.639</v>
      </c>
      <c r="V1858" s="14">
        <f>IFERROR(__xludf.DUMMYFUNCTION("""COMPUTED_VALUE"""),0.068)</f>
        <v>0.068</v>
      </c>
      <c r="W1858" s="14">
        <f>IFERROR(__xludf.DUMMYFUNCTION("""COMPUTED_VALUE"""),3678128.0)</f>
        <v>3678128</v>
      </c>
      <c r="X1858" s="14">
        <f>IFERROR(__xludf.DUMMYFUNCTION("""COMPUTED_VALUE"""),0.651)</f>
        <v>0.651</v>
      </c>
      <c r="Y1858" s="14" t="str">
        <f>IFERROR(__xludf.DUMMYFUNCTION("""COMPUTED_VALUE"""),"Panama-The Americas")</f>
        <v>Panama-The Americas</v>
      </c>
      <c r="Z1858" s="14" t="str">
        <f>IFERROR(__xludf.DUMMYFUNCTION("""COMPUTED_VALUE"""),"The Americas")</f>
        <v>The Americas</v>
      </c>
      <c r="AA1858" s="14" t="str">
        <f>IFERROR(__xludf.DUMMYFUNCTION("""COMPUTED_VALUE"""),"2010")</f>
        <v>2010</v>
      </c>
      <c r="AB1858" s="15" t="str">
        <f>IFERROR(__xludf.DUMMYFUNCTION("ARRAYFORMULA(VLOOKUP(A1858,IMPORTRANGE(""https://docs.google.com/spreadsheets/d/1BuTWp7qHGjWhqrnf-OmePP568O4A5Am9ttzvVdP67zw/edit#gid=1931367683"" ,""ENERGY!$A$2:$F$2692""), {2,3,4,5,6},0))"),"The Americas")</f>
        <v>The Americas</v>
      </c>
      <c r="AC1858" s="14" t="str">
        <f>IFERROR(__xludf.DUMMYFUNCTION("""COMPUTED_VALUE"""),"Panama-The Americas")</f>
        <v>Panama-The Americas</v>
      </c>
      <c r="AD1858" s="14" t="str">
        <f>IFERROR(__xludf.DUMMYFUNCTION("""COMPUTED_VALUE"""),"2006")</f>
        <v>2006</v>
      </c>
      <c r="AE1858" s="14">
        <f>IFERROR(__xludf.DUMMYFUNCTION("""COMPUTED_VALUE"""),2625.0)</f>
        <v>2625</v>
      </c>
      <c r="AF1858" s="14">
        <f>IFERROR(__xludf.DUMMYFUNCTION("""COMPUTED_VALUE"""),5871.0)</f>
        <v>5871</v>
      </c>
    </row>
    <row r="1859">
      <c r="A1859" s="12">
        <v>1858.0</v>
      </c>
      <c r="B1859" s="12" t="s">
        <v>221</v>
      </c>
      <c r="C1859" s="5" t="s">
        <v>84</v>
      </c>
      <c r="D1859" s="11">
        <v>0.436</v>
      </c>
      <c r="E1859" s="11">
        <v>8.0</v>
      </c>
      <c r="F1859" s="8"/>
      <c r="G1859" s="11">
        <v>482.0</v>
      </c>
      <c r="H1859" s="11">
        <v>0.427</v>
      </c>
      <c r="I1859" s="11">
        <v>1.801</v>
      </c>
      <c r="J1859" s="9" t="s">
        <v>72</v>
      </c>
      <c r="K1859" s="14" t="str">
        <f>IFERROR(__xludf.DUMMYFUNCTION("ARRAYFORMULA(VLOOKUP(A1859,IMPORTRANGE(""https://docs.google.com/spreadsheets/d/1BuTWp7qHGjWhqrnf-OmePP568O4A5Am9ttzvVdP67zw/edit#gid=1603210130"", ""TOURISM!$A$2:$F$2692""), {2,3,4,5,6},0))"),"The Americas")</f>
        <v>The Americas</v>
      </c>
      <c r="L1859" s="14">
        <f>IFERROR(__xludf.DUMMYFUNCTION("""COMPUTED_VALUE"""),2.925E9)</f>
        <v>2925000000</v>
      </c>
      <c r="M1859" s="14" t="str">
        <f>IFERROR(__xludf.DUMMYFUNCTION("""COMPUTED_VALUE"""),"Panama-The Americas")</f>
        <v>Panama-The Americas</v>
      </c>
      <c r="N1859" s="14" t="str">
        <f>IFERROR(__xludf.DUMMYFUNCTION("""COMPUTED_VALUE"""),"2011")</f>
        <v>2011</v>
      </c>
      <c r="O1859" s="14">
        <f>IFERROR(__xludf.DUMMYFUNCTION("""COMPUTED_VALUE"""),6.65E8)</f>
        <v>665000000</v>
      </c>
      <c r="P1859" s="15">
        <f>IFERROR(__xludf.DUMMYFUNCTION("ARRAYFORMULA(VLOOKUP(A1859,IMPORTRANGE(""https://docs.google.com/spreadsheets/d/1BuTWp7qHGjWhqrnf-OmePP568O4A5Am9ttzvVdP67zw/edit#gid=771602874"" ,""HUMAN RESOURCES!$A$2:$M$2692""), {2,3,4,5,6,7,8,9,10,11,12,13},0))"),0.02)</f>
        <v>0.02</v>
      </c>
      <c r="Q1859" s="14">
        <f>IFERROR(__xludf.DUMMYFUNCTION("""COMPUTED_VALUE"""),0.016)</f>
        <v>0.016</v>
      </c>
      <c r="R1859" s="14">
        <f>IFERROR(__xludf.DUMMYFUNCTION("""COMPUTED_VALUE"""),80.0)</f>
        <v>80</v>
      </c>
      <c r="S1859" s="14">
        <f>IFERROR(__xludf.DUMMYFUNCTION("""COMPUTED_VALUE"""),74.0)</f>
        <v>74</v>
      </c>
      <c r="T1859" s="14">
        <f>IFERROR(__xludf.DUMMYFUNCTION("""COMPUTED_VALUE"""),0.29)</f>
        <v>0.29</v>
      </c>
      <c r="U1859" s="14">
        <f>IFERROR(__xludf.DUMMYFUNCTION("""COMPUTED_VALUE"""),0.641)</f>
        <v>0.641</v>
      </c>
      <c r="V1859" s="14">
        <f>IFERROR(__xludf.DUMMYFUNCTION("""COMPUTED_VALUE"""),0.069)</f>
        <v>0.069</v>
      </c>
      <c r="W1859" s="14">
        <f>IFERROR(__xludf.DUMMYFUNCTION("""COMPUTED_VALUE"""),3740282.0)</f>
        <v>3740282</v>
      </c>
      <c r="X1859" s="14">
        <f>IFERROR(__xludf.DUMMYFUNCTION("""COMPUTED_VALUE"""),0.654)</f>
        <v>0.654</v>
      </c>
      <c r="Y1859" s="14" t="str">
        <f>IFERROR(__xludf.DUMMYFUNCTION("""COMPUTED_VALUE"""),"Panama-The Americas")</f>
        <v>Panama-The Americas</v>
      </c>
      <c r="Z1859" s="14" t="str">
        <f>IFERROR(__xludf.DUMMYFUNCTION("""COMPUTED_VALUE"""),"The Americas")</f>
        <v>The Americas</v>
      </c>
      <c r="AA1859" s="14" t="str">
        <f>IFERROR(__xludf.DUMMYFUNCTION("""COMPUTED_VALUE"""),"2011")</f>
        <v>2011</v>
      </c>
      <c r="AB1859" s="15" t="str">
        <f>IFERROR(__xludf.DUMMYFUNCTION("ARRAYFORMULA(VLOOKUP(A1859,IMPORTRANGE(""https://docs.google.com/spreadsheets/d/1BuTWp7qHGjWhqrnf-OmePP568O4A5Am9ttzvVdP67zw/edit#gid=1931367683"" ,""ENERGY!$A$2:$F$2692""), {2,3,4,5,6},0))"),"The Americas")</f>
        <v>The Americas</v>
      </c>
      <c r="AC1859" s="14" t="str">
        <f>IFERROR(__xludf.DUMMYFUNCTION("""COMPUTED_VALUE"""),"Panama-The Americas")</f>
        <v>Panama-The Americas</v>
      </c>
      <c r="AD1859" s="14" t="str">
        <f>IFERROR(__xludf.DUMMYFUNCTION("""COMPUTED_VALUE"""),"2006")</f>
        <v>2006</v>
      </c>
      <c r="AE1859" s="14">
        <f>IFERROR(__xludf.DUMMYFUNCTION("""COMPUTED_VALUE"""),2816.0)</f>
        <v>2816</v>
      </c>
      <c r="AF1859" s="14">
        <f>IFERROR(__xludf.DUMMYFUNCTION("""COMPUTED_VALUE"""),7008.0)</f>
        <v>7008</v>
      </c>
    </row>
    <row r="1860">
      <c r="A1860" s="12">
        <v>1859.0</v>
      </c>
      <c r="B1860" s="12" t="s">
        <v>221</v>
      </c>
      <c r="C1860" s="5" t="s">
        <v>84</v>
      </c>
      <c r="D1860" s="11">
        <v>0.405</v>
      </c>
      <c r="E1860" s="11">
        <v>7.0</v>
      </c>
      <c r="F1860" s="11">
        <v>61.0</v>
      </c>
      <c r="G1860" s="11">
        <v>431.0</v>
      </c>
      <c r="H1860" s="11">
        <v>0.403</v>
      </c>
      <c r="I1860" s="11">
        <v>1.634</v>
      </c>
      <c r="J1860" s="9" t="s">
        <v>73</v>
      </c>
      <c r="K1860" s="14" t="str">
        <f>IFERROR(__xludf.DUMMYFUNCTION("ARRAYFORMULA(VLOOKUP(A1860,IMPORTRANGE(""https://docs.google.com/spreadsheets/d/1BuTWp7qHGjWhqrnf-OmePP568O4A5Am9ttzvVdP67zw/edit#gid=1603210130"", ""TOURISM!$A$2:$F$2692""), {2,3,4,5,6},0))"),"The Americas")</f>
        <v>The Americas</v>
      </c>
      <c r="L1860" s="14">
        <f>IFERROR(__xludf.DUMMYFUNCTION("""COMPUTED_VALUE"""),3.784E9)</f>
        <v>3784000000</v>
      </c>
      <c r="M1860" s="14" t="str">
        <f>IFERROR(__xludf.DUMMYFUNCTION("""COMPUTED_VALUE"""),"Panama-The Americas")</f>
        <v>Panama-The Americas</v>
      </c>
      <c r="N1860" s="14" t="str">
        <f>IFERROR(__xludf.DUMMYFUNCTION("""COMPUTED_VALUE"""),"2012")</f>
        <v>2012</v>
      </c>
      <c r="O1860" s="14">
        <f>IFERROR(__xludf.DUMMYFUNCTION("""COMPUTED_VALUE"""),6.05E8)</f>
        <v>605000000</v>
      </c>
      <c r="P1860" s="15">
        <f>IFERROR(__xludf.DUMMYFUNCTION("ARRAYFORMULA(VLOOKUP(A1860,IMPORTRANGE(""https://docs.google.com/spreadsheets/d/1BuTWp7qHGjWhqrnf-OmePP568O4A5Am9ttzvVdP67zw/edit#gid=771602874"" ,""HUMAN RESOURCES!$A$2:$M$2692""), {2,3,4,5,6,7,8,9,10,11,12,13},0))"),0.02)</f>
        <v>0.02</v>
      </c>
      <c r="Q1860" s="14">
        <f>IFERROR(__xludf.DUMMYFUNCTION("""COMPUTED_VALUE"""),0.016)</f>
        <v>0.016</v>
      </c>
      <c r="R1860" s="14">
        <f>IFERROR(__xludf.DUMMYFUNCTION("""COMPUTED_VALUE"""),80.0)</f>
        <v>80</v>
      </c>
      <c r="S1860" s="14">
        <f>IFERROR(__xludf.DUMMYFUNCTION("""COMPUTED_VALUE"""),75.0)</f>
        <v>75</v>
      </c>
      <c r="T1860" s="14">
        <f>IFERROR(__xludf.DUMMYFUNCTION("""COMPUTED_VALUE"""),0.286)</f>
        <v>0.286</v>
      </c>
      <c r="U1860" s="14">
        <f>IFERROR(__xludf.DUMMYFUNCTION("""COMPUTED_VALUE"""),0.643)</f>
        <v>0.643</v>
      </c>
      <c r="V1860" s="14">
        <f>IFERROR(__xludf.DUMMYFUNCTION("""COMPUTED_VALUE"""),0.071)</f>
        <v>0.071</v>
      </c>
      <c r="W1860" s="14">
        <f>IFERROR(__xludf.DUMMYFUNCTION("""COMPUTED_VALUE"""),3802281.0)</f>
        <v>3802281</v>
      </c>
      <c r="X1860" s="14">
        <f>IFERROR(__xludf.DUMMYFUNCTION("""COMPUTED_VALUE"""),0.657)</f>
        <v>0.657</v>
      </c>
      <c r="Y1860" s="14" t="str">
        <f>IFERROR(__xludf.DUMMYFUNCTION("""COMPUTED_VALUE"""),"Panama-The Americas")</f>
        <v>Panama-The Americas</v>
      </c>
      <c r="Z1860" s="14" t="str">
        <f>IFERROR(__xludf.DUMMYFUNCTION("""COMPUTED_VALUE"""),"The Americas")</f>
        <v>The Americas</v>
      </c>
      <c r="AA1860" s="14" t="str">
        <f>IFERROR(__xludf.DUMMYFUNCTION("""COMPUTED_VALUE"""),"2012")</f>
        <v>2012</v>
      </c>
      <c r="AB1860" s="15" t="str">
        <f>IFERROR(__xludf.DUMMYFUNCTION("ARRAYFORMULA(VLOOKUP(A1860,IMPORTRANGE(""https://docs.google.com/spreadsheets/d/1BuTWp7qHGjWhqrnf-OmePP568O4A5Am9ttzvVdP67zw/edit#gid=1931367683"" ,""ENERGY!$A$2:$F$2692""), {2,3,4,5,6},0))"),"The Americas")</f>
        <v>The Americas</v>
      </c>
      <c r="AC1860" s="14" t="str">
        <f>IFERROR(__xludf.DUMMYFUNCTION("""COMPUTED_VALUE"""),"Panama-The Americas")</f>
        <v>Panama-The Americas</v>
      </c>
      <c r="AD1860" s="14" t="str">
        <f>IFERROR(__xludf.DUMMYFUNCTION("""COMPUTED_VALUE"""),"2011")</f>
        <v>2011</v>
      </c>
      <c r="AE1860" s="14">
        <f>IFERROR(__xludf.DUMMYFUNCTION("""COMPUTED_VALUE"""),2569.0)</f>
        <v>2569</v>
      </c>
      <c r="AF1860" s="14">
        <f>IFERROR(__xludf.DUMMYFUNCTION("""COMPUTED_VALUE"""),5790.0)</f>
        <v>5790</v>
      </c>
    </row>
    <row r="1861">
      <c r="A1861" s="12">
        <v>1860.0</v>
      </c>
      <c r="B1861" s="12" t="s">
        <v>222</v>
      </c>
      <c r="C1861" s="5" t="s">
        <v>80</v>
      </c>
      <c r="D1861" s="8"/>
      <c r="E1861" s="8"/>
      <c r="F1861" s="8"/>
      <c r="G1861" s="8"/>
      <c r="H1861" s="11">
        <v>0.008</v>
      </c>
      <c r="I1861" s="11">
        <v>0.002</v>
      </c>
      <c r="J1861" s="9" t="s">
        <v>60</v>
      </c>
      <c r="K1861" s="14" t="str">
        <f>IFERROR(__xludf.DUMMYFUNCTION("ARRAYFORMULA(VLOOKUP(A1861,IMPORTRANGE(""https://docs.google.com/spreadsheets/d/1BuTWp7qHGjWhqrnf-OmePP568O4A5Am9ttzvVdP67zw/edit#gid=1603210130"", ""TOURISM!$A$2:$F$2692""), {2,3,4,5,6},0))"),"Oceania")</f>
        <v>Oceania</v>
      </c>
      <c r="L1861" s="14">
        <f>IFERROR(__xludf.DUMMYFUNCTION("""COMPUTED_VALUE"""),7000000.0)</f>
        <v>7000000</v>
      </c>
      <c r="M1861" s="14" t="str">
        <f>IFERROR(__xludf.DUMMYFUNCTION("""COMPUTED_VALUE"""),"Papua New Guinea-Oceania")</f>
        <v>Papua New Guinea-Oceania</v>
      </c>
      <c r="N1861" s="14" t="str">
        <f>IFERROR(__xludf.DUMMYFUNCTION("""COMPUTED_VALUE"""),"2000")</f>
        <v>2000</v>
      </c>
      <c r="O1861" s="14">
        <f>IFERROR(__xludf.DUMMYFUNCTION("""COMPUTED_VALUE"""),5.0E7)</f>
        <v>50000000</v>
      </c>
      <c r="P1861" s="15">
        <f>IFERROR(__xludf.DUMMYFUNCTION("ARRAYFORMULA(VLOOKUP(A1861,IMPORTRANGE(""https://docs.google.com/spreadsheets/d/1BuTWp7qHGjWhqrnf-OmePP568O4A5Am9ttzvVdP67zw/edit#gid=771602874"" ,""HUMAN RESOURCES!$A$2:$M$2692""), {2,3,4,5,6,7,8,9,10,11,12,13},0))"),0.035)</f>
        <v>0.035</v>
      </c>
      <c r="Q1861" s="14">
        <f>IFERROR(__xludf.DUMMYFUNCTION("""COMPUTED_VALUE"""),0.058)</f>
        <v>0.058</v>
      </c>
      <c r="R1861" s="14">
        <f>IFERROR(__xludf.DUMMYFUNCTION("""COMPUTED_VALUE"""),61.0)</f>
        <v>61</v>
      </c>
      <c r="S1861" s="14">
        <f>IFERROR(__xludf.DUMMYFUNCTION("""COMPUTED_VALUE"""),57.0)</f>
        <v>57</v>
      </c>
      <c r="T1861" s="14">
        <f>IFERROR(__xludf.DUMMYFUNCTION("""COMPUTED_VALUE"""),0.402)</f>
        <v>0.402</v>
      </c>
      <c r="U1861" s="14">
        <f>IFERROR(__xludf.DUMMYFUNCTION("""COMPUTED_VALUE"""),0.573)</f>
        <v>0.573</v>
      </c>
      <c r="V1861" s="14">
        <f>IFERROR(__xludf.DUMMYFUNCTION("""COMPUTED_VALUE"""),0.025)</f>
        <v>0.025</v>
      </c>
      <c r="W1861" s="14">
        <f>IFERROR(__xludf.DUMMYFUNCTION("""COMPUTED_VALUE"""),5379226.0)</f>
        <v>5379226</v>
      </c>
      <c r="X1861" s="14">
        <f>IFERROR(__xludf.DUMMYFUNCTION("""COMPUTED_VALUE"""),0.132)</f>
        <v>0.132</v>
      </c>
      <c r="Y1861" s="14" t="str">
        <f>IFERROR(__xludf.DUMMYFUNCTION("""COMPUTED_VALUE"""),"Papua New Guinea-Oceania")</f>
        <v>Papua New Guinea-Oceania</v>
      </c>
      <c r="Z1861" s="14" t="str">
        <f>IFERROR(__xludf.DUMMYFUNCTION("""COMPUTED_VALUE"""),"Oceania")</f>
        <v>Oceania</v>
      </c>
      <c r="AA1861" s="14" t="str">
        <f>IFERROR(__xludf.DUMMYFUNCTION("""COMPUTED_VALUE"""),"2000")</f>
        <v>2000</v>
      </c>
      <c r="AB1861" s="15" t="str">
        <f>IFERROR(__xludf.DUMMYFUNCTION("ARRAYFORMULA(VLOOKUP(A1861,IMPORTRANGE(""https://docs.google.com/spreadsheets/d/1BuTWp7qHGjWhqrnf-OmePP568O4A5Am9ttzvVdP67zw/edit#gid=1931367683"" ,""ENERGY!$A$2:$F$2692""), {2,3,4,5,6},0))"),"Oceania")</f>
        <v>Oceania</v>
      </c>
      <c r="AC1861" s="14" t="str">
        <f>IFERROR(__xludf.DUMMYFUNCTION("""COMPUTED_VALUE"""),"Papua New Guinea-Oceania")</f>
        <v>Papua New Guinea-Oceania</v>
      </c>
      <c r="AD1861" s="14" t="str">
        <f>IFERROR(__xludf.DUMMYFUNCTION("""COMPUTED_VALUE"""),"2000")</f>
        <v>2000</v>
      </c>
      <c r="AE1861" s="14"/>
      <c r="AF1861" s="14"/>
    </row>
    <row r="1862">
      <c r="A1862" s="12">
        <v>1861.0</v>
      </c>
      <c r="B1862" s="12" t="s">
        <v>222</v>
      </c>
      <c r="C1862" s="5" t="s">
        <v>80</v>
      </c>
      <c r="D1862" s="8"/>
      <c r="E1862" s="8"/>
      <c r="F1862" s="8"/>
      <c r="G1862" s="8"/>
      <c r="H1862" s="11">
        <v>0.009</v>
      </c>
      <c r="I1862" s="11">
        <v>0.002</v>
      </c>
      <c r="J1862" s="9" t="s">
        <v>62</v>
      </c>
      <c r="K1862" s="14" t="str">
        <f>IFERROR(__xludf.DUMMYFUNCTION("ARRAYFORMULA(VLOOKUP(A1862,IMPORTRANGE(""https://docs.google.com/spreadsheets/d/1BuTWp7qHGjWhqrnf-OmePP568O4A5Am9ttzvVdP67zw/edit#gid=1603210130"", ""TOURISM!$A$2:$F$2692""), {2,3,4,5,6},0))"),"Oceania")</f>
        <v>Oceania</v>
      </c>
      <c r="L1862" s="14">
        <f>IFERROR(__xludf.DUMMYFUNCTION("""COMPUTED_VALUE"""),5200000.0)</f>
        <v>5200000</v>
      </c>
      <c r="M1862" s="14" t="str">
        <f>IFERROR(__xludf.DUMMYFUNCTION("""COMPUTED_VALUE"""),"Papua New Guinea-Oceania")</f>
        <v>Papua New Guinea-Oceania</v>
      </c>
      <c r="N1862" s="14" t="str">
        <f>IFERROR(__xludf.DUMMYFUNCTION("""COMPUTED_VALUE"""),"2001")</f>
        <v>2001</v>
      </c>
      <c r="O1862" s="14">
        <f>IFERROR(__xludf.DUMMYFUNCTION("""COMPUTED_VALUE"""),3.8E7)</f>
        <v>38000000</v>
      </c>
      <c r="P1862" s="15">
        <f>IFERROR(__xludf.DUMMYFUNCTION("ARRAYFORMULA(VLOOKUP(A1862,IMPORTRANGE(""https://docs.google.com/spreadsheets/d/1BuTWp7qHGjWhqrnf-OmePP568O4A5Am9ttzvVdP67zw/edit#gid=771602874"" ,""HUMAN RESOURCES!$A$2:$M$2692""), {2,3,4,5,6,7,8,9,10,11,12,13},0))"),0.035)</f>
        <v>0.035</v>
      </c>
      <c r="Q1862" s="14">
        <f>IFERROR(__xludf.DUMMYFUNCTION("""COMPUTED_VALUE"""),0.058)</f>
        <v>0.058</v>
      </c>
      <c r="R1862" s="14">
        <f>IFERROR(__xludf.DUMMYFUNCTION("""COMPUTED_VALUE"""),61.0)</f>
        <v>61</v>
      </c>
      <c r="S1862" s="14">
        <f>IFERROR(__xludf.DUMMYFUNCTION("""COMPUTED_VALUE"""),57.0)</f>
        <v>57</v>
      </c>
      <c r="T1862" s="14">
        <f>IFERROR(__xludf.DUMMYFUNCTION("""COMPUTED_VALUE"""),0.402)</f>
        <v>0.402</v>
      </c>
      <c r="U1862" s="14">
        <f>IFERROR(__xludf.DUMMYFUNCTION("""COMPUTED_VALUE"""),0.573)</f>
        <v>0.573</v>
      </c>
      <c r="V1862" s="14">
        <f>IFERROR(__xludf.DUMMYFUNCTION("""COMPUTED_VALUE"""),0.025)</f>
        <v>0.025</v>
      </c>
      <c r="W1862" s="14">
        <f>IFERROR(__xludf.DUMMYFUNCTION("""COMPUTED_VALUE"""),5518971.0)</f>
        <v>5518971</v>
      </c>
      <c r="X1862" s="14">
        <f>IFERROR(__xludf.DUMMYFUNCTION("""COMPUTED_VALUE"""),0.132)</f>
        <v>0.132</v>
      </c>
      <c r="Y1862" s="14" t="str">
        <f>IFERROR(__xludf.DUMMYFUNCTION("""COMPUTED_VALUE"""),"Papua New Guinea-Oceania")</f>
        <v>Papua New Guinea-Oceania</v>
      </c>
      <c r="Z1862" s="14" t="str">
        <f>IFERROR(__xludf.DUMMYFUNCTION("""COMPUTED_VALUE"""),"Oceania")</f>
        <v>Oceania</v>
      </c>
      <c r="AA1862" s="14" t="str">
        <f>IFERROR(__xludf.DUMMYFUNCTION("""COMPUTED_VALUE"""),"2001")</f>
        <v>2001</v>
      </c>
      <c r="AB1862" s="15" t="str">
        <f>IFERROR(__xludf.DUMMYFUNCTION("ARRAYFORMULA(VLOOKUP(A1862,IMPORTRANGE(""https://docs.google.com/spreadsheets/d/1BuTWp7qHGjWhqrnf-OmePP568O4A5Am9ttzvVdP67zw/edit#gid=1931367683"" ,""ENERGY!$A$2:$F$2692""), {2,3,4,5,6},0))"),"Oceania")</f>
        <v>Oceania</v>
      </c>
      <c r="AC1862" s="14" t="str">
        <f>IFERROR(__xludf.DUMMYFUNCTION("""COMPUTED_VALUE"""),"Papua New Guinea-Oceania")</f>
        <v>Papua New Guinea-Oceania</v>
      </c>
      <c r="AD1862" s="14" t="str">
        <f>IFERROR(__xludf.DUMMYFUNCTION("""COMPUTED_VALUE"""),"2001")</f>
        <v>2001</v>
      </c>
      <c r="AE1862" s="14"/>
      <c r="AF1862" s="14"/>
    </row>
    <row r="1863">
      <c r="A1863" s="12">
        <v>1862.0</v>
      </c>
      <c r="B1863" s="12" t="s">
        <v>222</v>
      </c>
      <c r="C1863" s="5" t="s">
        <v>80</v>
      </c>
      <c r="D1863" s="8"/>
      <c r="E1863" s="8"/>
      <c r="F1863" s="8"/>
      <c r="G1863" s="8"/>
      <c r="H1863" s="11">
        <v>0.013</v>
      </c>
      <c r="I1863" s="11">
        <v>0.003</v>
      </c>
      <c r="J1863" s="9" t="s">
        <v>63</v>
      </c>
      <c r="K1863" s="14" t="str">
        <f>IFERROR(__xludf.DUMMYFUNCTION("ARRAYFORMULA(VLOOKUP(A1863,IMPORTRANGE(""https://docs.google.com/spreadsheets/d/1BuTWp7qHGjWhqrnf-OmePP568O4A5Am9ttzvVdP67zw/edit#gid=1603210130"", ""TOURISM!$A$2:$F$2692""), {2,3,4,5,6},0))"),"Oceania")</f>
        <v>Oceania</v>
      </c>
      <c r="L1863" s="14">
        <f>IFERROR(__xludf.DUMMYFUNCTION("""COMPUTED_VALUE"""),2800000.0)</f>
        <v>2800000</v>
      </c>
      <c r="M1863" s="14" t="str">
        <f>IFERROR(__xludf.DUMMYFUNCTION("""COMPUTED_VALUE"""),"Papua New Guinea-Oceania")</f>
        <v>Papua New Guinea-Oceania</v>
      </c>
      <c r="N1863" s="14" t="str">
        <f>IFERROR(__xludf.DUMMYFUNCTION("""COMPUTED_VALUE"""),"2002")</f>
        <v>2002</v>
      </c>
      <c r="O1863" s="14">
        <f>IFERROR(__xludf.DUMMYFUNCTION("""COMPUTED_VALUE"""),6.0E7)</f>
        <v>60000000</v>
      </c>
      <c r="P1863" s="15">
        <f>IFERROR(__xludf.DUMMYFUNCTION("ARRAYFORMULA(VLOOKUP(A1863,IMPORTRANGE(""https://docs.google.com/spreadsheets/d/1BuTWp7qHGjWhqrnf-OmePP568O4A5Am9ttzvVdP67zw/edit#gid=771602874"" ,""HUMAN RESOURCES!$A$2:$M$2692""), {2,3,4,5,6,7,8,9,10,11,12,13},0))"),0.034)</f>
        <v>0.034</v>
      </c>
      <c r="Q1863" s="14">
        <f>IFERROR(__xludf.DUMMYFUNCTION("""COMPUTED_VALUE"""),0.057)</f>
        <v>0.057</v>
      </c>
      <c r="R1863" s="14">
        <f>IFERROR(__xludf.DUMMYFUNCTION("""COMPUTED_VALUE"""),62.0)</f>
        <v>62</v>
      </c>
      <c r="S1863" s="14">
        <f>IFERROR(__xludf.DUMMYFUNCTION("""COMPUTED_VALUE"""),57.0)</f>
        <v>57</v>
      </c>
      <c r="T1863" s="14">
        <f>IFERROR(__xludf.DUMMYFUNCTION("""COMPUTED_VALUE"""),0.402)</f>
        <v>0.402</v>
      </c>
      <c r="U1863" s="14">
        <f>IFERROR(__xludf.DUMMYFUNCTION("""COMPUTED_VALUE"""),0.573)</f>
        <v>0.573</v>
      </c>
      <c r="V1863" s="14">
        <f>IFERROR(__xludf.DUMMYFUNCTION("""COMPUTED_VALUE"""),0.025)</f>
        <v>0.025</v>
      </c>
      <c r="W1863" s="14">
        <f>IFERROR(__xludf.DUMMYFUNCTION("""COMPUTED_VALUE"""),5660267.0)</f>
        <v>5660267</v>
      </c>
      <c r="X1863" s="14">
        <f>IFERROR(__xludf.DUMMYFUNCTION("""COMPUTED_VALUE"""),0.132)</f>
        <v>0.132</v>
      </c>
      <c r="Y1863" s="14" t="str">
        <f>IFERROR(__xludf.DUMMYFUNCTION("""COMPUTED_VALUE"""),"Papua New Guinea-Oceania")</f>
        <v>Papua New Guinea-Oceania</v>
      </c>
      <c r="Z1863" s="14" t="str">
        <f>IFERROR(__xludf.DUMMYFUNCTION("""COMPUTED_VALUE"""),"Oceania")</f>
        <v>Oceania</v>
      </c>
      <c r="AA1863" s="14" t="str">
        <f>IFERROR(__xludf.DUMMYFUNCTION("""COMPUTED_VALUE"""),"2002")</f>
        <v>2002</v>
      </c>
      <c r="AB1863" s="15" t="str">
        <f>IFERROR(__xludf.DUMMYFUNCTION("ARRAYFORMULA(VLOOKUP(A1863,IMPORTRANGE(""https://docs.google.com/spreadsheets/d/1BuTWp7qHGjWhqrnf-OmePP568O4A5Am9ttzvVdP67zw/edit#gid=1931367683"" ,""ENERGY!$A$2:$F$2692""), {2,3,4,5,6},0))"),"Oceania")</f>
        <v>Oceania</v>
      </c>
      <c r="AC1863" s="14" t="str">
        <f>IFERROR(__xludf.DUMMYFUNCTION("""COMPUTED_VALUE"""),"Papua New Guinea-Oceania")</f>
        <v>Papua New Guinea-Oceania</v>
      </c>
      <c r="AD1863" s="14" t="str">
        <f>IFERROR(__xludf.DUMMYFUNCTION("""COMPUTED_VALUE"""),"2002")</f>
        <v>2002</v>
      </c>
      <c r="AE1863" s="14"/>
      <c r="AF1863" s="14">
        <f>IFERROR(__xludf.DUMMYFUNCTION("""COMPUTED_VALUE"""),3135.0)</f>
        <v>3135</v>
      </c>
    </row>
    <row r="1864">
      <c r="A1864" s="12">
        <v>1863.0</v>
      </c>
      <c r="B1864" s="12" t="s">
        <v>222</v>
      </c>
      <c r="C1864" s="5" t="s">
        <v>80</v>
      </c>
      <c r="D1864" s="8"/>
      <c r="E1864" s="11">
        <v>51.0</v>
      </c>
      <c r="F1864" s="8"/>
      <c r="G1864" s="8"/>
      <c r="H1864" s="11">
        <v>0.014</v>
      </c>
      <c r="I1864" s="11">
        <v>0.003</v>
      </c>
      <c r="J1864" s="9" t="s">
        <v>64</v>
      </c>
      <c r="K1864" s="14" t="str">
        <f>IFERROR(__xludf.DUMMYFUNCTION("ARRAYFORMULA(VLOOKUP(A1864,IMPORTRANGE(""https://docs.google.com/spreadsheets/d/1BuTWp7qHGjWhqrnf-OmePP568O4A5Am9ttzvVdP67zw/edit#gid=1603210130"", ""TOURISM!$A$2:$F$2692""), {2,3,4,5,6},0))"),"Oceania")</f>
        <v>Oceania</v>
      </c>
      <c r="L1864" s="14">
        <f>IFERROR(__xludf.DUMMYFUNCTION("""COMPUTED_VALUE"""),4900000.0)</f>
        <v>4900000</v>
      </c>
      <c r="M1864" s="14" t="str">
        <f>IFERROR(__xludf.DUMMYFUNCTION("""COMPUTED_VALUE"""),"Papua New Guinea-Oceania")</f>
        <v>Papua New Guinea-Oceania</v>
      </c>
      <c r="N1864" s="14" t="str">
        <f>IFERROR(__xludf.DUMMYFUNCTION("""COMPUTED_VALUE"""),"2003")</f>
        <v>2003</v>
      </c>
      <c r="O1864" s="14">
        <f>IFERROR(__xludf.DUMMYFUNCTION("""COMPUTED_VALUE"""),5.2E7)</f>
        <v>52000000</v>
      </c>
      <c r="P1864" s="15">
        <f>IFERROR(__xludf.DUMMYFUNCTION("ARRAYFORMULA(VLOOKUP(A1864,IMPORTRANGE(""https://docs.google.com/spreadsheets/d/1BuTWp7qHGjWhqrnf-OmePP568O4A5Am9ttzvVdP67zw/edit#gid=771602874"" ,""HUMAN RESOURCES!$A$2:$M$2692""), {2,3,4,5,6,7,8,9,10,11,12,13},0))"),0.034)</f>
        <v>0.034</v>
      </c>
      <c r="Q1864" s="14">
        <f>IFERROR(__xludf.DUMMYFUNCTION("""COMPUTED_VALUE"""),0.057)</f>
        <v>0.057</v>
      </c>
      <c r="R1864" s="14">
        <f>IFERROR(__xludf.DUMMYFUNCTION("""COMPUTED_VALUE"""),62.0)</f>
        <v>62</v>
      </c>
      <c r="S1864" s="14">
        <f>IFERROR(__xludf.DUMMYFUNCTION("""COMPUTED_VALUE"""),58.0)</f>
        <v>58</v>
      </c>
      <c r="T1864" s="14">
        <f>IFERROR(__xludf.DUMMYFUNCTION("""COMPUTED_VALUE"""),0.401)</f>
        <v>0.401</v>
      </c>
      <c r="U1864" s="14">
        <f>IFERROR(__xludf.DUMMYFUNCTION("""COMPUTED_VALUE"""),0.573)</f>
        <v>0.573</v>
      </c>
      <c r="V1864" s="14">
        <f>IFERROR(__xludf.DUMMYFUNCTION("""COMPUTED_VALUE"""),0.026)</f>
        <v>0.026</v>
      </c>
      <c r="W1864" s="14">
        <f>IFERROR(__xludf.DUMMYFUNCTION("""COMPUTED_VALUE"""),5803302.0)</f>
        <v>5803302</v>
      </c>
      <c r="X1864" s="14">
        <f>IFERROR(__xludf.DUMMYFUNCTION("""COMPUTED_VALUE"""),0.131)</f>
        <v>0.131</v>
      </c>
      <c r="Y1864" s="14" t="str">
        <f>IFERROR(__xludf.DUMMYFUNCTION("""COMPUTED_VALUE"""),"Papua New Guinea-Oceania")</f>
        <v>Papua New Guinea-Oceania</v>
      </c>
      <c r="Z1864" s="14" t="str">
        <f>IFERROR(__xludf.DUMMYFUNCTION("""COMPUTED_VALUE"""),"Oceania")</f>
        <v>Oceania</v>
      </c>
      <c r="AA1864" s="14" t="str">
        <f>IFERROR(__xludf.DUMMYFUNCTION("""COMPUTED_VALUE"""),"2003")</f>
        <v>2003</v>
      </c>
      <c r="AB1864" s="15" t="str">
        <f>IFERROR(__xludf.DUMMYFUNCTION("ARRAYFORMULA(VLOOKUP(A1864,IMPORTRANGE(""https://docs.google.com/spreadsheets/d/1BuTWp7qHGjWhqrnf-OmePP568O4A5Am9ttzvVdP67zw/edit#gid=1931367683"" ,""ENERGY!$A$2:$F$2692""), {2,3,4,5,6},0))"),"Oceania")</f>
        <v>Oceania</v>
      </c>
      <c r="AC1864" s="14" t="str">
        <f>IFERROR(__xludf.DUMMYFUNCTION("""COMPUTED_VALUE"""),"Papua New Guinea-Oceania")</f>
        <v>Papua New Guinea-Oceania</v>
      </c>
      <c r="AD1864" s="14" t="str">
        <f>IFERROR(__xludf.DUMMYFUNCTION("""COMPUTED_VALUE"""),"2003")</f>
        <v>2003</v>
      </c>
      <c r="AE1864" s="14"/>
      <c r="AF1864" s="14">
        <f>IFERROR(__xludf.DUMMYFUNCTION("""COMPUTED_VALUE"""),3333.0)</f>
        <v>3333</v>
      </c>
    </row>
    <row r="1865">
      <c r="A1865" s="12">
        <v>1864.0</v>
      </c>
      <c r="B1865" s="12" t="s">
        <v>222</v>
      </c>
      <c r="C1865" s="5" t="s">
        <v>80</v>
      </c>
      <c r="D1865" s="8"/>
      <c r="E1865" s="11">
        <v>51.0</v>
      </c>
      <c r="F1865" s="8"/>
      <c r="G1865" s="8"/>
      <c r="H1865" s="11">
        <v>0.015</v>
      </c>
      <c r="I1865" s="11">
        <v>0.008</v>
      </c>
      <c r="J1865" s="9" t="s">
        <v>65</v>
      </c>
      <c r="K1865" s="14" t="str">
        <f>IFERROR(__xludf.DUMMYFUNCTION("ARRAYFORMULA(VLOOKUP(A1865,IMPORTRANGE(""https://docs.google.com/spreadsheets/d/1BuTWp7qHGjWhqrnf-OmePP568O4A5Am9ttzvVdP67zw/edit#gid=1603210130"", ""TOURISM!$A$2:$F$2692""), {2,3,4,5,6},0))"),"Oceania")</f>
        <v>Oceania</v>
      </c>
      <c r="L1865" s="14">
        <f>IFERROR(__xludf.DUMMYFUNCTION("""COMPUTED_VALUE"""),7100000.0)</f>
        <v>7100000</v>
      </c>
      <c r="M1865" s="14" t="str">
        <f>IFERROR(__xludf.DUMMYFUNCTION("""COMPUTED_VALUE"""),"Papua New Guinea-Oceania")</f>
        <v>Papua New Guinea-Oceania</v>
      </c>
      <c r="N1865" s="14" t="str">
        <f>IFERROR(__xludf.DUMMYFUNCTION("""COMPUTED_VALUE"""),"2004")</f>
        <v>2004</v>
      </c>
      <c r="O1865" s="14">
        <f>IFERROR(__xludf.DUMMYFUNCTION("""COMPUTED_VALUE"""),7.2E7)</f>
        <v>72000000</v>
      </c>
      <c r="P1865" s="15">
        <f>IFERROR(__xludf.DUMMYFUNCTION("ARRAYFORMULA(VLOOKUP(A1865,IMPORTRANGE(""https://docs.google.com/spreadsheets/d/1BuTWp7qHGjWhqrnf-OmePP568O4A5Am9ttzvVdP67zw/edit#gid=771602874"" ,""HUMAN RESOURCES!$A$2:$M$2692""), {2,3,4,5,6,7,8,9,10,11,12,13},0))"),0.033)</f>
        <v>0.033</v>
      </c>
      <c r="Q1865" s="14">
        <f>IFERROR(__xludf.DUMMYFUNCTION("""COMPUTED_VALUE"""),0.056)</f>
        <v>0.056</v>
      </c>
      <c r="R1865" s="14">
        <f>IFERROR(__xludf.DUMMYFUNCTION("""COMPUTED_VALUE"""),62.0)</f>
        <v>62</v>
      </c>
      <c r="S1865" s="14">
        <f>IFERROR(__xludf.DUMMYFUNCTION("""COMPUTED_VALUE"""),58.0)</f>
        <v>58</v>
      </c>
      <c r="T1865" s="14">
        <f>IFERROR(__xludf.DUMMYFUNCTION("""COMPUTED_VALUE"""),0.401)</f>
        <v>0.401</v>
      </c>
      <c r="U1865" s="14">
        <f>IFERROR(__xludf.DUMMYFUNCTION("""COMPUTED_VALUE"""),0.574)</f>
        <v>0.574</v>
      </c>
      <c r="V1865" s="14">
        <f>IFERROR(__xludf.DUMMYFUNCTION("""COMPUTED_VALUE"""),0.026)</f>
        <v>0.026</v>
      </c>
      <c r="W1865" s="14">
        <f>IFERROR(__xludf.DUMMYFUNCTION("""COMPUTED_VALUE"""),5948461.0)</f>
        <v>5948461</v>
      </c>
      <c r="X1865" s="14">
        <f>IFERROR(__xludf.DUMMYFUNCTION("""COMPUTED_VALUE"""),0.131)</f>
        <v>0.131</v>
      </c>
      <c r="Y1865" s="14" t="str">
        <f>IFERROR(__xludf.DUMMYFUNCTION("""COMPUTED_VALUE"""),"Papua New Guinea-Oceania")</f>
        <v>Papua New Guinea-Oceania</v>
      </c>
      <c r="Z1865" s="14" t="str">
        <f>IFERROR(__xludf.DUMMYFUNCTION("""COMPUTED_VALUE"""),"Oceania")</f>
        <v>Oceania</v>
      </c>
      <c r="AA1865" s="14" t="str">
        <f>IFERROR(__xludf.DUMMYFUNCTION("""COMPUTED_VALUE"""),"2004")</f>
        <v>2004</v>
      </c>
      <c r="AB1865" s="15" t="str">
        <f>IFERROR(__xludf.DUMMYFUNCTION("ARRAYFORMULA(VLOOKUP(A1865,IMPORTRANGE(""https://docs.google.com/spreadsheets/d/1BuTWp7qHGjWhqrnf-OmePP568O4A5Am9ttzvVdP67zw/edit#gid=1931367683"" ,""ENERGY!$A$2:$F$2692""), {2,3,4,5,6},0))"),"Oceania")</f>
        <v>Oceania</v>
      </c>
      <c r="AC1865" s="14" t="str">
        <f>IFERROR(__xludf.DUMMYFUNCTION("""COMPUTED_VALUE"""),"Papua New Guinea-Oceania")</f>
        <v>Papua New Guinea-Oceania</v>
      </c>
      <c r="AD1865" s="14" t="str">
        <f>IFERROR(__xludf.DUMMYFUNCTION("""COMPUTED_VALUE"""),"2004")</f>
        <v>2004</v>
      </c>
      <c r="AE1865" s="14"/>
      <c r="AF1865" s="14">
        <f>IFERROR(__xludf.DUMMYFUNCTION("""COMPUTED_VALUE"""),3476.0)</f>
        <v>3476</v>
      </c>
    </row>
    <row r="1866">
      <c r="A1866" s="12">
        <v>1865.0</v>
      </c>
      <c r="B1866" s="12" t="s">
        <v>222</v>
      </c>
      <c r="C1866" s="5" t="s">
        <v>80</v>
      </c>
      <c r="D1866" s="11">
        <v>0.416</v>
      </c>
      <c r="E1866" s="11">
        <v>51.0</v>
      </c>
      <c r="F1866" s="8"/>
      <c r="G1866" s="11">
        <v>207.0</v>
      </c>
      <c r="H1866" s="11">
        <v>0.017</v>
      </c>
      <c r="I1866" s="11">
        <v>0.012</v>
      </c>
      <c r="J1866" s="9" t="s">
        <v>66</v>
      </c>
      <c r="K1866" s="14" t="str">
        <f>IFERROR(__xludf.DUMMYFUNCTION("ARRAYFORMULA(VLOOKUP(A1866,IMPORTRANGE(""https://docs.google.com/spreadsheets/d/1BuTWp7qHGjWhqrnf-OmePP568O4A5Am9ttzvVdP67zw/edit#gid=1603210130"", ""TOURISM!$A$2:$F$2692""), {2,3,4,5,6},0))"),"Oceania")</f>
        <v>Oceania</v>
      </c>
      <c r="L1866" s="14">
        <f>IFERROR(__xludf.DUMMYFUNCTION("""COMPUTED_VALUE"""),9400000.0)</f>
        <v>9400000</v>
      </c>
      <c r="M1866" s="14" t="str">
        <f>IFERROR(__xludf.DUMMYFUNCTION("""COMPUTED_VALUE"""),"Papua New Guinea-Oceania")</f>
        <v>Papua New Guinea-Oceania</v>
      </c>
      <c r="N1866" s="14" t="str">
        <f>IFERROR(__xludf.DUMMYFUNCTION("""COMPUTED_VALUE"""),"2005")</f>
        <v>2005</v>
      </c>
      <c r="O1866" s="14">
        <f>IFERROR(__xludf.DUMMYFUNCTION("""COMPUTED_VALUE"""),5.7E7)</f>
        <v>57000000</v>
      </c>
      <c r="P1866" s="15">
        <f>IFERROR(__xludf.DUMMYFUNCTION("ARRAYFORMULA(VLOOKUP(A1866,IMPORTRANGE(""https://docs.google.com/spreadsheets/d/1BuTWp7qHGjWhqrnf-OmePP568O4A5Am9ttzvVdP67zw/edit#gid=771602874"" ,""HUMAN RESOURCES!$A$2:$M$2692""), {2,3,4,5,6,7,8,9,10,11,12,13},0))"),0.033)</f>
        <v>0.033</v>
      </c>
      <c r="Q1866" s="14">
        <f>IFERROR(__xludf.DUMMYFUNCTION("""COMPUTED_VALUE"""),0.056)</f>
        <v>0.056</v>
      </c>
      <c r="R1866" s="14">
        <f>IFERROR(__xludf.DUMMYFUNCTION("""COMPUTED_VALUE"""),63.0)</f>
        <v>63</v>
      </c>
      <c r="S1866" s="14">
        <f>IFERROR(__xludf.DUMMYFUNCTION("""COMPUTED_VALUE"""),59.0)</f>
        <v>59</v>
      </c>
      <c r="T1866" s="14">
        <f>IFERROR(__xludf.DUMMYFUNCTION("""COMPUTED_VALUE"""),0.4)</f>
        <v>0.4</v>
      </c>
      <c r="U1866" s="14">
        <f>IFERROR(__xludf.DUMMYFUNCTION("""COMPUTED_VALUE"""),0.574)</f>
        <v>0.574</v>
      </c>
      <c r="V1866" s="14">
        <f>IFERROR(__xludf.DUMMYFUNCTION("""COMPUTED_VALUE"""),0.026)</f>
        <v>0.026</v>
      </c>
      <c r="W1866" s="14">
        <f>IFERROR(__xludf.DUMMYFUNCTION("""COMPUTED_VALUE"""),6095959.0)</f>
        <v>6095959</v>
      </c>
      <c r="X1866" s="14">
        <f>IFERROR(__xludf.DUMMYFUNCTION("""COMPUTED_VALUE"""),0.131)</f>
        <v>0.131</v>
      </c>
      <c r="Y1866" s="14" t="str">
        <f>IFERROR(__xludf.DUMMYFUNCTION("""COMPUTED_VALUE"""),"Papua New Guinea-Oceania")</f>
        <v>Papua New Guinea-Oceania</v>
      </c>
      <c r="Z1866" s="14" t="str">
        <f>IFERROR(__xludf.DUMMYFUNCTION("""COMPUTED_VALUE"""),"Oceania")</f>
        <v>Oceania</v>
      </c>
      <c r="AA1866" s="14" t="str">
        <f>IFERROR(__xludf.DUMMYFUNCTION("""COMPUTED_VALUE"""),"2005")</f>
        <v>2005</v>
      </c>
      <c r="AB1866" s="15" t="str">
        <f>IFERROR(__xludf.DUMMYFUNCTION("ARRAYFORMULA(VLOOKUP(A1866,IMPORTRANGE(""https://docs.google.com/spreadsheets/d/1BuTWp7qHGjWhqrnf-OmePP568O4A5Am9ttzvVdP67zw/edit#gid=1931367683"" ,""ENERGY!$A$2:$F$2692""), {2,3,4,5,6},0))"),"Oceania")</f>
        <v>Oceania</v>
      </c>
      <c r="AC1866" s="14" t="str">
        <f>IFERROR(__xludf.DUMMYFUNCTION("""COMPUTED_VALUE"""),"Papua New Guinea-Oceania")</f>
        <v>Papua New Guinea-Oceania</v>
      </c>
      <c r="AD1866" s="14" t="str">
        <f>IFERROR(__xludf.DUMMYFUNCTION("""COMPUTED_VALUE"""),"2008")</f>
        <v>2008</v>
      </c>
      <c r="AE1866" s="14"/>
      <c r="AF1866" s="14">
        <f>IFERROR(__xludf.DUMMYFUNCTION("""COMPUTED_VALUE"""),4903.0)</f>
        <v>4903</v>
      </c>
    </row>
    <row r="1867">
      <c r="A1867" s="12">
        <v>1866.0</v>
      </c>
      <c r="B1867" s="12" t="s">
        <v>222</v>
      </c>
      <c r="C1867" s="5" t="s">
        <v>80</v>
      </c>
      <c r="D1867" s="11">
        <v>0.415</v>
      </c>
      <c r="E1867" s="11">
        <v>51.0</v>
      </c>
      <c r="F1867" s="8"/>
      <c r="G1867" s="11">
        <v>207.0</v>
      </c>
      <c r="H1867" s="11">
        <v>0.018</v>
      </c>
      <c r="I1867" s="11">
        <v>0.016</v>
      </c>
      <c r="J1867" s="9" t="s">
        <v>67</v>
      </c>
      <c r="K1867" s="14" t="str">
        <f>IFERROR(__xludf.DUMMYFUNCTION("ARRAYFORMULA(VLOOKUP(A1867,IMPORTRANGE(""https://docs.google.com/spreadsheets/d/1BuTWp7qHGjWhqrnf-OmePP568O4A5Am9ttzvVdP67zw/edit#gid=1603210130"", ""TOURISM!$A$2:$F$2692""), {2,3,4,5,6},0))"),"Oceania")</f>
        <v>Oceania</v>
      </c>
      <c r="L1867" s="14">
        <f>IFERROR(__xludf.DUMMYFUNCTION("""COMPUTED_VALUE"""),3900000.0)</f>
        <v>3900000</v>
      </c>
      <c r="M1867" s="14" t="str">
        <f>IFERROR(__xludf.DUMMYFUNCTION("""COMPUTED_VALUE"""),"Papua New Guinea-Oceania")</f>
        <v>Papua New Guinea-Oceania</v>
      </c>
      <c r="N1867" s="14" t="str">
        <f>IFERROR(__xludf.DUMMYFUNCTION("""COMPUTED_VALUE"""),"2006")</f>
        <v>2006</v>
      </c>
      <c r="O1867" s="14">
        <f>IFERROR(__xludf.DUMMYFUNCTION("""COMPUTED_VALUE"""),4.3E7)</f>
        <v>43000000</v>
      </c>
      <c r="P1867" s="15">
        <f>IFERROR(__xludf.DUMMYFUNCTION("ARRAYFORMULA(VLOOKUP(A1867,IMPORTRANGE(""https://docs.google.com/spreadsheets/d/1BuTWp7qHGjWhqrnf-OmePP568O4A5Am9ttzvVdP67zw/edit#gid=771602874"" ,""HUMAN RESOURCES!$A$2:$M$2692""), {2,3,4,5,6,7,8,9,10,11,12,13},0))"),0.032)</f>
        <v>0.032</v>
      </c>
      <c r="Q1867" s="14">
        <f>IFERROR(__xludf.DUMMYFUNCTION("""COMPUTED_VALUE"""),0.055)</f>
        <v>0.055</v>
      </c>
      <c r="R1867" s="14">
        <f>IFERROR(__xludf.DUMMYFUNCTION("""COMPUTED_VALUE"""),63.0)</f>
        <v>63</v>
      </c>
      <c r="S1867" s="14">
        <f>IFERROR(__xludf.DUMMYFUNCTION("""COMPUTED_VALUE"""),59.0)</f>
        <v>59</v>
      </c>
      <c r="T1867" s="14">
        <f>IFERROR(__xludf.DUMMYFUNCTION("""COMPUTED_VALUE"""),0.399)</f>
        <v>0.399</v>
      </c>
      <c r="U1867" s="14">
        <f>IFERROR(__xludf.DUMMYFUNCTION("""COMPUTED_VALUE"""),0.575)</f>
        <v>0.575</v>
      </c>
      <c r="V1867" s="14">
        <f>IFERROR(__xludf.DUMMYFUNCTION("""COMPUTED_VALUE"""),0.026)</f>
        <v>0.026</v>
      </c>
      <c r="W1867" s="14">
        <f>IFERROR(__xludf.DUMMYFUNCTION("""COMPUTED_VALUE"""),6245797.0)</f>
        <v>6245797</v>
      </c>
      <c r="X1867" s="14">
        <f>IFERROR(__xludf.DUMMYFUNCTION("""COMPUTED_VALUE"""),0.131)</f>
        <v>0.131</v>
      </c>
      <c r="Y1867" s="14" t="str">
        <f>IFERROR(__xludf.DUMMYFUNCTION("""COMPUTED_VALUE"""),"Papua New Guinea-Oceania")</f>
        <v>Papua New Guinea-Oceania</v>
      </c>
      <c r="Z1867" s="14" t="str">
        <f>IFERROR(__xludf.DUMMYFUNCTION("""COMPUTED_VALUE"""),"Oceania")</f>
        <v>Oceania</v>
      </c>
      <c r="AA1867" s="14" t="str">
        <f>IFERROR(__xludf.DUMMYFUNCTION("""COMPUTED_VALUE"""),"2006")</f>
        <v>2006</v>
      </c>
      <c r="AB1867" s="15" t="str">
        <f>IFERROR(__xludf.DUMMYFUNCTION("ARRAYFORMULA(VLOOKUP(A1867,IMPORTRANGE(""https://docs.google.com/spreadsheets/d/1BuTWp7qHGjWhqrnf-OmePP568O4A5Am9ttzvVdP67zw/edit#gid=1931367683"" ,""ENERGY!$A$2:$F$2692""), {2,3,4,5,6},0))"),"Oceania")</f>
        <v>Oceania</v>
      </c>
      <c r="AC1867" s="14" t="str">
        <f>IFERROR(__xludf.DUMMYFUNCTION("""COMPUTED_VALUE"""),"Papua New Guinea-Oceania")</f>
        <v>Papua New Guinea-Oceania</v>
      </c>
      <c r="AD1867" s="14" t="str">
        <f>IFERROR(__xludf.DUMMYFUNCTION("""COMPUTED_VALUE"""),"2012")</f>
        <v>2012</v>
      </c>
      <c r="AE1867" s="14"/>
      <c r="AF1867" s="14">
        <f>IFERROR(__xludf.DUMMYFUNCTION("""COMPUTED_VALUE"""),4595.0)</f>
        <v>4595</v>
      </c>
    </row>
    <row r="1868">
      <c r="A1868" s="12">
        <v>1867.0</v>
      </c>
      <c r="B1868" s="12" t="s">
        <v>222</v>
      </c>
      <c r="C1868" s="5" t="s">
        <v>80</v>
      </c>
      <c r="D1868" s="11">
        <v>0.415</v>
      </c>
      <c r="E1868" s="11">
        <v>51.0</v>
      </c>
      <c r="F1868" s="8"/>
      <c r="G1868" s="11">
        <v>207.0</v>
      </c>
      <c r="H1868" s="11">
        <v>0.018</v>
      </c>
      <c r="I1868" s="11">
        <v>0.047</v>
      </c>
      <c r="J1868" s="9" t="s">
        <v>68</v>
      </c>
      <c r="K1868" s="14" t="str">
        <f>IFERROR(__xludf.DUMMYFUNCTION("ARRAYFORMULA(VLOOKUP(A1868,IMPORTRANGE(""https://docs.google.com/spreadsheets/d/1BuTWp7qHGjWhqrnf-OmePP568O4A5Am9ttzvVdP67zw/edit#gid=1603210130"", ""TOURISM!$A$2:$F$2692""), {2,3,4,5,6},0))"),"Oceania")</f>
        <v>Oceania</v>
      </c>
      <c r="L1868" s="14">
        <f>IFERROR(__xludf.DUMMYFUNCTION("""COMPUTED_VALUE"""),4500000.0)</f>
        <v>4500000</v>
      </c>
      <c r="M1868" s="14" t="str">
        <f>IFERROR(__xludf.DUMMYFUNCTION("""COMPUTED_VALUE"""),"Papua New Guinea-Oceania")</f>
        <v>Papua New Guinea-Oceania</v>
      </c>
      <c r="N1868" s="14" t="str">
        <f>IFERROR(__xludf.DUMMYFUNCTION("""COMPUTED_VALUE"""),"2007")</f>
        <v>2007</v>
      </c>
      <c r="O1868" s="14">
        <f>IFERROR(__xludf.DUMMYFUNCTION("""COMPUTED_VALUE"""),8.1E7)</f>
        <v>81000000</v>
      </c>
      <c r="P1868" s="15">
        <f>IFERROR(__xludf.DUMMYFUNCTION("ARRAYFORMULA(VLOOKUP(A1868,IMPORTRANGE(""https://docs.google.com/spreadsheets/d/1BuTWp7qHGjWhqrnf-OmePP568O4A5Am9ttzvVdP67zw/edit#gid=771602874"" ,""HUMAN RESOURCES!$A$2:$M$2692""), {2,3,4,5,6,7,8,9,10,11,12,13},0))"),0.032)</f>
        <v>0.032</v>
      </c>
      <c r="Q1868" s="14">
        <f>IFERROR(__xludf.DUMMYFUNCTION("""COMPUTED_VALUE"""),0.054)</f>
        <v>0.054</v>
      </c>
      <c r="R1868" s="14">
        <f>IFERROR(__xludf.DUMMYFUNCTION("""COMPUTED_VALUE"""),63.0)</f>
        <v>63</v>
      </c>
      <c r="S1868" s="14">
        <f>IFERROR(__xludf.DUMMYFUNCTION("""COMPUTED_VALUE"""),59.0)</f>
        <v>59</v>
      </c>
      <c r="T1868" s="14">
        <f>IFERROR(__xludf.DUMMYFUNCTION("""COMPUTED_VALUE"""),0.397)</f>
        <v>0.397</v>
      </c>
      <c r="U1868" s="14">
        <f>IFERROR(__xludf.DUMMYFUNCTION("""COMPUTED_VALUE"""),0.576)</f>
        <v>0.576</v>
      </c>
      <c r="V1868" s="14">
        <f>IFERROR(__xludf.DUMMYFUNCTION("""COMPUTED_VALUE"""),0.027)</f>
        <v>0.027</v>
      </c>
      <c r="W1868" s="14">
        <f>IFERROR(__xludf.DUMMYFUNCTION("""COMPUTED_VALUE"""),6397623.0)</f>
        <v>6397623</v>
      </c>
      <c r="X1868" s="14">
        <f>IFERROR(__xludf.DUMMYFUNCTION("""COMPUTED_VALUE"""),0.131)</f>
        <v>0.131</v>
      </c>
      <c r="Y1868" s="14" t="str">
        <f>IFERROR(__xludf.DUMMYFUNCTION("""COMPUTED_VALUE"""),"Papua New Guinea-Oceania")</f>
        <v>Papua New Guinea-Oceania</v>
      </c>
      <c r="Z1868" s="14" t="str">
        <f>IFERROR(__xludf.DUMMYFUNCTION("""COMPUTED_VALUE"""),"Oceania")</f>
        <v>Oceania</v>
      </c>
      <c r="AA1868" s="14" t="str">
        <f>IFERROR(__xludf.DUMMYFUNCTION("""COMPUTED_VALUE"""),"2007")</f>
        <v>2007</v>
      </c>
      <c r="AB1868" s="15" t="str">
        <f>IFERROR(__xludf.DUMMYFUNCTION("ARRAYFORMULA(VLOOKUP(A1868,IMPORTRANGE(""https://docs.google.com/spreadsheets/d/1BuTWp7qHGjWhqrnf-OmePP568O4A5Am9ttzvVdP67zw/edit#gid=1931367683"" ,""ENERGY!$A$2:$F$2692""), {2,3,4,5,6},0))"),"Oceania")</f>
        <v>Oceania</v>
      </c>
      <c r="AC1868" s="14" t="str">
        <f>IFERROR(__xludf.DUMMYFUNCTION("""COMPUTED_VALUE"""),"Papua New Guinea-Oceania")</f>
        <v>Papua New Guinea-Oceania</v>
      </c>
      <c r="AD1868" s="14" t="str">
        <f>IFERROR(__xludf.DUMMYFUNCTION("""COMPUTED_VALUE"""),"2009")</f>
        <v>2009</v>
      </c>
      <c r="AE1868" s="14"/>
      <c r="AF1868" s="14">
        <f>IFERROR(__xludf.DUMMYFUNCTION("""COMPUTED_VALUE"""),4613.0)</f>
        <v>4613</v>
      </c>
    </row>
    <row r="1869">
      <c r="A1869" s="12">
        <v>1868.0</v>
      </c>
      <c r="B1869" s="12" t="s">
        <v>222</v>
      </c>
      <c r="C1869" s="5" t="s">
        <v>80</v>
      </c>
      <c r="D1869" s="11">
        <v>0.415</v>
      </c>
      <c r="E1869" s="11">
        <v>51.0</v>
      </c>
      <c r="F1869" s="8"/>
      <c r="G1869" s="11">
        <v>194.0</v>
      </c>
      <c r="H1869" s="11">
        <v>0.012</v>
      </c>
      <c r="I1869" s="11">
        <v>0.133</v>
      </c>
      <c r="J1869" s="9" t="s">
        <v>69</v>
      </c>
      <c r="K1869" s="14" t="str">
        <f>IFERROR(__xludf.DUMMYFUNCTION("ARRAYFORMULA(VLOOKUP(A1869,IMPORTRANGE(""https://docs.google.com/spreadsheets/d/1BuTWp7qHGjWhqrnf-OmePP568O4A5Am9ttzvVdP67zw/edit#gid=1603210130"", ""TOURISM!$A$2:$F$2692""), {2,3,4,5,6},0))"),"Oceania")</f>
        <v>Oceania</v>
      </c>
      <c r="L1869" s="14">
        <f>IFERROR(__xludf.DUMMYFUNCTION("""COMPUTED_VALUE"""),3800000.0)</f>
        <v>3800000</v>
      </c>
      <c r="M1869" s="14" t="str">
        <f>IFERROR(__xludf.DUMMYFUNCTION("""COMPUTED_VALUE"""),"Papua New Guinea-Oceania")</f>
        <v>Papua New Guinea-Oceania</v>
      </c>
      <c r="N1869" s="14" t="str">
        <f>IFERROR(__xludf.DUMMYFUNCTION("""COMPUTED_VALUE"""),"2008")</f>
        <v>2008</v>
      </c>
      <c r="O1869" s="14">
        <f>IFERROR(__xludf.DUMMYFUNCTION("""COMPUTED_VALUE"""),7.5E7)</f>
        <v>75000000</v>
      </c>
      <c r="P1869" s="15">
        <f>IFERROR(__xludf.DUMMYFUNCTION("ARRAYFORMULA(VLOOKUP(A1869,IMPORTRANGE(""https://docs.google.com/spreadsheets/d/1BuTWp7qHGjWhqrnf-OmePP568O4A5Am9ttzvVdP67zw/edit#gid=771602874"" ,""HUMAN RESOURCES!$A$2:$M$2692""), {2,3,4,5,6,7,8,9,10,11,12,13},0))"),0.031)</f>
        <v>0.031</v>
      </c>
      <c r="Q1869" s="14">
        <f>IFERROR(__xludf.DUMMYFUNCTION("""COMPUTED_VALUE"""),0.053)</f>
        <v>0.053</v>
      </c>
      <c r="R1869" s="14">
        <f>IFERROR(__xludf.DUMMYFUNCTION("""COMPUTED_VALUE"""),64.0)</f>
        <v>64</v>
      </c>
      <c r="S1869" s="14">
        <f>IFERROR(__xludf.DUMMYFUNCTION("""COMPUTED_VALUE"""),60.0)</f>
        <v>60</v>
      </c>
      <c r="T1869" s="14">
        <f>IFERROR(__xludf.DUMMYFUNCTION("""COMPUTED_VALUE"""),0.395)</f>
        <v>0.395</v>
      </c>
      <c r="U1869" s="14">
        <f>IFERROR(__xludf.DUMMYFUNCTION("""COMPUTED_VALUE"""),0.578)</f>
        <v>0.578</v>
      </c>
      <c r="V1869" s="14">
        <f>IFERROR(__xludf.DUMMYFUNCTION("""COMPUTED_VALUE"""),0.027)</f>
        <v>0.027</v>
      </c>
      <c r="W1869" s="14">
        <f>IFERROR(__xludf.DUMMYFUNCTION("""COMPUTED_VALUE"""),6550877.0)</f>
        <v>6550877</v>
      </c>
      <c r="X1869" s="14">
        <f>IFERROR(__xludf.DUMMYFUNCTION("""COMPUTED_VALUE"""),0.131)</f>
        <v>0.131</v>
      </c>
      <c r="Y1869" s="14" t="str">
        <f>IFERROR(__xludf.DUMMYFUNCTION("""COMPUTED_VALUE"""),"Papua New Guinea-Oceania")</f>
        <v>Papua New Guinea-Oceania</v>
      </c>
      <c r="Z1869" s="14" t="str">
        <f>IFERROR(__xludf.DUMMYFUNCTION("""COMPUTED_VALUE"""),"Oceania")</f>
        <v>Oceania</v>
      </c>
      <c r="AA1869" s="14" t="str">
        <f>IFERROR(__xludf.DUMMYFUNCTION("""COMPUTED_VALUE"""),"2008")</f>
        <v>2008</v>
      </c>
      <c r="AB1869" s="15" t="str">
        <f>IFERROR(__xludf.DUMMYFUNCTION("ARRAYFORMULA(VLOOKUP(A1869,IMPORTRANGE(""https://docs.google.com/spreadsheets/d/1BuTWp7qHGjWhqrnf-OmePP568O4A5Am9ttzvVdP67zw/edit#gid=1931367683"" ,""ENERGY!$A$2:$F$2692""), {2,3,4,5,6},0))"),"Oceania")</f>
        <v>Oceania</v>
      </c>
      <c r="AC1869" s="14" t="str">
        <f>IFERROR(__xludf.DUMMYFUNCTION("""COMPUTED_VALUE"""),"Papua New Guinea-Oceania")</f>
        <v>Papua New Guinea-Oceania</v>
      </c>
      <c r="AD1869" s="14" t="str">
        <f>IFERROR(__xludf.DUMMYFUNCTION("""COMPUTED_VALUE"""),"2007")</f>
        <v>2007</v>
      </c>
      <c r="AE1869" s="14"/>
      <c r="AF1869" s="14">
        <f>IFERROR(__xludf.DUMMYFUNCTION("""COMPUTED_VALUE"""),4481.0)</f>
        <v>4481</v>
      </c>
    </row>
    <row r="1870">
      <c r="A1870" s="12">
        <v>1869.0</v>
      </c>
      <c r="B1870" s="12" t="s">
        <v>222</v>
      </c>
      <c r="C1870" s="5" t="s">
        <v>80</v>
      </c>
      <c r="D1870" s="11">
        <v>0.421</v>
      </c>
      <c r="E1870" s="11">
        <v>51.0</v>
      </c>
      <c r="F1870" s="8"/>
      <c r="G1870" s="11">
        <v>194.0</v>
      </c>
      <c r="H1870" s="11">
        <v>0.016</v>
      </c>
      <c r="I1870" s="11">
        <v>0.211</v>
      </c>
      <c r="J1870" s="9" t="s">
        <v>70</v>
      </c>
      <c r="K1870" s="14" t="str">
        <f>IFERROR(__xludf.DUMMYFUNCTION("ARRAYFORMULA(VLOOKUP(A1870,IMPORTRANGE(""https://docs.google.com/spreadsheets/d/1BuTWp7qHGjWhqrnf-OmePP568O4A5Am9ttzvVdP67zw/edit#gid=1603210130"", ""TOURISM!$A$2:$F$2692""), {2,3,4,5,6},0))"),"Oceania")</f>
        <v>Oceania</v>
      </c>
      <c r="L1870" s="14">
        <f>IFERROR(__xludf.DUMMYFUNCTION("""COMPUTED_VALUE"""),2100000.0)</f>
        <v>2100000</v>
      </c>
      <c r="M1870" s="14" t="str">
        <f>IFERROR(__xludf.DUMMYFUNCTION("""COMPUTED_VALUE"""),"Papua New Guinea-Oceania")</f>
        <v>Papua New Guinea-Oceania</v>
      </c>
      <c r="N1870" s="14" t="str">
        <f>IFERROR(__xludf.DUMMYFUNCTION("""COMPUTED_VALUE"""),"2009")</f>
        <v>2009</v>
      </c>
      <c r="O1870" s="14">
        <f>IFERROR(__xludf.DUMMYFUNCTION("""COMPUTED_VALUE"""),1.32E8)</f>
        <v>132000000</v>
      </c>
      <c r="P1870" s="15">
        <f>IFERROR(__xludf.DUMMYFUNCTION("ARRAYFORMULA(VLOOKUP(A1870,IMPORTRANGE(""https://docs.google.com/spreadsheets/d/1BuTWp7qHGjWhqrnf-OmePP568O4A5Am9ttzvVdP67zw/edit#gid=771602874"" ,""HUMAN RESOURCES!$A$2:$M$2692""), {2,3,4,5,6,7,8,9,10,11,12,13},0))"),0.031)</f>
        <v>0.031</v>
      </c>
      <c r="Q1870" s="14">
        <f>IFERROR(__xludf.DUMMYFUNCTION("""COMPUTED_VALUE"""),0.052)</f>
        <v>0.052</v>
      </c>
      <c r="R1870" s="14">
        <f>IFERROR(__xludf.DUMMYFUNCTION("""COMPUTED_VALUE"""),64.0)</f>
        <v>64</v>
      </c>
      <c r="S1870" s="14">
        <f>IFERROR(__xludf.DUMMYFUNCTION("""COMPUTED_VALUE"""),60.0)</f>
        <v>60</v>
      </c>
      <c r="T1870" s="14">
        <f>IFERROR(__xludf.DUMMYFUNCTION("""COMPUTED_VALUE"""),0.393)</f>
        <v>0.393</v>
      </c>
      <c r="U1870" s="14">
        <f>IFERROR(__xludf.DUMMYFUNCTION("""COMPUTED_VALUE"""),0.579)</f>
        <v>0.579</v>
      </c>
      <c r="V1870" s="14">
        <f>IFERROR(__xludf.DUMMYFUNCTION("""COMPUTED_VALUE"""),0.027)</f>
        <v>0.027</v>
      </c>
      <c r="W1870" s="14">
        <f>IFERROR(__xludf.DUMMYFUNCTION("""COMPUTED_VALUE"""),6704829.0)</f>
        <v>6704829</v>
      </c>
      <c r="X1870" s="14">
        <f>IFERROR(__xludf.DUMMYFUNCTION("""COMPUTED_VALUE"""),0.13)</f>
        <v>0.13</v>
      </c>
      <c r="Y1870" s="14" t="str">
        <f>IFERROR(__xludf.DUMMYFUNCTION("""COMPUTED_VALUE"""),"Papua New Guinea-Oceania")</f>
        <v>Papua New Guinea-Oceania</v>
      </c>
      <c r="Z1870" s="14" t="str">
        <f>IFERROR(__xludf.DUMMYFUNCTION("""COMPUTED_VALUE"""),"Oceania")</f>
        <v>Oceania</v>
      </c>
      <c r="AA1870" s="14" t="str">
        <f>IFERROR(__xludf.DUMMYFUNCTION("""COMPUTED_VALUE"""),"2009")</f>
        <v>2009</v>
      </c>
      <c r="AB1870" s="15" t="str">
        <f>IFERROR(__xludf.DUMMYFUNCTION("ARRAYFORMULA(VLOOKUP(A1870,IMPORTRANGE(""https://docs.google.com/spreadsheets/d/1BuTWp7qHGjWhqrnf-OmePP568O4A5Am9ttzvVdP67zw/edit#gid=1931367683"" ,""ENERGY!$A$2:$F$2692""), {2,3,4,5,6},0))"),"Oceania")</f>
        <v>Oceania</v>
      </c>
      <c r="AC1870" s="14" t="str">
        <f>IFERROR(__xludf.DUMMYFUNCTION("""COMPUTED_VALUE"""),"Papua New Guinea-Oceania")</f>
        <v>Papua New Guinea-Oceania</v>
      </c>
      <c r="AD1870" s="14" t="str">
        <f>IFERROR(__xludf.DUMMYFUNCTION("""COMPUTED_VALUE"""),"2011")</f>
        <v>2011</v>
      </c>
      <c r="AE1870" s="14"/>
      <c r="AF1870" s="14">
        <f>IFERROR(__xludf.DUMMYFUNCTION("""COMPUTED_VALUE"""),3968.0)</f>
        <v>3968</v>
      </c>
    </row>
    <row r="1871">
      <c r="A1871" s="12">
        <v>1870.0</v>
      </c>
      <c r="B1871" s="12" t="s">
        <v>222</v>
      </c>
      <c r="C1871" s="5" t="s">
        <v>80</v>
      </c>
      <c r="D1871" s="11">
        <v>0.421</v>
      </c>
      <c r="E1871" s="11">
        <v>51.0</v>
      </c>
      <c r="F1871" s="8"/>
      <c r="G1871" s="11">
        <v>194.0</v>
      </c>
      <c r="H1871" s="11">
        <v>0.013</v>
      </c>
      <c r="I1871" s="11">
        <v>0.278</v>
      </c>
      <c r="J1871" s="9" t="s">
        <v>71</v>
      </c>
      <c r="K1871" s="14" t="str">
        <f>IFERROR(__xludf.DUMMYFUNCTION("ARRAYFORMULA(VLOOKUP(A1871,IMPORTRANGE(""https://docs.google.com/spreadsheets/d/1BuTWp7qHGjWhqrnf-OmePP568O4A5Am9ttzvVdP67zw/edit#gid=1603210130"", ""TOURISM!$A$2:$F$2692""), {2,3,4,5,6},0))"),"Oceania")</f>
        <v>Oceania</v>
      </c>
      <c r="L1871" s="14">
        <f>IFERROR(__xludf.DUMMYFUNCTION("""COMPUTED_VALUE"""),2500000.0)</f>
        <v>2500000</v>
      </c>
      <c r="M1871" s="14" t="str">
        <f>IFERROR(__xludf.DUMMYFUNCTION("""COMPUTED_VALUE"""),"Papua New Guinea-Oceania")</f>
        <v>Papua New Guinea-Oceania</v>
      </c>
      <c r="N1871" s="14" t="str">
        <f>IFERROR(__xludf.DUMMYFUNCTION("""COMPUTED_VALUE"""),"2010")</f>
        <v>2010</v>
      </c>
      <c r="O1871" s="14">
        <f>IFERROR(__xludf.DUMMYFUNCTION("""COMPUTED_VALUE"""),1.38E8)</f>
        <v>138000000</v>
      </c>
      <c r="P1871" s="15">
        <f>IFERROR(__xludf.DUMMYFUNCTION("ARRAYFORMULA(VLOOKUP(A1871,IMPORTRANGE(""https://docs.google.com/spreadsheets/d/1BuTWp7qHGjWhqrnf-OmePP568O4A5Am9ttzvVdP67zw/edit#gid=771602874"" ,""HUMAN RESOURCES!$A$2:$M$2692""), {2,3,4,5,6,7,8,9,10,11,12,13},0))"),0.03)</f>
        <v>0.03</v>
      </c>
      <c r="Q1871" s="14">
        <f>IFERROR(__xludf.DUMMYFUNCTION("""COMPUTED_VALUE"""),0.051)</f>
        <v>0.051</v>
      </c>
      <c r="R1871" s="14">
        <f>IFERROR(__xludf.DUMMYFUNCTION("""COMPUTED_VALUE"""),64.0)</f>
        <v>64</v>
      </c>
      <c r="S1871" s="14">
        <f>IFERROR(__xludf.DUMMYFUNCTION("""COMPUTED_VALUE"""),60.0)</f>
        <v>60</v>
      </c>
      <c r="T1871" s="14">
        <f>IFERROR(__xludf.DUMMYFUNCTION("""COMPUTED_VALUE"""),0.391)</f>
        <v>0.391</v>
      </c>
      <c r="U1871" s="14">
        <f>IFERROR(__xludf.DUMMYFUNCTION("""COMPUTED_VALUE"""),0.582)</f>
        <v>0.582</v>
      </c>
      <c r="V1871" s="14">
        <f>IFERROR(__xludf.DUMMYFUNCTION("""COMPUTED_VALUE"""),0.028)</f>
        <v>0.028</v>
      </c>
      <c r="W1871" s="14">
        <f>IFERROR(__xludf.DUMMYFUNCTION("""COMPUTED_VALUE"""),6858945.0)</f>
        <v>6858945</v>
      </c>
      <c r="X1871" s="14">
        <f>IFERROR(__xludf.DUMMYFUNCTION("""COMPUTED_VALUE"""),0.13)</f>
        <v>0.13</v>
      </c>
      <c r="Y1871" s="14" t="str">
        <f>IFERROR(__xludf.DUMMYFUNCTION("""COMPUTED_VALUE"""),"Papua New Guinea-Oceania")</f>
        <v>Papua New Guinea-Oceania</v>
      </c>
      <c r="Z1871" s="14" t="str">
        <f>IFERROR(__xludf.DUMMYFUNCTION("""COMPUTED_VALUE"""),"Oceania")</f>
        <v>Oceania</v>
      </c>
      <c r="AA1871" s="14" t="str">
        <f>IFERROR(__xludf.DUMMYFUNCTION("""COMPUTED_VALUE"""),"2010")</f>
        <v>2010</v>
      </c>
      <c r="AB1871" s="15" t="str">
        <f>IFERROR(__xludf.DUMMYFUNCTION("ARRAYFORMULA(VLOOKUP(A1871,IMPORTRANGE(""https://docs.google.com/spreadsheets/d/1BuTWp7qHGjWhqrnf-OmePP568O4A5Am9ttzvVdP67zw/edit#gid=1931367683"" ,""ENERGY!$A$2:$F$2692""), {2,3,4,5,6},0))"),"Oceania")</f>
        <v>Oceania</v>
      </c>
      <c r="AC1871" s="14" t="str">
        <f>IFERROR(__xludf.DUMMYFUNCTION("""COMPUTED_VALUE"""),"Papua New Guinea-Oceania")</f>
        <v>Papua New Guinea-Oceania</v>
      </c>
      <c r="AD1871" s="14" t="str">
        <f>IFERROR(__xludf.DUMMYFUNCTION("""COMPUTED_VALUE"""),"2006")</f>
        <v>2006</v>
      </c>
      <c r="AE1871" s="14"/>
      <c r="AF1871" s="14">
        <f>IFERROR(__xludf.DUMMYFUNCTION("""COMPUTED_VALUE"""),3513.0)</f>
        <v>3513</v>
      </c>
    </row>
    <row r="1872">
      <c r="A1872" s="12">
        <v>1871.0</v>
      </c>
      <c r="B1872" s="12" t="s">
        <v>222</v>
      </c>
      <c r="C1872" s="5" t="s">
        <v>80</v>
      </c>
      <c r="D1872" s="11">
        <v>0.421</v>
      </c>
      <c r="E1872" s="11">
        <v>51.0</v>
      </c>
      <c r="F1872" s="8"/>
      <c r="G1872" s="11">
        <v>194.0</v>
      </c>
      <c r="H1872" s="11">
        <v>0.02</v>
      </c>
      <c r="I1872" s="11">
        <v>0.342</v>
      </c>
      <c r="J1872" s="9" t="s">
        <v>72</v>
      </c>
      <c r="K1872" s="14" t="str">
        <f>IFERROR(__xludf.DUMMYFUNCTION("ARRAYFORMULA(VLOOKUP(A1872,IMPORTRANGE(""https://docs.google.com/spreadsheets/d/1BuTWp7qHGjWhqrnf-OmePP568O4A5Am9ttzvVdP67zw/edit#gid=1603210130"", ""TOURISM!$A$2:$F$2692""), {2,3,4,5,6},0))"),"Oceania")</f>
        <v>Oceania</v>
      </c>
      <c r="L1872" s="14">
        <f>IFERROR(__xludf.DUMMYFUNCTION("""COMPUTED_VALUE"""),3500000.0)</f>
        <v>3500000</v>
      </c>
      <c r="M1872" s="14" t="str">
        <f>IFERROR(__xludf.DUMMYFUNCTION("""COMPUTED_VALUE"""),"Papua New Guinea-Oceania")</f>
        <v>Papua New Guinea-Oceania</v>
      </c>
      <c r="N1872" s="14" t="str">
        <f>IFERROR(__xludf.DUMMYFUNCTION("""COMPUTED_VALUE"""),"2011")</f>
        <v>2011</v>
      </c>
      <c r="O1872" s="14"/>
      <c r="P1872" s="15">
        <f>IFERROR(__xludf.DUMMYFUNCTION("ARRAYFORMULA(VLOOKUP(A1872,IMPORTRANGE(""https://docs.google.com/spreadsheets/d/1BuTWp7qHGjWhqrnf-OmePP568O4A5Am9ttzvVdP67zw/edit#gid=771602874"" ,""HUMAN RESOURCES!$A$2:$M$2692""), {2,3,4,5,6,7,8,9,10,11,12,13},0))"),0.03)</f>
        <v>0.03</v>
      </c>
      <c r="Q1872" s="14">
        <f>IFERROR(__xludf.DUMMYFUNCTION("""COMPUTED_VALUE"""),0.05)</f>
        <v>0.05</v>
      </c>
      <c r="R1872" s="14">
        <f>IFERROR(__xludf.DUMMYFUNCTION("""COMPUTED_VALUE"""),64.0)</f>
        <v>64</v>
      </c>
      <c r="S1872" s="14">
        <f>IFERROR(__xludf.DUMMYFUNCTION("""COMPUTED_VALUE"""),60.0)</f>
        <v>60</v>
      </c>
      <c r="T1872" s="14">
        <f>IFERROR(__xludf.DUMMYFUNCTION("""COMPUTED_VALUE"""),0.387)</f>
        <v>0.387</v>
      </c>
      <c r="U1872" s="14">
        <f>IFERROR(__xludf.DUMMYFUNCTION("""COMPUTED_VALUE"""),0.584)</f>
        <v>0.584</v>
      </c>
      <c r="V1872" s="14">
        <f>IFERROR(__xludf.DUMMYFUNCTION("""COMPUTED_VALUE"""),0.028)</f>
        <v>0.028</v>
      </c>
      <c r="W1872" s="14">
        <f>IFERROR(__xludf.DUMMYFUNCTION("""COMPUTED_VALUE"""),7012977.0)</f>
        <v>7012977</v>
      </c>
      <c r="X1872" s="14">
        <f>IFERROR(__xludf.DUMMYFUNCTION("""COMPUTED_VALUE"""),0.13)</f>
        <v>0.13</v>
      </c>
      <c r="Y1872" s="14" t="str">
        <f>IFERROR(__xludf.DUMMYFUNCTION("""COMPUTED_VALUE"""),"Papua New Guinea-Oceania")</f>
        <v>Papua New Guinea-Oceania</v>
      </c>
      <c r="Z1872" s="14" t="str">
        <f>IFERROR(__xludf.DUMMYFUNCTION("""COMPUTED_VALUE"""),"Oceania")</f>
        <v>Oceania</v>
      </c>
      <c r="AA1872" s="14" t="str">
        <f>IFERROR(__xludf.DUMMYFUNCTION("""COMPUTED_VALUE"""),"2011")</f>
        <v>2011</v>
      </c>
      <c r="AB1872" s="15" t="str">
        <f>IFERROR(__xludf.DUMMYFUNCTION("ARRAYFORMULA(VLOOKUP(A1872,IMPORTRANGE(""https://docs.google.com/spreadsheets/d/1BuTWp7qHGjWhqrnf-OmePP568O4A5Am9ttzvVdP67zw/edit#gid=1931367683"" ,""ENERGY!$A$2:$F$2692""), {2,3,4,5,6},0))"),"Oceania")</f>
        <v>Oceania</v>
      </c>
      <c r="AC1872" s="14" t="str">
        <f>IFERROR(__xludf.DUMMYFUNCTION("""COMPUTED_VALUE"""),"Papua New Guinea-Oceania")</f>
        <v>Papua New Guinea-Oceania</v>
      </c>
      <c r="AD1872" s="14" t="str">
        <f>IFERROR(__xludf.DUMMYFUNCTION("""COMPUTED_VALUE"""),"2006")</f>
        <v>2006</v>
      </c>
      <c r="AE1872" s="14"/>
      <c r="AF1872" s="14">
        <f>IFERROR(__xludf.DUMMYFUNCTION("""COMPUTED_VALUE"""),3231.0)</f>
        <v>3231</v>
      </c>
    </row>
    <row r="1873">
      <c r="A1873" s="12">
        <v>1872.0</v>
      </c>
      <c r="B1873" s="12" t="s">
        <v>222</v>
      </c>
      <c r="C1873" s="5" t="s">
        <v>80</v>
      </c>
      <c r="D1873" s="11">
        <v>0.421</v>
      </c>
      <c r="E1873" s="11">
        <v>53.0</v>
      </c>
      <c r="F1873" s="11">
        <v>108.0</v>
      </c>
      <c r="G1873" s="11">
        <v>207.0</v>
      </c>
      <c r="H1873" s="11">
        <v>0.035</v>
      </c>
      <c r="I1873" s="11">
        <v>0.378</v>
      </c>
      <c r="J1873" s="9" t="s">
        <v>73</v>
      </c>
      <c r="K1873" s="14" t="str">
        <f>IFERROR(__xludf.DUMMYFUNCTION("ARRAYFORMULA(VLOOKUP(A1873,IMPORTRANGE(""https://docs.google.com/spreadsheets/d/1BuTWp7qHGjWhqrnf-OmePP568O4A5Am9ttzvVdP67zw/edit#gid=1603210130"", ""TOURISM!$A$2:$F$2692""), {2,3,4,5,6},0))"),"Oceania")</f>
        <v>Oceania</v>
      </c>
      <c r="L1873" s="14"/>
      <c r="M1873" s="14" t="str">
        <f>IFERROR(__xludf.DUMMYFUNCTION("""COMPUTED_VALUE"""),"Papua New Guinea-Oceania")</f>
        <v>Papua New Guinea-Oceania</v>
      </c>
      <c r="N1873" s="14" t="str">
        <f>IFERROR(__xludf.DUMMYFUNCTION("""COMPUTED_VALUE"""),"2012")</f>
        <v>2012</v>
      </c>
      <c r="O1873" s="14"/>
      <c r="P1873" s="15">
        <f>IFERROR(__xludf.DUMMYFUNCTION("ARRAYFORMULA(VLOOKUP(A1873,IMPORTRANGE(""https://docs.google.com/spreadsheets/d/1BuTWp7qHGjWhqrnf-OmePP568O4A5Am9ttzvVdP67zw/edit#gid=771602874"" ,""HUMAN RESOURCES!$A$2:$M$2692""), {2,3,4,5,6,7,8,9,10,11,12,13},0))"),0.029)</f>
        <v>0.029</v>
      </c>
      <c r="Q1873" s="14">
        <f>IFERROR(__xludf.DUMMYFUNCTION("""COMPUTED_VALUE"""),0.048)</f>
        <v>0.048</v>
      </c>
      <c r="R1873" s="14">
        <f>IFERROR(__xludf.DUMMYFUNCTION("""COMPUTED_VALUE"""),64.0)</f>
        <v>64</v>
      </c>
      <c r="S1873" s="14">
        <f>IFERROR(__xludf.DUMMYFUNCTION("""COMPUTED_VALUE"""),60.0)</f>
        <v>60</v>
      </c>
      <c r="T1873" s="14">
        <f>IFERROR(__xludf.DUMMYFUNCTION("""COMPUTED_VALUE"""),0.384)</f>
        <v>0.384</v>
      </c>
      <c r="U1873" s="14">
        <f>IFERROR(__xludf.DUMMYFUNCTION("""COMPUTED_VALUE"""),0.588)</f>
        <v>0.588</v>
      </c>
      <c r="V1873" s="14">
        <f>IFERROR(__xludf.DUMMYFUNCTION("""COMPUTED_VALUE"""),0.029)</f>
        <v>0.029</v>
      </c>
      <c r="W1873" s="14">
        <f>IFERROR(__xludf.DUMMYFUNCTION("""COMPUTED_VALUE"""),7167010.0)</f>
        <v>7167010</v>
      </c>
      <c r="X1873" s="14">
        <f>IFERROR(__xludf.DUMMYFUNCTION("""COMPUTED_VALUE"""),0.13)</f>
        <v>0.13</v>
      </c>
      <c r="Y1873" s="14" t="str">
        <f>IFERROR(__xludf.DUMMYFUNCTION("""COMPUTED_VALUE"""),"Papua New Guinea-Oceania")</f>
        <v>Papua New Guinea-Oceania</v>
      </c>
      <c r="Z1873" s="14" t="str">
        <f>IFERROR(__xludf.DUMMYFUNCTION("""COMPUTED_VALUE"""),"Oceania")</f>
        <v>Oceania</v>
      </c>
      <c r="AA1873" s="14" t="str">
        <f>IFERROR(__xludf.DUMMYFUNCTION("""COMPUTED_VALUE"""),"2012")</f>
        <v>2012</v>
      </c>
      <c r="AB1873" s="15" t="str">
        <f>IFERROR(__xludf.DUMMYFUNCTION("ARRAYFORMULA(VLOOKUP(A1873,IMPORTRANGE(""https://docs.google.com/spreadsheets/d/1BuTWp7qHGjWhqrnf-OmePP568O4A5Am9ttzvVdP67zw/edit#gid=1931367683"" ,""ENERGY!$A$2:$F$2692""), {2,3,4,5,6},0))"),"Oceania")</f>
        <v>Oceania</v>
      </c>
      <c r="AC1873" s="14" t="str">
        <f>IFERROR(__xludf.DUMMYFUNCTION("""COMPUTED_VALUE"""),"Papua New Guinea-Oceania")</f>
        <v>Papua New Guinea-Oceania</v>
      </c>
      <c r="AD1873" s="14" t="str">
        <f>IFERROR(__xludf.DUMMYFUNCTION("""COMPUTED_VALUE"""),"2011")</f>
        <v>2011</v>
      </c>
      <c r="AE1873" s="14"/>
      <c r="AF1873" s="14">
        <f>IFERROR(__xludf.DUMMYFUNCTION("""COMPUTED_VALUE"""),2688.0)</f>
        <v>2688</v>
      </c>
    </row>
    <row r="1874">
      <c r="A1874" s="12">
        <v>1873.0</v>
      </c>
      <c r="B1874" s="12" t="s">
        <v>223</v>
      </c>
      <c r="C1874" s="5" t="s">
        <v>84</v>
      </c>
      <c r="D1874" s="8"/>
      <c r="E1874" s="8"/>
      <c r="F1874" s="8"/>
      <c r="G1874" s="8"/>
      <c r="H1874" s="11">
        <v>0.007</v>
      </c>
      <c r="I1874" s="11">
        <v>0.153</v>
      </c>
      <c r="J1874" s="9" t="s">
        <v>60</v>
      </c>
      <c r="K1874" s="14" t="str">
        <f>IFERROR(__xludf.DUMMYFUNCTION("ARRAYFORMULA(VLOOKUP(A1874,IMPORTRANGE(""https://docs.google.com/spreadsheets/d/1BuTWp7qHGjWhqrnf-OmePP568O4A5Am9ttzvVdP67zw/edit#gid=1603210130"", ""TOURISM!$A$2:$F$2692""), {2,3,4,5,6},0))"),"The Americas")</f>
        <v>The Americas</v>
      </c>
      <c r="L1874" s="14">
        <f>IFERROR(__xludf.DUMMYFUNCTION("""COMPUTED_VALUE"""),8.8E7)</f>
        <v>88000000</v>
      </c>
      <c r="M1874" s="14" t="str">
        <f>IFERROR(__xludf.DUMMYFUNCTION("""COMPUTED_VALUE"""),"Paraguay-The Americas")</f>
        <v>Paraguay-The Americas</v>
      </c>
      <c r="N1874" s="14" t="str">
        <f>IFERROR(__xludf.DUMMYFUNCTION("""COMPUTED_VALUE"""),"2000")</f>
        <v>2000</v>
      </c>
      <c r="O1874" s="14">
        <f>IFERROR(__xludf.DUMMYFUNCTION("""COMPUTED_VALUE"""),1.54E8)</f>
        <v>154000000</v>
      </c>
      <c r="P1874" s="15">
        <f>IFERROR(__xludf.DUMMYFUNCTION("ARRAYFORMULA(VLOOKUP(A1874,IMPORTRANGE(""https://docs.google.com/spreadsheets/d/1BuTWp7qHGjWhqrnf-OmePP568O4A5Am9ttzvVdP67zw/edit#gid=771602874"" ,""HUMAN RESOURCES!$A$2:$M$2692""), {2,3,4,5,6,7,8,9,10,11,12,13},0))"),0.028)</f>
        <v>0.028</v>
      </c>
      <c r="Q1874" s="14">
        <f>IFERROR(__xludf.DUMMYFUNCTION("""COMPUTED_VALUE"""),0.028)</f>
        <v>0.028</v>
      </c>
      <c r="R1874" s="14">
        <f>IFERROR(__xludf.DUMMYFUNCTION("""COMPUTED_VALUE"""),72.0)</f>
        <v>72</v>
      </c>
      <c r="S1874" s="14">
        <f>IFERROR(__xludf.DUMMYFUNCTION("""COMPUTED_VALUE"""),68.0)</f>
        <v>68</v>
      </c>
      <c r="T1874" s="14">
        <f>IFERROR(__xludf.DUMMYFUNCTION("""COMPUTED_VALUE"""),0.382)</f>
        <v>0.382</v>
      </c>
      <c r="U1874" s="14">
        <f>IFERROR(__xludf.DUMMYFUNCTION("""COMPUTED_VALUE"""),0.574)</f>
        <v>0.574</v>
      </c>
      <c r="V1874" s="14">
        <f>IFERROR(__xludf.DUMMYFUNCTION("""COMPUTED_VALUE"""),0.044)</f>
        <v>0.044</v>
      </c>
      <c r="W1874" s="14">
        <f>IFERROR(__xludf.DUMMYFUNCTION("""COMPUTED_VALUE"""),5350253.0)</f>
        <v>5350253</v>
      </c>
      <c r="X1874" s="14">
        <f>IFERROR(__xludf.DUMMYFUNCTION("""COMPUTED_VALUE"""),0.553)</f>
        <v>0.553</v>
      </c>
      <c r="Y1874" s="14" t="str">
        <f>IFERROR(__xludf.DUMMYFUNCTION("""COMPUTED_VALUE"""),"Paraguay-The Americas")</f>
        <v>Paraguay-The Americas</v>
      </c>
      <c r="Z1874" s="14" t="str">
        <f>IFERROR(__xludf.DUMMYFUNCTION("""COMPUTED_VALUE"""),"The Americas")</f>
        <v>The Americas</v>
      </c>
      <c r="AA1874" s="14" t="str">
        <f>IFERROR(__xludf.DUMMYFUNCTION("""COMPUTED_VALUE"""),"2000")</f>
        <v>2000</v>
      </c>
      <c r="AB1874" s="15" t="str">
        <f>IFERROR(__xludf.DUMMYFUNCTION("ARRAYFORMULA(VLOOKUP(A1874,IMPORTRANGE(""https://docs.google.com/spreadsheets/d/1BuTWp7qHGjWhqrnf-OmePP568O4A5Am9ttzvVdP67zw/edit#gid=1931367683"" ,""ENERGY!$A$2:$F$2692""), {2,3,4,5,6},0))"),"The Americas")</f>
        <v>The Americas</v>
      </c>
      <c r="AC1874" s="14" t="str">
        <f>IFERROR(__xludf.DUMMYFUNCTION("""COMPUTED_VALUE"""),"Paraguay-The Americas")</f>
        <v>Paraguay-The Americas</v>
      </c>
      <c r="AD1874" s="14" t="str">
        <f>IFERROR(__xludf.DUMMYFUNCTION("""COMPUTED_VALUE"""),"2000")</f>
        <v>2000</v>
      </c>
      <c r="AE1874" s="14"/>
      <c r="AF1874" s="14"/>
    </row>
    <row r="1875">
      <c r="A1875" s="12">
        <v>1874.0</v>
      </c>
      <c r="B1875" s="12" t="s">
        <v>223</v>
      </c>
      <c r="C1875" s="5" t="s">
        <v>84</v>
      </c>
      <c r="D1875" s="8"/>
      <c r="E1875" s="8"/>
      <c r="F1875" s="8"/>
      <c r="G1875" s="8"/>
      <c r="H1875" s="11">
        <v>0.011</v>
      </c>
      <c r="I1875" s="11">
        <v>0.211</v>
      </c>
      <c r="J1875" s="9" t="s">
        <v>62</v>
      </c>
      <c r="K1875" s="14" t="str">
        <f>IFERROR(__xludf.DUMMYFUNCTION("ARRAYFORMULA(VLOOKUP(A1875,IMPORTRANGE(""https://docs.google.com/spreadsheets/d/1BuTWp7qHGjWhqrnf-OmePP568O4A5Am9ttzvVdP67zw/edit#gid=1603210130"", ""TOURISM!$A$2:$F$2692""), {2,3,4,5,6},0))"),"The Americas")</f>
        <v>The Americas</v>
      </c>
      <c r="L1875" s="14">
        <f>IFERROR(__xludf.DUMMYFUNCTION("""COMPUTED_VALUE"""),9.1E7)</f>
        <v>91000000</v>
      </c>
      <c r="M1875" s="14" t="str">
        <f>IFERROR(__xludf.DUMMYFUNCTION("""COMPUTED_VALUE"""),"Paraguay-The Americas")</f>
        <v>Paraguay-The Americas</v>
      </c>
      <c r="N1875" s="14" t="str">
        <f>IFERROR(__xludf.DUMMYFUNCTION("""COMPUTED_VALUE"""),"2001")</f>
        <v>2001</v>
      </c>
      <c r="O1875" s="14">
        <f>IFERROR(__xludf.DUMMYFUNCTION("""COMPUTED_VALUE"""),1.3E8)</f>
        <v>130000000</v>
      </c>
      <c r="P1875" s="15">
        <f>IFERROR(__xludf.DUMMYFUNCTION("ARRAYFORMULA(VLOOKUP(A1875,IMPORTRANGE(""https://docs.google.com/spreadsheets/d/1BuTWp7qHGjWhqrnf-OmePP568O4A5Am9ttzvVdP67zw/edit#gid=771602874"" ,""HUMAN RESOURCES!$A$2:$M$2692""), {2,3,4,5,6,7,8,9,10,11,12,13},0))"),0.028)</f>
        <v>0.028</v>
      </c>
      <c r="Q1875" s="14">
        <f>IFERROR(__xludf.DUMMYFUNCTION("""COMPUTED_VALUE"""),0.027)</f>
        <v>0.027</v>
      </c>
      <c r="R1875" s="14">
        <f>IFERROR(__xludf.DUMMYFUNCTION("""COMPUTED_VALUE"""),73.0)</f>
        <v>73</v>
      </c>
      <c r="S1875" s="14">
        <f>IFERROR(__xludf.DUMMYFUNCTION("""COMPUTED_VALUE"""),68.0)</f>
        <v>68</v>
      </c>
      <c r="T1875" s="14">
        <f>IFERROR(__xludf.DUMMYFUNCTION("""COMPUTED_VALUE"""),0.377)</f>
        <v>0.377</v>
      </c>
      <c r="U1875" s="14">
        <f>IFERROR(__xludf.DUMMYFUNCTION("""COMPUTED_VALUE"""),0.578)</f>
        <v>0.578</v>
      </c>
      <c r="V1875" s="14">
        <f>IFERROR(__xludf.DUMMYFUNCTION("""COMPUTED_VALUE"""),0.045)</f>
        <v>0.045</v>
      </c>
      <c r="W1875" s="14">
        <f>IFERROR(__xludf.DUMMYFUNCTION("""COMPUTED_VALUE"""),5460621.0)</f>
        <v>5460621</v>
      </c>
      <c r="X1875" s="14">
        <f>IFERROR(__xludf.DUMMYFUNCTION("""COMPUTED_VALUE"""),0.56)</f>
        <v>0.56</v>
      </c>
      <c r="Y1875" s="14" t="str">
        <f>IFERROR(__xludf.DUMMYFUNCTION("""COMPUTED_VALUE"""),"Paraguay-The Americas")</f>
        <v>Paraguay-The Americas</v>
      </c>
      <c r="Z1875" s="14" t="str">
        <f>IFERROR(__xludf.DUMMYFUNCTION("""COMPUTED_VALUE"""),"The Americas")</f>
        <v>The Americas</v>
      </c>
      <c r="AA1875" s="14" t="str">
        <f>IFERROR(__xludf.DUMMYFUNCTION("""COMPUTED_VALUE"""),"2001")</f>
        <v>2001</v>
      </c>
      <c r="AB1875" s="15" t="str">
        <f>IFERROR(__xludf.DUMMYFUNCTION("ARRAYFORMULA(VLOOKUP(A1875,IMPORTRANGE(""https://docs.google.com/spreadsheets/d/1BuTWp7qHGjWhqrnf-OmePP568O4A5Am9ttzvVdP67zw/edit#gid=1931367683"" ,""ENERGY!$A$2:$F$2692""), {2,3,4,5,6},0))"),"The Americas")</f>
        <v>The Americas</v>
      </c>
      <c r="AC1875" s="14" t="str">
        <f>IFERROR(__xludf.DUMMYFUNCTION("""COMPUTED_VALUE"""),"Paraguay-The Americas")</f>
        <v>Paraguay-The Americas</v>
      </c>
      <c r="AD1875" s="14" t="str">
        <f>IFERROR(__xludf.DUMMYFUNCTION("""COMPUTED_VALUE"""),"2001")</f>
        <v>2001</v>
      </c>
      <c r="AE1875" s="14">
        <f>IFERROR(__xludf.DUMMYFUNCTION("""COMPUTED_VALUE"""),4858.0)</f>
        <v>4858</v>
      </c>
      <c r="AF1875" s="14"/>
    </row>
    <row r="1876">
      <c r="A1876" s="12">
        <v>1875.0</v>
      </c>
      <c r="B1876" s="12" t="s">
        <v>223</v>
      </c>
      <c r="C1876" s="5" t="s">
        <v>84</v>
      </c>
      <c r="D1876" s="8"/>
      <c r="E1876" s="8"/>
      <c r="F1876" s="8"/>
      <c r="G1876" s="8"/>
      <c r="H1876" s="11">
        <v>0.018</v>
      </c>
      <c r="I1876" s="11">
        <v>0.299</v>
      </c>
      <c r="J1876" s="9" t="s">
        <v>63</v>
      </c>
      <c r="K1876" s="14" t="str">
        <f>IFERROR(__xludf.DUMMYFUNCTION("ARRAYFORMULA(VLOOKUP(A1876,IMPORTRANGE(""https://docs.google.com/spreadsheets/d/1BuTWp7qHGjWhqrnf-OmePP568O4A5Am9ttzvVdP67zw/edit#gid=1603210130"", ""TOURISM!$A$2:$F$2692""), {2,3,4,5,6},0))"),"The Americas")</f>
        <v>The Americas</v>
      </c>
      <c r="L1876" s="14">
        <f>IFERROR(__xludf.DUMMYFUNCTION("""COMPUTED_VALUE"""),7.6E7)</f>
        <v>76000000</v>
      </c>
      <c r="M1876" s="14" t="str">
        <f>IFERROR(__xludf.DUMMYFUNCTION("""COMPUTED_VALUE"""),"Paraguay-The Americas")</f>
        <v>Paraguay-The Americas</v>
      </c>
      <c r="N1876" s="14" t="str">
        <f>IFERROR(__xludf.DUMMYFUNCTION("""COMPUTED_VALUE"""),"2002")</f>
        <v>2002</v>
      </c>
      <c r="O1876" s="14">
        <f>IFERROR(__xludf.DUMMYFUNCTION("""COMPUTED_VALUE"""),1.17E8)</f>
        <v>117000000</v>
      </c>
      <c r="P1876" s="15">
        <f>IFERROR(__xludf.DUMMYFUNCTION("ARRAYFORMULA(VLOOKUP(A1876,IMPORTRANGE(""https://docs.google.com/spreadsheets/d/1BuTWp7qHGjWhqrnf-OmePP568O4A5Am9ttzvVdP67zw/edit#gid=771602874"" ,""HUMAN RESOURCES!$A$2:$M$2692""), {2,3,4,5,6,7,8,9,10,11,12,13},0))"),0.027)</f>
        <v>0.027</v>
      </c>
      <c r="Q1876" s="14">
        <f>IFERROR(__xludf.DUMMYFUNCTION("""COMPUTED_VALUE"""),0.026)</f>
        <v>0.026</v>
      </c>
      <c r="R1876" s="14">
        <f>IFERROR(__xludf.DUMMYFUNCTION("""COMPUTED_VALUE"""),73.0)</f>
        <v>73</v>
      </c>
      <c r="S1876" s="14">
        <f>IFERROR(__xludf.DUMMYFUNCTION("""COMPUTED_VALUE"""),69.0)</f>
        <v>69</v>
      </c>
      <c r="T1876" s="14">
        <f>IFERROR(__xludf.DUMMYFUNCTION("""COMPUTED_VALUE"""),0.372)</f>
        <v>0.372</v>
      </c>
      <c r="U1876" s="14">
        <f>IFERROR(__xludf.DUMMYFUNCTION("""COMPUTED_VALUE"""),0.582)</f>
        <v>0.582</v>
      </c>
      <c r="V1876" s="14">
        <f>IFERROR(__xludf.DUMMYFUNCTION("""COMPUTED_VALUE"""),0.045)</f>
        <v>0.045</v>
      </c>
      <c r="W1876" s="14">
        <f>IFERROR(__xludf.DUMMYFUNCTION("""COMPUTED_VALUE"""),5571371.0)</f>
        <v>5571371</v>
      </c>
      <c r="X1876" s="14">
        <f>IFERROR(__xludf.DUMMYFUNCTION("""COMPUTED_VALUE"""),0.566)</f>
        <v>0.566</v>
      </c>
      <c r="Y1876" s="14" t="str">
        <f>IFERROR(__xludf.DUMMYFUNCTION("""COMPUTED_VALUE"""),"Paraguay-The Americas")</f>
        <v>Paraguay-The Americas</v>
      </c>
      <c r="Z1876" s="14" t="str">
        <f>IFERROR(__xludf.DUMMYFUNCTION("""COMPUTED_VALUE"""),"The Americas")</f>
        <v>The Americas</v>
      </c>
      <c r="AA1876" s="14" t="str">
        <f>IFERROR(__xludf.DUMMYFUNCTION("""COMPUTED_VALUE"""),"2002")</f>
        <v>2002</v>
      </c>
      <c r="AB1876" s="15" t="str">
        <f>IFERROR(__xludf.DUMMYFUNCTION("ARRAYFORMULA(VLOOKUP(A1876,IMPORTRANGE(""https://docs.google.com/spreadsheets/d/1BuTWp7qHGjWhqrnf-OmePP568O4A5Am9ttzvVdP67zw/edit#gid=1931367683"" ,""ENERGY!$A$2:$F$2692""), {2,3,4,5,6},0))"),"The Americas")</f>
        <v>The Americas</v>
      </c>
      <c r="AC1876" s="14" t="str">
        <f>IFERROR(__xludf.DUMMYFUNCTION("""COMPUTED_VALUE"""),"Paraguay-The Americas")</f>
        <v>Paraguay-The Americas</v>
      </c>
      <c r="AD1876" s="14" t="str">
        <f>IFERROR(__xludf.DUMMYFUNCTION("""COMPUTED_VALUE"""),"2002")</f>
        <v>2002</v>
      </c>
      <c r="AE1876" s="14">
        <f>IFERROR(__xludf.DUMMYFUNCTION("""COMPUTED_VALUE"""),4789.0)</f>
        <v>4789</v>
      </c>
      <c r="AF1876" s="14">
        <f>IFERROR(__xludf.DUMMYFUNCTION("""COMPUTED_VALUE"""),5075.0)</f>
        <v>5075</v>
      </c>
    </row>
    <row r="1877">
      <c r="A1877" s="12">
        <v>1876.0</v>
      </c>
      <c r="B1877" s="12" t="s">
        <v>223</v>
      </c>
      <c r="C1877" s="5" t="s">
        <v>84</v>
      </c>
      <c r="D1877" s="8"/>
      <c r="E1877" s="11">
        <v>74.0</v>
      </c>
      <c r="F1877" s="8"/>
      <c r="G1877" s="8"/>
      <c r="H1877" s="11">
        <v>0.021</v>
      </c>
      <c r="I1877" s="11">
        <v>0.312</v>
      </c>
      <c r="J1877" s="9" t="s">
        <v>64</v>
      </c>
      <c r="K1877" s="14" t="str">
        <f>IFERROR(__xludf.DUMMYFUNCTION("ARRAYFORMULA(VLOOKUP(A1877,IMPORTRANGE(""https://docs.google.com/spreadsheets/d/1BuTWp7qHGjWhqrnf-OmePP568O4A5Am9ttzvVdP67zw/edit#gid=1603210130"", ""TOURISM!$A$2:$F$2692""), {2,3,4,5,6},0))"),"The Americas")</f>
        <v>The Americas</v>
      </c>
      <c r="L1877" s="14">
        <f>IFERROR(__xludf.DUMMYFUNCTION("""COMPUTED_VALUE"""),8.1E7)</f>
        <v>81000000</v>
      </c>
      <c r="M1877" s="14" t="str">
        <f>IFERROR(__xludf.DUMMYFUNCTION("""COMPUTED_VALUE"""),"Paraguay-The Americas")</f>
        <v>Paraguay-The Americas</v>
      </c>
      <c r="N1877" s="14" t="str">
        <f>IFERROR(__xludf.DUMMYFUNCTION("""COMPUTED_VALUE"""),"2003")</f>
        <v>2003</v>
      </c>
      <c r="O1877" s="14">
        <f>IFERROR(__xludf.DUMMYFUNCTION("""COMPUTED_VALUE"""),1.15E8)</f>
        <v>115000000</v>
      </c>
      <c r="P1877" s="15">
        <f>IFERROR(__xludf.DUMMYFUNCTION("ARRAYFORMULA(VLOOKUP(A1877,IMPORTRANGE(""https://docs.google.com/spreadsheets/d/1BuTWp7qHGjWhqrnf-OmePP568O4A5Am9ttzvVdP67zw/edit#gid=771602874"" ,""HUMAN RESOURCES!$A$2:$M$2692""), {2,3,4,5,6,7,8,9,10,11,12,13},0))"),0.027)</f>
        <v>0.027</v>
      </c>
      <c r="Q1877" s="14">
        <f>IFERROR(__xludf.DUMMYFUNCTION("""COMPUTED_VALUE"""),0.025)</f>
        <v>0.025</v>
      </c>
      <c r="R1877" s="14">
        <f>IFERROR(__xludf.DUMMYFUNCTION("""COMPUTED_VALUE"""),73.0)</f>
        <v>73</v>
      </c>
      <c r="S1877" s="14">
        <f>IFERROR(__xludf.DUMMYFUNCTION("""COMPUTED_VALUE"""),69.0)</f>
        <v>69</v>
      </c>
      <c r="T1877" s="14">
        <f>IFERROR(__xludf.DUMMYFUNCTION("""COMPUTED_VALUE"""),0.368)</f>
        <v>0.368</v>
      </c>
      <c r="U1877" s="14">
        <f>IFERROR(__xludf.DUMMYFUNCTION("""COMPUTED_VALUE"""),0.586)</f>
        <v>0.586</v>
      </c>
      <c r="V1877" s="14">
        <f>IFERROR(__xludf.DUMMYFUNCTION("""COMPUTED_VALUE"""),0.046)</f>
        <v>0.046</v>
      </c>
      <c r="W1877" s="14">
        <f>IFERROR(__xludf.DUMMYFUNCTION("""COMPUTED_VALUE"""),5682350.0)</f>
        <v>5682350</v>
      </c>
      <c r="X1877" s="14">
        <f>IFERROR(__xludf.DUMMYFUNCTION("""COMPUTED_VALUE"""),0.569)</f>
        <v>0.569</v>
      </c>
      <c r="Y1877" s="14" t="str">
        <f>IFERROR(__xludf.DUMMYFUNCTION("""COMPUTED_VALUE"""),"Paraguay-The Americas")</f>
        <v>Paraguay-The Americas</v>
      </c>
      <c r="Z1877" s="14" t="str">
        <f>IFERROR(__xludf.DUMMYFUNCTION("""COMPUTED_VALUE"""),"The Americas")</f>
        <v>The Americas</v>
      </c>
      <c r="AA1877" s="14" t="str">
        <f>IFERROR(__xludf.DUMMYFUNCTION("""COMPUTED_VALUE"""),"2003")</f>
        <v>2003</v>
      </c>
      <c r="AB1877" s="15" t="str">
        <f>IFERROR(__xludf.DUMMYFUNCTION("ARRAYFORMULA(VLOOKUP(A1877,IMPORTRANGE(""https://docs.google.com/spreadsheets/d/1BuTWp7qHGjWhqrnf-OmePP568O4A5Am9ttzvVdP67zw/edit#gid=1931367683"" ,""ENERGY!$A$2:$F$2692""), {2,3,4,5,6},0))"),"The Americas")</f>
        <v>The Americas</v>
      </c>
      <c r="AC1877" s="14" t="str">
        <f>IFERROR(__xludf.DUMMYFUNCTION("""COMPUTED_VALUE"""),"Paraguay-The Americas")</f>
        <v>Paraguay-The Americas</v>
      </c>
      <c r="AD1877" s="14" t="str">
        <f>IFERROR(__xludf.DUMMYFUNCTION("""COMPUTED_VALUE"""),"2003")</f>
        <v>2003</v>
      </c>
      <c r="AE1877" s="14">
        <f>IFERROR(__xludf.DUMMYFUNCTION("""COMPUTED_VALUE"""),4476.0)</f>
        <v>4476</v>
      </c>
      <c r="AF1877" s="14">
        <f>IFERROR(__xludf.DUMMYFUNCTION("""COMPUTED_VALUE"""),4518.0)</f>
        <v>4518</v>
      </c>
    </row>
    <row r="1878">
      <c r="A1878" s="12">
        <v>1877.0</v>
      </c>
      <c r="B1878" s="12" t="s">
        <v>223</v>
      </c>
      <c r="C1878" s="5" t="s">
        <v>84</v>
      </c>
      <c r="D1878" s="8"/>
      <c r="E1878" s="11">
        <v>74.0</v>
      </c>
      <c r="F1878" s="8"/>
      <c r="G1878" s="8"/>
      <c r="H1878" s="11">
        <v>0.035</v>
      </c>
      <c r="I1878" s="11">
        <v>0.302</v>
      </c>
      <c r="J1878" s="9" t="s">
        <v>65</v>
      </c>
      <c r="K1878" s="14" t="str">
        <f>IFERROR(__xludf.DUMMYFUNCTION("ARRAYFORMULA(VLOOKUP(A1878,IMPORTRANGE(""https://docs.google.com/spreadsheets/d/1BuTWp7qHGjWhqrnf-OmePP568O4A5Am9ttzvVdP67zw/edit#gid=1603210130"", ""TOURISM!$A$2:$F$2692""), {2,3,4,5,6},0))"),"The Americas")</f>
        <v>The Americas</v>
      </c>
      <c r="L1878" s="14">
        <f>IFERROR(__xludf.DUMMYFUNCTION("""COMPUTED_VALUE"""),8.7E7)</f>
        <v>87000000</v>
      </c>
      <c r="M1878" s="14" t="str">
        <f>IFERROR(__xludf.DUMMYFUNCTION("""COMPUTED_VALUE"""),"Paraguay-The Americas")</f>
        <v>Paraguay-The Americas</v>
      </c>
      <c r="N1878" s="14" t="str">
        <f>IFERROR(__xludf.DUMMYFUNCTION("""COMPUTED_VALUE"""),"2004")</f>
        <v>2004</v>
      </c>
      <c r="O1878" s="14">
        <f>IFERROR(__xludf.DUMMYFUNCTION("""COMPUTED_VALUE"""),1.21E8)</f>
        <v>121000000</v>
      </c>
      <c r="P1878" s="15">
        <f>IFERROR(__xludf.DUMMYFUNCTION("ARRAYFORMULA(VLOOKUP(A1878,IMPORTRANGE(""https://docs.google.com/spreadsheets/d/1BuTWp7qHGjWhqrnf-OmePP568O4A5Am9ttzvVdP67zw/edit#gid=771602874"" ,""HUMAN RESOURCES!$A$2:$M$2692""), {2,3,4,5,6,7,8,9,10,11,12,13},0))"),0.026)</f>
        <v>0.026</v>
      </c>
      <c r="Q1878" s="14">
        <f>IFERROR(__xludf.DUMMYFUNCTION("""COMPUTED_VALUE"""),0.025)</f>
        <v>0.025</v>
      </c>
      <c r="R1878" s="14">
        <f>IFERROR(__xludf.DUMMYFUNCTION("""COMPUTED_VALUE"""),73.0)</f>
        <v>73</v>
      </c>
      <c r="S1878" s="14">
        <f>IFERROR(__xludf.DUMMYFUNCTION("""COMPUTED_VALUE"""),69.0)</f>
        <v>69</v>
      </c>
      <c r="T1878" s="14">
        <f>IFERROR(__xludf.DUMMYFUNCTION("""COMPUTED_VALUE"""),0.363)</f>
        <v>0.363</v>
      </c>
      <c r="U1878" s="14">
        <f>IFERROR(__xludf.DUMMYFUNCTION("""COMPUTED_VALUE"""),0.59)</f>
        <v>0.59</v>
      </c>
      <c r="V1878" s="14">
        <f>IFERROR(__xludf.DUMMYFUNCTION("""COMPUTED_VALUE"""),0.047)</f>
        <v>0.047</v>
      </c>
      <c r="W1878" s="14">
        <f>IFERROR(__xludf.DUMMYFUNCTION("""COMPUTED_VALUE"""),5793330.0)</f>
        <v>5793330</v>
      </c>
      <c r="X1878" s="14">
        <f>IFERROR(__xludf.DUMMYFUNCTION("""COMPUTED_VALUE"""),0.571)</f>
        <v>0.571</v>
      </c>
      <c r="Y1878" s="14" t="str">
        <f>IFERROR(__xludf.DUMMYFUNCTION("""COMPUTED_VALUE"""),"Paraguay-The Americas")</f>
        <v>Paraguay-The Americas</v>
      </c>
      <c r="Z1878" s="14" t="str">
        <f>IFERROR(__xludf.DUMMYFUNCTION("""COMPUTED_VALUE"""),"The Americas")</f>
        <v>The Americas</v>
      </c>
      <c r="AA1878" s="14" t="str">
        <f>IFERROR(__xludf.DUMMYFUNCTION("""COMPUTED_VALUE"""),"2004")</f>
        <v>2004</v>
      </c>
      <c r="AB1878" s="15" t="str">
        <f>IFERROR(__xludf.DUMMYFUNCTION("ARRAYFORMULA(VLOOKUP(A1878,IMPORTRANGE(""https://docs.google.com/spreadsheets/d/1BuTWp7qHGjWhqrnf-OmePP568O4A5Am9ttzvVdP67zw/edit#gid=1931367683"" ,""ENERGY!$A$2:$F$2692""), {2,3,4,5,6},0))"),"The Americas")</f>
        <v>The Americas</v>
      </c>
      <c r="AC1878" s="14" t="str">
        <f>IFERROR(__xludf.DUMMYFUNCTION("""COMPUTED_VALUE"""),"Paraguay-The Americas")</f>
        <v>Paraguay-The Americas</v>
      </c>
      <c r="AD1878" s="14" t="str">
        <f>IFERROR(__xludf.DUMMYFUNCTION("""COMPUTED_VALUE"""),"2004")</f>
        <v>2004</v>
      </c>
      <c r="AE1878" s="14">
        <f>IFERROR(__xludf.DUMMYFUNCTION("""COMPUTED_VALUE"""),4348.0)</f>
        <v>4348</v>
      </c>
      <c r="AF1878" s="14">
        <f>IFERROR(__xludf.DUMMYFUNCTION("""COMPUTED_VALUE"""),4353.0)</f>
        <v>4353</v>
      </c>
    </row>
    <row r="1879">
      <c r="A1879" s="12">
        <v>1878.0</v>
      </c>
      <c r="B1879" s="12" t="s">
        <v>223</v>
      </c>
      <c r="C1879" s="5" t="s">
        <v>84</v>
      </c>
      <c r="D1879" s="11">
        <v>0.545</v>
      </c>
      <c r="E1879" s="11">
        <v>74.0</v>
      </c>
      <c r="F1879" s="8"/>
      <c r="G1879" s="11">
        <v>328.0</v>
      </c>
      <c r="H1879" s="11">
        <v>0.079</v>
      </c>
      <c r="I1879" s="11">
        <v>0.32</v>
      </c>
      <c r="J1879" s="9" t="s">
        <v>66</v>
      </c>
      <c r="K1879" s="14" t="str">
        <f>IFERROR(__xludf.DUMMYFUNCTION("ARRAYFORMULA(VLOOKUP(A1879,IMPORTRANGE(""https://docs.google.com/spreadsheets/d/1BuTWp7qHGjWhqrnf-OmePP568O4A5Am9ttzvVdP67zw/edit#gid=1603210130"", ""TOURISM!$A$2:$F$2692""), {2,3,4,5,6},0))"),"The Americas")</f>
        <v>The Americas</v>
      </c>
      <c r="L1879" s="14">
        <f>IFERROR(__xludf.DUMMYFUNCTION("""COMPUTED_VALUE"""),9.6E7)</f>
        <v>96000000</v>
      </c>
      <c r="M1879" s="14" t="str">
        <f>IFERROR(__xludf.DUMMYFUNCTION("""COMPUTED_VALUE"""),"Paraguay-The Americas")</f>
        <v>Paraguay-The Americas</v>
      </c>
      <c r="N1879" s="14" t="str">
        <f>IFERROR(__xludf.DUMMYFUNCTION("""COMPUTED_VALUE"""),"2005")</f>
        <v>2005</v>
      </c>
      <c r="O1879" s="14">
        <f>IFERROR(__xludf.DUMMYFUNCTION("""COMPUTED_VALUE"""),1.3E8)</f>
        <v>130000000</v>
      </c>
      <c r="P1879" s="15">
        <f>IFERROR(__xludf.DUMMYFUNCTION("ARRAYFORMULA(VLOOKUP(A1879,IMPORTRANGE(""https://docs.google.com/spreadsheets/d/1BuTWp7qHGjWhqrnf-OmePP568O4A5Am9ttzvVdP67zw/edit#gid=771602874"" ,""HUMAN RESOURCES!$A$2:$M$2692""), {2,3,4,5,6,7,8,9,10,11,12,13},0))"),0.026)</f>
        <v>0.026</v>
      </c>
      <c r="Q1879" s="14">
        <f>IFERROR(__xludf.DUMMYFUNCTION("""COMPUTED_VALUE"""),0.024)</f>
        <v>0.024</v>
      </c>
      <c r="R1879" s="14">
        <f>IFERROR(__xludf.DUMMYFUNCTION("""COMPUTED_VALUE"""),73.0)</f>
        <v>73</v>
      </c>
      <c r="S1879" s="14">
        <f>IFERROR(__xludf.DUMMYFUNCTION("""COMPUTED_VALUE"""),69.0)</f>
        <v>69</v>
      </c>
      <c r="T1879" s="14">
        <f>IFERROR(__xludf.DUMMYFUNCTION("""COMPUTED_VALUE"""),0.358)</f>
        <v>0.358</v>
      </c>
      <c r="U1879" s="14">
        <f>IFERROR(__xludf.DUMMYFUNCTION("""COMPUTED_VALUE"""),0.594)</f>
        <v>0.594</v>
      </c>
      <c r="V1879" s="14">
        <f>IFERROR(__xludf.DUMMYFUNCTION("""COMPUTED_VALUE"""),0.048)</f>
        <v>0.048</v>
      </c>
      <c r="W1879" s="14">
        <f>IFERROR(__xludf.DUMMYFUNCTION("""COMPUTED_VALUE"""),5904170.0)</f>
        <v>5904170</v>
      </c>
      <c r="X1879" s="14">
        <f>IFERROR(__xludf.DUMMYFUNCTION("""COMPUTED_VALUE"""),0.574)</f>
        <v>0.574</v>
      </c>
      <c r="Y1879" s="14" t="str">
        <f>IFERROR(__xludf.DUMMYFUNCTION("""COMPUTED_VALUE"""),"Paraguay-The Americas")</f>
        <v>Paraguay-The Americas</v>
      </c>
      <c r="Z1879" s="14" t="str">
        <f>IFERROR(__xludf.DUMMYFUNCTION("""COMPUTED_VALUE"""),"The Americas")</f>
        <v>The Americas</v>
      </c>
      <c r="AA1879" s="14" t="str">
        <f>IFERROR(__xludf.DUMMYFUNCTION("""COMPUTED_VALUE"""),"2005")</f>
        <v>2005</v>
      </c>
      <c r="AB1879" s="15" t="str">
        <f>IFERROR(__xludf.DUMMYFUNCTION("ARRAYFORMULA(VLOOKUP(A1879,IMPORTRANGE(""https://docs.google.com/spreadsheets/d/1BuTWp7qHGjWhqrnf-OmePP568O4A5Am9ttzvVdP67zw/edit#gid=1931367683"" ,""ENERGY!$A$2:$F$2692""), {2,3,4,5,6},0))"),"The Americas")</f>
        <v>The Americas</v>
      </c>
      <c r="AC1879" s="14" t="str">
        <f>IFERROR(__xludf.DUMMYFUNCTION("""COMPUTED_VALUE"""),"Paraguay-The Americas")</f>
        <v>Paraguay-The Americas</v>
      </c>
      <c r="AD1879" s="14" t="str">
        <f>IFERROR(__xludf.DUMMYFUNCTION("""COMPUTED_VALUE"""),"2008")</f>
        <v>2008</v>
      </c>
      <c r="AE1879" s="14">
        <f>IFERROR(__xludf.DUMMYFUNCTION("""COMPUTED_VALUE"""),4225.0)</f>
        <v>4225</v>
      </c>
      <c r="AF1879" s="14">
        <f>IFERROR(__xludf.DUMMYFUNCTION("""COMPUTED_VALUE"""),4136.0)</f>
        <v>4136</v>
      </c>
    </row>
    <row r="1880">
      <c r="A1880" s="12">
        <v>1879.0</v>
      </c>
      <c r="B1880" s="12" t="s">
        <v>223</v>
      </c>
      <c r="C1880" s="5" t="s">
        <v>84</v>
      </c>
      <c r="D1880" s="11">
        <v>0.448</v>
      </c>
      <c r="E1880" s="11">
        <v>74.0</v>
      </c>
      <c r="F1880" s="8"/>
      <c r="G1880" s="11">
        <v>328.0</v>
      </c>
      <c r="H1880" s="11">
        <v>0.08</v>
      </c>
      <c r="I1880" s="11">
        <v>0.537</v>
      </c>
      <c r="J1880" s="9" t="s">
        <v>67</v>
      </c>
      <c r="K1880" s="14" t="str">
        <f>IFERROR(__xludf.DUMMYFUNCTION("ARRAYFORMULA(VLOOKUP(A1880,IMPORTRANGE(""https://docs.google.com/spreadsheets/d/1BuTWp7qHGjWhqrnf-OmePP568O4A5Am9ttzvVdP67zw/edit#gid=1603210130"", ""TOURISM!$A$2:$F$2692""), {2,3,4,5,6},0))"),"The Americas")</f>
        <v>The Americas</v>
      </c>
      <c r="L1880" s="14">
        <f>IFERROR(__xludf.DUMMYFUNCTION("""COMPUTED_VALUE"""),1.12E8)</f>
        <v>112000000</v>
      </c>
      <c r="M1880" s="14" t="str">
        <f>IFERROR(__xludf.DUMMYFUNCTION("""COMPUTED_VALUE"""),"Paraguay-The Americas")</f>
        <v>Paraguay-The Americas</v>
      </c>
      <c r="N1880" s="14" t="str">
        <f>IFERROR(__xludf.DUMMYFUNCTION("""COMPUTED_VALUE"""),"2006")</f>
        <v>2006</v>
      </c>
      <c r="O1880" s="14">
        <f>IFERROR(__xludf.DUMMYFUNCTION("""COMPUTED_VALUE"""),1.44E8)</f>
        <v>144000000</v>
      </c>
      <c r="P1880" s="15">
        <f>IFERROR(__xludf.DUMMYFUNCTION("ARRAYFORMULA(VLOOKUP(A1880,IMPORTRANGE(""https://docs.google.com/spreadsheets/d/1BuTWp7qHGjWhqrnf-OmePP568O4A5Am9ttzvVdP67zw/edit#gid=771602874"" ,""HUMAN RESOURCES!$A$2:$M$2692""), {2,3,4,5,6,7,8,9,10,11,12,13},0))"),0.025)</f>
        <v>0.025</v>
      </c>
      <c r="Q1880" s="14">
        <f>IFERROR(__xludf.DUMMYFUNCTION("""COMPUTED_VALUE"""),0.023)</f>
        <v>0.023</v>
      </c>
      <c r="R1880" s="14">
        <f>IFERROR(__xludf.DUMMYFUNCTION("""COMPUTED_VALUE"""),74.0)</f>
        <v>74</v>
      </c>
      <c r="S1880" s="14">
        <f>IFERROR(__xludf.DUMMYFUNCTION("""COMPUTED_VALUE"""),69.0)</f>
        <v>69</v>
      </c>
      <c r="T1880" s="14">
        <f>IFERROR(__xludf.DUMMYFUNCTION("""COMPUTED_VALUE"""),0.353)</f>
        <v>0.353</v>
      </c>
      <c r="U1880" s="14">
        <f>IFERROR(__xludf.DUMMYFUNCTION("""COMPUTED_VALUE"""),0.598)</f>
        <v>0.598</v>
      </c>
      <c r="V1880" s="14">
        <f>IFERROR(__xludf.DUMMYFUNCTION("""COMPUTED_VALUE"""),0.048)</f>
        <v>0.048</v>
      </c>
      <c r="W1880" s="14">
        <f>IFERROR(__xludf.DUMMYFUNCTION("""COMPUTED_VALUE"""),6014781.0)</f>
        <v>6014781</v>
      </c>
      <c r="X1880" s="14">
        <f>IFERROR(__xludf.DUMMYFUNCTION("""COMPUTED_VALUE"""),0.576)</f>
        <v>0.576</v>
      </c>
      <c r="Y1880" s="14" t="str">
        <f>IFERROR(__xludf.DUMMYFUNCTION("""COMPUTED_VALUE"""),"Paraguay-The Americas")</f>
        <v>Paraguay-The Americas</v>
      </c>
      <c r="Z1880" s="14" t="str">
        <f>IFERROR(__xludf.DUMMYFUNCTION("""COMPUTED_VALUE"""),"The Americas")</f>
        <v>The Americas</v>
      </c>
      <c r="AA1880" s="14" t="str">
        <f>IFERROR(__xludf.DUMMYFUNCTION("""COMPUTED_VALUE"""),"2006")</f>
        <v>2006</v>
      </c>
      <c r="AB1880" s="15" t="str">
        <f>IFERROR(__xludf.DUMMYFUNCTION("ARRAYFORMULA(VLOOKUP(A1880,IMPORTRANGE(""https://docs.google.com/spreadsheets/d/1BuTWp7qHGjWhqrnf-OmePP568O4A5Am9ttzvVdP67zw/edit#gid=1931367683"" ,""ENERGY!$A$2:$F$2692""), {2,3,4,5,6},0))"),"The Americas")</f>
        <v>The Americas</v>
      </c>
      <c r="AC1880" s="14" t="str">
        <f>IFERROR(__xludf.DUMMYFUNCTION("""COMPUTED_VALUE"""),"Paraguay-The Americas")</f>
        <v>Paraguay-The Americas</v>
      </c>
      <c r="AD1880" s="14" t="str">
        <f>IFERROR(__xludf.DUMMYFUNCTION("""COMPUTED_VALUE"""),"2012")</f>
        <v>2012</v>
      </c>
      <c r="AE1880" s="14">
        <f>IFERROR(__xludf.DUMMYFUNCTION("""COMPUTED_VALUE"""),4076.0)</f>
        <v>4076</v>
      </c>
      <c r="AF1880" s="14">
        <f>IFERROR(__xludf.DUMMYFUNCTION("""COMPUTED_VALUE"""),3986.0)</f>
        <v>3986</v>
      </c>
    </row>
    <row r="1881">
      <c r="A1881" s="12">
        <v>1880.0</v>
      </c>
      <c r="B1881" s="12" t="s">
        <v>223</v>
      </c>
      <c r="C1881" s="5" t="s">
        <v>84</v>
      </c>
      <c r="D1881" s="11">
        <v>0.351</v>
      </c>
      <c r="E1881" s="11">
        <v>35.0</v>
      </c>
      <c r="F1881" s="8"/>
      <c r="G1881" s="11">
        <v>328.0</v>
      </c>
      <c r="H1881" s="11">
        <v>0.112</v>
      </c>
      <c r="I1881" s="11">
        <v>0.766</v>
      </c>
      <c r="J1881" s="9" t="s">
        <v>68</v>
      </c>
      <c r="K1881" s="14" t="str">
        <f>IFERROR(__xludf.DUMMYFUNCTION("ARRAYFORMULA(VLOOKUP(A1881,IMPORTRANGE(""https://docs.google.com/spreadsheets/d/1BuTWp7qHGjWhqrnf-OmePP568O4A5Am9ttzvVdP67zw/edit#gid=1603210130"", ""TOURISM!$A$2:$F$2692""), {2,3,4,5,6},0))"),"The Americas")</f>
        <v>The Americas</v>
      </c>
      <c r="L1881" s="14">
        <f>IFERROR(__xludf.DUMMYFUNCTION("""COMPUTED_VALUE"""),1.21E8)</f>
        <v>121000000</v>
      </c>
      <c r="M1881" s="14" t="str">
        <f>IFERROR(__xludf.DUMMYFUNCTION("""COMPUTED_VALUE"""),"Paraguay-The Americas")</f>
        <v>Paraguay-The Americas</v>
      </c>
      <c r="N1881" s="14" t="str">
        <f>IFERROR(__xludf.DUMMYFUNCTION("""COMPUTED_VALUE"""),"2007")</f>
        <v>2007</v>
      </c>
      <c r="O1881" s="14">
        <f>IFERROR(__xludf.DUMMYFUNCTION("""COMPUTED_VALUE"""),1.84E8)</f>
        <v>184000000</v>
      </c>
      <c r="P1881" s="15">
        <f>IFERROR(__xludf.DUMMYFUNCTION("ARRAYFORMULA(VLOOKUP(A1881,IMPORTRANGE(""https://docs.google.com/spreadsheets/d/1BuTWp7qHGjWhqrnf-OmePP568O4A5Am9ttzvVdP67zw/edit#gid=771602874"" ,""HUMAN RESOURCES!$A$2:$M$2692""), {2,3,4,5,6,7,8,9,10,11,12,13},0))"),0.025)</f>
        <v>0.025</v>
      </c>
      <c r="Q1881" s="14">
        <f>IFERROR(__xludf.DUMMYFUNCTION("""COMPUTED_VALUE"""),0.023)</f>
        <v>0.023</v>
      </c>
      <c r="R1881" s="14">
        <f>IFERROR(__xludf.DUMMYFUNCTION("""COMPUTED_VALUE"""),74.0)</f>
        <v>74</v>
      </c>
      <c r="S1881" s="14">
        <f>IFERROR(__xludf.DUMMYFUNCTION("""COMPUTED_VALUE"""),70.0)</f>
        <v>70</v>
      </c>
      <c r="T1881" s="14">
        <f>IFERROR(__xludf.DUMMYFUNCTION("""COMPUTED_VALUE"""),0.349)</f>
        <v>0.349</v>
      </c>
      <c r="U1881" s="14">
        <f>IFERROR(__xludf.DUMMYFUNCTION("""COMPUTED_VALUE"""),0.602)</f>
        <v>0.602</v>
      </c>
      <c r="V1881" s="14">
        <f>IFERROR(__xludf.DUMMYFUNCTION("""COMPUTED_VALUE"""),0.049)</f>
        <v>0.049</v>
      </c>
      <c r="W1881" s="14">
        <f>IFERROR(__xludf.DUMMYFUNCTION("""COMPUTED_VALUE"""),6125285.0)</f>
        <v>6125285</v>
      </c>
      <c r="X1881" s="14">
        <f>IFERROR(__xludf.DUMMYFUNCTION("""COMPUTED_VALUE"""),0.578)</f>
        <v>0.578</v>
      </c>
      <c r="Y1881" s="14" t="str">
        <f>IFERROR(__xludf.DUMMYFUNCTION("""COMPUTED_VALUE"""),"Paraguay-The Americas")</f>
        <v>Paraguay-The Americas</v>
      </c>
      <c r="Z1881" s="14" t="str">
        <f>IFERROR(__xludf.DUMMYFUNCTION("""COMPUTED_VALUE"""),"The Americas")</f>
        <v>The Americas</v>
      </c>
      <c r="AA1881" s="14" t="str">
        <f>IFERROR(__xludf.DUMMYFUNCTION("""COMPUTED_VALUE"""),"2007")</f>
        <v>2007</v>
      </c>
      <c r="AB1881" s="15" t="str">
        <f>IFERROR(__xludf.DUMMYFUNCTION("ARRAYFORMULA(VLOOKUP(A1881,IMPORTRANGE(""https://docs.google.com/spreadsheets/d/1BuTWp7qHGjWhqrnf-OmePP568O4A5Am9ttzvVdP67zw/edit#gid=1931367683"" ,""ENERGY!$A$2:$F$2692""), {2,3,4,5,6},0))"),"The Americas")</f>
        <v>The Americas</v>
      </c>
      <c r="AC1881" s="14" t="str">
        <f>IFERROR(__xludf.DUMMYFUNCTION("""COMPUTED_VALUE"""),"Paraguay-The Americas")</f>
        <v>Paraguay-The Americas</v>
      </c>
      <c r="AD1881" s="14" t="str">
        <f>IFERROR(__xludf.DUMMYFUNCTION("""COMPUTED_VALUE"""),"2009")</f>
        <v>2009</v>
      </c>
      <c r="AE1881" s="14">
        <f>IFERROR(__xludf.DUMMYFUNCTION("""COMPUTED_VALUE"""),3954.0)</f>
        <v>3954</v>
      </c>
      <c r="AF1881" s="14">
        <f>IFERROR(__xludf.DUMMYFUNCTION("""COMPUTED_VALUE"""),3832.0)</f>
        <v>3832</v>
      </c>
    </row>
    <row r="1882">
      <c r="A1882" s="12">
        <v>1881.0</v>
      </c>
      <c r="B1882" s="12" t="s">
        <v>223</v>
      </c>
      <c r="C1882" s="5" t="s">
        <v>84</v>
      </c>
      <c r="D1882" s="11">
        <v>0.35</v>
      </c>
      <c r="E1882" s="11">
        <v>35.0</v>
      </c>
      <c r="F1882" s="8"/>
      <c r="G1882" s="11">
        <v>328.0</v>
      </c>
      <c r="H1882" s="11">
        <v>0.143</v>
      </c>
      <c r="I1882" s="11">
        <v>0.929</v>
      </c>
      <c r="J1882" s="9" t="s">
        <v>69</v>
      </c>
      <c r="K1882" s="14" t="str">
        <f>IFERROR(__xludf.DUMMYFUNCTION("ARRAYFORMULA(VLOOKUP(A1882,IMPORTRANGE(""https://docs.google.com/spreadsheets/d/1BuTWp7qHGjWhqrnf-OmePP568O4A5Am9ttzvVdP67zw/edit#gid=1603210130"", ""TOURISM!$A$2:$F$2692""), {2,3,4,5,6},0))"),"The Americas")</f>
        <v>The Americas</v>
      </c>
      <c r="L1882" s="14">
        <f>IFERROR(__xludf.DUMMYFUNCTION("""COMPUTED_VALUE"""),1.28E8)</f>
        <v>128000000</v>
      </c>
      <c r="M1882" s="14" t="str">
        <f>IFERROR(__xludf.DUMMYFUNCTION("""COMPUTED_VALUE"""),"Paraguay-The Americas")</f>
        <v>Paraguay-The Americas</v>
      </c>
      <c r="N1882" s="14" t="str">
        <f>IFERROR(__xludf.DUMMYFUNCTION("""COMPUTED_VALUE"""),"2008")</f>
        <v>2008</v>
      </c>
      <c r="O1882" s="14">
        <f>IFERROR(__xludf.DUMMYFUNCTION("""COMPUTED_VALUE"""),2.08E8)</f>
        <v>208000000</v>
      </c>
      <c r="P1882" s="15">
        <f>IFERROR(__xludf.DUMMYFUNCTION("ARRAYFORMULA(VLOOKUP(A1882,IMPORTRANGE(""https://docs.google.com/spreadsheets/d/1BuTWp7qHGjWhqrnf-OmePP568O4A5Am9ttzvVdP67zw/edit#gid=771602874"" ,""HUMAN RESOURCES!$A$2:$M$2692""), {2,3,4,5,6,7,8,9,10,11,12,13},0))"),0.025)</f>
        <v>0.025</v>
      </c>
      <c r="Q1882" s="14">
        <f>IFERROR(__xludf.DUMMYFUNCTION("""COMPUTED_VALUE"""),0.022)</f>
        <v>0.022</v>
      </c>
      <c r="R1882" s="14">
        <f>IFERROR(__xludf.DUMMYFUNCTION("""COMPUTED_VALUE"""),74.0)</f>
        <v>74</v>
      </c>
      <c r="S1882" s="14">
        <f>IFERROR(__xludf.DUMMYFUNCTION("""COMPUTED_VALUE"""),70.0)</f>
        <v>70</v>
      </c>
      <c r="T1882" s="14">
        <f>IFERROR(__xludf.DUMMYFUNCTION("""COMPUTED_VALUE"""),0.344)</f>
        <v>0.344</v>
      </c>
      <c r="U1882" s="14">
        <f>IFERROR(__xludf.DUMMYFUNCTION("""COMPUTED_VALUE"""),0.606)</f>
        <v>0.606</v>
      </c>
      <c r="V1882" s="14">
        <f>IFERROR(__xludf.DUMMYFUNCTION("""COMPUTED_VALUE"""),0.05)</f>
        <v>0.05</v>
      </c>
      <c r="W1882" s="14">
        <f>IFERROR(__xludf.DUMMYFUNCTION("""COMPUTED_VALUE"""),6236005.0)</f>
        <v>6236005</v>
      </c>
      <c r="X1882" s="14">
        <f>IFERROR(__xludf.DUMMYFUNCTION("""COMPUTED_VALUE"""),0.58)</f>
        <v>0.58</v>
      </c>
      <c r="Y1882" s="14" t="str">
        <f>IFERROR(__xludf.DUMMYFUNCTION("""COMPUTED_VALUE"""),"Paraguay-The Americas")</f>
        <v>Paraguay-The Americas</v>
      </c>
      <c r="Z1882" s="14" t="str">
        <f>IFERROR(__xludf.DUMMYFUNCTION("""COMPUTED_VALUE"""),"The Americas")</f>
        <v>The Americas</v>
      </c>
      <c r="AA1882" s="14" t="str">
        <f>IFERROR(__xludf.DUMMYFUNCTION("""COMPUTED_VALUE"""),"2008")</f>
        <v>2008</v>
      </c>
      <c r="AB1882" s="15" t="str">
        <f>IFERROR(__xludf.DUMMYFUNCTION("ARRAYFORMULA(VLOOKUP(A1882,IMPORTRANGE(""https://docs.google.com/spreadsheets/d/1BuTWp7qHGjWhqrnf-OmePP568O4A5Am9ttzvVdP67zw/edit#gid=1931367683"" ,""ENERGY!$A$2:$F$2692""), {2,3,4,5,6},0))"),"The Americas")</f>
        <v>The Americas</v>
      </c>
      <c r="AC1882" s="14" t="str">
        <f>IFERROR(__xludf.DUMMYFUNCTION("""COMPUTED_VALUE"""),"Paraguay-The Americas")</f>
        <v>Paraguay-The Americas</v>
      </c>
      <c r="AD1882" s="14" t="str">
        <f>IFERROR(__xludf.DUMMYFUNCTION("""COMPUTED_VALUE"""),"2007")</f>
        <v>2007</v>
      </c>
      <c r="AE1882" s="14">
        <f>IFERROR(__xludf.DUMMYFUNCTION("""COMPUTED_VALUE"""),4002.0)</f>
        <v>4002</v>
      </c>
      <c r="AF1882" s="14">
        <f>IFERROR(__xludf.DUMMYFUNCTION("""COMPUTED_VALUE"""),4089.0)</f>
        <v>4089</v>
      </c>
    </row>
    <row r="1883">
      <c r="A1883" s="12">
        <v>1882.0</v>
      </c>
      <c r="B1883" s="12" t="s">
        <v>223</v>
      </c>
      <c r="C1883" s="5" t="s">
        <v>84</v>
      </c>
      <c r="D1883" s="11">
        <v>0.35</v>
      </c>
      <c r="E1883" s="11">
        <v>35.0</v>
      </c>
      <c r="F1883" s="8"/>
      <c r="G1883" s="11">
        <v>328.0</v>
      </c>
      <c r="H1883" s="11">
        <v>0.189</v>
      </c>
      <c r="I1883" s="11">
        <v>0.885</v>
      </c>
      <c r="J1883" s="9" t="s">
        <v>70</v>
      </c>
      <c r="K1883" s="14" t="str">
        <f>IFERROR(__xludf.DUMMYFUNCTION("ARRAYFORMULA(VLOOKUP(A1883,IMPORTRANGE(""https://docs.google.com/spreadsheets/d/1BuTWp7qHGjWhqrnf-OmePP568O4A5Am9ttzvVdP67zw/edit#gid=1603210130"", ""TOURISM!$A$2:$F$2692""), {2,3,4,5,6},0))"),"The Americas")</f>
        <v>The Americas</v>
      </c>
      <c r="L1883" s="14">
        <f>IFERROR(__xludf.DUMMYFUNCTION("""COMPUTED_VALUE"""),2.25E8)</f>
        <v>225000000</v>
      </c>
      <c r="M1883" s="14" t="str">
        <f>IFERROR(__xludf.DUMMYFUNCTION("""COMPUTED_VALUE"""),"Paraguay-The Americas")</f>
        <v>Paraguay-The Americas</v>
      </c>
      <c r="N1883" s="14" t="str">
        <f>IFERROR(__xludf.DUMMYFUNCTION("""COMPUTED_VALUE"""),"2009")</f>
        <v>2009</v>
      </c>
      <c r="O1883" s="14">
        <f>IFERROR(__xludf.DUMMYFUNCTION("""COMPUTED_VALUE"""),2.29E8)</f>
        <v>229000000</v>
      </c>
      <c r="P1883" s="15">
        <f>IFERROR(__xludf.DUMMYFUNCTION("ARRAYFORMULA(VLOOKUP(A1883,IMPORTRANGE(""https://docs.google.com/spreadsheets/d/1BuTWp7qHGjWhqrnf-OmePP568O4A5Am9ttzvVdP67zw/edit#gid=771602874"" ,""HUMAN RESOURCES!$A$2:$M$2692""), {2,3,4,5,6,7,8,9,10,11,12,13},0))"),0.025)</f>
        <v>0.025</v>
      </c>
      <c r="Q1883" s="14">
        <f>IFERROR(__xludf.DUMMYFUNCTION("""COMPUTED_VALUE"""),0.021)</f>
        <v>0.021</v>
      </c>
      <c r="R1883" s="14">
        <f>IFERROR(__xludf.DUMMYFUNCTION("""COMPUTED_VALUE"""),74.0)</f>
        <v>74</v>
      </c>
      <c r="S1883" s="14">
        <f>IFERROR(__xludf.DUMMYFUNCTION("""COMPUTED_VALUE"""),70.0)</f>
        <v>70</v>
      </c>
      <c r="T1883" s="14">
        <f>IFERROR(__xludf.DUMMYFUNCTION("""COMPUTED_VALUE"""),0.34)</f>
        <v>0.34</v>
      </c>
      <c r="U1883" s="14">
        <f>IFERROR(__xludf.DUMMYFUNCTION("""COMPUTED_VALUE"""),0.61)</f>
        <v>0.61</v>
      </c>
      <c r="V1883" s="14">
        <f>IFERROR(__xludf.DUMMYFUNCTION("""COMPUTED_VALUE"""),0.051)</f>
        <v>0.051</v>
      </c>
      <c r="W1883" s="14">
        <f>IFERROR(__xludf.DUMMYFUNCTION("""COMPUTED_VALUE"""),6347383.0)</f>
        <v>6347383</v>
      </c>
      <c r="X1883" s="14">
        <f>IFERROR(__xludf.DUMMYFUNCTION("""COMPUTED_VALUE"""),0.583)</f>
        <v>0.583</v>
      </c>
      <c r="Y1883" s="14" t="str">
        <f>IFERROR(__xludf.DUMMYFUNCTION("""COMPUTED_VALUE"""),"Paraguay-The Americas")</f>
        <v>Paraguay-The Americas</v>
      </c>
      <c r="Z1883" s="14" t="str">
        <f>IFERROR(__xludf.DUMMYFUNCTION("""COMPUTED_VALUE"""),"The Americas")</f>
        <v>The Americas</v>
      </c>
      <c r="AA1883" s="14" t="str">
        <f>IFERROR(__xludf.DUMMYFUNCTION("""COMPUTED_VALUE"""),"2009")</f>
        <v>2009</v>
      </c>
      <c r="AB1883" s="15" t="str">
        <f>IFERROR(__xludf.DUMMYFUNCTION("ARRAYFORMULA(VLOOKUP(A1883,IMPORTRANGE(""https://docs.google.com/spreadsheets/d/1BuTWp7qHGjWhqrnf-OmePP568O4A5Am9ttzvVdP67zw/edit#gid=1931367683"" ,""ENERGY!$A$2:$F$2692""), {2,3,4,5,6},0))"),"The Americas")</f>
        <v>The Americas</v>
      </c>
      <c r="AC1883" s="14" t="str">
        <f>IFERROR(__xludf.DUMMYFUNCTION("""COMPUTED_VALUE"""),"Paraguay-The Americas")</f>
        <v>Paraguay-The Americas</v>
      </c>
      <c r="AD1883" s="14" t="str">
        <f>IFERROR(__xludf.DUMMYFUNCTION("""COMPUTED_VALUE"""),"2011")</f>
        <v>2011</v>
      </c>
      <c r="AE1883" s="14">
        <f>IFERROR(__xludf.DUMMYFUNCTION("""COMPUTED_VALUE"""),3965.0)</f>
        <v>3965</v>
      </c>
      <c r="AF1883" s="14">
        <f>IFERROR(__xludf.DUMMYFUNCTION("""COMPUTED_VALUE"""),4070.0)</f>
        <v>4070</v>
      </c>
    </row>
    <row r="1884">
      <c r="A1884" s="12">
        <v>1883.0</v>
      </c>
      <c r="B1884" s="12" t="s">
        <v>223</v>
      </c>
      <c r="C1884" s="5" t="s">
        <v>84</v>
      </c>
      <c r="D1884" s="11">
        <v>0.35</v>
      </c>
      <c r="E1884" s="11">
        <v>35.0</v>
      </c>
      <c r="F1884" s="8"/>
      <c r="G1884" s="11">
        <v>311.0</v>
      </c>
      <c r="H1884" s="11">
        <v>0.198</v>
      </c>
      <c r="I1884" s="11">
        <v>0.917</v>
      </c>
      <c r="J1884" s="9" t="s">
        <v>71</v>
      </c>
      <c r="K1884" s="14" t="str">
        <f>IFERROR(__xludf.DUMMYFUNCTION("ARRAYFORMULA(VLOOKUP(A1884,IMPORTRANGE(""https://docs.google.com/spreadsheets/d/1BuTWp7qHGjWhqrnf-OmePP568O4A5Am9ttzvVdP67zw/edit#gid=1603210130"", ""TOURISM!$A$2:$F$2692""), {2,3,4,5,6},0))"),"The Americas")</f>
        <v>The Americas</v>
      </c>
      <c r="L1884" s="14">
        <f>IFERROR(__xludf.DUMMYFUNCTION("""COMPUTED_VALUE"""),2.43E8)</f>
        <v>243000000</v>
      </c>
      <c r="M1884" s="14" t="str">
        <f>IFERROR(__xludf.DUMMYFUNCTION("""COMPUTED_VALUE"""),"Paraguay-The Americas")</f>
        <v>Paraguay-The Americas</v>
      </c>
      <c r="N1884" s="14" t="str">
        <f>IFERROR(__xludf.DUMMYFUNCTION("""COMPUTED_VALUE"""),"2010")</f>
        <v>2010</v>
      </c>
      <c r="O1884" s="14">
        <f>IFERROR(__xludf.DUMMYFUNCTION("""COMPUTED_VALUE"""),2.69E8)</f>
        <v>269000000</v>
      </c>
      <c r="P1884" s="15">
        <f>IFERROR(__xludf.DUMMYFUNCTION("ARRAYFORMULA(VLOOKUP(A1884,IMPORTRANGE(""https://docs.google.com/spreadsheets/d/1BuTWp7qHGjWhqrnf-OmePP568O4A5Am9ttzvVdP67zw/edit#gid=771602874"" ,""HUMAN RESOURCES!$A$2:$M$2692""), {2,3,4,5,6,7,8,9,10,11,12,13},0))"),0.024)</f>
        <v>0.024</v>
      </c>
      <c r="Q1884" s="14">
        <f>IFERROR(__xludf.DUMMYFUNCTION("""COMPUTED_VALUE"""),0.021)</f>
        <v>0.021</v>
      </c>
      <c r="R1884" s="14">
        <f>IFERROR(__xludf.DUMMYFUNCTION("""COMPUTED_VALUE"""),74.0)</f>
        <v>74</v>
      </c>
      <c r="S1884" s="14">
        <f>IFERROR(__xludf.DUMMYFUNCTION("""COMPUTED_VALUE"""),70.0)</f>
        <v>70</v>
      </c>
      <c r="T1884" s="14">
        <f>IFERROR(__xludf.DUMMYFUNCTION("""COMPUTED_VALUE"""),0.335)</f>
        <v>0.335</v>
      </c>
      <c r="U1884" s="14">
        <f>IFERROR(__xludf.DUMMYFUNCTION("""COMPUTED_VALUE"""),0.613)</f>
        <v>0.613</v>
      </c>
      <c r="V1884" s="14">
        <f>IFERROR(__xludf.DUMMYFUNCTION("""COMPUTED_VALUE"""),0.052)</f>
        <v>0.052</v>
      </c>
      <c r="W1884" s="14">
        <f>IFERROR(__xludf.DUMMYFUNCTION("""COMPUTED_VALUE"""),6459721.0)</f>
        <v>6459721</v>
      </c>
      <c r="X1884" s="14">
        <f>IFERROR(__xludf.DUMMYFUNCTION("""COMPUTED_VALUE"""),0.585)</f>
        <v>0.585</v>
      </c>
      <c r="Y1884" s="14" t="str">
        <f>IFERROR(__xludf.DUMMYFUNCTION("""COMPUTED_VALUE"""),"Paraguay-The Americas")</f>
        <v>Paraguay-The Americas</v>
      </c>
      <c r="Z1884" s="14" t="str">
        <f>IFERROR(__xludf.DUMMYFUNCTION("""COMPUTED_VALUE"""),"The Americas")</f>
        <v>The Americas</v>
      </c>
      <c r="AA1884" s="14" t="str">
        <f>IFERROR(__xludf.DUMMYFUNCTION("""COMPUTED_VALUE"""),"2010")</f>
        <v>2010</v>
      </c>
      <c r="AB1884" s="15" t="str">
        <f>IFERROR(__xludf.DUMMYFUNCTION("ARRAYFORMULA(VLOOKUP(A1884,IMPORTRANGE(""https://docs.google.com/spreadsheets/d/1BuTWp7qHGjWhqrnf-OmePP568O4A5Am9ttzvVdP67zw/edit#gid=1931367683"" ,""ENERGY!$A$2:$F$2692""), {2,3,4,5,6},0))"),"The Americas")</f>
        <v>The Americas</v>
      </c>
      <c r="AC1884" s="14" t="str">
        <f>IFERROR(__xludf.DUMMYFUNCTION("""COMPUTED_VALUE"""),"Paraguay-The Americas")</f>
        <v>Paraguay-The Americas</v>
      </c>
      <c r="AD1884" s="14" t="str">
        <f>IFERROR(__xludf.DUMMYFUNCTION("""COMPUTED_VALUE"""),"2007")</f>
        <v>2007</v>
      </c>
      <c r="AE1884" s="14">
        <f>IFERROR(__xludf.DUMMYFUNCTION("""COMPUTED_VALUE"""),3885.0)</f>
        <v>3885</v>
      </c>
      <c r="AF1884" s="14">
        <f>IFERROR(__xludf.DUMMYFUNCTION("""COMPUTED_VALUE"""),3898.0)</f>
        <v>3898</v>
      </c>
    </row>
    <row r="1885">
      <c r="A1885" s="12">
        <v>1884.0</v>
      </c>
      <c r="B1885" s="12" t="s">
        <v>223</v>
      </c>
      <c r="C1885" s="5" t="s">
        <v>84</v>
      </c>
      <c r="D1885" s="11">
        <v>0.35</v>
      </c>
      <c r="E1885" s="11">
        <v>35.0</v>
      </c>
      <c r="F1885" s="8"/>
      <c r="G1885" s="11">
        <v>387.0</v>
      </c>
      <c r="H1885" s="11">
        <v>0.248</v>
      </c>
      <c r="I1885" s="11">
        <v>0.993</v>
      </c>
      <c r="J1885" s="9" t="s">
        <v>72</v>
      </c>
      <c r="K1885" s="14" t="str">
        <f>IFERROR(__xludf.DUMMYFUNCTION("ARRAYFORMULA(VLOOKUP(A1885,IMPORTRANGE(""https://docs.google.com/spreadsheets/d/1BuTWp7qHGjWhqrnf-OmePP568O4A5Am9ttzvVdP67zw/edit#gid=1603210130"", ""TOURISM!$A$2:$F$2692""), {2,3,4,5,6},0))"),"The Americas")</f>
        <v>The Americas</v>
      </c>
      <c r="L1885" s="14">
        <f>IFERROR(__xludf.DUMMYFUNCTION("""COMPUTED_VALUE"""),2.81E8)</f>
        <v>281000000</v>
      </c>
      <c r="M1885" s="14" t="str">
        <f>IFERROR(__xludf.DUMMYFUNCTION("""COMPUTED_VALUE"""),"Paraguay-The Americas")</f>
        <v>Paraguay-The Americas</v>
      </c>
      <c r="N1885" s="14" t="str">
        <f>IFERROR(__xludf.DUMMYFUNCTION("""COMPUTED_VALUE"""),"2011")</f>
        <v>2011</v>
      </c>
      <c r="O1885" s="14">
        <f>IFERROR(__xludf.DUMMYFUNCTION("""COMPUTED_VALUE"""),3.09E8)</f>
        <v>309000000</v>
      </c>
      <c r="P1885" s="15">
        <f>IFERROR(__xludf.DUMMYFUNCTION("ARRAYFORMULA(VLOOKUP(A1885,IMPORTRANGE(""https://docs.google.com/spreadsheets/d/1BuTWp7qHGjWhqrnf-OmePP568O4A5Am9ttzvVdP67zw/edit#gid=771602874"" ,""HUMAN RESOURCES!$A$2:$M$2692""), {2,3,4,5,6,7,8,9,10,11,12,13},0))"),0.024)</f>
        <v>0.024</v>
      </c>
      <c r="Q1885" s="14">
        <f>IFERROR(__xludf.DUMMYFUNCTION("""COMPUTED_VALUE"""),0.02)</f>
        <v>0.02</v>
      </c>
      <c r="R1885" s="14">
        <f>IFERROR(__xludf.DUMMYFUNCTION("""COMPUTED_VALUE"""),74.0)</f>
        <v>74</v>
      </c>
      <c r="S1885" s="14">
        <f>IFERROR(__xludf.DUMMYFUNCTION("""COMPUTED_VALUE"""),70.0)</f>
        <v>70</v>
      </c>
      <c r="T1885" s="14">
        <f>IFERROR(__xludf.DUMMYFUNCTION("""COMPUTED_VALUE"""),0.331)</f>
        <v>0.331</v>
      </c>
      <c r="U1885" s="14">
        <f>IFERROR(__xludf.DUMMYFUNCTION("""COMPUTED_VALUE"""),0.616)</f>
        <v>0.616</v>
      </c>
      <c r="V1885" s="14">
        <f>IFERROR(__xludf.DUMMYFUNCTION("""COMPUTED_VALUE"""),0.053)</f>
        <v>0.053</v>
      </c>
      <c r="W1885" s="14">
        <f>IFERROR(__xludf.DUMMYFUNCTION("""COMPUTED_VALUE"""),6573097.0)</f>
        <v>6573097</v>
      </c>
      <c r="X1885" s="14">
        <f>IFERROR(__xludf.DUMMYFUNCTION("""COMPUTED_VALUE"""),0.587)</f>
        <v>0.587</v>
      </c>
      <c r="Y1885" s="14" t="str">
        <f>IFERROR(__xludf.DUMMYFUNCTION("""COMPUTED_VALUE"""),"Paraguay-The Americas")</f>
        <v>Paraguay-The Americas</v>
      </c>
      <c r="Z1885" s="14" t="str">
        <f>IFERROR(__xludf.DUMMYFUNCTION("""COMPUTED_VALUE"""),"The Americas")</f>
        <v>The Americas</v>
      </c>
      <c r="AA1885" s="14" t="str">
        <f>IFERROR(__xludf.DUMMYFUNCTION("""COMPUTED_VALUE"""),"2011")</f>
        <v>2011</v>
      </c>
      <c r="AB1885" s="15" t="str">
        <f>IFERROR(__xludf.DUMMYFUNCTION("ARRAYFORMULA(VLOOKUP(A1885,IMPORTRANGE(""https://docs.google.com/spreadsheets/d/1BuTWp7qHGjWhqrnf-OmePP568O4A5Am9ttzvVdP67zw/edit#gid=1931367683"" ,""ENERGY!$A$2:$F$2692""), {2,3,4,5,6},0))"),"The Americas")</f>
        <v>The Americas</v>
      </c>
      <c r="AC1885" s="14" t="str">
        <f>IFERROR(__xludf.DUMMYFUNCTION("""COMPUTED_VALUE"""),"Paraguay-The Americas")</f>
        <v>Paraguay-The Americas</v>
      </c>
      <c r="AD1885" s="14" t="str">
        <f>IFERROR(__xludf.DUMMYFUNCTION("""COMPUTED_VALUE"""),"2006")</f>
        <v>2006</v>
      </c>
      <c r="AE1885" s="14">
        <f>IFERROR(__xludf.DUMMYFUNCTION("""COMPUTED_VALUE"""),3919.0)</f>
        <v>3919</v>
      </c>
      <c r="AF1885" s="14">
        <f>IFERROR(__xludf.DUMMYFUNCTION("""COMPUTED_VALUE"""),3821.0)</f>
        <v>3821</v>
      </c>
    </row>
    <row r="1886">
      <c r="A1886" s="12">
        <v>1885.0</v>
      </c>
      <c r="B1886" s="12" t="s">
        <v>223</v>
      </c>
      <c r="C1886" s="5" t="s">
        <v>84</v>
      </c>
      <c r="D1886" s="11">
        <v>0.35</v>
      </c>
      <c r="E1886" s="11">
        <v>35.0</v>
      </c>
      <c r="F1886" s="11">
        <v>107.0</v>
      </c>
      <c r="G1886" s="11">
        <v>387.0</v>
      </c>
      <c r="H1886" s="11">
        <v>0.293</v>
      </c>
      <c r="I1886" s="11">
        <v>1.016</v>
      </c>
      <c r="J1886" s="9" t="s">
        <v>73</v>
      </c>
      <c r="K1886" s="14" t="str">
        <f>IFERROR(__xludf.DUMMYFUNCTION("ARRAYFORMULA(VLOOKUP(A1886,IMPORTRANGE(""https://docs.google.com/spreadsheets/d/1BuTWp7qHGjWhqrnf-OmePP568O4A5Am9ttzvVdP67zw/edit#gid=1603210130"", ""TOURISM!$A$2:$F$2692""), {2,3,4,5,6},0))"),"The Americas")</f>
        <v>The Americas</v>
      </c>
      <c r="L1886" s="14">
        <f>IFERROR(__xludf.DUMMYFUNCTION("""COMPUTED_VALUE"""),2.65E8)</f>
        <v>265000000</v>
      </c>
      <c r="M1886" s="14" t="str">
        <f>IFERROR(__xludf.DUMMYFUNCTION("""COMPUTED_VALUE"""),"Paraguay-The Americas")</f>
        <v>Paraguay-The Americas</v>
      </c>
      <c r="N1886" s="14" t="str">
        <f>IFERROR(__xludf.DUMMYFUNCTION("""COMPUTED_VALUE"""),"2012")</f>
        <v>2012</v>
      </c>
      <c r="O1886" s="14">
        <f>IFERROR(__xludf.DUMMYFUNCTION("""COMPUTED_VALUE"""),3.41E8)</f>
        <v>341000000</v>
      </c>
      <c r="P1886" s="15">
        <f>IFERROR(__xludf.DUMMYFUNCTION("ARRAYFORMULA(VLOOKUP(A1886,IMPORTRANGE(""https://docs.google.com/spreadsheets/d/1BuTWp7qHGjWhqrnf-OmePP568O4A5Am9ttzvVdP67zw/edit#gid=771602874"" ,""HUMAN RESOURCES!$A$2:$M$2692""), {2,3,4,5,6,7,8,9,10,11,12,13},0))"),0.024)</f>
        <v>0.024</v>
      </c>
      <c r="Q1886" s="14">
        <f>IFERROR(__xludf.DUMMYFUNCTION("""COMPUTED_VALUE"""),0.019)</f>
        <v>0.019</v>
      </c>
      <c r="R1886" s="14">
        <f>IFERROR(__xludf.DUMMYFUNCTION("""COMPUTED_VALUE"""),74.0)</f>
        <v>74</v>
      </c>
      <c r="S1886" s="14">
        <f>IFERROR(__xludf.DUMMYFUNCTION("""COMPUTED_VALUE"""),70.0)</f>
        <v>70</v>
      </c>
      <c r="T1886" s="14">
        <f>IFERROR(__xludf.DUMMYFUNCTION("""COMPUTED_VALUE"""),0.328)</f>
        <v>0.328</v>
      </c>
      <c r="U1886" s="14">
        <f>IFERROR(__xludf.DUMMYFUNCTION("""COMPUTED_VALUE"""),0.619)</f>
        <v>0.619</v>
      </c>
      <c r="V1886" s="14">
        <f>IFERROR(__xludf.DUMMYFUNCTION("""COMPUTED_VALUE"""),0.054)</f>
        <v>0.054</v>
      </c>
      <c r="W1886" s="14">
        <f>IFERROR(__xludf.DUMMYFUNCTION("""COMPUTED_VALUE"""),6687361.0)</f>
        <v>6687361</v>
      </c>
      <c r="X1886" s="14">
        <f>IFERROR(__xludf.DUMMYFUNCTION("""COMPUTED_VALUE"""),0.589)</f>
        <v>0.589</v>
      </c>
      <c r="Y1886" s="14" t="str">
        <f>IFERROR(__xludf.DUMMYFUNCTION("""COMPUTED_VALUE"""),"Paraguay-The Americas")</f>
        <v>Paraguay-The Americas</v>
      </c>
      <c r="Z1886" s="14" t="str">
        <f>IFERROR(__xludf.DUMMYFUNCTION("""COMPUTED_VALUE"""),"The Americas")</f>
        <v>The Americas</v>
      </c>
      <c r="AA1886" s="14" t="str">
        <f>IFERROR(__xludf.DUMMYFUNCTION("""COMPUTED_VALUE"""),"2012")</f>
        <v>2012</v>
      </c>
      <c r="AB1886" s="15" t="str">
        <f>IFERROR(__xludf.DUMMYFUNCTION("ARRAYFORMULA(VLOOKUP(A1886,IMPORTRANGE(""https://docs.google.com/spreadsheets/d/1BuTWp7qHGjWhqrnf-OmePP568O4A5Am9ttzvVdP67zw/edit#gid=1931367683"" ,""ENERGY!$A$2:$F$2692""), {2,3,4,5,6},0))"),"The Americas")</f>
        <v>The Americas</v>
      </c>
      <c r="AC1886" s="14" t="str">
        <f>IFERROR(__xludf.DUMMYFUNCTION("""COMPUTED_VALUE"""),"Paraguay-The Americas")</f>
        <v>Paraguay-The Americas</v>
      </c>
      <c r="AD1886" s="14" t="str">
        <f>IFERROR(__xludf.DUMMYFUNCTION("""COMPUTED_VALUE"""),"2011")</f>
        <v>2011</v>
      </c>
      <c r="AE1886" s="14">
        <f>IFERROR(__xludf.DUMMYFUNCTION("""COMPUTED_VALUE"""),3850.0)</f>
        <v>3850</v>
      </c>
      <c r="AF1886" s="14">
        <f>IFERROR(__xludf.DUMMYFUNCTION("""COMPUTED_VALUE"""),3689.0)</f>
        <v>3689</v>
      </c>
    </row>
    <row r="1887">
      <c r="A1887" s="12">
        <v>1886.0</v>
      </c>
      <c r="B1887" s="12" t="s">
        <v>224</v>
      </c>
      <c r="C1887" s="5" t="s">
        <v>84</v>
      </c>
      <c r="D1887" s="8"/>
      <c r="E1887" s="8"/>
      <c r="F1887" s="8"/>
      <c r="G1887" s="8"/>
      <c r="H1887" s="11">
        <v>0.031</v>
      </c>
      <c r="I1887" s="11">
        <v>0.049</v>
      </c>
      <c r="J1887" s="9" t="s">
        <v>60</v>
      </c>
      <c r="K1887" s="14" t="str">
        <f>IFERROR(__xludf.DUMMYFUNCTION("ARRAYFORMULA(VLOOKUP(A1887,IMPORTRANGE(""https://docs.google.com/spreadsheets/d/1BuTWp7qHGjWhqrnf-OmePP568O4A5Am9ttzvVdP67zw/edit#gid=1603210130"", ""TOURISM!$A$2:$F$2692""), {2,3,4,5,6},0))"),"The Americas")</f>
        <v>The Americas</v>
      </c>
      <c r="L1887" s="14">
        <f>IFERROR(__xludf.DUMMYFUNCTION("""COMPUTED_VALUE"""),8.61E8)</f>
        <v>861000000</v>
      </c>
      <c r="M1887" s="14" t="str">
        <f>IFERROR(__xludf.DUMMYFUNCTION("""COMPUTED_VALUE"""),"Peru-The Americas")</f>
        <v>Peru-The Americas</v>
      </c>
      <c r="N1887" s="14" t="str">
        <f>IFERROR(__xludf.DUMMYFUNCTION("""COMPUTED_VALUE"""),"2000")</f>
        <v>2000</v>
      </c>
      <c r="O1887" s="14">
        <f>IFERROR(__xludf.DUMMYFUNCTION("""COMPUTED_VALUE"""),6.41E8)</f>
        <v>641000000</v>
      </c>
      <c r="P1887" s="15">
        <f>IFERROR(__xludf.DUMMYFUNCTION("ARRAYFORMULA(VLOOKUP(A1887,IMPORTRANGE(""https://docs.google.com/spreadsheets/d/1BuTWp7qHGjWhqrnf-OmePP568O4A5Am9ttzvVdP67zw/edit#gid=771602874"" ,""HUMAN RESOURCES!$A$2:$M$2692""), {2,3,4,5,6,7,8,9,10,11,12,13},0))"),0.024)</f>
        <v>0.024</v>
      </c>
      <c r="Q1887" s="14">
        <f>IFERROR(__xludf.DUMMYFUNCTION("""COMPUTED_VALUE"""),0.03)</f>
        <v>0.03</v>
      </c>
      <c r="R1887" s="14">
        <f>IFERROR(__xludf.DUMMYFUNCTION("""COMPUTED_VALUE"""),73.0)</f>
        <v>73</v>
      </c>
      <c r="S1887" s="14">
        <f>IFERROR(__xludf.DUMMYFUNCTION("""COMPUTED_VALUE"""),68.0)</f>
        <v>68</v>
      </c>
      <c r="T1887" s="14">
        <f>IFERROR(__xludf.DUMMYFUNCTION("""COMPUTED_VALUE"""),0.341)</f>
        <v>0.341</v>
      </c>
      <c r="U1887" s="14">
        <f>IFERROR(__xludf.DUMMYFUNCTION("""COMPUTED_VALUE"""),0.611)</f>
        <v>0.611</v>
      </c>
      <c r="V1887" s="14">
        <f>IFERROR(__xludf.DUMMYFUNCTION("""COMPUTED_VALUE"""),0.048)</f>
        <v>0.048</v>
      </c>
      <c r="W1887" s="14">
        <f>IFERROR(__xludf.DUMMYFUNCTION("""COMPUTED_VALUE"""),2.600008E7)</f>
        <v>26000080</v>
      </c>
      <c r="X1887" s="14">
        <f>IFERROR(__xludf.DUMMYFUNCTION("""COMPUTED_VALUE"""),0.73)</f>
        <v>0.73</v>
      </c>
      <c r="Y1887" s="14" t="str">
        <f>IFERROR(__xludf.DUMMYFUNCTION("""COMPUTED_VALUE"""),"Peru-The Americas")</f>
        <v>Peru-The Americas</v>
      </c>
      <c r="Z1887" s="14" t="str">
        <f>IFERROR(__xludf.DUMMYFUNCTION("""COMPUTED_VALUE"""),"The Americas")</f>
        <v>The Americas</v>
      </c>
      <c r="AA1887" s="14" t="str">
        <f>IFERROR(__xludf.DUMMYFUNCTION("""COMPUTED_VALUE"""),"2000")</f>
        <v>2000</v>
      </c>
      <c r="AB1887" s="15" t="str">
        <f>IFERROR(__xludf.DUMMYFUNCTION("ARRAYFORMULA(VLOOKUP(A1887,IMPORTRANGE(""https://docs.google.com/spreadsheets/d/1BuTWp7qHGjWhqrnf-OmePP568O4A5Am9ttzvVdP67zw/edit#gid=1931367683"" ,""ENERGY!$A$2:$F$2692""), {2,3,4,5,6},0))"),"The Americas")</f>
        <v>The Americas</v>
      </c>
      <c r="AC1887" s="14" t="str">
        <f>IFERROR(__xludf.DUMMYFUNCTION("""COMPUTED_VALUE"""),"Peru-The Americas")</f>
        <v>Peru-The Americas</v>
      </c>
      <c r="AD1887" s="14" t="str">
        <f>IFERROR(__xludf.DUMMYFUNCTION("""COMPUTED_VALUE"""),"2000")</f>
        <v>2000</v>
      </c>
      <c r="AE1887" s="14"/>
      <c r="AF1887" s="14"/>
    </row>
    <row r="1888">
      <c r="A1888" s="12">
        <v>1887.0</v>
      </c>
      <c r="B1888" s="12" t="s">
        <v>224</v>
      </c>
      <c r="C1888" s="5" t="s">
        <v>84</v>
      </c>
      <c r="D1888" s="8"/>
      <c r="E1888" s="8"/>
      <c r="F1888" s="8"/>
      <c r="G1888" s="8"/>
      <c r="H1888" s="11">
        <v>0.076</v>
      </c>
      <c r="I1888" s="11">
        <v>0.068</v>
      </c>
      <c r="J1888" s="9" t="s">
        <v>62</v>
      </c>
      <c r="K1888" s="14" t="str">
        <f>IFERROR(__xludf.DUMMYFUNCTION("ARRAYFORMULA(VLOOKUP(A1888,IMPORTRANGE(""https://docs.google.com/spreadsheets/d/1BuTWp7qHGjWhqrnf-OmePP568O4A5Am9ttzvVdP67zw/edit#gid=1603210130"", ""TOURISM!$A$2:$F$2692""), {2,3,4,5,6},0))"),"The Americas")</f>
        <v>The Americas</v>
      </c>
      <c r="L1888" s="14">
        <f>IFERROR(__xludf.DUMMYFUNCTION("""COMPUTED_VALUE"""),7.63E8)</f>
        <v>763000000</v>
      </c>
      <c r="M1888" s="14" t="str">
        <f>IFERROR(__xludf.DUMMYFUNCTION("""COMPUTED_VALUE"""),"Peru-The Americas")</f>
        <v>Peru-The Americas</v>
      </c>
      <c r="N1888" s="14" t="str">
        <f>IFERROR(__xludf.DUMMYFUNCTION("""COMPUTED_VALUE"""),"2001")</f>
        <v>2001</v>
      </c>
      <c r="O1888" s="14">
        <f>IFERROR(__xludf.DUMMYFUNCTION("""COMPUTED_VALUE"""),7.73E8)</f>
        <v>773000000</v>
      </c>
      <c r="P1888" s="15">
        <f>IFERROR(__xludf.DUMMYFUNCTION("ARRAYFORMULA(VLOOKUP(A1888,IMPORTRANGE(""https://docs.google.com/spreadsheets/d/1BuTWp7qHGjWhqrnf-OmePP568O4A5Am9ttzvVdP67zw/edit#gid=771602874"" ,""HUMAN RESOURCES!$A$2:$M$2692""), {2,3,4,5,6,7,8,9,10,11,12,13},0))"),0.024)</f>
        <v>0.024</v>
      </c>
      <c r="Q1888" s="14">
        <f>IFERROR(__xludf.DUMMYFUNCTION("""COMPUTED_VALUE"""),0.028)</f>
        <v>0.028</v>
      </c>
      <c r="R1888" s="14">
        <f>IFERROR(__xludf.DUMMYFUNCTION("""COMPUTED_VALUE"""),74.0)</f>
        <v>74</v>
      </c>
      <c r="S1888" s="14">
        <f>IFERROR(__xludf.DUMMYFUNCTION("""COMPUTED_VALUE"""),68.0)</f>
        <v>68</v>
      </c>
      <c r="T1888" s="14">
        <f>IFERROR(__xludf.DUMMYFUNCTION("""COMPUTED_VALUE"""),0.337)</f>
        <v>0.337</v>
      </c>
      <c r="U1888" s="14">
        <f>IFERROR(__xludf.DUMMYFUNCTION("""COMPUTED_VALUE"""),0.614)</f>
        <v>0.614</v>
      </c>
      <c r="V1888" s="14">
        <f>IFERROR(__xludf.DUMMYFUNCTION("""COMPUTED_VALUE"""),0.049)</f>
        <v>0.049</v>
      </c>
      <c r="W1888" s="14">
        <f>IFERROR(__xludf.DUMMYFUNCTION("""COMPUTED_VALUE"""),2.6372358E7)</f>
        <v>26372358</v>
      </c>
      <c r="X1888" s="14">
        <f>IFERROR(__xludf.DUMMYFUNCTION("""COMPUTED_VALUE"""),0.734)</f>
        <v>0.734</v>
      </c>
      <c r="Y1888" s="14" t="str">
        <f>IFERROR(__xludf.DUMMYFUNCTION("""COMPUTED_VALUE"""),"Peru-The Americas")</f>
        <v>Peru-The Americas</v>
      </c>
      <c r="Z1888" s="14" t="str">
        <f>IFERROR(__xludf.DUMMYFUNCTION("""COMPUTED_VALUE"""),"The Americas")</f>
        <v>The Americas</v>
      </c>
      <c r="AA1888" s="14" t="str">
        <f>IFERROR(__xludf.DUMMYFUNCTION("""COMPUTED_VALUE"""),"2001")</f>
        <v>2001</v>
      </c>
      <c r="AB1888" s="15" t="str">
        <f>IFERROR(__xludf.DUMMYFUNCTION("ARRAYFORMULA(VLOOKUP(A1888,IMPORTRANGE(""https://docs.google.com/spreadsheets/d/1BuTWp7qHGjWhqrnf-OmePP568O4A5Am9ttzvVdP67zw/edit#gid=1931367683"" ,""ENERGY!$A$2:$F$2692""), {2,3,4,5,6},0))"),"The Americas")</f>
        <v>The Americas</v>
      </c>
      <c r="AC1888" s="14" t="str">
        <f>IFERROR(__xludf.DUMMYFUNCTION("""COMPUTED_VALUE"""),"Peru-The Americas")</f>
        <v>Peru-The Americas</v>
      </c>
      <c r="AD1888" s="14" t="str">
        <f>IFERROR(__xludf.DUMMYFUNCTION("""COMPUTED_VALUE"""),"2001")</f>
        <v>2001</v>
      </c>
      <c r="AE1888" s="14">
        <f>IFERROR(__xludf.DUMMYFUNCTION("""COMPUTED_VALUE"""),20582.0)</f>
        <v>20582</v>
      </c>
      <c r="AF1888" s="14"/>
    </row>
    <row r="1889">
      <c r="A1889" s="12">
        <v>1888.0</v>
      </c>
      <c r="B1889" s="12" t="s">
        <v>224</v>
      </c>
      <c r="C1889" s="5" t="s">
        <v>84</v>
      </c>
      <c r="D1889" s="8"/>
      <c r="E1889" s="8"/>
      <c r="F1889" s="8"/>
      <c r="G1889" s="8"/>
      <c r="H1889" s="11">
        <v>0.09</v>
      </c>
      <c r="I1889" s="11">
        <v>0.086</v>
      </c>
      <c r="J1889" s="9" t="s">
        <v>63</v>
      </c>
      <c r="K1889" s="14" t="str">
        <f>IFERROR(__xludf.DUMMYFUNCTION("ARRAYFORMULA(VLOOKUP(A1889,IMPORTRANGE(""https://docs.google.com/spreadsheets/d/1BuTWp7qHGjWhqrnf-OmePP568O4A5Am9ttzvVdP67zw/edit#gid=1603210130"", ""TOURISM!$A$2:$F$2692""), {2,3,4,5,6},0))"),"The Americas")</f>
        <v>The Americas</v>
      </c>
      <c r="L1889" s="14">
        <f>IFERROR(__xludf.DUMMYFUNCTION("""COMPUTED_VALUE"""),8.36E8)</f>
        <v>836000000</v>
      </c>
      <c r="M1889" s="14" t="str">
        <f>IFERROR(__xludf.DUMMYFUNCTION("""COMPUTED_VALUE"""),"Peru-The Americas")</f>
        <v>Peru-The Americas</v>
      </c>
      <c r="N1889" s="14" t="str">
        <f>IFERROR(__xludf.DUMMYFUNCTION("""COMPUTED_VALUE"""),"2002")</f>
        <v>2002</v>
      </c>
      <c r="O1889" s="14">
        <f>IFERROR(__xludf.DUMMYFUNCTION("""COMPUTED_VALUE"""),8.06E8)</f>
        <v>806000000</v>
      </c>
      <c r="P1889" s="15">
        <f>IFERROR(__xludf.DUMMYFUNCTION("ARRAYFORMULA(VLOOKUP(A1889,IMPORTRANGE(""https://docs.google.com/spreadsheets/d/1BuTWp7qHGjWhqrnf-OmePP568O4A5Am9ttzvVdP67zw/edit#gid=771602874"" ,""HUMAN RESOURCES!$A$2:$M$2692""), {2,3,4,5,6,7,8,9,10,11,12,13},0))"),0.023)</f>
        <v>0.023</v>
      </c>
      <c r="Q1889" s="14">
        <f>IFERROR(__xludf.DUMMYFUNCTION("""COMPUTED_VALUE"""),0.026)</f>
        <v>0.026</v>
      </c>
      <c r="R1889" s="14">
        <f>IFERROR(__xludf.DUMMYFUNCTION("""COMPUTED_VALUE"""),74.0)</f>
        <v>74</v>
      </c>
      <c r="S1889" s="14">
        <f>IFERROR(__xludf.DUMMYFUNCTION("""COMPUTED_VALUE"""),69.0)</f>
        <v>69</v>
      </c>
      <c r="T1889" s="14">
        <f>IFERROR(__xludf.DUMMYFUNCTION("""COMPUTED_VALUE"""),0.333)</f>
        <v>0.333</v>
      </c>
      <c r="U1889" s="14">
        <f>IFERROR(__xludf.DUMMYFUNCTION("""COMPUTED_VALUE"""),0.617)</f>
        <v>0.617</v>
      </c>
      <c r="V1889" s="14">
        <f>IFERROR(__xludf.DUMMYFUNCTION("""COMPUTED_VALUE"""),0.051)</f>
        <v>0.051</v>
      </c>
      <c r="W1889" s="14">
        <f>IFERROR(__xludf.DUMMYFUNCTION("""COMPUTED_VALUE"""),2.6729909E7)</f>
        <v>26729909</v>
      </c>
      <c r="X1889" s="14">
        <f>IFERROR(__xludf.DUMMYFUNCTION("""COMPUTED_VALUE"""),0.739)</f>
        <v>0.739</v>
      </c>
      <c r="Y1889" s="14" t="str">
        <f>IFERROR(__xludf.DUMMYFUNCTION("""COMPUTED_VALUE"""),"Peru-The Americas")</f>
        <v>Peru-The Americas</v>
      </c>
      <c r="Z1889" s="14" t="str">
        <f>IFERROR(__xludf.DUMMYFUNCTION("""COMPUTED_VALUE"""),"The Americas")</f>
        <v>The Americas</v>
      </c>
      <c r="AA1889" s="14" t="str">
        <f>IFERROR(__xludf.DUMMYFUNCTION("""COMPUTED_VALUE"""),"2002")</f>
        <v>2002</v>
      </c>
      <c r="AB1889" s="15" t="str">
        <f>IFERROR(__xludf.DUMMYFUNCTION("ARRAYFORMULA(VLOOKUP(A1889,IMPORTRANGE(""https://docs.google.com/spreadsheets/d/1BuTWp7qHGjWhqrnf-OmePP568O4A5Am9ttzvVdP67zw/edit#gid=1931367683"" ,""ENERGY!$A$2:$F$2692""), {2,3,4,5,6},0))"),"The Americas")</f>
        <v>The Americas</v>
      </c>
      <c r="AC1889" s="14" t="str">
        <f>IFERROR(__xludf.DUMMYFUNCTION("""COMPUTED_VALUE"""),"Peru-The Americas")</f>
        <v>Peru-The Americas</v>
      </c>
      <c r="AD1889" s="14" t="str">
        <f>IFERROR(__xludf.DUMMYFUNCTION("""COMPUTED_VALUE"""),"2002")</f>
        <v>2002</v>
      </c>
      <c r="AE1889" s="14">
        <f>IFERROR(__xludf.DUMMYFUNCTION("""COMPUTED_VALUE"""),19207.0)</f>
        <v>19207</v>
      </c>
      <c r="AF1889" s="14">
        <f>IFERROR(__xludf.DUMMYFUNCTION("""COMPUTED_VALUE"""),57579.0)</f>
        <v>57579</v>
      </c>
    </row>
    <row r="1890">
      <c r="A1890" s="12">
        <v>1889.0</v>
      </c>
      <c r="B1890" s="12" t="s">
        <v>224</v>
      </c>
      <c r="C1890" s="5" t="s">
        <v>84</v>
      </c>
      <c r="D1890" s="8"/>
      <c r="E1890" s="11">
        <v>98.0</v>
      </c>
      <c r="F1890" s="8"/>
      <c r="G1890" s="8"/>
      <c r="H1890" s="11">
        <v>0.116</v>
      </c>
      <c r="I1890" s="11">
        <v>0.108</v>
      </c>
      <c r="J1890" s="9" t="s">
        <v>64</v>
      </c>
      <c r="K1890" s="14" t="str">
        <f>IFERROR(__xludf.DUMMYFUNCTION("ARRAYFORMULA(VLOOKUP(A1890,IMPORTRANGE(""https://docs.google.com/spreadsheets/d/1BuTWp7qHGjWhqrnf-OmePP568O4A5Am9ttzvVdP67zw/edit#gid=1603210130"", ""TOURISM!$A$2:$F$2692""), {2,3,4,5,6},0))"),"The Americas")</f>
        <v>The Americas</v>
      </c>
      <c r="L1890" s="14">
        <f>IFERROR(__xludf.DUMMYFUNCTION("""COMPUTED_VALUE"""),1.023E9)</f>
        <v>1023000000</v>
      </c>
      <c r="M1890" s="14" t="str">
        <f>IFERROR(__xludf.DUMMYFUNCTION("""COMPUTED_VALUE"""),"Peru-The Americas")</f>
        <v>Peru-The Americas</v>
      </c>
      <c r="N1890" s="14" t="str">
        <f>IFERROR(__xludf.DUMMYFUNCTION("""COMPUTED_VALUE"""),"2003")</f>
        <v>2003</v>
      </c>
      <c r="O1890" s="14">
        <f>IFERROR(__xludf.DUMMYFUNCTION("""COMPUTED_VALUE"""),8.47E8)</f>
        <v>847000000</v>
      </c>
      <c r="P1890" s="15">
        <f>IFERROR(__xludf.DUMMYFUNCTION("ARRAYFORMULA(VLOOKUP(A1890,IMPORTRANGE(""https://docs.google.com/spreadsheets/d/1BuTWp7qHGjWhqrnf-OmePP568O4A5Am9ttzvVdP67zw/edit#gid=771602874"" ,""HUMAN RESOURCES!$A$2:$M$2692""), {2,3,4,5,6,7,8,9,10,11,12,13},0))"),0.023)</f>
        <v>0.023</v>
      </c>
      <c r="Q1890" s="14">
        <f>IFERROR(__xludf.DUMMYFUNCTION("""COMPUTED_VALUE"""),0.025)</f>
        <v>0.025</v>
      </c>
      <c r="R1890" s="14">
        <f>IFERROR(__xludf.DUMMYFUNCTION("""COMPUTED_VALUE"""),74.0)</f>
        <v>74</v>
      </c>
      <c r="S1890" s="14">
        <f>IFERROR(__xludf.DUMMYFUNCTION("""COMPUTED_VALUE"""),69.0)</f>
        <v>69</v>
      </c>
      <c r="T1890" s="14">
        <f>IFERROR(__xludf.DUMMYFUNCTION("""COMPUTED_VALUE"""),0.328)</f>
        <v>0.328</v>
      </c>
      <c r="U1890" s="14">
        <f>IFERROR(__xludf.DUMMYFUNCTION("""COMPUTED_VALUE"""),0.62)</f>
        <v>0.62</v>
      </c>
      <c r="V1890" s="14">
        <f>IFERROR(__xludf.DUMMYFUNCTION("""COMPUTED_VALUE"""),0.052)</f>
        <v>0.052</v>
      </c>
      <c r="W1890" s="14">
        <f>IFERROR(__xludf.DUMMYFUNCTION("""COMPUTED_VALUE"""),2.7073334E7)</f>
        <v>27073334</v>
      </c>
      <c r="X1890" s="14">
        <f>IFERROR(__xludf.DUMMYFUNCTION("""COMPUTED_VALUE"""),0.742)</f>
        <v>0.742</v>
      </c>
      <c r="Y1890" s="14" t="str">
        <f>IFERROR(__xludf.DUMMYFUNCTION("""COMPUTED_VALUE"""),"Peru-The Americas")</f>
        <v>Peru-The Americas</v>
      </c>
      <c r="Z1890" s="14" t="str">
        <f>IFERROR(__xludf.DUMMYFUNCTION("""COMPUTED_VALUE"""),"The Americas")</f>
        <v>The Americas</v>
      </c>
      <c r="AA1890" s="14" t="str">
        <f>IFERROR(__xludf.DUMMYFUNCTION("""COMPUTED_VALUE"""),"2003")</f>
        <v>2003</v>
      </c>
      <c r="AB1890" s="15" t="str">
        <f>IFERROR(__xludf.DUMMYFUNCTION("ARRAYFORMULA(VLOOKUP(A1890,IMPORTRANGE(""https://docs.google.com/spreadsheets/d/1BuTWp7qHGjWhqrnf-OmePP568O4A5Am9ttzvVdP67zw/edit#gid=1931367683"" ,""ENERGY!$A$2:$F$2692""), {2,3,4,5,6},0))"),"The Americas")</f>
        <v>The Americas</v>
      </c>
      <c r="AC1890" s="14" t="str">
        <f>IFERROR(__xludf.DUMMYFUNCTION("""COMPUTED_VALUE"""),"Peru-The Americas")</f>
        <v>Peru-The Americas</v>
      </c>
      <c r="AD1890" s="14" t="str">
        <f>IFERROR(__xludf.DUMMYFUNCTION("""COMPUTED_VALUE"""),"2003")</f>
        <v>2003</v>
      </c>
      <c r="AE1890" s="14">
        <f>IFERROR(__xludf.DUMMYFUNCTION("""COMPUTED_VALUE"""),17200.0)</f>
        <v>17200</v>
      </c>
      <c r="AF1890" s="14">
        <f>IFERROR(__xludf.DUMMYFUNCTION("""COMPUTED_VALUE"""),47356.0)</f>
        <v>47356</v>
      </c>
    </row>
    <row r="1891">
      <c r="A1891" s="12">
        <v>1890.0</v>
      </c>
      <c r="B1891" s="12" t="s">
        <v>224</v>
      </c>
      <c r="C1891" s="5" t="s">
        <v>84</v>
      </c>
      <c r="D1891" s="8"/>
      <c r="E1891" s="11">
        <v>98.0</v>
      </c>
      <c r="F1891" s="8"/>
      <c r="G1891" s="8"/>
      <c r="H1891" s="11">
        <v>0.141</v>
      </c>
      <c r="I1891" s="11">
        <v>0.149</v>
      </c>
      <c r="J1891" s="9" t="s">
        <v>65</v>
      </c>
      <c r="K1891" s="14" t="str">
        <f>IFERROR(__xludf.DUMMYFUNCTION("ARRAYFORMULA(VLOOKUP(A1891,IMPORTRANGE(""https://docs.google.com/spreadsheets/d/1BuTWp7qHGjWhqrnf-OmePP568O4A5Am9ttzvVdP67zw/edit#gid=1603210130"", ""TOURISM!$A$2:$F$2692""), {2,3,4,5,6},0))"),"The Americas")</f>
        <v>The Americas</v>
      </c>
      <c r="L1891" s="14">
        <f>IFERROR(__xludf.DUMMYFUNCTION("""COMPUTED_VALUE"""),1.232E9)</f>
        <v>1232000000</v>
      </c>
      <c r="M1891" s="14" t="str">
        <f>IFERROR(__xludf.DUMMYFUNCTION("""COMPUTED_VALUE"""),"Peru-The Americas")</f>
        <v>Peru-The Americas</v>
      </c>
      <c r="N1891" s="14" t="str">
        <f>IFERROR(__xludf.DUMMYFUNCTION("""COMPUTED_VALUE"""),"2004")</f>
        <v>2004</v>
      </c>
      <c r="O1891" s="14">
        <f>IFERROR(__xludf.DUMMYFUNCTION("""COMPUTED_VALUE"""),8.52E8)</f>
        <v>852000000</v>
      </c>
      <c r="P1891" s="15">
        <f>IFERROR(__xludf.DUMMYFUNCTION("ARRAYFORMULA(VLOOKUP(A1891,IMPORTRANGE(""https://docs.google.com/spreadsheets/d/1BuTWp7qHGjWhqrnf-OmePP568O4A5Am9ttzvVdP67zw/edit#gid=771602874"" ,""HUMAN RESOURCES!$A$2:$M$2692""), {2,3,4,5,6,7,8,9,10,11,12,13},0))"),0.022)</f>
        <v>0.022</v>
      </c>
      <c r="Q1891" s="14">
        <f>IFERROR(__xludf.DUMMYFUNCTION("""COMPUTED_VALUE"""),0.023)</f>
        <v>0.023</v>
      </c>
      <c r="R1891" s="14">
        <f>IFERROR(__xludf.DUMMYFUNCTION("""COMPUTED_VALUE"""),75.0)</f>
        <v>75</v>
      </c>
      <c r="S1891" s="14">
        <f>IFERROR(__xludf.DUMMYFUNCTION("""COMPUTED_VALUE"""),69.0)</f>
        <v>69</v>
      </c>
      <c r="T1891" s="14">
        <f>IFERROR(__xludf.DUMMYFUNCTION("""COMPUTED_VALUE"""),0.324)</f>
        <v>0.324</v>
      </c>
      <c r="U1891" s="14">
        <f>IFERROR(__xludf.DUMMYFUNCTION("""COMPUTED_VALUE"""),0.623)</f>
        <v>0.623</v>
      </c>
      <c r="V1891" s="14">
        <f>IFERROR(__xludf.DUMMYFUNCTION("""COMPUTED_VALUE"""),0.053)</f>
        <v>0.053</v>
      </c>
      <c r="W1891" s="14">
        <f>IFERROR(__xludf.DUMMYFUNCTION("""COMPUTED_VALUE"""),2.7403845E7)</f>
        <v>27403845</v>
      </c>
      <c r="X1891" s="14">
        <f>IFERROR(__xludf.DUMMYFUNCTION("""COMPUTED_VALUE"""),0.746)</f>
        <v>0.746</v>
      </c>
      <c r="Y1891" s="14" t="str">
        <f>IFERROR(__xludf.DUMMYFUNCTION("""COMPUTED_VALUE"""),"Peru-The Americas")</f>
        <v>Peru-The Americas</v>
      </c>
      <c r="Z1891" s="14" t="str">
        <f>IFERROR(__xludf.DUMMYFUNCTION("""COMPUTED_VALUE"""),"The Americas")</f>
        <v>The Americas</v>
      </c>
      <c r="AA1891" s="14" t="str">
        <f>IFERROR(__xludf.DUMMYFUNCTION("""COMPUTED_VALUE"""),"2004")</f>
        <v>2004</v>
      </c>
      <c r="AB1891" s="15" t="str">
        <f>IFERROR(__xludf.DUMMYFUNCTION("ARRAYFORMULA(VLOOKUP(A1891,IMPORTRANGE(""https://docs.google.com/spreadsheets/d/1BuTWp7qHGjWhqrnf-OmePP568O4A5Am9ttzvVdP67zw/edit#gid=1931367683"" ,""ENERGY!$A$2:$F$2692""), {2,3,4,5,6},0))"),"The Americas")</f>
        <v>The Americas</v>
      </c>
      <c r="AC1891" s="14" t="str">
        <f>IFERROR(__xludf.DUMMYFUNCTION("""COMPUTED_VALUE"""),"Peru-The Americas")</f>
        <v>Peru-The Americas</v>
      </c>
      <c r="AD1891" s="14" t="str">
        <f>IFERROR(__xludf.DUMMYFUNCTION("""COMPUTED_VALUE"""),"2004")</f>
        <v>2004</v>
      </c>
      <c r="AE1891" s="14">
        <f>IFERROR(__xludf.DUMMYFUNCTION("""COMPUTED_VALUE"""),15044.0)</f>
        <v>15044</v>
      </c>
      <c r="AF1891" s="14">
        <f>IFERROR(__xludf.DUMMYFUNCTION("""COMPUTED_VALUE"""),41279.0)</f>
        <v>41279</v>
      </c>
    </row>
    <row r="1892">
      <c r="A1892" s="12">
        <v>1891.0</v>
      </c>
      <c r="B1892" s="12" t="s">
        <v>224</v>
      </c>
      <c r="C1892" s="5" t="s">
        <v>84</v>
      </c>
      <c r="D1892" s="11">
        <v>0.384</v>
      </c>
      <c r="E1892" s="11">
        <v>102.0</v>
      </c>
      <c r="F1892" s="8"/>
      <c r="G1892" s="11">
        <v>424.0</v>
      </c>
      <c r="H1892" s="11">
        <v>0.171</v>
      </c>
      <c r="I1892" s="11">
        <v>0.201</v>
      </c>
      <c r="J1892" s="9" t="s">
        <v>66</v>
      </c>
      <c r="K1892" s="14" t="str">
        <f>IFERROR(__xludf.DUMMYFUNCTION("ARRAYFORMULA(VLOOKUP(A1892,IMPORTRANGE(""https://docs.google.com/spreadsheets/d/1BuTWp7qHGjWhqrnf-OmePP568O4A5Am9ttzvVdP67zw/edit#gid=1603210130"", ""TOURISM!$A$2:$F$2692""), {2,3,4,5,6},0))"),"The Americas")</f>
        <v>The Americas</v>
      </c>
      <c r="L1892" s="14">
        <f>IFERROR(__xludf.DUMMYFUNCTION("""COMPUTED_VALUE"""),1.438E9)</f>
        <v>1438000000</v>
      </c>
      <c r="M1892" s="14" t="str">
        <f>IFERROR(__xludf.DUMMYFUNCTION("""COMPUTED_VALUE"""),"Peru-The Americas")</f>
        <v>Peru-The Americas</v>
      </c>
      <c r="N1892" s="14" t="str">
        <f>IFERROR(__xludf.DUMMYFUNCTION("""COMPUTED_VALUE"""),"2005")</f>
        <v>2005</v>
      </c>
      <c r="O1892" s="14">
        <f>IFERROR(__xludf.DUMMYFUNCTION("""COMPUTED_VALUE"""),9.7E8)</f>
        <v>970000000</v>
      </c>
      <c r="P1892" s="15">
        <f>IFERROR(__xludf.DUMMYFUNCTION("ARRAYFORMULA(VLOOKUP(A1892,IMPORTRANGE(""https://docs.google.com/spreadsheets/d/1BuTWp7qHGjWhqrnf-OmePP568O4A5Am9ttzvVdP67zw/edit#gid=771602874"" ,""HUMAN RESOURCES!$A$2:$M$2692""), {2,3,4,5,6,7,8,9,10,11,12,13},0))"),0.022)</f>
        <v>0.022</v>
      </c>
      <c r="Q1892" s="14">
        <f>IFERROR(__xludf.DUMMYFUNCTION("""COMPUTED_VALUE"""),0.022)</f>
        <v>0.022</v>
      </c>
      <c r="R1892" s="14">
        <f>IFERROR(__xludf.DUMMYFUNCTION("""COMPUTED_VALUE"""),75.0)</f>
        <v>75</v>
      </c>
      <c r="S1892" s="14">
        <f>IFERROR(__xludf.DUMMYFUNCTION("""COMPUTED_VALUE"""),70.0)</f>
        <v>70</v>
      </c>
      <c r="T1892" s="14">
        <f>IFERROR(__xludf.DUMMYFUNCTION("""COMPUTED_VALUE"""),0.32)</f>
        <v>0.32</v>
      </c>
      <c r="U1892" s="14">
        <f>IFERROR(__xludf.DUMMYFUNCTION("""COMPUTED_VALUE"""),0.626)</f>
        <v>0.626</v>
      </c>
      <c r="V1892" s="14">
        <f>IFERROR(__xludf.DUMMYFUNCTION("""COMPUTED_VALUE"""),0.054)</f>
        <v>0.054</v>
      </c>
      <c r="W1892" s="14">
        <f>IFERROR(__xludf.DUMMYFUNCTION("""COMPUTED_VALUE"""),2.7723281E7)</f>
        <v>27723281</v>
      </c>
      <c r="X1892" s="14">
        <f>IFERROR(__xludf.DUMMYFUNCTION("""COMPUTED_VALUE"""),0.75)</f>
        <v>0.75</v>
      </c>
      <c r="Y1892" s="14" t="str">
        <f>IFERROR(__xludf.DUMMYFUNCTION("""COMPUTED_VALUE"""),"Peru-The Americas")</f>
        <v>Peru-The Americas</v>
      </c>
      <c r="Z1892" s="14" t="str">
        <f>IFERROR(__xludf.DUMMYFUNCTION("""COMPUTED_VALUE"""),"The Americas")</f>
        <v>The Americas</v>
      </c>
      <c r="AA1892" s="14" t="str">
        <f>IFERROR(__xludf.DUMMYFUNCTION("""COMPUTED_VALUE"""),"2005")</f>
        <v>2005</v>
      </c>
      <c r="AB1892" s="15" t="str">
        <f>IFERROR(__xludf.DUMMYFUNCTION("ARRAYFORMULA(VLOOKUP(A1892,IMPORTRANGE(""https://docs.google.com/spreadsheets/d/1BuTWp7qHGjWhqrnf-OmePP568O4A5Am9ttzvVdP67zw/edit#gid=1931367683"" ,""ENERGY!$A$2:$F$2692""), {2,3,4,5,6},0))"),"The Americas")</f>
        <v>The Americas</v>
      </c>
      <c r="AC1892" s="14" t="str">
        <f>IFERROR(__xludf.DUMMYFUNCTION("""COMPUTED_VALUE"""),"Peru-The Americas")</f>
        <v>Peru-The Americas</v>
      </c>
      <c r="AD1892" s="14" t="str">
        <f>IFERROR(__xludf.DUMMYFUNCTION("""COMPUTED_VALUE"""),"2008")</f>
        <v>2008</v>
      </c>
      <c r="AE1892" s="14">
        <f>IFERROR(__xludf.DUMMYFUNCTION("""COMPUTED_VALUE"""),14334.0)</f>
        <v>14334</v>
      </c>
      <c r="AF1892" s="14">
        <f>IFERROR(__xludf.DUMMYFUNCTION("""COMPUTED_VALUE"""),43208.0)</f>
        <v>43208</v>
      </c>
    </row>
    <row r="1893">
      <c r="A1893" s="12">
        <v>1892.0</v>
      </c>
      <c r="B1893" s="12" t="s">
        <v>224</v>
      </c>
      <c r="C1893" s="5" t="s">
        <v>84</v>
      </c>
      <c r="D1893" s="11">
        <v>0.383</v>
      </c>
      <c r="E1893" s="11">
        <v>72.0</v>
      </c>
      <c r="F1893" s="8"/>
      <c r="G1893" s="11">
        <v>424.0</v>
      </c>
      <c r="H1893" s="11">
        <v>0.207</v>
      </c>
      <c r="I1893" s="11">
        <v>0.325</v>
      </c>
      <c r="J1893" s="9" t="s">
        <v>67</v>
      </c>
      <c r="K1893" s="14" t="str">
        <f>IFERROR(__xludf.DUMMYFUNCTION("ARRAYFORMULA(VLOOKUP(A1893,IMPORTRANGE(""https://docs.google.com/spreadsheets/d/1BuTWp7qHGjWhqrnf-OmePP568O4A5Am9ttzvVdP67zw/edit#gid=1603210130"", ""TOURISM!$A$2:$F$2692""), {2,3,4,5,6},0))"),"The Americas")</f>
        <v>The Americas</v>
      </c>
      <c r="L1893" s="14">
        <f>IFERROR(__xludf.DUMMYFUNCTION("""COMPUTED_VALUE"""),1.775E9)</f>
        <v>1775000000</v>
      </c>
      <c r="M1893" s="14" t="str">
        <f>IFERROR(__xludf.DUMMYFUNCTION("""COMPUTED_VALUE"""),"Peru-The Americas")</f>
        <v>Peru-The Americas</v>
      </c>
      <c r="N1893" s="14" t="str">
        <f>IFERROR(__xludf.DUMMYFUNCTION("""COMPUTED_VALUE"""),"2006")</f>
        <v>2006</v>
      </c>
      <c r="O1893" s="14">
        <f>IFERROR(__xludf.DUMMYFUNCTION("""COMPUTED_VALUE"""),1.047E9)</f>
        <v>1047000000</v>
      </c>
      <c r="P1893" s="15">
        <f>IFERROR(__xludf.DUMMYFUNCTION("ARRAYFORMULA(VLOOKUP(A1893,IMPORTRANGE(""https://docs.google.com/spreadsheets/d/1BuTWp7qHGjWhqrnf-OmePP568O4A5Am9ttzvVdP67zw/edit#gid=771602874"" ,""HUMAN RESOURCES!$A$2:$M$2692""), {2,3,4,5,6,7,8,9,10,11,12,13},0))"),0.022)</f>
        <v>0.022</v>
      </c>
      <c r="Q1893" s="14">
        <f>IFERROR(__xludf.DUMMYFUNCTION("""COMPUTED_VALUE"""),0.02)</f>
        <v>0.02</v>
      </c>
      <c r="R1893" s="14">
        <f>IFERROR(__xludf.DUMMYFUNCTION("""COMPUTED_VALUE"""),75.0)</f>
        <v>75</v>
      </c>
      <c r="S1893" s="14">
        <f>IFERROR(__xludf.DUMMYFUNCTION("""COMPUTED_VALUE"""),70.0)</f>
        <v>70</v>
      </c>
      <c r="T1893" s="14">
        <f>IFERROR(__xludf.DUMMYFUNCTION("""COMPUTED_VALUE"""),0.316)</f>
        <v>0.316</v>
      </c>
      <c r="U1893" s="14">
        <f>IFERROR(__xludf.DUMMYFUNCTION("""COMPUTED_VALUE"""),0.629)</f>
        <v>0.629</v>
      </c>
      <c r="V1893" s="14">
        <f>IFERROR(__xludf.DUMMYFUNCTION("""COMPUTED_VALUE"""),0.055)</f>
        <v>0.055</v>
      </c>
      <c r="W1893" s="14">
        <f>IFERROR(__xludf.DUMMYFUNCTION("""COMPUTED_VALUE"""),2.8030688E7)</f>
        <v>28030688</v>
      </c>
      <c r="X1893" s="14">
        <f>IFERROR(__xludf.DUMMYFUNCTION("""COMPUTED_VALUE"""),0.754)</f>
        <v>0.754</v>
      </c>
      <c r="Y1893" s="14" t="str">
        <f>IFERROR(__xludf.DUMMYFUNCTION("""COMPUTED_VALUE"""),"Peru-The Americas")</f>
        <v>Peru-The Americas</v>
      </c>
      <c r="Z1893" s="14" t="str">
        <f>IFERROR(__xludf.DUMMYFUNCTION("""COMPUTED_VALUE"""),"The Americas")</f>
        <v>The Americas</v>
      </c>
      <c r="AA1893" s="14" t="str">
        <f>IFERROR(__xludf.DUMMYFUNCTION("""COMPUTED_VALUE"""),"2006")</f>
        <v>2006</v>
      </c>
      <c r="AB1893" s="15" t="str">
        <f>IFERROR(__xludf.DUMMYFUNCTION("ARRAYFORMULA(VLOOKUP(A1893,IMPORTRANGE(""https://docs.google.com/spreadsheets/d/1BuTWp7qHGjWhqrnf-OmePP568O4A5Am9ttzvVdP67zw/edit#gid=1931367683"" ,""ENERGY!$A$2:$F$2692""), {2,3,4,5,6},0))"),"The Americas")</f>
        <v>The Americas</v>
      </c>
      <c r="AC1893" s="14" t="str">
        <f>IFERROR(__xludf.DUMMYFUNCTION("""COMPUTED_VALUE"""),"Peru-The Americas")</f>
        <v>Peru-The Americas</v>
      </c>
      <c r="AD1893" s="14" t="str">
        <f>IFERROR(__xludf.DUMMYFUNCTION("""COMPUTED_VALUE"""),"2012")</f>
        <v>2012</v>
      </c>
      <c r="AE1893" s="14">
        <f>IFERROR(__xludf.DUMMYFUNCTION("""COMPUTED_VALUE"""),13248.0)</f>
        <v>13248</v>
      </c>
      <c r="AF1893" s="14">
        <f>IFERROR(__xludf.DUMMYFUNCTION("""COMPUTED_VALUE"""),35064.0)</f>
        <v>35064</v>
      </c>
    </row>
    <row r="1894">
      <c r="A1894" s="12">
        <v>1893.0</v>
      </c>
      <c r="B1894" s="12" t="s">
        <v>224</v>
      </c>
      <c r="C1894" s="5" t="s">
        <v>84</v>
      </c>
      <c r="D1894" s="11">
        <v>0.383</v>
      </c>
      <c r="E1894" s="11">
        <v>72.0</v>
      </c>
      <c r="F1894" s="8"/>
      <c r="G1894" s="11">
        <v>424.0</v>
      </c>
      <c r="H1894" s="11">
        <v>0.252</v>
      </c>
      <c r="I1894" s="11">
        <v>0.544</v>
      </c>
      <c r="J1894" s="9" t="s">
        <v>68</v>
      </c>
      <c r="K1894" s="14" t="str">
        <f>IFERROR(__xludf.DUMMYFUNCTION("ARRAYFORMULA(VLOOKUP(A1894,IMPORTRANGE(""https://docs.google.com/spreadsheets/d/1BuTWp7qHGjWhqrnf-OmePP568O4A5Am9ttzvVdP67zw/edit#gid=1603210130"", ""TOURISM!$A$2:$F$2692""), {2,3,4,5,6},0))"),"The Americas")</f>
        <v>The Americas</v>
      </c>
      <c r="L1894" s="14">
        <f>IFERROR(__xludf.DUMMYFUNCTION("""COMPUTED_VALUE"""),2.007E9)</f>
        <v>2007000000</v>
      </c>
      <c r="M1894" s="14" t="str">
        <f>IFERROR(__xludf.DUMMYFUNCTION("""COMPUTED_VALUE"""),"Peru-The Americas")</f>
        <v>Peru-The Americas</v>
      </c>
      <c r="N1894" s="14" t="str">
        <f>IFERROR(__xludf.DUMMYFUNCTION("""COMPUTED_VALUE"""),"2007")</f>
        <v>2007</v>
      </c>
      <c r="O1894" s="14">
        <f>IFERROR(__xludf.DUMMYFUNCTION("""COMPUTED_VALUE"""),1.243E9)</f>
        <v>1243000000</v>
      </c>
      <c r="P1894" s="15">
        <f>IFERROR(__xludf.DUMMYFUNCTION("ARRAYFORMULA(VLOOKUP(A1894,IMPORTRANGE(""https://docs.google.com/spreadsheets/d/1BuTWp7qHGjWhqrnf-OmePP568O4A5Am9ttzvVdP67zw/edit#gid=771602874"" ,""HUMAN RESOURCES!$A$2:$M$2692""), {2,3,4,5,6,7,8,9,10,11,12,13},0))"),0.021)</f>
        <v>0.021</v>
      </c>
      <c r="Q1894" s="14">
        <f>IFERROR(__xludf.DUMMYFUNCTION("""COMPUTED_VALUE"""),0.019)</f>
        <v>0.019</v>
      </c>
      <c r="R1894" s="14">
        <f>IFERROR(__xludf.DUMMYFUNCTION("""COMPUTED_VALUE"""),76.0)</f>
        <v>76</v>
      </c>
      <c r="S1894" s="14">
        <f>IFERROR(__xludf.DUMMYFUNCTION("""COMPUTED_VALUE"""),70.0)</f>
        <v>70</v>
      </c>
      <c r="T1894" s="14">
        <f>IFERROR(__xludf.DUMMYFUNCTION("""COMPUTED_VALUE"""),0.312)</f>
        <v>0.312</v>
      </c>
      <c r="U1894" s="14">
        <f>IFERROR(__xludf.DUMMYFUNCTION("""COMPUTED_VALUE"""),0.632)</f>
        <v>0.632</v>
      </c>
      <c r="V1894" s="14">
        <f>IFERROR(__xludf.DUMMYFUNCTION("""COMPUTED_VALUE"""),0.056)</f>
        <v>0.056</v>
      </c>
      <c r="W1894" s="14">
        <f>IFERROR(__xludf.DUMMYFUNCTION("""COMPUTED_VALUE"""),2.832841E7)</f>
        <v>28328410</v>
      </c>
      <c r="X1894" s="14">
        <f>IFERROR(__xludf.DUMMYFUNCTION("""COMPUTED_VALUE"""),0.758)</f>
        <v>0.758</v>
      </c>
      <c r="Y1894" s="14" t="str">
        <f>IFERROR(__xludf.DUMMYFUNCTION("""COMPUTED_VALUE"""),"Peru-The Americas")</f>
        <v>Peru-The Americas</v>
      </c>
      <c r="Z1894" s="14" t="str">
        <f>IFERROR(__xludf.DUMMYFUNCTION("""COMPUTED_VALUE"""),"The Americas")</f>
        <v>The Americas</v>
      </c>
      <c r="AA1894" s="14" t="str">
        <f>IFERROR(__xludf.DUMMYFUNCTION("""COMPUTED_VALUE"""),"2007")</f>
        <v>2007</v>
      </c>
      <c r="AB1894" s="15" t="str">
        <f>IFERROR(__xludf.DUMMYFUNCTION("ARRAYFORMULA(VLOOKUP(A1894,IMPORTRANGE(""https://docs.google.com/spreadsheets/d/1BuTWp7qHGjWhqrnf-OmePP568O4A5Am9ttzvVdP67zw/edit#gid=1931367683"" ,""ENERGY!$A$2:$F$2692""), {2,3,4,5,6},0))"),"The Americas")</f>
        <v>The Americas</v>
      </c>
      <c r="AC1894" s="14" t="str">
        <f>IFERROR(__xludf.DUMMYFUNCTION("""COMPUTED_VALUE"""),"Peru-The Americas")</f>
        <v>Peru-The Americas</v>
      </c>
      <c r="AD1894" s="14" t="str">
        <f>IFERROR(__xludf.DUMMYFUNCTION("""COMPUTED_VALUE"""),"2010")</f>
        <v>2010</v>
      </c>
      <c r="AE1894" s="14">
        <f>IFERROR(__xludf.DUMMYFUNCTION("""COMPUTED_VALUE"""),13646.0)</f>
        <v>13646</v>
      </c>
      <c r="AF1894" s="14">
        <f>IFERROR(__xludf.DUMMYFUNCTION("""COMPUTED_VALUE"""),37136.0)</f>
        <v>37136</v>
      </c>
    </row>
    <row r="1895">
      <c r="A1895" s="12">
        <v>1894.0</v>
      </c>
      <c r="B1895" s="12" t="s">
        <v>224</v>
      </c>
      <c r="C1895" s="5" t="s">
        <v>84</v>
      </c>
      <c r="D1895" s="11">
        <v>0.381</v>
      </c>
      <c r="E1895" s="11">
        <v>65.0</v>
      </c>
      <c r="F1895" s="8"/>
      <c r="G1895" s="11">
        <v>424.0</v>
      </c>
      <c r="H1895" s="11">
        <v>0.306</v>
      </c>
      <c r="I1895" s="11">
        <v>0.732</v>
      </c>
      <c r="J1895" s="9" t="s">
        <v>69</v>
      </c>
      <c r="K1895" s="14" t="str">
        <f>IFERROR(__xludf.DUMMYFUNCTION("ARRAYFORMULA(VLOOKUP(A1895,IMPORTRANGE(""https://docs.google.com/spreadsheets/d/1BuTWp7qHGjWhqrnf-OmePP568O4A5Am9ttzvVdP67zw/edit#gid=1603210130"", ""TOURISM!$A$2:$F$2692""), {2,3,4,5,6},0))"),"The Americas")</f>
        <v>The Americas</v>
      </c>
      <c r="L1895" s="14">
        <f>IFERROR(__xludf.DUMMYFUNCTION("""COMPUTED_VALUE"""),2.396E9)</f>
        <v>2396000000</v>
      </c>
      <c r="M1895" s="14" t="str">
        <f>IFERROR(__xludf.DUMMYFUNCTION("""COMPUTED_VALUE"""),"Peru-The Americas")</f>
        <v>Peru-The Americas</v>
      </c>
      <c r="N1895" s="14" t="str">
        <f>IFERROR(__xludf.DUMMYFUNCTION("""COMPUTED_VALUE"""),"2008")</f>
        <v>2008</v>
      </c>
      <c r="O1895" s="14">
        <f>IFERROR(__xludf.DUMMYFUNCTION("""COMPUTED_VALUE"""),1.432E9)</f>
        <v>1432000000</v>
      </c>
      <c r="P1895" s="15">
        <f>IFERROR(__xludf.DUMMYFUNCTION("ARRAYFORMULA(VLOOKUP(A1895,IMPORTRANGE(""https://docs.google.com/spreadsheets/d/1BuTWp7qHGjWhqrnf-OmePP568O4A5Am9ttzvVdP67zw/edit#gid=771602874"" ,""HUMAN RESOURCES!$A$2:$M$2692""), {2,3,4,5,6,7,8,9,10,11,12,13},0))"),0.021)</f>
        <v>0.021</v>
      </c>
      <c r="Q1895" s="14">
        <f>IFERROR(__xludf.DUMMYFUNCTION("""COMPUTED_VALUE"""),0.017)</f>
        <v>0.017</v>
      </c>
      <c r="R1895" s="14">
        <f>IFERROR(__xludf.DUMMYFUNCTION("""COMPUTED_VALUE"""),76.0)</f>
        <v>76</v>
      </c>
      <c r="S1895" s="14">
        <f>IFERROR(__xludf.DUMMYFUNCTION("""COMPUTED_VALUE"""),71.0)</f>
        <v>71</v>
      </c>
      <c r="T1895" s="14">
        <f>IFERROR(__xludf.DUMMYFUNCTION("""COMPUTED_VALUE"""),0.308)</f>
        <v>0.308</v>
      </c>
      <c r="U1895" s="14">
        <f>IFERROR(__xludf.DUMMYFUNCTION("""COMPUTED_VALUE"""),0.635)</f>
        <v>0.635</v>
      </c>
      <c r="V1895" s="14">
        <f>IFERROR(__xludf.DUMMYFUNCTION("""COMPUTED_VALUE"""),0.057)</f>
        <v>0.057</v>
      </c>
      <c r="W1895" s="14">
        <f>IFERROR(__xludf.DUMMYFUNCTION("""COMPUTED_VALUE"""),2.8625628E7)</f>
        <v>28625628</v>
      </c>
      <c r="X1895" s="14">
        <f>IFERROR(__xludf.DUMMYFUNCTION("""COMPUTED_VALUE"""),0.762)</f>
        <v>0.762</v>
      </c>
      <c r="Y1895" s="14" t="str">
        <f>IFERROR(__xludf.DUMMYFUNCTION("""COMPUTED_VALUE"""),"Peru-The Americas")</f>
        <v>Peru-The Americas</v>
      </c>
      <c r="Z1895" s="14" t="str">
        <f>IFERROR(__xludf.DUMMYFUNCTION("""COMPUTED_VALUE"""),"The Americas")</f>
        <v>The Americas</v>
      </c>
      <c r="AA1895" s="14" t="str">
        <f>IFERROR(__xludf.DUMMYFUNCTION("""COMPUTED_VALUE"""),"2008")</f>
        <v>2008</v>
      </c>
      <c r="AB1895" s="15" t="str">
        <f>IFERROR(__xludf.DUMMYFUNCTION("ARRAYFORMULA(VLOOKUP(A1895,IMPORTRANGE(""https://docs.google.com/spreadsheets/d/1BuTWp7qHGjWhqrnf-OmePP568O4A5Am9ttzvVdP67zw/edit#gid=1931367683"" ,""ENERGY!$A$2:$F$2692""), {2,3,4,5,6},0))"),"The Americas")</f>
        <v>The Americas</v>
      </c>
      <c r="AC1895" s="14" t="str">
        <f>IFERROR(__xludf.DUMMYFUNCTION("""COMPUTED_VALUE"""),"Peru-The Americas")</f>
        <v>Peru-The Americas</v>
      </c>
      <c r="AD1895" s="14" t="str">
        <f>IFERROR(__xludf.DUMMYFUNCTION("""COMPUTED_VALUE"""),"2007")</f>
        <v>2007</v>
      </c>
      <c r="AE1895" s="14">
        <f>IFERROR(__xludf.DUMMYFUNCTION("""COMPUTED_VALUE"""),12875.0)</f>
        <v>12875</v>
      </c>
      <c r="AF1895" s="14">
        <f>IFERROR(__xludf.DUMMYFUNCTION("""COMPUTED_VALUE"""),31896.0)</f>
        <v>31896</v>
      </c>
    </row>
    <row r="1896">
      <c r="A1896" s="12">
        <v>1895.0</v>
      </c>
      <c r="B1896" s="12" t="s">
        <v>224</v>
      </c>
      <c r="C1896" s="5" t="s">
        <v>84</v>
      </c>
      <c r="D1896" s="11">
        <v>0.372</v>
      </c>
      <c r="E1896" s="11">
        <v>41.0</v>
      </c>
      <c r="F1896" s="8"/>
      <c r="G1896" s="11">
        <v>380.0</v>
      </c>
      <c r="H1896" s="11">
        <v>0.314</v>
      </c>
      <c r="I1896" s="11">
        <v>0.854</v>
      </c>
      <c r="J1896" s="9" t="s">
        <v>70</v>
      </c>
      <c r="K1896" s="14" t="str">
        <f>IFERROR(__xludf.DUMMYFUNCTION("ARRAYFORMULA(VLOOKUP(A1896,IMPORTRANGE(""https://docs.google.com/spreadsheets/d/1BuTWp7qHGjWhqrnf-OmePP568O4A5Am9ttzvVdP67zw/edit#gid=1603210130"", ""TOURISM!$A$2:$F$2692""), {2,3,4,5,6},0))"),"The Americas")</f>
        <v>The Americas</v>
      </c>
      <c r="L1896" s="14">
        <f>IFERROR(__xludf.DUMMYFUNCTION("""COMPUTED_VALUE"""),2.44E9)</f>
        <v>2440000000</v>
      </c>
      <c r="M1896" s="14" t="str">
        <f>IFERROR(__xludf.DUMMYFUNCTION("""COMPUTED_VALUE"""),"Peru-The Americas")</f>
        <v>Peru-The Americas</v>
      </c>
      <c r="N1896" s="14" t="str">
        <f>IFERROR(__xludf.DUMMYFUNCTION("""COMPUTED_VALUE"""),"2009")</f>
        <v>2009</v>
      </c>
      <c r="O1896" s="14">
        <f>IFERROR(__xludf.DUMMYFUNCTION("""COMPUTED_VALUE"""),1.404E9)</f>
        <v>1404000000</v>
      </c>
      <c r="P1896" s="15">
        <f>IFERROR(__xludf.DUMMYFUNCTION("ARRAYFORMULA(VLOOKUP(A1896,IMPORTRANGE(""https://docs.google.com/spreadsheets/d/1BuTWp7qHGjWhqrnf-OmePP568O4A5Am9ttzvVdP67zw/edit#gid=771602874"" ,""HUMAN RESOURCES!$A$2:$M$2692""), {2,3,4,5,6,7,8,9,10,11,12,13},0))"),0.021)</f>
        <v>0.021</v>
      </c>
      <c r="Q1896" s="14">
        <f>IFERROR(__xludf.DUMMYFUNCTION("""COMPUTED_VALUE"""),0.016)</f>
        <v>0.016</v>
      </c>
      <c r="R1896" s="14">
        <f>IFERROR(__xludf.DUMMYFUNCTION("""COMPUTED_VALUE"""),76.0)</f>
        <v>76</v>
      </c>
      <c r="S1896" s="14">
        <f>IFERROR(__xludf.DUMMYFUNCTION("""COMPUTED_VALUE"""),71.0)</f>
        <v>71</v>
      </c>
      <c r="T1896" s="14">
        <f>IFERROR(__xludf.DUMMYFUNCTION("""COMPUTED_VALUE"""),0.304)</f>
        <v>0.304</v>
      </c>
      <c r="U1896" s="14">
        <f>IFERROR(__xludf.DUMMYFUNCTION("""COMPUTED_VALUE"""),0.637)</f>
        <v>0.637</v>
      </c>
      <c r="V1896" s="14">
        <f>IFERROR(__xludf.DUMMYFUNCTION("""COMPUTED_VALUE"""),0.059)</f>
        <v>0.059</v>
      </c>
      <c r="W1896" s="14">
        <f>IFERROR(__xludf.DUMMYFUNCTION("""COMPUTED_VALUE"""),2.8934303E7)</f>
        <v>28934303</v>
      </c>
      <c r="X1896" s="14">
        <f>IFERROR(__xludf.DUMMYFUNCTION("""COMPUTED_VALUE"""),0.766)</f>
        <v>0.766</v>
      </c>
      <c r="Y1896" s="14" t="str">
        <f>IFERROR(__xludf.DUMMYFUNCTION("""COMPUTED_VALUE"""),"Peru-The Americas")</f>
        <v>Peru-The Americas</v>
      </c>
      <c r="Z1896" s="14" t="str">
        <f>IFERROR(__xludf.DUMMYFUNCTION("""COMPUTED_VALUE"""),"The Americas")</f>
        <v>The Americas</v>
      </c>
      <c r="AA1896" s="14" t="str">
        <f>IFERROR(__xludf.DUMMYFUNCTION("""COMPUTED_VALUE"""),"2009")</f>
        <v>2009</v>
      </c>
      <c r="AB1896" s="15" t="str">
        <f>IFERROR(__xludf.DUMMYFUNCTION("ARRAYFORMULA(VLOOKUP(A1896,IMPORTRANGE(""https://docs.google.com/spreadsheets/d/1BuTWp7qHGjWhqrnf-OmePP568O4A5Am9ttzvVdP67zw/edit#gid=1931367683"" ,""ENERGY!$A$2:$F$2692""), {2,3,4,5,6},0))"),"The Americas")</f>
        <v>The Americas</v>
      </c>
      <c r="AC1896" s="14" t="str">
        <f>IFERROR(__xludf.DUMMYFUNCTION("""COMPUTED_VALUE"""),"Peru-The Americas")</f>
        <v>Peru-The Americas</v>
      </c>
      <c r="AD1896" s="14" t="str">
        <f>IFERROR(__xludf.DUMMYFUNCTION("""COMPUTED_VALUE"""),"2011")</f>
        <v>2011</v>
      </c>
      <c r="AE1896" s="14">
        <f>IFERROR(__xludf.DUMMYFUNCTION("""COMPUTED_VALUE"""),11638.0)</f>
        <v>11638</v>
      </c>
      <c r="AF1896" s="14">
        <f>IFERROR(__xludf.DUMMYFUNCTION("""COMPUTED_VALUE"""),26380.0)</f>
        <v>26380</v>
      </c>
    </row>
    <row r="1897">
      <c r="A1897" s="12">
        <v>1896.0</v>
      </c>
      <c r="B1897" s="12" t="s">
        <v>224</v>
      </c>
      <c r="C1897" s="5" t="s">
        <v>84</v>
      </c>
      <c r="D1897" s="11">
        <v>0.371</v>
      </c>
      <c r="E1897" s="11">
        <v>26.0</v>
      </c>
      <c r="F1897" s="8"/>
      <c r="G1897" s="11">
        <v>380.0</v>
      </c>
      <c r="H1897" s="11">
        <v>0.348</v>
      </c>
      <c r="I1897" s="11">
        <v>0.995</v>
      </c>
      <c r="J1897" s="9" t="s">
        <v>71</v>
      </c>
      <c r="K1897" s="14" t="str">
        <f>IFERROR(__xludf.DUMMYFUNCTION("ARRAYFORMULA(VLOOKUP(A1897,IMPORTRANGE(""https://docs.google.com/spreadsheets/d/1BuTWp7qHGjWhqrnf-OmePP568O4A5Am9ttzvVdP67zw/edit#gid=1603210130"", ""TOURISM!$A$2:$F$2692""), {2,3,4,5,6},0))"),"The Americas")</f>
        <v>The Americas</v>
      </c>
      <c r="L1897" s="14">
        <f>IFERROR(__xludf.DUMMYFUNCTION("""COMPUTED_VALUE"""),2.475E9)</f>
        <v>2475000000</v>
      </c>
      <c r="M1897" s="14" t="str">
        <f>IFERROR(__xludf.DUMMYFUNCTION("""COMPUTED_VALUE"""),"Peru-The Americas")</f>
        <v>Peru-The Americas</v>
      </c>
      <c r="N1897" s="14" t="str">
        <f>IFERROR(__xludf.DUMMYFUNCTION("""COMPUTED_VALUE"""),"2010")</f>
        <v>2010</v>
      </c>
      <c r="O1897" s="14">
        <f>IFERROR(__xludf.DUMMYFUNCTION("""COMPUTED_VALUE"""),1.64E9)</f>
        <v>1640000000</v>
      </c>
      <c r="P1897" s="15">
        <f>IFERROR(__xludf.DUMMYFUNCTION("ARRAYFORMULA(VLOOKUP(A1897,IMPORTRANGE(""https://docs.google.com/spreadsheets/d/1BuTWp7qHGjWhqrnf-OmePP568O4A5Am9ttzvVdP67zw/edit#gid=771602874"" ,""HUMAN RESOURCES!$A$2:$M$2692""), {2,3,4,5,6,7,8,9,10,11,12,13},0))"),0.021)</f>
        <v>0.021</v>
      </c>
      <c r="Q1897" s="14">
        <f>IFERROR(__xludf.DUMMYFUNCTION("""COMPUTED_VALUE"""),0.015)</f>
        <v>0.015</v>
      </c>
      <c r="R1897" s="14">
        <f>IFERROR(__xludf.DUMMYFUNCTION("""COMPUTED_VALUE"""),77.0)</f>
        <v>77</v>
      </c>
      <c r="S1897" s="14">
        <f>IFERROR(__xludf.DUMMYFUNCTION("""COMPUTED_VALUE"""),71.0)</f>
        <v>71</v>
      </c>
      <c r="T1897" s="14">
        <f>IFERROR(__xludf.DUMMYFUNCTION("""COMPUTED_VALUE"""),0.3)</f>
        <v>0.3</v>
      </c>
      <c r="U1897" s="14">
        <f>IFERROR(__xludf.DUMMYFUNCTION("""COMPUTED_VALUE"""),0.64)</f>
        <v>0.64</v>
      </c>
      <c r="V1897" s="14">
        <f>IFERROR(__xludf.DUMMYFUNCTION("""COMPUTED_VALUE"""),0.06)</f>
        <v>0.06</v>
      </c>
      <c r="W1897" s="14">
        <f>IFERROR(__xludf.DUMMYFUNCTION("""COMPUTED_VALUE"""),2.926283E7)</f>
        <v>29262830</v>
      </c>
      <c r="X1897" s="14">
        <f>IFERROR(__xludf.DUMMYFUNCTION("""COMPUTED_VALUE"""),0.769)</f>
        <v>0.769</v>
      </c>
      <c r="Y1897" s="14" t="str">
        <f>IFERROR(__xludf.DUMMYFUNCTION("""COMPUTED_VALUE"""),"Peru-The Americas")</f>
        <v>Peru-The Americas</v>
      </c>
      <c r="Z1897" s="14" t="str">
        <f>IFERROR(__xludf.DUMMYFUNCTION("""COMPUTED_VALUE"""),"The Americas")</f>
        <v>The Americas</v>
      </c>
      <c r="AA1897" s="14" t="str">
        <f>IFERROR(__xludf.DUMMYFUNCTION("""COMPUTED_VALUE"""),"2010")</f>
        <v>2010</v>
      </c>
      <c r="AB1897" s="15" t="str">
        <f>IFERROR(__xludf.DUMMYFUNCTION("ARRAYFORMULA(VLOOKUP(A1897,IMPORTRANGE(""https://docs.google.com/spreadsheets/d/1BuTWp7qHGjWhqrnf-OmePP568O4A5Am9ttzvVdP67zw/edit#gid=1931367683"" ,""ENERGY!$A$2:$F$2692""), {2,3,4,5,6},0))"),"The Americas")</f>
        <v>The Americas</v>
      </c>
      <c r="AC1897" s="14" t="str">
        <f>IFERROR(__xludf.DUMMYFUNCTION("""COMPUTED_VALUE"""),"Peru-The Americas")</f>
        <v>Peru-The Americas</v>
      </c>
      <c r="AD1897" s="14" t="str">
        <f>IFERROR(__xludf.DUMMYFUNCTION("""COMPUTED_VALUE"""),"2007")</f>
        <v>2007</v>
      </c>
      <c r="AE1897" s="14">
        <f>IFERROR(__xludf.DUMMYFUNCTION("""COMPUTED_VALUE"""),11873.0)</f>
        <v>11873</v>
      </c>
      <c r="AF1897" s="14">
        <f>IFERROR(__xludf.DUMMYFUNCTION("""COMPUTED_VALUE"""),27187.0)</f>
        <v>27187</v>
      </c>
    </row>
    <row r="1898">
      <c r="A1898" s="12">
        <v>1897.0</v>
      </c>
      <c r="B1898" s="12" t="s">
        <v>224</v>
      </c>
      <c r="C1898" s="5" t="s">
        <v>84</v>
      </c>
      <c r="D1898" s="11">
        <v>0.366</v>
      </c>
      <c r="E1898" s="11">
        <v>25.0</v>
      </c>
      <c r="F1898" s="8"/>
      <c r="G1898" s="11">
        <v>309.0</v>
      </c>
      <c r="H1898" s="11">
        <v>0.36</v>
      </c>
      <c r="I1898" s="11">
        <v>1.096</v>
      </c>
      <c r="J1898" s="9" t="s">
        <v>72</v>
      </c>
      <c r="K1898" s="14" t="str">
        <f>IFERROR(__xludf.DUMMYFUNCTION("ARRAYFORMULA(VLOOKUP(A1898,IMPORTRANGE(""https://docs.google.com/spreadsheets/d/1BuTWp7qHGjWhqrnf-OmePP568O4A5Am9ttzvVdP67zw/edit#gid=1603210130"", ""TOURISM!$A$2:$F$2692""), {2,3,4,5,6},0))"),"The Americas")</f>
        <v>The Americas</v>
      </c>
      <c r="L1898" s="14">
        <f>IFERROR(__xludf.DUMMYFUNCTION("""COMPUTED_VALUE"""),2.912E9)</f>
        <v>2912000000</v>
      </c>
      <c r="M1898" s="14" t="str">
        <f>IFERROR(__xludf.DUMMYFUNCTION("""COMPUTED_VALUE"""),"Peru-The Americas")</f>
        <v>Peru-The Americas</v>
      </c>
      <c r="N1898" s="14" t="str">
        <f>IFERROR(__xludf.DUMMYFUNCTION("""COMPUTED_VALUE"""),"2011")</f>
        <v>2011</v>
      </c>
      <c r="O1898" s="14">
        <f>IFERROR(__xludf.DUMMYFUNCTION("""COMPUTED_VALUE"""),1.764E9)</f>
        <v>1764000000</v>
      </c>
      <c r="P1898" s="15">
        <f>IFERROR(__xludf.DUMMYFUNCTION("ARRAYFORMULA(VLOOKUP(A1898,IMPORTRANGE(""https://docs.google.com/spreadsheets/d/1BuTWp7qHGjWhqrnf-OmePP568O4A5Am9ttzvVdP67zw/edit#gid=771602874"" ,""HUMAN RESOURCES!$A$2:$M$2692""), {2,3,4,5,6,7,8,9,10,11,12,13},0))"),0.02)</f>
        <v>0.02</v>
      </c>
      <c r="Q1898" s="14">
        <f>IFERROR(__xludf.DUMMYFUNCTION("""COMPUTED_VALUE"""),0.014)</f>
        <v>0.014</v>
      </c>
      <c r="R1898" s="14">
        <f>IFERROR(__xludf.DUMMYFUNCTION("""COMPUTED_VALUE"""),77.0)</f>
        <v>77</v>
      </c>
      <c r="S1898" s="14">
        <f>IFERROR(__xludf.DUMMYFUNCTION("""COMPUTED_VALUE"""),72.0)</f>
        <v>72</v>
      </c>
      <c r="T1898" s="14">
        <f>IFERROR(__xludf.DUMMYFUNCTION("""COMPUTED_VALUE"""),0.296)</f>
        <v>0.296</v>
      </c>
      <c r="U1898" s="14">
        <f>IFERROR(__xludf.DUMMYFUNCTION("""COMPUTED_VALUE"""),0.643)</f>
        <v>0.643</v>
      </c>
      <c r="V1898" s="14">
        <f>IFERROR(__xludf.DUMMYFUNCTION("""COMPUTED_VALUE"""),0.061)</f>
        <v>0.061</v>
      </c>
      <c r="W1898" s="14">
        <f>IFERROR(__xludf.DUMMYFUNCTION("""COMPUTED_VALUE"""),2.9614887E7)</f>
        <v>29614887</v>
      </c>
      <c r="X1898" s="14">
        <f>IFERROR(__xludf.DUMMYFUNCTION("""COMPUTED_VALUE"""),0.773)</f>
        <v>0.773</v>
      </c>
      <c r="Y1898" s="14" t="str">
        <f>IFERROR(__xludf.DUMMYFUNCTION("""COMPUTED_VALUE"""),"Peru-The Americas")</f>
        <v>Peru-The Americas</v>
      </c>
      <c r="Z1898" s="14" t="str">
        <f>IFERROR(__xludf.DUMMYFUNCTION("""COMPUTED_VALUE"""),"The Americas")</f>
        <v>The Americas</v>
      </c>
      <c r="AA1898" s="14" t="str">
        <f>IFERROR(__xludf.DUMMYFUNCTION("""COMPUTED_VALUE"""),"2011")</f>
        <v>2011</v>
      </c>
      <c r="AB1898" s="15" t="str">
        <f>IFERROR(__xludf.DUMMYFUNCTION("ARRAYFORMULA(VLOOKUP(A1898,IMPORTRANGE(""https://docs.google.com/spreadsheets/d/1BuTWp7qHGjWhqrnf-OmePP568O4A5Am9ttzvVdP67zw/edit#gid=1931367683"" ,""ENERGY!$A$2:$F$2692""), {2,3,4,5,6},0))"),"The Americas")</f>
        <v>The Americas</v>
      </c>
      <c r="AC1898" s="14" t="str">
        <f>IFERROR(__xludf.DUMMYFUNCTION("""COMPUTED_VALUE"""),"Peru-The Americas")</f>
        <v>Peru-The Americas</v>
      </c>
      <c r="AD1898" s="14" t="str">
        <f>IFERROR(__xludf.DUMMYFUNCTION("""COMPUTED_VALUE"""),"2006")</f>
        <v>2006</v>
      </c>
      <c r="AE1898" s="14">
        <f>IFERROR(__xludf.DUMMYFUNCTION("""COMPUTED_VALUE"""),11795.0)</f>
        <v>11795</v>
      </c>
      <c r="AF1898" s="14">
        <f>IFERROR(__xludf.DUMMYFUNCTION("""COMPUTED_VALUE"""),27165.0)</f>
        <v>27165</v>
      </c>
    </row>
    <row r="1899">
      <c r="A1899" s="12">
        <v>1898.0</v>
      </c>
      <c r="B1899" s="12" t="s">
        <v>224</v>
      </c>
      <c r="C1899" s="5" t="s">
        <v>84</v>
      </c>
      <c r="D1899" s="11">
        <v>0.364</v>
      </c>
      <c r="E1899" s="11">
        <v>25.0</v>
      </c>
      <c r="F1899" s="11">
        <v>39.0</v>
      </c>
      <c r="G1899" s="11">
        <v>293.0</v>
      </c>
      <c r="H1899" s="11">
        <v>0.382</v>
      </c>
      <c r="I1899" s="11">
        <v>0.98</v>
      </c>
      <c r="J1899" s="9" t="s">
        <v>73</v>
      </c>
      <c r="K1899" s="14" t="str">
        <f>IFERROR(__xludf.DUMMYFUNCTION("ARRAYFORMULA(VLOOKUP(A1899,IMPORTRANGE(""https://docs.google.com/spreadsheets/d/1BuTWp7qHGjWhqrnf-OmePP568O4A5Am9ttzvVdP67zw/edit#gid=1603210130"", ""TOURISM!$A$2:$F$2692""), {2,3,4,5,6},0))"),"The Americas")</f>
        <v>The Americas</v>
      </c>
      <c r="L1899" s="14">
        <f>IFERROR(__xludf.DUMMYFUNCTION("""COMPUTED_VALUE"""),3.288E9)</f>
        <v>3288000000</v>
      </c>
      <c r="M1899" s="14" t="str">
        <f>IFERROR(__xludf.DUMMYFUNCTION("""COMPUTED_VALUE"""),"Peru-The Americas")</f>
        <v>Peru-The Americas</v>
      </c>
      <c r="N1899" s="14" t="str">
        <f>IFERROR(__xludf.DUMMYFUNCTION("""COMPUTED_VALUE"""),"2012")</f>
        <v>2012</v>
      </c>
      <c r="O1899" s="14">
        <f>IFERROR(__xludf.DUMMYFUNCTION("""COMPUTED_VALUE"""),1.95E9)</f>
        <v>1950000000</v>
      </c>
      <c r="P1899" s="15">
        <f>IFERROR(__xludf.DUMMYFUNCTION("ARRAYFORMULA(VLOOKUP(A1899,IMPORTRANGE(""https://docs.google.com/spreadsheets/d/1BuTWp7qHGjWhqrnf-OmePP568O4A5Am9ttzvVdP67zw/edit#gid=771602874"" ,""HUMAN RESOURCES!$A$2:$M$2692""), {2,3,4,5,6,7,8,9,10,11,12,13},0))"),0.02)</f>
        <v>0.02</v>
      </c>
      <c r="Q1899" s="14">
        <f>IFERROR(__xludf.DUMMYFUNCTION("""COMPUTED_VALUE"""),0.014)</f>
        <v>0.014</v>
      </c>
      <c r="R1899" s="14">
        <f>IFERROR(__xludf.DUMMYFUNCTION("""COMPUTED_VALUE"""),77.0)</f>
        <v>77</v>
      </c>
      <c r="S1899" s="14">
        <f>IFERROR(__xludf.DUMMYFUNCTION("""COMPUTED_VALUE"""),72.0)</f>
        <v>72</v>
      </c>
      <c r="T1899" s="14">
        <f>IFERROR(__xludf.DUMMYFUNCTION("""COMPUTED_VALUE"""),0.292)</f>
        <v>0.292</v>
      </c>
      <c r="U1899" s="14">
        <f>IFERROR(__xludf.DUMMYFUNCTION("""COMPUTED_VALUE"""),0.646)</f>
        <v>0.646</v>
      </c>
      <c r="V1899" s="14">
        <f>IFERROR(__xludf.DUMMYFUNCTION("""COMPUTED_VALUE"""),0.063)</f>
        <v>0.063</v>
      </c>
      <c r="W1899" s="14">
        <f>IFERROR(__xludf.DUMMYFUNCTION("""COMPUTED_VALUE"""),2.99878E7)</f>
        <v>29987800</v>
      </c>
      <c r="X1899" s="14">
        <f>IFERROR(__xludf.DUMMYFUNCTION("""COMPUTED_VALUE"""),0.776)</f>
        <v>0.776</v>
      </c>
      <c r="Y1899" s="14" t="str">
        <f>IFERROR(__xludf.DUMMYFUNCTION("""COMPUTED_VALUE"""),"Peru-The Americas")</f>
        <v>Peru-The Americas</v>
      </c>
      <c r="Z1899" s="14" t="str">
        <f>IFERROR(__xludf.DUMMYFUNCTION("""COMPUTED_VALUE"""),"The Americas")</f>
        <v>The Americas</v>
      </c>
      <c r="AA1899" s="14" t="str">
        <f>IFERROR(__xludf.DUMMYFUNCTION("""COMPUTED_VALUE"""),"2012")</f>
        <v>2012</v>
      </c>
      <c r="AB1899" s="15" t="str">
        <f>IFERROR(__xludf.DUMMYFUNCTION("ARRAYFORMULA(VLOOKUP(A1899,IMPORTRANGE(""https://docs.google.com/spreadsheets/d/1BuTWp7qHGjWhqrnf-OmePP568O4A5Am9ttzvVdP67zw/edit#gid=1931367683"" ,""ENERGY!$A$2:$F$2692""), {2,3,4,5,6},0))"),"The Americas")</f>
        <v>The Americas</v>
      </c>
      <c r="AC1899" s="14" t="str">
        <f>IFERROR(__xludf.DUMMYFUNCTION("""COMPUTED_VALUE"""),"Peru-The Americas")</f>
        <v>Peru-The Americas</v>
      </c>
      <c r="AD1899" s="14" t="str">
        <f>IFERROR(__xludf.DUMMYFUNCTION("""COMPUTED_VALUE"""),"2011")</f>
        <v>2011</v>
      </c>
      <c r="AE1899" s="14">
        <f>IFERROR(__xludf.DUMMYFUNCTION("""COMPUTED_VALUE"""),12222.0)</f>
        <v>12222</v>
      </c>
      <c r="AF1899" s="14">
        <f>IFERROR(__xludf.DUMMYFUNCTION("""COMPUTED_VALUE"""),30297.0)</f>
        <v>30297</v>
      </c>
    </row>
    <row r="1900">
      <c r="A1900" s="12">
        <v>1899.0</v>
      </c>
      <c r="B1900" s="12" t="s">
        <v>225</v>
      </c>
      <c r="C1900" s="5" t="s">
        <v>61</v>
      </c>
      <c r="D1900" s="8"/>
      <c r="E1900" s="8"/>
      <c r="F1900" s="8"/>
      <c r="G1900" s="8"/>
      <c r="H1900" s="11">
        <v>0.02</v>
      </c>
      <c r="I1900" s="11">
        <v>0.083</v>
      </c>
      <c r="J1900" s="9" t="s">
        <v>60</v>
      </c>
      <c r="K1900" s="14" t="str">
        <f>IFERROR(__xludf.DUMMYFUNCTION("ARRAYFORMULA(VLOOKUP(A1900,IMPORTRANGE(""https://docs.google.com/spreadsheets/d/1BuTWp7qHGjWhqrnf-OmePP568O4A5Am9ttzvVdP67zw/edit#gid=1603210130"", ""TOURISM!$A$2:$F$2692""), {2,3,4,5,6},0))"),"Asia")</f>
        <v>Asia</v>
      </c>
      <c r="L1900" s="14">
        <f>IFERROR(__xludf.DUMMYFUNCTION("""COMPUTED_VALUE"""),2.334E9)</f>
        <v>2334000000</v>
      </c>
      <c r="M1900" s="14" t="str">
        <f>IFERROR(__xludf.DUMMYFUNCTION("""COMPUTED_VALUE"""),"Philippines-Asia")</f>
        <v>Philippines-Asia</v>
      </c>
      <c r="N1900" s="14" t="str">
        <f>IFERROR(__xludf.DUMMYFUNCTION("""COMPUTED_VALUE"""),"2000")</f>
        <v>2000</v>
      </c>
      <c r="O1900" s="14">
        <f>IFERROR(__xludf.DUMMYFUNCTION("""COMPUTED_VALUE"""),1.841E9)</f>
        <v>1841000000</v>
      </c>
      <c r="P1900" s="15">
        <f>IFERROR(__xludf.DUMMYFUNCTION("ARRAYFORMULA(VLOOKUP(A1900,IMPORTRANGE(""https://docs.google.com/spreadsheets/d/1BuTWp7qHGjWhqrnf-OmePP568O4A5Am9ttzvVdP67zw/edit#gid=771602874"" ,""HUMAN RESOURCES!$A$2:$M$2692""), {2,3,4,5,6,7,8,9,10,11,12,13},0))"),0.03)</f>
        <v>0.03</v>
      </c>
      <c r="Q1900" s="14">
        <f>IFERROR(__xludf.DUMMYFUNCTION("""COMPUTED_VALUE"""),0.03)</f>
        <v>0.03</v>
      </c>
      <c r="R1900" s="14">
        <f>IFERROR(__xludf.DUMMYFUNCTION("""COMPUTED_VALUE"""),70.0)</f>
        <v>70</v>
      </c>
      <c r="S1900" s="14">
        <f>IFERROR(__xludf.DUMMYFUNCTION("""COMPUTED_VALUE"""),64.0)</f>
        <v>64</v>
      </c>
      <c r="T1900" s="14">
        <f>IFERROR(__xludf.DUMMYFUNCTION("""COMPUTED_VALUE"""),0.385)</f>
        <v>0.385</v>
      </c>
      <c r="U1900" s="14">
        <f>IFERROR(__xludf.DUMMYFUNCTION("""COMPUTED_VALUE"""),0.583)</f>
        <v>0.583</v>
      </c>
      <c r="V1900" s="14">
        <f>IFERROR(__xludf.DUMMYFUNCTION("""COMPUTED_VALUE"""),0.032)</f>
        <v>0.032</v>
      </c>
      <c r="W1900" s="14">
        <f>IFERROR(__xludf.DUMMYFUNCTION("""COMPUTED_VALUE"""),7.7651848E7)</f>
        <v>77651848</v>
      </c>
      <c r="X1900" s="14">
        <f>IFERROR(__xludf.DUMMYFUNCTION("""COMPUTED_VALUE"""),0.48)</f>
        <v>0.48</v>
      </c>
      <c r="Y1900" s="14" t="str">
        <f>IFERROR(__xludf.DUMMYFUNCTION("""COMPUTED_VALUE"""),"Philippines-Asia")</f>
        <v>Philippines-Asia</v>
      </c>
      <c r="Z1900" s="14" t="str">
        <f>IFERROR(__xludf.DUMMYFUNCTION("""COMPUTED_VALUE"""),"Asia")</f>
        <v>Asia</v>
      </c>
      <c r="AA1900" s="14" t="str">
        <f>IFERROR(__xludf.DUMMYFUNCTION("""COMPUTED_VALUE"""),"2000")</f>
        <v>2000</v>
      </c>
      <c r="AB1900" s="15" t="str">
        <f>IFERROR(__xludf.DUMMYFUNCTION("ARRAYFORMULA(VLOOKUP(A1900,IMPORTRANGE(""https://docs.google.com/spreadsheets/d/1BuTWp7qHGjWhqrnf-OmePP568O4A5Am9ttzvVdP67zw/edit#gid=1931367683"" ,""ENERGY!$A$2:$F$2692""), {2,3,4,5,6},0))"),"Asia")</f>
        <v>Asia</v>
      </c>
      <c r="AC1900" s="14" t="str">
        <f>IFERROR(__xludf.DUMMYFUNCTION("""COMPUTED_VALUE"""),"Philippines-Asia")</f>
        <v>Philippines-Asia</v>
      </c>
      <c r="AD1900" s="14" t="str">
        <f>IFERROR(__xludf.DUMMYFUNCTION("""COMPUTED_VALUE"""),"2000")</f>
        <v>2000</v>
      </c>
      <c r="AE1900" s="14"/>
      <c r="AF1900" s="14"/>
    </row>
    <row r="1901">
      <c r="A1901" s="12">
        <v>1900.0</v>
      </c>
      <c r="B1901" s="12" t="s">
        <v>225</v>
      </c>
      <c r="C1901" s="5" t="s">
        <v>61</v>
      </c>
      <c r="D1901" s="8"/>
      <c r="E1901" s="8"/>
      <c r="F1901" s="8"/>
      <c r="G1901" s="8"/>
      <c r="H1901" s="11">
        <v>0.025</v>
      </c>
      <c r="I1901" s="11">
        <v>0.153</v>
      </c>
      <c r="J1901" s="9" t="s">
        <v>62</v>
      </c>
      <c r="K1901" s="14" t="str">
        <f>IFERROR(__xludf.DUMMYFUNCTION("ARRAYFORMULA(VLOOKUP(A1901,IMPORTRANGE(""https://docs.google.com/spreadsheets/d/1BuTWp7qHGjWhqrnf-OmePP568O4A5Am9ttzvVdP67zw/edit#gid=1603210130"", ""TOURISM!$A$2:$F$2692""), {2,3,4,5,6},0))"),"Asia")</f>
        <v>Asia</v>
      </c>
      <c r="L1901" s="14">
        <f>IFERROR(__xludf.DUMMYFUNCTION("""COMPUTED_VALUE"""),2.011E9)</f>
        <v>2011000000</v>
      </c>
      <c r="M1901" s="14" t="str">
        <f>IFERROR(__xludf.DUMMYFUNCTION("""COMPUTED_VALUE"""),"Philippines-Asia")</f>
        <v>Philippines-Asia</v>
      </c>
      <c r="N1901" s="14" t="str">
        <f>IFERROR(__xludf.DUMMYFUNCTION("""COMPUTED_VALUE"""),"2001")</f>
        <v>2001</v>
      </c>
      <c r="O1901" s="14">
        <f>IFERROR(__xludf.DUMMYFUNCTION("""COMPUTED_VALUE"""),1.918E9)</f>
        <v>1918000000</v>
      </c>
      <c r="P1901" s="15">
        <f>IFERROR(__xludf.DUMMYFUNCTION("ARRAYFORMULA(VLOOKUP(A1901,IMPORTRANGE(""https://docs.google.com/spreadsheets/d/1BuTWp7qHGjWhqrnf-OmePP568O4A5Am9ttzvVdP67zw/edit#gid=771602874"" ,""HUMAN RESOURCES!$A$2:$M$2692""), {2,3,4,5,6,7,8,9,10,11,12,13},0))"),0.029)</f>
        <v>0.029</v>
      </c>
      <c r="Q1901" s="14">
        <f>IFERROR(__xludf.DUMMYFUNCTION("""COMPUTED_VALUE"""),0.03)</f>
        <v>0.03</v>
      </c>
      <c r="R1901" s="14">
        <f>IFERROR(__xludf.DUMMYFUNCTION("""COMPUTED_VALUE"""),70.0)</f>
        <v>70</v>
      </c>
      <c r="S1901" s="14">
        <f>IFERROR(__xludf.DUMMYFUNCTION("""COMPUTED_VALUE"""),64.0)</f>
        <v>64</v>
      </c>
      <c r="T1901" s="14">
        <f>IFERROR(__xludf.DUMMYFUNCTION("""COMPUTED_VALUE"""),0.382)</f>
        <v>0.382</v>
      </c>
      <c r="U1901" s="14">
        <f>IFERROR(__xludf.DUMMYFUNCTION("""COMPUTED_VALUE"""),0.585)</f>
        <v>0.585</v>
      </c>
      <c r="V1901" s="14">
        <f>IFERROR(__xludf.DUMMYFUNCTION("""COMPUTED_VALUE"""),0.033)</f>
        <v>0.033</v>
      </c>
      <c r="W1901" s="14">
        <f>IFERROR(__xludf.DUMMYFUNCTION("""COMPUTED_VALUE"""),7.9297756E7)</f>
        <v>79297756</v>
      </c>
      <c r="X1901" s="14">
        <f>IFERROR(__xludf.DUMMYFUNCTION("""COMPUTED_VALUE"""),0.477)</f>
        <v>0.477</v>
      </c>
      <c r="Y1901" s="14" t="str">
        <f>IFERROR(__xludf.DUMMYFUNCTION("""COMPUTED_VALUE"""),"Philippines-Asia")</f>
        <v>Philippines-Asia</v>
      </c>
      <c r="Z1901" s="14" t="str">
        <f>IFERROR(__xludf.DUMMYFUNCTION("""COMPUTED_VALUE"""),"Asia")</f>
        <v>Asia</v>
      </c>
      <c r="AA1901" s="14" t="str">
        <f>IFERROR(__xludf.DUMMYFUNCTION("""COMPUTED_VALUE"""),"2001")</f>
        <v>2001</v>
      </c>
      <c r="AB1901" s="15" t="str">
        <f>IFERROR(__xludf.DUMMYFUNCTION("ARRAYFORMULA(VLOOKUP(A1901,IMPORTRANGE(""https://docs.google.com/spreadsheets/d/1BuTWp7qHGjWhqrnf-OmePP568O4A5Am9ttzvVdP67zw/edit#gid=1931367683"" ,""ENERGY!$A$2:$F$2692""), {2,3,4,5,6},0))"),"Asia")</f>
        <v>Asia</v>
      </c>
      <c r="AC1901" s="14" t="str">
        <f>IFERROR(__xludf.DUMMYFUNCTION("""COMPUTED_VALUE"""),"Philippines-Asia")</f>
        <v>Philippines-Asia</v>
      </c>
      <c r="AD1901" s="14" t="str">
        <f>IFERROR(__xludf.DUMMYFUNCTION("""COMPUTED_VALUE"""),"2001")</f>
        <v>2001</v>
      </c>
      <c r="AE1901" s="14">
        <f>IFERROR(__xludf.DUMMYFUNCTION("""COMPUTED_VALUE"""),40452.0)</f>
        <v>40452</v>
      </c>
      <c r="AF1901" s="14"/>
    </row>
    <row r="1902">
      <c r="A1902" s="12">
        <v>1901.0</v>
      </c>
      <c r="B1902" s="12" t="s">
        <v>225</v>
      </c>
      <c r="C1902" s="5" t="s">
        <v>61</v>
      </c>
      <c r="D1902" s="8"/>
      <c r="E1902" s="8"/>
      <c r="F1902" s="8"/>
      <c r="G1902" s="8"/>
      <c r="H1902" s="11">
        <v>0.043</v>
      </c>
      <c r="I1902" s="11">
        <v>0.19</v>
      </c>
      <c r="J1902" s="9" t="s">
        <v>63</v>
      </c>
      <c r="K1902" s="14" t="str">
        <f>IFERROR(__xludf.DUMMYFUNCTION("ARRAYFORMULA(VLOOKUP(A1902,IMPORTRANGE(""https://docs.google.com/spreadsheets/d/1BuTWp7qHGjWhqrnf-OmePP568O4A5Am9ttzvVdP67zw/edit#gid=1603210130"", ""TOURISM!$A$2:$F$2692""), {2,3,4,5,6},0))"),"Asia")</f>
        <v>Asia</v>
      </c>
      <c r="L1902" s="14">
        <f>IFERROR(__xludf.DUMMYFUNCTION("""COMPUTED_VALUE"""),2.018E9)</f>
        <v>2018000000</v>
      </c>
      <c r="M1902" s="14" t="str">
        <f>IFERROR(__xludf.DUMMYFUNCTION("""COMPUTED_VALUE"""),"Philippines-Asia")</f>
        <v>Philippines-Asia</v>
      </c>
      <c r="N1902" s="14" t="str">
        <f>IFERROR(__xludf.DUMMYFUNCTION("""COMPUTED_VALUE"""),"2002")</f>
        <v>2002</v>
      </c>
      <c r="O1902" s="14">
        <f>IFERROR(__xludf.DUMMYFUNCTION("""COMPUTED_VALUE"""),1.874E9)</f>
        <v>1874000000</v>
      </c>
      <c r="P1902" s="15">
        <f>IFERROR(__xludf.DUMMYFUNCTION("ARRAYFORMULA(VLOOKUP(A1902,IMPORTRANGE(""https://docs.google.com/spreadsheets/d/1BuTWp7qHGjWhqrnf-OmePP568O4A5Am9ttzvVdP67zw/edit#gid=771602874"" ,""HUMAN RESOURCES!$A$2:$M$2692""), {2,3,4,5,6,7,8,9,10,11,12,13},0))"),0.029)</f>
        <v>0.029</v>
      </c>
      <c r="Q1902" s="14">
        <f>IFERROR(__xludf.DUMMYFUNCTION("""COMPUTED_VALUE"""),0.029)</f>
        <v>0.029</v>
      </c>
      <c r="R1902" s="14">
        <f>IFERROR(__xludf.DUMMYFUNCTION("""COMPUTED_VALUE"""),70.0)</f>
        <v>70</v>
      </c>
      <c r="S1902" s="14">
        <f>IFERROR(__xludf.DUMMYFUNCTION("""COMPUTED_VALUE"""),64.0)</f>
        <v>64</v>
      </c>
      <c r="T1902" s="14">
        <f>IFERROR(__xludf.DUMMYFUNCTION("""COMPUTED_VALUE"""),0.38)</f>
        <v>0.38</v>
      </c>
      <c r="U1902" s="14">
        <f>IFERROR(__xludf.DUMMYFUNCTION("""COMPUTED_VALUE"""),0.587)</f>
        <v>0.587</v>
      </c>
      <c r="V1902" s="14">
        <f>IFERROR(__xludf.DUMMYFUNCTION("""COMPUTED_VALUE"""),0.033)</f>
        <v>0.033</v>
      </c>
      <c r="W1902" s="14">
        <f>IFERROR(__xludf.DUMMYFUNCTION("""COMPUTED_VALUE"""),8.0953652E7)</f>
        <v>80953652</v>
      </c>
      <c r="X1902" s="14">
        <f>IFERROR(__xludf.DUMMYFUNCTION("""COMPUTED_VALUE"""),0.474)</f>
        <v>0.474</v>
      </c>
      <c r="Y1902" s="14" t="str">
        <f>IFERROR(__xludf.DUMMYFUNCTION("""COMPUTED_VALUE"""),"Philippines-Asia")</f>
        <v>Philippines-Asia</v>
      </c>
      <c r="Z1902" s="14" t="str">
        <f>IFERROR(__xludf.DUMMYFUNCTION("""COMPUTED_VALUE"""),"Asia")</f>
        <v>Asia</v>
      </c>
      <c r="AA1902" s="14" t="str">
        <f>IFERROR(__xludf.DUMMYFUNCTION("""COMPUTED_VALUE"""),"2002")</f>
        <v>2002</v>
      </c>
      <c r="AB1902" s="15" t="str">
        <f>IFERROR(__xludf.DUMMYFUNCTION("ARRAYFORMULA(VLOOKUP(A1902,IMPORTRANGE(""https://docs.google.com/spreadsheets/d/1BuTWp7qHGjWhqrnf-OmePP568O4A5Am9ttzvVdP67zw/edit#gid=1931367683"" ,""ENERGY!$A$2:$F$2692""), {2,3,4,5,6},0))"),"Asia")</f>
        <v>Asia</v>
      </c>
      <c r="AC1902" s="14" t="str">
        <f>IFERROR(__xludf.DUMMYFUNCTION("""COMPUTED_VALUE"""),"Philippines-Asia")</f>
        <v>Philippines-Asia</v>
      </c>
      <c r="AD1902" s="14" t="str">
        <f>IFERROR(__xludf.DUMMYFUNCTION("""COMPUTED_VALUE"""),"2002")</f>
        <v>2002</v>
      </c>
      <c r="AE1902" s="14">
        <f>IFERROR(__xludf.DUMMYFUNCTION("""COMPUTED_VALUE"""),40512.0)</f>
        <v>40512</v>
      </c>
      <c r="AF1902" s="14">
        <f>IFERROR(__xludf.DUMMYFUNCTION("""COMPUTED_VALUE"""),81591.0)</f>
        <v>81591</v>
      </c>
    </row>
    <row r="1903">
      <c r="A1903" s="12">
        <v>1902.0</v>
      </c>
      <c r="B1903" s="12" t="s">
        <v>225</v>
      </c>
      <c r="C1903" s="5" t="s">
        <v>61</v>
      </c>
      <c r="D1903" s="8"/>
      <c r="E1903" s="11">
        <v>49.0</v>
      </c>
      <c r="F1903" s="8"/>
      <c r="G1903" s="8"/>
      <c r="H1903" s="11">
        <v>0.049</v>
      </c>
      <c r="I1903" s="11">
        <v>0.272</v>
      </c>
      <c r="J1903" s="9" t="s">
        <v>64</v>
      </c>
      <c r="K1903" s="14" t="str">
        <f>IFERROR(__xludf.DUMMYFUNCTION("ARRAYFORMULA(VLOOKUP(A1903,IMPORTRANGE(""https://docs.google.com/spreadsheets/d/1BuTWp7qHGjWhqrnf-OmePP568O4A5Am9ttzvVdP67zw/edit#gid=1603210130"", ""TOURISM!$A$2:$F$2692""), {2,3,4,5,6},0))"),"Asia")</f>
        <v>Asia</v>
      </c>
      <c r="L1903" s="14">
        <f>IFERROR(__xludf.DUMMYFUNCTION("""COMPUTED_VALUE"""),1.821E9)</f>
        <v>1821000000</v>
      </c>
      <c r="M1903" s="14" t="str">
        <f>IFERROR(__xludf.DUMMYFUNCTION("""COMPUTED_VALUE"""),"Philippines-Asia")</f>
        <v>Philippines-Asia</v>
      </c>
      <c r="N1903" s="14" t="str">
        <f>IFERROR(__xludf.DUMMYFUNCTION("""COMPUTED_VALUE"""),"2003")</f>
        <v>2003</v>
      </c>
      <c r="O1903" s="14">
        <f>IFERROR(__xludf.DUMMYFUNCTION("""COMPUTED_VALUE"""),1.649E9)</f>
        <v>1649000000</v>
      </c>
      <c r="P1903" s="15">
        <f>IFERROR(__xludf.DUMMYFUNCTION("ARRAYFORMULA(VLOOKUP(A1903,IMPORTRANGE(""https://docs.google.com/spreadsheets/d/1BuTWp7qHGjWhqrnf-OmePP568O4A5Am9ttzvVdP67zw/edit#gid=771602874"" ,""HUMAN RESOURCES!$A$2:$M$2692""), {2,3,4,5,6,7,8,9,10,11,12,13},0))"),0.028)</f>
        <v>0.028</v>
      </c>
      <c r="Q1903" s="14">
        <f>IFERROR(__xludf.DUMMYFUNCTION("""COMPUTED_VALUE"""),0.029)</f>
        <v>0.029</v>
      </c>
      <c r="R1903" s="14">
        <f>IFERROR(__xludf.DUMMYFUNCTION("""COMPUTED_VALUE"""),71.0)</f>
        <v>71</v>
      </c>
      <c r="S1903" s="14">
        <f>IFERROR(__xludf.DUMMYFUNCTION("""COMPUTED_VALUE"""),64.0)</f>
        <v>64</v>
      </c>
      <c r="T1903" s="14">
        <f>IFERROR(__xludf.DUMMYFUNCTION("""COMPUTED_VALUE"""),0.377)</f>
        <v>0.377</v>
      </c>
      <c r="U1903" s="14">
        <f>IFERROR(__xludf.DUMMYFUNCTION("""COMPUTED_VALUE"""),0.59)</f>
        <v>0.59</v>
      </c>
      <c r="V1903" s="14">
        <f>IFERROR(__xludf.DUMMYFUNCTION("""COMPUTED_VALUE"""),0.033)</f>
        <v>0.033</v>
      </c>
      <c r="W1903" s="14">
        <f>IFERROR(__xludf.DUMMYFUNCTION("""COMPUTED_VALUE"""),8.2604681E7)</f>
        <v>82604681</v>
      </c>
      <c r="X1903" s="14">
        <f>IFERROR(__xludf.DUMMYFUNCTION("""COMPUTED_VALUE"""),0.471)</f>
        <v>0.471</v>
      </c>
      <c r="Y1903" s="14" t="str">
        <f>IFERROR(__xludf.DUMMYFUNCTION("""COMPUTED_VALUE"""),"Philippines-Asia")</f>
        <v>Philippines-Asia</v>
      </c>
      <c r="Z1903" s="14" t="str">
        <f>IFERROR(__xludf.DUMMYFUNCTION("""COMPUTED_VALUE"""),"Asia")</f>
        <v>Asia</v>
      </c>
      <c r="AA1903" s="14" t="str">
        <f>IFERROR(__xludf.DUMMYFUNCTION("""COMPUTED_VALUE"""),"2003")</f>
        <v>2003</v>
      </c>
      <c r="AB1903" s="15" t="str">
        <f>IFERROR(__xludf.DUMMYFUNCTION("ARRAYFORMULA(VLOOKUP(A1903,IMPORTRANGE(""https://docs.google.com/spreadsheets/d/1BuTWp7qHGjWhqrnf-OmePP568O4A5Am9ttzvVdP67zw/edit#gid=1931367683"" ,""ENERGY!$A$2:$F$2692""), {2,3,4,5,6},0))"),"Asia")</f>
        <v>Asia</v>
      </c>
      <c r="AC1903" s="14" t="str">
        <f>IFERROR(__xludf.DUMMYFUNCTION("""COMPUTED_VALUE"""),"Philippines-Asia")</f>
        <v>Philippines-Asia</v>
      </c>
      <c r="AD1903" s="14" t="str">
        <f>IFERROR(__xludf.DUMMYFUNCTION("""COMPUTED_VALUE"""),"2003")</f>
        <v>2003</v>
      </c>
      <c r="AE1903" s="14">
        <f>IFERROR(__xludf.DUMMYFUNCTION("""COMPUTED_VALUE"""),38102.0)</f>
        <v>38102</v>
      </c>
      <c r="AF1903" s="14">
        <f>IFERROR(__xludf.DUMMYFUNCTION("""COMPUTED_VALUE"""),74785.0)</f>
        <v>74785</v>
      </c>
    </row>
    <row r="1904">
      <c r="A1904" s="12">
        <v>1903.0</v>
      </c>
      <c r="B1904" s="12" t="s">
        <v>225</v>
      </c>
      <c r="C1904" s="5" t="s">
        <v>61</v>
      </c>
      <c r="D1904" s="8"/>
      <c r="E1904" s="11">
        <v>49.0</v>
      </c>
      <c r="F1904" s="8"/>
      <c r="G1904" s="8"/>
      <c r="H1904" s="11">
        <v>0.052</v>
      </c>
      <c r="I1904" s="11">
        <v>0.391</v>
      </c>
      <c r="J1904" s="9" t="s">
        <v>65</v>
      </c>
      <c r="K1904" s="14" t="str">
        <f>IFERROR(__xludf.DUMMYFUNCTION("ARRAYFORMULA(VLOOKUP(A1904,IMPORTRANGE(""https://docs.google.com/spreadsheets/d/1BuTWp7qHGjWhqrnf-OmePP568O4A5Am9ttzvVdP67zw/edit#gid=1603210130"", ""TOURISM!$A$2:$F$2692""), {2,3,4,5,6},0))"),"Asia")</f>
        <v>Asia</v>
      </c>
      <c r="L1904" s="14">
        <f>IFERROR(__xludf.DUMMYFUNCTION("""COMPUTED_VALUE"""),2.39E9)</f>
        <v>2390000000</v>
      </c>
      <c r="M1904" s="14" t="str">
        <f>IFERROR(__xludf.DUMMYFUNCTION("""COMPUTED_VALUE"""),"Philippines-Asia")</f>
        <v>Philippines-Asia</v>
      </c>
      <c r="N1904" s="14" t="str">
        <f>IFERROR(__xludf.DUMMYFUNCTION("""COMPUTED_VALUE"""),"2004")</f>
        <v>2004</v>
      </c>
      <c r="O1904" s="14">
        <f>IFERROR(__xludf.DUMMYFUNCTION("""COMPUTED_VALUE"""),1.526E9)</f>
        <v>1526000000</v>
      </c>
      <c r="P1904" s="15">
        <f>IFERROR(__xludf.DUMMYFUNCTION("ARRAYFORMULA(VLOOKUP(A1904,IMPORTRANGE(""https://docs.google.com/spreadsheets/d/1BuTWp7qHGjWhqrnf-OmePP568O4A5Am9ttzvVdP67zw/edit#gid=771602874"" ,""HUMAN RESOURCES!$A$2:$M$2692""), {2,3,4,5,6,7,8,9,10,11,12,13},0))"),0.028)</f>
        <v>0.028</v>
      </c>
      <c r="Q1904" s="14">
        <f>IFERROR(__xludf.DUMMYFUNCTION("""COMPUTED_VALUE"""),0.028)</f>
        <v>0.028</v>
      </c>
      <c r="R1904" s="14">
        <f>IFERROR(__xludf.DUMMYFUNCTION("""COMPUTED_VALUE"""),71.0)</f>
        <v>71</v>
      </c>
      <c r="S1904" s="14">
        <f>IFERROR(__xludf.DUMMYFUNCTION("""COMPUTED_VALUE"""),64.0)</f>
        <v>64</v>
      </c>
      <c r="T1904" s="14">
        <f>IFERROR(__xludf.DUMMYFUNCTION("""COMPUTED_VALUE"""),0.374)</f>
        <v>0.374</v>
      </c>
      <c r="U1904" s="14">
        <f>IFERROR(__xludf.DUMMYFUNCTION("""COMPUTED_VALUE"""),0.592)</f>
        <v>0.592</v>
      </c>
      <c r="V1904" s="14">
        <f>IFERROR(__xludf.DUMMYFUNCTION("""COMPUTED_VALUE"""),0.034)</f>
        <v>0.034</v>
      </c>
      <c r="W1904" s="14">
        <f>IFERROR(__xludf.DUMMYFUNCTION("""COMPUTED_VALUE"""),8.4231329E7)</f>
        <v>84231329</v>
      </c>
      <c r="X1904" s="14">
        <f>IFERROR(__xludf.DUMMYFUNCTION("""COMPUTED_VALUE"""),0.469)</f>
        <v>0.469</v>
      </c>
      <c r="Y1904" s="14" t="str">
        <f>IFERROR(__xludf.DUMMYFUNCTION("""COMPUTED_VALUE"""),"Philippines-Asia")</f>
        <v>Philippines-Asia</v>
      </c>
      <c r="Z1904" s="14" t="str">
        <f>IFERROR(__xludf.DUMMYFUNCTION("""COMPUTED_VALUE"""),"Asia")</f>
        <v>Asia</v>
      </c>
      <c r="AA1904" s="14" t="str">
        <f>IFERROR(__xludf.DUMMYFUNCTION("""COMPUTED_VALUE"""),"2004")</f>
        <v>2004</v>
      </c>
      <c r="AB1904" s="15" t="str">
        <f>IFERROR(__xludf.DUMMYFUNCTION("ARRAYFORMULA(VLOOKUP(A1904,IMPORTRANGE(""https://docs.google.com/spreadsheets/d/1BuTWp7qHGjWhqrnf-OmePP568O4A5Am9ttzvVdP67zw/edit#gid=1931367683"" ,""ENERGY!$A$2:$F$2692""), {2,3,4,5,6},0))"),"Asia")</f>
        <v>Asia</v>
      </c>
      <c r="AC1904" s="14" t="str">
        <f>IFERROR(__xludf.DUMMYFUNCTION("""COMPUTED_VALUE"""),"Philippines-Asia")</f>
        <v>Philippines-Asia</v>
      </c>
      <c r="AD1904" s="14" t="str">
        <f>IFERROR(__xludf.DUMMYFUNCTION("""COMPUTED_VALUE"""),"2004")</f>
        <v>2004</v>
      </c>
      <c r="AE1904" s="14">
        <f>IFERROR(__xludf.DUMMYFUNCTION("""COMPUTED_VALUE"""),40009.0)</f>
        <v>40009</v>
      </c>
      <c r="AF1904" s="14">
        <f>IFERROR(__xludf.DUMMYFUNCTION("""COMPUTED_VALUE"""),75944.0)</f>
        <v>75944</v>
      </c>
    </row>
    <row r="1905">
      <c r="A1905" s="12">
        <v>1904.0</v>
      </c>
      <c r="B1905" s="12" t="s">
        <v>225</v>
      </c>
      <c r="C1905" s="5" t="s">
        <v>61</v>
      </c>
      <c r="D1905" s="11">
        <v>0.472</v>
      </c>
      <c r="E1905" s="11">
        <v>47.0</v>
      </c>
      <c r="F1905" s="8"/>
      <c r="G1905" s="11">
        <v>195.0</v>
      </c>
      <c r="H1905" s="11">
        <v>0.054</v>
      </c>
      <c r="I1905" s="11">
        <v>0.405</v>
      </c>
      <c r="J1905" s="9" t="s">
        <v>66</v>
      </c>
      <c r="K1905" s="14" t="str">
        <f>IFERROR(__xludf.DUMMYFUNCTION("ARRAYFORMULA(VLOOKUP(A1905,IMPORTRANGE(""https://docs.google.com/spreadsheets/d/1BuTWp7qHGjWhqrnf-OmePP568O4A5Am9ttzvVdP67zw/edit#gid=1603210130"", ""TOURISM!$A$2:$F$2692""), {2,3,4,5,6},0))"),"Asia")</f>
        <v>Asia</v>
      </c>
      <c r="L1905" s="14">
        <f>IFERROR(__xludf.DUMMYFUNCTION("""COMPUTED_VALUE"""),2.755E9)</f>
        <v>2755000000</v>
      </c>
      <c r="M1905" s="14" t="str">
        <f>IFERROR(__xludf.DUMMYFUNCTION("""COMPUTED_VALUE"""),"Philippines-Asia")</f>
        <v>Philippines-Asia</v>
      </c>
      <c r="N1905" s="14" t="str">
        <f>IFERROR(__xludf.DUMMYFUNCTION("""COMPUTED_VALUE"""),"2005")</f>
        <v>2005</v>
      </c>
      <c r="O1905" s="14">
        <f>IFERROR(__xludf.DUMMYFUNCTION("""COMPUTED_VALUE"""),1.547E9)</f>
        <v>1547000000</v>
      </c>
      <c r="P1905" s="15">
        <f>IFERROR(__xludf.DUMMYFUNCTION("ARRAYFORMULA(VLOOKUP(A1905,IMPORTRANGE(""https://docs.google.com/spreadsheets/d/1BuTWp7qHGjWhqrnf-OmePP568O4A5Am9ttzvVdP67zw/edit#gid=771602874"" ,""HUMAN RESOURCES!$A$2:$M$2692""), {2,3,4,5,6,7,8,9,10,11,12,13},0))"),0.027)</f>
        <v>0.027</v>
      </c>
      <c r="Q1905" s="14">
        <f>IFERROR(__xludf.DUMMYFUNCTION("""COMPUTED_VALUE"""),0.028)</f>
        <v>0.028</v>
      </c>
      <c r="R1905" s="14">
        <f>IFERROR(__xludf.DUMMYFUNCTION("""COMPUTED_VALUE"""),71.0)</f>
        <v>71</v>
      </c>
      <c r="S1905" s="14">
        <f>IFERROR(__xludf.DUMMYFUNCTION("""COMPUTED_VALUE"""),64.0)</f>
        <v>64</v>
      </c>
      <c r="T1905" s="14">
        <f>IFERROR(__xludf.DUMMYFUNCTION("""COMPUTED_VALUE"""),0.371)</f>
        <v>0.371</v>
      </c>
      <c r="U1905" s="14">
        <f>IFERROR(__xludf.DUMMYFUNCTION("""COMPUTED_VALUE"""),0.595)</f>
        <v>0.595</v>
      </c>
      <c r="V1905" s="14">
        <f>IFERROR(__xludf.DUMMYFUNCTION("""COMPUTED_VALUE"""),0.034)</f>
        <v>0.034</v>
      </c>
      <c r="W1905" s="14">
        <f>IFERROR(__xludf.DUMMYFUNCTION("""COMPUTED_VALUE"""),8.5821214E7)</f>
        <v>85821214</v>
      </c>
      <c r="X1905" s="14">
        <f>IFERROR(__xludf.DUMMYFUNCTION("""COMPUTED_VALUE"""),0.466)</f>
        <v>0.466</v>
      </c>
      <c r="Y1905" s="14" t="str">
        <f>IFERROR(__xludf.DUMMYFUNCTION("""COMPUTED_VALUE"""),"Philippines-Asia")</f>
        <v>Philippines-Asia</v>
      </c>
      <c r="Z1905" s="14" t="str">
        <f>IFERROR(__xludf.DUMMYFUNCTION("""COMPUTED_VALUE"""),"Asia")</f>
        <v>Asia</v>
      </c>
      <c r="AA1905" s="14" t="str">
        <f>IFERROR(__xludf.DUMMYFUNCTION("""COMPUTED_VALUE"""),"2005")</f>
        <v>2005</v>
      </c>
      <c r="AB1905" s="15" t="str">
        <f>IFERROR(__xludf.DUMMYFUNCTION("ARRAYFORMULA(VLOOKUP(A1905,IMPORTRANGE(""https://docs.google.com/spreadsheets/d/1BuTWp7qHGjWhqrnf-OmePP568O4A5Am9ttzvVdP67zw/edit#gid=1931367683"" ,""ENERGY!$A$2:$F$2692""), {2,3,4,5,6},0))"),"Asia")</f>
        <v>Asia</v>
      </c>
      <c r="AC1905" s="14" t="str">
        <f>IFERROR(__xludf.DUMMYFUNCTION("""COMPUTED_VALUE"""),"Philippines-Asia")</f>
        <v>Philippines-Asia</v>
      </c>
      <c r="AD1905" s="14" t="str">
        <f>IFERROR(__xludf.DUMMYFUNCTION("""COMPUTED_VALUE"""),"2008")</f>
        <v>2008</v>
      </c>
      <c r="AE1905" s="14">
        <f>IFERROR(__xludf.DUMMYFUNCTION("""COMPUTED_VALUE"""),38514.0)</f>
        <v>38514</v>
      </c>
      <c r="AF1905" s="14">
        <f>IFERROR(__xludf.DUMMYFUNCTION("""COMPUTED_VALUE"""),69669.0)</f>
        <v>69669</v>
      </c>
    </row>
    <row r="1906">
      <c r="A1906" s="12">
        <v>1905.0</v>
      </c>
      <c r="B1906" s="12" t="s">
        <v>225</v>
      </c>
      <c r="C1906" s="5" t="s">
        <v>61</v>
      </c>
      <c r="D1906" s="11">
        <v>0.476</v>
      </c>
      <c r="E1906" s="11">
        <v>47.0</v>
      </c>
      <c r="F1906" s="8"/>
      <c r="G1906" s="11">
        <v>195.0</v>
      </c>
      <c r="H1906" s="11">
        <v>0.057</v>
      </c>
      <c r="I1906" s="11">
        <v>0.491</v>
      </c>
      <c r="J1906" s="9" t="s">
        <v>67</v>
      </c>
      <c r="K1906" s="14" t="str">
        <f>IFERROR(__xludf.DUMMYFUNCTION("ARRAYFORMULA(VLOOKUP(A1906,IMPORTRANGE(""https://docs.google.com/spreadsheets/d/1BuTWp7qHGjWhqrnf-OmePP568O4A5Am9ttzvVdP67zw/edit#gid=1603210130"", ""TOURISM!$A$2:$F$2692""), {2,3,4,5,6},0))"),"Asia")</f>
        <v>Asia</v>
      </c>
      <c r="L1906" s="14">
        <f>IFERROR(__xludf.DUMMYFUNCTION("""COMPUTED_VALUE"""),4.019E9)</f>
        <v>4019000000</v>
      </c>
      <c r="M1906" s="14" t="str">
        <f>IFERROR(__xludf.DUMMYFUNCTION("""COMPUTED_VALUE"""),"Philippines-Asia")</f>
        <v>Philippines-Asia</v>
      </c>
      <c r="N1906" s="14" t="str">
        <f>IFERROR(__xludf.DUMMYFUNCTION("""COMPUTED_VALUE"""),"2006")</f>
        <v>2006</v>
      </c>
      <c r="O1906" s="14">
        <f>IFERROR(__xludf.DUMMYFUNCTION("""COMPUTED_VALUE"""),1.558E9)</f>
        <v>1558000000</v>
      </c>
      <c r="P1906" s="15">
        <f>IFERROR(__xludf.DUMMYFUNCTION("ARRAYFORMULA(VLOOKUP(A1906,IMPORTRANGE(""https://docs.google.com/spreadsheets/d/1BuTWp7qHGjWhqrnf-OmePP568O4A5Am9ttzvVdP67zw/edit#gid=771602874"" ,""HUMAN RESOURCES!$A$2:$M$2692""), {2,3,4,5,6,7,8,9,10,11,12,13},0))"),0.027)</f>
        <v>0.027</v>
      </c>
      <c r="Q1906" s="14">
        <f>IFERROR(__xludf.DUMMYFUNCTION("""COMPUTED_VALUE"""),0.027)</f>
        <v>0.027</v>
      </c>
      <c r="R1906" s="14">
        <f>IFERROR(__xludf.DUMMYFUNCTION("""COMPUTED_VALUE"""),71.0)</f>
        <v>71</v>
      </c>
      <c r="S1906" s="14">
        <f>IFERROR(__xludf.DUMMYFUNCTION("""COMPUTED_VALUE"""),64.0)</f>
        <v>64</v>
      </c>
      <c r="T1906" s="14">
        <f>IFERROR(__xludf.DUMMYFUNCTION("""COMPUTED_VALUE"""),0.367)</f>
        <v>0.367</v>
      </c>
      <c r="U1906" s="14">
        <f>IFERROR(__xludf.DUMMYFUNCTION("""COMPUTED_VALUE"""),0.598)</f>
        <v>0.598</v>
      </c>
      <c r="V1906" s="14">
        <f>IFERROR(__xludf.DUMMYFUNCTION("""COMPUTED_VALUE"""),0.035)</f>
        <v>0.035</v>
      </c>
      <c r="W1906" s="14">
        <f>IFERROR(__xludf.DUMMYFUNCTION("""COMPUTED_VALUE"""),8.7366573E7)</f>
        <v>87366573</v>
      </c>
      <c r="X1906" s="14">
        <f>IFERROR(__xludf.DUMMYFUNCTION("""COMPUTED_VALUE"""),0.463)</f>
        <v>0.463</v>
      </c>
      <c r="Y1906" s="14" t="str">
        <f>IFERROR(__xludf.DUMMYFUNCTION("""COMPUTED_VALUE"""),"Philippines-Asia")</f>
        <v>Philippines-Asia</v>
      </c>
      <c r="Z1906" s="14" t="str">
        <f>IFERROR(__xludf.DUMMYFUNCTION("""COMPUTED_VALUE"""),"Asia")</f>
        <v>Asia</v>
      </c>
      <c r="AA1906" s="14" t="str">
        <f>IFERROR(__xludf.DUMMYFUNCTION("""COMPUTED_VALUE"""),"2006")</f>
        <v>2006</v>
      </c>
      <c r="AB1906" s="15" t="str">
        <f>IFERROR(__xludf.DUMMYFUNCTION("ARRAYFORMULA(VLOOKUP(A1906,IMPORTRANGE(""https://docs.google.com/spreadsheets/d/1BuTWp7qHGjWhqrnf-OmePP568O4A5Am9ttzvVdP67zw/edit#gid=1931367683"" ,""ENERGY!$A$2:$F$2692""), {2,3,4,5,6},0))"),"Asia")</f>
        <v>Asia</v>
      </c>
      <c r="AC1906" s="14" t="str">
        <f>IFERROR(__xludf.DUMMYFUNCTION("""COMPUTED_VALUE"""),"Philippines-Asia")</f>
        <v>Philippines-Asia</v>
      </c>
      <c r="AD1906" s="14" t="str">
        <f>IFERROR(__xludf.DUMMYFUNCTION("""COMPUTED_VALUE"""),"2012")</f>
        <v>2012</v>
      </c>
      <c r="AE1906" s="14">
        <f>IFERROR(__xludf.DUMMYFUNCTION("""COMPUTED_VALUE"""),38456.0)</f>
        <v>38456</v>
      </c>
      <c r="AF1906" s="14">
        <f>IFERROR(__xludf.DUMMYFUNCTION("""COMPUTED_VALUE"""),67693.0)</f>
        <v>67693</v>
      </c>
    </row>
    <row r="1907">
      <c r="A1907" s="12">
        <v>1906.0</v>
      </c>
      <c r="B1907" s="12" t="s">
        <v>225</v>
      </c>
      <c r="C1907" s="5" t="s">
        <v>61</v>
      </c>
      <c r="D1907" s="11">
        <v>0.491</v>
      </c>
      <c r="E1907" s="11">
        <v>47.0</v>
      </c>
      <c r="F1907" s="8"/>
      <c r="G1907" s="11">
        <v>195.0</v>
      </c>
      <c r="H1907" s="11">
        <v>0.06</v>
      </c>
      <c r="I1907" s="11">
        <v>0.645</v>
      </c>
      <c r="J1907" s="9" t="s">
        <v>68</v>
      </c>
      <c r="K1907" s="14" t="str">
        <f>IFERROR(__xludf.DUMMYFUNCTION("ARRAYFORMULA(VLOOKUP(A1907,IMPORTRANGE(""https://docs.google.com/spreadsheets/d/1BuTWp7qHGjWhqrnf-OmePP568O4A5Am9ttzvVdP67zw/edit#gid=1603210130"", ""TOURISM!$A$2:$F$2692""), {2,3,4,5,6},0))"),"Asia")</f>
        <v>Asia</v>
      </c>
      <c r="L1907" s="14">
        <f>IFERROR(__xludf.DUMMYFUNCTION("""COMPUTED_VALUE"""),5.52E9)</f>
        <v>5520000000</v>
      </c>
      <c r="M1907" s="14" t="str">
        <f>IFERROR(__xludf.DUMMYFUNCTION("""COMPUTED_VALUE"""),"Philippines-Asia")</f>
        <v>Philippines-Asia</v>
      </c>
      <c r="N1907" s="14" t="str">
        <f>IFERROR(__xludf.DUMMYFUNCTION("""COMPUTED_VALUE"""),"2007")</f>
        <v>2007</v>
      </c>
      <c r="O1907" s="14">
        <f>IFERROR(__xludf.DUMMYFUNCTION("""COMPUTED_VALUE"""),2.055E9)</f>
        <v>2055000000</v>
      </c>
      <c r="P1907" s="15">
        <f>IFERROR(__xludf.DUMMYFUNCTION("ARRAYFORMULA(VLOOKUP(A1907,IMPORTRANGE(""https://docs.google.com/spreadsheets/d/1BuTWp7qHGjWhqrnf-OmePP568O4A5Am9ttzvVdP67zw/edit#gid=771602874"" ,""HUMAN RESOURCES!$A$2:$M$2692""), {2,3,4,5,6,7,8,9,10,11,12,13},0))"),0.026)</f>
        <v>0.026</v>
      </c>
      <c r="Q1907" s="14">
        <f>IFERROR(__xludf.DUMMYFUNCTION("""COMPUTED_VALUE"""),0.027)</f>
        <v>0.027</v>
      </c>
      <c r="R1907" s="14">
        <f>IFERROR(__xludf.DUMMYFUNCTION("""COMPUTED_VALUE"""),71.0)</f>
        <v>71</v>
      </c>
      <c r="S1907" s="14">
        <f>IFERROR(__xludf.DUMMYFUNCTION("""COMPUTED_VALUE"""),64.0)</f>
        <v>64</v>
      </c>
      <c r="T1907" s="14">
        <f>IFERROR(__xludf.DUMMYFUNCTION("""COMPUTED_VALUE"""),0.364)</f>
        <v>0.364</v>
      </c>
      <c r="U1907" s="14">
        <f>IFERROR(__xludf.DUMMYFUNCTION("""COMPUTED_VALUE"""),0.601)</f>
        <v>0.601</v>
      </c>
      <c r="V1907" s="14">
        <f>IFERROR(__xludf.DUMMYFUNCTION("""COMPUTED_VALUE"""),0.035)</f>
        <v>0.035</v>
      </c>
      <c r="W1907" s="14">
        <f>IFERROR(__xludf.DUMMYFUNCTION("""COMPUTED_VALUE"""),8.8875548E7)</f>
        <v>88875548</v>
      </c>
      <c r="X1907" s="14">
        <f>IFERROR(__xludf.DUMMYFUNCTION("""COMPUTED_VALUE"""),0.461)</f>
        <v>0.461</v>
      </c>
      <c r="Y1907" s="14" t="str">
        <f>IFERROR(__xludf.DUMMYFUNCTION("""COMPUTED_VALUE"""),"Philippines-Asia")</f>
        <v>Philippines-Asia</v>
      </c>
      <c r="Z1907" s="14" t="str">
        <f>IFERROR(__xludf.DUMMYFUNCTION("""COMPUTED_VALUE"""),"Asia")</f>
        <v>Asia</v>
      </c>
      <c r="AA1907" s="14" t="str">
        <f>IFERROR(__xludf.DUMMYFUNCTION("""COMPUTED_VALUE"""),"2007")</f>
        <v>2007</v>
      </c>
      <c r="AB1907" s="15" t="str">
        <f>IFERROR(__xludf.DUMMYFUNCTION("ARRAYFORMULA(VLOOKUP(A1907,IMPORTRANGE(""https://docs.google.com/spreadsheets/d/1BuTWp7qHGjWhqrnf-OmePP568O4A5Am9ttzvVdP67zw/edit#gid=1931367683"" ,""ENERGY!$A$2:$F$2692""), {2,3,4,5,6},0))"),"Asia")</f>
        <v>Asia</v>
      </c>
      <c r="AC1907" s="14" t="str">
        <f>IFERROR(__xludf.DUMMYFUNCTION("""COMPUTED_VALUE"""),"Philippines-Asia")</f>
        <v>Philippines-Asia</v>
      </c>
      <c r="AD1907" s="14" t="str">
        <f>IFERROR(__xludf.DUMMYFUNCTION("""COMPUTED_VALUE"""),"2010")</f>
        <v>2010</v>
      </c>
      <c r="AE1907" s="14">
        <f>IFERROR(__xludf.DUMMYFUNCTION("""COMPUTED_VALUE"""),38756.0)</f>
        <v>38756</v>
      </c>
      <c r="AF1907" s="14">
        <f>IFERROR(__xludf.DUMMYFUNCTION("""COMPUTED_VALUE"""),74832.0)</f>
        <v>74832</v>
      </c>
    </row>
    <row r="1908">
      <c r="A1908" s="12">
        <v>1907.0</v>
      </c>
      <c r="B1908" s="12" t="s">
        <v>225</v>
      </c>
      <c r="C1908" s="5" t="s">
        <v>61</v>
      </c>
      <c r="D1908" s="11">
        <v>0.471</v>
      </c>
      <c r="E1908" s="11">
        <v>41.0</v>
      </c>
      <c r="F1908" s="8"/>
      <c r="G1908" s="11">
        <v>195.0</v>
      </c>
      <c r="H1908" s="11">
        <v>0.062</v>
      </c>
      <c r="I1908" s="11">
        <v>0.754</v>
      </c>
      <c r="J1908" s="9" t="s">
        <v>69</v>
      </c>
      <c r="K1908" s="14" t="str">
        <f>IFERROR(__xludf.DUMMYFUNCTION("ARRAYFORMULA(VLOOKUP(A1908,IMPORTRANGE(""https://docs.google.com/spreadsheets/d/1BuTWp7qHGjWhqrnf-OmePP568O4A5Am9ttzvVdP67zw/edit#gid=1603210130"", ""TOURISM!$A$2:$F$2692""), {2,3,4,5,6},0))"),"Asia")</f>
        <v>Asia</v>
      </c>
      <c r="L1908" s="14">
        <f>IFERROR(__xludf.DUMMYFUNCTION("""COMPUTED_VALUE"""),3.024E9)</f>
        <v>3024000000</v>
      </c>
      <c r="M1908" s="14" t="str">
        <f>IFERROR(__xludf.DUMMYFUNCTION("""COMPUTED_VALUE"""),"Philippines-Asia")</f>
        <v>Philippines-Asia</v>
      </c>
      <c r="N1908" s="14" t="str">
        <f>IFERROR(__xludf.DUMMYFUNCTION("""COMPUTED_VALUE"""),"2008")</f>
        <v>2008</v>
      </c>
      <c r="O1908" s="14">
        <f>IFERROR(__xludf.DUMMYFUNCTION("""COMPUTED_VALUE"""),2.553E9)</f>
        <v>2553000000</v>
      </c>
      <c r="P1908" s="15">
        <f>IFERROR(__xludf.DUMMYFUNCTION("ARRAYFORMULA(VLOOKUP(A1908,IMPORTRANGE(""https://docs.google.com/spreadsheets/d/1BuTWp7qHGjWhqrnf-OmePP568O4A5Am9ttzvVdP67zw/edit#gid=771602874"" ,""HUMAN RESOURCES!$A$2:$M$2692""), {2,3,4,5,6,7,8,9,10,11,12,13},0))"),0.026)</f>
        <v>0.026</v>
      </c>
      <c r="Q1908" s="14">
        <f>IFERROR(__xludf.DUMMYFUNCTION("""COMPUTED_VALUE"""),0.026)</f>
        <v>0.026</v>
      </c>
      <c r="R1908" s="14">
        <f>IFERROR(__xludf.DUMMYFUNCTION("""COMPUTED_VALUE"""),71.0)</f>
        <v>71</v>
      </c>
      <c r="S1908" s="14">
        <f>IFERROR(__xludf.DUMMYFUNCTION("""COMPUTED_VALUE"""),65.0)</f>
        <v>65</v>
      </c>
      <c r="T1908" s="14">
        <f>IFERROR(__xludf.DUMMYFUNCTION("""COMPUTED_VALUE"""),0.36)</f>
        <v>0.36</v>
      </c>
      <c r="U1908" s="14">
        <f>IFERROR(__xludf.DUMMYFUNCTION("""COMPUTED_VALUE"""),0.604)</f>
        <v>0.604</v>
      </c>
      <c r="V1908" s="14">
        <f>IFERROR(__xludf.DUMMYFUNCTION("""COMPUTED_VALUE"""),0.036)</f>
        <v>0.036</v>
      </c>
      <c r="W1908" s="14">
        <f>IFERROR(__xludf.DUMMYFUNCTION("""COMPUTED_VALUE"""),9.0371287E7)</f>
        <v>90371287</v>
      </c>
      <c r="X1908" s="14">
        <f>IFERROR(__xludf.DUMMYFUNCTION("""COMPUTED_VALUE"""),0.458)</f>
        <v>0.458</v>
      </c>
      <c r="Y1908" s="14" t="str">
        <f>IFERROR(__xludf.DUMMYFUNCTION("""COMPUTED_VALUE"""),"Philippines-Asia")</f>
        <v>Philippines-Asia</v>
      </c>
      <c r="Z1908" s="14" t="str">
        <f>IFERROR(__xludf.DUMMYFUNCTION("""COMPUTED_VALUE"""),"Asia")</f>
        <v>Asia</v>
      </c>
      <c r="AA1908" s="14" t="str">
        <f>IFERROR(__xludf.DUMMYFUNCTION("""COMPUTED_VALUE"""),"2008")</f>
        <v>2008</v>
      </c>
      <c r="AB1908" s="15" t="str">
        <f>IFERROR(__xludf.DUMMYFUNCTION("ARRAYFORMULA(VLOOKUP(A1908,IMPORTRANGE(""https://docs.google.com/spreadsheets/d/1BuTWp7qHGjWhqrnf-OmePP568O4A5Am9ttzvVdP67zw/edit#gid=1931367683"" ,""ENERGY!$A$2:$F$2692""), {2,3,4,5,6},0))"),"Asia")</f>
        <v>Asia</v>
      </c>
      <c r="AC1908" s="14" t="str">
        <f>IFERROR(__xludf.DUMMYFUNCTION("""COMPUTED_VALUE"""),"Philippines-Asia")</f>
        <v>Philippines-Asia</v>
      </c>
      <c r="AD1908" s="14" t="str">
        <f>IFERROR(__xludf.DUMMYFUNCTION("""COMPUTED_VALUE"""),"2007")</f>
        <v>2007</v>
      </c>
      <c r="AE1908" s="14">
        <f>IFERROR(__xludf.DUMMYFUNCTION("""COMPUTED_VALUE"""),38643.0)</f>
        <v>38643</v>
      </c>
      <c r="AF1908" s="14">
        <f>IFERROR(__xludf.DUMMYFUNCTION("""COMPUTED_VALUE"""),74066.0)</f>
        <v>74066</v>
      </c>
    </row>
    <row r="1909">
      <c r="A1909" s="12">
        <v>1908.0</v>
      </c>
      <c r="B1909" s="12" t="s">
        <v>225</v>
      </c>
      <c r="C1909" s="5" t="s">
        <v>61</v>
      </c>
      <c r="D1909" s="11">
        <v>0.471</v>
      </c>
      <c r="E1909" s="11">
        <v>42.0</v>
      </c>
      <c r="F1909" s="8"/>
      <c r="G1909" s="11">
        <v>195.0</v>
      </c>
      <c r="H1909" s="11">
        <v>0.09</v>
      </c>
      <c r="I1909" s="11">
        <v>0.823</v>
      </c>
      <c r="J1909" s="9" t="s">
        <v>70</v>
      </c>
      <c r="K1909" s="14" t="str">
        <f>IFERROR(__xludf.DUMMYFUNCTION("ARRAYFORMULA(VLOOKUP(A1909,IMPORTRANGE(""https://docs.google.com/spreadsheets/d/1BuTWp7qHGjWhqrnf-OmePP568O4A5Am9ttzvVdP67zw/edit#gid=1603210130"", ""TOURISM!$A$2:$F$2692""), {2,3,4,5,6},0))"),"Asia")</f>
        <v>Asia</v>
      </c>
      <c r="L1909" s="14">
        <f>IFERROR(__xludf.DUMMYFUNCTION("""COMPUTED_VALUE"""),2.853E9)</f>
        <v>2853000000</v>
      </c>
      <c r="M1909" s="14" t="str">
        <f>IFERROR(__xludf.DUMMYFUNCTION("""COMPUTED_VALUE"""),"Philippines-Asia")</f>
        <v>Philippines-Asia</v>
      </c>
      <c r="N1909" s="14" t="str">
        <f>IFERROR(__xludf.DUMMYFUNCTION("""COMPUTED_VALUE"""),"2009")</f>
        <v>2009</v>
      </c>
      <c r="O1909" s="14">
        <f>IFERROR(__xludf.DUMMYFUNCTION("""COMPUTED_VALUE"""),3.251E9)</f>
        <v>3251000000</v>
      </c>
      <c r="P1909" s="15">
        <f>IFERROR(__xludf.DUMMYFUNCTION("ARRAYFORMULA(VLOOKUP(A1909,IMPORTRANGE(""https://docs.google.com/spreadsheets/d/1BuTWp7qHGjWhqrnf-OmePP568O4A5Am9ttzvVdP67zw/edit#gid=771602874"" ,""HUMAN RESOURCES!$A$2:$M$2692""), {2,3,4,5,6,7,8,9,10,11,12,13},0))"),0.025)</f>
        <v>0.025</v>
      </c>
      <c r="Q1909" s="14">
        <f>IFERROR(__xludf.DUMMYFUNCTION("""COMPUTED_VALUE"""),0.026)</f>
        <v>0.026</v>
      </c>
      <c r="R1909" s="14">
        <f>IFERROR(__xludf.DUMMYFUNCTION("""COMPUTED_VALUE"""),72.0)</f>
        <v>72</v>
      </c>
      <c r="S1909" s="14">
        <f>IFERROR(__xludf.DUMMYFUNCTION("""COMPUTED_VALUE"""),65.0)</f>
        <v>65</v>
      </c>
      <c r="T1909" s="14">
        <f>IFERROR(__xludf.DUMMYFUNCTION("""COMPUTED_VALUE"""),0.357)</f>
        <v>0.357</v>
      </c>
      <c r="U1909" s="14">
        <f>IFERROR(__xludf.DUMMYFUNCTION("""COMPUTED_VALUE"""),0.607)</f>
        <v>0.607</v>
      </c>
      <c r="V1909" s="14">
        <f>IFERROR(__xludf.DUMMYFUNCTION("""COMPUTED_VALUE"""),0.037)</f>
        <v>0.037</v>
      </c>
      <c r="W1909" s="14">
        <f>IFERROR(__xludf.DUMMYFUNCTION("""COMPUTED_VALUE"""),9.18864E7)</f>
        <v>91886400</v>
      </c>
      <c r="X1909" s="14">
        <f>IFERROR(__xludf.DUMMYFUNCTION("""COMPUTED_VALUE"""),0.455)</f>
        <v>0.455</v>
      </c>
      <c r="Y1909" s="14" t="str">
        <f>IFERROR(__xludf.DUMMYFUNCTION("""COMPUTED_VALUE"""),"Philippines-Asia")</f>
        <v>Philippines-Asia</v>
      </c>
      <c r="Z1909" s="14" t="str">
        <f>IFERROR(__xludf.DUMMYFUNCTION("""COMPUTED_VALUE"""),"Asia")</f>
        <v>Asia</v>
      </c>
      <c r="AA1909" s="14" t="str">
        <f>IFERROR(__xludf.DUMMYFUNCTION("""COMPUTED_VALUE"""),"2009")</f>
        <v>2009</v>
      </c>
      <c r="AB1909" s="15" t="str">
        <f>IFERROR(__xludf.DUMMYFUNCTION("ARRAYFORMULA(VLOOKUP(A1909,IMPORTRANGE(""https://docs.google.com/spreadsheets/d/1BuTWp7qHGjWhqrnf-OmePP568O4A5Am9ttzvVdP67zw/edit#gid=1931367683"" ,""ENERGY!$A$2:$F$2692""), {2,3,4,5,6},0))"),"Asia")</f>
        <v>Asia</v>
      </c>
      <c r="AC1909" s="14" t="str">
        <f>IFERROR(__xludf.DUMMYFUNCTION("""COMPUTED_VALUE"""),"Philippines-Asia")</f>
        <v>Philippines-Asia</v>
      </c>
      <c r="AD1909" s="14" t="str">
        <f>IFERROR(__xludf.DUMMYFUNCTION("""COMPUTED_VALUE"""),"2011")</f>
        <v>2011</v>
      </c>
      <c r="AE1909" s="14">
        <f>IFERROR(__xludf.DUMMYFUNCTION("""COMPUTED_VALUE"""),38822.0)</f>
        <v>38822</v>
      </c>
      <c r="AF1909" s="14">
        <f>IFERROR(__xludf.DUMMYFUNCTION("""COMPUTED_VALUE"""),71532.0)</f>
        <v>71532</v>
      </c>
    </row>
    <row r="1910">
      <c r="A1910" s="12">
        <v>1909.0</v>
      </c>
      <c r="B1910" s="12" t="s">
        <v>225</v>
      </c>
      <c r="C1910" s="5" t="s">
        <v>61</v>
      </c>
      <c r="D1910" s="11">
        <v>0.438</v>
      </c>
      <c r="E1910" s="11">
        <v>37.0</v>
      </c>
      <c r="F1910" s="8"/>
      <c r="G1910" s="11">
        <v>195.0</v>
      </c>
      <c r="H1910" s="11">
        <v>0.25</v>
      </c>
      <c r="I1910" s="11">
        <v>0.89</v>
      </c>
      <c r="J1910" s="9" t="s">
        <v>71</v>
      </c>
      <c r="K1910" s="14" t="str">
        <f>IFERROR(__xludf.DUMMYFUNCTION("ARRAYFORMULA(VLOOKUP(A1910,IMPORTRANGE(""https://docs.google.com/spreadsheets/d/1BuTWp7qHGjWhqrnf-OmePP568O4A5Am9ttzvVdP67zw/edit#gid=1603210130"", ""TOURISM!$A$2:$F$2692""), {2,3,4,5,6},0))"),"Asia")</f>
        <v>Asia</v>
      </c>
      <c r="L1910" s="14">
        <f>IFERROR(__xludf.DUMMYFUNCTION("""COMPUTED_VALUE"""),3.228E9)</f>
        <v>3228000000</v>
      </c>
      <c r="M1910" s="14" t="str">
        <f>IFERROR(__xludf.DUMMYFUNCTION("""COMPUTED_VALUE"""),"Philippines-Asia")</f>
        <v>Philippines-Asia</v>
      </c>
      <c r="N1910" s="14" t="str">
        <f>IFERROR(__xludf.DUMMYFUNCTION("""COMPUTED_VALUE"""),"2010")</f>
        <v>2010</v>
      </c>
      <c r="O1910" s="14">
        <f>IFERROR(__xludf.DUMMYFUNCTION("""COMPUTED_VALUE"""),4.194E9)</f>
        <v>4194000000</v>
      </c>
      <c r="P1910" s="15">
        <f>IFERROR(__xludf.DUMMYFUNCTION("ARRAYFORMULA(VLOOKUP(A1910,IMPORTRANGE(""https://docs.google.com/spreadsheets/d/1BuTWp7qHGjWhqrnf-OmePP568O4A5Am9ttzvVdP67zw/edit#gid=771602874"" ,""HUMAN RESOURCES!$A$2:$M$2692""), {2,3,4,5,6,7,8,9,10,11,12,13},0))"),0.025)</f>
        <v>0.025</v>
      </c>
      <c r="Q1910" s="14">
        <f>IFERROR(__xludf.DUMMYFUNCTION("""COMPUTED_VALUE"""),0.025)</f>
        <v>0.025</v>
      </c>
      <c r="R1910" s="14">
        <f>IFERROR(__xludf.DUMMYFUNCTION("""COMPUTED_VALUE"""),72.0)</f>
        <v>72</v>
      </c>
      <c r="S1910" s="14">
        <f>IFERROR(__xludf.DUMMYFUNCTION("""COMPUTED_VALUE"""),65.0)</f>
        <v>65</v>
      </c>
      <c r="T1910" s="14">
        <f>IFERROR(__xludf.DUMMYFUNCTION("""COMPUTED_VALUE"""),0.353)</f>
        <v>0.353</v>
      </c>
      <c r="U1910" s="14">
        <f>IFERROR(__xludf.DUMMYFUNCTION("""COMPUTED_VALUE"""),0.61)</f>
        <v>0.61</v>
      </c>
      <c r="V1910" s="14">
        <f>IFERROR(__xludf.DUMMYFUNCTION("""COMPUTED_VALUE"""),0.037)</f>
        <v>0.037</v>
      </c>
      <c r="W1910" s="14">
        <f>IFERROR(__xludf.DUMMYFUNCTION("""COMPUTED_VALUE"""),9.3444322E7)</f>
        <v>93444322</v>
      </c>
      <c r="X1910" s="14">
        <f>IFERROR(__xludf.DUMMYFUNCTION("""COMPUTED_VALUE"""),0.453)</f>
        <v>0.453</v>
      </c>
      <c r="Y1910" s="14" t="str">
        <f>IFERROR(__xludf.DUMMYFUNCTION("""COMPUTED_VALUE"""),"Philippines-Asia")</f>
        <v>Philippines-Asia</v>
      </c>
      <c r="Z1910" s="14" t="str">
        <f>IFERROR(__xludf.DUMMYFUNCTION("""COMPUTED_VALUE"""),"Asia")</f>
        <v>Asia</v>
      </c>
      <c r="AA1910" s="14" t="str">
        <f>IFERROR(__xludf.DUMMYFUNCTION("""COMPUTED_VALUE"""),"2010")</f>
        <v>2010</v>
      </c>
      <c r="AB1910" s="15" t="str">
        <f>IFERROR(__xludf.DUMMYFUNCTION("ARRAYFORMULA(VLOOKUP(A1910,IMPORTRANGE(""https://docs.google.com/spreadsheets/d/1BuTWp7qHGjWhqrnf-OmePP568O4A5Am9ttzvVdP67zw/edit#gid=1931367683"" ,""ENERGY!$A$2:$F$2692""), {2,3,4,5,6},0))"),"Asia")</f>
        <v>Asia</v>
      </c>
      <c r="AC1910" s="14" t="str">
        <f>IFERROR(__xludf.DUMMYFUNCTION("""COMPUTED_VALUE"""),"Philippines-Asia")</f>
        <v>Philippines-Asia</v>
      </c>
      <c r="AD1910" s="14" t="str">
        <f>IFERROR(__xludf.DUMMYFUNCTION("""COMPUTED_VALUE"""),"2007")</f>
        <v>2007</v>
      </c>
      <c r="AE1910" s="14">
        <f>IFERROR(__xludf.DUMMYFUNCTION("""COMPUTED_VALUE"""),38767.0)</f>
        <v>38767</v>
      </c>
      <c r="AF1910" s="14">
        <f>IFERROR(__xludf.DUMMYFUNCTION("""COMPUTED_VALUE"""),71338.0)</f>
        <v>71338</v>
      </c>
    </row>
    <row r="1911">
      <c r="A1911" s="12">
        <v>1910.0</v>
      </c>
      <c r="B1911" s="12" t="s">
        <v>225</v>
      </c>
      <c r="C1911" s="5" t="s">
        <v>61</v>
      </c>
      <c r="D1911" s="11">
        <v>0.445</v>
      </c>
      <c r="E1911" s="11">
        <v>36.0</v>
      </c>
      <c r="F1911" s="8"/>
      <c r="G1911" s="11">
        <v>195.0</v>
      </c>
      <c r="H1911" s="11">
        <v>0.29</v>
      </c>
      <c r="I1911" s="11">
        <v>0.991</v>
      </c>
      <c r="J1911" s="9" t="s">
        <v>72</v>
      </c>
      <c r="K1911" s="14" t="str">
        <f>IFERROR(__xludf.DUMMYFUNCTION("ARRAYFORMULA(VLOOKUP(A1911,IMPORTRANGE(""https://docs.google.com/spreadsheets/d/1BuTWp7qHGjWhqrnf-OmePP568O4A5Am9ttzvVdP67zw/edit#gid=1603210130"", ""TOURISM!$A$2:$F$2692""), {2,3,4,5,6},0))"),"Asia")</f>
        <v>Asia</v>
      </c>
      <c r="L1911" s="14">
        <f>IFERROR(__xludf.DUMMYFUNCTION("""COMPUTED_VALUE"""),4.026E9)</f>
        <v>4026000000</v>
      </c>
      <c r="M1911" s="14" t="str">
        <f>IFERROR(__xludf.DUMMYFUNCTION("""COMPUTED_VALUE"""),"Philippines-Asia")</f>
        <v>Philippines-Asia</v>
      </c>
      <c r="N1911" s="14" t="str">
        <f>IFERROR(__xludf.DUMMYFUNCTION("""COMPUTED_VALUE"""),"2011")</f>
        <v>2011</v>
      </c>
      <c r="O1911" s="14">
        <f>IFERROR(__xludf.DUMMYFUNCTION("""COMPUTED_VALUE"""),5.807E9)</f>
        <v>5807000000</v>
      </c>
      <c r="P1911" s="15">
        <f>IFERROR(__xludf.DUMMYFUNCTION("ARRAYFORMULA(VLOOKUP(A1911,IMPORTRANGE(""https://docs.google.com/spreadsheets/d/1BuTWp7qHGjWhqrnf-OmePP568O4A5Am9ttzvVdP67zw/edit#gid=771602874"" ,""HUMAN RESOURCES!$A$2:$M$2692""), {2,3,4,5,6,7,8,9,10,11,12,13},0))"),0.025)</f>
        <v>0.025</v>
      </c>
      <c r="Q1911" s="14">
        <f>IFERROR(__xludf.DUMMYFUNCTION("""COMPUTED_VALUE"""),0.025)</f>
        <v>0.025</v>
      </c>
      <c r="R1911" s="14">
        <f>IFERROR(__xludf.DUMMYFUNCTION("""COMPUTED_VALUE"""),72.0)</f>
        <v>72</v>
      </c>
      <c r="S1911" s="14">
        <f>IFERROR(__xludf.DUMMYFUNCTION("""COMPUTED_VALUE"""),65.0)</f>
        <v>65</v>
      </c>
      <c r="T1911" s="14">
        <f>IFERROR(__xludf.DUMMYFUNCTION("""COMPUTED_VALUE"""),0.349)</f>
        <v>0.349</v>
      </c>
      <c r="U1911" s="14">
        <f>IFERROR(__xludf.DUMMYFUNCTION("""COMPUTED_VALUE"""),0.613)</f>
        <v>0.613</v>
      </c>
      <c r="V1911" s="14">
        <f>IFERROR(__xludf.DUMMYFUNCTION("""COMPUTED_VALUE"""),0.038)</f>
        <v>0.038</v>
      </c>
      <c r="W1911" s="14">
        <f>IFERROR(__xludf.DUMMYFUNCTION("""COMPUTED_VALUE"""),9.5053437E7)</f>
        <v>95053437</v>
      </c>
      <c r="X1911" s="14">
        <f>IFERROR(__xludf.DUMMYFUNCTION("""COMPUTED_VALUE"""),0.45)</f>
        <v>0.45</v>
      </c>
      <c r="Y1911" s="14" t="str">
        <f>IFERROR(__xludf.DUMMYFUNCTION("""COMPUTED_VALUE"""),"Philippines-Asia")</f>
        <v>Philippines-Asia</v>
      </c>
      <c r="Z1911" s="14" t="str">
        <f>IFERROR(__xludf.DUMMYFUNCTION("""COMPUTED_VALUE"""),"Asia")</f>
        <v>Asia</v>
      </c>
      <c r="AA1911" s="14" t="str">
        <f>IFERROR(__xludf.DUMMYFUNCTION("""COMPUTED_VALUE"""),"2011")</f>
        <v>2011</v>
      </c>
      <c r="AB1911" s="15" t="str">
        <f>IFERROR(__xludf.DUMMYFUNCTION("ARRAYFORMULA(VLOOKUP(A1911,IMPORTRANGE(""https://docs.google.com/spreadsheets/d/1BuTWp7qHGjWhqrnf-OmePP568O4A5Am9ttzvVdP67zw/edit#gid=1931367683"" ,""ENERGY!$A$2:$F$2692""), {2,3,4,5,6},0))"),"Asia")</f>
        <v>Asia</v>
      </c>
      <c r="AC1911" s="14" t="str">
        <f>IFERROR(__xludf.DUMMYFUNCTION("""COMPUTED_VALUE"""),"Philippines-Asia")</f>
        <v>Philippines-Asia</v>
      </c>
      <c r="AD1911" s="14" t="str">
        <f>IFERROR(__xludf.DUMMYFUNCTION("""COMPUTED_VALUE"""),"2006")</f>
        <v>2006</v>
      </c>
      <c r="AE1911" s="14">
        <f>IFERROR(__xludf.DUMMYFUNCTION("""COMPUTED_VALUE"""),38202.0)</f>
        <v>38202</v>
      </c>
      <c r="AF1911" s="14">
        <f>IFERROR(__xludf.DUMMYFUNCTION("""COMPUTED_VALUE"""),71052.0)</f>
        <v>71052</v>
      </c>
    </row>
    <row r="1912">
      <c r="A1912" s="12">
        <v>1911.0</v>
      </c>
      <c r="B1912" s="12" t="s">
        <v>225</v>
      </c>
      <c r="C1912" s="5" t="s">
        <v>61</v>
      </c>
      <c r="D1912" s="11">
        <v>0.445</v>
      </c>
      <c r="E1912" s="11">
        <v>36.0</v>
      </c>
      <c r="F1912" s="11">
        <v>133.0</v>
      </c>
      <c r="G1912" s="11">
        <v>193.0</v>
      </c>
      <c r="H1912" s="11">
        <v>0.362</v>
      </c>
      <c r="I1912" s="11">
        <v>1.055</v>
      </c>
      <c r="J1912" s="9" t="s">
        <v>73</v>
      </c>
      <c r="K1912" s="14" t="str">
        <f>IFERROR(__xludf.DUMMYFUNCTION("ARRAYFORMULA(VLOOKUP(A1912,IMPORTRANGE(""https://docs.google.com/spreadsheets/d/1BuTWp7qHGjWhqrnf-OmePP568O4A5Am9ttzvVdP67zw/edit#gid=1603210130"", ""TOURISM!$A$2:$F$2692""), {2,3,4,5,6},0))"),"Asia")</f>
        <v>Asia</v>
      </c>
      <c r="L1912" s="14">
        <f>IFERROR(__xludf.DUMMYFUNCTION("""COMPUTED_VALUE"""),4.9E9)</f>
        <v>4900000000</v>
      </c>
      <c r="M1912" s="14" t="str">
        <f>IFERROR(__xludf.DUMMYFUNCTION("""COMPUTED_VALUE"""),"Philippines-Asia")</f>
        <v>Philippines-Asia</v>
      </c>
      <c r="N1912" s="14" t="str">
        <f>IFERROR(__xludf.DUMMYFUNCTION("""COMPUTED_VALUE"""),"2012")</f>
        <v>2012</v>
      </c>
      <c r="O1912" s="14">
        <f>IFERROR(__xludf.DUMMYFUNCTION("""COMPUTED_VALUE"""),6.839E9)</f>
        <v>6839000000</v>
      </c>
      <c r="P1912" s="15">
        <f>IFERROR(__xludf.DUMMYFUNCTION("ARRAYFORMULA(VLOOKUP(A1912,IMPORTRANGE(""https://docs.google.com/spreadsheets/d/1BuTWp7qHGjWhqrnf-OmePP568O4A5Am9ttzvVdP67zw/edit#gid=771602874"" ,""HUMAN RESOURCES!$A$2:$M$2692""), {2,3,4,5,6,7,8,9,10,11,12,13},0))"),0.025)</f>
        <v>0.025</v>
      </c>
      <c r="Q1912" s="14">
        <f>IFERROR(__xludf.DUMMYFUNCTION("""COMPUTED_VALUE"""),0.024)</f>
        <v>0.024</v>
      </c>
      <c r="R1912" s="14">
        <f>IFERROR(__xludf.DUMMYFUNCTION("""COMPUTED_VALUE"""),72.0)</f>
        <v>72</v>
      </c>
      <c r="S1912" s="14">
        <f>IFERROR(__xludf.DUMMYFUNCTION("""COMPUTED_VALUE"""),65.0)</f>
        <v>65</v>
      </c>
      <c r="T1912" s="14">
        <f>IFERROR(__xludf.DUMMYFUNCTION("""COMPUTED_VALUE"""),0.345)</f>
        <v>0.345</v>
      </c>
      <c r="U1912" s="14">
        <f>IFERROR(__xludf.DUMMYFUNCTION("""COMPUTED_VALUE"""),0.616)</f>
        <v>0.616</v>
      </c>
      <c r="V1912" s="14">
        <f>IFERROR(__xludf.DUMMYFUNCTION("""COMPUTED_VALUE"""),0.038)</f>
        <v>0.038</v>
      </c>
      <c r="W1912" s="14">
        <f>IFERROR(__xludf.DUMMYFUNCTION("""COMPUTED_VALUE"""),9.6706764E7)</f>
        <v>96706764</v>
      </c>
      <c r="X1912" s="14">
        <f>IFERROR(__xludf.DUMMYFUNCTION("""COMPUTED_VALUE"""),0.448)</f>
        <v>0.448</v>
      </c>
      <c r="Y1912" s="14" t="str">
        <f>IFERROR(__xludf.DUMMYFUNCTION("""COMPUTED_VALUE"""),"Philippines-Asia")</f>
        <v>Philippines-Asia</v>
      </c>
      <c r="Z1912" s="14" t="str">
        <f>IFERROR(__xludf.DUMMYFUNCTION("""COMPUTED_VALUE"""),"Asia")</f>
        <v>Asia</v>
      </c>
      <c r="AA1912" s="14" t="str">
        <f>IFERROR(__xludf.DUMMYFUNCTION("""COMPUTED_VALUE"""),"2012")</f>
        <v>2012</v>
      </c>
      <c r="AB1912" s="15" t="str">
        <f>IFERROR(__xludf.DUMMYFUNCTION("ARRAYFORMULA(VLOOKUP(A1912,IMPORTRANGE(""https://docs.google.com/spreadsheets/d/1BuTWp7qHGjWhqrnf-OmePP568O4A5Am9ttzvVdP67zw/edit#gid=1931367683"" ,""ENERGY!$A$2:$F$2692""), {2,3,4,5,6},0))"),"Asia")</f>
        <v>Asia</v>
      </c>
      <c r="AC1912" s="14" t="str">
        <f>IFERROR(__xludf.DUMMYFUNCTION("""COMPUTED_VALUE"""),"Philippines-Asia")</f>
        <v>Philippines-Asia</v>
      </c>
      <c r="AD1912" s="14" t="str">
        <f>IFERROR(__xludf.DUMMYFUNCTION("""COMPUTED_VALUE"""),"2011")</f>
        <v>2011</v>
      </c>
      <c r="AE1912" s="14">
        <f>IFERROR(__xludf.DUMMYFUNCTION("""COMPUTED_VALUE"""),39872.0)</f>
        <v>39872</v>
      </c>
      <c r="AF1912" s="14">
        <f>IFERROR(__xludf.DUMMYFUNCTION("""COMPUTED_VALUE"""),73307.0)</f>
        <v>73307</v>
      </c>
    </row>
    <row r="1913">
      <c r="A1913" s="12">
        <v>1912.0</v>
      </c>
      <c r="B1913" s="12" t="s">
        <v>226</v>
      </c>
      <c r="C1913" s="5" t="s">
        <v>75</v>
      </c>
      <c r="D1913" s="8"/>
      <c r="E1913" s="8"/>
      <c r="F1913" s="8"/>
      <c r="G1913" s="8"/>
      <c r="H1913" s="11">
        <v>0.073</v>
      </c>
      <c r="I1913" s="11">
        <v>0.176</v>
      </c>
      <c r="J1913" s="9" t="s">
        <v>60</v>
      </c>
      <c r="K1913" s="14" t="str">
        <f>IFERROR(__xludf.DUMMYFUNCTION("ARRAYFORMULA(VLOOKUP(A1913,IMPORTRANGE(""https://docs.google.com/spreadsheets/d/1BuTWp7qHGjWhqrnf-OmePP568O4A5Am9ttzvVdP67zw/edit#gid=1603210130"", ""TOURISM!$A$2:$F$2692""), {2,3,4,5,6},0))"),"Europe")</f>
        <v>Europe</v>
      </c>
      <c r="L1913" s="14">
        <f>IFERROR(__xludf.DUMMYFUNCTION("""COMPUTED_VALUE"""),6.128E9)</f>
        <v>6128000000</v>
      </c>
      <c r="M1913" s="14" t="str">
        <f>IFERROR(__xludf.DUMMYFUNCTION("""COMPUTED_VALUE"""),"Poland-Europe")</f>
        <v>Poland-Europe</v>
      </c>
      <c r="N1913" s="14" t="str">
        <f>IFERROR(__xludf.DUMMYFUNCTION("""COMPUTED_VALUE"""),"2000")</f>
        <v>2000</v>
      </c>
      <c r="O1913" s="14">
        <f>IFERROR(__xludf.DUMMYFUNCTION("""COMPUTED_VALUE"""),3.417E9)</f>
        <v>3417000000</v>
      </c>
      <c r="P1913" s="15">
        <f>IFERROR(__xludf.DUMMYFUNCTION("ARRAYFORMULA(VLOOKUP(A1913,IMPORTRANGE(""https://docs.google.com/spreadsheets/d/1BuTWp7qHGjWhqrnf-OmePP568O4A5Am9ttzvVdP67zw/edit#gid=771602874"" ,""HUMAN RESOURCES!$A$2:$M$2692""), {2,3,4,5,6,7,8,9,10,11,12,13},0))"),0.01)</f>
        <v>0.01</v>
      </c>
      <c r="Q1913" s="14">
        <f>IFERROR(__xludf.DUMMYFUNCTION("""COMPUTED_VALUE"""),0.008)</f>
        <v>0.008</v>
      </c>
      <c r="R1913" s="14">
        <f>IFERROR(__xludf.DUMMYFUNCTION("""COMPUTED_VALUE"""),78.0)</f>
        <v>78</v>
      </c>
      <c r="S1913" s="14">
        <f>IFERROR(__xludf.DUMMYFUNCTION("""COMPUTED_VALUE"""),70.0)</f>
        <v>70</v>
      </c>
      <c r="T1913" s="14">
        <f>IFERROR(__xludf.DUMMYFUNCTION("""COMPUTED_VALUE"""),0.194)</f>
        <v>0.194</v>
      </c>
      <c r="U1913" s="14">
        <f>IFERROR(__xludf.DUMMYFUNCTION("""COMPUTED_VALUE"""),0.684)</f>
        <v>0.684</v>
      </c>
      <c r="V1913" s="14">
        <f>IFERROR(__xludf.DUMMYFUNCTION("""COMPUTED_VALUE"""),0.123)</f>
        <v>0.123</v>
      </c>
      <c r="W1913" s="14">
        <f>IFERROR(__xludf.DUMMYFUNCTION("""COMPUTED_VALUE"""),3.8258629E7)</f>
        <v>38258629</v>
      </c>
      <c r="X1913" s="14">
        <f>IFERROR(__xludf.DUMMYFUNCTION("""COMPUTED_VALUE"""),0.617)</f>
        <v>0.617</v>
      </c>
      <c r="Y1913" s="14" t="str">
        <f>IFERROR(__xludf.DUMMYFUNCTION("""COMPUTED_VALUE"""),"Poland-Europe")</f>
        <v>Poland-Europe</v>
      </c>
      <c r="Z1913" s="14" t="str">
        <f>IFERROR(__xludf.DUMMYFUNCTION("""COMPUTED_VALUE"""),"Europe")</f>
        <v>Europe</v>
      </c>
      <c r="AA1913" s="14" t="str">
        <f>IFERROR(__xludf.DUMMYFUNCTION("""COMPUTED_VALUE"""),"2000")</f>
        <v>2000</v>
      </c>
      <c r="AB1913" s="15" t="str">
        <f>IFERROR(__xludf.DUMMYFUNCTION("ARRAYFORMULA(VLOOKUP(A1913,IMPORTRANGE(""https://docs.google.com/spreadsheets/d/1BuTWp7qHGjWhqrnf-OmePP568O4A5Am9ttzvVdP67zw/edit#gid=1931367683"" ,""ENERGY!$A$2:$F$2692""), {2,3,4,5,6},0))"),"Europe")</f>
        <v>Europe</v>
      </c>
      <c r="AC1913" s="14" t="str">
        <f>IFERROR(__xludf.DUMMYFUNCTION("""COMPUTED_VALUE"""),"Poland-Europe")</f>
        <v>Poland-Europe</v>
      </c>
      <c r="AD1913" s="14" t="str">
        <f>IFERROR(__xludf.DUMMYFUNCTION("""COMPUTED_VALUE"""),"2000")</f>
        <v>2000</v>
      </c>
      <c r="AE1913" s="14">
        <f>IFERROR(__xludf.DUMMYFUNCTION("""COMPUTED_VALUE"""),96543.0)</f>
        <v>96543</v>
      </c>
      <c r="AF1913" s="14"/>
    </row>
    <row r="1914">
      <c r="A1914" s="12">
        <v>1913.0</v>
      </c>
      <c r="B1914" s="12" t="s">
        <v>226</v>
      </c>
      <c r="C1914" s="5" t="s">
        <v>75</v>
      </c>
      <c r="D1914" s="8"/>
      <c r="E1914" s="8"/>
      <c r="F1914" s="8"/>
      <c r="G1914" s="8"/>
      <c r="H1914" s="11">
        <v>0.099</v>
      </c>
      <c r="I1914" s="11">
        <v>0.261</v>
      </c>
      <c r="J1914" s="9" t="s">
        <v>62</v>
      </c>
      <c r="K1914" s="14" t="str">
        <f>IFERROR(__xludf.DUMMYFUNCTION("ARRAYFORMULA(VLOOKUP(A1914,IMPORTRANGE(""https://docs.google.com/spreadsheets/d/1BuTWp7qHGjWhqrnf-OmePP568O4A5Am9ttzvVdP67zw/edit#gid=1603210130"", ""TOURISM!$A$2:$F$2692""), {2,3,4,5,6},0))"),"Europe")</f>
        <v>Europe</v>
      </c>
      <c r="L1914" s="14">
        <f>IFERROR(__xludf.DUMMYFUNCTION("""COMPUTED_VALUE"""),5.121E9)</f>
        <v>5121000000</v>
      </c>
      <c r="M1914" s="14" t="str">
        <f>IFERROR(__xludf.DUMMYFUNCTION("""COMPUTED_VALUE"""),"Poland-Europe")</f>
        <v>Poland-Europe</v>
      </c>
      <c r="N1914" s="14" t="str">
        <f>IFERROR(__xludf.DUMMYFUNCTION("""COMPUTED_VALUE"""),"2001")</f>
        <v>2001</v>
      </c>
      <c r="O1914" s="14">
        <f>IFERROR(__xludf.DUMMYFUNCTION("""COMPUTED_VALUE"""),3.595E9)</f>
        <v>3595000000</v>
      </c>
      <c r="P1914" s="15">
        <f>IFERROR(__xludf.DUMMYFUNCTION("ARRAYFORMULA(VLOOKUP(A1914,IMPORTRANGE(""https://docs.google.com/spreadsheets/d/1BuTWp7qHGjWhqrnf-OmePP568O4A5Am9ttzvVdP67zw/edit#gid=771602874"" ,""HUMAN RESOURCES!$A$2:$M$2692""), {2,3,4,5,6,7,8,9,10,11,12,13},0))"),0.01)</f>
        <v>0.01</v>
      </c>
      <c r="Q1914" s="14">
        <f>IFERROR(__xludf.DUMMYFUNCTION("""COMPUTED_VALUE"""),0.008)</f>
        <v>0.008</v>
      </c>
      <c r="R1914" s="14">
        <f>IFERROR(__xludf.DUMMYFUNCTION("""COMPUTED_VALUE"""),78.0)</f>
        <v>78</v>
      </c>
      <c r="S1914" s="14">
        <f>IFERROR(__xludf.DUMMYFUNCTION("""COMPUTED_VALUE"""),70.0)</f>
        <v>70</v>
      </c>
      <c r="T1914" s="14">
        <f>IFERROR(__xludf.DUMMYFUNCTION("""COMPUTED_VALUE"""),0.187)</f>
        <v>0.187</v>
      </c>
      <c r="U1914" s="14">
        <f>IFERROR(__xludf.DUMMYFUNCTION("""COMPUTED_VALUE"""),0.688)</f>
        <v>0.688</v>
      </c>
      <c r="V1914" s="14">
        <f>IFERROR(__xludf.DUMMYFUNCTION("""COMPUTED_VALUE"""),0.125)</f>
        <v>0.125</v>
      </c>
      <c r="W1914" s="14">
        <f>IFERROR(__xludf.DUMMYFUNCTION("""COMPUTED_VALUE"""),3.8248076E7)</f>
        <v>38248076</v>
      </c>
      <c r="X1914" s="14">
        <f>IFERROR(__xludf.DUMMYFUNCTION("""COMPUTED_VALUE"""),0.618)</f>
        <v>0.618</v>
      </c>
      <c r="Y1914" s="14" t="str">
        <f>IFERROR(__xludf.DUMMYFUNCTION("""COMPUTED_VALUE"""),"Poland-Europe")</f>
        <v>Poland-Europe</v>
      </c>
      <c r="Z1914" s="14" t="str">
        <f>IFERROR(__xludf.DUMMYFUNCTION("""COMPUTED_VALUE"""),"Europe")</f>
        <v>Europe</v>
      </c>
      <c r="AA1914" s="14" t="str">
        <f>IFERROR(__xludf.DUMMYFUNCTION("""COMPUTED_VALUE"""),"2001")</f>
        <v>2001</v>
      </c>
      <c r="AB1914" s="15" t="str">
        <f>IFERROR(__xludf.DUMMYFUNCTION("ARRAYFORMULA(VLOOKUP(A1914,IMPORTRANGE(""https://docs.google.com/spreadsheets/d/1BuTWp7qHGjWhqrnf-OmePP568O4A5Am9ttzvVdP67zw/edit#gid=1931367683"" ,""ENERGY!$A$2:$F$2692""), {2,3,4,5,6},0))"),"Europe")</f>
        <v>Europe</v>
      </c>
      <c r="AC1914" s="14" t="str">
        <f>IFERROR(__xludf.DUMMYFUNCTION("""COMPUTED_VALUE"""),"Poland-Europe")</f>
        <v>Poland-Europe</v>
      </c>
      <c r="AD1914" s="14" t="str">
        <f>IFERROR(__xludf.DUMMYFUNCTION("""COMPUTED_VALUE"""),"2001")</f>
        <v>2001</v>
      </c>
      <c r="AE1914" s="14">
        <f>IFERROR(__xludf.DUMMYFUNCTION("""COMPUTED_VALUE"""),101313.0)</f>
        <v>101313</v>
      </c>
      <c r="AF1914" s="14"/>
    </row>
    <row r="1915">
      <c r="A1915" s="12">
        <v>1914.0</v>
      </c>
      <c r="B1915" s="12" t="s">
        <v>226</v>
      </c>
      <c r="C1915" s="5" t="s">
        <v>75</v>
      </c>
      <c r="D1915" s="8"/>
      <c r="E1915" s="8"/>
      <c r="F1915" s="8"/>
      <c r="G1915" s="8"/>
      <c r="H1915" s="11">
        <v>0.212</v>
      </c>
      <c r="I1915" s="11">
        <v>0.363</v>
      </c>
      <c r="J1915" s="9" t="s">
        <v>63</v>
      </c>
      <c r="K1915" s="14" t="str">
        <f>IFERROR(__xludf.DUMMYFUNCTION("ARRAYFORMULA(VLOOKUP(A1915,IMPORTRANGE(""https://docs.google.com/spreadsheets/d/1BuTWp7qHGjWhqrnf-OmePP568O4A5Am9ttzvVdP67zw/edit#gid=1603210130"", ""TOURISM!$A$2:$F$2692""), {2,3,4,5,6},0))"),"Europe")</f>
        <v>Europe</v>
      </c>
      <c r="L1915" s="14">
        <f>IFERROR(__xludf.DUMMYFUNCTION("""COMPUTED_VALUE"""),4.971E9)</f>
        <v>4971000000</v>
      </c>
      <c r="M1915" s="14" t="str">
        <f>IFERROR(__xludf.DUMMYFUNCTION("""COMPUTED_VALUE"""),"Poland-Europe")</f>
        <v>Poland-Europe</v>
      </c>
      <c r="N1915" s="14" t="str">
        <f>IFERROR(__xludf.DUMMYFUNCTION("""COMPUTED_VALUE"""),"2002")</f>
        <v>2002</v>
      </c>
      <c r="O1915" s="14">
        <f>IFERROR(__xludf.DUMMYFUNCTION("""COMPUTED_VALUE"""),3.44E9)</f>
        <v>3440000000</v>
      </c>
      <c r="P1915" s="15">
        <f>IFERROR(__xludf.DUMMYFUNCTION("ARRAYFORMULA(VLOOKUP(A1915,IMPORTRANGE(""https://docs.google.com/spreadsheets/d/1BuTWp7qHGjWhqrnf-OmePP568O4A5Am9ttzvVdP67zw/edit#gid=771602874"" ,""HUMAN RESOURCES!$A$2:$M$2692""), {2,3,4,5,6,7,8,9,10,11,12,13},0))"),0.009)</f>
        <v>0.009</v>
      </c>
      <c r="Q1915" s="14">
        <f>IFERROR(__xludf.DUMMYFUNCTION("""COMPUTED_VALUE"""),0.007)</f>
        <v>0.007</v>
      </c>
      <c r="R1915" s="14">
        <f>IFERROR(__xludf.DUMMYFUNCTION("""COMPUTED_VALUE"""),79.0)</f>
        <v>79</v>
      </c>
      <c r="S1915" s="14">
        <f>IFERROR(__xludf.DUMMYFUNCTION("""COMPUTED_VALUE"""),70.0)</f>
        <v>70</v>
      </c>
      <c r="T1915" s="14">
        <f>IFERROR(__xludf.DUMMYFUNCTION("""COMPUTED_VALUE"""),0.18)</f>
        <v>0.18</v>
      </c>
      <c r="U1915" s="14">
        <f>IFERROR(__xludf.DUMMYFUNCTION("""COMPUTED_VALUE"""),0.692)</f>
        <v>0.692</v>
      </c>
      <c r="V1915" s="14">
        <f>IFERROR(__xludf.DUMMYFUNCTION("""COMPUTED_VALUE"""),0.127)</f>
        <v>0.127</v>
      </c>
      <c r="W1915" s="14">
        <f>IFERROR(__xludf.DUMMYFUNCTION("""COMPUTED_VALUE"""),3.8230364E7)</f>
        <v>38230364</v>
      </c>
      <c r="X1915" s="14">
        <f>IFERROR(__xludf.DUMMYFUNCTION("""COMPUTED_VALUE"""),0.618)</f>
        <v>0.618</v>
      </c>
      <c r="Y1915" s="14" t="str">
        <f>IFERROR(__xludf.DUMMYFUNCTION("""COMPUTED_VALUE"""),"Poland-Europe")</f>
        <v>Poland-Europe</v>
      </c>
      <c r="Z1915" s="14" t="str">
        <f>IFERROR(__xludf.DUMMYFUNCTION("""COMPUTED_VALUE"""),"Europe")</f>
        <v>Europe</v>
      </c>
      <c r="AA1915" s="14" t="str">
        <f>IFERROR(__xludf.DUMMYFUNCTION("""COMPUTED_VALUE"""),"2002")</f>
        <v>2002</v>
      </c>
      <c r="AB1915" s="15" t="str">
        <f>IFERROR(__xludf.DUMMYFUNCTION("ARRAYFORMULA(VLOOKUP(A1915,IMPORTRANGE(""https://docs.google.com/spreadsheets/d/1BuTWp7qHGjWhqrnf-OmePP568O4A5Am9ttzvVdP67zw/edit#gid=1931367683"" ,""ENERGY!$A$2:$F$2692""), {2,3,4,5,6},0))"),"Europe")</f>
        <v>Europe</v>
      </c>
      <c r="AC1915" s="14" t="str">
        <f>IFERROR(__xludf.DUMMYFUNCTION("""COMPUTED_VALUE"""),"Poland-Europe")</f>
        <v>Poland-Europe</v>
      </c>
      <c r="AD1915" s="14" t="str">
        <f>IFERROR(__xludf.DUMMYFUNCTION("""COMPUTED_VALUE"""),"2002")</f>
        <v>2002</v>
      </c>
      <c r="AE1915" s="14">
        <f>IFERROR(__xludf.DUMMYFUNCTION("""COMPUTED_VALUE"""),101539.0)</f>
        <v>101539</v>
      </c>
      <c r="AF1915" s="14">
        <f>IFERROR(__xludf.DUMMYFUNCTION("""COMPUTED_VALUE"""),317254.0)</f>
        <v>317254</v>
      </c>
    </row>
    <row r="1916">
      <c r="A1916" s="12">
        <v>1915.0</v>
      </c>
      <c r="B1916" s="12" t="s">
        <v>226</v>
      </c>
      <c r="C1916" s="5" t="s">
        <v>75</v>
      </c>
      <c r="D1916" s="8"/>
      <c r="E1916" s="11">
        <v>31.0</v>
      </c>
      <c r="F1916" s="8"/>
      <c r="G1916" s="8"/>
      <c r="H1916" s="11">
        <v>0.249</v>
      </c>
      <c r="I1916" s="11">
        <v>0.455</v>
      </c>
      <c r="J1916" s="9" t="s">
        <v>64</v>
      </c>
      <c r="K1916" s="14" t="str">
        <f>IFERROR(__xludf.DUMMYFUNCTION("ARRAYFORMULA(VLOOKUP(A1916,IMPORTRANGE(""https://docs.google.com/spreadsheets/d/1BuTWp7qHGjWhqrnf-OmePP568O4A5Am9ttzvVdP67zw/edit#gid=1603210130"", ""TOURISM!$A$2:$F$2692""), {2,3,4,5,6},0))"),"Europe")</f>
        <v>Europe</v>
      </c>
      <c r="L1916" s="14">
        <f>IFERROR(__xludf.DUMMYFUNCTION("""COMPUTED_VALUE"""),4.733E9)</f>
        <v>4733000000</v>
      </c>
      <c r="M1916" s="14" t="str">
        <f>IFERROR(__xludf.DUMMYFUNCTION("""COMPUTED_VALUE"""),"Poland-Europe")</f>
        <v>Poland-Europe</v>
      </c>
      <c r="N1916" s="14" t="str">
        <f>IFERROR(__xludf.DUMMYFUNCTION("""COMPUTED_VALUE"""),"2003")</f>
        <v>2003</v>
      </c>
      <c r="O1916" s="14">
        <f>IFERROR(__xludf.DUMMYFUNCTION("""COMPUTED_VALUE"""),3.286E9)</f>
        <v>3286000000</v>
      </c>
      <c r="P1916" s="15">
        <f>IFERROR(__xludf.DUMMYFUNCTION("ARRAYFORMULA(VLOOKUP(A1916,IMPORTRANGE(""https://docs.google.com/spreadsheets/d/1BuTWp7qHGjWhqrnf-OmePP568O4A5Am9ttzvVdP67zw/edit#gid=771602874"" ,""HUMAN RESOURCES!$A$2:$M$2692""), {2,3,4,5,6,7,8,9,10,11,12,13},0))"),0.009)</f>
        <v>0.009</v>
      </c>
      <c r="Q1916" s="14">
        <f>IFERROR(__xludf.DUMMYFUNCTION("""COMPUTED_VALUE"""),0.007)</f>
        <v>0.007</v>
      </c>
      <c r="R1916" s="14">
        <f>IFERROR(__xludf.DUMMYFUNCTION("""COMPUTED_VALUE"""),79.0)</f>
        <v>79</v>
      </c>
      <c r="S1916" s="14">
        <f>IFERROR(__xludf.DUMMYFUNCTION("""COMPUTED_VALUE"""),71.0)</f>
        <v>71</v>
      </c>
      <c r="T1916" s="14">
        <f>IFERROR(__xludf.DUMMYFUNCTION("""COMPUTED_VALUE"""),0.174)</f>
        <v>0.174</v>
      </c>
      <c r="U1916" s="14">
        <f>IFERROR(__xludf.DUMMYFUNCTION("""COMPUTED_VALUE"""),0.696)</f>
        <v>0.696</v>
      </c>
      <c r="V1916" s="14">
        <f>IFERROR(__xludf.DUMMYFUNCTION("""COMPUTED_VALUE"""),0.13)</f>
        <v>0.13</v>
      </c>
      <c r="W1916" s="14">
        <f>IFERROR(__xludf.DUMMYFUNCTION("""COMPUTED_VALUE"""),3.820457E7)</f>
        <v>38204570</v>
      </c>
      <c r="X1916" s="14">
        <f>IFERROR(__xludf.DUMMYFUNCTION("""COMPUTED_VALUE"""),0.617)</f>
        <v>0.617</v>
      </c>
      <c r="Y1916" s="14" t="str">
        <f>IFERROR(__xludf.DUMMYFUNCTION("""COMPUTED_VALUE"""),"Poland-Europe")</f>
        <v>Poland-Europe</v>
      </c>
      <c r="Z1916" s="14" t="str">
        <f>IFERROR(__xludf.DUMMYFUNCTION("""COMPUTED_VALUE"""),"Europe")</f>
        <v>Europe</v>
      </c>
      <c r="AA1916" s="14" t="str">
        <f>IFERROR(__xludf.DUMMYFUNCTION("""COMPUTED_VALUE"""),"2003")</f>
        <v>2003</v>
      </c>
      <c r="AB1916" s="15" t="str">
        <f>IFERROR(__xludf.DUMMYFUNCTION("ARRAYFORMULA(VLOOKUP(A1916,IMPORTRANGE(""https://docs.google.com/spreadsheets/d/1BuTWp7qHGjWhqrnf-OmePP568O4A5Am9ttzvVdP67zw/edit#gid=1931367683"" ,""ENERGY!$A$2:$F$2692""), {2,3,4,5,6},0))"),"Europe")</f>
        <v>Europe</v>
      </c>
      <c r="AC1916" s="14" t="str">
        <f>IFERROR(__xludf.DUMMYFUNCTION("""COMPUTED_VALUE"""),"Poland-Europe")</f>
        <v>Poland-Europe</v>
      </c>
      <c r="AD1916" s="14" t="str">
        <f>IFERROR(__xludf.DUMMYFUNCTION("""COMPUTED_VALUE"""),"2003")</f>
        <v>2003</v>
      </c>
      <c r="AE1916" s="14">
        <f>IFERROR(__xludf.DUMMYFUNCTION("""COMPUTED_VALUE"""),94002.0)</f>
        <v>94002</v>
      </c>
      <c r="AF1916" s="14">
        <f>IFERROR(__xludf.DUMMYFUNCTION("""COMPUTED_VALUE"""),298787.0)</f>
        <v>298787</v>
      </c>
    </row>
    <row r="1917">
      <c r="A1917" s="12">
        <v>1916.0</v>
      </c>
      <c r="B1917" s="12" t="s">
        <v>226</v>
      </c>
      <c r="C1917" s="5" t="s">
        <v>75</v>
      </c>
      <c r="D1917" s="8"/>
      <c r="E1917" s="11">
        <v>31.0</v>
      </c>
      <c r="F1917" s="8"/>
      <c r="G1917" s="8"/>
      <c r="H1917" s="11">
        <v>0.325</v>
      </c>
      <c r="I1917" s="11">
        <v>0.604</v>
      </c>
      <c r="J1917" s="9" t="s">
        <v>65</v>
      </c>
      <c r="K1917" s="14" t="str">
        <f>IFERROR(__xludf.DUMMYFUNCTION("ARRAYFORMULA(VLOOKUP(A1917,IMPORTRANGE(""https://docs.google.com/spreadsheets/d/1BuTWp7qHGjWhqrnf-OmePP568O4A5Am9ttzvVdP67zw/edit#gid=1603210130"", ""TOURISM!$A$2:$F$2692""), {2,3,4,5,6},0))"),"Europe")</f>
        <v>Europe</v>
      </c>
      <c r="L1917" s="14">
        <f>IFERROR(__xludf.DUMMYFUNCTION("""COMPUTED_VALUE"""),6.499E9)</f>
        <v>6499000000</v>
      </c>
      <c r="M1917" s="14" t="str">
        <f>IFERROR(__xludf.DUMMYFUNCTION("""COMPUTED_VALUE"""),"Poland-Europe")</f>
        <v>Poland-Europe</v>
      </c>
      <c r="N1917" s="14" t="str">
        <f>IFERROR(__xludf.DUMMYFUNCTION("""COMPUTED_VALUE"""),"2004")</f>
        <v>2004</v>
      </c>
      <c r="O1917" s="14">
        <f>IFERROR(__xludf.DUMMYFUNCTION("""COMPUTED_VALUE"""),5.092E9)</f>
        <v>5092000000</v>
      </c>
      <c r="P1917" s="15">
        <f>IFERROR(__xludf.DUMMYFUNCTION("ARRAYFORMULA(VLOOKUP(A1917,IMPORTRANGE(""https://docs.google.com/spreadsheets/d/1BuTWp7qHGjWhqrnf-OmePP568O4A5Am9ttzvVdP67zw/edit#gid=771602874"" ,""HUMAN RESOURCES!$A$2:$M$2692""), {2,3,4,5,6,7,8,9,10,11,12,13},0))"),0.009)</f>
        <v>0.009</v>
      </c>
      <c r="Q1917" s="14">
        <f>IFERROR(__xludf.DUMMYFUNCTION("""COMPUTED_VALUE"""),0.007)</f>
        <v>0.007</v>
      </c>
      <c r="R1917" s="14">
        <f>IFERROR(__xludf.DUMMYFUNCTION("""COMPUTED_VALUE"""),79.0)</f>
        <v>79</v>
      </c>
      <c r="S1917" s="14">
        <f>IFERROR(__xludf.DUMMYFUNCTION("""COMPUTED_VALUE"""),71.0)</f>
        <v>71</v>
      </c>
      <c r="T1917" s="14">
        <f>IFERROR(__xludf.DUMMYFUNCTION("""COMPUTED_VALUE"""),0.169)</f>
        <v>0.169</v>
      </c>
      <c r="U1917" s="14">
        <f>IFERROR(__xludf.DUMMYFUNCTION("""COMPUTED_VALUE"""),0.7)</f>
        <v>0.7</v>
      </c>
      <c r="V1917" s="14">
        <f>IFERROR(__xludf.DUMMYFUNCTION("""COMPUTED_VALUE"""),0.131)</f>
        <v>0.131</v>
      </c>
      <c r="W1917" s="14">
        <f>IFERROR(__xludf.DUMMYFUNCTION("""COMPUTED_VALUE"""),3.8182222E7)</f>
        <v>38182222</v>
      </c>
      <c r="X1917" s="14">
        <f>IFERROR(__xludf.DUMMYFUNCTION("""COMPUTED_VALUE"""),0.616)</f>
        <v>0.616</v>
      </c>
      <c r="Y1917" s="14" t="str">
        <f>IFERROR(__xludf.DUMMYFUNCTION("""COMPUTED_VALUE"""),"Poland-Europe")</f>
        <v>Poland-Europe</v>
      </c>
      <c r="Z1917" s="14" t="str">
        <f>IFERROR(__xludf.DUMMYFUNCTION("""COMPUTED_VALUE"""),"Europe")</f>
        <v>Europe</v>
      </c>
      <c r="AA1917" s="14" t="str">
        <f>IFERROR(__xludf.DUMMYFUNCTION("""COMPUTED_VALUE"""),"2004")</f>
        <v>2004</v>
      </c>
      <c r="AB1917" s="15" t="str">
        <f>IFERROR(__xludf.DUMMYFUNCTION("ARRAYFORMULA(VLOOKUP(A1917,IMPORTRANGE(""https://docs.google.com/spreadsheets/d/1BuTWp7qHGjWhqrnf-OmePP568O4A5Am9ttzvVdP67zw/edit#gid=1931367683"" ,""ENERGY!$A$2:$F$2692""), {2,3,4,5,6},0))"),"Europe")</f>
        <v>Europe</v>
      </c>
      <c r="AC1917" s="14" t="str">
        <f>IFERROR(__xludf.DUMMYFUNCTION("""COMPUTED_VALUE"""),"Poland-Europe")</f>
        <v>Poland-Europe</v>
      </c>
      <c r="AD1917" s="14" t="str">
        <f>IFERROR(__xludf.DUMMYFUNCTION("""COMPUTED_VALUE"""),"2004")</f>
        <v>2004</v>
      </c>
      <c r="AE1917" s="14">
        <f>IFERROR(__xludf.DUMMYFUNCTION("""COMPUTED_VALUE"""),97892.0)</f>
        <v>97892</v>
      </c>
      <c r="AF1917" s="14">
        <f>IFERROR(__xludf.DUMMYFUNCTION("""COMPUTED_VALUE"""),316125.0)</f>
        <v>316125</v>
      </c>
    </row>
    <row r="1918">
      <c r="A1918" s="12">
        <v>1917.0</v>
      </c>
      <c r="B1918" s="12" t="s">
        <v>226</v>
      </c>
      <c r="C1918" s="5" t="s">
        <v>75</v>
      </c>
      <c r="D1918" s="11">
        <v>0.432</v>
      </c>
      <c r="E1918" s="11">
        <v>31.0</v>
      </c>
      <c r="F1918" s="8"/>
      <c r="G1918" s="11">
        <v>418.0</v>
      </c>
      <c r="H1918" s="11">
        <v>0.388</v>
      </c>
      <c r="I1918" s="11">
        <v>0.763</v>
      </c>
      <c r="J1918" s="9" t="s">
        <v>66</v>
      </c>
      <c r="K1918" s="14" t="str">
        <f>IFERROR(__xludf.DUMMYFUNCTION("ARRAYFORMULA(VLOOKUP(A1918,IMPORTRANGE(""https://docs.google.com/spreadsheets/d/1BuTWp7qHGjWhqrnf-OmePP568O4A5Am9ttzvVdP67zw/edit#gid=1603210130"", ""TOURISM!$A$2:$F$2692""), {2,3,4,5,6},0))"),"Europe")</f>
        <v>Europe</v>
      </c>
      <c r="L1918" s="14">
        <f>IFERROR(__xludf.DUMMYFUNCTION("""COMPUTED_VALUE"""),7.128E9)</f>
        <v>7128000000</v>
      </c>
      <c r="M1918" s="14" t="str">
        <f>IFERROR(__xludf.DUMMYFUNCTION("""COMPUTED_VALUE"""),"Poland-Europe")</f>
        <v>Poland-Europe</v>
      </c>
      <c r="N1918" s="14" t="str">
        <f>IFERROR(__xludf.DUMMYFUNCTION("""COMPUTED_VALUE"""),"2005")</f>
        <v>2005</v>
      </c>
      <c r="O1918" s="14">
        <f>IFERROR(__xludf.DUMMYFUNCTION("""COMPUTED_VALUE"""),5.894E9)</f>
        <v>5894000000</v>
      </c>
      <c r="P1918" s="15">
        <f>IFERROR(__xludf.DUMMYFUNCTION("ARRAYFORMULA(VLOOKUP(A1918,IMPORTRANGE(""https://docs.google.com/spreadsheets/d/1BuTWp7qHGjWhqrnf-OmePP568O4A5Am9ttzvVdP67zw/edit#gid=771602874"" ,""HUMAN RESOURCES!$A$2:$M$2692""), {2,3,4,5,6,7,8,9,10,11,12,13},0))"),0.01)</f>
        <v>0.01</v>
      </c>
      <c r="Q1918" s="14">
        <f>IFERROR(__xludf.DUMMYFUNCTION("""COMPUTED_VALUE"""),0.007)</f>
        <v>0.007</v>
      </c>
      <c r="R1918" s="14">
        <f>IFERROR(__xludf.DUMMYFUNCTION("""COMPUTED_VALUE"""),79.0)</f>
        <v>79</v>
      </c>
      <c r="S1918" s="14">
        <f>IFERROR(__xludf.DUMMYFUNCTION("""COMPUTED_VALUE"""),71.0)</f>
        <v>71</v>
      </c>
      <c r="T1918" s="14">
        <f>IFERROR(__xludf.DUMMYFUNCTION("""COMPUTED_VALUE"""),0.164)</f>
        <v>0.164</v>
      </c>
      <c r="U1918" s="14">
        <f>IFERROR(__xludf.DUMMYFUNCTION("""COMPUTED_VALUE"""),0.703)</f>
        <v>0.703</v>
      </c>
      <c r="V1918" s="14">
        <f>IFERROR(__xludf.DUMMYFUNCTION("""COMPUTED_VALUE"""),0.133)</f>
        <v>0.133</v>
      </c>
      <c r="W1918" s="14">
        <f>IFERROR(__xludf.DUMMYFUNCTION("""COMPUTED_VALUE"""),3.8165445E7)</f>
        <v>38165445</v>
      </c>
      <c r="X1918" s="14">
        <f>IFERROR(__xludf.DUMMYFUNCTION("""COMPUTED_VALUE"""),0.615)</f>
        <v>0.615</v>
      </c>
      <c r="Y1918" s="14" t="str">
        <f>IFERROR(__xludf.DUMMYFUNCTION("""COMPUTED_VALUE"""),"Poland-Europe")</f>
        <v>Poland-Europe</v>
      </c>
      <c r="Z1918" s="14" t="str">
        <f>IFERROR(__xludf.DUMMYFUNCTION("""COMPUTED_VALUE"""),"Europe")</f>
        <v>Europe</v>
      </c>
      <c r="AA1918" s="14" t="str">
        <f>IFERROR(__xludf.DUMMYFUNCTION("""COMPUTED_VALUE"""),"2005")</f>
        <v>2005</v>
      </c>
      <c r="AB1918" s="15" t="str">
        <f>IFERROR(__xludf.DUMMYFUNCTION("ARRAYFORMULA(VLOOKUP(A1918,IMPORTRANGE(""https://docs.google.com/spreadsheets/d/1BuTWp7qHGjWhqrnf-OmePP568O4A5Am9ttzvVdP67zw/edit#gid=1931367683"" ,""ENERGY!$A$2:$F$2692""), {2,3,4,5,6},0))"),"Europe")</f>
        <v>Europe</v>
      </c>
      <c r="AC1918" s="14" t="str">
        <f>IFERROR(__xludf.DUMMYFUNCTION("""COMPUTED_VALUE"""),"Poland-Europe")</f>
        <v>Poland-Europe</v>
      </c>
      <c r="AD1918" s="14" t="str">
        <f>IFERROR(__xludf.DUMMYFUNCTION("""COMPUTED_VALUE"""),"2008")</f>
        <v>2008</v>
      </c>
      <c r="AE1918" s="14">
        <f>IFERROR(__xludf.DUMMYFUNCTION("""COMPUTED_VALUE"""),96824.0)</f>
        <v>96824</v>
      </c>
      <c r="AF1918" s="14">
        <f>IFERROR(__xludf.DUMMYFUNCTION("""COMPUTED_VALUE"""),315637.0)</f>
        <v>315637</v>
      </c>
    </row>
    <row r="1919">
      <c r="A1919" s="12">
        <v>1918.0</v>
      </c>
      <c r="B1919" s="12" t="s">
        <v>226</v>
      </c>
      <c r="C1919" s="5" t="s">
        <v>75</v>
      </c>
      <c r="D1919" s="11">
        <v>0.432</v>
      </c>
      <c r="E1919" s="11">
        <v>31.0</v>
      </c>
      <c r="F1919" s="8"/>
      <c r="G1919" s="11">
        <v>418.0</v>
      </c>
      <c r="H1919" s="11">
        <v>0.446</v>
      </c>
      <c r="I1919" s="11">
        <v>0.962</v>
      </c>
      <c r="J1919" s="9" t="s">
        <v>67</v>
      </c>
      <c r="K1919" s="14" t="str">
        <f>IFERROR(__xludf.DUMMYFUNCTION("ARRAYFORMULA(VLOOKUP(A1919,IMPORTRANGE(""https://docs.google.com/spreadsheets/d/1BuTWp7qHGjWhqrnf-OmePP568O4A5Am9ttzvVdP67zw/edit#gid=1603210130"", ""TOURISM!$A$2:$F$2692""), {2,3,4,5,6},0))"),"Europe")</f>
        <v>Europe</v>
      </c>
      <c r="L1919" s="14">
        <f>IFERROR(__xludf.DUMMYFUNCTION("""COMPUTED_VALUE"""),8.122E9)</f>
        <v>8122000000</v>
      </c>
      <c r="M1919" s="14" t="str">
        <f>IFERROR(__xludf.DUMMYFUNCTION("""COMPUTED_VALUE"""),"Poland-Europe")</f>
        <v>Poland-Europe</v>
      </c>
      <c r="N1919" s="14" t="str">
        <f>IFERROR(__xludf.DUMMYFUNCTION("""COMPUTED_VALUE"""),"2006")</f>
        <v>2006</v>
      </c>
      <c r="O1919" s="14">
        <f>IFERROR(__xludf.DUMMYFUNCTION("""COMPUTED_VALUE"""),7.654E9)</f>
        <v>7654000000</v>
      </c>
      <c r="P1919" s="15">
        <f>IFERROR(__xludf.DUMMYFUNCTION("ARRAYFORMULA(VLOOKUP(A1919,IMPORTRANGE(""https://docs.google.com/spreadsheets/d/1BuTWp7qHGjWhqrnf-OmePP568O4A5Am9ttzvVdP67zw/edit#gid=771602874"" ,""HUMAN RESOURCES!$A$2:$M$2692""), {2,3,4,5,6,7,8,9,10,11,12,13},0))"),0.01)</f>
        <v>0.01</v>
      </c>
      <c r="Q1919" s="14">
        <f>IFERROR(__xludf.DUMMYFUNCTION("""COMPUTED_VALUE"""),0.006)</f>
        <v>0.006</v>
      </c>
      <c r="R1919" s="14">
        <f>IFERROR(__xludf.DUMMYFUNCTION("""COMPUTED_VALUE"""),80.0)</f>
        <v>80</v>
      </c>
      <c r="S1919" s="14">
        <f>IFERROR(__xludf.DUMMYFUNCTION("""COMPUTED_VALUE"""),71.0)</f>
        <v>71</v>
      </c>
      <c r="T1919" s="14">
        <f>IFERROR(__xludf.DUMMYFUNCTION("""COMPUTED_VALUE"""),0.16)</f>
        <v>0.16</v>
      </c>
      <c r="U1919" s="14">
        <f>IFERROR(__xludf.DUMMYFUNCTION("""COMPUTED_VALUE"""),0.707)</f>
        <v>0.707</v>
      </c>
      <c r="V1919" s="14">
        <f>IFERROR(__xludf.DUMMYFUNCTION("""COMPUTED_VALUE"""),0.133)</f>
        <v>0.133</v>
      </c>
      <c r="W1919" s="14">
        <f>IFERROR(__xludf.DUMMYFUNCTION("""COMPUTED_VALUE"""),3.8141267E7)</f>
        <v>38141267</v>
      </c>
      <c r="X1919" s="14">
        <f>IFERROR(__xludf.DUMMYFUNCTION("""COMPUTED_VALUE"""),0.613)</f>
        <v>0.613</v>
      </c>
      <c r="Y1919" s="14" t="str">
        <f>IFERROR(__xludf.DUMMYFUNCTION("""COMPUTED_VALUE"""),"Poland-Europe")</f>
        <v>Poland-Europe</v>
      </c>
      <c r="Z1919" s="14" t="str">
        <f>IFERROR(__xludf.DUMMYFUNCTION("""COMPUTED_VALUE"""),"Europe")</f>
        <v>Europe</v>
      </c>
      <c r="AA1919" s="14" t="str">
        <f>IFERROR(__xludf.DUMMYFUNCTION("""COMPUTED_VALUE"""),"2006")</f>
        <v>2006</v>
      </c>
      <c r="AB1919" s="15" t="str">
        <f>IFERROR(__xludf.DUMMYFUNCTION("ARRAYFORMULA(VLOOKUP(A1919,IMPORTRANGE(""https://docs.google.com/spreadsheets/d/1BuTWp7qHGjWhqrnf-OmePP568O4A5Am9ttzvVdP67zw/edit#gid=1931367683"" ,""ENERGY!$A$2:$F$2692""), {2,3,4,5,6},0))"),"Europe")</f>
        <v>Europe</v>
      </c>
      <c r="AC1919" s="14" t="str">
        <f>IFERROR(__xludf.DUMMYFUNCTION("""COMPUTED_VALUE"""),"Poland-Europe")</f>
        <v>Poland-Europe</v>
      </c>
      <c r="AD1919" s="14" t="str">
        <f>IFERROR(__xludf.DUMMYFUNCTION("""COMPUTED_VALUE"""),"2012")</f>
        <v>2012</v>
      </c>
      <c r="AE1919" s="14">
        <f>IFERROR(__xludf.DUMMYFUNCTION("""COMPUTED_VALUE"""),97241.0)</f>
        <v>97241</v>
      </c>
      <c r="AF1919" s="14">
        <f>IFERROR(__xludf.DUMMYFUNCTION("""COMPUTED_VALUE"""),320004.0)</f>
        <v>320004</v>
      </c>
    </row>
    <row r="1920">
      <c r="A1920" s="12">
        <v>1919.0</v>
      </c>
      <c r="B1920" s="12" t="s">
        <v>226</v>
      </c>
      <c r="C1920" s="5" t="s">
        <v>75</v>
      </c>
      <c r="D1920" s="11">
        <v>0.434</v>
      </c>
      <c r="E1920" s="11">
        <v>31.0</v>
      </c>
      <c r="F1920" s="8"/>
      <c r="G1920" s="11">
        <v>418.0</v>
      </c>
      <c r="H1920" s="11">
        <v>0.486</v>
      </c>
      <c r="I1920" s="11">
        <v>1.084</v>
      </c>
      <c r="J1920" s="9" t="s">
        <v>68</v>
      </c>
      <c r="K1920" s="14" t="str">
        <f>IFERROR(__xludf.DUMMYFUNCTION("ARRAYFORMULA(VLOOKUP(A1920,IMPORTRANGE(""https://docs.google.com/spreadsheets/d/1BuTWp7qHGjWhqrnf-OmePP568O4A5Am9ttzvVdP67zw/edit#gid=1603210130"", ""TOURISM!$A$2:$F$2692""), {2,3,4,5,6},0))"),"Europe")</f>
        <v>Europe</v>
      </c>
      <c r="L1920" s="14">
        <f>IFERROR(__xludf.DUMMYFUNCTION("""COMPUTED_VALUE"""),1.1686E10)</f>
        <v>11686000000</v>
      </c>
      <c r="M1920" s="14" t="str">
        <f>IFERROR(__xludf.DUMMYFUNCTION("""COMPUTED_VALUE"""),"Poland-Europe")</f>
        <v>Poland-Europe</v>
      </c>
      <c r="N1920" s="14" t="str">
        <f>IFERROR(__xludf.DUMMYFUNCTION("""COMPUTED_VALUE"""),"2007")</f>
        <v>2007</v>
      </c>
      <c r="O1920" s="14">
        <f>IFERROR(__xludf.DUMMYFUNCTION("""COMPUTED_VALUE"""),8.342E9)</f>
        <v>8342000000</v>
      </c>
      <c r="P1920" s="15">
        <f>IFERROR(__xludf.DUMMYFUNCTION("ARRAYFORMULA(VLOOKUP(A1920,IMPORTRANGE(""https://docs.google.com/spreadsheets/d/1BuTWp7qHGjWhqrnf-OmePP568O4A5Am9ttzvVdP67zw/edit#gid=771602874"" ,""HUMAN RESOURCES!$A$2:$M$2692""), {2,3,4,5,6,7,8,9,10,11,12,13},0))"),0.01)</f>
        <v>0.01</v>
      </c>
      <c r="Q1920" s="14">
        <f>IFERROR(__xludf.DUMMYFUNCTION("""COMPUTED_VALUE"""),0.006)</f>
        <v>0.006</v>
      </c>
      <c r="R1920" s="14">
        <f>IFERROR(__xludf.DUMMYFUNCTION("""COMPUTED_VALUE"""),80.0)</f>
        <v>80</v>
      </c>
      <c r="S1920" s="14">
        <f>IFERROR(__xludf.DUMMYFUNCTION("""COMPUTED_VALUE"""),71.0)</f>
        <v>71</v>
      </c>
      <c r="T1920" s="14">
        <f>IFERROR(__xludf.DUMMYFUNCTION("""COMPUTED_VALUE"""),0.156)</f>
        <v>0.156</v>
      </c>
      <c r="U1920" s="14">
        <f>IFERROR(__xludf.DUMMYFUNCTION("""COMPUTED_VALUE"""),0.71)</f>
        <v>0.71</v>
      </c>
      <c r="V1920" s="14">
        <f>IFERROR(__xludf.DUMMYFUNCTION("""COMPUTED_VALUE"""),0.133)</f>
        <v>0.133</v>
      </c>
      <c r="W1920" s="14">
        <f>IFERROR(__xludf.DUMMYFUNCTION("""COMPUTED_VALUE"""),3.812056E7)</f>
        <v>38120560</v>
      </c>
      <c r="X1920" s="14">
        <f>IFERROR(__xludf.DUMMYFUNCTION("""COMPUTED_VALUE"""),0.612)</f>
        <v>0.612</v>
      </c>
      <c r="Y1920" s="14" t="str">
        <f>IFERROR(__xludf.DUMMYFUNCTION("""COMPUTED_VALUE"""),"Poland-Europe")</f>
        <v>Poland-Europe</v>
      </c>
      <c r="Z1920" s="14" t="str">
        <f>IFERROR(__xludf.DUMMYFUNCTION("""COMPUTED_VALUE"""),"Europe")</f>
        <v>Europe</v>
      </c>
      <c r="AA1920" s="14" t="str">
        <f>IFERROR(__xludf.DUMMYFUNCTION("""COMPUTED_VALUE"""),"2007")</f>
        <v>2007</v>
      </c>
      <c r="AB1920" s="15" t="str">
        <f>IFERROR(__xludf.DUMMYFUNCTION("ARRAYFORMULA(VLOOKUP(A1920,IMPORTRANGE(""https://docs.google.com/spreadsheets/d/1BuTWp7qHGjWhqrnf-OmePP568O4A5Am9ttzvVdP67zw/edit#gid=1931367683"" ,""ENERGY!$A$2:$F$2692""), {2,3,4,5,6},0))"),"Europe")</f>
        <v>Europe</v>
      </c>
      <c r="AC1920" s="14" t="str">
        <f>IFERROR(__xludf.DUMMYFUNCTION("""COMPUTED_VALUE"""),"Poland-Europe")</f>
        <v>Poland-Europe</v>
      </c>
      <c r="AD1920" s="14" t="str">
        <f>IFERROR(__xludf.DUMMYFUNCTION("""COMPUTED_VALUE"""),"2010")</f>
        <v>2010</v>
      </c>
      <c r="AE1920" s="14">
        <f>IFERROR(__xludf.DUMMYFUNCTION("""COMPUTED_VALUE"""),92377.0)</f>
        <v>92377</v>
      </c>
      <c r="AF1920" s="14">
        <f>IFERROR(__xludf.DUMMYFUNCTION("""COMPUTED_VALUE"""),303598.0)</f>
        <v>303598</v>
      </c>
    </row>
    <row r="1921">
      <c r="A1921" s="12">
        <v>1920.0</v>
      </c>
      <c r="B1921" s="12" t="s">
        <v>226</v>
      </c>
      <c r="C1921" s="5" t="s">
        <v>75</v>
      </c>
      <c r="D1921" s="11">
        <v>0.451</v>
      </c>
      <c r="E1921" s="11">
        <v>31.0</v>
      </c>
      <c r="F1921" s="8"/>
      <c r="G1921" s="11">
        <v>418.0</v>
      </c>
      <c r="H1921" s="11">
        <v>0.531</v>
      </c>
      <c r="I1921" s="11">
        <v>1.15</v>
      </c>
      <c r="J1921" s="9" t="s">
        <v>69</v>
      </c>
      <c r="K1921" s="14" t="str">
        <f>IFERROR(__xludf.DUMMYFUNCTION("ARRAYFORMULA(VLOOKUP(A1921,IMPORTRANGE(""https://docs.google.com/spreadsheets/d/1BuTWp7qHGjWhqrnf-OmePP568O4A5Am9ttzvVdP67zw/edit#gid=1603210130"", ""TOURISM!$A$2:$F$2692""), {2,3,4,5,6},0))"),"Europe")</f>
        <v>Europe</v>
      </c>
      <c r="L1921" s="14">
        <f>IFERROR(__xludf.DUMMYFUNCTION("""COMPUTED_VALUE"""),1.2837E10)</f>
        <v>12837000000</v>
      </c>
      <c r="M1921" s="14" t="str">
        <f>IFERROR(__xludf.DUMMYFUNCTION("""COMPUTED_VALUE"""),"Poland-Europe")</f>
        <v>Poland-Europe</v>
      </c>
      <c r="N1921" s="14" t="str">
        <f>IFERROR(__xludf.DUMMYFUNCTION("""COMPUTED_VALUE"""),"2008")</f>
        <v>2008</v>
      </c>
      <c r="O1921" s="14">
        <f>IFERROR(__xludf.DUMMYFUNCTION("""COMPUTED_VALUE"""),1.0689E10)</f>
        <v>10689000000</v>
      </c>
      <c r="P1921" s="15">
        <f>IFERROR(__xludf.DUMMYFUNCTION("ARRAYFORMULA(VLOOKUP(A1921,IMPORTRANGE(""https://docs.google.com/spreadsheets/d/1BuTWp7qHGjWhqrnf-OmePP568O4A5Am9ttzvVdP67zw/edit#gid=771602874"" ,""HUMAN RESOURCES!$A$2:$M$2692""), {2,3,4,5,6,7,8,9,10,11,12,13},0))"),0.011)</f>
        <v>0.011</v>
      </c>
      <c r="Q1921" s="14">
        <f>IFERROR(__xludf.DUMMYFUNCTION("""COMPUTED_VALUE"""),0.006)</f>
        <v>0.006</v>
      </c>
      <c r="R1921" s="14">
        <f>IFERROR(__xludf.DUMMYFUNCTION("""COMPUTED_VALUE"""),80.0)</f>
        <v>80</v>
      </c>
      <c r="S1921" s="14">
        <f>IFERROR(__xludf.DUMMYFUNCTION("""COMPUTED_VALUE"""),71.0)</f>
        <v>71</v>
      </c>
      <c r="T1921" s="14">
        <f>IFERROR(__xludf.DUMMYFUNCTION("""COMPUTED_VALUE"""),0.154)</f>
        <v>0.154</v>
      </c>
      <c r="U1921" s="14">
        <f>IFERROR(__xludf.DUMMYFUNCTION("""COMPUTED_VALUE"""),0.713)</f>
        <v>0.713</v>
      </c>
      <c r="V1921" s="14">
        <f>IFERROR(__xludf.DUMMYFUNCTION("""COMPUTED_VALUE"""),0.133)</f>
        <v>0.133</v>
      </c>
      <c r="W1921" s="14">
        <f>IFERROR(__xludf.DUMMYFUNCTION("""COMPUTED_VALUE"""),3.8125759E7)</f>
        <v>38125759</v>
      </c>
      <c r="X1921" s="14">
        <f>IFERROR(__xludf.DUMMYFUNCTION("""COMPUTED_VALUE"""),0.611)</f>
        <v>0.611</v>
      </c>
      <c r="Y1921" s="14" t="str">
        <f>IFERROR(__xludf.DUMMYFUNCTION("""COMPUTED_VALUE"""),"Poland-Europe")</f>
        <v>Poland-Europe</v>
      </c>
      <c r="Z1921" s="14" t="str">
        <f>IFERROR(__xludf.DUMMYFUNCTION("""COMPUTED_VALUE"""),"Europe")</f>
        <v>Europe</v>
      </c>
      <c r="AA1921" s="14" t="str">
        <f>IFERROR(__xludf.DUMMYFUNCTION("""COMPUTED_VALUE"""),"2008")</f>
        <v>2008</v>
      </c>
      <c r="AB1921" s="15" t="str">
        <f>IFERROR(__xludf.DUMMYFUNCTION("ARRAYFORMULA(VLOOKUP(A1921,IMPORTRANGE(""https://docs.google.com/spreadsheets/d/1BuTWp7qHGjWhqrnf-OmePP568O4A5Am9ttzvVdP67zw/edit#gid=1931367683"" ,""ENERGY!$A$2:$F$2692""), {2,3,4,5,6},0))"),"Europe")</f>
        <v>Europe</v>
      </c>
      <c r="AC1921" s="14" t="str">
        <f>IFERROR(__xludf.DUMMYFUNCTION("""COMPUTED_VALUE"""),"Poland-Europe")</f>
        <v>Poland-Europe</v>
      </c>
      <c r="AD1921" s="14" t="str">
        <f>IFERROR(__xludf.DUMMYFUNCTION("""COMPUTED_VALUE"""),"2007")</f>
        <v>2007</v>
      </c>
      <c r="AE1921" s="14">
        <f>IFERROR(__xludf.DUMMYFUNCTION("""COMPUTED_VALUE"""),91371.0)</f>
        <v>91371</v>
      </c>
      <c r="AF1921" s="14">
        <f>IFERROR(__xludf.DUMMYFUNCTION("""COMPUTED_VALUE"""),304988.0)</f>
        <v>304988</v>
      </c>
    </row>
    <row r="1922">
      <c r="A1922" s="12">
        <v>1921.0</v>
      </c>
      <c r="B1922" s="12" t="s">
        <v>226</v>
      </c>
      <c r="C1922" s="5" t="s">
        <v>75</v>
      </c>
      <c r="D1922" s="11">
        <v>0.422</v>
      </c>
      <c r="E1922" s="11">
        <v>32.0</v>
      </c>
      <c r="F1922" s="8"/>
      <c r="G1922" s="11">
        <v>395.0</v>
      </c>
      <c r="H1922" s="11">
        <v>0.59</v>
      </c>
      <c r="I1922" s="11">
        <v>1.173</v>
      </c>
      <c r="J1922" s="9" t="s">
        <v>70</v>
      </c>
      <c r="K1922" s="14" t="str">
        <f>IFERROR(__xludf.DUMMYFUNCTION("ARRAYFORMULA(VLOOKUP(A1922,IMPORTRANGE(""https://docs.google.com/spreadsheets/d/1BuTWp7qHGjWhqrnf-OmePP568O4A5Am9ttzvVdP67zw/edit#gid=1603210130"", ""TOURISM!$A$2:$F$2692""), {2,3,4,5,6},0))"),"Europe")</f>
        <v>Europe</v>
      </c>
      <c r="L1922" s="14">
        <f>IFERROR(__xludf.DUMMYFUNCTION("""COMPUTED_VALUE"""),9.843E9)</f>
        <v>9843000000</v>
      </c>
      <c r="M1922" s="14" t="str">
        <f>IFERROR(__xludf.DUMMYFUNCTION("""COMPUTED_VALUE"""),"Poland-Europe")</f>
        <v>Poland-Europe</v>
      </c>
      <c r="N1922" s="14" t="str">
        <f>IFERROR(__xludf.DUMMYFUNCTION("""COMPUTED_VALUE"""),"2009")</f>
        <v>2009</v>
      </c>
      <c r="O1922" s="14">
        <f>IFERROR(__xludf.DUMMYFUNCTION("""COMPUTED_VALUE"""),7.888E9)</f>
        <v>7888000000</v>
      </c>
      <c r="P1922" s="15">
        <f>IFERROR(__xludf.DUMMYFUNCTION("ARRAYFORMULA(VLOOKUP(A1922,IMPORTRANGE(""https://docs.google.com/spreadsheets/d/1BuTWp7qHGjWhqrnf-OmePP568O4A5Am9ttzvVdP67zw/edit#gid=771602874"" ,""HUMAN RESOURCES!$A$2:$M$2692""), {2,3,4,5,6,7,8,9,10,11,12,13},0))"),0.011)</f>
        <v>0.011</v>
      </c>
      <c r="Q1922" s="14">
        <f>IFERROR(__xludf.DUMMYFUNCTION("""COMPUTED_VALUE"""),0.005)</f>
        <v>0.005</v>
      </c>
      <c r="R1922" s="14">
        <f>IFERROR(__xludf.DUMMYFUNCTION("""COMPUTED_VALUE"""),80.0)</f>
        <v>80</v>
      </c>
      <c r="S1922" s="14">
        <f>IFERROR(__xludf.DUMMYFUNCTION("""COMPUTED_VALUE"""),72.0)</f>
        <v>72</v>
      </c>
      <c r="T1922" s="14">
        <f>IFERROR(__xludf.DUMMYFUNCTION("""COMPUTED_VALUE"""),0.152)</f>
        <v>0.152</v>
      </c>
      <c r="U1922" s="14">
        <f>IFERROR(__xludf.DUMMYFUNCTION("""COMPUTED_VALUE"""),0.715)</f>
        <v>0.715</v>
      </c>
      <c r="V1922" s="14">
        <f>IFERROR(__xludf.DUMMYFUNCTION("""COMPUTED_VALUE"""),0.134)</f>
        <v>0.134</v>
      </c>
      <c r="W1922" s="14">
        <f>IFERROR(__xludf.DUMMYFUNCTION("""COMPUTED_VALUE"""),3.8151603E7)</f>
        <v>38151603</v>
      </c>
      <c r="X1922" s="14">
        <f>IFERROR(__xludf.DUMMYFUNCTION("""COMPUTED_VALUE"""),0.61)</f>
        <v>0.61</v>
      </c>
      <c r="Y1922" s="14" t="str">
        <f>IFERROR(__xludf.DUMMYFUNCTION("""COMPUTED_VALUE"""),"Poland-Europe")</f>
        <v>Poland-Europe</v>
      </c>
      <c r="Z1922" s="14" t="str">
        <f>IFERROR(__xludf.DUMMYFUNCTION("""COMPUTED_VALUE"""),"Europe")</f>
        <v>Europe</v>
      </c>
      <c r="AA1922" s="14" t="str">
        <f>IFERROR(__xludf.DUMMYFUNCTION("""COMPUTED_VALUE"""),"2009")</f>
        <v>2009</v>
      </c>
      <c r="AB1922" s="15" t="str">
        <f>IFERROR(__xludf.DUMMYFUNCTION("ARRAYFORMULA(VLOOKUP(A1922,IMPORTRANGE(""https://docs.google.com/spreadsheets/d/1BuTWp7qHGjWhqrnf-OmePP568O4A5Am9ttzvVdP67zw/edit#gid=1931367683"" ,""ENERGY!$A$2:$F$2692""), {2,3,4,5,6},0))"),"Europe")</f>
        <v>Europe</v>
      </c>
      <c r="AC1922" s="14" t="str">
        <f>IFERROR(__xludf.DUMMYFUNCTION("""COMPUTED_VALUE"""),"Poland-Europe")</f>
        <v>Poland-Europe</v>
      </c>
      <c r="AD1922" s="14" t="str">
        <f>IFERROR(__xludf.DUMMYFUNCTION("""COMPUTED_VALUE"""),"2011")</f>
        <v>2011</v>
      </c>
      <c r="AE1922" s="14">
        <f>IFERROR(__xludf.DUMMYFUNCTION("""COMPUTED_VALUE"""),91105.0)</f>
        <v>91105</v>
      </c>
      <c r="AF1922" s="14">
        <f>IFERROR(__xludf.DUMMYFUNCTION("""COMPUTED_VALUE"""),304856.0)</f>
        <v>304856</v>
      </c>
    </row>
    <row r="1923">
      <c r="A1923" s="12">
        <v>1922.0</v>
      </c>
      <c r="B1923" s="12" t="s">
        <v>226</v>
      </c>
      <c r="C1923" s="5" t="s">
        <v>75</v>
      </c>
      <c r="D1923" s="11">
        <v>0.401</v>
      </c>
      <c r="E1923" s="11">
        <v>32.0</v>
      </c>
      <c r="F1923" s="8"/>
      <c r="G1923" s="11">
        <v>325.0</v>
      </c>
      <c r="H1923" s="11">
        <v>0.623</v>
      </c>
      <c r="I1923" s="11">
        <v>1.229</v>
      </c>
      <c r="J1923" s="9" t="s">
        <v>71</v>
      </c>
      <c r="K1923" s="14" t="str">
        <f>IFERROR(__xludf.DUMMYFUNCTION("ARRAYFORMULA(VLOOKUP(A1923,IMPORTRANGE(""https://docs.google.com/spreadsheets/d/1BuTWp7qHGjWhqrnf-OmePP568O4A5Am9ttzvVdP67zw/edit#gid=1603210130"", ""TOURISM!$A$2:$F$2692""), {2,3,4,5,6},0))"),"Europe")</f>
        <v>Europe</v>
      </c>
      <c r="L1923" s="14">
        <f>IFERROR(__xludf.DUMMYFUNCTION("""COMPUTED_VALUE"""),9.986E9)</f>
        <v>9986000000</v>
      </c>
      <c r="M1923" s="14" t="str">
        <f>IFERROR(__xludf.DUMMYFUNCTION("""COMPUTED_VALUE"""),"Poland-Europe")</f>
        <v>Poland-Europe</v>
      </c>
      <c r="N1923" s="14" t="str">
        <f>IFERROR(__xludf.DUMMYFUNCTION("""COMPUTED_VALUE"""),"2010")</f>
        <v>2010</v>
      </c>
      <c r="O1923" s="14">
        <f>IFERROR(__xludf.DUMMYFUNCTION("""COMPUTED_VALUE"""),9.1E9)</f>
        <v>9100000000</v>
      </c>
      <c r="P1923" s="15">
        <f>IFERROR(__xludf.DUMMYFUNCTION("ARRAYFORMULA(VLOOKUP(A1923,IMPORTRANGE(""https://docs.google.com/spreadsheets/d/1BuTWp7qHGjWhqrnf-OmePP568O4A5Am9ttzvVdP67zw/edit#gid=771602874"" ,""HUMAN RESOURCES!$A$2:$M$2692""), {2,3,4,5,6,7,8,9,10,11,12,13},0))"),0.011)</f>
        <v>0.011</v>
      </c>
      <c r="Q1923" s="14">
        <f>IFERROR(__xludf.DUMMYFUNCTION("""COMPUTED_VALUE"""),0.005)</f>
        <v>0.005</v>
      </c>
      <c r="R1923" s="14">
        <f>IFERROR(__xludf.DUMMYFUNCTION("""COMPUTED_VALUE"""),81.0)</f>
        <v>81</v>
      </c>
      <c r="S1923" s="14">
        <f>IFERROR(__xludf.DUMMYFUNCTION("""COMPUTED_VALUE"""),72.0)</f>
        <v>72</v>
      </c>
      <c r="T1923" s="14">
        <f>IFERROR(__xludf.DUMMYFUNCTION("""COMPUTED_VALUE"""),0.15)</f>
        <v>0.15</v>
      </c>
      <c r="U1923" s="14">
        <f>IFERROR(__xludf.DUMMYFUNCTION("""COMPUTED_VALUE"""),0.715)</f>
        <v>0.715</v>
      </c>
      <c r="V1923" s="14">
        <f>IFERROR(__xludf.DUMMYFUNCTION("""COMPUTED_VALUE"""),0.135)</f>
        <v>0.135</v>
      </c>
      <c r="W1923" s="14">
        <f>IFERROR(__xludf.DUMMYFUNCTION("""COMPUTED_VALUE"""),3.8183683E7)</f>
        <v>38183683</v>
      </c>
      <c r="X1923" s="14">
        <f>IFERROR(__xludf.DUMMYFUNCTION("""COMPUTED_VALUE"""),0.609)</f>
        <v>0.609</v>
      </c>
      <c r="Y1923" s="14" t="str">
        <f>IFERROR(__xludf.DUMMYFUNCTION("""COMPUTED_VALUE"""),"Poland-Europe")</f>
        <v>Poland-Europe</v>
      </c>
      <c r="Z1923" s="14" t="str">
        <f>IFERROR(__xludf.DUMMYFUNCTION("""COMPUTED_VALUE"""),"Europe")</f>
        <v>Europe</v>
      </c>
      <c r="AA1923" s="14" t="str">
        <f>IFERROR(__xludf.DUMMYFUNCTION("""COMPUTED_VALUE"""),"2010")</f>
        <v>2010</v>
      </c>
      <c r="AB1923" s="15" t="str">
        <f>IFERROR(__xludf.DUMMYFUNCTION("ARRAYFORMULA(VLOOKUP(A1923,IMPORTRANGE(""https://docs.google.com/spreadsheets/d/1BuTWp7qHGjWhqrnf-OmePP568O4A5Am9ttzvVdP67zw/edit#gid=1931367683"" ,""ENERGY!$A$2:$F$2692""), {2,3,4,5,6},0))"),"Europe")</f>
        <v>Europe</v>
      </c>
      <c r="AC1923" s="14" t="str">
        <f>IFERROR(__xludf.DUMMYFUNCTION("""COMPUTED_VALUE"""),"Poland-Europe")</f>
        <v>Poland-Europe</v>
      </c>
      <c r="AD1923" s="14" t="str">
        <f>IFERROR(__xludf.DUMMYFUNCTION("""COMPUTED_VALUE"""),"2007")</f>
        <v>2007</v>
      </c>
      <c r="AE1923" s="14">
        <f>IFERROR(__xludf.DUMMYFUNCTION("""COMPUTED_VALUE"""),88855.0)</f>
        <v>88855</v>
      </c>
      <c r="AF1923" s="14">
        <f>IFERROR(__xludf.DUMMYFUNCTION("""COMPUTED_VALUE"""),296932.0)</f>
        <v>296932</v>
      </c>
    </row>
    <row r="1924">
      <c r="A1924" s="12">
        <v>1923.0</v>
      </c>
      <c r="B1924" s="12" t="s">
        <v>226</v>
      </c>
      <c r="C1924" s="5" t="s">
        <v>75</v>
      </c>
      <c r="D1924" s="11">
        <v>0.395</v>
      </c>
      <c r="E1924" s="11">
        <v>32.0</v>
      </c>
      <c r="F1924" s="8"/>
      <c r="G1924" s="11">
        <v>296.0</v>
      </c>
      <c r="H1924" s="11">
        <v>0.619</v>
      </c>
      <c r="I1924" s="11">
        <v>1.313</v>
      </c>
      <c r="J1924" s="9" t="s">
        <v>72</v>
      </c>
      <c r="K1924" s="14" t="str">
        <f>IFERROR(__xludf.DUMMYFUNCTION("ARRAYFORMULA(VLOOKUP(A1924,IMPORTRANGE(""https://docs.google.com/spreadsheets/d/1BuTWp7qHGjWhqrnf-OmePP568O4A5Am9ttzvVdP67zw/edit#gid=1603210130"", ""TOURISM!$A$2:$F$2692""), {2,3,4,5,6},0))"),"Europe")</f>
        <v>Europe</v>
      </c>
      <c r="L1924" s="14">
        <f>IFERROR(__xludf.DUMMYFUNCTION("""COMPUTED_VALUE"""),1.1598E10)</f>
        <v>11598000000</v>
      </c>
      <c r="M1924" s="14" t="str">
        <f>IFERROR(__xludf.DUMMYFUNCTION("""COMPUTED_VALUE"""),"Poland-Europe")</f>
        <v>Poland-Europe</v>
      </c>
      <c r="N1924" s="14" t="str">
        <f>IFERROR(__xludf.DUMMYFUNCTION("""COMPUTED_VALUE"""),"2011")</f>
        <v>2011</v>
      </c>
      <c r="O1924" s="14">
        <f>IFERROR(__xludf.DUMMYFUNCTION("""COMPUTED_VALUE"""),8.882E9)</f>
        <v>8882000000</v>
      </c>
      <c r="P1924" s="15">
        <f>IFERROR(__xludf.DUMMYFUNCTION("ARRAYFORMULA(VLOOKUP(A1924,IMPORTRANGE(""https://docs.google.com/spreadsheets/d/1BuTWp7qHGjWhqrnf-OmePP568O4A5Am9ttzvVdP67zw/edit#gid=771602874"" ,""HUMAN RESOURCES!$A$2:$M$2692""), {2,3,4,5,6,7,8,9,10,11,12,13},0))"),0.01)</f>
        <v>0.01</v>
      </c>
      <c r="Q1924" s="14">
        <f>IFERROR(__xludf.DUMMYFUNCTION("""COMPUTED_VALUE"""),0.005)</f>
        <v>0.005</v>
      </c>
      <c r="R1924" s="14">
        <f>IFERROR(__xludf.DUMMYFUNCTION("""COMPUTED_VALUE"""),81.0)</f>
        <v>81</v>
      </c>
      <c r="S1924" s="14">
        <f>IFERROR(__xludf.DUMMYFUNCTION("""COMPUTED_VALUE"""),73.0)</f>
        <v>73</v>
      </c>
      <c r="T1924" s="14">
        <f>IFERROR(__xludf.DUMMYFUNCTION("""COMPUTED_VALUE"""),0.149)</f>
        <v>0.149</v>
      </c>
      <c r="U1924" s="14">
        <f>IFERROR(__xludf.DUMMYFUNCTION("""COMPUTED_VALUE"""),0.713)</f>
        <v>0.713</v>
      </c>
      <c r="V1924" s="14">
        <f>IFERROR(__xludf.DUMMYFUNCTION("""COMPUTED_VALUE"""),0.137)</f>
        <v>0.137</v>
      </c>
      <c r="W1924" s="14">
        <f>IFERROR(__xludf.DUMMYFUNCTION("""COMPUTED_VALUE"""),3.8534157E7)</f>
        <v>38534157</v>
      </c>
      <c r="X1924" s="14">
        <f>IFERROR(__xludf.DUMMYFUNCTION("""COMPUTED_VALUE"""),0.608)</f>
        <v>0.608</v>
      </c>
      <c r="Y1924" s="14" t="str">
        <f>IFERROR(__xludf.DUMMYFUNCTION("""COMPUTED_VALUE"""),"Poland-Europe")</f>
        <v>Poland-Europe</v>
      </c>
      <c r="Z1924" s="14" t="str">
        <f>IFERROR(__xludf.DUMMYFUNCTION("""COMPUTED_VALUE"""),"Europe")</f>
        <v>Europe</v>
      </c>
      <c r="AA1924" s="14" t="str">
        <f>IFERROR(__xludf.DUMMYFUNCTION("""COMPUTED_VALUE"""),"2011")</f>
        <v>2011</v>
      </c>
      <c r="AB1924" s="15" t="str">
        <f>IFERROR(__xludf.DUMMYFUNCTION("ARRAYFORMULA(VLOOKUP(A1924,IMPORTRANGE(""https://docs.google.com/spreadsheets/d/1BuTWp7qHGjWhqrnf-OmePP568O4A5Am9ttzvVdP67zw/edit#gid=1931367683"" ,""ENERGY!$A$2:$F$2692""), {2,3,4,5,6},0))"),"Europe")</f>
        <v>Europe</v>
      </c>
      <c r="AC1924" s="14" t="str">
        <f>IFERROR(__xludf.DUMMYFUNCTION("""COMPUTED_VALUE"""),"Poland-Europe")</f>
        <v>Poland-Europe</v>
      </c>
      <c r="AD1924" s="14" t="str">
        <f>IFERROR(__xludf.DUMMYFUNCTION("""COMPUTED_VALUE"""),"2006")</f>
        <v>2006</v>
      </c>
      <c r="AE1924" s="14">
        <f>IFERROR(__xludf.DUMMYFUNCTION("""COMPUTED_VALUE"""),89733.0)</f>
        <v>89733</v>
      </c>
      <c r="AF1924" s="14">
        <f>IFERROR(__xludf.DUMMYFUNCTION("""COMPUTED_VALUE"""),302806.0)</f>
        <v>302806</v>
      </c>
    </row>
    <row r="1925">
      <c r="A1925" s="12">
        <v>1924.0</v>
      </c>
      <c r="B1925" s="12" t="s">
        <v>226</v>
      </c>
      <c r="C1925" s="5" t="s">
        <v>75</v>
      </c>
      <c r="D1925" s="11">
        <v>0.398</v>
      </c>
      <c r="E1925" s="11">
        <v>32.0</v>
      </c>
      <c r="F1925" s="11">
        <v>48.0</v>
      </c>
      <c r="G1925" s="11">
        <v>286.0</v>
      </c>
      <c r="H1925" s="11">
        <v>0.623</v>
      </c>
      <c r="I1925" s="11">
        <v>1.415</v>
      </c>
      <c r="J1925" s="9" t="s">
        <v>73</v>
      </c>
      <c r="K1925" s="14" t="str">
        <f>IFERROR(__xludf.DUMMYFUNCTION("ARRAYFORMULA(VLOOKUP(A1925,IMPORTRANGE(""https://docs.google.com/spreadsheets/d/1BuTWp7qHGjWhqrnf-OmePP568O4A5Am9ttzvVdP67zw/edit#gid=1603210130"", ""TOURISM!$A$2:$F$2692""), {2,3,4,5,6},0))"),"Europe")</f>
        <v>Europe</v>
      </c>
      <c r="L1925" s="14">
        <f>IFERROR(__xludf.DUMMYFUNCTION("""COMPUTED_VALUE"""),1.1835E10)</f>
        <v>11835000000</v>
      </c>
      <c r="M1925" s="14" t="str">
        <f>IFERROR(__xludf.DUMMYFUNCTION("""COMPUTED_VALUE"""),"Poland-Europe")</f>
        <v>Poland-Europe</v>
      </c>
      <c r="N1925" s="14" t="str">
        <f>IFERROR(__xludf.DUMMYFUNCTION("""COMPUTED_VALUE"""),"2012")</f>
        <v>2012</v>
      </c>
      <c r="O1925" s="14">
        <f>IFERROR(__xludf.DUMMYFUNCTION("""COMPUTED_VALUE"""),9.038E9)</f>
        <v>9038000000</v>
      </c>
      <c r="P1925" s="15">
        <f>IFERROR(__xludf.DUMMYFUNCTION("ARRAYFORMULA(VLOOKUP(A1925,IMPORTRANGE(""https://docs.google.com/spreadsheets/d/1BuTWp7qHGjWhqrnf-OmePP568O4A5Am9ttzvVdP67zw/edit#gid=771602874"" ,""HUMAN RESOURCES!$A$2:$M$2692""), {2,3,4,5,6,7,8,9,10,11,12,13},0))"),0.01)</f>
        <v>0.01</v>
      </c>
      <c r="Q1925" s="14">
        <f>IFERROR(__xludf.DUMMYFUNCTION("""COMPUTED_VALUE"""),0.005)</f>
        <v>0.005</v>
      </c>
      <c r="R1925" s="14">
        <f>IFERROR(__xludf.DUMMYFUNCTION("""COMPUTED_VALUE"""),81.0)</f>
        <v>81</v>
      </c>
      <c r="S1925" s="14">
        <f>IFERROR(__xludf.DUMMYFUNCTION("""COMPUTED_VALUE"""),73.0)</f>
        <v>73</v>
      </c>
      <c r="T1925" s="14">
        <f>IFERROR(__xludf.DUMMYFUNCTION("""COMPUTED_VALUE"""),0.149)</f>
        <v>0.149</v>
      </c>
      <c r="U1925" s="14">
        <f>IFERROR(__xludf.DUMMYFUNCTION("""COMPUTED_VALUE"""),0.71)</f>
        <v>0.71</v>
      </c>
      <c r="V1925" s="14">
        <f>IFERROR(__xludf.DUMMYFUNCTION("""COMPUTED_VALUE"""),0.14)</f>
        <v>0.14</v>
      </c>
      <c r="W1925" s="14">
        <f>IFERROR(__xludf.DUMMYFUNCTION("""COMPUTED_VALUE"""),3.8535873E7)</f>
        <v>38535873</v>
      </c>
      <c r="X1925" s="14">
        <f>IFERROR(__xludf.DUMMYFUNCTION("""COMPUTED_VALUE"""),0.607)</f>
        <v>0.607</v>
      </c>
      <c r="Y1925" s="14" t="str">
        <f>IFERROR(__xludf.DUMMYFUNCTION("""COMPUTED_VALUE"""),"Poland-Europe")</f>
        <v>Poland-Europe</v>
      </c>
      <c r="Z1925" s="14" t="str">
        <f>IFERROR(__xludf.DUMMYFUNCTION("""COMPUTED_VALUE"""),"Europe")</f>
        <v>Europe</v>
      </c>
      <c r="AA1925" s="14" t="str">
        <f>IFERROR(__xludf.DUMMYFUNCTION("""COMPUTED_VALUE"""),"2012")</f>
        <v>2012</v>
      </c>
      <c r="AB1925" s="15" t="str">
        <f>IFERROR(__xludf.DUMMYFUNCTION("ARRAYFORMULA(VLOOKUP(A1925,IMPORTRANGE(""https://docs.google.com/spreadsheets/d/1BuTWp7qHGjWhqrnf-OmePP568O4A5Am9ttzvVdP67zw/edit#gid=1931367683"" ,""ENERGY!$A$2:$F$2692""), {2,3,4,5,6},0))"),"Europe")</f>
        <v>Europe</v>
      </c>
      <c r="AC1925" s="14" t="str">
        <f>IFERROR(__xludf.DUMMYFUNCTION("""COMPUTED_VALUE"""),"Poland-Europe")</f>
        <v>Poland-Europe</v>
      </c>
      <c r="AD1925" s="14" t="str">
        <f>IFERROR(__xludf.DUMMYFUNCTION("""COMPUTED_VALUE"""),"2011")</f>
        <v>2011</v>
      </c>
      <c r="AE1925" s="14">
        <f>IFERROR(__xludf.DUMMYFUNCTION("""COMPUTED_VALUE"""),89116.0)</f>
        <v>89116</v>
      </c>
      <c r="AF1925" s="14">
        <f>IFERROR(__xludf.DUMMYFUNCTION("""COMPUTED_VALUE"""),301691.0)</f>
        <v>301691</v>
      </c>
    </row>
    <row r="1926">
      <c r="A1926" s="12">
        <v>1925.0</v>
      </c>
      <c r="B1926" s="12" t="s">
        <v>227</v>
      </c>
      <c r="C1926" s="5" t="s">
        <v>75</v>
      </c>
      <c r="D1926" s="8"/>
      <c r="E1926" s="8"/>
      <c r="F1926" s="8"/>
      <c r="G1926" s="8"/>
      <c r="H1926" s="11">
        <v>0.164</v>
      </c>
      <c r="I1926" s="11">
        <v>0.647</v>
      </c>
      <c r="J1926" s="9" t="s">
        <v>60</v>
      </c>
      <c r="K1926" s="14" t="str">
        <f>IFERROR(__xludf.DUMMYFUNCTION("ARRAYFORMULA(VLOOKUP(A1926,IMPORTRANGE(""https://docs.google.com/spreadsheets/d/1BuTWp7qHGjWhqrnf-OmePP568O4A5Am9ttzvVdP67zw/edit#gid=1603210130"", ""TOURISM!$A$2:$F$2692""), {2,3,4,5,6},0))"),"Europe")</f>
        <v>Europe</v>
      </c>
      <c r="L1926" s="14">
        <f>IFERROR(__xludf.DUMMYFUNCTION("""COMPUTED_VALUE"""),6.027E9)</f>
        <v>6027000000</v>
      </c>
      <c r="M1926" s="14" t="str">
        <f>IFERROR(__xludf.DUMMYFUNCTION("""COMPUTED_VALUE"""),"Portugal-Europe")</f>
        <v>Portugal-Europe</v>
      </c>
      <c r="N1926" s="14" t="str">
        <f>IFERROR(__xludf.DUMMYFUNCTION("""COMPUTED_VALUE"""),"2000")</f>
        <v>2000</v>
      </c>
      <c r="O1926" s="14">
        <f>IFERROR(__xludf.DUMMYFUNCTION("""COMPUTED_VALUE"""),2.754E9)</f>
        <v>2754000000</v>
      </c>
      <c r="P1926" s="15">
        <f>IFERROR(__xludf.DUMMYFUNCTION("ARRAYFORMULA(VLOOKUP(A1926,IMPORTRANGE(""https://docs.google.com/spreadsheets/d/1BuTWp7qHGjWhqrnf-OmePP568O4A5Am9ttzvVdP67zw/edit#gid=771602874"" ,""HUMAN RESOURCES!$A$2:$M$2692""), {2,3,4,5,6,7,8,9,10,11,12,13},0))"),0.012)</f>
        <v>0.012</v>
      </c>
      <c r="Q1926" s="14">
        <f>IFERROR(__xludf.DUMMYFUNCTION("""COMPUTED_VALUE"""),0.006)</f>
        <v>0.006</v>
      </c>
      <c r="R1926" s="14">
        <f>IFERROR(__xludf.DUMMYFUNCTION("""COMPUTED_VALUE"""),80.0)</f>
        <v>80</v>
      </c>
      <c r="S1926" s="14">
        <f>IFERROR(__xludf.DUMMYFUNCTION("""COMPUTED_VALUE"""),73.0)</f>
        <v>73</v>
      </c>
      <c r="T1926" s="14">
        <f>IFERROR(__xludf.DUMMYFUNCTION("""COMPUTED_VALUE"""),0.162)</f>
        <v>0.162</v>
      </c>
      <c r="U1926" s="14">
        <f>IFERROR(__xludf.DUMMYFUNCTION("""COMPUTED_VALUE"""),0.676)</f>
        <v>0.676</v>
      </c>
      <c r="V1926" s="14">
        <f>IFERROR(__xludf.DUMMYFUNCTION("""COMPUTED_VALUE"""),0.162)</f>
        <v>0.162</v>
      </c>
      <c r="W1926" s="14">
        <f>IFERROR(__xludf.DUMMYFUNCTION("""COMPUTED_VALUE"""),1.0289898E7)</f>
        <v>10289898</v>
      </c>
      <c r="X1926" s="14">
        <f>IFERROR(__xludf.DUMMYFUNCTION("""COMPUTED_VALUE"""),0.544)</f>
        <v>0.544</v>
      </c>
      <c r="Y1926" s="14" t="str">
        <f>IFERROR(__xludf.DUMMYFUNCTION("""COMPUTED_VALUE"""),"Portugal-Europe")</f>
        <v>Portugal-Europe</v>
      </c>
      <c r="Z1926" s="14" t="str">
        <f>IFERROR(__xludf.DUMMYFUNCTION("""COMPUTED_VALUE"""),"Europe")</f>
        <v>Europe</v>
      </c>
      <c r="AA1926" s="14" t="str">
        <f>IFERROR(__xludf.DUMMYFUNCTION("""COMPUTED_VALUE"""),"2000")</f>
        <v>2000</v>
      </c>
      <c r="AB1926" s="15" t="str">
        <f>IFERROR(__xludf.DUMMYFUNCTION("ARRAYFORMULA(VLOOKUP(A1926,IMPORTRANGE(""https://docs.google.com/spreadsheets/d/1BuTWp7qHGjWhqrnf-OmePP568O4A5Am9ttzvVdP67zw/edit#gid=1931367683"" ,""ENERGY!$A$2:$F$2692""), {2,3,4,5,6},0))"),"Europe")</f>
        <v>Europe</v>
      </c>
      <c r="AC1926" s="14" t="str">
        <f>IFERROR(__xludf.DUMMYFUNCTION("""COMPUTED_VALUE"""),"Portugal-Europe")</f>
        <v>Portugal-Europe</v>
      </c>
      <c r="AD1926" s="14" t="str">
        <f>IFERROR(__xludf.DUMMYFUNCTION("""COMPUTED_VALUE"""),"2000")</f>
        <v>2000</v>
      </c>
      <c r="AE1926" s="14">
        <f>IFERROR(__xludf.DUMMYFUNCTION("""COMPUTED_VALUE"""),21949.0)</f>
        <v>21949</v>
      </c>
      <c r="AF1926" s="14"/>
    </row>
    <row r="1927">
      <c r="A1927" s="12">
        <v>1926.0</v>
      </c>
      <c r="B1927" s="12" t="s">
        <v>227</v>
      </c>
      <c r="C1927" s="5" t="s">
        <v>75</v>
      </c>
      <c r="D1927" s="8"/>
      <c r="E1927" s="8"/>
      <c r="F1927" s="8"/>
      <c r="G1927" s="8"/>
      <c r="H1927" s="11">
        <v>0.181</v>
      </c>
      <c r="I1927" s="11">
        <v>0.771</v>
      </c>
      <c r="J1927" s="9" t="s">
        <v>62</v>
      </c>
      <c r="K1927" s="14" t="str">
        <f>IFERROR(__xludf.DUMMYFUNCTION("ARRAYFORMULA(VLOOKUP(A1927,IMPORTRANGE(""https://docs.google.com/spreadsheets/d/1BuTWp7qHGjWhqrnf-OmePP568O4A5Am9ttzvVdP67zw/edit#gid=1603210130"", ""TOURISM!$A$2:$F$2692""), {2,3,4,5,6},0))"),"Europe")</f>
        <v>Europe</v>
      </c>
      <c r="L1927" s="14">
        <f>IFERROR(__xludf.DUMMYFUNCTION("""COMPUTED_VALUE"""),6.236E9)</f>
        <v>6236000000</v>
      </c>
      <c r="M1927" s="14" t="str">
        <f>IFERROR(__xludf.DUMMYFUNCTION("""COMPUTED_VALUE"""),"Portugal-Europe")</f>
        <v>Portugal-Europe</v>
      </c>
      <c r="N1927" s="14" t="str">
        <f>IFERROR(__xludf.DUMMYFUNCTION("""COMPUTED_VALUE"""),"2001")</f>
        <v>2001</v>
      </c>
      <c r="O1927" s="14">
        <f>IFERROR(__xludf.DUMMYFUNCTION("""COMPUTED_VALUE"""),2.606E9)</f>
        <v>2606000000</v>
      </c>
      <c r="P1927" s="15">
        <f>IFERROR(__xludf.DUMMYFUNCTION("ARRAYFORMULA(VLOOKUP(A1927,IMPORTRANGE(""https://docs.google.com/spreadsheets/d/1BuTWp7qHGjWhqrnf-OmePP568O4A5Am9ttzvVdP67zw/edit#gid=771602874"" ,""HUMAN RESOURCES!$A$2:$M$2692""), {2,3,4,5,6,7,8,9,10,11,12,13},0))"),0.011)</f>
        <v>0.011</v>
      </c>
      <c r="Q1927" s="14">
        <f>IFERROR(__xludf.DUMMYFUNCTION("""COMPUTED_VALUE"""),0.005)</f>
        <v>0.005</v>
      </c>
      <c r="R1927" s="14">
        <f>IFERROR(__xludf.DUMMYFUNCTION("""COMPUTED_VALUE"""),80.0)</f>
        <v>80</v>
      </c>
      <c r="S1927" s="14">
        <f>IFERROR(__xludf.DUMMYFUNCTION("""COMPUTED_VALUE"""),73.0)</f>
        <v>73</v>
      </c>
      <c r="T1927" s="14">
        <f>IFERROR(__xludf.DUMMYFUNCTION("""COMPUTED_VALUE"""),0.16)</f>
        <v>0.16</v>
      </c>
      <c r="U1927" s="14">
        <f>IFERROR(__xludf.DUMMYFUNCTION("""COMPUTED_VALUE"""),0.676)</f>
        <v>0.676</v>
      </c>
      <c r="V1927" s="14">
        <f>IFERROR(__xludf.DUMMYFUNCTION("""COMPUTED_VALUE"""),0.164)</f>
        <v>0.164</v>
      </c>
      <c r="W1927" s="14">
        <f>IFERROR(__xludf.DUMMYFUNCTION("""COMPUTED_VALUE"""),1.0362722E7)</f>
        <v>10362722</v>
      </c>
      <c r="X1927" s="14">
        <f>IFERROR(__xludf.DUMMYFUNCTION("""COMPUTED_VALUE"""),0.55)</f>
        <v>0.55</v>
      </c>
      <c r="Y1927" s="14" t="str">
        <f>IFERROR(__xludf.DUMMYFUNCTION("""COMPUTED_VALUE"""),"Portugal-Europe")</f>
        <v>Portugal-Europe</v>
      </c>
      <c r="Z1927" s="14" t="str">
        <f>IFERROR(__xludf.DUMMYFUNCTION("""COMPUTED_VALUE"""),"Europe")</f>
        <v>Europe</v>
      </c>
      <c r="AA1927" s="14" t="str">
        <f>IFERROR(__xludf.DUMMYFUNCTION("""COMPUTED_VALUE"""),"2001")</f>
        <v>2001</v>
      </c>
      <c r="AB1927" s="15" t="str">
        <f>IFERROR(__xludf.DUMMYFUNCTION("ARRAYFORMULA(VLOOKUP(A1927,IMPORTRANGE(""https://docs.google.com/spreadsheets/d/1BuTWp7qHGjWhqrnf-OmePP568O4A5Am9ttzvVdP67zw/edit#gid=1931367683"" ,""ENERGY!$A$2:$F$2692""), {2,3,4,5,6},0))"),"Europe")</f>
        <v>Europe</v>
      </c>
      <c r="AC1927" s="14" t="str">
        <f>IFERROR(__xludf.DUMMYFUNCTION("""COMPUTED_VALUE"""),"Portugal-Europe")</f>
        <v>Portugal-Europe</v>
      </c>
      <c r="AD1927" s="14" t="str">
        <f>IFERROR(__xludf.DUMMYFUNCTION("""COMPUTED_VALUE"""),"2001")</f>
        <v>2001</v>
      </c>
      <c r="AE1927" s="14">
        <f>IFERROR(__xludf.DUMMYFUNCTION("""COMPUTED_VALUE"""),23084.0)</f>
        <v>23084</v>
      </c>
      <c r="AF1927" s="14"/>
    </row>
    <row r="1928">
      <c r="A1928" s="12">
        <v>1927.0</v>
      </c>
      <c r="B1928" s="12" t="s">
        <v>227</v>
      </c>
      <c r="C1928" s="5" t="s">
        <v>75</v>
      </c>
      <c r="D1928" s="8"/>
      <c r="E1928" s="8"/>
      <c r="F1928" s="8"/>
      <c r="G1928" s="8"/>
      <c r="H1928" s="11">
        <v>0.194</v>
      </c>
      <c r="I1928" s="11">
        <v>0.834</v>
      </c>
      <c r="J1928" s="9" t="s">
        <v>63</v>
      </c>
      <c r="K1928" s="14" t="str">
        <f>IFERROR(__xludf.DUMMYFUNCTION("ARRAYFORMULA(VLOOKUP(A1928,IMPORTRANGE(""https://docs.google.com/spreadsheets/d/1BuTWp7qHGjWhqrnf-OmePP568O4A5Am9ttzvVdP67zw/edit#gid=1603210130"", ""TOURISM!$A$2:$F$2692""), {2,3,4,5,6},0))"),"Europe")</f>
        <v>Europe</v>
      </c>
      <c r="L1928" s="14">
        <f>IFERROR(__xludf.DUMMYFUNCTION("""COMPUTED_VALUE"""),6.595E9)</f>
        <v>6595000000</v>
      </c>
      <c r="M1928" s="14" t="str">
        <f>IFERROR(__xludf.DUMMYFUNCTION("""COMPUTED_VALUE"""),"Portugal-Europe")</f>
        <v>Portugal-Europe</v>
      </c>
      <c r="N1928" s="14" t="str">
        <f>IFERROR(__xludf.DUMMYFUNCTION("""COMPUTED_VALUE"""),"2002")</f>
        <v>2002</v>
      </c>
      <c r="O1928" s="14">
        <f>IFERROR(__xludf.DUMMYFUNCTION("""COMPUTED_VALUE"""),2.631E9)</f>
        <v>2631000000</v>
      </c>
      <c r="P1928" s="15">
        <f>IFERROR(__xludf.DUMMYFUNCTION("ARRAYFORMULA(VLOOKUP(A1928,IMPORTRANGE(""https://docs.google.com/spreadsheets/d/1BuTWp7qHGjWhqrnf-OmePP568O4A5Am9ttzvVdP67zw/edit#gid=771602874"" ,""HUMAN RESOURCES!$A$2:$M$2692""), {2,3,4,5,6,7,8,9,10,11,12,13},0))"),0.011)</f>
        <v>0.011</v>
      </c>
      <c r="Q1928" s="14">
        <f>IFERROR(__xludf.DUMMYFUNCTION("""COMPUTED_VALUE"""),0.005)</f>
        <v>0.005</v>
      </c>
      <c r="R1928" s="14">
        <f>IFERROR(__xludf.DUMMYFUNCTION("""COMPUTED_VALUE"""),81.0)</f>
        <v>81</v>
      </c>
      <c r="S1928" s="14">
        <f>IFERROR(__xludf.DUMMYFUNCTION("""COMPUTED_VALUE"""),74.0)</f>
        <v>74</v>
      </c>
      <c r="T1928" s="14">
        <f>IFERROR(__xludf.DUMMYFUNCTION("""COMPUTED_VALUE"""),0.159)</f>
        <v>0.159</v>
      </c>
      <c r="U1928" s="14">
        <f>IFERROR(__xludf.DUMMYFUNCTION("""COMPUTED_VALUE"""),0.675)</f>
        <v>0.675</v>
      </c>
      <c r="V1928" s="14">
        <f>IFERROR(__xludf.DUMMYFUNCTION("""COMPUTED_VALUE"""),0.166)</f>
        <v>0.166</v>
      </c>
      <c r="W1928" s="14">
        <f>IFERROR(__xludf.DUMMYFUNCTION("""COMPUTED_VALUE"""),1.0419631E7)</f>
        <v>10419631</v>
      </c>
      <c r="X1928" s="14">
        <f>IFERROR(__xludf.DUMMYFUNCTION("""COMPUTED_VALUE"""),0.557)</f>
        <v>0.557</v>
      </c>
      <c r="Y1928" s="14" t="str">
        <f>IFERROR(__xludf.DUMMYFUNCTION("""COMPUTED_VALUE"""),"Portugal-Europe")</f>
        <v>Portugal-Europe</v>
      </c>
      <c r="Z1928" s="14" t="str">
        <f>IFERROR(__xludf.DUMMYFUNCTION("""COMPUTED_VALUE"""),"Europe")</f>
        <v>Europe</v>
      </c>
      <c r="AA1928" s="14" t="str">
        <f>IFERROR(__xludf.DUMMYFUNCTION("""COMPUTED_VALUE"""),"2002")</f>
        <v>2002</v>
      </c>
      <c r="AB1928" s="15" t="str">
        <f>IFERROR(__xludf.DUMMYFUNCTION("ARRAYFORMULA(VLOOKUP(A1928,IMPORTRANGE(""https://docs.google.com/spreadsheets/d/1BuTWp7qHGjWhqrnf-OmePP568O4A5Am9ttzvVdP67zw/edit#gid=1931367683"" ,""ENERGY!$A$2:$F$2692""), {2,3,4,5,6},0))"),"Europe")</f>
        <v>Europe</v>
      </c>
      <c r="AC1928" s="14" t="str">
        <f>IFERROR(__xludf.DUMMYFUNCTION("""COMPUTED_VALUE"""),"Portugal-Europe")</f>
        <v>Portugal-Europe</v>
      </c>
      <c r="AD1928" s="14" t="str">
        <f>IFERROR(__xludf.DUMMYFUNCTION("""COMPUTED_VALUE"""),"2002")</f>
        <v>2002</v>
      </c>
      <c r="AE1928" s="14">
        <f>IFERROR(__xludf.DUMMYFUNCTION("""COMPUTED_VALUE"""),23541.0)</f>
        <v>23541</v>
      </c>
      <c r="AF1928" s="14">
        <f>IFERROR(__xludf.DUMMYFUNCTION("""COMPUTED_VALUE"""),52361.0)</f>
        <v>52361</v>
      </c>
    </row>
    <row r="1929">
      <c r="A1929" s="12">
        <v>1928.0</v>
      </c>
      <c r="B1929" s="12" t="s">
        <v>227</v>
      </c>
      <c r="C1929" s="5" t="s">
        <v>75</v>
      </c>
      <c r="D1929" s="8"/>
      <c r="E1929" s="11">
        <v>78.0</v>
      </c>
      <c r="F1929" s="8"/>
      <c r="G1929" s="8"/>
      <c r="H1929" s="11">
        <v>0.297</v>
      </c>
      <c r="I1929" s="11">
        <v>0.958</v>
      </c>
      <c r="J1929" s="9" t="s">
        <v>64</v>
      </c>
      <c r="K1929" s="14" t="str">
        <f>IFERROR(__xludf.DUMMYFUNCTION("ARRAYFORMULA(VLOOKUP(A1929,IMPORTRANGE(""https://docs.google.com/spreadsheets/d/1BuTWp7qHGjWhqrnf-OmePP568O4A5Am9ttzvVdP67zw/edit#gid=1603210130"", ""TOURISM!$A$2:$F$2692""), {2,3,4,5,6},0))"),"Europe")</f>
        <v>Europe</v>
      </c>
      <c r="L1929" s="14">
        <f>IFERROR(__xludf.DUMMYFUNCTION("""COMPUTED_VALUE"""),7.634E9)</f>
        <v>7634000000</v>
      </c>
      <c r="M1929" s="14" t="str">
        <f>IFERROR(__xludf.DUMMYFUNCTION("""COMPUTED_VALUE"""),"Portugal-Europe")</f>
        <v>Portugal-Europe</v>
      </c>
      <c r="N1929" s="14" t="str">
        <f>IFERROR(__xludf.DUMMYFUNCTION("""COMPUTED_VALUE"""),"2003")</f>
        <v>2003</v>
      </c>
      <c r="O1929" s="14">
        <f>IFERROR(__xludf.DUMMYFUNCTION("""COMPUTED_VALUE"""),2.982E9)</f>
        <v>2982000000</v>
      </c>
      <c r="P1929" s="15">
        <f>IFERROR(__xludf.DUMMYFUNCTION("ARRAYFORMULA(VLOOKUP(A1929,IMPORTRANGE(""https://docs.google.com/spreadsheets/d/1BuTWp7qHGjWhqrnf-OmePP568O4A5Am9ttzvVdP67zw/edit#gid=771602874"" ,""HUMAN RESOURCES!$A$2:$M$2692""), {2,3,4,5,6,7,8,9,10,11,12,13},0))"),0.011)</f>
        <v>0.011</v>
      </c>
      <c r="Q1929" s="14">
        <f>IFERROR(__xludf.DUMMYFUNCTION("""COMPUTED_VALUE"""),0.004)</f>
        <v>0.004</v>
      </c>
      <c r="R1929" s="14">
        <f>IFERROR(__xludf.DUMMYFUNCTION("""COMPUTED_VALUE"""),81.0)</f>
        <v>81</v>
      </c>
      <c r="S1929" s="14">
        <f>IFERROR(__xludf.DUMMYFUNCTION("""COMPUTED_VALUE"""),74.0)</f>
        <v>74</v>
      </c>
      <c r="T1929" s="14">
        <f>IFERROR(__xludf.DUMMYFUNCTION("""COMPUTED_VALUE"""),0.158)</f>
        <v>0.158</v>
      </c>
      <c r="U1929" s="14">
        <f>IFERROR(__xludf.DUMMYFUNCTION("""COMPUTED_VALUE"""),0.674)</f>
        <v>0.674</v>
      </c>
      <c r="V1929" s="14">
        <f>IFERROR(__xludf.DUMMYFUNCTION("""COMPUTED_VALUE"""),0.168)</f>
        <v>0.168</v>
      </c>
      <c r="W1929" s="14">
        <f>IFERROR(__xludf.DUMMYFUNCTION("""COMPUTED_VALUE"""),1.0458821E7)</f>
        <v>10458821</v>
      </c>
      <c r="X1929" s="14">
        <f>IFERROR(__xludf.DUMMYFUNCTION("""COMPUTED_VALUE"""),0.563)</f>
        <v>0.563</v>
      </c>
      <c r="Y1929" s="14" t="str">
        <f>IFERROR(__xludf.DUMMYFUNCTION("""COMPUTED_VALUE"""),"Portugal-Europe")</f>
        <v>Portugal-Europe</v>
      </c>
      <c r="Z1929" s="14" t="str">
        <f>IFERROR(__xludf.DUMMYFUNCTION("""COMPUTED_VALUE"""),"Europe")</f>
        <v>Europe</v>
      </c>
      <c r="AA1929" s="14" t="str">
        <f>IFERROR(__xludf.DUMMYFUNCTION("""COMPUTED_VALUE"""),"2003")</f>
        <v>2003</v>
      </c>
      <c r="AB1929" s="15" t="str">
        <f>IFERROR(__xludf.DUMMYFUNCTION("ARRAYFORMULA(VLOOKUP(A1929,IMPORTRANGE(""https://docs.google.com/spreadsheets/d/1BuTWp7qHGjWhqrnf-OmePP568O4A5Am9ttzvVdP67zw/edit#gid=1931367683"" ,""ENERGY!$A$2:$F$2692""), {2,3,4,5,6},0))"),"Europe")</f>
        <v>Europe</v>
      </c>
      <c r="AC1929" s="14" t="str">
        <f>IFERROR(__xludf.DUMMYFUNCTION("""COMPUTED_VALUE"""),"Portugal-Europe")</f>
        <v>Portugal-Europe</v>
      </c>
      <c r="AD1929" s="14" t="str">
        <f>IFERROR(__xludf.DUMMYFUNCTION("""COMPUTED_VALUE"""),"2003")</f>
        <v>2003</v>
      </c>
      <c r="AE1929" s="14">
        <f>IFERROR(__xludf.DUMMYFUNCTION("""COMPUTED_VALUE"""),24152.0)</f>
        <v>24152</v>
      </c>
      <c r="AF1929" s="14">
        <f>IFERROR(__xludf.DUMMYFUNCTION("""COMPUTED_VALUE"""),57411.0)</f>
        <v>57411</v>
      </c>
    </row>
    <row r="1930">
      <c r="A1930" s="12">
        <v>1929.0</v>
      </c>
      <c r="B1930" s="12" t="s">
        <v>227</v>
      </c>
      <c r="C1930" s="5" t="s">
        <v>75</v>
      </c>
      <c r="D1930" s="8"/>
      <c r="E1930" s="11">
        <v>78.0</v>
      </c>
      <c r="F1930" s="8"/>
      <c r="G1930" s="8"/>
      <c r="H1930" s="11">
        <v>0.318</v>
      </c>
      <c r="I1930" s="11">
        <v>1.009</v>
      </c>
      <c r="J1930" s="9" t="s">
        <v>65</v>
      </c>
      <c r="K1930" s="14" t="str">
        <f>IFERROR(__xludf.DUMMYFUNCTION("ARRAYFORMULA(VLOOKUP(A1930,IMPORTRANGE(""https://docs.google.com/spreadsheets/d/1BuTWp7qHGjWhqrnf-OmePP568O4A5Am9ttzvVdP67zw/edit#gid=1603210130"", ""TOURISM!$A$2:$F$2692""), {2,3,4,5,6},0))"),"Europe")</f>
        <v>Europe</v>
      </c>
      <c r="L1930" s="14">
        <f>IFERROR(__xludf.DUMMYFUNCTION("""COMPUTED_VALUE"""),8.858E9)</f>
        <v>8858000000</v>
      </c>
      <c r="M1930" s="14" t="str">
        <f>IFERROR(__xludf.DUMMYFUNCTION("""COMPUTED_VALUE"""),"Portugal-Europe")</f>
        <v>Portugal-Europe</v>
      </c>
      <c r="N1930" s="14" t="str">
        <f>IFERROR(__xludf.DUMMYFUNCTION("""COMPUTED_VALUE"""),"2004")</f>
        <v>2004</v>
      </c>
      <c r="O1930" s="14">
        <f>IFERROR(__xludf.DUMMYFUNCTION("""COMPUTED_VALUE"""),3.369E9)</f>
        <v>3369000000</v>
      </c>
      <c r="P1930" s="15">
        <f>IFERROR(__xludf.DUMMYFUNCTION("ARRAYFORMULA(VLOOKUP(A1930,IMPORTRANGE(""https://docs.google.com/spreadsheets/d/1BuTWp7qHGjWhqrnf-OmePP568O4A5Am9ttzvVdP67zw/edit#gid=771602874"" ,""HUMAN RESOURCES!$A$2:$M$2692""), {2,3,4,5,6,7,8,9,10,11,12,13},0))"),0.01)</f>
        <v>0.01</v>
      </c>
      <c r="Q1930" s="14">
        <f>IFERROR(__xludf.DUMMYFUNCTION("""COMPUTED_VALUE"""),0.004)</f>
        <v>0.004</v>
      </c>
      <c r="R1930" s="14">
        <f>IFERROR(__xludf.DUMMYFUNCTION("""COMPUTED_VALUE"""),81.0)</f>
        <v>81</v>
      </c>
      <c r="S1930" s="14">
        <f>IFERROR(__xludf.DUMMYFUNCTION("""COMPUTED_VALUE"""),75.0)</f>
        <v>75</v>
      </c>
      <c r="T1930" s="14">
        <f>IFERROR(__xludf.DUMMYFUNCTION("""COMPUTED_VALUE"""),0.157)</f>
        <v>0.157</v>
      </c>
      <c r="U1930" s="14">
        <f>IFERROR(__xludf.DUMMYFUNCTION("""COMPUTED_VALUE"""),0.674)</f>
        <v>0.674</v>
      </c>
      <c r="V1930" s="14">
        <f>IFERROR(__xludf.DUMMYFUNCTION("""COMPUTED_VALUE"""),0.17)</f>
        <v>0.17</v>
      </c>
      <c r="W1930" s="14">
        <f>IFERROR(__xludf.DUMMYFUNCTION("""COMPUTED_VALUE"""),1.0483861E7)</f>
        <v>10483861</v>
      </c>
      <c r="X1930" s="14">
        <f>IFERROR(__xludf.DUMMYFUNCTION("""COMPUTED_VALUE"""),0.569)</f>
        <v>0.569</v>
      </c>
      <c r="Y1930" s="14" t="str">
        <f>IFERROR(__xludf.DUMMYFUNCTION("""COMPUTED_VALUE"""),"Portugal-Europe")</f>
        <v>Portugal-Europe</v>
      </c>
      <c r="Z1930" s="14" t="str">
        <f>IFERROR(__xludf.DUMMYFUNCTION("""COMPUTED_VALUE"""),"Europe")</f>
        <v>Europe</v>
      </c>
      <c r="AA1930" s="14" t="str">
        <f>IFERROR(__xludf.DUMMYFUNCTION("""COMPUTED_VALUE"""),"2004")</f>
        <v>2004</v>
      </c>
      <c r="AB1930" s="15" t="str">
        <f>IFERROR(__xludf.DUMMYFUNCTION("ARRAYFORMULA(VLOOKUP(A1930,IMPORTRANGE(""https://docs.google.com/spreadsheets/d/1BuTWp7qHGjWhqrnf-OmePP568O4A5Am9ttzvVdP67zw/edit#gid=1931367683"" ,""ENERGY!$A$2:$F$2692""), {2,3,4,5,6},0))"),"Europe")</f>
        <v>Europe</v>
      </c>
      <c r="AC1930" s="14" t="str">
        <f>IFERROR(__xludf.DUMMYFUNCTION("""COMPUTED_VALUE"""),"Portugal-Europe")</f>
        <v>Portugal-Europe</v>
      </c>
      <c r="AD1930" s="14" t="str">
        <f>IFERROR(__xludf.DUMMYFUNCTION("""COMPUTED_VALUE"""),"2004")</f>
        <v>2004</v>
      </c>
      <c r="AE1930" s="14">
        <f>IFERROR(__xludf.DUMMYFUNCTION("""COMPUTED_VALUE"""),24430.0)</f>
        <v>24430</v>
      </c>
      <c r="AF1930" s="14">
        <f>IFERROR(__xludf.DUMMYFUNCTION("""COMPUTED_VALUE"""),58357.0)</f>
        <v>58357</v>
      </c>
    </row>
    <row r="1931">
      <c r="A1931" s="12">
        <v>1930.0</v>
      </c>
      <c r="B1931" s="12" t="s">
        <v>227</v>
      </c>
      <c r="C1931" s="5" t="s">
        <v>75</v>
      </c>
      <c r="D1931" s="11">
        <v>0.438</v>
      </c>
      <c r="E1931" s="11">
        <v>54.0</v>
      </c>
      <c r="F1931" s="8"/>
      <c r="G1931" s="11">
        <v>328.0</v>
      </c>
      <c r="H1931" s="11">
        <v>0.35</v>
      </c>
      <c r="I1931" s="11">
        <v>1.089</v>
      </c>
      <c r="J1931" s="9" t="s">
        <v>66</v>
      </c>
      <c r="K1931" s="14" t="str">
        <f>IFERROR(__xludf.DUMMYFUNCTION("ARRAYFORMULA(VLOOKUP(A1931,IMPORTRANGE(""https://docs.google.com/spreadsheets/d/1BuTWp7qHGjWhqrnf-OmePP568O4A5Am9ttzvVdP67zw/edit#gid=1603210130"", ""TOURISM!$A$2:$F$2692""), {2,3,4,5,6},0))"),"Europe")</f>
        <v>Europe</v>
      </c>
      <c r="L1931" s="14">
        <f>IFERROR(__xludf.DUMMYFUNCTION("""COMPUTED_VALUE"""),9.008E9)</f>
        <v>9008000000</v>
      </c>
      <c r="M1931" s="14" t="str">
        <f>IFERROR(__xludf.DUMMYFUNCTION("""COMPUTED_VALUE"""),"Portugal-Europe")</f>
        <v>Portugal-Europe</v>
      </c>
      <c r="N1931" s="14" t="str">
        <f>IFERROR(__xludf.DUMMYFUNCTION("""COMPUTED_VALUE"""),"2005")</f>
        <v>2005</v>
      </c>
      <c r="O1931" s="14">
        <f>IFERROR(__xludf.DUMMYFUNCTION("""COMPUTED_VALUE"""),3.743E9)</f>
        <v>3743000000</v>
      </c>
      <c r="P1931" s="15">
        <f>IFERROR(__xludf.DUMMYFUNCTION("ARRAYFORMULA(VLOOKUP(A1931,IMPORTRANGE(""https://docs.google.com/spreadsheets/d/1BuTWp7qHGjWhqrnf-OmePP568O4A5Am9ttzvVdP67zw/edit#gid=771602874"" ,""HUMAN RESOURCES!$A$2:$M$2692""), {2,3,4,5,6,7,8,9,10,11,12,13},0))"),0.01)</f>
        <v>0.01</v>
      </c>
      <c r="Q1931" s="14">
        <f>IFERROR(__xludf.DUMMYFUNCTION("""COMPUTED_VALUE"""),0.004)</f>
        <v>0.004</v>
      </c>
      <c r="R1931" s="14">
        <f>IFERROR(__xludf.DUMMYFUNCTION("""COMPUTED_VALUE"""),81.0)</f>
        <v>81</v>
      </c>
      <c r="S1931" s="14">
        <f>IFERROR(__xludf.DUMMYFUNCTION("""COMPUTED_VALUE"""),75.0)</f>
        <v>75</v>
      </c>
      <c r="T1931" s="14">
        <f>IFERROR(__xludf.DUMMYFUNCTION("""COMPUTED_VALUE"""),0.156)</f>
        <v>0.156</v>
      </c>
      <c r="U1931" s="14">
        <f>IFERROR(__xludf.DUMMYFUNCTION("""COMPUTED_VALUE"""),0.673)</f>
        <v>0.673</v>
      </c>
      <c r="V1931" s="14">
        <f>IFERROR(__xludf.DUMMYFUNCTION("""COMPUTED_VALUE"""),0.171)</f>
        <v>0.171</v>
      </c>
      <c r="W1931" s="14">
        <f>IFERROR(__xludf.DUMMYFUNCTION("""COMPUTED_VALUE"""),1.050333E7)</f>
        <v>10503330</v>
      </c>
      <c r="X1931" s="14">
        <f>IFERROR(__xludf.DUMMYFUNCTION("""COMPUTED_VALUE"""),0.575)</f>
        <v>0.575</v>
      </c>
      <c r="Y1931" s="14" t="str">
        <f>IFERROR(__xludf.DUMMYFUNCTION("""COMPUTED_VALUE"""),"Portugal-Europe")</f>
        <v>Portugal-Europe</v>
      </c>
      <c r="Z1931" s="14" t="str">
        <f>IFERROR(__xludf.DUMMYFUNCTION("""COMPUTED_VALUE"""),"Europe")</f>
        <v>Europe</v>
      </c>
      <c r="AA1931" s="14" t="str">
        <f>IFERROR(__xludf.DUMMYFUNCTION("""COMPUTED_VALUE"""),"2005")</f>
        <v>2005</v>
      </c>
      <c r="AB1931" s="15" t="str">
        <f>IFERROR(__xludf.DUMMYFUNCTION("ARRAYFORMULA(VLOOKUP(A1931,IMPORTRANGE(""https://docs.google.com/spreadsheets/d/1BuTWp7qHGjWhqrnf-OmePP568O4A5Am9ttzvVdP67zw/edit#gid=1931367683"" ,""ENERGY!$A$2:$F$2692""), {2,3,4,5,6},0))"),"Europe")</f>
        <v>Europe</v>
      </c>
      <c r="AC1931" s="14" t="str">
        <f>IFERROR(__xludf.DUMMYFUNCTION("""COMPUTED_VALUE"""),"Portugal-Europe")</f>
        <v>Portugal-Europe</v>
      </c>
      <c r="AD1931" s="14" t="str">
        <f>IFERROR(__xludf.DUMMYFUNCTION("""COMPUTED_VALUE"""),"2008")</f>
        <v>2008</v>
      </c>
      <c r="AE1931" s="14">
        <f>IFERROR(__xludf.DUMMYFUNCTION("""COMPUTED_VALUE"""),25302.0)</f>
        <v>25302</v>
      </c>
      <c r="AF1931" s="14">
        <f>IFERROR(__xludf.DUMMYFUNCTION("""COMPUTED_VALUE"""),60865.0)</f>
        <v>60865</v>
      </c>
    </row>
    <row r="1932">
      <c r="A1932" s="12">
        <v>1931.0</v>
      </c>
      <c r="B1932" s="12" t="s">
        <v>227</v>
      </c>
      <c r="C1932" s="5" t="s">
        <v>75</v>
      </c>
      <c r="D1932" s="11">
        <v>0.438</v>
      </c>
      <c r="E1932" s="11">
        <v>7.0</v>
      </c>
      <c r="F1932" s="8"/>
      <c r="G1932" s="11">
        <v>328.0</v>
      </c>
      <c r="H1932" s="11">
        <v>0.38</v>
      </c>
      <c r="I1932" s="11">
        <v>1.16</v>
      </c>
      <c r="J1932" s="9" t="s">
        <v>67</v>
      </c>
      <c r="K1932" s="14" t="str">
        <f>IFERROR(__xludf.DUMMYFUNCTION("ARRAYFORMULA(VLOOKUP(A1932,IMPORTRANGE(""https://docs.google.com/spreadsheets/d/1BuTWp7qHGjWhqrnf-OmePP568O4A5Am9ttzvVdP67zw/edit#gid=1603210130"", ""TOURISM!$A$2:$F$2692""), {2,3,4,5,6},0))"),"Europe")</f>
        <v>Europe</v>
      </c>
      <c r="L1932" s="14">
        <f>IFERROR(__xludf.DUMMYFUNCTION("""COMPUTED_VALUE"""),1.0438E10)</f>
        <v>10438000000</v>
      </c>
      <c r="M1932" s="14" t="str">
        <f>IFERROR(__xludf.DUMMYFUNCTION("""COMPUTED_VALUE"""),"Portugal-Europe")</f>
        <v>Portugal-Europe</v>
      </c>
      <c r="N1932" s="14" t="str">
        <f>IFERROR(__xludf.DUMMYFUNCTION("""COMPUTED_VALUE"""),"2006")</f>
        <v>2006</v>
      </c>
      <c r="O1932" s="14">
        <f>IFERROR(__xludf.DUMMYFUNCTION("""COMPUTED_VALUE"""),4.142E9)</f>
        <v>4142000000</v>
      </c>
      <c r="P1932" s="15">
        <f>IFERROR(__xludf.DUMMYFUNCTION("ARRAYFORMULA(VLOOKUP(A1932,IMPORTRANGE(""https://docs.google.com/spreadsheets/d/1BuTWp7qHGjWhqrnf-OmePP568O4A5Am9ttzvVdP67zw/edit#gid=771602874"" ,""HUMAN RESOURCES!$A$2:$M$2692""), {2,3,4,5,6,7,8,9,10,11,12,13},0))"),0.01)</f>
        <v>0.01</v>
      </c>
      <c r="Q1932" s="14">
        <f>IFERROR(__xludf.DUMMYFUNCTION("""COMPUTED_VALUE"""),0.004)</f>
        <v>0.004</v>
      </c>
      <c r="R1932" s="14">
        <f>IFERROR(__xludf.DUMMYFUNCTION("""COMPUTED_VALUE"""),82.0)</f>
        <v>82</v>
      </c>
      <c r="S1932" s="14">
        <f>IFERROR(__xludf.DUMMYFUNCTION("""COMPUTED_VALUE"""),75.0)</f>
        <v>75</v>
      </c>
      <c r="T1932" s="14">
        <f>IFERROR(__xludf.DUMMYFUNCTION("""COMPUTED_VALUE"""),0.155)</f>
        <v>0.155</v>
      </c>
      <c r="U1932" s="14">
        <f>IFERROR(__xludf.DUMMYFUNCTION("""COMPUTED_VALUE"""),0.672)</f>
        <v>0.672</v>
      </c>
      <c r="V1932" s="14">
        <f>IFERROR(__xludf.DUMMYFUNCTION("""COMPUTED_VALUE"""),0.173)</f>
        <v>0.173</v>
      </c>
      <c r="W1932" s="14">
        <f>IFERROR(__xludf.DUMMYFUNCTION("""COMPUTED_VALUE"""),1.0522288E7)</f>
        <v>10522288</v>
      </c>
      <c r="X1932" s="14">
        <f>IFERROR(__xludf.DUMMYFUNCTION("""COMPUTED_VALUE"""),0.581)</f>
        <v>0.581</v>
      </c>
      <c r="Y1932" s="14" t="str">
        <f>IFERROR(__xludf.DUMMYFUNCTION("""COMPUTED_VALUE"""),"Portugal-Europe")</f>
        <v>Portugal-Europe</v>
      </c>
      <c r="Z1932" s="14" t="str">
        <f>IFERROR(__xludf.DUMMYFUNCTION("""COMPUTED_VALUE"""),"Europe")</f>
        <v>Europe</v>
      </c>
      <c r="AA1932" s="14" t="str">
        <f>IFERROR(__xludf.DUMMYFUNCTION("""COMPUTED_VALUE"""),"2006")</f>
        <v>2006</v>
      </c>
      <c r="AB1932" s="15" t="str">
        <f>IFERROR(__xludf.DUMMYFUNCTION("ARRAYFORMULA(VLOOKUP(A1932,IMPORTRANGE(""https://docs.google.com/spreadsheets/d/1BuTWp7qHGjWhqrnf-OmePP568O4A5Am9ttzvVdP67zw/edit#gid=1931367683"" ,""ENERGY!$A$2:$F$2692""), {2,3,4,5,6},0))"),"Europe")</f>
        <v>Europe</v>
      </c>
      <c r="AC1932" s="14" t="str">
        <f>IFERROR(__xludf.DUMMYFUNCTION("""COMPUTED_VALUE"""),"Portugal-Europe")</f>
        <v>Portugal-Europe</v>
      </c>
      <c r="AD1932" s="14" t="str">
        <f>IFERROR(__xludf.DUMMYFUNCTION("""COMPUTED_VALUE"""),"2012")</f>
        <v>2012</v>
      </c>
      <c r="AE1932" s="14">
        <f>IFERROR(__xludf.DUMMYFUNCTION("""COMPUTED_VALUE"""),24698.0)</f>
        <v>24698</v>
      </c>
      <c r="AF1932" s="14">
        <f>IFERROR(__xludf.DUMMYFUNCTION("""COMPUTED_VALUE"""),59108.0)</f>
        <v>59108</v>
      </c>
    </row>
    <row r="1933">
      <c r="A1933" s="12">
        <v>1932.0</v>
      </c>
      <c r="B1933" s="12" t="s">
        <v>227</v>
      </c>
      <c r="C1933" s="5" t="s">
        <v>75</v>
      </c>
      <c r="D1933" s="11">
        <v>0.429</v>
      </c>
      <c r="E1933" s="11">
        <v>6.0</v>
      </c>
      <c r="F1933" s="8"/>
      <c r="G1933" s="11">
        <v>328.0</v>
      </c>
      <c r="H1933" s="11">
        <v>0.421</v>
      </c>
      <c r="I1933" s="11">
        <v>1.277</v>
      </c>
      <c r="J1933" s="9" t="s">
        <v>68</v>
      </c>
      <c r="K1933" s="14" t="str">
        <f>IFERROR(__xludf.DUMMYFUNCTION("ARRAYFORMULA(VLOOKUP(A1933,IMPORTRANGE(""https://docs.google.com/spreadsheets/d/1BuTWp7qHGjWhqrnf-OmePP568O4A5Am9ttzvVdP67zw/edit#gid=1603210130"", ""TOURISM!$A$2:$F$2692""), {2,3,4,5,6},0))"),"Europe")</f>
        <v>Europe</v>
      </c>
      <c r="L1933" s="14">
        <f>IFERROR(__xludf.DUMMYFUNCTION("""COMPUTED_VALUE"""),1.2917E10)</f>
        <v>12917000000</v>
      </c>
      <c r="M1933" s="14" t="str">
        <f>IFERROR(__xludf.DUMMYFUNCTION("""COMPUTED_VALUE"""),"Portugal-Europe")</f>
        <v>Portugal-Europe</v>
      </c>
      <c r="N1933" s="14" t="str">
        <f>IFERROR(__xludf.DUMMYFUNCTION("""COMPUTED_VALUE"""),"2007")</f>
        <v>2007</v>
      </c>
      <c r="O1933" s="14">
        <f>IFERROR(__xludf.DUMMYFUNCTION("""COMPUTED_VALUE"""),4.864E9)</f>
        <v>4864000000</v>
      </c>
      <c r="P1933" s="15">
        <f>IFERROR(__xludf.DUMMYFUNCTION("ARRAYFORMULA(VLOOKUP(A1933,IMPORTRANGE(""https://docs.google.com/spreadsheets/d/1BuTWp7qHGjWhqrnf-OmePP568O4A5Am9ttzvVdP67zw/edit#gid=771602874"" ,""HUMAN RESOURCES!$A$2:$M$2692""), {2,3,4,5,6,7,8,9,10,11,12,13},0))"),0.01)</f>
        <v>0.01</v>
      </c>
      <c r="Q1933" s="14">
        <f>IFERROR(__xludf.DUMMYFUNCTION("""COMPUTED_VALUE"""),0.003)</f>
        <v>0.003</v>
      </c>
      <c r="R1933" s="14">
        <f>IFERROR(__xludf.DUMMYFUNCTION("""COMPUTED_VALUE"""),82.0)</f>
        <v>82</v>
      </c>
      <c r="S1933" s="14">
        <f>IFERROR(__xludf.DUMMYFUNCTION("""COMPUTED_VALUE"""),75.0)</f>
        <v>75</v>
      </c>
      <c r="T1933" s="14">
        <f>IFERROR(__xludf.DUMMYFUNCTION("""COMPUTED_VALUE"""),0.154)</f>
        <v>0.154</v>
      </c>
      <c r="U1933" s="14">
        <f>IFERROR(__xludf.DUMMYFUNCTION("""COMPUTED_VALUE"""),0.671)</f>
        <v>0.671</v>
      </c>
      <c r="V1933" s="14">
        <f>IFERROR(__xludf.DUMMYFUNCTION("""COMPUTED_VALUE"""),0.175)</f>
        <v>0.175</v>
      </c>
      <c r="W1933" s="14">
        <f>IFERROR(__xludf.DUMMYFUNCTION("""COMPUTED_VALUE"""),1.0542964E7)</f>
        <v>10542964</v>
      </c>
      <c r="X1933" s="14">
        <f>IFERROR(__xludf.DUMMYFUNCTION("""COMPUTED_VALUE"""),0.587)</f>
        <v>0.587</v>
      </c>
      <c r="Y1933" s="14" t="str">
        <f>IFERROR(__xludf.DUMMYFUNCTION("""COMPUTED_VALUE"""),"Portugal-Europe")</f>
        <v>Portugal-Europe</v>
      </c>
      <c r="Z1933" s="14" t="str">
        <f>IFERROR(__xludf.DUMMYFUNCTION("""COMPUTED_VALUE"""),"Europe")</f>
        <v>Europe</v>
      </c>
      <c r="AA1933" s="14" t="str">
        <f>IFERROR(__xludf.DUMMYFUNCTION("""COMPUTED_VALUE"""),"2007")</f>
        <v>2007</v>
      </c>
      <c r="AB1933" s="15" t="str">
        <f>IFERROR(__xludf.DUMMYFUNCTION("ARRAYFORMULA(VLOOKUP(A1933,IMPORTRANGE(""https://docs.google.com/spreadsheets/d/1BuTWp7qHGjWhqrnf-OmePP568O4A5Am9ttzvVdP67zw/edit#gid=1931367683"" ,""ENERGY!$A$2:$F$2692""), {2,3,4,5,6},0))"),"Europe")</f>
        <v>Europe</v>
      </c>
      <c r="AC1933" s="14" t="str">
        <f>IFERROR(__xludf.DUMMYFUNCTION("""COMPUTED_VALUE"""),"Portugal-Europe")</f>
        <v>Portugal-Europe</v>
      </c>
      <c r="AD1933" s="14" t="str">
        <f>IFERROR(__xludf.DUMMYFUNCTION("""COMPUTED_VALUE"""),"2010")</f>
        <v>2010</v>
      </c>
      <c r="AE1933" s="14">
        <f>IFERROR(__xludf.DUMMYFUNCTION("""COMPUTED_VALUE"""),26467.0)</f>
        <v>26467</v>
      </c>
      <c r="AF1933" s="14">
        <f>IFERROR(__xludf.DUMMYFUNCTION("""COMPUTED_VALUE"""),65309.0)</f>
        <v>65309</v>
      </c>
    </row>
    <row r="1934">
      <c r="A1934" s="12">
        <v>1933.0</v>
      </c>
      <c r="B1934" s="12" t="s">
        <v>227</v>
      </c>
      <c r="C1934" s="5" t="s">
        <v>75</v>
      </c>
      <c r="D1934" s="11">
        <v>0.425</v>
      </c>
      <c r="E1934" s="11">
        <v>5.0</v>
      </c>
      <c r="F1934" s="8"/>
      <c r="G1934" s="11">
        <v>328.0</v>
      </c>
      <c r="H1934" s="11">
        <v>0.441</v>
      </c>
      <c r="I1934" s="11">
        <v>1.329</v>
      </c>
      <c r="J1934" s="9" t="s">
        <v>69</v>
      </c>
      <c r="K1934" s="14" t="str">
        <f>IFERROR(__xludf.DUMMYFUNCTION("ARRAYFORMULA(VLOOKUP(A1934,IMPORTRANGE(""https://docs.google.com/spreadsheets/d/1BuTWp7qHGjWhqrnf-OmePP568O4A5Am9ttzvVdP67zw/edit#gid=1603210130"", ""TOURISM!$A$2:$F$2692""), {2,3,4,5,6},0))"),"Europe")</f>
        <v>Europe</v>
      </c>
      <c r="L1934" s="14">
        <f>IFERROR(__xludf.DUMMYFUNCTION("""COMPUTED_VALUE"""),1.4047E10)</f>
        <v>14047000000</v>
      </c>
      <c r="M1934" s="14" t="str">
        <f>IFERROR(__xludf.DUMMYFUNCTION("""COMPUTED_VALUE"""),"Portugal-Europe")</f>
        <v>Portugal-Europe</v>
      </c>
      <c r="N1934" s="14" t="str">
        <f>IFERROR(__xludf.DUMMYFUNCTION("""COMPUTED_VALUE"""),"2008")</f>
        <v>2008</v>
      </c>
      <c r="O1934" s="14">
        <f>IFERROR(__xludf.DUMMYFUNCTION("""COMPUTED_VALUE"""),5.283E9)</f>
        <v>5283000000</v>
      </c>
      <c r="P1934" s="15">
        <f>IFERROR(__xludf.DUMMYFUNCTION("ARRAYFORMULA(VLOOKUP(A1934,IMPORTRANGE(""https://docs.google.com/spreadsheets/d/1BuTWp7qHGjWhqrnf-OmePP568O4A5Am9ttzvVdP67zw/edit#gid=771602874"" ,""HUMAN RESOURCES!$A$2:$M$2692""), {2,3,4,5,6,7,8,9,10,11,12,13},0))"),0.01)</f>
        <v>0.01</v>
      </c>
      <c r="Q1934" s="14">
        <f>IFERROR(__xludf.DUMMYFUNCTION("""COMPUTED_VALUE"""),0.003)</f>
        <v>0.003</v>
      </c>
      <c r="R1934" s="14">
        <f>IFERROR(__xludf.DUMMYFUNCTION("""COMPUTED_VALUE"""),82.0)</f>
        <v>82</v>
      </c>
      <c r="S1934" s="14">
        <f>IFERROR(__xludf.DUMMYFUNCTION("""COMPUTED_VALUE"""),76.0)</f>
        <v>76</v>
      </c>
      <c r="T1934" s="14">
        <f>IFERROR(__xludf.DUMMYFUNCTION("""COMPUTED_VALUE"""),0.153)</f>
        <v>0.153</v>
      </c>
      <c r="U1934" s="14">
        <f>IFERROR(__xludf.DUMMYFUNCTION("""COMPUTED_VALUE"""),0.67)</f>
        <v>0.67</v>
      </c>
      <c r="V1934" s="14">
        <f>IFERROR(__xludf.DUMMYFUNCTION("""COMPUTED_VALUE"""),0.176)</f>
        <v>0.176</v>
      </c>
      <c r="W1934" s="14">
        <f>IFERROR(__xludf.DUMMYFUNCTION("""COMPUTED_VALUE"""),1.0558177E7)</f>
        <v>10558177</v>
      </c>
      <c r="X1934" s="14">
        <f>IFERROR(__xludf.DUMMYFUNCTION("""COMPUTED_VALUE"""),0.594)</f>
        <v>0.594</v>
      </c>
      <c r="Y1934" s="14" t="str">
        <f>IFERROR(__xludf.DUMMYFUNCTION("""COMPUTED_VALUE"""),"Portugal-Europe")</f>
        <v>Portugal-Europe</v>
      </c>
      <c r="Z1934" s="14" t="str">
        <f>IFERROR(__xludf.DUMMYFUNCTION("""COMPUTED_VALUE"""),"Europe")</f>
        <v>Europe</v>
      </c>
      <c r="AA1934" s="14" t="str">
        <f>IFERROR(__xludf.DUMMYFUNCTION("""COMPUTED_VALUE"""),"2008")</f>
        <v>2008</v>
      </c>
      <c r="AB1934" s="15" t="str">
        <f>IFERROR(__xludf.DUMMYFUNCTION("ARRAYFORMULA(VLOOKUP(A1934,IMPORTRANGE(""https://docs.google.com/spreadsheets/d/1BuTWp7qHGjWhqrnf-OmePP568O4A5Am9ttzvVdP67zw/edit#gid=1931367683"" ,""ENERGY!$A$2:$F$2692""), {2,3,4,5,6},0))"),"Europe")</f>
        <v>Europe</v>
      </c>
      <c r="AC1934" s="14" t="str">
        <f>IFERROR(__xludf.DUMMYFUNCTION("""COMPUTED_VALUE"""),"Portugal-Europe")</f>
        <v>Portugal-Europe</v>
      </c>
      <c r="AD1934" s="14" t="str">
        <f>IFERROR(__xludf.DUMMYFUNCTION("""COMPUTED_VALUE"""),"2007")</f>
        <v>2007</v>
      </c>
      <c r="AE1934" s="14">
        <f>IFERROR(__xludf.DUMMYFUNCTION("""COMPUTED_VALUE"""),25831.0)</f>
        <v>25831</v>
      </c>
      <c r="AF1934" s="14">
        <f>IFERROR(__xludf.DUMMYFUNCTION("""COMPUTED_VALUE"""),63175.0)</f>
        <v>63175</v>
      </c>
    </row>
    <row r="1935">
      <c r="A1935" s="12">
        <v>1934.0</v>
      </c>
      <c r="B1935" s="12" t="s">
        <v>227</v>
      </c>
      <c r="C1935" s="5" t="s">
        <v>75</v>
      </c>
      <c r="D1935" s="11">
        <v>0.423</v>
      </c>
      <c r="E1935" s="11">
        <v>5.0</v>
      </c>
      <c r="F1935" s="8"/>
      <c r="G1935" s="11">
        <v>328.0</v>
      </c>
      <c r="H1935" s="11">
        <v>0.483</v>
      </c>
      <c r="I1935" s="11">
        <v>1.115</v>
      </c>
      <c r="J1935" s="9" t="s">
        <v>70</v>
      </c>
      <c r="K1935" s="14" t="str">
        <f>IFERROR(__xludf.DUMMYFUNCTION("ARRAYFORMULA(VLOOKUP(A1935,IMPORTRANGE(""https://docs.google.com/spreadsheets/d/1BuTWp7qHGjWhqrnf-OmePP568O4A5Am9ttzvVdP67zw/edit#gid=1603210130"", ""TOURISM!$A$2:$F$2692""), {2,3,4,5,6},0))"),"Europe")</f>
        <v>Europe</v>
      </c>
      <c r="L1935" s="14">
        <f>IFERROR(__xludf.DUMMYFUNCTION("""COMPUTED_VALUE"""),1.2315E10)</f>
        <v>12315000000</v>
      </c>
      <c r="M1935" s="14" t="str">
        <f>IFERROR(__xludf.DUMMYFUNCTION("""COMPUTED_VALUE"""),"Portugal-Europe")</f>
        <v>Portugal-Europe</v>
      </c>
      <c r="N1935" s="14" t="str">
        <f>IFERROR(__xludf.DUMMYFUNCTION("""COMPUTED_VALUE"""),"2009")</f>
        <v>2009</v>
      </c>
      <c r="O1935" s="14">
        <f>IFERROR(__xludf.DUMMYFUNCTION("""COMPUTED_VALUE"""),4.604E9)</f>
        <v>4604000000</v>
      </c>
      <c r="P1935" s="15">
        <f>IFERROR(__xludf.DUMMYFUNCTION("ARRAYFORMULA(VLOOKUP(A1935,IMPORTRANGE(""https://docs.google.com/spreadsheets/d/1BuTWp7qHGjWhqrnf-OmePP568O4A5Am9ttzvVdP67zw/edit#gid=771602874"" ,""HUMAN RESOURCES!$A$2:$M$2692""), {2,3,4,5,6,7,8,9,10,11,12,13},0))"),0.009)</f>
        <v>0.009</v>
      </c>
      <c r="Q1935" s="14">
        <f>IFERROR(__xludf.DUMMYFUNCTION("""COMPUTED_VALUE"""),0.003)</f>
        <v>0.003</v>
      </c>
      <c r="R1935" s="14">
        <f>IFERROR(__xludf.DUMMYFUNCTION("""COMPUTED_VALUE"""),82.0)</f>
        <v>82</v>
      </c>
      <c r="S1935" s="14">
        <f>IFERROR(__xludf.DUMMYFUNCTION("""COMPUTED_VALUE"""),76.0)</f>
        <v>76</v>
      </c>
      <c r="T1935" s="14">
        <f>IFERROR(__xludf.DUMMYFUNCTION("""COMPUTED_VALUE"""),0.153)</f>
        <v>0.153</v>
      </c>
      <c r="U1935" s="14">
        <f>IFERROR(__xludf.DUMMYFUNCTION("""COMPUTED_VALUE"""),0.669)</f>
        <v>0.669</v>
      </c>
      <c r="V1935" s="14">
        <f>IFERROR(__xludf.DUMMYFUNCTION("""COMPUTED_VALUE"""),0.178)</f>
        <v>0.178</v>
      </c>
      <c r="W1935" s="14">
        <f>IFERROR(__xludf.DUMMYFUNCTION("""COMPUTED_VALUE"""),1.0568247E7)</f>
        <v>10568247</v>
      </c>
      <c r="X1935" s="14">
        <f>IFERROR(__xludf.DUMMYFUNCTION("""COMPUTED_VALUE"""),0.6)</f>
        <v>0.6</v>
      </c>
      <c r="Y1935" s="14" t="str">
        <f>IFERROR(__xludf.DUMMYFUNCTION("""COMPUTED_VALUE"""),"Portugal-Europe")</f>
        <v>Portugal-Europe</v>
      </c>
      <c r="Z1935" s="14" t="str">
        <f>IFERROR(__xludf.DUMMYFUNCTION("""COMPUTED_VALUE"""),"Europe")</f>
        <v>Europe</v>
      </c>
      <c r="AA1935" s="14" t="str">
        <f>IFERROR(__xludf.DUMMYFUNCTION("""COMPUTED_VALUE"""),"2009")</f>
        <v>2009</v>
      </c>
      <c r="AB1935" s="15" t="str">
        <f>IFERROR(__xludf.DUMMYFUNCTION("ARRAYFORMULA(VLOOKUP(A1935,IMPORTRANGE(""https://docs.google.com/spreadsheets/d/1BuTWp7qHGjWhqrnf-OmePP568O4A5Am9ttzvVdP67zw/edit#gid=1931367683"" ,""ENERGY!$A$2:$F$2692""), {2,3,4,5,6},0))"),"Europe")</f>
        <v>Europe</v>
      </c>
      <c r="AC1935" s="14" t="str">
        <f>IFERROR(__xludf.DUMMYFUNCTION("""COMPUTED_VALUE"""),"Portugal-Europe")</f>
        <v>Portugal-Europe</v>
      </c>
      <c r="AD1935" s="14" t="str">
        <f>IFERROR(__xludf.DUMMYFUNCTION("""COMPUTED_VALUE"""),"2011")</f>
        <v>2011</v>
      </c>
      <c r="AE1935" s="14">
        <f>IFERROR(__xludf.DUMMYFUNCTION("""COMPUTED_VALUE"""),25129.0)</f>
        <v>25129</v>
      </c>
      <c r="AF1935" s="14">
        <f>IFERROR(__xludf.DUMMYFUNCTION("""COMPUTED_VALUE"""),61276.0)</f>
        <v>61276</v>
      </c>
    </row>
    <row r="1936">
      <c r="A1936" s="12">
        <v>1935.0</v>
      </c>
      <c r="B1936" s="12" t="s">
        <v>227</v>
      </c>
      <c r="C1936" s="5" t="s">
        <v>75</v>
      </c>
      <c r="D1936" s="11">
        <v>0.426</v>
      </c>
      <c r="E1936" s="11">
        <v>5.0</v>
      </c>
      <c r="F1936" s="8"/>
      <c r="G1936" s="11">
        <v>298.0</v>
      </c>
      <c r="H1936" s="11">
        <v>0.533</v>
      </c>
      <c r="I1936" s="11">
        <v>1.153</v>
      </c>
      <c r="J1936" s="9" t="s">
        <v>71</v>
      </c>
      <c r="K1936" s="14" t="str">
        <f>IFERROR(__xludf.DUMMYFUNCTION("ARRAYFORMULA(VLOOKUP(A1936,IMPORTRANGE(""https://docs.google.com/spreadsheets/d/1BuTWp7qHGjWhqrnf-OmePP568O4A5Am9ttzvVdP67zw/edit#gid=1603210130"", ""TOURISM!$A$2:$F$2692""), {2,3,4,5,6},0))"),"Europe")</f>
        <v>Europe</v>
      </c>
      <c r="L1936" s="14">
        <f>IFERROR(__xludf.DUMMYFUNCTION("""COMPUTED_VALUE"""),1.2969E10)</f>
        <v>12969000000</v>
      </c>
      <c r="M1936" s="14" t="str">
        <f>IFERROR(__xludf.DUMMYFUNCTION("""COMPUTED_VALUE"""),"Portugal-Europe")</f>
        <v>Portugal-Europe</v>
      </c>
      <c r="N1936" s="14" t="str">
        <f>IFERROR(__xludf.DUMMYFUNCTION("""COMPUTED_VALUE"""),"2010")</f>
        <v>2010</v>
      </c>
      <c r="O1936" s="14">
        <f>IFERROR(__xludf.DUMMYFUNCTION("""COMPUTED_VALUE"""),4.691E9)</f>
        <v>4691000000</v>
      </c>
      <c r="P1936" s="15">
        <f>IFERROR(__xludf.DUMMYFUNCTION("ARRAYFORMULA(VLOOKUP(A1936,IMPORTRANGE(""https://docs.google.com/spreadsheets/d/1BuTWp7qHGjWhqrnf-OmePP568O4A5Am9ttzvVdP67zw/edit#gid=771602874"" ,""HUMAN RESOURCES!$A$2:$M$2692""), {2,3,4,5,6,7,8,9,10,11,12,13},0))"),0.01)</f>
        <v>0.01</v>
      </c>
      <c r="Q1936" s="14">
        <f>IFERROR(__xludf.DUMMYFUNCTION("""COMPUTED_VALUE"""),0.003)</f>
        <v>0.003</v>
      </c>
      <c r="R1936" s="14">
        <f>IFERROR(__xludf.DUMMYFUNCTION("""COMPUTED_VALUE"""),82.0)</f>
        <v>82</v>
      </c>
      <c r="S1936" s="14">
        <f>IFERROR(__xludf.DUMMYFUNCTION("""COMPUTED_VALUE"""),76.0)</f>
        <v>76</v>
      </c>
      <c r="T1936" s="14">
        <f>IFERROR(__xludf.DUMMYFUNCTION("""COMPUTED_VALUE"""),0.151)</f>
        <v>0.151</v>
      </c>
      <c r="U1936" s="14">
        <f>IFERROR(__xludf.DUMMYFUNCTION("""COMPUTED_VALUE"""),0.668)</f>
        <v>0.668</v>
      </c>
      <c r="V1936" s="14">
        <f>IFERROR(__xludf.DUMMYFUNCTION("""COMPUTED_VALUE"""),0.18)</f>
        <v>0.18</v>
      </c>
      <c r="W1936" s="14">
        <f>IFERROR(__xludf.DUMMYFUNCTION("""COMPUTED_VALUE"""),1.05731E7)</f>
        <v>10573100</v>
      </c>
      <c r="X1936" s="14">
        <f>IFERROR(__xludf.DUMMYFUNCTION("""COMPUTED_VALUE"""),0.606)</f>
        <v>0.606</v>
      </c>
      <c r="Y1936" s="14" t="str">
        <f>IFERROR(__xludf.DUMMYFUNCTION("""COMPUTED_VALUE"""),"Portugal-Europe")</f>
        <v>Portugal-Europe</v>
      </c>
      <c r="Z1936" s="14" t="str">
        <f>IFERROR(__xludf.DUMMYFUNCTION("""COMPUTED_VALUE"""),"Europe")</f>
        <v>Europe</v>
      </c>
      <c r="AA1936" s="14" t="str">
        <f>IFERROR(__xludf.DUMMYFUNCTION("""COMPUTED_VALUE"""),"2010")</f>
        <v>2010</v>
      </c>
      <c r="AB1936" s="15" t="str">
        <f>IFERROR(__xludf.DUMMYFUNCTION("ARRAYFORMULA(VLOOKUP(A1936,IMPORTRANGE(""https://docs.google.com/spreadsheets/d/1BuTWp7qHGjWhqrnf-OmePP568O4A5Am9ttzvVdP67zw/edit#gid=1931367683"" ,""ENERGY!$A$2:$F$2692""), {2,3,4,5,6},0))"),"Europe")</f>
        <v>Europe</v>
      </c>
      <c r="AC1936" s="14" t="str">
        <f>IFERROR(__xludf.DUMMYFUNCTION("""COMPUTED_VALUE"""),"Portugal-Europe")</f>
        <v>Portugal-Europe</v>
      </c>
      <c r="AD1936" s="14" t="str">
        <f>IFERROR(__xludf.DUMMYFUNCTION("""COMPUTED_VALUE"""),"2007")</f>
        <v>2007</v>
      </c>
      <c r="AE1936" s="14">
        <f>IFERROR(__xludf.DUMMYFUNCTION("""COMPUTED_VALUE"""),25824.0)</f>
        <v>25824</v>
      </c>
      <c r="AF1936" s="14">
        <f>IFERROR(__xludf.DUMMYFUNCTION("""COMPUTED_VALUE"""),66820.0)</f>
        <v>66820</v>
      </c>
    </row>
    <row r="1937">
      <c r="A1937" s="12">
        <v>1936.0</v>
      </c>
      <c r="B1937" s="12" t="s">
        <v>227</v>
      </c>
      <c r="C1937" s="5" t="s">
        <v>75</v>
      </c>
      <c r="D1937" s="11">
        <v>0.427</v>
      </c>
      <c r="E1937" s="11">
        <v>4.0</v>
      </c>
      <c r="F1937" s="8"/>
      <c r="G1937" s="11">
        <v>275.0</v>
      </c>
      <c r="H1937" s="11">
        <v>0.552</v>
      </c>
      <c r="I1937" s="11">
        <v>1.164</v>
      </c>
      <c r="J1937" s="9" t="s">
        <v>72</v>
      </c>
      <c r="K1937" s="14" t="str">
        <f>IFERROR(__xludf.DUMMYFUNCTION("ARRAYFORMULA(VLOOKUP(A1937,IMPORTRANGE(""https://docs.google.com/spreadsheets/d/1BuTWp7qHGjWhqrnf-OmePP568O4A5Am9ttzvVdP67zw/edit#gid=1603210130"", ""TOURISM!$A$2:$F$2692""), {2,3,4,5,6},0))"),"Europe")</f>
        <v>Europe</v>
      </c>
      <c r="L1937" s="14">
        <f>IFERROR(__xludf.DUMMYFUNCTION("""COMPUTED_VALUE"""),1.4882E10)</f>
        <v>14882000000</v>
      </c>
      <c r="M1937" s="14" t="str">
        <f>IFERROR(__xludf.DUMMYFUNCTION("""COMPUTED_VALUE"""),"Portugal-Europe")</f>
        <v>Portugal-Europe</v>
      </c>
      <c r="N1937" s="14" t="str">
        <f>IFERROR(__xludf.DUMMYFUNCTION("""COMPUTED_VALUE"""),"2011")</f>
        <v>2011</v>
      </c>
      <c r="O1937" s="14">
        <f>IFERROR(__xludf.DUMMYFUNCTION("""COMPUTED_VALUE"""),4.948E9)</f>
        <v>4948000000</v>
      </c>
      <c r="P1937" s="15">
        <f>IFERROR(__xludf.DUMMYFUNCTION("ARRAYFORMULA(VLOOKUP(A1937,IMPORTRANGE(""https://docs.google.com/spreadsheets/d/1BuTWp7qHGjWhqrnf-OmePP568O4A5Am9ttzvVdP67zw/edit#gid=771602874"" ,""HUMAN RESOURCES!$A$2:$M$2692""), {2,3,4,5,6,7,8,9,10,11,12,13},0))"),0.009)</f>
        <v>0.009</v>
      </c>
      <c r="Q1937" s="14">
        <f>IFERROR(__xludf.DUMMYFUNCTION("""COMPUTED_VALUE"""),0.003)</f>
        <v>0.003</v>
      </c>
      <c r="R1937" s="14">
        <f>IFERROR(__xludf.DUMMYFUNCTION("""COMPUTED_VALUE"""),84.0)</f>
        <v>84</v>
      </c>
      <c r="S1937" s="14">
        <f>IFERROR(__xludf.DUMMYFUNCTION("""COMPUTED_VALUE"""),77.0)</f>
        <v>77</v>
      </c>
      <c r="T1937" s="14">
        <f>IFERROR(__xludf.DUMMYFUNCTION("""COMPUTED_VALUE"""),0.15)</f>
        <v>0.15</v>
      </c>
      <c r="U1937" s="14">
        <f>IFERROR(__xludf.DUMMYFUNCTION("""COMPUTED_VALUE"""),0.667)</f>
        <v>0.667</v>
      </c>
      <c r="V1937" s="14">
        <f>IFERROR(__xludf.DUMMYFUNCTION("""COMPUTED_VALUE"""),0.182)</f>
        <v>0.182</v>
      </c>
      <c r="W1937" s="14">
        <f>IFERROR(__xludf.DUMMYFUNCTION("""COMPUTED_VALUE"""),1.055756E7)</f>
        <v>10557560</v>
      </c>
      <c r="X1937" s="14">
        <f>IFERROR(__xludf.DUMMYFUNCTION("""COMPUTED_VALUE"""),0.612)</f>
        <v>0.612</v>
      </c>
      <c r="Y1937" s="14" t="str">
        <f>IFERROR(__xludf.DUMMYFUNCTION("""COMPUTED_VALUE"""),"Portugal-Europe")</f>
        <v>Portugal-Europe</v>
      </c>
      <c r="Z1937" s="14" t="str">
        <f>IFERROR(__xludf.DUMMYFUNCTION("""COMPUTED_VALUE"""),"Europe")</f>
        <v>Europe</v>
      </c>
      <c r="AA1937" s="14" t="str">
        <f>IFERROR(__xludf.DUMMYFUNCTION("""COMPUTED_VALUE"""),"2011")</f>
        <v>2011</v>
      </c>
      <c r="AB1937" s="15" t="str">
        <f>IFERROR(__xludf.DUMMYFUNCTION("ARRAYFORMULA(VLOOKUP(A1937,IMPORTRANGE(""https://docs.google.com/spreadsheets/d/1BuTWp7qHGjWhqrnf-OmePP568O4A5Am9ttzvVdP67zw/edit#gid=1931367683"" ,""ENERGY!$A$2:$F$2692""), {2,3,4,5,6},0))"),"Europe")</f>
        <v>Europe</v>
      </c>
      <c r="AC1937" s="14" t="str">
        <f>IFERROR(__xludf.DUMMYFUNCTION("""COMPUTED_VALUE"""),"Portugal-Europe")</f>
        <v>Portugal-Europe</v>
      </c>
      <c r="AD1937" s="14" t="str">
        <f>IFERROR(__xludf.DUMMYFUNCTION("""COMPUTED_VALUE"""),"2006")</f>
        <v>2006</v>
      </c>
      <c r="AE1937" s="14">
        <f>IFERROR(__xludf.DUMMYFUNCTION("""COMPUTED_VALUE"""),24815.0)</f>
        <v>24815</v>
      </c>
      <c r="AF1937" s="14">
        <f>IFERROR(__xludf.DUMMYFUNCTION("""COMPUTED_VALUE"""),62863.0)</f>
        <v>62863</v>
      </c>
    </row>
    <row r="1938">
      <c r="A1938" s="12">
        <v>1937.0</v>
      </c>
      <c r="B1938" s="12" t="s">
        <v>227</v>
      </c>
      <c r="C1938" s="5" t="s">
        <v>75</v>
      </c>
      <c r="D1938" s="11">
        <v>0.42</v>
      </c>
      <c r="E1938" s="11">
        <v>4.0</v>
      </c>
      <c r="F1938" s="11">
        <v>29.0</v>
      </c>
      <c r="G1938" s="11">
        <v>275.0</v>
      </c>
      <c r="H1938" s="11">
        <v>0.603</v>
      </c>
      <c r="I1938" s="11">
        <v>1.14</v>
      </c>
      <c r="J1938" s="9" t="s">
        <v>73</v>
      </c>
      <c r="K1938" s="14" t="str">
        <f>IFERROR(__xludf.DUMMYFUNCTION("ARRAYFORMULA(VLOOKUP(A1938,IMPORTRANGE(""https://docs.google.com/spreadsheets/d/1BuTWp7qHGjWhqrnf-OmePP568O4A5Am9ttzvVdP67zw/edit#gid=1603210130"", ""TOURISM!$A$2:$F$2692""), {2,3,4,5,6},0))"),"Europe")</f>
        <v>Europe</v>
      </c>
      <c r="L1938" s="14">
        <f>IFERROR(__xludf.DUMMYFUNCTION("""COMPUTED_VALUE"""),1.4559E10)</f>
        <v>14559000000</v>
      </c>
      <c r="M1938" s="14" t="str">
        <f>IFERROR(__xludf.DUMMYFUNCTION("""COMPUTED_VALUE"""),"Portugal-Europe")</f>
        <v>Portugal-Europe</v>
      </c>
      <c r="N1938" s="14" t="str">
        <f>IFERROR(__xludf.DUMMYFUNCTION("""COMPUTED_VALUE"""),"2012")</f>
        <v>2012</v>
      </c>
      <c r="O1938" s="14">
        <f>IFERROR(__xludf.DUMMYFUNCTION("""COMPUTED_VALUE"""),4.49E9)</f>
        <v>4490000000</v>
      </c>
      <c r="P1938" s="15">
        <f>IFERROR(__xludf.DUMMYFUNCTION("ARRAYFORMULA(VLOOKUP(A1938,IMPORTRANGE(""https://docs.google.com/spreadsheets/d/1BuTWp7qHGjWhqrnf-OmePP568O4A5Am9ttzvVdP67zw/edit#gid=771602874"" ,""HUMAN RESOURCES!$A$2:$M$2692""), {2,3,4,5,6,7,8,9,10,11,12,13},0))"),0.009)</f>
        <v>0.009</v>
      </c>
      <c r="Q1938" s="14">
        <f>IFERROR(__xludf.DUMMYFUNCTION("""COMPUTED_VALUE"""),0.003)</f>
        <v>0.003</v>
      </c>
      <c r="R1938" s="14">
        <f>IFERROR(__xludf.DUMMYFUNCTION("""COMPUTED_VALUE"""),84.0)</f>
        <v>84</v>
      </c>
      <c r="S1938" s="14">
        <f>IFERROR(__xludf.DUMMYFUNCTION("""COMPUTED_VALUE"""),77.0)</f>
        <v>77</v>
      </c>
      <c r="T1938" s="14">
        <f>IFERROR(__xludf.DUMMYFUNCTION("""COMPUTED_VALUE"""),0.149)</f>
        <v>0.149</v>
      </c>
      <c r="U1938" s="14">
        <f>IFERROR(__xludf.DUMMYFUNCTION("""COMPUTED_VALUE"""),0.666)</f>
        <v>0.666</v>
      </c>
      <c r="V1938" s="14">
        <f>IFERROR(__xludf.DUMMYFUNCTION("""COMPUTED_VALUE"""),0.185)</f>
        <v>0.185</v>
      </c>
      <c r="W1938" s="14">
        <f>IFERROR(__xludf.DUMMYFUNCTION("""COMPUTED_VALUE"""),1.0514844E7)</f>
        <v>10514844</v>
      </c>
      <c r="X1938" s="14">
        <f>IFERROR(__xludf.DUMMYFUNCTION("""COMPUTED_VALUE"""),0.618)</f>
        <v>0.618</v>
      </c>
      <c r="Y1938" s="14" t="str">
        <f>IFERROR(__xludf.DUMMYFUNCTION("""COMPUTED_VALUE"""),"Portugal-Europe")</f>
        <v>Portugal-Europe</v>
      </c>
      <c r="Z1938" s="14" t="str">
        <f>IFERROR(__xludf.DUMMYFUNCTION("""COMPUTED_VALUE"""),"Europe")</f>
        <v>Europe</v>
      </c>
      <c r="AA1938" s="14" t="str">
        <f>IFERROR(__xludf.DUMMYFUNCTION("""COMPUTED_VALUE"""),"2012")</f>
        <v>2012</v>
      </c>
      <c r="AB1938" s="15" t="str">
        <f>IFERROR(__xludf.DUMMYFUNCTION("ARRAYFORMULA(VLOOKUP(A1938,IMPORTRANGE(""https://docs.google.com/spreadsheets/d/1BuTWp7qHGjWhqrnf-OmePP568O4A5Am9ttzvVdP67zw/edit#gid=1931367683"" ,""ENERGY!$A$2:$F$2692""), {2,3,4,5,6},0))"),"Europe")</f>
        <v>Europe</v>
      </c>
      <c r="AC1938" s="14" t="str">
        <f>IFERROR(__xludf.DUMMYFUNCTION("""COMPUTED_VALUE"""),"Portugal-Europe")</f>
        <v>Portugal-Europe</v>
      </c>
      <c r="AD1938" s="14" t="str">
        <f>IFERROR(__xludf.DUMMYFUNCTION("""COMPUTED_VALUE"""),"2011")</f>
        <v>2011</v>
      </c>
      <c r="AE1938" s="14">
        <f>IFERROR(__xludf.DUMMYFUNCTION("""COMPUTED_VALUE"""),24673.0)</f>
        <v>24673</v>
      </c>
      <c r="AF1938" s="14">
        <f>IFERROR(__xludf.DUMMYFUNCTION("""COMPUTED_VALUE"""),62966.0)</f>
        <v>62966</v>
      </c>
    </row>
    <row r="1939">
      <c r="A1939" s="12">
        <v>1938.0</v>
      </c>
      <c r="B1939" s="12" t="s">
        <v>228</v>
      </c>
      <c r="C1939" s="5" t="s">
        <v>84</v>
      </c>
      <c r="D1939" s="8"/>
      <c r="E1939" s="8"/>
      <c r="F1939" s="8"/>
      <c r="G1939" s="8"/>
      <c r="H1939" s="11">
        <v>0.105</v>
      </c>
      <c r="I1939" s="11">
        <v>0.347</v>
      </c>
      <c r="J1939" s="9" t="s">
        <v>60</v>
      </c>
      <c r="K1939" s="14" t="str">
        <f>IFERROR(__xludf.DUMMYFUNCTION("ARRAYFORMULA(VLOOKUP(A1939,IMPORTRANGE(""https://docs.google.com/spreadsheets/d/1BuTWp7qHGjWhqrnf-OmePP568O4A5Am9ttzvVdP67zw/edit#gid=1603210130"", ""TOURISM!$A$2:$F$2692""), {2,3,4,5,6},0))"),"The Americas")</f>
        <v>The Americas</v>
      </c>
      <c r="L1939" s="14">
        <f>IFERROR(__xludf.DUMMYFUNCTION("""COMPUTED_VALUE"""),2.388E9)</f>
        <v>2388000000</v>
      </c>
      <c r="M1939" s="14" t="str">
        <f>IFERROR(__xludf.DUMMYFUNCTION("""COMPUTED_VALUE"""),"Puerto Rico-The Americas")</f>
        <v>Puerto Rico-The Americas</v>
      </c>
      <c r="N1939" s="14" t="str">
        <f>IFERROR(__xludf.DUMMYFUNCTION("""COMPUTED_VALUE"""),"2000")</f>
        <v>2000</v>
      </c>
      <c r="O1939" s="14">
        <f>IFERROR(__xludf.DUMMYFUNCTION("""COMPUTED_VALUE"""),1.333E9)</f>
        <v>1333000000</v>
      </c>
      <c r="P1939" s="15">
        <f>IFERROR(__xludf.DUMMYFUNCTION("ARRAYFORMULA(VLOOKUP(A1939,IMPORTRANGE(""https://docs.google.com/spreadsheets/d/1BuTWp7qHGjWhqrnf-OmePP568O4A5Am9ttzvVdP67zw/edit#gid=771602874"" ,""HUMAN RESOURCES!$A$2:$M$2692""), {2,3,4,5,6,7,8,9,10,11,12,13},0))"),0.016)</f>
        <v>0.016</v>
      </c>
      <c r="Q1939" s="14"/>
      <c r="R1939" s="14">
        <f>IFERROR(__xludf.DUMMYFUNCTION("""COMPUTED_VALUE"""),81.0)</f>
        <v>81</v>
      </c>
      <c r="S1939" s="14">
        <f>IFERROR(__xludf.DUMMYFUNCTION("""COMPUTED_VALUE"""),73.0)</f>
        <v>73</v>
      </c>
      <c r="T1939" s="14">
        <f>IFERROR(__xludf.DUMMYFUNCTION("""COMPUTED_VALUE"""),0.236)</f>
        <v>0.236</v>
      </c>
      <c r="U1939" s="14">
        <f>IFERROR(__xludf.DUMMYFUNCTION("""COMPUTED_VALUE"""),0.651)</f>
        <v>0.651</v>
      </c>
      <c r="V1939" s="14">
        <f>IFERROR(__xludf.DUMMYFUNCTION("""COMPUTED_VALUE"""),0.113)</f>
        <v>0.113</v>
      </c>
      <c r="W1939" s="14">
        <f>IFERROR(__xludf.DUMMYFUNCTION("""COMPUTED_VALUE"""),3810605.0)</f>
        <v>3810605</v>
      </c>
      <c r="X1939" s="14">
        <f>IFERROR(__xludf.DUMMYFUNCTION("""COMPUTED_VALUE"""),0.944)</f>
        <v>0.944</v>
      </c>
      <c r="Y1939" s="14" t="str">
        <f>IFERROR(__xludf.DUMMYFUNCTION("""COMPUTED_VALUE"""),"Puerto Rico-The Americas")</f>
        <v>Puerto Rico-The Americas</v>
      </c>
      <c r="Z1939" s="14" t="str">
        <f>IFERROR(__xludf.DUMMYFUNCTION("""COMPUTED_VALUE"""),"The Americas")</f>
        <v>The Americas</v>
      </c>
      <c r="AA1939" s="14" t="str">
        <f>IFERROR(__xludf.DUMMYFUNCTION("""COMPUTED_VALUE"""),"2000")</f>
        <v>2000</v>
      </c>
      <c r="AB1939" s="15" t="str">
        <f>IFERROR(__xludf.DUMMYFUNCTION("ARRAYFORMULA(VLOOKUP(A1939,IMPORTRANGE(""https://docs.google.com/spreadsheets/d/1BuTWp7qHGjWhqrnf-OmePP568O4A5Am9ttzvVdP67zw/edit#gid=1931367683"" ,""ENERGY!$A$2:$F$2692""), {2,3,4,5,6},0))"),"The Americas")</f>
        <v>The Americas</v>
      </c>
      <c r="AC1939" s="14" t="str">
        <f>IFERROR(__xludf.DUMMYFUNCTION("""COMPUTED_VALUE"""),"Puerto Rico-The Americas")</f>
        <v>Puerto Rico-The Americas</v>
      </c>
      <c r="AD1939" s="14" t="str">
        <f>IFERROR(__xludf.DUMMYFUNCTION("""COMPUTED_VALUE"""),"2000")</f>
        <v>2000</v>
      </c>
      <c r="AE1939" s="14"/>
      <c r="AF1939" s="14"/>
    </row>
    <row r="1940">
      <c r="A1940" s="12">
        <v>1939.0</v>
      </c>
      <c r="B1940" s="12" t="s">
        <v>228</v>
      </c>
      <c r="C1940" s="5" t="s">
        <v>84</v>
      </c>
      <c r="D1940" s="8"/>
      <c r="E1940" s="8"/>
      <c r="F1940" s="8"/>
      <c r="G1940" s="8"/>
      <c r="H1940" s="11">
        <v>0.156</v>
      </c>
      <c r="I1940" s="11">
        <v>0.429</v>
      </c>
      <c r="J1940" s="9" t="s">
        <v>62</v>
      </c>
      <c r="K1940" s="14" t="str">
        <f>IFERROR(__xludf.DUMMYFUNCTION("ARRAYFORMULA(VLOOKUP(A1940,IMPORTRANGE(""https://docs.google.com/spreadsheets/d/1BuTWp7qHGjWhqrnf-OmePP568O4A5Am9ttzvVdP67zw/edit#gid=1603210130"", ""TOURISM!$A$2:$F$2692""), {2,3,4,5,6},0))"),"The Americas")</f>
        <v>The Americas</v>
      </c>
      <c r="L1940" s="14">
        <f>IFERROR(__xludf.DUMMYFUNCTION("""COMPUTED_VALUE"""),2.728E9)</f>
        <v>2728000000</v>
      </c>
      <c r="M1940" s="14" t="str">
        <f>IFERROR(__xludf.DUMMYFUNCTION("""COMPUTED_VALUE"""),"Puerto Rico-The Americas")</f>
        <v>Puerto Rico-The Americas</v>
      </c>
      <c r="N1940" s="14" t="str">
        <f>IFERROR(__xludf.DUMMYFUNCTION("""COMPUTED_VALUE"""),"2001")</f>
        <v>2001</v>
      </c>
      <c r="O1940" s="14">
        <f>IFERROR(__xludf.DUMMYFUNCTION("""COMPUTED_VALUE"""),1.456E9)</f>
        <v>1456000000</v>
      </c>
      <c r="P1940" s="15">
        <f>IFERROR(__xludf.DUMMYFUNCTION("ARRAYFORMULA(VLOOKUP(A1940,IMPORTRANGE(""https://docs.google.com/spreadsheets/d/1BuTWp7qHGjWhqrnf-OmePP568O4A5Am9ttzvVdP67zw/edit#gid=771602874"" ,""HUMAN RESOURCES!$A$2:$M$2692""), {2,3,4,5,6,7,8,9,10,11,12,13},0))"),0.015)</f>
        <v>0.015</v>
      </c>
      <c r="Q1940" s="14"/>
      <c r="R1940" s="14">
        <f>IFERROR(__xludf.DUMMYFUNCTION("""COMPUTED_VALUE"""),81.0)</f>
        <v>81</v>
      </c>
      <c r="S1940" s="14">
        <f>IFERROR(__xludf.DUMMYFUNCTION("""COMPUTED_VALUE"""),73.0)</f>
        <v>73</v>
      </c>
      <c r="T1940" s="14">
        <f>IFERROR(__xludf.DUMMYFUNCTION("""COMPUTED_VALUE"""),0.233)</f>
        <v>0.233</v>
      </c>
      <c r="U1940" s="14">
        <f>IFERROR(__xludf.DUMMYFUNCTION("""COMPUTED_VALUE"""),0.652)</f>
        <v>0.652</v>
      </c>
      <c r="V1940" s="14">
        <f>IFERROR(__xludf.DUMMYFUNCTION("""COMPUTED_VALUE"""),0.115)</f>
        <v>0.115</v>
      </c>
      <c r="W1940" s="14">
        <f>IFERROR(__xludf.DUMMYFUNCTION("""COMPUTED_VALUE"""),3818774.0)</f>
        <v>3818774</v>
      </c>
      <c r="X1940" s="14">
        <f>IFERROR(__xludf.DUMMYFUNCTION("""COMPUTED_VALUE"""),0.943)</f>
        <v>0.943</v>
      </c>
      <c r="Y1940" s="14" t="str">
        <f>IFERROR(__xludf.DUMMYFUNCTION("""COMPUTED_VALUE"""),"Puerto Rico-The Americas")</f>
        <v>Puerto Rico-The Americas</v>
      </c>
      <c r="Z1940" s="14" t="str">
        <f>IFERROR(__xludf.DUMMYFUNCTION("""COMPUTED_VALUE"""),"The Americas")</f>
        <v>The Americas</v>
      </c>
      <c r="AA1940" s="14" t="str">
        <f>IFERROR(__xludf.DUMMYFUNCTION("""COMPUTED_VALUE"""),"2001")</f>
        <v>2001</v>
      </c>
      <c r="AB1940" s="15" t="str">
        <f>IFERROR(__xludf.DUMMYFUNCTION("ARRAYFORMULA(VLOOKUP(A1940,IMPORTRANGE(""https://docs.google.com/spreadsheets/d/1BuTWp7qHGjWhqrnf-OmePP568O4A5Am9ttzvVdP67zw/edit#gid=1931367683"" ,""ENERGY!$A$2:$F$2692""), {2,3,4,5,6},0))"),"The Americas")</f>
        <v>The Americas</v>
      </c>
      <c r="AC1940" s="14" t="str">
        <f>IFERROR(__xludf.DUMMYFUNCTION("""COMPUTED_VALUE"""),"Puerto Rico-The Americas")</f>
        <v>Puerto Rico-The Americas</v>
      </c>
      <c r="AD1940" s="14" t="str">
        <f>IFERROR(__xludf.DUMMYFUNCTION("""COMPUTED_VALUE"""),"2001")</f>
        <v>2001</v>
      </c>
      <c r="AE1940" s="14"/>
      <c r="AF1940" s="14"/>
    </row>
    <row r="1941">
      <c r="A1941" s="12">
        <v>1940.0</v>
      </c>
      <c r="B1941" s="12" t="s">
        <v>228</v>
      </c>
      <c r="C1941" s="5" t="s">
        <v>84</v>
      </c>
      <c r="D1941" s="8"/>
      <c r="E1941" s="8"/>
      <c r="F1941" s="8"/>
      <c r="G1941" s="8"/>
      <c r="H1941" s="11">
        <v>0.175</v>
      </c>
      <c r="I1941" s="11">
        <v>0.434</v>
      </c>
      <c r="J1941" s="9" t="s">
        <v>63</v>
      </c>
      <c r="K1941" s="14" t="str">
        <f>IFERROR(__xludf.DUMMYFUNCTION("ARRAYFORMULA(VLOOKUP(A1941,IMPORTRANGE(""https://docs.google.com/spreadsheets/d/1BuTWp7qHGjWhqrnf-OmePP568O4A5Am9ttzvVdP67zw/edit#gid=1603210130"", ""TOURISM!$A$2:$F$2692""), {2,3,4,5,6},0))"),"The Americas")</f>
        <v>The Americas</v>
      </c>
      <c r="L1941" s="14">
        <f>IFERROR(__xludf.DUMMYFUNCTION("""COMPUTED_VALUE"""),2.486E9)</f>
        <v>2486000000</v>
      </c>
      <c r="M1941" s="14" t="str">
        <f>IFERROR(__xludf.DUMMYFUNCTION("""COMPUTED_VALUE"""),"Puerto Rico-The Americas")</f>
        <v>Puerto Rico-The Americas</v>
      </c>
      <c r="N1941" s="14" t="str">
        <f>IFERROR(__xludf.DUMMYFUNCTION("""COMPUTED_VALUE"""),"2002")</f>
        <v>2002</v>
      </c>
      <c r="O1941" s="14">
        <f>IFERROR(__xludf.DUMMYFUNCTION("""COMPUTED_VALUE"""),1.319E9)</f>
        <v>1319000000</v>
      </c>
      <c r="P1941" s="15">
        <f>IFERROR(__xludf.DUMMYFUNCTION("ARRAYFORMULA(VLOOKUP(A1941,IMPORTRANGE(""https://docs.google.com/spreadsheets/d/1BuTWp7qHGjWhqrnf-OmePP568O4A5Am9ttzvVdP67zw/edit#gid=771602874"" ,""HUMAN RESOURCES!$A$2:$M$2692""), {2,3,4,5,6,7,8,9,10,11,12,13},0))"),0.014)</f>
        <v>0.014</v>
      </c>
      <c r="Q1941" s="14"/>
      <c r="R1941" s="14">
        <f>IFERROR(__xludf.DUMMYFUNCTION("""COMPUTED_VALUE"""),82.0)</f>
        <v>82</v>
      </c>
      <c r="S1941" s="14">
        <f>IFERROR(__xludf.DUMMYFUNCTION("""COMPUTED_VALUE"""),74.0)</f>
        <v>74</v>
      </c>
      <c r="T1941" s="14">
        <f>IFERROR(__xludf.DUMMYFUNCTION("""COMPUTED_VALUE"""),0.23)</f>
        <v>0.23</v>
      </c>
      <c r="U1941" s="14">
        <f>IFERROR(__xludf.DUMMYFUNCTION("""COMPUTED_VALUE"""),0.653)</f>
        <v>0.653</v>
      </c>
      <c r="V1941" s="14">
        <f>IFERROR(__xludf.DUMMYFUNCTION("""COMPUTED_VALUE"""),0.117)</f>
        <v>0.117</v>
      </c>
      <c r="W1941" s="14">
        <f>IFERROR(__xludf.DUMMYFUNCTION("""COMPUTED_VALUE"""),3823701.0)</f>
        <v>3823701</v>
      </c>
      <c r="X1941" s="14">
        <f>IFERROR(__xludf.DUMMYFUNCTION("""COMPUTED_VALUE"""),0.943)</f>
        <v>0.943</v>
      </c>
      <c r="Y1941" s="14" t="str">
        <f>IFERROR(__xludf.DUMMYFUNCTION("""COMPUTED_VALUE"""),"Puerto Rico-The Americas")</f>
        <v>Puerto Rico-The Americas</v>
      </c>
      <c r="Z1941" s="14" t="str">
        <f>IFERROR(__xludf.DUMMYFUNCTION("""COMPUTED_VALUE"""),"The Americas")</f>
        <v>The Americas</v>
      </c>
      <c r="AA1941" s="14" t="str">
        <f>IFERROR(__xludf.DUMMYFUNCTION("""COMPUTED_VALUE"""),"2002")</f>
        <v>2002</v>
      </c>
      <c r="AB1941" s="15" t="str">
        <f>IFERROR(__xludf.DUMMYFUNCTION("ARRAYFORMULA(VLOOKUP(A1941,IMPORTRANGE(""https://docs.google.com/spreadsheets/d/1BuTWp7qHGjWhqrnf-OmePP568O4A5Am9ttzvVdP67zw/edit#gid=1931367683"" ,""ENERGY!$A$2:$F$2692""), {2,3,4,5,6},0))"),"The Americas")</f>
        <v>The Americas</v>
      </c>
      <c r="AC1941" s="14" t="str">
        <f>IFERROR(__xludf.DUMMYFUNCTION("""COMPUTED_VALUE"""),"Puerto Rico-The Americas")</f>
        <v>Puerto Rico-The Americas</v>
      </c>
      <c r="AD1941" s="14" t="str">
        <f>IFERROR(__xludf.DUMMYFUNCTION("""COMPUTED_VALUE"""),"2002")</f>
        <v>2002</v>
      </c>
      <c r="AE1941" s="14"/>
      <c r="AF1941" s="14"/>
    </row>
    <row r="1942">
      <c r="A1942" s="12">
        <v>1941.0</v>
      </c>
      <c r="B1942" s="12" t="s">
        <v>228</v>
      </c>
      <c r="C1942" s="5" t="s">
        <v>84</v>
      </c>
      <c r="D1942" s="8"/>
      <c r="E1942" s="11">
        <v>7.0</v>
      </c>
      <c r="F1942" s="8"/>
      <c r="G1942" s="8"/>
      <c r="H1942" s="11">
        <v>0.197</v>
      </c>
      <c r="I1942" s="11">
        <v>0.452</v>
      </c>
      <c r="J1942" s="9" t="s">
        <v>64</v>
      </c>
      <c r="K1942" s="14" t="str">
        <f>IFERROR(__xludf.DUMMYFUNCTION("ARRAYFORMULA(VLOOKUP(A1942,IMPORTRANGE(""https://docs.google.com/spreadsheets/d/1BuTWp7qHGjWhqrnf-OmePP568O4A5Am9ttzvVdP67zw/edit#gid=1603210130"", ""TOURISM!$A$2:$F$2692""), {2,3,4,5,6},0))"),"The Americas")</f>
        <v>The Americas</v>
      </c>
      <c r="L1942" s="14">
        <f>IFERROR(__xludf.DUMMYFUNCTION("""COMPUTED_VALUE"""),2.677E9)</f>
        <v>2677000000</v>
      </c>
      <c r="M1942" s="14" t="str">
        <f>IFERROR(__xludf.DUMMYFUNCTION("""COMPUTED_VALUE"""),"Puerto Rico-The Americas")</f>
        <v>Puerto Rico-The Americas</v>
      </c>
      <c r="N1942" s="14" t="str">
        <f>IFERROR(__xludf.DUMMYFUNCTION("""COMPUTED_VALUE"""),"2003")</f>
        <v>2003</v>
      </c>
      <c r="O1942" s="14">
        <f>IFERROR(__xludf.DUMMYFUNCTION("""COMPUTED_VALUE"""),1.42E9)</f>
        <v>1420000000</v>
      </c>
      <c r="P1942" s="15">
        <f>IFERROR(__xludf.DUMMYFUNCTION("ARRAYFORMULA(VLOOKUP(A1942,IMPORTRANGE(""https://docs.google.com/spreadsheets/d/1BuTWp7qHGjWhqrnf-OmePP568O4A5Am9ttzvVdP67zw/edit#gid=771602874"" ,""HUMAN RESOURCES!$A$2:$M$2692""), {2,3,4,5,6,7,8,9,10,11,12,13},0))"),0.013)</f>
        <v>0.013</v>
      </c>
      <c r="Q1942" s="14"/>
      <c r="R1942" s="14">
        <f>IFERROR(__xludf.DUMMYFUNCTION("""COMPUTED_VALUE"""),82.0)</f>
        <v>82</v>
      </c>
      <c r="S1942" s="14">
        <f>IFERROR(__xludf.DUMMYFUNCTION("""COMPUTED_VALUE"""),74.0)</f>
        <v>74</v>
      </c>
      <c r="T1942" s="14">
        <f>IFERROR(__xludf.DUMMYFUNCTION("""COMPUTED_VALUE"""),0.227)</f>
        <v>0.227</v>
      </c>
      <c r="U1942" s="14">
        <f>IFERROR(__xludf.DUMMYFUNCTION("""COMPUTED_VALUE"""),0.654)</f>
        <v>0.654</v>
      </c>
      <c r="V1942" s="14">
        <f>IFERROR(__xludf.DUMMYFUNCTION("""COMPUTED_VALUE"""),0.118)</f>
        <v>0.118</v>
      </c>
      <c r="W1942" s="14">
        <f>IFERROR(__xludf.DUMMYFUNCTION("""COMPUTED_VALUE"""),3826095.0)</f>
        <v>3826095</v>
      </c>
      <c r="X1942" s="14">
        <f>IFERROR(__xludf.DUMMYFUNCTION("""COMPUTED_VALUE"""),0.942)</f>
        <v>0.942</v>
      </c>
      <c r="Y1942" s="14" t="str">
        <f>IFERROR(__xludf.DUMMYFUNCTION("""COMPUTED_VALUE"""),"Puerto Rico-The Americas")</f>
        <v>Puerto Rico-The Americas</v>
      </c>
      <c r="Z1942" s="14" t="str">
        <f>IFERROR(__xludf.DUMMYFUNCTION("""COMPUTED_VALUE"""),"The Americas")</f>
        <v>The Americas</v>
      </c>
      <c r="AA1942" s="14" t="str">
        <f>IFERROR(__xludf.DUMMYFUNCTION("""COMPUTED_VALUE"""),"2003")</f>
        <v>2003</v>
      </c>
      <c r="AB1942" s="15" t="str">
        <f>IFERROR(__xludf.DUMMYFUNCTION("ARRAYFORMULA(VLOOKUP(A1942,IMPORTRANGE(""https://docs.google.com/spreadsheets/d/1BuTWp7qHGjWhqrnf-OmePP568O4A5Am9ttzvVdP67zw/edit#gid=1931367683"" ,""ENERGY!$A$2:$F$2692""), {2,3,4,5,6},0))"),"The Americas")</f>
        <v>The Americas</v>
      </c>
      <c r="AC1942" s="14" t="str">
        <f>IFERROR(__xludf.DUMMYFUNCTION("""COMPUTED_VALUE"""),"Puerto Rico-The Americas")</f>
        <v>Puerto Rico-The Americas</v>
      </c>
      <c r="AD1942" s="14" t="str">
        <f>IFERROR(__xludf.DUMMYFUNCTION("""COMPUTED_VALUE"""),"2003")</f>
        <v>2003</v>
      </c>
      <c r="AE1942" s="14"/>
      <c r="AF1942" s="14"/>
    </row>
    <row r="1943">
      <c r="A1943" s="12">
        <v>1942.0</v>
      </c>
      <c r="B1943" s="12" t="s">
        <v>228</v>
      </c>
      <c r="C1943" s="5" t="s">
        <v>84</v>
      </c>
      <c r="D1943" s="8"/>
      <c r="E1943" s="11">
        <v>7.0</v>
      </c>
      <c r="F1943" s="8"/>
      <c r="G1943" s="8"/>
      <c r="H1943" s="11">
        <v>0.221</v>
      </c>
      <c r="I1943" s="11">
        <v>0.49</v>
      </c>
      <c r="J1943" s="9" t="s">
        <v>65</v>
      </c>
      <c r="K1943" s="14" t="str">
        <f>IFERROR(__xludf.DUMMYFUNCTION("ARRAYFORMULA(VLOOKUP(A1943,IMPORTRANGE(""https://docs.google.com/spreadsheets/d/1BuTWp7qHGjWhqrnf-OmePP568O4A5Am9ttzvVdP67zw/edit#gid=1603210130"", ""TOURISM!$A$2:$F$2692""), {2,3,4,5,6},0))"),"The Americas")</f>
        <v>The Americas</v>
      </c>
      <c r="L1943" s="14">
        <f>IFERROR(__xludf.DUMMYFUNCTION("""COMPUTED_VALUE"""),3.024E9)</f>
        <v>3024000000</v>
      </c>
      <c r="M1943" s="14" t="str">
        <f>IFERROR(__xludf.DUMMYFUNCTION("""COMPUTED_VALUE"""),"Puerto Rico-The Americas")</f>
        <v>Puerto Rico-The Americas</v>
      </c>
      <c r="N1943" s="14" t="str">
        <f>IFERROR(__xludf.DUMMYFUNCTION("""COMPUTED_VALUE"""),"2004")</f>
        <v>2004</v>
      </c>
      <c r="O1943" s="14">
        <f>IFERROR(__xludf.DUMMYFUNCTION("""COMPUTED_VALUE"""),1.584E9)</f>
        <v>1584000000</v>
      </c>
      <c r="P1943" s="15">
        <f>IFERROR(__xludf.DUMMYFUNCTION("ARRAYFORMULA(VLOOKUP(A1943,IMPORTRANGE(""https://docs.google.com/spreadsheets/d/1BuTWp7qHGjWhqrnf-OmePP568O4A5Am9ttzvVdP67zw/edit#gid=771602874"" ,""HUMAN RESOURCES!$A$2:$M$2692""), {2,3,4,5,6,7,8,9,10,11,12,13},0))"),0.013)</f>
        <v>0.013</v>
      </c>
      <c r="Q1943" s="14"/>
      <c r="R1943" s="14">
        <f>IFERROR(__xludf.DUMMYFUNCTION("""COMPUTED_VALUE"""),82.0)</f>
        <v>82</v>
      </c>
      <c r="S1943" s="14">
        <f>IFERROR(__xludf.DUMMYFUNCTION("""COMPUTED_VALUE"""),74.0)</f>
        <v>74</v>
      </c>
      <c r="T1943" s="14">
        <f>IFERROR(__xludf.DUMMYFUNCTION("""COMPUTED_VALUE"""),0.225)</f>
        <v>0.225</v>
      </c>
      <c r="U1943" s="14">
        <f>IFERROR(__xludf.DUMMYFUNCTION("""COMPUTED_VALUE"""),0.655)</f>
        <v>0.655</v>
      </c>
      <c r="V1943" s="14">
        <f>IFERROR(__xludf.DUMMYFUNCTION("""COMPUTED_VALUE"""),0.12)</f>
        <v>0.12</v>
      </c>
      <c r="W1943" s="14">
        <f>IFERROR(__xludf.DUMMYFUNCTION("""COMPUTED_VALUE"""),3826878.0)</f>
        <v>3826878</v>
      </c>
      <c r="X1943" s="14">
        <f>IFERROR(__xludf.DUMMYFUNCTION("""COMPUTED_VALUE"""),0.942)</f>
        <v>0.942</v>
      </c>
      <c r="Y1943" s="14" t="str">
        <f>IFERROR(__xludf.DUMMYFUNCTION("""COMPUTED_VALUE"""),"Puerto Rico-The Americas")</f>
        <v>Puerto Rico-The Americas</v>
      </c>
      <c r="Z1943" s="14" t="str">
        <f>IFERROR(__xludf.DUMMYFUNCTION("""COMPUTED_VALUE"""),"The Americas")</f>
        <v>The Americas</v>
      </c>
      <c r="AA1943" s="14" t="str">
        <f>IFERROR(__xludf.DUMMYFUNCTION("""COMPUTED_VALUE"""),"2004")</f>
        <v>2004</v>
      </c>
      <c r="AB1943" s="15" t="str">
        <f>IFERROR(__xludf.DUMMYFUNCTION("ARRAYFORMULA(VLOOKUP(A1943,IMPORTRANGE(""https://docs.google.com/spreadsheets/d/1BuTWp7qHGjWhqrnf-OmePP568O4A5Am9ttzvVdP67zw/edit#gid=1931367683"" ,""ENERGY!$A$2:$F$2692""), {2,3,4,5,6},0))"),"The Americas")</f>
        <v>The Americas</v>
      </c>
      <c r="AC1943" s="14" t="str">
        <f>IFERROR(__xludf.DUMMYFUNCTION("""COMPUTED_VALUE"""),"Puerto Rico-The Americas")</f>
        <v>Puerto Rico-The Americas</v>
      </c>
      <c r="AD1943" s="14" t="str">
        <f>IFERROR(__xludf.DUMMYFUNCTION("""COMPUTED_VALUE"""),"2004")</f>
        <v>2004</v>
      </c>
      <c r="AE1943" s="14"/>
      <c r="AF1943" s="14"/>
    </row>
    <row r="1944">
      <c r="A1944" s="12">
        <v>1943.0</v>
      </c>
      <c r="B1944" s="12" t="s">
        <v>228</v>
      </c>
      <c r="C1944" s="5" t="s">
        <v>84</v>
      </c>
      <c r="D1944" s="11">
        <v>0.576</v>
      </c>
      <c r="E1944" s="11">
        <v>7.0</v>
      </c>
      <c r="F1944" s="8"/>
      <c r="G1944" s="11">
        <v>140.0</v>
      </c>
      <c r="H1944" s="11">
        <v>0.234</v>
      </c>
      <c r="I1944" s="11">
        <v>0.53</v>
      </c>
      <c r="J1944" s="9" t="s">
        <v>66</v>
      </c>
      <c r="K1944" s="14" t="str">
        <f>IFERROR(__xludf.DUMMYFUNCTION("ARRAYFORMULA(VLOOKUP(A1944,IMPORTRANGE(""https://docs.google.com/spreadsheets/d/1BuTWp7qHGjWhqrnf-OmePP568O4A5Am9ttzvVdP67zw/edit#gid=1603210130"", ""TOURISM!$A$2:$F$2692""), {2,3,4,5,6},0))"),"The Americas")</f>
        <v>The Americas</v>
      </c>
      <c r="L1944" s="14">
        <f>IFERROR(__xludf.DUMMYFUNCTION("""COMPUTED_VALUE"""),3.239E9)</f>
        <v>3239000000</v>
      </c>
      <c r="M1944" s="14" t="str">
        <f>IFERROR(__xludf.DUMMYFUNCTION("""COMPUTED_VALUE"""),"Puerto Rico-The Americas")</f>
        <v>Puerto Rico-The Americas</v>
      </c>
      <c r="N1944" s="14" t="str">
        <f>IFERROR(__xludf.DUMMYFUNCTION("""COMPUTED_VALUE"""),"2005")</f>
        <v>2005</v>
      </c>
      <c r="O1944" s="14">
        <f>IFERROR(__xludf.DUMMYFUNCTION("""COMPUTED_VALUE"""),1.663E9)</f>
        <v>1663000000</v>
      </c>
      <c r="P1944" s="15">
        <f>IFERROR(__xludf.DUMMYFUNCTION("ARRAYFORMULA(VLOOKUP(A1944,IMPORTRANGE(""https://docs.google.com/spreadsheets/d/1BuTWp7qHGjWhqrnf-OmePP568O4A5Am9ttzvVdP67zw/edit#gid=771602874"" ,""HUMAN RESOURCES!$A$2:$M$2692""), {2,3,4,5,6,7,8,9,10,11,12,13},0))"),0.013)</f>
        <v>0.013</v>
      </c>
      <c r="Q1944" s="14"/>
      <c r="R1944" s="14">
        <f>IFERROR(__xludf.DUMMYFUNCTION("""COMPUTED_VALUE"""),82.0)</f>
        <v>82</v>
      </c>
      <c r="S1944" s="14">
        <f>IFERROR(__xludf.DUMMYFUNCTION("""COMPUTED_VALUE"""),74.0)</f>
        <v>74</v>
      </c>
      <c r="T1944" s="14">
        <f>IFERROR(__xludf.DUMMYFUNCTION("""COMPUTED_VALUE"""),0.222)</f>
        <v>0.222</v>
      </c>
      <c r="U1944" s="14">
        <f>IFERROR(__xludf.DUMMYFUNCTION("""COMPUTED_VALUE"""),0.657)</f>
        <v>0.657</v>
      </c>
      <c r="V1944" s="14">
        <f>IFERROR(__xludf.DUMMYFUNCTION("""COMPUTED_VALUE"""),0.122)</f>
        <v>0.122</v>
      </c>
      <c r="W1944" s="14">
        <f>IFERROR(__xludf.DUMMYFUNCTION("""COMPUTED_VALUE"""),3821362.0)</f>
        <v>3821362</v>
      </c>
      <c r="X1944" s="14">
        <f>IFERROR(__xludf.DUMMYFUNCTION("""COMPUTED_VALUE"""),0.941)</f>
        <v>0.941</v>
      </c>
      <c r="Y1944" s="14" t="str">
        <f>IFERROR(__xludf.DUMMYFUNCTION("""COMPUTED_VALUE"""),"Puerto Rico-The Americas")</f>
        <v>Puerto Rico-The Americas</v>
      </c>
      <c r="Z1944" s="14" t="str">
        <f>IFERROR(__xludf.DUMMYFUNCTION("""COMPUTED_VALUE"""),"The Americas")</f>
        <v>The Americas</v>
      </c>
      <c r="AA1944" s="14" t="str">
        <f>IFERROR(__xludf.DUMMYFUNCTION("""COMPUTED_VALUE"""),"2005")</f>
        <v>2005</v>
      </c>
      <c r="AB1944" s="15" t="str">
        <f>IFERROR(__xludf.DUMMYFUNCTION("ARRAYFORMULA(VLOOKUP(A1944,IMPORTRANGE(""https://docs.google.com/spreadsheets/d/1BuTWp7qHGjWhqrnf-OmePP568O4A5Am9ttzvVdP67zw/edit#gid=1931367683"" ,""ENERGY!$A$2:$F$2692""), {2,3,4,5,6},0))"),"The Americas")</f>
        <v>The Americas</v>
      </c>
      <c r="AC1944" s="14" t="str">
        <f>IFERROR(__xludf.DUMMYFUNCTION("""COMPUTED_VALUE"""),"Puerto Rico-The Americas")</f>
        <v>Puerto Rico-The Americas</v>
      </c>
      <c r="AD1944" s="14" t="str">
        <f>IFERROR(__xludf.DUMMYFUNCTION("""COMPUTED_VALUE"""),"2008")</f>
        <v>2008</v>
      </c>
      <c r="AE1944" s="14"/>
      <c r="AF1944" s="14"/>
    </row>
    <row r="1945">
      <c r="A1945" s="12">
        <v>1944.0</v>
      </c>
      <c r="B1945" s="12" t="s">
        <v>228</v>
      </c>
      <c r="C1945" s="5" t="s">
        <v>84</v>
      </c>
      <c r="D1945" s="11">
        <v>0.576</v>
      </c>
      <c r="E1945" s="11">
        <v>7.0</v>
      </c>
      <c r="F1945" s="8"/>
      <c r="G1945" s="11">
        <v>140.0</v>
      </c>
      <c r="H1945" s="11">
        <v>0.254</v>
      </c>
      <c r="I1945" s="11">
        <v>0.586</v>
      </c>
      <c r="J1945" s="9" t="s">
        <v>67</v>
      </c>
      <c r="K1945" s="14" t="str">
        <f>IFERROR(__xludf.DUMMYFUNCTION("ARRAYFORMULA(VLOOKUP(A1945,IMPORTRANGE(""https://docs.google.com/spreadsheets/d/1BuTWp7qHGjWhqrnf-OmePP568O4A5Am9ttzvVdP67zw/edit#gid=1603210130"", ""TOURISM!$A$2:$F$2692""), {2,3,4,5,6},0))"),"The Americas")</f>
        <v>The Americas</v>
      </c>
      <c r="L1945" s="14">
        <f>IFERROR(__xludf.DUMMYFUNCTION("""COMPUTED_VALUE"""),3.369E9)</f>
        <v>3369000000</v>
      </c>
      <c r="M1945" s="14" t="str">
        <f>IFERROR(__xludf.DUMMYFUNCTION("""COMPUTED_VALUE"""),"Puerto Rico-The Americas")</f>
        <v>Puerto Rico-The Americas</v>
      </c>
      <c r="N1945" s="14" t="str">
        <f>IFERROR(__xludf.DUMMYFUNCTION("""COMPUTED_VALUE"""),"2006")</f>
        <v>2006</v>
      </c>
      <c r="O1945" s="14">
        <f>IFERROR(__xludf.DUMMYFUNCTION("""COMPUTED_VALUE"""),1.752E9)</f>
        <v>1752000000</v>
      </c>
      <c r="P1945" s="15">
        <f>IFERROR(__xludf.DUMMYFUNCTION("ARRAYFORMULA(VLOOKUP(A1945,IMPORTRANGE(""https://docs.google.com/spreadsheets/d/1BuTWp7qHGjWhqrnf-OmePP568O4A5Am9ttzvVdP67zw/edit#gid=771602874"" ,""HUMAN RESOURCES!$A$2:$M$2692""), {2,3,4,5,6,7,8,9,10,11,12,13},0))"),0.012)</f>
        <v>0.012</v>
      </c>
      <c r="Q1945" s="14"/>
      <c r="R1945" s="14">
        <f>IFERROR(__xludf.DUMMYFUNCTION("""COMPUTED_VALUE"""),83.0)</f>
        <v>83</v>
      </c>
      <c r="S1945" s="14">
        <f>IFERROR(__xludf.DUMMYFUNCTION("""COMPUTED_VALUE"""),74.0)</f>
        <v>74</v>
      </c>
      <c r="T1945" s="14">
        <f>IFERROR(__xludf.DUMMYFUNCTION("""COMPUTED_VALUE"""),0.219)</f>
        <v>0.219</v>
      </c>
      <c r="U1945" s="14">
        <f>IFERROR(__xludf.DUMMYFUNCTION("""COMPUTED_VALUE"""),0.658)</f>
        <v>0.658</v>
      </c>
      <c r="V1945" s="14">
        <f>IFERROR(__xludf.DUMMYFUNCTION("""COMPUTED_VALUE"""),0.123)</f>
        <v>0.123</v>
      </c>
      <c r="W1945" s="14">
        <f>IFERROR(__xludf.DUMMYFUNCTION("""COMPUTED_VALUE"""),3805214.0)</f>
        <v>3805214</v>
      </c>
      <c r="X1945" s="14">
        <f>IFERROR(__xludf.DUMMYFUNCTION("""COMPUTED_VALUE"""),0.941)</f>
        <v>0.941</v>
      </c>
      <c r="Y1945" s="14" t="str">
        <f>IFERROR(__xludf.DUMMYFUNCTION("""COMPUTED_VALUE"""),"Puerto Rico-The Americas")</f>
        <v>Puerto Rico-The Americas</v>
      </c>
      <c r="Z1945" s="14" t="str">
        <f>IFERROR(__xludf.DUMMYFUNCTION("""COMPUTED_VALUE"""),"The Americas")</f>
        <v>The Americas</v>
      </c>
      <c r="AA1945" s="14" t="str">
        <f>IFERROR(__xludf.DUMMYFUNCTION("""COMPUTED_VALUE"""),"2006")</f>
        <v>2006</v>
      </c>
      <c r="AB1945" s="15" t="str">
        <f>IFERROR(__xludf.DUMMYFUNCTION("ARRAYFORMULA(VLOOKUP(A1945,IMPORTRANGE(""https://docs.google.com/spreadsheets/d/1BuTWp7qHGjWhqrnf-OmePP568O4A5Am9ttzvVdP67zw/edit#gid=1931367683"" ,""ENERGY!$A$2:$F$2692""), {2,3,4,5,6},0))"),"The Americas")</f>
        <v>The Americas</v>
      </c>
      <c r="AC1945" s="14" t="str">
        <f>IFERROR(__xludf.DUMMYFUNCTION("""COMPUTED_VALUE"""),"Puerto Rico-The Americas")</f>
        <v>Puerto Rico-The Americas</v>
      </c>
      <c r="AD1945" s="14" t="str">
        <f>IFERROR(__xludf.DUMMYFUNCTION("""COMPUTED_VALUE"""),"2012")</f>
        <v>2012</v>
      </c>
      <c r="AE1945" s="14"/>
      <c r="AF1945" s="14"/>
    </row>
    <row r="1946">
      <c r="A1946" s="12">
        <v>1945.0</v>
      </c>
      <c r="B1946" s="12" t="s">
        <v>228</v>
      </c>
      <c r="C1946" s="5" t="s">
        <v>84</v>
      </c>
      <c r="D1946" s="11">
        <v>0.576</v>
      </c>
      <c r="E1946" s="11">
        <v>7.0</v>
      </c>
      <c r="F1946" s="8"/>
      <c r="G1946" s="11">
        <v>140.0</v>
      </c>
      <c r="H1946" s="11">
        <v>0.279</v>
      </c>
      <c r="I1946" s="11">
        <v>0.65</v>
      </c>
      <c r="J1946" s="9" t="s">
        <v>68</v>
      </c>
      <c r="K1946" s="14" t="str">
        <f>IFERROR(__xludf.DUMMYFUNCTION("ARRAYFORMULA(VLOOKUP(A1946,IMPORTRANGE(""https://docs.google.com/spreadsheets/d/1BuTWp7qHGjWhqrnf-OmePP568O4A5Am9ttzvVdP67zw/edit#gid=1603210130"", ""TOURISM!$A$2:$F$2692""), {2,3,4,5,6},0))"),"The Americas")</f>
        <v>The Americas</v>
      </c>
      <c r="L1946" s="14">
        <f>IFERROR(__xludf.DUMMYFUNCTION("""COMPUTED_VALUE"""),3.414E9)</f>
        <v>3414000000</v>
      </c>
      <c r="M1946" s="14" t="str">
        <f>IFERROR(__xludf.DUMMYFUNCTION("""COMPUTED_VALUE"""),"Puerto Rico-The Americas")</f>
        <v>Puerto Rico-The Americas</v>
      </c>
      <c r="N1946" s="14" t="str">
        <f>IFERROR(__xludf.DUMMYFUNCTION("""COMPUTED_VALUE"""),"2007")</f>
        <v>2007</v>
      </c>
      <c r="O1946" s="14">
        <f>IFERROR(__xludf.DUMMYFUNCTION("""COMPUTED_VALUE"""),1.743E9)</f>
        <v>1743000000</v>
      </c>
      <c r="P1946" s="15">
        <f>IFERROR(__xludf.DUMMYFUNCTION("ARRAYFORMULA(VLOOKUP(A1946,IMPORTRANGE(""https://docs.google.com/spreadsheets/d/1BuTWp7qHGjWhqrnf-OmePP568O4A5Am9ttzvVdP67zw/edit#gid=771602874"" ,""HUMAN RESOURCES!$A$2:$M$2692""), {2,3,4,5,6,7,8,9,10,11,12,13},0))"),0.012)</f>
        <v>0.012</v>
      </c>
      <c r="Q1946" s="14"/>
      <c r="R1946" s="14">
        <f>IFERROR(__xludf.DUMMYFUNCTION("""COMPUTED_VALUE"""),83.0)</f>
        <v>83</v>
      </c>
      <c r="S1946" s="14">
        <f>IFERROR(__xludf.DUMMYFUNCTION("""COMPUTED_VALUE"""),74.0)</f>
        <v>74</v>
      </c>
      <c r="T1946" s="14">
        <f>IFERROR(__xludf.DUMMYFUNCTION("""COMPUTED_VALUE"""),0.215)</f>
        <v>0.215</v>
      </c>
      <c r="U1946" s="14">
        <f>IFERROR(__xludf.DUMMYFUNCTION("""COMPUTED_VALUE"""),0.66)</f>
        <v>0.66</v>
      </c>
      <c r="V1946" s="14">
        <f>IFERROR(__xludf.DUMMYFUNCTION("""COMPUTED_VALUE"""),0.125)</f>
        <v>0.125</v>
      </c>
      <c r="W1946" s="14">
        <f>IFERROR(__xludf.DUMMYFUNCTION("""COMPUTED_VALUE"""),3782995.0)</f>
        <v>3782995</v>
      </c>
      <c r="X1946" s="14">
        <f>IFERROR(__xludf.DUMMYFUNCTION("""COMPUTED_VALUE"""),0.94)</f>
        <v>0.94</v>
      </c>
      <c r="Y1946" s="14" t="str">
        <f>IFERROR(__xludf.DUMMYFUNCTION("""COMPUTED_VALUE"""),"Puerto Rico-The Americas")</f>
        <v>Puerto Rico-The Americas</v>
      </c>
      <c r="Z1946" s="14" t="str">
        <f>IFERROR(__xludf.DUMMYFUNCTION("""COMPUTED_VALUE"""),"The Americas")</f>
        <v>The Americas</v>
      </c>
      <c r="AA1946" s="14" t="str">
        <f>IFERROR(__xludf.DUMMYFUNCTION("""COMPUTED_VALUE"""),"2007")</f>
        <v>2007</v>
      </c>
      <c r="AB1946" s="15" t="str">
        <f>IFERROR(__xludf.DUMMYFUNCTION("ARRAYFORMULA(VLOOKUP(A1946,IMPORTRANGE(""https://docs.google.com/spreadsheets/d/1BuTWp7qHGjWhqrnf-OmePP568O4A5Am9ttzvVdP67zw/edit#gid=1931367683"" ,""ENERGY!$A$2:$F$2692""), {2,3,4,5,6},0))"),"The Americas")</f>
        <v>The Americas</v>
      </c>
      <c r="AC1946" s="14" t="str">
        <f>IFERROR(__xludf.DUMMYFUNCTION("""COMPUTED_VALUE"""),"Puerto Rico-The Americas")</f>
        <v>Puerto Rico-The Americas</v>
      </c>
      <c r="AD1946" s="14" t="str">
        <f>IFERROR(__xludf.DUMMYFUNCTION("""COMPUTED_VALUE"""),"2010")</f>
        <v>2010</v>
      </c>
      <c r="AE1946" s="14"/>
      <c r="AF1946" s="14"/>
    </row>
    <row r="1947">
      <c r="A1947" s="12">
        <v>1946.0</v>
      </c>
      <c r="B1947" s="12" t="s">
        <v>228</v>
      </c>
      <c r="C1947" s="5" t="s">
        <v>84</v>
      </c>
      <c r="D1947" s="11">
        <v>0.606</v>
      </c>
      <c r="E1947" s="11">
        <v>7.0</v>
      </c>
      <c r="F1947" s="8"/>
      <c r="G1947" s="11">
        <v>218.0</v>
      </c>
      <c r="H1947" s="11">
        <v>0.38</v>
      </c>
      <c r="I1947" s="11">
        <v>0.682</v>
      </c>
      <c r="J1947" s="9" t="s">
        <v>69</v>
      </c>
      <c r="K1947" s="14" t="str">
        <f>IFERROR(__xludf.DUMMYFUNCTION("ARRAYFORMULA(VLOOKUP(A1947,IMPORTRANGE(""https://docs.google.com/spreadsheets/d/1BuTWp7qHGjWhqrnf-OmePP568O4A5Am9ttzvVdP67zw/edit#gid=1603210130"", ""TOURISM!$A$2:$F$2692""), {2,3,4,5,6},0))"),"The Americas")</f>
        <v>The Americas</v>
      </c>
      <c r="L1947" s="14">
        <f>IFERROR(__xludf.DUMMYFUNCTION("""COMPUTED_VALUE"""),3.535E9)</f>
        <v>3535000000</v>
      </c>
      <c r="M1947" s="14" t="str">
        <f>IFERROR(__xludf.DUMMYFUNCTION("""COMPUTED_VALUE"""),"Puerto Rico-The Americas")</f>
        <v>Puerto Rico-The Americas</v>
      </c>
      <c r="N1947" s="14" t="str">
        <f>IFERROR(__xludf.DUMMYFUNCTION("""COMPUTED_VALUE"""),"2008")</f>
        <v>2008</v>
      </c>
      <c r="O1947" s="14">
        <f>IFERROR(__xludf.DUMMYFUNCTION("""COMPUTED_VALUE"""),1.761E9)</f>
        <v>1761000000</v>
      </c>
      <c r="P1947" s="15">
        <f>IFERROR(__xludf.DUMMYFUNCTION("ARRAYFORMULA(VLOOKUP(A1947,IMPORTRANGE(""https://docs.google.com/spreadsheets/d/1BuTWp7qHGjWhqrnf-OmePP568O4A5Am9ttzvVdP67zw/edit#gid=771602874"" ,""HUMAN RESOURCES!$A$2:$M$2692""), {2,3,4,5,6,7,8,9,10,11,12,13},0))"),0.012)</f>
        <v>0.012</v>
      </c>
      <c r="Q1947" s="14"/>
      <c r="R1947" s="14">
        <f>IFERROR(__xludf.DUMMYFUNCTION("""COMPUTED_VALUE"""),83.0)</f>
        <v>83</v>
      </c>
      <c r="S1947" s="14">
        <f>IFERROR(__xludf.DUMMYFUNCTION("""COMPUTED_VALUE"""),75.0)</f>
        <v>75</v>
      </c>
      <c r="T1947" s="14">
        <f>IFERROR(__xludf.DUMMYFUNCTION("""COMPUTED_VALUE"""),0.212)</f>
        <v>0.212</v>
      </c>
      <c r="U1947" s="14">
        <f>IFERROR(__xludf.DUMMYFUNCTION("""COMPUTED_VALUE"""),0.662)</f>
        <v>0.662</v>
      </c>
      <c r="V1947" s="14">
        <f>IFERROR(__xludf.DUMMYFUNCTION("""COMPUTED_VALUE"""),0.126)</f>
        <v>0.126</v>
      </c>
      <c r="W1947" s="14">
        <f>IFERROR(__xludf.DUMMYFUNCTION("""COMPUTED_VALUE"""),3760866.0)</f>
        <v>3760866</v>
      </c>
      <c r="X1947" s="14">
        <f>IFERROR(__xludf.DUMMYFUNCTION("""COMPUTED_VALUE"""),0.939)</f>
        <v>0.939</v>
      </c>
      <c r="Y1947" s="14" t="str">
        <f>IFERROR(__xludf.DUMMYFUNCTION("""COMPUTED_VALUE"""),"Puerto Rico-The Americas")</f>
        <v>Puerto Rico-The Americas</v>
      </c>
      <c r="Z1947" s="14" t="str">
        <f>IFERROR(__xludf.DUMMYFUNCTION("""COMPUTED_VALUE"""),"The Americas")</f>
        <v>The Americas</v>
      </c>
      <c r="AA1947" s="14" t="str">
        <f>IFERROR(__xludf.DUMMYFUNCTION("""COMPUTED_VALUE"""),"2008")</f>
        <v>2008</v>
      </c>
      <c r="AB1947" s="15" t="str">
        <f>IFERROR(__xludf.DUMMYFUNCTION("ARRAYFORMULA(VLOOKUP(A1947,IMPORTRANGE(""https://docs.google.com/spreadsheets/d/1BuTWp7qHGjWhqrnf-OmePP568O4A5Am9ttzvVdP67zw/edit#gid=1931367683"" ,""ENERGY!$A$2:$F$2692""), {2,3,4,5,6},0))"),"The Americas")</f>
        <v>The Americas</v>
      </c>
      <c r="AC1947" s="14" t="str">
        <f>IFERROR(__xludf.DUMMYFUNCTION("""COMPUTED_VALUE"""),"Puerto Rico-The Americas")</f>
        <v>Puerto Rico-The Americas</v>
      </c>
      <c r="AD1947" s="14" t="str">
        <f>IFERROR(__xludf.DUMMYFUNCTION("""COMPUTED_VALUE"""),"2007")</f>
        <v>2007</v>
      </c>
      <c r="AE1947" s="14"/>
      <c r="AF1947" s="14"/>
    </row>
    <row r="1948">
      <c r="A1948" s="12">
        <v>1947.0</v>
      </c>
      <c r="B1948" s="12" t="s">
        <v>228</v>
      </c>
      <c r="C1948" s="5" t="s">
        <v>84</v>
      </c>
      <c r="D1948" s="11">
        <v>0.606</v>
      </c>
      <c r="E1948" s="11">
        <v>7.0</v>
      </c>
      <c r="F1948" s="8"/>
      <c r="G1948" s="11">
        <v>218.0</v>
      </c>
      <c r="H1948" s="11">
        <v>0.415</v>
      </c>
      <c r="I1948" s="11">
        <v>0.729</v>
      </c>
      <c r="J1948" s="9" t="s">
        <v>70</v>
      </c>
      <c r="K1948" s="14" t="str">
        <f>IFERROR(__xludf.DUMMYFUNCTION("ARRAYFORMULA(VLOOKUP(A1948,IMPORTRANGE(""https://docs.google.com/spreadsheets/d/1BuTWp7qHGjWhqrnf-OmePP568O4A5Am9ttzvVdP67zw/edit#gid=1603210130"", ""TOURISM!$A$2:$F$2692""), {2,3,4,5,6},0))"),"The Americas")</f>
        <v>The Americas</v>
      </c>
      <c r="L1948" s="14">
        <f>IFERROR(__xludf.DUMMYFUNCTION("""COMPUTED_VALUE"""),3.176E9)</f>
        <v>3176000000</v>
      </c>
      <c r="M1948" s="14" t="str">
        <f>IFERROR(__xludf.DUMMYFUNCTION("""COMPUTED_VALUE"""),"Puerto Rico-The Americas")</f>
        <v>Puerto Rico-The Americas</v>
      </c>
      <c r="N1948" s="14" t="str">
        <f>IFERROR(__xludf.DUMMYFUNCTION("""COMPUTED_VALUE"""),"2009")</f>
        <v>2009</v>
      </c>
      <c r="O1948" s="14">
        <f>IFERROR(__xludf.DUMMYFUNCTION("""COMPUTED_VALUE"""),1.386E9)</f>
        <v>1386000000</v>
      </c>
      <c r="P1948" s="15">
        <f>IFERROR(__xludf.DUMMYFUNCTION("ARRAYFORMULA(VLOOKUP(A1948,IMPORTRANGE(""https://docs.google.com/spreadsheets/d/1BuTWp7qHGjWhqrnf-OmePP568O4A5Am9ttzvVdP67zw/edit#gid=771602874"" ,""HUMAN RESOURCES!$A$2:$M$2692""), {2,3,4,5,6,7,8,9,10,11,12,13},0))"),0.012)</f>
        <v>0.012</v>
      </c>
      <c r="Q1948" s="14"/>
      <c r="R1948" s="14">
        <f>IFERROR(__xludf.DUMMYFUNCTION("""COMPUTED_VALUE"""),82.0)</f>
        <v>82</v>
      </c>
      <c r="S1948" s="14">
        <f>IFERROR(__xludf.DUMMYFUNCTION("""COMPUTED_VALUE"""),74.0)</f>
        <v>74</v>
      </c>
      <c r="T1948" s="14">
        <f>IFERROR(__xludf.DUMMYFUNCTION("""COMPUTED_VALUE"""),0.208)</f>
        <v>0.208</v>
      </c>
      <c r="U1948" s="14">
        <f>IFERROR(__xludf.DUMMYFUNCTION("""COMPUTED_VALUE"""),0.664)</f>
        <v>0.664</v>
      </c>
      <c r="V1948" s="14">
        <f>IFERROR(__xludf.DUMMYFUNCTION("""COMPUTED_VALUE"""),0.128)</f>
        <v>0.128</v>
      </c>
      <c r="W1948" s="14">
        <f>IFERROR(__xludf.DUMMYFUNCTION("""COMPUTED_VALUE"""),3740410.0)</f>
        <v>3740410</v>
      </c>
      <c r="X1948" s="14">
        <f>IFERROR(__xludf.DUMMYFUNCTION("""COMPUTED_VALUE"""),0.939)</f>
        <v>0.939</v>
      </c>
      <c r="Y1948" s="14" t="str">
        <f>IFERROR(__xludf.DUMMYFUNCTION("""COMPUTED_VALUE"""),"Puerto Rico-The Americas")</f>
        <v>Puerto Rico-The Americas</v>
      </c>
      <c r="Z1948" s="14" t="str">
        <f>IFERROR(__xludf.DUMMYFUNCTION("""COMPUTED_VALUE"""),"The Americas")</f>
        <v>The Americas</v>
      </c>
      <c r="AA1948" s="14" t="str">
        <f>IFERROR(__xludf.DUMMYFUNCTION("""COMPUTED_VALUE"""),"2009")</f>
        <v>2009</v>
      </c>
      <c r="AB1948" s="15" t="str">
        <f>IFERROR(__xludf.DUMMYFUNCTION("ARRAYFORMULA(VLOOKUP(A1948,IMPORTRANGE(""https://docs.google.com/spreadsheets/d/1BuTWp7qHGjWhqrnf-OmePP568O4A5Am9ttzvVdP67zw/edit#gid=1931367683"" ,""ENERGY!$A$2:$F$2692""), {2,3,4,5,6},0))"),"The Americas")</f>
        <v>The Americas</v>
      </c>
      <c r="AC1948" s="14" t="str">
        <f>IFERROR(__xludf.DUMMYFUNCTION("""COMPUTED_VALUE"""),"Puerto Rico-The Americas")</f>
        <v>Puerto Rico-The Americas</v>
      </c>
      <c r="AD1948" s="14" t="str">
        <f>IFERROR(__xludf.DUMMYFUNCTION("""COMPUTED_VALUE"""),"2011")</f>
        <v>2011</v>
      </c>
      <c r="AE1948" s="14"/>
      <c r="AF1948" s="14"/>
    </row>
    <row r="1949">
      <c r="A1949" s="12">
        <v>1948.0</v>
      </c>
      <c r="B1949" s="12" t="s">
        <v>228</v>
      </c>
      <c r="C1949" s="5" t="s">
        <v>84</v>
      </c>
      <c r="D1949" s="11">
        <v>0.636</v>
      </c>
      <c r="E1949" s="11">
        <v>7.0</v>
      </c>
      <c r="F1949" s="8"/>
      <c r="G1949" s="11">
        <v>218.0</v>
      </c>
      <c r="H1949" s="11">
        <v>0.453</v>
      </c>
      <c r="I1949" s="11">
        <v>0.791</v>
      </c>
      <c r="J1949" s="9" t="s">
        <v>71</v>
      </c>
      <c r="K1949" s="14" t="str">
        <f>IFERROR(__xludf.DUMMYFUNCTION("ARRAYFORMULA(VLOOKUP(A1949,IMPORTRANGE(""https://docs.google.com/spreadsheets/d/1BuTWp7qHGjWhqrnf-OmePP568O4A5Am9ttzvVdP67zw/edit#gid=1603210130"", ""TOURISM!$A$2:$F$2692""), {2,3,4,5,6},0))"),"The Americas")</f>
        <v>The Americas</v>
      </c>
      <c r="L1949" s="14">
        <f>IFERROR(__xludf.DUMMYFUNCTION("""COMPUTED_VALUE"""),3.211E9)</f>
        <v>3211000000</v>
      </c>
      <c r="M1949" s="14" t="str">
        <f>IFERROR(__xludf.DUMMYFUNCTION("""COMPUTED_VALUE"""),"Puerto Rico-The Americas")</f>
        <v>Puerto Rico-The Americas</v>
      </c>
      <c r="N1949" s="14" t="str">
        <f>IFERROR(__xludf.DUMMYFUNCTION("""COMPUTED_VALUE"""),"2010")</f>
        <v>2010</v>
      </c>
      <c r="O1949" s="14">
        <f>IFERROR(__xludf.DUMMYFUNCTION("""COMPUTED_VALUE"""),1.18E9)</f>
        <v>1180000000</v>
      </c>
      <c r="P1949" s="15">
        <f>IFERROR(__xludf.DUMMYFUNCTION("ARRAYFORMULA(VLOOKUP(A1949,IMPORTRANGE(""https://docs.google.com/spreadsheets/d/1BuTWp7qHGjWhqrnf-OmePP568O4A5Am9ttzvVdP67zw/edit#gid=771602874"" ,""HUMAN RESOURCES!$A$2:$M$2692""), {2,3,4,5,6,7,8,9,10,11,12,13},0))"),0.011)</f>
        <v>0.011</v>
      </c>
      <c r="Q1949" s="14"/>
      <c r="R1949" s="14">
        <f>IFERROR(__xludf.DUMMYFUNCTION("""COMPUTED_VALUE"""),82.0)</f>
        <v>82</v>
      </c>
      <c r="S1949" s="14">
        <f>IFERROR(__xludf.DUMMYFUNCTION("""COMPUTED_VALUE"""),74.0)</f>
        <v>74</v>
      </c>
      <c r="T1949" s="14">
        <f>IFERROR(__xludf.DUMMYFUNCTION("""COMPUTED_VALUE"""),0.205)</f>
        <v>0.205</v>
      </c>
      <c r="U1949" s="14">
        <f>IFERROR(__xludf.DUMMYFUNCTION("""COMPUTED_VALUE"""),0.665)</f>
        <v>0.665</v>
      </c>
      <c r="V1949" s="14">
        <f>IFERROR(__xludf.DUMMYFUNCTION("""COMPUTED_VALUE"""),0.13)</f>
        <v>0.13</v>
      </c>
      <c r="W1949" s="14">
        <f>IFERROR(__xludf.DUMMYFUNCTION("""COMPUTED_VALUE"""),3721208.0)</f>
        <v>3721208</v>
      </c>
      <c r="X1949" s="14">
        <f>IFERROR(__xludf.DUMMYFUNCTION("""COMPUTED_VALUE"""),0.938)</f>
        <v>0.938</v>
      </c>
      <c r="Y1949" s="14" t="str">
        <f>IFERROR(__xludf.DUMMYFUNCTION("""COMPUTED_VALUE"""),"Puerto Rico-The Americas")</f>
        <v>Puerto Rico-The Americas</v>
      </c>
      <c r="Z1949" s="14" t="str">
        <f>IFERROR(__xludf.DUMMYFUNCTION("""COMPUTED_VALUE"""),"The Americas")</f>
        <v>The Americas</v>
      </c>
      <c r="AA1949" s="14" t="str">
        <f>IFERROR(__xludf.DUMMYFUNCTION("""COMPUTED_VALUE"""),"2010")</f>
        <v>2010</v>
      </c>
      <c r="AB1949" s="15" t="str">
        <f>IFERROR(__xludf.DUMMYFUNCTION("ARRAYFORMULA(VLOOKUP(A1949,IMPORTRANGE(""https://docs.google.com/spreadsheets/d/1BuTWp7qHGjWhqrnf-OmePP568O4A5Am9ttzvVdP67zw/edit#gid=1931367683"" ,""ENERGY!$A$2:$F$2692""), {2,3,4,5,6},0))"),"The Americas")</f>
        <v>The Americas</v>
      </c>
      <c r="AC1949" s="14" t="str">
        <f>IFERROR(__xludf.DUMMYFUNCTION("""COMPUTED_VALUE"""),"Puerto Rico-The Americas")</f>
        <v>Puerto Rico-The Americas</v>
      </c>
      <c r="AD1949" s="14" t="str">
        <f>IFERROR(__xludf.DUMMYFUNCTION("""COMPUTED_VALUE"""),"2007")</f>
        <v>2007</v>
      </c>
      <c r="AE1949" s="14"/>
      <c r="AF1949" s="14"/>
    </row>
    <row r="1950">
      <c r="A1950" s="12">
        <v>1949.0</v>
      </c>
      <c r="B1950" s="12" t="s">
        <v>228</v>
      </c>
      <c r="C1950" s="5" t="s">
        <v>84</v>
      </c>
      <c r="D1950" s="11">
        <v>0.631</v>
      </c>
      <c r="E1950" s="11">
        <v>6.0</v>
      </c>
      <c r="F1950" s="8"/>
      <c r="G1950" s="11">
        <v>218.0</v>
      </c>
      <c r="H1950" s="11">
        <v>0.48</v>
      </c>
      <c r="I1950" s="11">
        <v>0.84</v>
      </c>
      <c r="J1950" s="9" t="s">
        <v>72</v>
      </c>
      <c r="K1950" s="14" t="str">
        <f>IFERROR(__xludf.DUMMYFUNCTION("ARRAYFORMULA(VLOOKUP(A1950,IMPORTRANGE(""https://docs.google.com/spreadsheets/d/1BuTWp7qHGjWhqrnf-OmePP568O4A5Am9ttzvVdP67zw/edit#gid=1603210130"", ""TOURISM!$A$2:$F$2692""), {2,3,4,5,6},0))"),"The Americas")</f>
        <v>The Americas</v>
      </c>
      <c r="L1950" s="14">
        <f>IFERROR(__xludf.DUMMYFUNCTION("""COMPUTED_VALUE"""),3.143E9)</f>
        <v>3143000000</v>
      </c>
      <c r="M1950" s="14" t="str">
        <f>IFERROR(__xludf.DUMMYFUNCTION("""COMPUTED_VALUE"""),"Puerto Rico-The Americas")</f>
        <v>Puerto Rico-The Americas</v>
      </c>
      <c r="N1950" s="14" t="str">
        <f>IFERROR(__xludf.DUMMYFUNCTION("""COMPUTED_VALUE"""),"2011")</f>
        <v>2011</v>
      </c>
      <c r="O1950" s="14">
        <f>IFERROR(__xludf.DUMMYFUNCTION("""COMPUTED_VALUE"""),1.196E9)</f>
        <v>1196000000</v>
      </c>
      <c r="P1950" s="15">
        <f>IFERROR(__xludf.DUMMYFUNCTION("ARRAYFORMULA(VLOOKUP(A1950,IMPORTRANGE(""https://docs.google.com/spreadsheets/d/1BuTWp7qHGjWhqrnf-OmePP568O4A5Am9ttzvVdP67zw/edit#gid=771602874"" ,""HUMAN RESOURCES!$A$2:$M$2692""), {2,3,4,5,6,7,8,9,10,11,12,13},0))"),0.011)</f>
        <v>0.011</v>
      </c>
      <c r="Q1950" s="14"/>
      <c r="R1950" s="14">
        <f>IFERROR(__xludf.DUMMYFUNCTION("""COMPUTED_VALUE"""),82.0)</f>
        <v>82</v>
      </c>
      <c r="S1950" s="14">
        <f>IFERROR(__xludf.DUMMYFUNCTION("""COMPUTED_VALUE"""),75.0)</f>
        <v>75</v>
      </c>
      <c r="T1950" s="14">
        <f>IFERROR(__xludf.DUMMYFUNCTION("""COMPUTED_VALUE"""),0.201)</f>
        <v>0.201</v>
      </c>
      <c r="U1950" s="14">
        <f>IFERROR(__xludf.DUMMYFUNCTION("""COMPUTED_VALUE"""),0.666)</f>
        <v>0.666</v>
      </c>
      <c r="V1950" s="14">
        <f>IFERROR(__xludf.DUMMYFUNCTION("""COMPUTED_VALUE"""),0.132)</f>
        <v>0.132</v>
      </c>
      <c r="W1950" s="14">
        <f>IFERROR(__xludf.DUMMYFUNCTION("""COMPUTED_VALUE"""),3686580.0)</f>
        <v>3686580</v>
      </c>
      <c r="X1950" s="14">
        <f>IFERROR(__xludf.DUMMYFUNCTION("""COMPUTED_VALUE"""),0.938)</f>
        <v>0.938</v>
      </c>
      <c r="Y1950" s="14" t="str">
        <f>IFERROR(__xludf.DUMMYFUNCTION("""COMPUTED_VALUE"""),"Puerto Rico-The Americas")</f>
        <v>Puerto Rico-The Americas</v>
      </c>
      <c r="Z1950" s="14" t="str">
        <f>IFERROR(__xludf.DUMMYFUNCTION("""COMPUTED_VALUE"""),"The Americas")</f>
        <v>The Americas</v>
      </c>
      <c r="AA1950" s="14" t="str">
        <f>IFERROR(__xludf.DUMMYFUNCTION("""COMPUTED_VALUE"""),"2011")</f>
        <v>2011</v>
      </c>
      <c r="AB1950" s="15" t="str">
        <f>IFERROR(__xludf.DUMMYFUNCTION("ARRAYFORMULA(VLOOKUP(A1950,IMPORTRANGE(""https://docs.google.com/spreadsheets/d/1BuTWp7qHGjWhqrnf-OmePP568O4A5Am9ttzvVdP67zw/edit#gid=1931367683"" ,""ENERGY!$A$2:$F$2692""), {2,3,4,5,6},0))"),"The Americas")</f>
        <v>The Americas</v>
      </c>
      <c r="AC1950" s="14" t="str">
        <f>IFERROR(__xludf.DUMMYFUNCTION("""COMPUTED_VALUE"""),"Puerto Rico-The Americas")</f>
        <v>Puerto Rico-The Americas</v>
      </c>
      <c r="AD1950" s="14" t="str">
        <f>IFERROR(__xludf.DUMMYFUNCTION("""COMPUTED_VALUE"""),"2006")</f>
        <v>2006</v>
      </c>
      <c r="AE1950" s="14"/>
      <c r="AF1950" s="14"/>
    </row>
    <row r="1951">
      <c r="A1951" s="12">
        <v>1950.0</v>
      </c>
      <c r="B1951" s="12" t="s">
        <v>228</v>
      </c>
      <c r="C1951" s="5" t="s">
        <v>84</v>
      </c>
      <c r="D1951" s="11">
        <v>0.507</v>
      </c>
      <c r="E1951" s="11">
        <v>6.0</v>
      </c>
      <c r="F1951" s="11">
        <v>37.0</v>
      </c>
      <c r="G1951" s="11">
        <v>218.0</v>
      </c>
      <c r="H1951" s="11">
        <v>0.69</v>
      </c>
      <c r="I1951" s="11">
        <v>0.826</v>
      </c>
      <c r="J1951" s="9" t="s">
        <v>73</v>
      </c>
      <c r="K1951" s="14" t="str">
        <f>IFERROR(__xludf.DUMMYFUNCTION("ARRAYFORMULA(VLOOKUP(A1951,IMPORTRANGE(""https://docs.google.com/spreadsheets/d/1BuTWp7qHGjWhqrnf-OmePP568O4A5Am9ttzvVdP67zw/edit#gid=1603210130"", ""TOURISM!$A$2:$F$2692""), {2,3,4,5,6},0))"),"The Americas")</f>
        <v>The Americas</v>
      </c>
      <c r="L1951" s="14">
        <f>IFERROR(__xludf.DUMMYFUNCTION("""COMPUTED_VALUE"""),3.193E9)</f>
        <v>3193000000</v>
      </c>
      <c r="M1951" s="14" t="str">
        <f>IFERROR(__xludf.DUMMYFUNCTION("""COMPUTED_VALUE"""),"Puerto Rico-The Americas")</f>
        <v>Puerto Rico-The Americas</v>
      </c>
      <c r="N1951" s="14" t="str">
        <f>IFERROR(__xludf.DUMMYFUNCTION("""COMPUTED_VALUE"""),"2012")</f>
        <v>2012</v>
      </c>
      <c r="O1951" s="14">
        <f>IFERROR(__xludf.DUMMYFUNCTION("""COMPUTED_VALUE"""),1.156E9)</f>
        <v>1156000000</v>
      </c>
      <c r="P1951" s="15">
        <f>IFERROR(__xludf.DUMMYFUNCTION("ARRAYFORMULA(VLOOKUP(A1951,IMPORTRANGE(""https://docs.google.com/spreadsheets/d/1BuTWp7qHGjWhqrnf-OmePP568O4A5Am9ttzvVdP67zw/edit#gid=771602874"" ,""HUMAN RESOURCES!$A$2:$M$2692""), {2,3,4,5,6,7,8,9,10,11,12,13},0))"),0.011)</f>
        <v>0.011</v>
      </c>
      <c r="Q1951" s="14"/>
      <c r="R1951" s="14">
        <f>IFERROR(__xludf.DUMMYFUNCTION("""COMPUTED_VALUE"""),82.0)</f>
        <v>82</v>
      </c>
      <c r="S1951" s="14">
        <f>IFERROR(__xludf.DUMMYFUNCTION("""COMPUTED_VALUE"""),75.0)</f>
        <v>75</v>
      </c>
      <c r="T1951" s="14">
        <f>IFERROR(__xludf.DUMMYFUNCTION("""COMPUTED_VALUE"""),0.198)</f>
        <v>0.198</v>
      </c>
      <c r="U1951" s="14">
        <f>IFERROR(__xludf.DUMMYFUNCTION("""COMPUTED_VALUE"""),0.667)</f>
        <v>0.667</v>
      </c>
      <c r="V1951" s="14">
        <f>IFERROR(__xludf.DUMMYFUNCTION("""COMPUTED_VALUE"""),0.135)</f>
        <v>0.135</v>
      </c>
      <c r="W1951" s="14">
        <f>IFERROR(__xludf.DUMMYFUNCTION("""COMPUTED_VALUE"""),3651545.0)</f>
        <v>3651545</v>
      </c>
      <c r="X1951" s="14">
        <f>IFERROR(__xludf.DUMMYFUNCTION("""COMPUTED_VALUE"""),0.937)</f>
        <v>0.937</v>
      </c>
      <c r="Y1951" s="14" t="str">
        <f>IFERROR(__xludf.DUMMYFUNCTION("""COMPUTED_VALUE"""),"Puerto Rico-The Americas")</f>
        <v>Puerto Rico-The Americas</v>
      </c>
      <c r="Z1951" s="14" t="str">
        <f>IFERROR(__xludf.DUMMYFUNCTION("""COMPUTED_VALUE"""),"The Americas")</f>
        <v>The Americas</v>
      </c>
      <c r="AA1951" s="14" t="str">
        <f>IFERROR(__xludf.DUMMYFUNCTION("""COMPUTED_VALUE"""),"2012")</f>
        <v>2012</v>
      </c>
      <c r="AB1951" s="15" t="str">
        <f>IFERROR(__xludf.DUMMYFUNCTION("ARRAYFORMULA(VLOOKUP(A1951,IMPORTRANGE(""https://docs.google.com/spreadsheets/d/1BuTWp7qHGjWhqrnf-OmePP568O4A5Am9ttzvVdP67zw/edit#gid=1931367683"" ,""ENERGY!$A$2:$F$2692""), {2,3,4,5,6},0))"),"The Americas")</f>
        <v>The Americas</v>
      </c>
      <c r="AC1951" s="14" t="str">
        <f>IFERROR(__xludf.DUMMYFUNCTION("""COMPUTED_VALUE"""),"Puerto Rico-The Americas")</f>
        <v>Puerto Rico-The Americas</v>
      </c>
      <c r="AD1951" s="14" t="str">
        <f>IFERROR(__xludf.DUMMYFUNCTION("""COMPUTED_VALUE"""),"2011")</f>
        <v>2011</v>
      </c>
      <c r="AE1951" s="14"/>
      <c r="AF1951" s="14"/>
    </row>
    <row r="1952">
      <c r="A1952" s="12">
        <v>1951.0</v>
      </c>
      <c r="B1952" s="12" t="s">
        <v>229</v>
      </c>
      <c r="C1952" s="5" t="s">
        <v>93</v>
      </c>
      <c r="D1952" s="8"/>
      <c r="E1952" s="8"/>
      <c r="F1952" s="8"/>
      <c r="G1952" s="8"/>
      <c r="H1952" s="11">
        <v>0.049</v>
      </c>
      <c r="I1952" s="11">
        <v>0.204</v>
      </c>
      <c r="J1952" s="9" t="s">
        <v>60</v>
      </c>
      <c r="K1952" s="14" t="str">
        <f>IFERROR(__xludf.DUMMYFUNCTION("ARRAYFORMULA(VLOOKUP(A1952,IMPORTRANGE(""https://docs.google.com/spreadsheets/d/1BuTWp7qHGjWhqrnf-OmePP568O4A5Am9ttzvVdP67zw/edit#gid=1603210130"", ""TOURISM!$A$2:$F$2692""), {2,3,4,5,6},0))"),"Middle East")</f>
        <v>Middle East</v>
      </c>
      <c r="L1952" s="14">
        <f>IFERROR(__xludf.DUMMYFUNCTION("""COMPUTED_VALUE"""),1.28E8)</f>
        <v>128000000</v>
      </c>
      <c r="M1952" s="14" t="str">
        <f>IFERROR(__xludf.DUMMYFUNCTION("""COMPUTED_VALUE"""),"Qatar-Middle East")</f>
        <v>Qatar-Middle East</v>
      </c>
      <c r="N1952" s="14" t="str">
        <f>IFERROR(__xludf.DUMMYFUNCTION("""COMPUTED_VALUE"""),"2000")</f>
        <v>2000</v>
      </c>
      <c r="O1952" s="14">
        <f>IFERROR(__xludf.DUMMYFUNCTION("""COMPUTED_VALUE"""),3.07E8)</f>
        <v>307000000</v>
      </c>
      <c r="P1952" s="15">
        <f>IFERROR(__xludf.DUMMYFUNCTION("ARRAYFORMULA(VLOOKUP(A1952,IMPORTRANGE(""https://docs.google.com/spreadsheets/d/1BuTWp7qHGjWhqrnf-OmePP568O4A5Am9ttzvVdP67zw/edit#gid=771602874"" ,""HUMAN RESOURCES!$A$2:$M$2692""), {2,3,4,5,6,7,8,9,10,11,12,13},0))"),0.019)</f>
        <v>0.019</v>
      </c>
      <c r="Q1952" s="14">
        <f>IFERROR(__xludf.DUMMYFUNCTION("""COMPUTED_VALUE"""),0.011)</f>
        <v>0.011</v>
      </c>
      <c r="R1952" s="14">
        <f>IFERROR(__xludf.DUMMYFUNCTION("""COMPUTED_VALUE"""),78.0)</f>
        <v>78</v>
      </c>
      <c r="S1952" s="14">
        <f>IFERROR(__xludf.DUMMYFUNCTION("""COMPUTED_VALUE"""),76.0)</f>
        <v>76</v>
      </c>
      <c r="T1952" s="14">
        <f>IFERROR(__xludf.DUMMYFUNCTION("""COMPUTED_VALUE"""),0.259)</f>
        <v>0.259</v>
      </c>
      <c r="U1952" s="14">
        <f>IFERROR(__xludf.DUMMYFUNCTION("""COMPUTED_VALUE"""),0.724)</f>
        <v>0.724</v>
      </c>
      <c r="V1952" s="14">
        <f>IFERROR(__xludf.DUMMYFUNCTION("""COMPUTED_VALUE"""),0.017)</f>
        <v>0.017</v>
      </c>
      <c r="W1952" s="14">
        <f>IFERROR(__xludf.DUMMYFUNCTION("""COMPUTED_VALUE"""),593693.0)</f>
        <v>593693</v>
      </c>
      <c r="X1952" s="14">
        <f>IFERROR(__xludf.DUMMYFUNCTION("""COMPUTED_VALUE"""),0.963)</f>
        <v>0.963</v>
      </c>
      <c r="Y1952" s="14" t="str">
        <f>IFERROR(__xludf.DUMMYFUNCTION("""COMPUTED_VALUE"""),"Qatar-Middle East")</f>
        <v>Qatar-Middle East</v>
      </c>
      <c r="Z1952" s="14" t="str">
        <f>IFERROR(__xludf.DUMMYFUNCTION("""COMPUTED_VALUE"""),"Middle East")</f>
        <v>Middle East</v>
      </c>
      <c r="AA1952" s="14" t="str">
        <f>IFERROR(__xludf.DUMMYFUNCTION("""COMPUTED_VALUE"""),"2000")</f>
        <v>2000</v>
      </c>
      <c r="AB1952" s="15" t="str">
        <f>IFERROR(__xludf.DUMMYFUNCTION("ARRAYFORMULA(VLOOKUP(A1952,IMPORTRANGE(""https://docs.google.com/spreadsheets/d/1BuTWp7qHGjWhqrnf-OmePP568O4A5Am9ttzvVdP67zw/edit#gid=1931367683"" ,""ENERGY!$A$2:$F$2692""), {2,3,4,5,6},0))"),"Middle East")</f>
        <v>Middle East</v>
      </c>
      <c r="AC1952" s="14" t="str">
        <f>IFERROR(__xludf.DUMMYFUNCTION("""COMPUTED_VALUE"""),"Qatar-Middle East")</f>
        <v>Qatar-Middle East</v>
      </c>
      <c r="AD1952" s="14" t="str">
        <f>IFERROR(__xludf.DUMMYFUNCTION("""COMPUTED_VALUE"""),"2000")</f>
        <v>2000</v>
      </c>
      <c r="AE1952" s="14"/>
      <c r="AF1952" s="14"/>
    </row>
    <row r="1953">
      <c r="A1953" s="12">
        <v>1952.0</v>
      </c>
      <c r="B1953" s="12" t="s">
        <v>229</v>
      </c>
      <c r="C1953" s="5" t="s">
        <v>93</v>
      </c>
      <c r="D1953" s="8"/>
      <c r="E1953" s="8"/>
      <c r="F1953" s="8"/>
      <c r="G1953" s="8"/>
      <c r="H1953" s="11">
        <v>0.062</v>
      </c>
      <c r="I1953" s="11">
        <v>0.291</v>
      </c>
      <c r="J1953" s="9" t="s">
        <v>62</v>
      </c>
      <c r="K1953" s="14" t="str">
        <f>IFERROR(__xludf.DUMMYFUNCTION("ARRAYFORMULA(VLOOKUP(A1953,IMPORTRANGE(""https://docs.google.com/spreadsheets/d/1BuTWp7qHGjWhqrnf-OmePP568O4A5Am9ttzvVdP67zw/edit#gid=1603210130"", ""TOURISM!$A$2:$F$2692""), {2,3,4,5,6},0))"),"Middle East")</f>
        <v>Middle East</v>
      </c>
      <c r="L1953" s="14">
        <f>IFERROR(__xludf.DUMMYFUNCTION("""COMPUTED_VALUE"""),2.72E8)</f>
        <v>272000000</v>
      </c>
      <c r="M1953" s="14" t="str">
        <f>IFERROR(__xludf.DUMMYFUNCTION("""COMPUTED_VALUE"""),"Qatar-Middle East")</f>
        <v>Qatar-Middle East</v>
      </c>
      <c r="N1953" s="14" t="str">
        <f>IFERROR(__xludf.DUMMYFUNCTION("""COMPUTED_VALUE"""),"2001")</f>
        <v>2001</v>
      </c>
      <c r="O1953" s="14">
        <f>IFERROR(__xludf.DUMMYFUNCTION("""COMPUTED_VALUE"""),3.66E8)</f>
        <v>366000000</v>
      </c>
      <c r="P1953" s="15">
        <f>IFERROR(__xludf.DUMMYFUNCTION("ARRAYFORMULA(VLOOKUP(A1953,IMPORTRANGE(""https://docs.google.com/spreadsheets/d/1BuTWp7qHGjWhqrnf-OmePP568O4A5Am9ttzvVdP67zw/edit#gid=771602874"" ,""HUMAN RESOURCES!$A$2:$M$2692""), {2,3,4,5,6,7,8,9,10,11,12,13},0))"),0.019)</f>
        <v>0.019</v>
      </c>
      <c r="Q1953" s="14">
        <f>IFERROR(__xludf.DUMMYFUNCTION("""COMPUTED_VALUE"""),0.01)</f>
        <v>0.01</v>
      </c>
      <c r="R1953" s="14">
        <f>IFERROR(__xludf.DUMMYFUNCTION("""COMPUTED_VALUE"""),78.0)</f>
        <v>78</v>
      </c>
      <c r="S1953" s="14">
        <f>IFERROR(__xludf.DUMMYFUNCTION("""COMPUTED_VALUE"""),76.0)</f>
        <v>76</v>
      </c>
      <c r="T1953" s="14">
        <f>IFERROR(__xludf.DUMMYFUNCTION("""COMPUTED_VALUE"""),0.263)</f>
        <v>0.263</v>
      </c>
      <c r="U1953" s="14">
        <f>IFERROR(__xludf.DUMMYFUNCTION("""COMPUTED_VALUE"""),0.72)</f>
        <v>0.72</v>
      </c>
      <c r="V1953" s="14">
        <f>IFERROR(__xludf.DUMMYFUNCTION("""COMPUTED_VALUE"""),0.017)</f>
        <v>0.017</v>
      </c>
      <c r="W1953" s="14">
        <f>IFERROR(__xludf.DUMMYFUNCTION("""COMPUTED_VALUE"""),611808.0)</f>
        <v>611808</v>
      </c>
      <c r="X1953" s="14">
        <f>IFERROR(__xludf.DUMMYFUNCTION("""COMPUTED_VALUE"""),0.965)</f>
        <v>0.965</v>
      </c>
      <c r="Y1953" s="14" t="str">
        <f>IFERROR(__xludf.DUMMYFUNCTION("""COMPUTED_VALUE"""),"Qatar-Middle East")</f>
        <v>Qatar-Middle East</v>
      </c>
      <c r="Z1953" s="14" t="str">
        <f>IFERROR(__xludf.DUMMYFUNCTION("""COMPUTED_VALUE"""),"Middle East")</f>
        <v>Middle East</v>
      </c>
      <c r="AA1953" s="14" t="str">
        <f>IFERROR(__xludf.DUMMYFUNCTION("""COMPUTED_VALUE"""),"2001")</f>
        <v>2001</v>
      </c>
      <c r="AB1953" s="15" t="str">
        <f>IFERROR(__xludf.DUMMYFUNCTION("ARRAYFORMULA(VLOOKUP(A1953,IMPORTRANGE(""https://docs.google.com/spreadsheets/d/1BuTWp7qHGjWhqrnf-OmePP568O4A5Am9ttzvVdP67zw/edit#gid=1931367683"" ,""ENERGY!$A$2:$F$2692""), {2,3,4,5,6},0))"),"Middle East")</f>
        <v>Middle East</v>
      </c>
      <c r="AC1953" s="14" t="str">
        <f>IFERROR(__xludf.DUMMYFUNCTION("""COMPUTED_VALUE"""),"Qatar-Middle East")</f>
        <v>Qatar-Middle East</v>
      </c>
      <c r="AD1953" s="14" t="str">
        <f>IFERROR(__xludf.DUMMYFUNCTION("""COMPUTED_VALUE"""),"2001")</f>
        <v>2001</v>
      </c>
      <c r="AE1953" s="14">
        <f>IFERROR(__xludf.DUMMYFUNCTION("""COMPUTED_VALUE"""),33285.0)</f>
        <v>33285</v>
      </c>
      <c r="AF1953" s="14"/>
    </row>
    <row r="1954">
      <c r="A1954" s="12">
        <v>1953.0</v>
      </c>
      <c r="B1954" s="12" t="s">
        <v>229</v>
      </c>
      <c r="C1954" s="5" t="s">
        <v>93</v>
      </c>
      <c r="D1954" s="8"/>
      <c r="E1954" s="8"/>
      <c r="F1954" s="8"/>
      <c r="G1954" s="8"/>
      <c r="H1954" s="11">
        <v>0.102</v>
      </c>
      <c r="I1954" s="11">
        <v>0.424</v>
      </c>
      <c r="J1954" s="9" t="s">
        <v>63</v>
      </c>
      <c r="K1954" s="14" t="str">
        <f>IFERROR(__xludf.DUMMYFUNCTION("ARRAYFORMULA(VLOOKUP(A1954,IMPORTRANGE(""https://docs.google.com/spreadsheets/d/1BuTWp7qHGjWhqrnf-OmePP568O4A5Am9ttzvVdP67zw/edit#gid=1603210130"", ""TOURISM!$A$2:$F$2692""), {2,3,4,5,6},0))"),"Middle East")</f>
        <v>Middle East</v>
      </c>
      <c r="L1954" s="14">
        <f>IFERROR(__xludf.DUMMYFUNCTION("""COMPUTED_VALUE"""),2.85E8)</f>
        <v>285000000</v>
      </c>
      <c r="M1954" s="14" t="str">
        <f>IFERROR(__xludf.DUMMYFUNCTION("""COMPUTED_VALUE"""),"Qatar-Middle East")</f>
        <v>Qatar-Middle East</v>
      </c>
      <c r="N1954" s="14" t="str">
        <f>IFERROR(__xludf.DUMMYFUNCTION("""COMPUTED_VALUE"""),"2002")</f>
        <v>2002</v>
      </c>
      <c r="O1954" s="14">
        <f>IFERROR(__xludf.DUMMYFUNCTION("""COMPUTED_VALUE"""),4.23E8)</f>
        <v>423000000</v>
      </c>
      <c r="P1954" s="15">
        <f>IFERROR(__xludf.DUMMYFUNCTION("ARRAYFORMULA(VLOOKUP(A1954,IMPORTRANGE(""https://docs.google.com/spreadsheets/d/1BuTWp7qHGjWhqrnf-OmePP568O4A5Am9ttzvVdP67zw/edit#gid=771602874"" ,""HUMAN RESOURCES!$A$2:$M$2692""), {2,3,4,5,6,7,8,9,10,11,12,13},0))"),0.018)</f>
        <v>0.018</v>
      </c>
      <c r="Q1954" s="14">
        <f>IFERROR(__xludf.DUMMYFUNCTION("""COMPUTED_VALUE"""),0.01)</f>
        <v>0.01</v>
      </c>
      <c r="R1954" s="14">
        <f>IFERROR(__xludf.DUMMYFUNCTION("""COMPUTED_VALUE"""),78.0)</f>
        <v>78</v>
      </c>
      <c r="S1954" s="14">
        <f>IFERROR(__xludf.DUMMYFUNCTION("""COMPUTED_VALUE"""),76.0)</f>
        <v>76</v>
      </c>
      <c r="T1954" s="14">
        <f>IFERROR(__xludf.DUMMYFUNCTION("""COMPUTED_VALUE"""),0.268)</f>
        <v>0.268</v>
      </c>
      <c r="U1954" s="14">
        <f>IFERROR(__xludf.DUMMYFUNCTION("""COMPUTED_VALUE"""),0.716)</f>
        <v>0.716</v>
      </c>
      <c r="V1954" s="14">
        <f>IFERROR(__xludf.DUMMYFUNCTION("""COMPUTED_VALUE"""),0.016)</f>
        <v>0.016</v>
      </c>
      <c r="W1954" s="14">
        <f>IFERROR(__xludf.DUMMYFUNCTION("""COMPUTED_VALUE"""),629745.0)</f>
        <v>629745</v>
      </c>
      <c r="X1954" s="14">
        <f>IFERROR(__xludf.DUMMYFUNCTION("""COMPUTED_VALUE"""),0.967)</f>
        <v>0.967</v>
      </c>
      <c r="Y1954" s="14" t="str">
        <f>IFERROR(__xludf.DUMMYFUNCTION("""COMPUTED_VALUE"""),"Qatar-Middle East")</f>
        <v>Qatar-Middle East</v>
      </c>
      <c r="Z1954" s="14" t="str">
        <f>IFERROR(__xludf.DUMMYFUNCTION("""COMPUTED_VALUE"""),"Middle East")</f>
        <v>Middle East</v>
      </c>
      <c r="AA1954" s="14" t="str">
        <f>IFERROR(__xludf.DUMMYFUNCTION("""COMPUTED_VALUE"""),"2002")</f>
        <v>2002</v>
      </c>
      <c r="AB1954" s="15" t="str">
        <f>IFERROR(__xludf.DUMMYFUNCTION("ARRAYFORMULA(VLOOKUP(A1954,IMPORTRANGE(""https://docs.google.com/spreadsheets/d/1BuTWp7qHGjWhqrnf-OmePP568O4A5Am9ttzvVdP67zw/edit#gid=1931367683"" ,""ENERGY!$A$2:$F$2692""), {2,3,4,5,6},0))"),"Middle East")</f>
        <v>Middle East</v>
      </c>
      <c r="AC1954" s="14" t="str">
        <f>IFERROR(__xludf.DUMMYFUNCTION("""COMPUTED_VALUE"""),"Qatar-Middle East")</f>
        <v>Qatar-Middle East</v>
      </c>
      <c r="AD1954" s="14" t="str">
        <f>IFERROR(__xludf.DUMMYFUNCTION("""COMPUTED_VALUE"""),"2002")</f>
        <v>2002</v>
      </c>
      <c r="AE1954" s="14">
        <f>IFERROR(__xludf.DUMMYFUNCTION("""COMPUTED_VALUE"""),28973.0)</f>
        <v>28973</v>
      </c>
      <c r="AF1954" s="14">
        <f>IFERROR(__xludf.DUMMYFUNCTION("""COMPUTED_VALUE"""),70531.0)</f>
        <v>70531</v>
      </c>
    </row>
    <row r="1955">
      <c r="A1955" s="12">
        <v>1954.0</v>
      </c>
      <c r="B1955" s="12" t="s">
        <v>229</v>
      </c>
      <c r="C1955" s="5" t="s">
        <v>93</v>
      </c>
      <c r="D1955" s="8"/>
      <c r="E1955" s="8"/>
      <c r="F1955" s="8"/>
      <c r="G1955" s="8"/>
      <c r="H1955" s="11">
        <v>0.192</v>
      </c>
      <c r="I1955" s="11">
        <v>0.57</v>
      </c>
      <c r="J1955" s="9" t="s">
        <v>64</v>
      </c>
      <c r="K1955" s="14" t="str">
        <f>IFERROR(__xludf.DUMMYFUNCTION("ARRAYFORMULA(VLOOKUP(A1955,IMPORTRANGE(""https://docs.google.com/spreadsheets/d/1BuTWp7qHGjWhqrnf-OmePP568O4A5Am9ttzvVdP67zw/edit#gid=1603210130"", ""TOURISM!$A$2:$F$2692""), {2,3,4,5,6},0))"),"Middle East")</f>
        <v>Middle East</v>
      </c>
      <c r="L1955" s="14">
        <f>IFERROR(__xludf.DUMMYFUNCTION("""COMPUTED_VALUE"""),3.69E8)</f>
        <v>369000000</v>
      </c>
      <c r="M1955" s="14" t="str">
        <f>IFERROR(__xludf.DUMMYFUNCTION("""COMPUTED_VALUE"""),"Qatar-Middle East")</f>
        <v>Qatar-Middle East</v>
      </c>
      <c r="N1955" s="14" t="str">
        <f>IFERROR(__xludf.DUMMYFUNCTION("""COMPUTED_VALUE"""),"2003")</f>
        <v>2003</v>
      </c>
      <c r="O1955" s="14">
        <f>IFERROR(__xludf.DUMMYFUNCTION("""COMPUTED_VALUE"""),4.71E8)</f>
        <v>471000000</v>
      </c>
      <c r="P1955" s="15">
        <f>IFERROR(__xludf.DUMMYFUNCTION("ARRAYFORMULA(VLOOKUP(A1955,IMPORTRANGE(""https://docs.google.com/spreadsheets/d/1BuTWp7qHGjWhqrnf-OmePP568O4A5Am9ttzvVdP67zw/edit#gid=771602874"" ,""HUMAN RESOURCES!$A$2:$M$2692""), {2,3,4,5,6,7,8,9,10,11,12,13},0))"),0.017)</f>
        <v>0.017</v>
      </c>
      <c r="Q1955" s="14">
        <f>IFERROR(__xludf.DUMMYFUNCTION("""COMPUTED_VALUE"""),0.01)</f>
        <v>0.01</v>
      </c>
      <c r="R1955" s="14">
        <f>IFERROR(__xludf.DUMMYFUNCTION("""COMPUTED_VALUE"""),78.0)</f>
        <v>78</v>
      </c>
      <c r="S1955" s="14">
        <f>IFERROR(__xludf.DUMMYFUNCTION("""COMPUTED_VALUE"""),76.0)</f>
        <v>76</v>
      </c>
      <c r="T1955" s="14">
        <f>IFERROR(__xludf.DUMMYFUNCTION("""COMPUTED_VALUE"""),0.269)</f>
        <v>0.269</v>
      </c>
      <c r="U1955" s="14">
        <f>IFERROR(__xludf.DUMMYFUNCTION("""COMPUTED_VALUE"""),0.716)</f>
        <v>0.716</v>
      </c>
      <c r="V1955" s="14">
        <f>IFERROR(__xludf.DUMMYFUNCTION("""COMPUTED_VALUE"""),0.015)</f>
        <v>0.015</v>
      </c>
      <c r="W1955" s="14">
        <f>IFERROR(__xludf.DUMMYFUNCTION("""COMPUTED_VALUE"""),660238.0)</f>
        <v>660238</v>
      </c>
      <c r="X1955" s="14">
        <f>IFERROR(__xludf.DUMMYFUNCTION("""COMPUTED_VALUE"""),0.969)</f>
        <v>0.969</v>
      </c>
      <c r="Y1955" s="14" t="str">
        <f>IFERROR(__xludf.DUMMYFUNCTION("""COMPUTED_VALUE"""),"Qatar-Middle East")</f>
        <v>Qatar-Middle East</v>
      </c>
      <c r="Z1955" s="14" t="str">
        <f>IFERROR(__xludf.DUMMYFUNCTION("""COMPUTED_VALUE"""),"Middle East")</f>
        <v>Middle East</v>
      </c>
      <c r="AA1955" s="14" t="str">
        <f>IFERROR(__xludf.DUMMYFUNCTION("""COMPUTED_VALUE"""),"2003")</f>
        <v>2003</v>
      </c>
      <c r="AB1955" s="15" t="str">
        <f>IFERROR(__xludf.DUMMYFUNCTION("ARRAYFORMULA(VLOOKUP(A1955,IMPORTRANGE(""https://docs.google.com/spreadsheets/d/1BuTWp7qHGjWhqrnf-OmePP568O4A5Am9ttzvVdP67zw/edit#gid=1931367683"" ,""ENERGY!$A$2:$F$2692""), {2,3,4,5,6},0))"),"Middle East")</f>
        <v>Middle East</v>
      </c>
      <c r="AC1955" s="14" t="str">
        <f>IFERROR(__xludf.DUMMYFUNCTION("""COMPUTED_VALUE"""),"Qatar-Middle East")</f>
        <v>Qatar-Middle East</v>
      </c>
      <c r="AD1955" s="14" t="str">
        <f>IFERROR(__xludf.DUMMYFUNCTION("""COMPUTED_VALUE"""),"2003")</f>
        <v>2003</v>
      </c>
      <c r="AE1955" s="14">
        <f>IFERROR(__xludf.DUMMYFUNCTION("""COMPUTED_VALUE"""),24942.0)</f>
        <v>24942</v>
      </c>
      <c r="AF1955" s="14">
        <f>IFERROR(__xludf.DUMMYFUNCTION("""COMPUTED_VALUE"""),66120.0)</f>
        <v>66120</v>
      </c>
    </row>
    <row r="1956">
      <c r="A1956" s="12">
        <v>1955.0</v>
      </c>
      <c r="B1956" s="12" t="s">
        <v>229</v>
      </c>
      <c r="C1956" s="5" t="s">
        <v>93</v>
      </c>
      <c r="D1956" s="8"/>
      <c r="E1956" s="8"/>
      <c r="F1956" s="8"/>
      <c r="G1956" s="8"/>
      <c r="H1956" s="11">
        <v>0.207</v>
      </c>
      <c r="I1956" s="11">
        <v>0.681</v>
      </c>
      <c r="J1956" s="9" t="s">
        <v>65</v>
      </c>
      <c r="K1956" s="14" t="str">
        <f>IFERROR(__xludf.DUMMYFUNCTION("ARRAYFORMULA(VLOOKUP(A1956,IMPORTRANGE(""https://docs.google.com/spreadsheets/d/1BuTWp7qHGjWhqrnf-OmePP568O4A5Am9ttzvVdP67zw/edit#gid=1603210130"", ""TOURISM!$A$2:$F$2692""), {2,3,4,5,6},0))"),"Middle East")</f>
        <v>Middle East</v>
      </c>
      <c r="L1956" s="14">
        <f>IFERROR(__xludf.DUMMYFUNCTION("""COMPUTED_VALUE"""),4.98E8)</f>
        <v>498000000</v>
      </c>
      <c r="M1956" s="14" t="str">
        <f>IFERROR(__xludf.DUMMYFUNCTION("""COMPUTED_VALUE"""),"Qatar-Middle East")</f>
        <v>Qatar-Middle East</v>
      </c>
      <c r="N1956" s="14" t="str">
        <f>IFERROR(__xludf.DUMMYFUNCTION("""COMPUTED_VALUE"""),"2004")</f>
        <v>2004</v>
      </c>
      <c r="O1956" s="14">
        <f>IFERROR(__xludf.DUMMYFUNCTION("""COMPUTED_VALUE"""),6.91E8)</f>
        <v>691000000</v>
      </c>
      <c r="P1956" s="15">
        <f>IFERROR(__xludf.DUMMYFUNCTION("ARRAYFORMULA(VLOOKUP(A1956,IMPORTRANGE(""https://docs.google.com/spreadsheets/d/1BuTWp7qHGjWhqrnf-OmePP568O4A5Am9ttzvVdP67zw/edit#gid=771602874"" ,""HUMAN RESOURCES!$A$2:$M$2692""), {2,3,4,5,6,7,8,9,10,11,12,13},0))"),0.016)</f>
        <v>0.016</v>
      </c>
      <c r="Q1956" s="14">
        <f>IFERROR(__xludf.DUMMYFUNCTION("""COMPUTED_VALUE"""),0.009)</f>
        <v>0.009</v>
      </c>
      <c r="R1956" s="14">
        <f>IFERROR(__xludf.DUMMYFUNCTION("""COMPUTED_VALUE"""),78.0)</f>
        <v>78</v>
      </c>
      <c r="S1956" s="14">
        <f>IFERROR(__xludf.DUMMYFUNCTION("""COMPUTED_VALUE"""),76.0)</f>
        <v>76</v>
      </c>
      <c r="T1956" s="14">
        <f>IFERROR(__xludf.DUMMYFUNCTION("""COMPUTED_VALUE"""),0.259)</f>
        <v>0.259</v>
      </c>
      <c r="U1956" s="14">
        <f>IFERROR(__xludf.DUMMYFUNCTION("""COMPUTED_VALUE"""),0.727)</f>
        <v>0.727</v>
      </c>
      <c r="V1956" s="14">
        <f>IFERROR(__xludf.DUMMYFUNCTION("""COMPUTED_VALUE"""),0.014)</f>
        <v>0.014</v>
      </c>
      <c r="W1956" s="14">
        <f>IFERROR(__xludf.DUMMYFUNCTION("""COMPUTED_VALUE"""),720383.0)</f>
        <v>720383</v>
      </c>
      <c r="X1956" s="14">
        <f>IFERROR(__xludf.DUMMYFUNCTION("""COMPUTED_VALUE"""),0.971)</f>
        <v>0.971</v>
      </c>
      <c r="Y1956" s="14" t="str">
        <f>IFERROR(__xludf.DUMMYFUNCTION("""COMPUTED_VALUE"""),"Qatar-Middle East")</f>
        <v>Qatar-Middle East</v>
      </c>
      <c r="Z1956" s="14" t="str">
        <f>IFERROR(__xludf.DUMMYFUNCTION("""COMPUTED_VALUE"""),"Middle East")</f>
        <v>Middle East</v>
      </c>
      <c r="AA1956" s="14" t="str">
        <f>IFERROR(__xludf.DUMMYFUNCTION("""COMPUTED_VALUE"""),"2004")</f>
        <v>2004</v>
      </c>
      <c r="AB1956" s="15" t="str">
        <f>IFERROR(__xludf.DUMMYFUNCTION("ARRAYFORMULA(VLOOKUP(A1956,IMPORTRANGE(""https://docs.google.com/spreadsheets/d/1BuTWp7qHGjWhqrnf-OmePP568O4A5Am9ttzvVdP67zw/edit#gid=1931367683"" ,""ENERGY!$A$2:$F$2692""), {2,3,4,5,6},0))"),"Middle East")</f>
        <v>Middle East</v>
      </c>
      <c r="AC1956" s="14" t="str">
        <f>IFERROR(__xludf.DUMMYFUNCTION("""COMPUTED_VALUE"""),"Qatar-Middle East")</f>
        <v>Qatar-Middle East</v>
      </c>
      <c r="AD1956" s="14" t="str">
        <f>IFERROR(__xludf.DUMMYFUNCTION("""COMPUTED_VALUE"""),"2004")</f>
        <v>2004</v>
      </c>
      <c r="AE1956" s="14">
        <f>IFERROR(__xludf.DUMMYFUNCTION("""COMPUTED_VALUE"""),23642.0)</f>
        <v>23642</v>
      </c>
      <c r="AF1956" s="14">
        <f>IFERROR(__xludf.DUMMYFUNCTION("""COMPUTED_VALUE"""),67997.0)</f>
        <v>67997</v>
      </c>
    </row>
    <row r="1957">
      <c r="A1957" s="12">
        <v>1956.0</v>
      </c>
      <c r="B1957" s="12" t="s">
        <v>229</v>
      </c>
      <c r="C1957" s="5" t="s">
        <v>93</v>
      </c>
      <c r="D1957" s="8"/>
      <c r="E1957" s="8"/>
      <c r="F1957" s="8"/>
      <c r="G1957" s="8"/>
      <c r="H1957" s="11">
        <v>0.247</v>
      </c>
      <c r="I1957" s="11">
        <v>0.873</v>
      </c>
      <c r="J1957" s="9" t="s">
        <v>66</v>
      </c>
      <c r="K1957" s="14" t="str">
        <f>IFERROR(__xludf.DUMMYFUNCTION("ARRAYFORMULA(VLOOKUP(A1957,IMPORTRANGE(""https://docs.google.com/spreadsheets/d/1BuTWp7qHGjWhqrnf-OmePP568O4A5Am9ttzvVdP67zw/edit#gid=1603210130"", ""TOURISM!$A$2:$F$2692""), {2,3,4,5,6},0))"),"Middle East")</f>
        <v>Middle East</v>
      </c>
      <c r="L1957" s="14">
        <f>IFERROR(__xludf.DUMMYFUNCTION("""COMPUTED_VALUE"""),7.6E8)</f>
        <v>760000000</v>
      </c>
      <c r="M1957" s="14" t="str">
        <f>IFERROR(__xludf.DUMMYFUNCTION("""COMPUTED_VALUE"""),"Qatar-Middle East")</f>
        <v>Qatar-Middle East</v>
      </c>
      <c r="N1957" s="14" t="str">
        <f>IFERROR(__xludf.DUMMYFUNCTION("""COMPUTED_VALUE"""),"2005")</f>
        <v>2005</v>
      </c>
      <c r="O1957" s="14">
        <f>IFERROR(__xludf.DUMMYFUNCTION("""COMPUTED_VALUE"""),1.759E9)</f>
        <v>1759000000</v>
      </c>
      <c r="P1957" s="15">
        <f>IFERROR(__xludf.DUMMYFUNCTION("ARRAYFORMULA(VLOOKUP(A1957,IMPORTRANGE(""https://docs.google.com/spreadsheets/d/1BuTWp7qHGjWhqrnf-OmePP568O4A5Am9ttzvVdP67zw/edit#gid=771602874"" ,""HUMAN RESOURCES!$A$2:$M$2692""), {2,3,4,5,6,7,8,9,10,11,12,13},0))"),0.015)</f>
        <v>0.015</v>
      </c>
      <c r="Q1957" s="14">
        <f>IFERROR(__xludf.DUMMYFUNCTION("""COMPUTED_VALUE"""),0.009)</f>
        <v>0.009</v>
      </c>
      <c r="R1957" s="14">
        <f>IFERROR(__xludf.DUMMYFUNCTION("""COMPUTED_VALUE"""),78.0)</f>
        <v>78</v>
      </c>
      <c r="S1957" s="14">
        <f>IFERROR(__xludf.DUMMYFUNCTION("""COMPUTED_VALUE"""),77.0)</f>
        <v>77</v>
      </c>
      <c r="T1957" s="14">
        <f>IFERROR(__xludf.DUMMYFUNCTION("""COMPUTED_VALUE"""),0.237)</f>
        <v>0.237</v>
      </c>
      <c r="U1957" s="14">
        <f>IFERROR(__xludf.DUMMYFUNCTION("""COMPUTED_VALUE"""),0.749)</f>
        <v>0.749</v>
      </c>
      <c r="V1957" s="14">
        <f>IFERROR(__xludf.DUMMYFUNCTION("""COMPUTED_VALUE"""),0.014)</f>
        <v>0.014</v>
      </c>
      <c r="W1957" s="14">
        <f>IFERROR(__xludf.DUMMYFUNCTION("""COMPUTED_VALUE"""),821159.0)</f>
        <v>821159</v>
      </c>
      <c r="X1957" s="14">
        <f>IFERROR(__xludf.DUMMYFUNCTION("""COMPUTED_VALUE"""),0.974)</f>
        <v>0.974</v>
      </c>
      <c r="Y1957" s="14" t="str">
        <f>IFERROR(__xludf.DUMMYFUNCTION("""COMPUTED_VALUE"""),"Qatar-Middle East")</f>
        <v>Qatar-Middle East</v>
      </c>
      <c r="Z1957" s="14" t="str">
        <f>IFERROR(__xludf.DUMMYFUNCTION("""COMPUTED_VALUE"""),"Middle East")</f>
        <v>Middle East</v>
      </c>
      <c r="AA1957" s="14" t="str">
        <f>IFERROR(__xludf.DUMMYFUNCTION("""COMPUTED_VALUE"""),"2005")</f>
        <v>2005</v>
      </c>
      <c r="AB1957" s="15" t="str">
        <f>IFERROR(__xludf.DUMMYFUNCTION("ARRAYFORMULA(VLOOKUP(A1957,IMPORTRANGE(""https://docs.google.com/spreadsheets/d/1BuTWp7qHGjWhqrnf-OmePP568O4A5Am9ttzvVdP67zw/edit#gid=1931367683"" ,""ENERGY!$A$2:$F$2692""), {2,3,4,5,6},0))"),"Middle East")</f>
        <v>Middle East</v>
      </c>
      <c r="AC1957" s="14" t="str">
        <f>IFERROR(__xludf.DUMMYFUNCTION("""COMPUTED_VALUE"""),"Qatar-Middle East")</f>
        <v>Qatar-Middle East</v>
      </c>
      <c r="AD1957" s="14" t="str">
        <f>IFERROR(__xludf.DUMMYFUNCTION("""COMPUTED_VALUE"""),"2008")</f>
        <v>2008</v>
      </c>
      <c r="AE1957" s="14">
        <f>IFERROR(__xludf.DUMMYFUNCTION("""COMPUTED_VALUE"""),22790.0)</f>
        <v>22790</v>
      </c>
      <c r="AF1957" s="14">
        <f>IFERROR(__xludf.DUMMYFUNCTION("""COMPUTED_VALUE"""),67242.0)</f>
        <v>67242</v>
      </c>
    </row>
    <row r="1958">
      <c r="A1958" s="12">
        <v>1957.0</v>
      </c>
      <c r="B1958" s="12" t="s">
        <v>229</v>
      </c>
      <c r="C1958" s="5" t="s">
        <v>93</v>
      </c>
      <c r="D1958" s="8"/>
      <c r="E1958" s="8"/>
      <c r="F1958" s="8"/>
      <c r="G1958" s="8"/>
      <c r="H1958" s="11">
        <v>0.29</v>
      </c>
      <c r="I1958" s="11">
        <v>0.951</v>
      </c>
      <c r="J1958" s="9" t="s">
        <v>67</v>
      </c>
      <c r="K1958" s="14" t="str">
        <f>IFERROR(__xludf.DUMMYFUNCTION("ARRAYFORMULA(VLOOKUP(A1958,IMPORTRANGE(""https://docs.google.com/spreadsheets/d/1BuTWp7qHGjWhqrnf-OmePP568O4A5Am9ttzvVdP67zw/edit#gid=1603210130"", ""TOURISM!$A$2:$F$2692""), {2,3,4,5,6},0))"),"Middle East")</f>
        <v>Middle East</v>
      </c>
      <c r="L1958" s="14">
        <f>IFERROR(__xludf.DUMMYFUNCTION("""COMPUTED_VALUE"""),8.74E8)</f>
        <v>874000000</v>
      </c>
      <c r="M1958" s="14" t="str">
        <f>IFERROR(__xludf.DUMMYFUNCTION("""COMPUTED_VALUE"""),"Qatar-Middle East")</f>
        <v>Qatar-Middle East</v>
      </c>
      <c r="N1958" s="14" t="str">
        <f>IFERROR(__xludf.DUMMYFUNCTION("""COMPUTED_VALUE"""),"2006")</f>
        <v>2006</v>
      </c>
      <c r="O1958" s="14">
        <f>IFERROR(__xludf.DUMMYFUNCTION("""COMPUTED_VALUE"""),3.751E9)</f>
        <v>3751000000</v>
      </c>
      <c r="P1958" s="15">
        <f>IFERROR(__xludf.DUMMYFUNCTION("ARRAYFORMULA(VLOOKUP(A1958,IMPORTRANGE(""https://docs.google.com/spreadsheets/d/1BuTWp7qHGjWhqrnf-OmePP568O4A5Am9ttzvVdP67zw/edit#gid=771602874"" ,""HUMAN RESOURCES!$A$2:$M$2692""), {2,3,4,5,6,7,8,9,10,11,12,13},0))"),0.014)</f>
        <v>0.014</v>
      </c>
      <c r="Q1958" s="14">
        <f>IFERROR(__xludf.DUMMYFUNCTION("""COMPUTED_VALUE"""),0.009)</f>
        <v>0.009</v>
      </c>
      <c r="R1958" s="14">
        <f>IFERROR(__xludf.DUMMYFUNCTION("""COMPUTED_VALUE"""),78.0)</f>
        <v>78</v>
      </c>
      <c r="S1958" s="14">
        <f>IFERROR(__xludf.DUMMYFUNCTION("""COMPUTED_VALUE"""),77.0)</f>
        <v>77</v>
      </c>
      <c r="T1958" s="14">
        <f>IFERROR(__xludf.DUMMYFUNCTION("""COMPUTED_VALUE"""),0.21)</f>
        <v>0.21</v>
      </c>
      <c r="U1958" s="14">
        <f>IFERROR(__xludf.DUMMYFUNCTION("""COMPUTED_VALUE"""),0.778)</f>
        <v>0.778</v>
      </c>
      <c r="V1958" s="14">
        <f>IFERROR(__xludf.DUMMYFUNCTION("""COMPUTED_VALUE"""),0.013)</f>
        <v>0.013</v>
      </c>
      <c r="W1958" s="14">
        <f>IFERROR(__xludf.DUMMYFUNCTION("""COMPUTED_VALUE"""),967602.0)</f>
        <v>967602</v>
      </c>
      <c r="X1958" s="14">
        <f>IFERROR(__xludf.DUMMYFUNCTION("""COMPUTED_VALUE"""),0.978)</f>
        <v>0.978</v>
      </c>
      <c r="Y1958" s="14" t="str">
        <f>IFERROR(__xludf.DUMMYFUNCTION("""COMPUTED_VALUE"""),"Qatar-Middle East")</f>
        <v>Qatar-Middle East</v>
      </c>
      <c r="Z1958" s="14" t="str">
        <f>IFERROR(__xludf.DUMMYFUNCTION("""COMPUTED_VALUE"""),"Middle East")</f>
        <v>Middle East</v>
      </c>
      <c r="AA1958" s="14" t="str">
        <f>IFERROR(__xludf.DUMMYFUNCTION("""COMPUTED_VALUE"""),"2006")</f>
        <v>2006</v>
      </c>
      <c r="AB1958" s="15" t="str">
        <f>IFERROR(__xludf.DUMMYFUNCTION("ARRAYFORMULA(VLOOKUP(A1958,IMPORTRANGE(""https://docs.google.com/spreadsheets/d/1BuTWp7qHGjWhqrnf-OmePP568O4A5Am9ttzvVdP67zw/edit#gid=1931367683"" ,""ENERGY!$A$2:$F$2692""), {2,3,4,5,6},0))"),"Middle East")</f>
        <v>Middle East</v>
      </c>
      <c r="AC1958" s="14" t="str">
        <f>IFERROR(__xludf.DUMMYFUNCTION("""COMPUTED_VALUE"""),"Qatar-Middle East")</f>
        <v>Qatar-Middle East</v>
      </c>
      <c r="AD1958" s="14" t="str">
        <f>IFERROR(__xludf.DUMMYFUNCTION("""COMPUTED_VALUE"""),"2012")</f>
        <v>2012</v>
      </c>
      <c r="AE1958" s="14">
        <f>IFERROR(__xludf.DUMMYFUNCTION("""COMPUTED_VALUE"""),19606.0)</f>
        <v>19606</v>
      </c>
      <c r="AF1958" s="14">
        <f>IFERROR(__xludf.DUMMYFUNCTION("""COMPUTED_VALUE"""),56736.0)</f>
        <v>56736</v>
      </c>
    </row>
    <row r="1959">
      <c r="A1959" s="12">
        <v>1958.0</v>
      </c>
      <c r="B1959" s="12" t="s">
        <v>229</v>
      </c>
      <c r="C1959" s="5" t="s">
        <v>93</v>
      </c>
      <c r="D1959" s="11">
        <v>0.113</v>
      </c>
      <c r="E1959" s="11">
        <v>7.0</v>
      </c>
      <c r="F1959" s="8"/>
      <c r="G1959" s="11">
        <v>36.0</v>
      </c>
      <c r="H1959" s="11">
        <v>0.37</v>
      </c>
      <c r="I1959" s="11">
        <v>1.097</v>
      </c>
      <c r="J1959" s="9" t="s">
        <v>68</v>
      </c>
      <c r="K1959" s="14" t="str">
        <f>IFERROR(__xludf.DUMMYFUNCTION("ARRAYFORMULA(VLOOKUP(A1959,IMPORTRANGE(""https://docs.google.com/spreadsheets/d/1BuTWp7qHGjWhqrnf-OmePP568O4A5Am9ttzvVdP67zw/edit#gid=1603210130"", ""TOURISM!$A$2:$F$2692""), {2,3,4,5,6},0))"),"Middle East")</f>
        <v>Middle East</v>
      </c>
      <c r="L1959" s="14"/>
      <c r="M1959" s="14" t="str">
        <f>IFERROR(__xludf.DUMMYFUNCTION("""COMPUTED_VALUE"""),"Qatar-Middle East")</f>
        <v>Qatar-Middle East</v>
      </c>
      <c r="N1959" s="14" t="str">
        <f>IFERROR(__xludf.DUMMYFUNCTION("""COMPUTED_VALUE"""),"2007")</f>
        <v>2007</v>
      </c>
      <c r="O1959" s="14"/>
      <c r="P1959" s="15">
        <f>IFERROR(__xludf.DUMMYFUNCTION("ARRAYFORMULA(VLOOKUP(A1959,IMPORTRANGE(""https://docs.google.com/spreadsheets/d/1BuTWp7qHGjWhqrnf-OmePP568O4A5Am9ttzvVdP67zw/edit#gid=771602874"" ,""HUMAN RESOURCES!$A$2:$M$2692""), {2,3,4,5,6,7,8,9,10,11,12,13},0))"),0.013)</f>
        <v>0.013</v>
      </c>
      <c r="Q1959" s="14">
        <f>IFERROR(__xludf.DUMMYFUNCTION("""COMPUTED_VALUE"""),0.008)</f>
        <v>0.008</v>
      </c>
      <c r="R1959" s="14">
        <f>IFERROR(__xludf.DUMMYFUNCTION("""COMPUTED_VALUE"""),79.0)</f>
        <v>79</v>
      </c>
      <c r="S1959" s="14">
        <f>IFERROR(__xludf.DUMMYFUNCTION("""COMPUTED_VALUE"""),77.0)</f>
        <v>77</v>
      </c>
      <c r="T1959" s="14">
        <f>IFERROR(__xludf.DUMMYFUNCTION("""COMPUTED_VALUE"""),0.183)</f>
        <v>0.183</v>
      </c>
      <c r="U1959" s="14">
        <f>IFERROR(__xludf.DUMMYFUNCTION("""COMPUTED_VALUE"""),0.805)</f>
        <v>0.805</v>
      </c>
      <c r="V1959" s="14">
        <f>IFERROR(__xludf.DUMMYFUNCTION("""COMPUTED_VALUE"""),0.012)</f>
        <v>0.012</v>
      </c>
      <c r="W1959" s="14">
        <f>IFERROR(__xludf.DUMMYFUNCTION("""COMPUTED_VALUE"""),1152459.0)</f>
        <v>1152459</v>
      </c>
      <c r="X1959" s="14">
        <f>IFERROR(__xludf.DUMMYFUNCTION("""COMPUTED_VALUE"""),0.98)</f>
        <v>0.98</v>
      </c>
      <c r="Y1959" s="14" t="str">
        <f>IFERROR(__xludf.DUMMYFUNCTION("""COMPUTED_VALUE"""),"Qatar-Middle East")</f>
        <v>Qatar-Middle East</v>
      </c>
      <c r="Z1959" s="14" t="str">
        <f>IFERROR(__xludf.DUMMYFUNCTION("""COMPUTED_VALUE"""),"Middle East")</f>
        <v>Middle East</v>
      </c>
      <c r="AA1959" s="14" t="str">
        <f>IFERROR(__xludf.DUMMYFUNCTION("""COMPUTED_VALUE"""),"2007")</f>
        <v>2007</v>
      </c>
      <c r="AB1959" s="15" t="str">
        <f>IFERROR(__xludf.DUMMYFUNCTION("ARRAYFORMULA(VLOOKUP(A1959,IMPORTRANGE(""https://docs.google.com/spreadsheets/d/1BuTWp7qHGjWhqrnf-OmePP568O4A5Am9ttzvVdP67zw/edit#gid=1931367683"" ,""ENERGY!$A$2:$F$2692""), {2,3,4,5,6},0))"),"Middle East")</f>
        <v>Middle East</v>
      </c>
      <c r="AC1959" s="14" t="str">
        <f>IFERROR(__xludf.DUMMYFUNCTION("""COMPUTED_VALUE"""),"Qatar-Middle East")</f>
        <v>Qatar-Middle East</v>
      </c>
      <c r="AD1959" s="14" t="str">
        <f>IFERROR(__xludf.DUMMYFUNCTION("""COMPUTED_VALUE"""),"2010")</f>
        <v>2010</v>
      </c>
      <c r="AE1959" s="14">
        <f>IFERROR(__xludf.DUMMYFUNCTION("""COMPUTED_VALUE"""),16638.0)</f>
        <v>16638</v>
      </c>
      <c r="AF1959" s="14">
        <f>IFERROR(__xludf.DUMMYFUNCTION("""COMPUTED_VALUE"""),51881.0)</f>
        <v>51881</v>
      </c>
    </row>
    <row r="1960">
      <c r="A1960" s="12">
        <v>1959.0</v>
      </c>
      <c r="B1960" s="12" t="s">
        <v>229</v>
      </c>
      <c r="C1960" s="5" t="s">
        <v>93</v>
      </c>
      <c r="D1960" s="11">
        <v>0.113</v>
      </c>
      <c r="E1960" s="11">
        <v>7.0</v>
      </c>
      <c r="F1960" s="8"/>
      <c r="G1960" s="11">
        <v>36.0</v>
      </c>
      <c r="H1960" s="11">
        <v>0.443</v>
      </c>
      <c r="I1960" s="11">
        <v>1.052</v>
      </c>
      <c r="J1960" s="9" t="s">
        <v>69</v>
      </c>
      <c r="K1960" s="14" t="str">
        <f>IFERROR(__xludf.DUMMYFUNCTION("ARRAYFORMULA(VLOOKUP(A1960,IMPORTRANGE(""https://docs.google.com/spreadsheets/d/1BuTWp7qHGjWhqrnf-OmePP568O4A5Am9ttzvVdP67zw/edit#gid=1603210130"", ""TOURISM!$A$2:$F$2692""), {2,3,4,5,6},0))"),"Middle East")</f>
        <v>Middle East</v>
      </c>
      <c r="L1960" s="14"/>
      <c r="M1960" s="14" t="str">
        <f>IFERROR(__xludf.DUMMYFUNCTION("""COMPUTED_VALUE"""),"Qatar-Middle East")</f>
        <v>Qatar-Middle East</v>
      </c>
      <c r="N1960" s="14" t="str">
        <f>IFERROR(__xludf.DUMMYFUNCTION("""COMPUTED_VALUE"""),"2008")</f>
        <v>2008</v>
      </c>
      <c r="O1960" s="14"/>
      <c r="P1960" s="15">
        <f>IFERROR(__xludf.DUMMYFUNCTION("ARRAYFORMULA(VLOOKUP(A1960,IMPORTRANGE(""https://docs.google.com/spreadsheets/d/1BuTWp7qHGjWhqrnf-OmePP568O4A5Am9ttzvVdP67zw/edit#gid=771602874"" ,""HUMAN RESOURCES!$A$2:$M$2692""), {2,3,4,5,6,7,8,9,10,11,12,13},0))"),0.013)</f>
        <v>0.013</v>
      </c>
      <c r="Q1960" s="14">
        <f>IFERROR(__xludf.DUMMYFUNCTION("""COMPUTED_VALUE"""),0.008)</f>
        <v>0.008</v>
      </c>
      <c r="R1960" s="14">
        <f>IFERROR(__xludf.DUMMYFUNCTION("""COMPUTED_VALUE"""),79.0)</f>
        <v>79</v>
      </c>
      <c r="S1960" s="14">
        <f>IFERROR(__xludf.DUMMYFUNCTION("""COMPUTED_VALUE"""),77.0)</f>
        <v>77</v>
      </c>
      <c r="T1960" s="14">
        <f>IFERROR(__xludf.DUMMYFUNCTION("""COMPUTED_VALUE"""),0.161)</f>
        <v>0.161</v>
      </c>
      <c r="U1960" s="14">
        <f>IFERROR(__xludf.DUMMYFUNCTION("""COMPUTED_VALUE"""),0.827)</f>
        <v>0.827</v>
      </c>
      <c r="V1960" s="14">
        <f>IFERROR(__xludf.DUMMYFUNCTION("""COMPUTED_VALUE"""),0.012)</f>
        <v>0.012</v>
      </c>
      <c r="W1960" s="14">
        <f>IFERROR(__xludf.DUMMYFUNCTION("""COMPUTED_VALUE"""),1359114.0)</f>
        <v>1359114</v>
      </c>
      <c r="X1960" s="14">
        <f>IFERROR(__xludf.DUMMYFUNCTION("""COMPUTED_VALUE"""),0.983)</f>
        <v>0.983</v>
      </c>
      <c r="Y1960" s="14" t="str">
        <f>IFERROR(__xludf.DUMMYFUNCTION("""COMPUTED_VALUE"""),"Qatar-Middle East")</f>
        <v>Qatar-Middle East</v>
      </c>
      <c r="Z1960" s="14" t="str">
        <f>IFERROR(__xludf.DUMMYFUNCTION("""COMPUTED_VALUE"""),"Middle East")</f>
        <v>Middle East</v>
      </c>
      <c r="AA1960" s="14" t="str">
        <f>IFERROR(__xludf.DUMMYFUNCTION("""COMPUTED_VALUE"""),"2008")</f>
        <v>2008</v>
      </c>
      <c r="AB1960" s="15" t="str">
        <f>IFERROR(__xludf.DUMMYFUNCTION("ARRAYFORMULA(VLOOKUP(A1960,IMPORTRANGE(""https://docs.google.com/spreadsheets/d/1BuTWp7qHGjWhqrnf-OmePP568O4A5Am9ttzvVdP67zw/edit#gid=1931367683"" ,""ENERGY!$A$2:$F$2692""), {2,3,4,5,6},0))"),"Middle East")</f>
        <v>Middle East</v>
      </c>
      <c r="AC1960" s="14" t="str">
        <f>IFERROR(__xludf.DUMMYFUNCTION("""COMPUTED_VALUE"""),"Qatar-Middle East")</f>
        <v>Qatar-Middle East</v>
      </c>
      <c r="AD1960" s="14" t="str">
        <f>IFERROR(__xludf.DUMMYFUNCTION("""COMPUTED_VALUE"""),"2007")</f>
        <v>2007</v>
      </c>
      <c r="AE1960" s="14">
        <f>IFERROR(__xludf.DUMMYFUNCTION("""COMPUTED_VALUE"""),16648.0)</f>
        <v>16648</v>
      </c>
      <c r="AF1960" s="14">
        <f>IFERROR(__xludf.DUMMYFUNCTION("""COMPUTED_VALUE"""),44393.0)</f>
        <v>44393</v>
      </c>
    </row>
    <row r="1961">
      <c r="A1961" s="12">
        <v>1960.0</v>
      </c>
      <c r="B1961" s="12" t="s">
        <v>229</v>
      </c>
      <c r="C1961" s="5" t="s">
        <v>93</v>
      </c>
      <c r="D1961" s="11">
        <v>0.113</v>
      </c>
      <c r="E1961" s="11">
        <v>7.0</v>
      </c>
      <c r="F1961" s="8"/>
      <c r="G1961" s="11">
        <v>36.0</v>
      </c>
      <c r="H1961" s="11">
        <v>0.531</v>
      </c>
      <c r="I1961" s="11">
        <v>1.246</v>
      </c>
      <c r="J1961" s="9" t="s">
        <v>70</v>
      </c>
      <c r="K1961" s="14" t="str">
        <f>IFERROR(__xludf.DUMMYFUNCTION("ARRAYFORMULA(VLOOKUP(A1961,IMPORTRANGE(""https://docs.google.com/spreadsheets/d/1BuTWp7qHGjWhqrnf-OmePP568O4A5Am9ttzvVdP67zw/edit#gid=1603210130"", ""TOURISM!$A$2:$F$2692""), {2,3,4,5,6},0))"),"Middle East")</f>
        <v>Middle East</v>
      </c>
      <c r="L1961" s="14"/>
      <c r="M1961" s="14" t="str">
        <f>IFERROR(__xludf.DUMMYFUNCTION("""COMPUTED_VALUE"""),"Qatar-Middle East")</f>
        <v>Qatar-Middle East</v>
      </c>
      <c r="N1961" s="14" t="str">
        <f>IFERROR(__xludf.DUMMYFUNCTION("""COMPUTED_VALUE"""),"2009")</f>
        <v>2009</v>
      </c>
      <c r="O1961" s="14"/>
      <c r="P1961" s="15">
        <f>IFERROR(__xludf.DUMMYFUNCTION("ARRAYFORMULA(VLOOKUP(A1961,IMPORTRANGE(""https://docs.google.com/spreadsheets/d/1BuTWp7qHGjWhqrnf-OmePP568O4A5Am9ttzvVdP67zw/edit#gid=771602874"" ,""HUMAN RESOURCES!$A$2:$M$2692""), {2,3,4,5,6,7,8,9,10,11,12,13},0))"),0.012)</f>
        <v>0.012</v>
      </c>
      <c r="Q1961" s="14">
        <f>IFERROR(__xludf.DUMMYFUNCTION("""COMPUTED_VALUE"""),0.008)</f>
        <v>0.008</v>
      </c>
      <c r="R1961" s="14">
        <f>IFERROR(__xludf.DUMMYFUNCTION("""COMPUTED_VALUE"""),79.0)</f>
        <v>79</v>
      </c>
      <c r="S1961" s="14">
        <f>IFERROR(__xludf.DUMMYFUNCTION("""COMPUTED_VALUE"""),77.0)</f>
        <v>77</v>
      </c>
      <c r="T1961" s="14">
        <f>IFERROR(__xludf.DUMMYFUNCTION("""COMPUTED_VALUE"""),0.146)</f>
        <v>0.146</v>
      </c>
      <c r="U1961" s="14">
        <f>IFERROR(__xludf.DUMMYFUNCTION("""COMPUTED_VALUE"""),0.843)</f>
        <v>0.843</v>
      </c>
      <c r="V1961" s="14">
        <f>IFERROR(__xludf.DUMMYFUNCTION("""COMPUTED_VALUE"""),0.011)</f>
        <v>0.011</v>
      </c>
      <c r="W1961" s="14">
        <f>IFERROR(__xludf.DUMMYFUNCTION("""COMPUTED_VALUE"""),1564082.0)</f>
        <v>1564082</v>
      </c>
      <c r="X1961" s="14">
        <f>IFERROR(__xludf.DUMMYFUNCTION("""COMPUTED_VALUE"""),0.985)</f>
        <v>0.985</v>
      </c>
      <c r="Y1961" s="14" t="str">
        <f>IFERROR(__xludf.DUMMYFUNCTION("""COMPUTED_VALUE"""),"Qatar-Middle East")</f>
        <v>Qatar-Middle East</v>
      </c>
      <c r="Z1961" s="14" t="str">
        <f>IFERROR(__xludf.DUMMYFUNCTION("""COMPUTED_VALUE"""),"Middle East")</f>
        <v>Middle East</v>
      </c>
      <c r="AA1961" s="14" t="str">
        <f>IFERROR(__xludf.DUMMYFUNCTION("""COMPUTED_VALUE"""),"2009")</f>
        <v>2009</v>
      </c>
      <c r="AB1961" s="15" t="str">
        <f>IFERROR(__xludf.DUMMYFUNCTION("ARRAYFORMULA(VLOOKUP(A1961,IMPORTRANGE(""https://docs.google.com/spreadsheets/d/1BuTWp7qHGjWhqrnf-OmePP568O4A5Am9ttzvVdP67zw/edit#gid=1931367683"" ,""ENERGY!$A$2:$F$2692""), {2,3,4,5,6},0))"),"Middle East")</f>
        <v>Middle East</v>
      </c>
      <c r="AC1961" s="14" t="str">
        <f>IFERROR(__xludf.DUMMYFUNCTION("""COMPUTED_VALUE"""),"Qatar-Middle East")</f>
        <v>Qatar-Middle East</v>
      </c>
      <c r="AD1961" s="14" t="str">
        <f>IFERROR(__xludf.DUMMYFUNCTION("""COMPUTED_VALUE"""),"2011")</f>
        <v>2011</v>
      </c>
      <c r="AE1961" s="14">
        <f>IFERROR(__xludf.DUMMYFUNCTION("""COMPUTED_VALUE"""),14185.0)</f>
        <v>14185</v>
      </c>
      <c r="AF1961" s="14">
        <f>IFERROR(__xludf.DUMMYFUNCTION("""COMPUTED_VALUE"""),36157.0)</f>
        <v>36157</v>
      </c>
    </row>
    <row r="1962">
      <c r="A1962" s="12">
        <v>1961.0</v>
      </c>
      <c r="B1962" s="12" t="s">
        <v>229</v>
      </c>
      <c r="C1962" s="5" t="s">
        <v>93</v>
      </c>
      <c r="D1962" s="11">
        <v>0.113</v>
      </c>
      <c r="E1962" s="11">
        <v>10.0</v>
      </c>
      <c r="F1962" s="8"/>
      <c r="G1962" s="11">
        <v>36.0</v>
      </c>
      <c r="H1962" s="11">
        <v>0.69</v>
      </c>
      <c r="I1962" s="11">
        <v>1.25</v>
      </c>
      <c r="J1962" s="9" t="s">
        <v>71</v>
      </c>
      <c r="K1962" s="14" t="str">
        <f>IFERROR(__xludf.DUMMYFUNCTION("ARRAYFORMULA(VLOOKUP(A1962,IMPORTRANGE(""https://docs.google.com/spreadsheets/d/1BuTWp7qHGjWhqrnf-OmePP568O4A5Am9ttzvVdP67zw/edit#gid=1603210130"", ""TOURISM!$A$2:$F$2692""), {2,3,4,5,6},0))"),"Middle East")</f>
        <v>Middle East</v>
      </c>
      <c r="L1962" s="14"/>
      <c r="M1962" s="14" t="str">
        <f>IFERROR(__xludf.DUMMYFUNCTION("""COMPUTED_VALUE"""),"Qatar-Middle East")</f>
        <v>Qatar-Middle East</v>
      </c>
      <c r="N1962" s="14" t="str">
        <f>IFERROR(__xludf.DUMMYFUNCTION("""COMPUTED_VALUE"""),"2010")</f>
        <v>2010</v>
      </c>
      <c r="O1962" s="14"/>
      <c r="P1962" s="15">
        <f>IFERROR(__xludf.DUMMYFUNCTION("ARRAYFORMULA(VLOOKUP(A1962,IMPORTRANGE(""https://docs.google.com/spreadsheets/d/1BuTWp7qHGjWhqrnf-OmePP568O4A5Am9ttzvVdP67zw/edit#gid=771602874"" ,""HUMAN RESOURCES!$A$2:$M$2692""), {2,3,4,5,6,7,8,9,10,11,12,13},0))"),0.012)</f>
        <v>0.012</v>
      </c>
      <c r="Q1962" s="14">
        <f>IFERROR(__xludf.DUMMYFUNCTION("""COMPUTED_VALUE"""),0.008)</f>
        <v>0.008</v>
      </c>
      <c r="R1962" s="14">
        <f>IFERROR(__xludf.DUMMYFUNCTION("""COMPUTED_VALUE"""),79.0)</f>
        <v>79</v>
      </c>
      <c r="S1962" s="14">
        <f>IFERROR(__xludf.DUMMYFUNCTION("""COMPUTED_VALUE"""),77.0)</f>
        <v>77</v>
      </c>
      <c r="T1962" s="14">
        <f>IFERROR(__xludf.DUMMYFUNCTION("""COMPUTED_VALUE"""),0.137)</f>
        <v>0.137</v>
      </c>
      <c r="U1962" s="14">
        <f>IFERROR(__xludf.DUMMYFUNCTION("""COMPUTED_VALUE"""),0.852)</f>
        <v>0.852</v>
      </c>
      <c r="V1962" s="14">
        <f>IFERROR(__xludf.DUMMYFUNCTION("""COMPUTED_VALUE"""),0.011)</f>
        <v>0.011</v>
      </c>
      <c r="W1962" s="14">
        <f>IFERROR(__xludf.DUMMYFUNCTION("""COMPUTED_VALUE"""),1749713.0)</f>
        <v>1749713</v>
      </c>
      <c r="X1962" s="14">
        <f>IFERROR(__xludf.DUMMYFUNCTION("""COMPUTED_VALUE"""),0.987)</f>
        <v>0.987</v>
      </c>
      <c r="Y1962" s="14" t="str">
        <f>IFERROR(__xludf.DUMMYFUNCTION("""COMPUTED_VALUE"""),"Qatar-Middle East")</f>
        <v>Qatar-Middle East</v>
      </c>
      <c r="Z1962" s="14" t="str">
        <f>IFERROR(__xludf.DUMMYFUNCTION("""COMPUTED_VALUE"""),"Middle East")</f>
        <v>Middle East</v>
      </c>
      <c r="AA1962" s="14" t="str">
        <f>IFERROR(__xludf.DUMMYFUNCTION("""COMPUTED_VALUE"""),"2010")</f>
        <v>2010</v>
      </c>
      <c r="AB1962" s="15" t="str">
        <f>IFERROR(__xludf.DUMMYFUNCTION("ARRAYFORMULA(VLOOKUP(A1962,IMPORTRANGE(""https://docs.google.com/spreadsheets/d/1BuTWp7qHGjWhqrnf-OmePP568O4A5Am9ttzvVdP67zw/edit#gid=1931367683"" ,""ENERGY!$A$2:$F$2692""), {2,3,4,5,6},0))"),"Middle East")</f>
        <v>Middle East</v>
      </c>
      <c r="AC1962" s="14" t="str">
        <f>IFERROR(__xludf.DUMMYFUNCTION("""COMPUTED_VALUE"""),"Qatar-Middle East")</f>
        <v>Qatar-Middle East</v>
      </c>
      <c r="AD1962" s="14" t="str">
        <f>IFERROR(__xludf.DUMMYFUNCTION("""COMPUTED_VALUE"""),"2007")</f>
        <v>2007</v>
      </c>
      <c r="AE1962" s="14">
        <f>IFERROR(__xludf.DUMMYFUNCTION("""COMPUTED_VALUE"""),13711.0)</f>
        <v>13711</v>
      </c>
      <c r="AF1962" s="14">
        <f>IFERROR(__xludf.DUMMYFUNCTION("""COMPUTED_VALUE"""),28482.0)</f>
        <v>28482</v>
      </c>
    </row>
    <row r="1963">
      <c r="A1963" s="12">
        <v>1962.0</v>
      </c>
      <c r="B1963" s="12" t="s">
        <v>229</v>
      </c>
      <c r="C1963" s="5" t="s">
        <v>93</v>
      </c>
      <c r="D1963" s="11">
        <v>0.113</v>
      </c>
      <c r="E1963" s="11">
        <v>9.0</v>
      </c>
      <c r="F1963" s="8"/>
      <c r="G1963" s="11">
        <v>36.0</v>
      </c>
      <c r="H1963" s="11">
        <v>0.69</v>
      </c>
      <c r="I1963" s="11">
        <v>1.205</v>
      </c>
      <c r="J1963" s="9" t="s">
        <v>72</v>
      </c>
      <c r="K1963" s="14" t="str">
        <f>IFERROR(__xludf.DUMMYFUNCTION("ARRAYFORMULA(VLOOKUP(A1963,IMPORTRANGE(""https://docs.google.com/spreadsheets/d/1BuTWp7qHGjWhqrnf-OmePP568O4A5Am9ttzvVdP67zw/edit#gid=1603210130"", ""TOURISM!$A$2:$F$2692""), {2,3,4,5,6},0))"),"Middle East")</f>
        <v>Middle East</v>
      </c>
      <c r="L1963" s="14">
        <f>IFERROR(__xludf.DUMMYFUNCTION("""COMPUTED_VALUE"""),4.463E9)</f>
        <v>4463000000</v>
      </c>
      <c r="M1963" s="14" t="str">
        <f>IFERROR(__xludf.DUMMYFUNCTION("""COMPUTED_VALUE"""),"Qatar-Middle East")</f>
        <v>Qatar-Middle East</v>
      </c>
      <c r="N1963" s="14" t="str">
        <f>IFERROR(__xludf.DUMMYFUNCTION("""COMPUTED_VALUE"""),"2011")</f>
        <v>2011</v>
      </c>
      <c r="O1963" s="14">
        <f>IFERROR(__xludf.DUMMYFUNCTION("""COMPUTED_VALUE"""),7.813E9)</f>
        <v>7813000000</v>
      </c>
      <c r="P1963" s="15">
        <f>IFERROR(__xludf.DUMMYFUNCTION("ARRAYFORMULA(VLOOKUP(A1963,IMPORTRANGE(""https://docs.google.com/spreadsheets/d/1BuTWp7qHGjWhqrnf-OmePP568O4A5Am9ttzvVdP67zw/edit#gid=771602874"" ,""HUMAN RESOURCES!$A$2:$M$2692""), {2,3,4,5,6,7,8,9,10,11,12,13},0))"),0.011)</f>
        <v>0.011</v>
      </c>
      <c r="Q1963" s="14">
        <f>IFERROR(__xludf.DUMMYFUNCTION("""COMPUTED_VALUE"""),0.007)</f>
        <v>0.007</v>
      </c>
      <c r="R1963" s="14">
        <f>IFERROR(__xludf.DUMMYFUNCTION("""COMPUTED_VALUE"""),79.0)</f>
        <v>79</v>
      </c>
      <c r="S1963" s="14">
        <f>IFERROR(__xludf.DUMMYFUNCTION("""COMPUTED_VALUE"""),77.0)</f>
        <v>77</v>
      </c>
      <c r="T1963" s="14">
        <f>IFERROR(__xludf.DUMMYFUNCTION("""COMPUTED_VALUE"""),0.134)</f>
        <v>0.134</v>
      </c>
      <c r="U1963" s="14">
        <f>IFERROR(__xludf.DUMMYFUNCTION("""COMPUTED_VALUE"""),0.856)</f>
        <v>0.856</v>
      </c>
      <c r="V1963" s="14">
        <f>IFERROR(__xludf.DUMMYFUNCTION("""COMPUTED_VALUE"""),0.01)</f>
        <v>0.01</v>
      </c>
      <c r="W1963" s="14">
        <f>IFERROR(__xludf.DUMMYFUNCTION("""COMPUTED_VALUE"""),1910902.0)</f>
        <v>1910902</v>
      </c>
      <c r="X1963" s="14">
        <f>IFERROR(__xludf.DUMMYFUNCTION("""COMPUTED_VALUE"""),0.988)</f>
        <v>0.988</v>
      </c>
      <c r="Y1963" s="14" t="str">
        <f>IFERROR(__xludf.DUMMYFUNCTION("""COMPUTED_VALUE"""),"Qatar-Middle East")</f>
        <v>Qatar-Middle East</v>
      </c>
      <c r="Z1963" s="14" t="str">
        <f>IFERROR(__xludf.DUMMYFUNCTION("""COMPUTED_VALUE"""),"Middle East")</f>
        <v>Middle East</v>
      </c>
      <c r="AA1963" s="14" t="str">
        <f>IFERROR(__xludf.DUMMYFUNCTION("""COMPUTED_VALUE"""),"2011")</f>
        <v>2011</v>
      </c>
      <c r="AB1963" s="15" t="str">
        <f>IFERROR(__xludf.DUMMYFUNCTION("ARRAYFORMULA(VLOOKUP(A1963,IMPORTRANGE(""https://docs.google.com/spreadsheets/d/1BuTWp7qHGjWhqrnf-OmePP568O4A5Am9ttzvVdP67zw/edit#gid=1931367683"" ,""ENERGY!$A$2:$F$2692""), {2,3,4,5,6},0))"),"Middle East")</f>
        <v>Middle East</v>
      </c>
      <c r="AC1963" s="14" t="str">
        <f>IFERROR(__xludf.DUMMYFUNCTION("""COMPUTED_VALUE"""),"Qatar-Middle East")</f>
        <v>Qatar-Middle East</v>
      </c>
      <c r="AD1963" s="14" t="str">
        <f>IFERROR(__xludf.DUMMYFUNCTION("""COMPUTED_VALUE"""),"2007")</f>
        <v>2007</v>
      </c>
      <c r="AE1963" s="14">
        <f>IFERROR(__xludf.DUMMYFUNCTION("""COMPUTED_VALUE"""),12452.0)</f>
        <v>12452</v>
      </c>
      <c r="AF1963" s="14">
        <f>IFERROR(__xludf.DUMMYFUNCTION("""COMPUTED_VALUE"""),30363.0)</f>
        <v>30363</v>
      </c>
    </row>
    <row r="1964">
      <c r="A1964" s="12">
        <v>1963.0</v>
      </c>
      <c r="B1964" s="12" t="s">
        <v>229</v>
      </c>
      <c r="C1964" s="5" t="s">
        <v>93</v>
      </c>
      <c r="D1964" s="11">
        <v>0.113</v>
      </c>
      <c r="E1964" s="11">
        <v>9.0</v>
      </c>
      <c r="F1964" s="11">
        <v>45.0</v>
      </c>
      <c r="G1964" s="11">
        <v>48.0</v>
      </c>
      <c r="H1964" s="11">
        <v>0.693</v>
      </c>
      <c r="I1964" s="11">
        <v>1.269</v>
      </c>
      <c r="J1964" s="9" t="s">
        <v>73</v>
      </c>
      <c r="K1964" s="14" t="str">
        <f>IFERROR(__xludf.DUMMYFUNCTION("ARRAYFORMULA(VLOOKUP(A1964,IMPORTRANGE(""https://docs.google.com/spreadsheets/d/1BuTWp7qHGjWhqrnf-OmePP568O4A5Am9ttzvVdP67zw/edit#gid=1603210130"", ""TOURISM!$A$2:$F$2692""), {2,3,4,5,6},0))"),"Middle East")</f>
        <v>Middle East</v>
      </c>
      <c r="L1964" s="14">
        <f>IFERROR(__xludf.DUMMYFUNCTION("""COMPUTED_VALUE"""),7.22E9)</f>
        <v>7220000000</v>
      </c>
      <c r="M1964" s="14" t="str">
        <f>IFERROR(__xludf.DUMMYFUNCTION("""COMPUTED_VALUE"""),"Qatar-Middle East")</f>
        <v>Qatar-Middle East</v>
      </c>
      <c r="N1964" s="14" t="str">
        <f>IFERROR(__xludf.DUMMYFUNCTION("""COMPUTED_VALUE"""),"2012")</f>
        <v>2012</v>
      </c>
      <c r="O1964" s="14">
        <f>IFERROR(__xludf.DUMMYFUNCTION("""COMPUTED_VALUE"""),1.0702E10)</f>
        <v>10702000000</v>
      </c>
      <c r="P1964" s="15">
        <f>IFERROR(__xludf.DUMMYFUNCTION("ARRAYFORMULA(VLOOKUP(A1964,IMPORTRANGE(""https://docs.google.com/spreadsheets/d/1BuTWp7qHGjWhqrnf-OmePP568O4A5Am9ttzvVdP67zw/edit#gid=771602874"" ,""HUMAN RESOURCES!$A$2:$M$2692""), {2,3,4,5,6,7,8,9,10,11,12,13},0))"),0.011)</f>
        <v>0.011</v>
      </c>
      <c r="Q1964" s="14">
        <f>IFERROR(__xludf.DUMMYFUNCTION("""COMPUTED_VALUE"""),0.007)</f>
        <v>0.007</v>
      </c>
      <c r="R1964" s="14">
        <f>IFERROR(__xludf.DUMMYFUNCTION("""COMPUTED_VALUE"""),79.0)</f>
        <v>79</v>
      </c>
      <c r="S1964" s="14">
        <f>IFERROR(__xludf.DUMMYFUNCTION("""COMPUTED_VALUE"""),78.0)</f>
        <v>78</v>
      </c>
      <c r="T1964" s="14">
        <f>IFERROR(__xludf.DUMMYFUNCTION("""COMPUTED_VALUE"""),0.133)</f>
        <v>0.133</v>
      </c>
      <c r="U1964" s="14">
        <f>IFERROR(__xludf.DUMMYFUNCTION("""COMPUTED_VALUE"""),0.857)</f>
        <v>0.857</v>
      </c>
      <c r="V1964" s="14">
        <f>IFERROR(__xludf.DUMMYFUNCTION("""COMPUTED_VALUE"""),0.01)</f>
        <v>0.01</v>
      </c>
      <c r="W1964" s="14">
        <f>IFERROR(__xludf.DUMMYFUNCTION("""COMPUTED_VALUE"""),2050514.0)</f>
        <v>2050514</v>
      </c>
      <c r="X1964" s="14">
        <f>IFERROR(__xludf.DUMMYFUNCTION("""COMPUTED_VALUE"""),0.989)</f>
        <v>0.989</v>
      </c>
      <c r="Y1964" s="14" t="str">
        <f>IFERROR(__xludf.DUMMYFUNCTION("""COMPUTED_VALUE"""),"Qatar-Middle East")</f>
        <v>Qatar-Middle East</v>
      </c>
      <c r="Z1964" s="14" t="str">
        <f>IFERROR(__xludf.DUMMYFUNCTION("""COMPUTED_VALUE"""),"Middle East")</f>
        <v>Middle East</v>
      </c>
      <c r="AA1964" s="14" t="str">
        <f>IFERROR(__xludf.DUMMYFUNCTION("""COMPUTED_VALUE"""),"2012")</f>
        <v>2012</v>
      </c>
      <c r="AB1964" s="15" t="str">
        <f>IFERROR(__xludf.DUMMYFUNCTION("ARRAYFORMULA(VLOOKUP(A1964,IMPORTRANGE(""https://docs.google.com/spreadsheets/d/1BuTWp7qHGjWhqrnf-OmePP568O4A5Am9ttzvVdP67zw/edit#gid=1931367683"" ,""ENERGY!$A$2:$F$2692""), {2,3,4,5,6},0))"),"Middle East")</f>
        <v>Middle East</v>
      </c>
      <c r="AC1964" s="14" t="str">
        <f>IFERROR(__xludf.DUMMYFUNCTION("""COMPUTED_VALUE"""),"Qatar-Middle East")</f>
        <v>Qatar-Middle East</v>
      </c>
      <c r="AD1964" s="14" t="str">
        <f>IFERROR(__xludf.DUMMYFUNCTION("""COMPUTED_VALUE"""),"2011")</f>
        <v>2011</v>
      </c>
      <c r="AE1964" s="14">
        <f>IFERROR(__xludf.DUMMYFUNCTION("""COMPUTED_VALUE"""),10876.0)</f>
        <v>10876</v>
      </c>
      <c r="AF1964" s="14">
        <f>IFERROR(__xludf.DUMMYFUNCTION("""COMPUTED_VALUE"""),34730.0)</f>
        <v>34730</v>
      </c>
    </row>
    <row r="1965">
      <c r="A1965" s="12">
        <v>1964.0</v>
      </c>
      <c r="B1965" s="12" t="s">
        <v>230</v>
      </c>
      <c r="C1965" s="5" t="s">
        <v>75</v>
      </c>
      <c r="D1965" s="8"/>
      <c r="E1965" s="8"/>
      <c r="F1965" s="8"/>
      <c r="G1965" s="8"/>
      <c r="H1965" s="11">
        <v>0.036</v>
      </c>
      <c r="I1965" s="11">
        <v>0.112</v>
      </c>
      <c r="J1965" s="9" t="s">
        <v>60</v>
      </c>
      <c r="K1965" s="14" t="str">
        <f>IFERROR(__xludf.DUMMYFUNCTION("ARRAYFORMULA(VLOOKUP(A1965,IMPORTRANGE(""https://docs.google.com/spreadsheets/d/1BuTWp7qHGjWhqrnf-OmePP568O4A5Am9ttzvVdP67zw/edit#gid=1603210130"", ""TOURISM!$A$2:$F$2692""), {2,3,4,5,6},0))"),"Europe")</f>
        <v>Europe</v>
      </c>
      <c r="L1965" s="14">
        <f>IFERROR(__xludf.DUMMYFUNCTION("""COMPUTED_VALUE"""),3.94E8)</f>
        <v>394000000</v>
      </c>
      <c r="M1965" s="14" t="str">
        <f>IFERROR(__xludf.DUMMYFUNCTION("""COMPUTED_VALUE"""),"Romania-Europe")</f>
        <v>Romania-Europe</v>
      </c>
      <c r="N1965" s="14" t="str">
        <f>IFERROR(__xludf.DUMMYFUNCTION("""COMPUTED_VALUE"""),"2000")</f>
        <v>2000</v>
      </c>
      <c r="O1965" s="14">
        <f>IFERROR(__xludf.DUMMYFUNCTION("""COMPUTED_VALUE"""),4.47E8)</f>
        <v>447000000</v>
      </c>
      <c r="P1965" s="15">
        <f>IFERROR(__xludf.DUMMYFUNCTION("ARRAYFORMULA(VLOOKUP(A1965,IMPORTRANGE(""https://docs.google.com/spreadsheets/d/1BuTWp7qHGjWhqrnf-OmePP568O4A5Am9ttzvVdP67zw/edit#gid=771602874"" ,""HUMAN RESOURCES!$A$2:$M$2692""), {2,3,4,5,6,7,8,9,10,11,12,13},0))"),0.01)</f>
        <v>0.01</v>
      </c>
      <c r="Q1965" s="14">
        <f>IFERROR(__xludf.DUMMYFUNCTION("""COMPUTED_VALUE"""),0.023)</f>
        <v>0.023</v>
      </c>
      <c r="R1965" s="14">
        <f>IFERROR(__xludf.DUMMYFUNCTION("""COMPUTED_VALUE"""),75.0)</f>
        <v>75</v>
      </c>
      <c r="S1965" s="14">
        <f>IFERROR(__xludf.DUMMYFUNCTION("""COMPUTED_VALUE"""),68.0)</f>
        <v>68</v>
      </c>
      <c r="T1965" s="14">
        <f>IFERROR(__xludf.DUMMYFUNCTION("""COMPUTED_VALUE"""),0.186)</f>
        <v>0.186</v>
      </c>
      <c r="U1965" s="14">
        <f>IFERROR(__xludf.DUMMYFUNCTION("""COMPUTED_VALUE"""),0.68)</f>
        <v>0.68</v>
      </c>
      <c r="V1965" s="14">
        <f>IFERROR(__xludf.DUMMYFUNCTION("""COMPUTED_VALUE"""),0.134)</f>
        <v>0.134</v>
      </c>
      <c r="W1965" s="14">
        <f>IFERROR(__xludf.DUMMYFUNCTION("""COMPUTED_VALUE"""),2.2442971E7)</f>
        <v>22442971</v>
      </c>
      <c r="X1965" s="14">
        <f>IFERROR(__xludf.DUMMYFUNCTION("""COMPUTED_VALUE"""),0.53)</f>
        <v>0.53</v>
      </c>
      <c r="Y1965" s="14" t="str">
        <f>IFERROR(__xludf.DUMMYFUNCTION("""COMPUTED_VALUE"""),"Romania-Europe")</f>
        <v>Romania-Europe</v>
      </c>
      <c r="Z1965" s="14" t="str">
        <f>IFERROR(__xludf.DUMMYFUNCTION("""COMPUTED_VALUE"""),"Europe")</f>
        <v>Europe</v>
      </c>
      <c r="AA1965" s="14" t="str">
        <f>IFERROR(__xludf.DUMMYFUNCTION("""COMPUTED_VALUE"""),"2000")</f>
        <v>2000</v>
      </c>
      <c r="AB1965" s="15" t="str">
        <f>IFERROR(__xludf.DUMMYFUNCTION("ARRAYFORMULA(VLOOKUP(A1965,IMPORTRANGE(""https://docs.google.com/spreadsheets/d/1BuTWp7qHGjWhqrnf-OmePP568O4A5Am9ttzvVdP67zw/edit#gid=1931367683"" ,""ENERGY!$A$2:$F$2692""), {2,3,4,5,6},0))"),"Europe")</f>
        <v>Europe</v>
      </c>
      <c r="AC1965" s="14" t="str">
        <f>IFERROR(__xludf.DUMMYFUNCTION("""COMPUTED_VALUE"""),"Romania-Europe")</f>
        <v>Romania-Europe</v>
      </c>
      <c r="AD1965" s="14" t="str">
        <f>IFERROR(__xludf.DUMMYFUNCTION("""COMPUTED_VALUE"""),"2000")</f>
        <v>2000</v>
      </c>
      <c r="AE1965" s="14"/>
      <c r="AF1965" s="14"/>
    </row>
    <row r="1966">
      <c r="A1966" s="12">
        <v>1965.0</v>
      </c>
      <c r="B1966" s="12" t="s">
        <v>230</v>
      </c>
      <c r="C1966" s="5" t="s">
        <v>75</v>
      </c>
      <c r="D1966" s="8"/>
      <c r="E1966" s="8"/>
      <c r="F1966" s="8"/>
      <c r="G1966" s="8"/>
      <c r="H1966" s="11">
        <v>0.045</v>
      </c>
      <c r="I1966" s="11">
        <v>0.172</v>
      </c>
      <c r="J1966" s="9" t="s">
        <v>62</v>
      </c>
      <c r="K1966" s="14" t="str">
        <f>IFERROR(__xludf.DUMMYFUNCTION("ARRAYFORMULA(VLOOKUP(A1966,IMPORTRANGE(""https://docs.google.com/spreadsheets/d/1BuTWp7qHGjWhqrnf-OmePP568O4A5Am9ttzvVdP67zw/edit#gid=1603210130"", ""TOURISM!$A$2:$F$2692""), {2,3,4,5,6},0))"),"Europe")</f>
        <v>Europe</v>
      </c>
      <c r="L1966" s="14">
        <f>IFERROR(__xludf.DUMMYFUNCTION("""COMPUTED_VALUE"""),4.19E8)</f>
        <v>419000000</v>
      </c>
      <c r="M1966" s="14" t="str">
        <f>IFERROR(__xludf.DUMMYFUNCTION("""COMPUTED_VALUE"""),"Romania-Europe")</f>
        <v>Romania-Europe</v>
      </c>
      <c r="N1966" s="14" t="str">
        <f>IFERROR(__xludf.DUMMYFUNCTION("""COMPUTED_VALUE"""),"2001")</f>
        <v>2001</v>
      </c>
      <c r="O1966" s="14">
        <f>IFERROR(__xludf.DUMMYFUNCTION("""COMPUTED_VALUE"""),4.75E8)</f>
        <v>475000000</v>
      </c>
      <c r="P1966" s="15">
        <f>IFERROR(__xludf.DUMMYFUNCTION("ARRAYFORMULA(VLOOKUP(A1966,IMPORTRANGE(""https://docs.google.com/spreadsheets/d/1BuTWp7qHGjWhqrnf-OmePP568O4A5Am9ttzvVdP67zw/edit#gid=771602874"" ,""HUMAN RESOURCES!$A$2:$M$2692""), {2,3,4,5,6,7,8,9,10,11,12,13},0))"),0.01)</f>
        <v>0.01</v>
      </c>
      <c r="Q1966" s="14">
        <f>IFERROR(__xludf.DUMMYFUNCTION("""COMPUTED_VALUE"""),0.022)</f>
        <v>0.022</v>
      </c>
      <c r="R1966" s="14">
        <f>IFERROR(__xludf.DUMMYFUNCTION("""COMPUTED_VALUE"""),75.0)</f>
        <v>75</v>
      </c>
      <c r="S1966" s="14">
        <f>IFERROR(__xludf.DUMMYFUNCTION("""COMPUTED_VALUE"""),68.0)</f>
        <v>68</v>
      </c>
      <c r="T1966" s="14">
        <f>IFERROR(__xludf.DUMMYFUNCTION("""COMPUTED_VALUE"""),0.181)</f>
        <v>0.181</v>
      </c>
      <c r="U1966" s="14">
        <f>IFERROR(__xludf.DUMMYFUNCTION("""COMPUTED_VALUE"""),0.683)</f>
        <v>0.683</v>
      </c>
      <c r="V1966" s="14">
        <f>IFERROR(__xludf.DUMMYFUNCTION("""COMPUTED_VALUE"""),0.137)</f>
        <v>0.137</v>
      </c>
      <c r="W1966" s="14">
        <f>IFERROR(__xludf.DUMMYFUNCTION("""COMPUTED_VALUE"""),2.213197E7)</f>
        <v>22131970</v>
      </c>
      <c r="X1966" s="14">
        <f>IFERROR(__xludf.DUMMYFUNCTION("""COMPUTED_VALUE"""),0.529)</f>
        <v>0.529</v>
      </c>
      <c r="Y1966" s="14" t="str">
        <f>IFERROR(__xludf.DUMMYFUNCTION("""COMPUTED_VALUE"""),"Romania-Europe")</f>
        <v>Romania-Europe</v>
      </c>
      <c r="Z1966" s="14" t="str">
        <f>IFERROR(__xludf.DUMMYFUNCTION("""COMPUTED_VALUE"""),"Europe")</f>
        <v>Europe</v>
      </c>
      <c r="AA1966" s="14" t="str">
        <f>IFERROR(__xludf.DUMMYFUNCTION("""COMPUTED_VALUE"""),"2001")</f>
        <v>2001</v>
      </c>
      <c r="AB1966" s="15" t="str">
        <f>IFERROR(__xludf.DUMMYFUNCTION("ARRAYFORMULA(VLOOKUP(A1966,IMPORTRANGE(""https://docs.google.com/spreadsheets/d/1BuTWp7qHGjWhqrnf-OmePP568O4A5Am9ttzvVdP67zw/edit#gid=1931367683"" ,""ENERGY!$A$2:$F$2692""), {2,3,4,5,6},0))"),"Europe")</f>
        <v>Europe</v>
      </c>
      <c r="AC1966" s="14" t="str">
        <f>IFERROR(__xludf.DUMMYFUNCTION("""COMPUTED_VALUE"""),"Romania-Europe")</f>
        <v>Romania-Europe</v>
      </c>
      <c r="AD1966" s="14" t="str">
        <f>IFERROR(__xludf.DUMMYFUNCTION("""COMPUTED_VALUE"""),"2001")</f>
        <v>2001</v>
      </c>
      <c r="AE1966" s="14">
        <f>IFERROR(__xludf.DUMMYFUNCTION("""COMPUTED_VALUE"""),35830.0)</f>
        <v>35830</v>
      </c>
      <c r="AF1966" s="14"/>
    </row>
    <row r="1967">
      <c r="A1967" s="12">
        <v>1966.0</v>
      </c>
      <c r="B1967" s="12" t="s">
        <v>230</v>
      </c>
      <c r="C1967" s="5" t="s">
        <v>75</v>
      </c>
      <c r="D1967" s="8"/>
      <c r="E1967" s="8"/>
      <c r="F1967" s="8"/>
      <c r="G1967" s="8"/>
      <c r="H1967" s="11">
        <v>0.066</v>
      </c>
      <c r="I1967" s="11">
        <v>0.23</v>
      </c>
      <c r="J1967" s="9" t="s">
        <v>63</v>
      </c>
      <c r="K1967" s="14" t="str">
        <f>IFERROR(__xludf.DUMMYFUNCTION("ARRAYFORMULA(VLOOKUP(A1967,IMPORTRANGE(""https://docs.google.com/spreadsheets/d/1BuTWp7qHGjWhqrnf-OmePP568O4A5Am9ttzvVdP67zw/edit#gid=1603210130"", ""TOURISM!$A$2:$F$2692""), {2,3,4,5,6},0))"),"Europe")</f>
        <v>Europe</v>
      </c>
      <c r="L1967" s="14">
        <f>IFERROR(__xludf.DUMMYFUNCTION("""COMPUTED_VALUE"""),4.0E8)</f>
        <v>400000000</v>
      </c>
      <c r="M1967" s="14" t="str">
        <f>IFERROR(__xludf.DUMMYFUNCTION("""COMPUTED_VALUE"""),"Romania-Europe")</f>
        <v>Romania-Europe</v>
      </c>
      <c r="N1967" s="14" t="str">
        <f>IFERROR(__xludf.DUMMYFUNCTION("""COMPUTED_VALUE"""),"2002")</f>
        <v>2002</v>
      </c>
      <c r="O1967" s="14">
        <f>IFERROR(__xludf.DUMMYFUNCTION("""COMPUTED_VALUE"""),4.48E8)</f>
        <v>448000000</v>
      </c>
      <c r="P1967" s="15">
        <f>IFERROR(__xludf.DUMMYFUNCTION("ARRAYFORMULA(VLOOKUP(A1967,IMPORTRANGE(""https://docs.google.com/spreadsheets/d/1BuTWp7qHGjWhqrnf-OmePP568O4A5Am9ttzvVdP67zw/edit#gid=771602874"" ,""HUMAN RESOURCES!$A$2:$M$2692""), {2,3,4,5,6,7,8,9,10,11,12,13},0))"),0.01)</f>
        <v>0.01</v>
      </c>
      <c r="Q1967" s="14">
        <f>IFERROR(__xludf.DUMMYFUNCTION("""COMPUTED_VALUE"""),0.022)</f>
        <v>0.022</v>
      </c>
      <c r="R1967" s="14">
        <f>IFERROR(__xludf.DUMMYFUNCTION("""COMPUTED_VALUE"""),75.0)</f>
        <v>75</v>
      </c>
      <c r="S1967" s="14">
        <f>IFERROR(__xludf.DUMMYFUNCTION("""COMPUTED_VALUE"""),67.0)</f>
        <v>67</v>
      </c>
      <c r="T1967" s="14">
        <f>IFERROR(__xludf.DUMMYFUNCTION("""COMPUTED_VALUE"""),0.174)</f>
        <v>0.174</v>
      </c>
      <c r="U1967" s="14">
        <f>IFERROR(__xludf.DUMMYFUNCTION("""COMPUTED_VALUE"""),0.686)</f>
        <v>0.686</v>
      </c>
      <c r="V1967" s="14">
        <f>IFERROR(__xludf.DUMMYFUNCTION("""COMPUTED_VALUE"""),0.14)</f>
        <v>0.14</v>
      </c>
      <c r="W1967" s="14">
        <f>IFERROR(__xludf.DUMMYFUNCTION("""COMPUTED_VALUE"""),2.1730496E7)</f>
        <v>21730496</v>
      </c>
      <c r="X1967" s="14">
        <f>IFERROR(__xludf.DUMMYFUNCTION("""COMPUTED_VALUE"""),0.528)</f>
        <v>0.528</v>
      </c>
      <c r="Y1967" s="14" t="str">
        <f>IFERROR(__xludf.DUMMYFUNCTION("""COMPUTED_VALUE"""),"Romania-Europe")</f>
        <v>Romania-Europe</v>
      </c>
      <c r="Z1967" s="14" t="str">
        <f>IFERROR(__xludf.DUMMYFUNCTION("""COMPUTED_VALUE"""),"Europe")</f>
        <v>Europe</v>
      </c>
      <c r="AA1967" s="14" t="str">
        <f>IFERROR(__xludf.DUMMYFUNCTION("""COMPUTED_VALUE"""),"2002")</f>
        <v>2002</v>
      </c>
      <c r="AB1967" s="15" t="str">
        <f>IFERROR(__xludf.DUMMYFUNCTION("ARRAYFORMULA(VLOOKUP(A1967,IMPORTRANGE(""https://docs.google.com/spreadsheets/d/1BuTWp7qHGjWhqrnf-OmePP568O4A5Am9ttzvVdP67zw/edit#gid=1931367683"" ,""ENERGY!$A$2:$F$2692""), {2,3,4,5,6},0))"),"Europe")</f>
        <v>Europe</v>
      </c>
      <c r="AC1967" s="14" t="str">
        <f>IFERROR(__xludf.DUMMYFUNCTION("""COMPUTED_VALUE"""),"Romania-Europe")</f>
        <v>Romania-Europe</v>
      </c>
      <c r="AD1967" s="14" t="str">
        <f>IFERROR(__xludf.DUMMYFUNCTION("""COMPUTED_VALUE"""),"2002")</f>
        <v>2002</v>
      </c>
      <c r="AE1967" s="14">
        <f>IFERROR(__xludf.DUMMYFUNCTION("""COMPUTED_VALUE"""),35031.0)</f>
        <v>35031</v>
      </c>
      <c r="AF1967" s="14">
        <f>IFERROR(__xludf.DUMMYFUNCTION("""COMPUTED_VALUE"""),78745.0)</f>
        <v>78745</v>
      </c>
    </row>
    <row r="1968">
      <c r="A1968" s="12">
        <v>1967.0</v>
      </c>
      <c r="B1968" s="12" t="s">
        <v>230</v>
      </c>
      <c r="C1968" s="5" t="s">
        <v>75</v>
      </c>
      <c r="D1968" s="8"/>
      <c r="E1968" s="11">
        <v>29.0</v>
      </c>
      <c r="F1968" s="8"/>
      <c r="G1968" s="8"/>
      <c r="H1968" s="11">
        <v>0.089</v>
      </c>
      <c r="I1968" s="11">
        <v>0.317</v>
      </c>
      <c r="J1968" s="9" t="s">
        <v>64</v>
      </c>
      <c r="K1968" s="14" t="str">
        <f>IFERROR(__xludf.DUMMYFUNCTION("ARRAYFORMULA(VLOOKUP(A1968,IMPORTRANGE(""https://docs.google.com/spreadsheets/d/1BuTWp7qHGjWhqrnf-OmePP568O4A5Am9ttzvVdP67zw/edit#gid=1603210130"", ""TOURISM!$A$2:$F$2692""), {2,3,4,5,6},0))"),"Europe")</f>
        <v>Europe</v>
      </c>
      <c r="L1968" s="14">
        <f>IFERROR(__xludf.DUMMYFUNCTION("""COMPUTED_VALUE"""),5.23E8)</f>
        <v>523000000</v>
      </c>
      <c r="M1968" s="14" t="str">
        <f>IFERROR(__xludf.DUMMYFUNCTION("""COMPUTED_VALUE"""),"Romania-Europe")</f>
        <v>Romania-Europe</v>
      </c>
      <c r="N1968" s="14" t="str">
        <f>IFERROR(__xludf.DUMMYFUNCTION("""COMPUTED_VALUE"""),"2003")</f>
        <v>2003</v>
      </c>
      <c r="O1968" s="14">
        <f>IFERROR(__xludf.DUMMYFUNCTION("""COMPUTED_VALUE"""),5.72E8)</f>
        <v>572000000</v>
      </c>
      <c r="P1968" s="15">
        <f>IFERROR(__xludf.DUMMYFUNCTION("ARRAYFORMULA(VLOOKUP(A1968,IMPORTRANGE(""https://docs.google.com/spreadsheets/d/1BuTWp7qHGjWhqrnf-OmePP568O4A5Am9ttzvVdP67zw/edit#gid=771602874"" ,""HUMAN RESOURCES!$A$2:$M$2692""), {2,3,4,5,6,7,8,9,10,11,12,13},0))"),0.01)</f>
        <v>0.01</v>
      </c>
      <c r="Q1968" s="14">
        <f>IFERROR(__xludf.DUMMYFUNCTION("""COMPUTED_VALUE"""),0.021)</f>
        <v>0.021</v>
      </c>
      <c r="R1968" s="14">
        <f>IFERROR(__xludf.DUMMYFUNCTION("""COMPUTED_VALUE"""),75.0)</f>
        <v>75</v>
      </c>
      <c r="S1968" s="14">
        <f>IFERROR(__xludf.DUMMYFUNCTION("""COMPUTED_VALUE"""),68.0)</f>
        <v>68</v>
      </c>
      <c r="T1968" s="14">
        <f>IFERROR(__xludf.DUMMYFUNCTION("""COMPUTED_VALUE"""),0.166)</f>
        <v>0.166</v>
      </c>
      <c r="U1968" s="14">
        <f>IFERROR(__xludf.DUMMYFUNCTION("""COMPUTED_VALUE"""),0.691)</f>
        <v>0.691</v>
      </c>
      <c r="V1968" s="14">
        <f>IFERROR(__xludf.DUMMYFUNCTION("""COMPUTED_VALUE"""),0.143)</f>
        <v>0.143</v>
      </c>
      <c r="W1968" s="14">
        <f>IFERROR(__xludf.DUMMYFUNCTION("""COMPUTED_VALUE"""),2.1574326E7)</f>
        <v>21574326</v>
      </c>
      <c r="X1968" s="14">
        <f>IFERROR(__xludf.DUMMYFUNCTION("""COMPUTED_VALUE"""),0.529)</f>
        <v>0.529</v>
      </c>
      <c r="Y1968" s="14" t="str">
        <f>IFERROR(__xludf.DUMMYFUNCTION("""COMPUTED_VALUE"""),"Romania-Europe")</f>
        <v>Romania-Europe</v>
      </c>
      <c r="Z1968" s="14" t="str">
        <f>IFERROR(__xludf.DUMMYFUNCTION("""COMPUTED_VALUE"""),"Europe")</f>
        <v>Europe</v>
      </c>
      <c r="AA1968" s="14" t="str">
        <f>IFERROR(__xludf.DUMMYFUNCTION("""COMPUTED_VALUE"""),"2003")</f>
        <v>2003</v>
      </c>
      <c r="AB1968" s="15" t="str">
        <f>IFERROR(__xludf.DUMMYFUNCTION("ARRAYFORMULA(VLOOKUP(A1968,IMPORTRANGE(""https://docs.google.com/spreadsheets/d/1BuTWp7qHGjWhqrnf-OmePP568O4A5Am9ttzvVdP67zw/edit#gid=1931367683"" ,""ENERGY!$A$2:$F$2692""), {2,3,4,5,6},0))"),"Europe")</f>
        <v>Europe</v>
      </c>
      <c r="AC1968" s="14" t="str">
        <f>IFERROR(__xludf.DUMMYFUNCTION("""COMPUTED_VALUE"""),"Romania-Europe")</f>
        <v>Romania-Europe</v>
      </c>
      <c r="AD1968" s="14" t="str">
        <f>IFERROR(__xludf.DUMMYFUNCTION("""COMPUTED_VALUE"""),"2003")</f>
        <v>2003</v>
      </c>
      <c r="AE1968" s="14">
        <f>IFERROR(__xludf.DUMMYFUNCTION("""COMPUTED_VALUE"""),34882.0)</f>
        <v>34882</v>
      </c>
      <c r="AF1968" s="14">
        <f>IFERROR(__xludf.DUMMYFUNCTION("""COMPUTED_VALUE"""),80307.0)</f>
        <v>80307</v>
      </c>
    </row>
    <row r="1969">
      <c r="A1969" s="12">
        <v>1968.0</v>
      </c>
      <c r="B1969" s="12" t="s">
        <v>230</v>
      </c>
      <c r="C1969" s="5" t="s">
        <v>75</v>
      </c>
      <c r="D1969" s="8"/>
      <c r="E1969" s="11">
        <v>28.0</v>
      </c>
      <c r="F1969" s="8"/>
      <c r="G1969" s="8"/>
      <c r="H1969" s="11">
        <v>0.15</v>
      </c>
      <c r="I1969" s="11">
        <v>0.461</v>
      </c>
      <c r="J1969" s="9" t="s">
        <v>65</v>
      </c>
      <c r="K1969" s="14" t="str">
        <f>IFERROR(__xludf.DUMMYFUNCTION("ARRAYFORMULA(VLOOKUP(A1969,IMPORTRANGE(""https://docs.google.com/spreadsheets/d/1BuTWp7qHGjWhqrnf-OmePP568O4A5Am9ttzvVdP67zw/edit#gid=1603210130"", ""TOURISM!$A$2:$F$2692""), {2,3,4,5,6},0))"),"Europe")</f>
        <v>Europe</v>
      </c>
      <c r="L1969" s="14">
        <f>IFERROR(__xludf.DUMMYFUNCTION("""COMPUTED_VALUE"""),6.07E8)</f>
        <v>607000000</v>
      </c>
      <c r="M1969" s="14" t="str">
        <f>IFERROR(__xludf.DUMMYFUNCTION("""COMPUTED_VALUE"""),"Romania-Europe")</f>
        <v>Romania-Europe</v>
      </c>
      <c r="N1969" s="14" t="str">
        <f>IFERROR(__xludf.DUMMYFUNCTION("""COMPUTED_VALUE"""),"2004")</f>
        <v>2004</v>
      </c>
      <c r="O1969" s="14">
        <f>IFERROR(__xludf.DUMMYFUNCTION("""COMPUTED_VALUE"""),6.72E8)</f>
        <v>672000000</v>
      </c>
      <c r="P1969" s="15">
        <f>IFERROR(__xludf.DUMMYFUNCTION("ARRAYFORMULA(VLOOKUP(A1969,IMPORTRANGE(""https://docs.google.com/spreadsheets/d/1BuTWp7qHGjWhqrnf-OmePP568O4A5Am9ttzvVdP67zw/edit#gid=771602874"" ,""HUMAN RESOURCES!$A$2:$M$2692""), {2,3,4,5,6,7,8,9,10,11,12,13},0))"),0.01)</f>
        <v>0.01</v>
      </c>
      <c r="Q1969" s="14">
        <f>IFERROR(__xludf.DUMMYFUNCTION("""COMPUTED_VALUE"""),0.02)</f>
        <v>0.02</v>
      </c>
      <c r="R1969" s="14">
        <f>IFERROR(__xludf.DUMMYFUNCTION("""COMPUTED_VALUE"""),75.0)</f>
        <v>75</v>
      </c>
      <c r="S1969" s="14">
        <f>IFERROR(__xludf.DUMMYFUNCTION("""COMPUTED_VALUE"""),68.0)</f>
        <v>68</v>
      </c>
      <c r="T1969" s="14">
        <f>IFERROR(__xludf.DUMMYFUNCTION("""COMPUTED_VALUE"""),0.16)</f>
        <v>0.16</v>
      </c>
      <c r="U1969" s="14">
        <f>IFERROR(__xludf.DUMMYFUNCTION("""COMPUTED_VALUE"""),0.694)</f>
        <v>0.694</v>
      </c>
      <c r="V1969" s="14">
        <f>IFERROR(__xludf.DUMMYFUNCTION("""COMPUTED_VALUE"""),0.146)</f>
        <v>0.146</v>
      </c>
      <c r="W1969" s="14">
        <f>IFERROR(__xludf.DUMMYFUNCTION("""COMPUTED_VALUE"""),2.1451748E7)</f>
        <v>21451748</v>
      </c>
      <c r="X1969" s="14">
        <f>IFERROR(__xludf.DUMMYFUNCTION("""COMPUTED_VALUE"""),0.53)</f>
        <v>0.53</v>
      </c>
      <c r="Y1969" s="14" t="str">
        <f>IFERROR(__xludf.DUMMYFUNCTION("""COMPUTED_VALUE"""),"Romania-Europe")</f>
        <v>Romania-Europe</v>
      </c>
      <c r="Z1969" s="14" t="str">
        <f>IFERROR(__xludf.DUMMYFUNCTION("""COMPUTED_VALUE"""),"Europe")</f>
        <v>Europe</v>
      </c>
      <c r="AA1969" s="14" t="str">
        <f>IFERROR(__xludf.DUMMYFUNCTION("""COMPUTED_VALUE"""),"2004")</f>
        <v>2004</v>
      </c>
      <c r="AB1969" s="15" t="str">
        <f>IFERROR(__xludf.DUMMYFUNCTION("ARRAYFORMULA(VLOOKUP(A1969,IMPORTRANGE(""https://docs.google.com/spreadsheets/d/1BuTWp7qHGjWhqrnf-OmePP568O4A5Am9ttzvVdP67zw/edit#gid=1931367683"" ,""ENERGY!$A$2:$F$2692""), {2,3,4,5,6},0))"),"Europe")</f>
        <v>Europe</v>
      </c>
      <c r="AC1969" s="14" t="str">
        <f>IFERROR(__xludf.DUMMYFUNCTION("""COMPUTED_VALUE"""),"Romania-Europe")</f>
        <v>Romania-Europe</v>
      </c>
      <c r="AD1969" s="14" t="str">
        <f>IFERROR(__xludf.DUMMYFUNCTION("""COMPUTED_VALUE"""),"2004")</f>
        <v>2004</v>
      </c>
      <c r="AE1969" s="14">
        <f>IFERROR(__xludf.DUMMYFUNCTION("""COMPUTED_VALUE"""),39617.0)</f>
        <v>39617</v>
      </c>
      <c r="AF1969" s="14">
        <f>IFERROR(__xludf.DUMMYFUNCTION("""COMPUTED_VALUE"""),94645.0)</f>
        <v>94645</v>
      </c>
    </row>
    <row r="1970">
      <c r="A1970" s="12">
        <v>1969.0</v>
      </c>
      <c r="B1970" s="12" t="s">
        <v>230</v>
      </c>
      <c r="C1970" s="5" t="s">
        <v>75</v>
      </c>
      <c r="D1970" s="11">
        <v>0.558</v>
      </c>
      <c r="E1970" s="11">
        <v>11.0</v>
      </c>
      <c r="F1970" s="8"/>
      <c r="G1970" s="11">
        <v>190.0</v>
      </c>
      <c r="H1970" s="11">
        <v>0.215</v>
      </c>
      <c r="I1970" s="11">
        <v>0.604</v>
      </c>
      <c r="J1970" s="9" t="s">
        <v>66</v>
      </c>
      <c r="K1970" s="14" t="str">
        <f>IFERROR(__xludf.DUMMYFUNCTION("ARRAYFORMULA(VLOOKUP(A1970,IMPORTRANGE(""https://docs.google.com/spreadsheets/d/1BuTWp7qHGjWhqrnf-OmePP568O4A5Am9ttzvVdP67zw/edit#gid=1603210130"", ""TOURISM!$A$2:$F$2692""), {2,3,4,5,6},0))"),"Europe")</f>
        <v>Europe</v>
      </c>
      <c r="L1970" s="14">
        <f>IFERROR(__xludf.DUMMYFUNCTION("""COMPUTED_VALUE"""),1.325E9)</f>
        <v>1325000000</v>
      </c>
      <c r="M1970" s="14" t="str">
        <f>IFERROR(__xludf.DUMMYFUNCTION("""COMPUTED_VALUE"""),"Romania-Europe")</f>
        <v>Romania-Europe</v>
      </c>
      <c r="N1970" s="14" t="str">
        <f>IFERROR(__xludf.DUMMYFUNCTION("""COMPUTED_VALUE"""),"2005")</f>
        <v>2005</v>
      </c>
      <c r="O1970" s="14">
        <f>IFERROR(__xludf.DUMMYFUNCTION("""COMPUTED_VALUE"""),1.073E9)</f>
        <v>1073000000</v>
      </c>
      <c r="P1970" s="15">
        <f>IFERROR(__xludf.DUMMYFUNCTION("ARRAYFORMULA(VLOOKUP(A1970,IMPORTRANGE(""https://docs.google.com/spreadsheets/d/1BuTWp7qHGjWhqrnf-OmePP568O4A5Am9ttzvVdP67zw/edit#gid=771602874"" ,""HUMAN RESOURCES!$A$2:$M$2692""), {2,3,4,5,6,7,8,9,10,11,12,13},0))"),0.01)</f>
        <v>0.01</v>
      </c>
      <c r="Q1970" s="14">
        <f>IFERROR(__xludf.DUMMYFUNCTION("""COMPUTED_VALUE"""),0.018)</f>
        <v>0.018</v>
      </c>
      <c r="R1970" s="14">
        <f>IFERROR(__xludf.DUMMYFUNCTION("""COMPUTED_VALUE"""),76.0)</f>
        <v>76</v>
      </c>
      <c r="S1970" s="14">
        <f>IFERROR(__xludf.DUMMYFUNCTION("""COMPUTED_VALUE"""),68.0)</f>
        <v>68</v>
      </c>
      <c r="T1970" s="14">
        <f>IFERROR(__xludf.DUMMYFUNCTION("""COMPUTED_VALUE"""),0.155)</f>
        <v>0.155</v>
      </c>
      <c r="U1970" s="14">
        <f>IFERROR(__xludf.DUMMYFUNCTION("""COMPUTED_VALUE"""),0.697)</f>
        <v>0.697</v>
      </c>
      <c r="V1970" s="14">
        <f>IFERROR(__xludf.DUMMYFUNCTION("""COMPUTED_VALUE"""),0.148)</f>
        <v>0.148</v>
      </c>
      <c r="W1970" s="14">
        <f>IFERROR(__xludf.DUMMYFUNCTION("""COMPUTED_VALUE"""),2.1319685E7)</f>
        <v>21319685</v>
      </c>
      <c r="X1970" s="14">
        <f>IFERROR(__xludf.DUMMYFUNCTION("""COMPUTED_VALUE"""),0.532)</f>
        <v>0.532</v>
      </c>
      <c r="Y1970" s="14" t="str">
        <f>IFERROR(__xludf.DUMMYFUNCTION("""COMPUTED_VALUE"""),"Romania-Europe")</f>
        <v>Romania-Europe</v>
      </c>
      <c r="Z1970" s="14" t="str">
        <f>IFERROR(__xludf.DUMMYFUNCTION("""COMPUTED_VALUE"""),"Europe")</f>
        <v>Europe</v>
      </c>
      <c r="AA1970" s="14" t="str">
        <f>IFERROR(__xludf.DUMMYFUNCTION("""COMPUTED_VALUE"""),"2005")</f>
        <v>2005</v>
      </c>
      <c r="AB1970" s="15" t="str">
        <f>IFERROR(__xludf.DUMMYFUNCTION("ARRAYFORMULA(VLOOKUP(A1970,IMPORTRANGE(""https://docs.google.com/spreadsheets/d/1BuTWp7qHGjWhqrnf-OmePP568O4A5Am9ttzvVdP67zw/edit#gid=1931367683"" ,""ENERGY!$A$2:$F$2692""), {2,3,4,5,6},0))"),"Europe")</f>
        <v>Europe</v>
      </c>
      <c r="AC1970" s="14" t="str">
        <f>IFERROR(__xludf.DUMMYFUNCTION("""COMPUTED_VALUE"""),"Romania-Europe")</f>
        <v>Romania-Europe</v>
      </c>
      <c r="AD1970" s="14" t="str">
        <f>IFERROR(__xludf.DUMMYFUNCTION("""COMPUTED_VALUE"""),"2008")</f>
        <v>2008</v>
      </c>
      <c r="AE1970" s="14">
        <f>IFERROR(__xludf.DUMMYFUNCTION("""COMPUTED_VALUE"""),39757.0)</f>
        <v>39757</v>
      </c>
      <c r="AF1970" s="14">
        <f>IFERROR(__xludf.DUMMYFUNCTION("""COMPUTED_VALUE"""),100960.0)</f>
        <v>100960</v>
      </c>
    </row>
    <row r="1971">
      <c r="A1971" s="12">
        <v>1970.0</v>
      </c>
      <c r="B1971" s="12" t="s">
        <v>230</v>
      </c>
      <c r="C1971" s="5" t="s">
        <v>75</v>
      </c>
      <c r="D1971" s="11">
        <v>0.482</v>
      </c>
      <c r="E1971" s="11">
        <v>11.0</v>
      </c>
      <c r="F1971" s="8"/>
      <c r="G1971" s="11">
        <v>193.0</v>
      </c>
      <c r="H1971" s="11">
        <v>0.247</v>
      </c>
      <c r="I1971" s="11">
        <v>0.725</v>
      </c>
      <c r="J1971" s="9" t="s">
        <v>67</v>
      </c>
      <c r="K1971" s="14" t="str">
        <f>IFERROR(__xludf.DUMMYFUNCTION("ARRAYFORMULA(VLOOKUP(A1971,IMPORTRANGE(""https://docs.google.com/spreadsheets/d/1BuTWp7qHGjWhqrnf-OmePP568O4A5Am9ttzvVdP67zw/edit#gid=1603210130"", ""TOURISM!$A$2:$F$2692""), {2,3,4,5,6},0))"),"Europe")</f>
        <v>Europe</v>
      </c>
      <c r="L1971" s="14">
        <f>IFERROR(__xludf.DUMMYFUNCTION("""COMPUTED_VALUE"""),1.676E9)</f>
        <v>1676000000</v>
      </c>
      <c r="M1971" s="14" t="str">
        <f>IFERROR(__xludf.DUMMYFUNCTION("""COMPUTED_VALUE"""),"Romania-Europe")</f>
        <v>Romania-Europe</v>
      </c>
      <c r="N1971" s="14" t="str">
        <f>IFERROR(__xludf.DUMMYFUNCTION("""COMPUTED_VALUE"""),"2006")</f>
        <v>2006</v>
      </c>
      <c r="O1971" s="14">
        <f>IFERROR(__xludf.DUMMYFUNCTION("""COMPUTED_VALUE"""),1.459E9)</f>
        <v>1459000000</v>
      </c>
      <c r="P1971" s="15">
        <f>IFERROR(__xludf.DUMMYFUNCTION("ARRAYFORMULA(VLOOKUP(A1971,IMPORTRANGE(""https://docs.google.com/spreadsheets/d/1BuTWp7qHGjWhqrnf-OmePP568O4A5Am9ttzvVdP67zw/edit#gid=771602874"" ,""HUMAN RESOURCES!$A$2:$M$2692""), {2,3,4,5,6,7,8,9,10,11,12,13},0))"),0.01)</f>
        <v>0.01</v>
      </c>
      <c r="Q1971" s="14">
        <f>IFERROR(__xludf.DUMMYFUNCTION("""COMPUTED_VALUE"""),0.017)</f>
        <v>0.017</v>
      </c>
      <c r="R1971" s="14">
        <f>IFERROR(__xludf.DUMMYFUNCTION("""COMPUTED_VALUE"""),76.0)</f>
        <v>76</v>
      </c>
      <c r="S1971" s="14">
        <f>IFERROR(__xludf.DUMMYFUNCTION("""COMPUTED_VALUE"""),69.0)</f>
        <v>69</v>
      </c>
      <c r="T1971" s="14">
        <f>IFERROR(__xludf.DUMMYFUNCTION("""COMPUTED_VALUE"""),0.152)</f>
        <v>0.152</v>
      </c>
      <c r="U1971" s="14">
        <f>IFERROR(__xludf.DUMMYFUNCTION("""COMPUTED_VALUE"""),0.7)</f>
        <v>0.7</v>
      </c>
      <c r="V1971" s="14">
        <f>IFERROR(__xludf.DUMMYFUNCTION("""COMPUTED_VALUE"""),0.149)</f>
        <v>0.149</v>
      </c>
      <c r="W1971" s="14">
        <f>IFERROR(__xludf.DUMMYFUNCTION("""COMPUTED_VALUE"""),2.119376E7)</f>
        <v>21193760</v>
      </c>
      <c r="X1971" s="14">
        <f>IFERROR(__xludf.DUMMYFUNCTION("""COMPUTED_VALUE"""),0.533)</f>
        <v>0.533</v>
      </c>
      <c r="Y1971" s="14" t="str">
        <f>IFERROR(__xludf.DUMMYFUNCTION("""COMPUTED_VALUE"""),"Romania-Europe")</f>
        <v>Romania-Europe</v>
      </c>
      <c r="Z1971" s="14" t="str">
        <f>IFERROR(__xludf.DUMMYFUNCTION("""COMPUTED_VALUE"""),"Europe")</f>
        <v>Europe</v>
      </c>
      <c r="AA1971" s="14" t="str">
        <f>IFERROR(__xludf.DUMMYFUNCTION("""COMPUTED_VALUE"""),"2006")</f>
        <v>2006</v>
      </c>
      <c r="AB1971" s="15" t="str">
        <f>IFERROR(__xludf.DUMMYFUNCTION("ARRAYFORMULA(VLOOKUP(A1971,IMPORTRANGE(""https://docs.google.com/spreadsheets/d/1BuTWp7qHGjWhqrnf-OmePP568O4A5Am9ttzvVdP67zw/edit#gid=1931367683"" ,""ENERGY!$A$2:$F$2692""), {2,3,4,5,6},0))"),"Europe")</f>
        <v>Europe</v>
      </c>
      <c r="AC1971" s="14" t="str">
        <f>IFERROR(__xludf.DUMMYFUNCTION("""COMPUTED_VALUE"""),"Romania-Europe")</f>
        <v>Romania-Europe</v>
      </c>
      <c r="AD1971" s="14" t="str">
        <f>IFERROR(__xludf.DUMMYFUNCTION("""COMPUTED_VALUE"""),"2012")</f>
        <v>2012</v>
      </c>
      <c r="AE1971" s="14">
        <f>IFERROR(__xludf.DUMMYFUNCTION("""COMPUTED_VALUE"""),39936.0)</f>
        <v>39936</v>
      </c>
      <c r="AF1971" s="14">
        <f>IFERROR(__xludf.DUMMYFUNCTION("""COMPUTED_VALUE"""),102595.0)</f>
        <v>102595</v>
      </c>
    </row>
    <row r="1972">
      <c r="A1972" s="12">
        <v>1971.0</v>
      </c>
      <c r="B1972" s="12" t="s">
        <v>230</v>
      </c>
      <c r="C1972" s="5" t="s">
        <v>75</v>
      </c>
      <c r="D1972" s="11">
        <v>0.456</v>
      </c>
      <c r="E1972" s="11">
        <v>9.0</v>
      </c>
      <c r="F1972" s="8"/>
      <c r="G1972" s="11">
        <v>202.0</v>
      </c>
      <c r="H1972" s="11">
        <v>0.283</v>
      </c>
      <c r="I1972" s="11">
        <v>0.927</v>
      </c>
      <c r="J1972" s="9" t="s">
        <v>68</v>
      </c>
      <c r="K1972" s="14" t="str">
        <f>IFERROR(__xludf.DUMMYFUNCTION("ARRAYFORMULA(VLOOKUP(A1972,IMPORTRANGE(""https://docs.google.com/spreadsheets/d/1BuTWp7qHGjWhqrnf-OmePP568O4A5Am9ttzvVdP67zw/edit#gid=1603210130"", ""TOURISM!$A$2:$F$2692""), {2,3,4,5,6},0))"),"Europe")</f>
        <v>Europe</v>
      </c>
      <c r="L1972" s="14">
        <f>IFERROR(__xludf.DUMMYFUNCTION("""COMPUTED_VALUE"""),2.073E9)</f>
        <v>2073000000</v>
      </c>
      <c r="M1972" s="14" t="str">
        <f>IFERROR(__xludf.DUMMYFUNCTION("""COMPUTED_VALUE"""),"Romania-Europe")</f>
        <v>Romania-Europe</v>
      </c>
      <c r="N1972" s="14" t="str">
        <f>IFERROR(__xludf.DUMMYFUNCTION("""COMPUTED_VALUE"""),"2007")</f>
        <v>2007</v>
      </c>
      <c r="O1972" s="14">
        <f>IFERROR(__xludf.DUMMYFUNCTION("""COMPUTED_VALUE"""),1.725E9)</f>
        <v>1725000000</v>
      </c>
      <c r="P1972" s="15">
        <f>IFERROR(__xludf.DUMMYFUNCTION("ARRAYFORMULA(VLOOKUP(A1972,IMPORTRANGE(""https://docs.google.com/spreadsheets/d/1BuTWp7qHGjWhqrnf-OmePP568O4A5Am9ttzvVdP67zw/edit#gid=771602874"" ,""HUMAN RESOURCES!$A$2:$M$2692""), {2,3,4,5,6,7,8,9,10,11,12,13},0))"),0.01)</f>
        <v>0.01</v>
      </c>
      <c r="Q1972" s="14">
        <f>IFERROR(__xludf.DUMMYFUNCTION("""COMPUTED_VALUE"""),0.015)</f>
        <v>0.015</v>
      </c>
      <c r="R1972" s="14">
        <f>IFERROR(__xludf.DUMMYFUNCTION("""COMPUTED_VALUE"""),76.0)</f>
        <v>76</v>
      </c>
      <c r="S1972" s="14">
        <f>IFERROR(__xludf.DUMMYFUNCTION("""COMPUTED_VALUE"""),69.0)</f>
        <v>69</v>
      </c>
      <c r="T1972" s="14">
        <f>IFERROR(__xludf.DUMMYFUNCTION("""COMPUTED_VALUE"""),0.15)</f>
        <v>0.15</v>
      </c>
      <c r="U1972" s="14">
        <f>IFERROR(__xludf.DUMMYFUNCTION("""COMPUTED_VALUE"""),0.701)</f>
        <v>0.701</v>
      </c>
      <c r="V1972" s="14">
        <f>IFERROR(__xludf.DUMMYFUNCTION("""COMPUTED_VALUE"""),0.149)</f>
        <v>0.149</v>
      </c>
      <c r="W1972" s="14">
        <f>IFERROR(__xludf.DUMMYFUNCTION("""COMPUTED_VALUE"""),2.0882982E7)</f>
        <v>20882982</v>
      </c>
      <c r="X1972" s="14">
        <f>IFERROR(__xludf.DUMMYFUNCTION("""COMPUTED_VALUE"""),0.534)</f>
        <v>0.534</v>
      </c>
      <c r="Y1972" s="14" t="str">
        <f>IFERROR(__xludf.DUMMYFUNCTION("""COMPUTED_VALUE"""),"Romania-Europe")</f>
        <v>Romania-Europe</v>
      </c>
      <c r="Z1972" s="14" t="str">
        <f>IFERROR(__xludf.DUMMYFUNCTION("""COMPUTED_VALUE"""),"Europe")</f>
        <v>Europe</v>
      </c>
      <c r="AA1972" s="14" t="str">
        <f>IFERROR(__xludf.DUMMYFUNCTION("""COMPUTED_VALUE"""),"2007")</f>
        <v>2007</v>
      </c>
      <c r="AB1972" s="15" t="str">
        <f>IFERROR(__xludf.DUMMYFUNCTION("ARRAYFORMULA(VLOOKUP(A1972,IMPORTRANGE(""https://docs.google.com/spreadsheets/d/1BuTWp7qHGjWhqrnf-OmePP568O4A5Am9ttzvVdP67zw/edit#gid=1931367683"" ,""ENERGY!$A$2:$F$2692""), {2,3,4,5,6},0))"),"Europe")</f>
        <v>Europe</v>
      </c>
      <c r="AC1972" s="14" t="str">
        <f>IFERROR(__xludf.DUMMYFUNCTION("""COMPUTED_VALUE"""),"Romania-Europe")</f>
        <v>Romania-Europe</v>
      </c>
      <c r="AD1972" s="14" t="str">
        <f>IFERROR(__xludf.DUMMYFUNCTION("""COMPUTED_VALUE"""),"2010")</f>
        <v>2010</v>
      </c>
      <c r="AE1972" s="14">
        <f>IFERROR(__xludf.DUMMYFUNCTION("""COMPUTED_VALUE"""),38693.0)</f>
        <v>38693</v>
      </c>
      <c r="AF1972" s="14">
        <f>IFERROR(__xludf.DUMMYFUNCTION("""COMPUTED_VALUE"""),95676.0)</f>
        <v>95676</v>
      </c>
    </row>
    <row r="1973">
      <c r="A1973" s="12">
        <v>1972.0</v>
      </c>
      <c r="B1973" s="12" t="s">
        <v>230</v>
      </c>
      <c r="C1973" s="5" t="s">
        <v>75</v>
      </c>
      <c r="D1973" s="11">
        <v>0.454</v>
      </c>
      <c r="E1973" s="11">
        <v>9.0</v>
      </c>
      <c r="F1973" s="8"/>
      <c r="G1973" s="11">
        <v>202.0</v>
      </c>
      <c r="H1973" s="11">
        <v>0.324</v>
      </c>
      <c r="I1973" s="11">
        <v>1.114</v>
      </c>
      <c r="J1973" s="9" t="s">
        <v>69</v>
      </c>
      <c r="K1973" s="14" t="str">
        <f>IFERROR(__xludf.DUMMYFUNCTION("ARRAYFORMULA(VLOOKUP(A1973,IMPORTRANGE(""https://docs.google.com/spreadsheets/d/1BuTWp7qHGjWhqrnf-OmePP568O4A5Am9ttzvVdP67zw/edit#gid=1603210130"", ""TOURISM!$A$2:$F$2692""), {2,3,4,5,6},0))"),"Europe")</f>
        <v>Europe</v>
      </c>
      <c r="L1973" s="14">
        <f>IFERROR(__xludf.DUMMYFUNCTION("""COMPUTED_VALUE"""),2.625E9)</f>
        <v>2625000000</v>
      </c>
      <c r="M1973" s="14" t="str">
        <f>IFERROR(__xludf.DUMMYFUNCTION("""COMPUTED_VALUE"""),"Romania-Europe")</f>
        <v>Romania-Europe</v>
      </c>
      <c r="N1973" s="14" t="str">
        <f>IFERROR(__xludf.DUMMYFUNCTION("""COMPUTED_VALUE"""),"2008")</f>
        <v>2008</v>
      </c>
      <c r="O1973" s="14">
        <f>IFERROR(__xludf.DUMMYFUNCTION("""COMPUTED_VALUE"""),2.409E9)</f>
        <v>2409000000</v>
      </c>
      <c r="P1973" s="15">
        <f>IFERROR(__xludf.DUMMYFUNCTION("ARRAYFORMULA(VLOOKUP(A1973,IMPORTRANGE(""https://docs.google.com/spreadsheets/d/1BuTWp7qHGjWhqrnf-OmePP568O4A5Am9ttzvVdP67zw/edit#gid=771602874"" ,""HUMAN RESOURCES!$A$2:$M$2692""), {2,3,4,5,6,7,8,9,10,11,12,13},0))"),0.011)</f>
        <v>0.011</v>
      </c>
      <c r="Q1973" s="14">
        <f>IFERROR(__xludf.DUMMYFUNCTION("""COMPUTED_VALUE"""),0.014)</f>
        <v>0.014</v>
      </c>
      <c r="R1973" s="14">
        <f>IFERROR(__xludf.DUMMYFUNCTION("""COMPUTED_VALUE"""),76.0)</f>
        <v>76</v>
      </c>
      <c r="S1973" s="14">
        <f>IFERROR(__xludf.DUMMYFUNCTION("""COMPUTED_VALUE"""),69.0)</f>
        <v>69</v>
      </c>
      <c r="T1973" s="14">
        <f>IFERROR(__xludf.DUMMYFUNCTION("""COMPUTED_VALUE"""),0.15)</f>
        <v>0.15</v>
      </c>
      <c r="U1973" s="14">
        <f>IFERROR(__xludf.DUMMYFUNCTION("""COMPUTED_VALUE"""),0.702)</f>
        <v>0.702</v>
      </c>
      <c r="V1973" s="14">
        <f>IFERROR(__xludf.DUMMYFUNCTION("""COMPUTED_VALUE"""),0.149)</f>
        <v>0.149</v>
      </c>
      <c r="W1973" s="14">
        <f>IFERROR(__xludf.DUMMYFUNCTION("""COMPUTED_VALUE"""),2.0537875E7)</f>
        <v>20537875</v>
      </c>
      <c r="X1973" s="14">
        <f>IFERROR(__xludf.DUMMYFUNCTION("""COMPUTED_VALUE"""),0.536)</f>
        <v>0.536</v>
      </c>
      <c r="Y1973" s="14" t="str">
        <f>IFERROR(__xludf.DUMMYFUNCTION("""COMPUTED_VALUE"""),"Romania-Europe")</f>
        <v>Romania-Europe</v>
      </c>
      <c r="Z1973" s="14" t="str">
        <f>IFERROR(__xludf.DUMMYFUNCTION("""COMPUTED_VALUE"""),"Europe")</f>
        <v>Europe</v>
      </c>
      <c r="AA1973" s="14" t="str">
        <f>IFERROR(__xludf.DUMMYFUNCTION("""COMPUTED_VALUE"""),"2008")</f>
        <v>2008</v>
      </c>
      <c r="AB1973" s="15" t="str">
        <f>IFERROR(__xludf.DUMMYFUNCTION("ARRAYFORMULA(VLOOKUP(A1973,IMPORTRANGE(""https://docs.google.com/spreadsheets/d/1BuTWp7qHGjWhqrnf-OmePP568O4A5Am9ttzvVdP67zw/edit#gid=1931367683"" ,""ENERGY!$A$2:$F$2692""), {2,3,4,5,6},0))"),"Europe")</f>
        <v>Europe</v>
      </c>
      <c r="AC1973" s="14" t="str">
        <f>IFERROR(__xludf.DUMMYFUNCTION("""COMPUTED_VALUE"""),"Romania-Europe")</f>
        <v>Romania-Europe</v>
      </c>
      <c r="AD1973" s="14" t="str">
        <f>IFERROR(__xludf.DUMMYFUNCTION("""COMPUTED_VALUE"""),"2007")</f>
        <v>2007</v>
      </c>
      <c r="AE1973" s="14">
        <f>IFERROR(__xludf.DUMMYFUNCTION("""COMPUTED_VALUE"""),38683.0)</f>
        <v>38683</v>
      </c>
      <c r="AF1973" s="14">
        <f>IFERROR(__xludf.DUMMYFUNCTION("""COMPUTED_VALUE"""),95401.0)</f>
        <v>95401</v>
      </c>
    </row>
    <row r="1974">
      <c r="A1974" s="12">
        <v>1973.0</v>
      </c>
      <c r="B1974" s="12" t="s">
        <v>230</v>
      </c>
      <c r="C1974" s="5" t="s">
        <v>75</v>
      </c>
      <c r="D1974" s="11">
        <v>0.451</v>
      </c>
      <c r="E1974" s="11">
        <v>9.0</v>
      </c>
      <c r="F1974" s="8"/>
      <c r="G1974" s="11">
        <v>202.0</v>
      </c>
      <c r="H1974" s="11">
        <v>0.366</v>
      </c>
      <c r="I1974" s="11">
        <v>1.145</v>
      </c>
      <c r="J1974" s="9" t="s">
        <v>70</v>
      </c>
      <c r="K1974" s="14" t="str">
        <f>IFERROR(__xludf.DUMMYFUNCTION("ARRAYFORMULA(VLOOKUP(A1974,IMPORTRANGE(""https://docs.google.com/spreadsheets/d/1BuTWp7qHGjWhqrnf-OmePP568O4A5Am9ttzvVdP67zw/edit#gid=1603210130"", ""TOURISM!$A$2:$F$2692""), {2,3,4,5,6},0))"),"Europe")</f>
        <v>Europe</v>
      </c>
      <c r="L1974" s="14">
        <f>IFERROR(__xludf.DUMMYFUNCTION("""COMPUTED_VALUE"""),1.687E9)</f>
        <v>1687000000</v>
      </c>
      <c r="M1974" s="14" t="str">
        <f>IFERROR(__xludf.DUMMYFUNCTION("""COMPUTED_VALUE"""),"Romania-Europe")</f>
        <v>Romania-Europe</v>
      </c>
      <c r="N1974" s="14" t="str">
        <f>IFERROR(__xludf.DUMMYFUNCTION("""COMPUTED_VALUE"""),"2009")</f>
        <v>2009</v>
      </c>
      <c r="O1974" s="14">
        <f>IFERROR(__xludf.DUMMYFUNCTION("""COMPUTED_VALUE"""),1.769E9)</f>
        <v>1769000000</v>
      </c>
      <c r="P1974" s="15">
        <f>IFERROR(__xludf.DUMMYFUNCTION("ARRAYFORMULA(VLOOKUP(A1974,IMPORTRANGE(""https://docs.google.com/spreadsheets/d/1BuTWp7qHGjWhqrnf-OmePP568O4A5Am9ttzvVdP67zw/edit#gid=771602874"" ,""HUMAN RESOURCES!$A$2:$M$2692""), {2,3,4,5,6,7,8,9,10,11,12,13},0))"),0.011)</f>
        <v>0.011</v>
      </c>
      <c r="Q1974" s="14">
        <f>IFERROR(__xludf.DUMMYFUNCTION("""COMPUTED_VALUE"""),0.013)</f>
        <v>0.013</v>
      </c>
      <c r="R1974" s="14">
        <f>IFERROR(__xludf.DUMMYFUNCTION("""COMPUTED_VALUE"""),77.0)</f>
        <v>77</v>
      </c>
      <c r="S1974" s="14">
        <f>IFERROR(__xludf.DUMMYFUNCTION("""COMPUTED_VALUE"""),70.0)</f>
        <v>70</v>
      </c>
      <c r="T1974" s="14">
        <f>IFERROR(__xludf.DUMMYFUNCTION("""COMPUTED_VALUE"""),0.15)</f>
        <v>0.15</v>
      </c>
      <c r="U1974" s="14">
        <f>IFERROR(__xludf.DUMMYFUNCTION("""COMPUTED_VALUE"""),0.702)</f>
        <v>0.702</v>
      </c>
      <c r="V1974" s="14">
        <f>IFERROR(__xludf.DUMMYFUNCTION("""COMPUTED_VALUE"""),0.148)</f>
        <v>0.148</v>
      </c>
      <c r="W1974" s="14">
        <f>IFERROR(__xludf.DUMMYFUNCTION("""COMPUTED_VALUE"""),2.0367487E7)</f>
        <v>20367487</v>
      </c>
      <c r="X1974" s="14">
        <f>IFERROR(__xludf.DUMMYFUNCTION("""COMPUTED_VALUE"""),0.537)</f>
        <v>0.537</v>
      </c>
      <c r="Y1974" s="14" t="str">
        <f>IFERROR(__xludf.DUMMYFUNCTION("""COMPUTED_VALUE"""),"Romania-Europe")</f>
        <v>Romania-Europe</v>
      </c>
      <c r="Z1974" s="14" t="str">
        <f>IFERROR(__xludf.DUMMYFUNCTION("""COMPUTED_VALUE"""),"Europe")</f>
        <v>Europe</v>
      </c>
      <c r="AA1974" s="14" t="str">
        <f>IFERROR(__xludf.DUMMYFUNCTION("""COMPUTED_VALUE"""),"2009")</f>
        <v>2009</v>
      </c>
      <c r="AB1974" s="15" t="str">
        <f>IFERROR(__xludf.DUMMYFUNCTION("ARRAYFORMULA(VLOOKUP(A1974,IMPORTRANGE(""https://docs.google.com/spreadsheets/d/1BuTWp7qHGjWhqrnf-OmePP568O4A5Am9ttzvVdP67zw/edit#gid=1931367683"" ,""ENERGY!$A$2:$F$2692""), {2,3,4,5,6},0))"),"Europe")</f>
        <v>Europe</v>
      </c>
      <c r="AC1974" s="14" t="str">
        <f>IFERROR(__xludf.DUMMYFUNCTION("""COMPUTED_VALUE"""),"Romania-Europe")</f>
        <v>Romania-Europe</v>
      </c>
      <c r="AD1974" s="14" t="str">
        <f>IFERROR(__xludf.DUMMYFUNCTION("""COMPUTED_VALUE"""),"2011")</f>
        <v>2011</v>
      </c>
      <c r="AE1974" s="14">
        <f>IFERROR(__xludf.DUMMYFUNCTION("""COMPUTED_VALUE"""),39525.0)</f>
        <v>39525</v>
      </c>
      <c r="AF1974" s="14">
        <f>IFERROR(__xludf.DUMMYFUNCTION("""COMPUTED_VALUE"""),95940.0)</f>
        <v>95940</v>
      </c>
    </row>
    <row r="1975">
      <c r="A1975" s="12">
        <v>1974.0</v>
      </c>
      <c r="B1975" s="12" t="s">
        <v>230</v>
      </c>
      <c r="C1975" s="5" t="s">
        <v>75</v>
      </c>
      <c r="D1975" s="11">
        <v>0.435</v>
      </c>
      <c r="E1975" s="11">
        <v>9.0</v>
      </c>
      <c r="F1975" s="8"/>
      <c r="G1975" s="11">
        <v>222.0</v>
      </c>
      <c r="H1975" s="11">
        <v>0.399</v>
      </c>
      <c r="I1975" s="11">
        <v>1.114</v>
      </c>
      <c r="J1975" s="9" t="s">
        <v>71</v>
      </c>
      <c r="K1975" s="14" t="str">
        <f>IFERROR(__xludf.DUMMYFUNCTION("ARRAYFORMULA(VLOOKUP(A1975,IMPORTRANGE(""https://docs.google.com/spreadsheets/d/1BuTWp7qHGjWhqrnf-OmePP568O4A5Am9ttzvVdP67zw/edit#gid=1603210130"", ""TOURISM!$A$2:$F$2692""), {2,3,4,5,6},0))"),"Europe")</f>
        <v>Europe</v>
      </c>
      <c r="L1975" s="14">
        <f>IFERROR(__xludf.DUMMYFUNCTION("""COMPUTED_VALUE"""),1.631E9)</f>
        <v>1631000000</v>
      </c>
      <c r="M1975" s="14" t="str">
        <f>IFERROR(__xludf.DUMMYFUNCTION("""COMPUTED_VALUE"""),"Romania-Europe")</f>
        <v>Romania-Europe</v>
      </c>
      <c r="N1975" s="14" t="str">
        <f>IFERROR(__xludf.DUMMYFUNCTION("""COMPUTED_VALUE"""),"2010")</f>
        <v>2010</v>
      </c>
      <c r="O1975" s="14">
        <f>IFERROR(__xludf.DUMMYFUNCTION("""COMPUTED_VALUE"""),1.896E9)</f>
        <v>1896000000</v>
      </c>
      <c r="P1975" s="15">
        <f>IFERROR(__xludf.DUMMYFUNCTION("ARRAYFORMULA(VLOOKUP(A1975,IMPORTRANGE(""https://docs.google.com/spreadsheets/d/1BuTWp7qHGjWhqrnf-OmePP568O4A5Am9ttzvVdP67zw/edit#gid=771602874"" ,""HUMAN RESOURCES!$A$2:$M$2692""), {2,3,4,5,6,7,8,9,10,11,12,13},0))"),0.011)</f>
        <v>0.011</v>
      </c>
      <c r="Q1975" s="14">
        <f>IFERROR(__xludf.DUMMYFUNCTION("""COMPUTED_VALUE"""),0.012)</f>
        <v>0.012</v>
      </c>
      <c r="R1975" s="14">
        <f>IFERROR(__xludf.DUMMYFUNCTION("""COMPUTED_VALUE"""),77.0)</f>
        <v>77</v>
      </c>
      <c r="S1975" s="14">
        <f>IFERROR(__xludf.DUMMYFUNCTION("""COMPUTED_VALUE"""),70.0)</f>
        <v>70</v>
      </c>
      <c r="T1975" s="14">
        <f>IFERROR(__xludf.DUMMYFUNCTION("""COMPUTED_VALUE"""),0.15)</f>
        <v>0.15</v>
      </c>
      <c r="U1975" s="14">
        <f>IFERROR(__xludf.DUMMYFUNCTION("""COMPUTED_VALUE"""),0.701)</f>
        <v>0.701</v>
      </c>
      <c r="V1975" s="14">
        <f>IFERROR(__xludf.DUMMYFUNCTION("""COMPUTED_VALUE"""),0.148)</f>
        <v>0.148</v>
      </c>
      <c r="W1975" s="14">
        <f>IFERROR(__xludf.DUMMYFUNCTION("""COMPUTED_VALUE"""),2.0246871E7)</f>
        <v>20246871</v>
      </c>
      <c r="X1975" s="14">
        <f>IFERROR(__xludf.DUMMYFUNCTION("""COMPUTED_VALUE"""),0.538)</f>
        <v>0.538</v>
      </c>
      <c r="Y1975" s="14" t="str">
        <f>IFERROR(__xludf.DUMMYFUNCTION("""COMPUTED_VALUE"""),"Romania-Europe")</f>
        <v>Romania-Europe</v>
      </c>
      <c r="Z1975" s="14" t="str">
        <f>IFERROR(__xludf.DUMMYFUNCTION("""COMPUTED_VALUE"""),"Europe")</f>
        <v>Europe</v>
      </c>
      <c r="AA1975" s="14" t="str">
        <f>IFERROR(__xludf.DUMMYFUNCTION("""COMPUTED_VALUE"""),"2010")</f>
        <v>2010</v>
      </c>
      <c r="AB1975" s="15" t="str">
        <f>IFERROR(__xludf.DUMMYFUNCTION("ARRAYFORMULA(VLOOKUP(A1975,IMPORTRANGE(""https://docs.google.com/spreadsheets/d/1BuTWp7qHGjWhqrnf-OmePP568O4A5Am9ttzvVdP67zw/edit#gid=1931367683"" ,""ENERGY!$A$2:$F$2692""), {2,3,4,5,6},0))"),"Europe")</f>
        <v>Europe</v>
      </c>
      <c r="AC1975" s="14" t="str">
        <f>IFERROR(__xludf.DUMMYFUNCTION("""COMPUTED_VALUE"""),"Romania-Europe")</f>
        <v>Romania-Europe</v>
      </c>
      <c r="AD1975" s="14" t="str">
        <f>IFERROR(__xludf.DUMMYFUNCTION("""COMPUTED_VALUE"""),"2007")</f>
        <v>2007</v>
      </c>
      <c r="AE1975" s="14">
        <f>IFERROR(__xludf.DUMMYFUNCTION("""COMPUTED_VALUE"""),38140.0)</f>
        <v>38140</v>
      </c>
      <c r="AF1975" s="14">
        <f>IFERROR(__xludf.DUMMYFUNCTION("""COMPUTED_VALUE"""),92174.0)</f>
        <v>92174</v>
      </c>
    </row>
    <row r="1976">
      <c r="A1976" s="12">
        <v>1975.0</v>
      </c>
      <c r="B1976" s="12" t="s">
        <v>230</v>
      </c>
      <c r="C1976" s="5" t="s">
        <v>75</v>
      </c>
      <c r="D1976" s="11">
        <v>0.431</v>
      </c>
      <c r="E1976" s="11">
        <v>14.0</v>
      </c>
      <c r="F1976" s="8"/>
      <c r="G1976" s="11">
        <v>222.0</v>
      </c>
      <c r="H1976" s="11">
        <v>0.4</v>
      </c>
      <c r="I1976" s="11">
        <v>1.074</v>
      </c>
      <c r="J1976" s="9" t="s">
        <v>72</v>
      </c>
      <c r="K1976" s="14" t="str">
        <f>IFERROR(__xludf.DUMMYFUNCTION("ARRAYFORMULA(VLOOKUP(A1976,IMPORTRANGE(""https://docs.google.com/spreadsheets/d/1BuTWp7qHGjWhqrnf-OmePP568O4A5Am9ttzvVdP67zw/edit#gid=1603210130"", ""TOURISM!$A$2:$F$2692""), {2,3,4,5,6},0))"),"Europe")</f>
        <v>Europe</v>
      </c>
      <c r="L1976" s="14">
        <f>IFERROR(__xludf.DUMMYFUNCTION("""COMPUTED_VALUE"""),2.018E9)</f>
        <v>2018000000</v>
      </c>
      <c r="M1976" s="14" t="str">
        <f>IFERROR(__xludf.DUMMYFUNCTION("""COMPUTED_VALUE"""),"Romania-Europe")</f>
        <v>Romania-Europe</v>
      </c>
      <c r="N1976" s="14" t="str">
        <f>IFERROR(__xludf.DUMMYFUNCTION("""COMPUTED_VALUE"""),"2011")</f>
        <v>2011</v>
      </c>
      <c r="O1976" s="14">
        <f>IFERROR(__xludf.DUMMYFUNCTION("""COMPUTED_VALUE"""),2.295E9)</f>
        <v>2295000000</v>
      </c>
      <c r="P1976" s="15">
        <f>IFERROR(__xludf.DUMMYFUNCTION("ARRAYFORMULA(VLOOKUP(A1976,IMPORTRANGE(""https://docs.google.com/spreadsheets/d/1BuTWp7qHGjWhqrnf-OmePP568O4A5Am9ttzvVdP67zw/edit#gid=771602874"" ,""HUMAN RESOURCES!$A$2:$M$2692""), {2,3,4,5,6,7,8,9,10,11,12,13},0))"),0.01)</f>
        <v>0.01</v>
      </c>
      <c r="Q1976" s="14">
        <f>IFERROR(__xludf.DUMMYFUNCTION("""COMPUTED_VALUE"""),0.012)</f>
        <v>0.012</v>
      </c>
      <c r="R1976" s="14">
        <f>IFERROR(__xludf.DUMMYFUNCTION("""COMPUTED_VALUE"""),78.0)</f>
        <v>78</v>
      </c>
      <c r="S1976" s="14">
        <f>IFERROR(__xludf.DUMMYFUNCTION("""COMPUTED_VALUE"""),71.0)</f>
        <v>71</v>
      </c>
      <c r="T1976" s="14">
        <f>IFERROR(__xludf.DUMMYFUNCTION("""COMPUTED_VALUE"""),0.15)</f>
        <v>0.15</v>
      </c>
      <c r="U1976" s="14">
        <f>IFERROR(__xludf.DUMMYFUNCTION("""COMPUTED_VALUE"""),0.701)</f>
        <v>0.701</v>
      </c>
      <c r="V1976" s="14">
        <f>IFERROR(__xludf.DUMMYFUNCTION("""COMPUTED_VALUE"""),0.149)</f>
        <v>0.149</v>
      </c>
      <c r="W1976" s="14">
        <f>IFERROR(__xludf.DUMMYFUNCTION("""COMPUTED_VALUE"""),2.0147528E7)</f>
        <v>20147528</v>
      </c>
      <c r="X1976" s="14">
        <f>IFERROR(__xludf.DUMMYFUNCTION("""COMPUTED_VALUE"""),0.54)</f>
        <v>0.54</v>
      </c>
      <c r="Y1976" s="14" t="str">
        <f>IFERROR(__xludf.DUMMYFUNCTION("""COMPUTED_VALUE"""),"Romania-Europe")</f>
        <v>Romania-Europe</v>
      </c>
      <c r="Z1976" s="14" t="str">
        <f>IFERROR(__xludf.DUMMYFUNCTION("""COMPUTED_VALUE"""),"Europe")</f>
        <v>Europe</v>
      </c>
      <c r="AA1976" s="14" t="str">
        <f>IFERROR(__xludf.DUMMYFUNCTION("""COMPUTED_VALUE"""),"2011")</f>
        <v>2011</v>
      </c>
      <c r="AB1976" s="15" t="str">
        <f>IFERROR(__xludf.DUMMYFUNCTION("ARRAYFORMULA(VLOOKUP(A1976,IMPORTRANGE(""https://docs.google.com/spreadsheets/d/1BuTWp7qHGjWhqrnf-OmePP568O4A5Am9ttzvVdP67zw/edit#gid=1931367683"" ,""ENERGY!$A$2:$F$2692""), {2,3,4,5,6},0))"),"Europe")</f>
        <v>Europe</v>
      </c>
      <c r="AC1976" s="14" t="str">
        <f>IFERROR(__xludf.DUMMYFUNCTION("""COMPUTED_VALUE"""),"Romania-Europe")</f>
        <v>Romania-Europe</v>
      </c>
      <c r="AD1976" s="14" t="str">
        <f>IFERROR(__xludf.DUMMYFUNCTION("""COMPUTED_VALUE"""),"2007")</f>
        <v>2007</v>
      </c>
      <c r="AE1976" s="14">
        <f>IFERROR(__xludf.DUMMYFUNCTION("""COMPUTED_VALUE"""),36819.0)</f>
        <v>36819</v>
      </c>
      <c r="AF1976" s="14">
        <f>IFERROR(__xludf.DUMMYFUNCTION("""COMPUTED_VALUE"""),95672.0)</f>
        <v>95672</v>
      </c>
    </row>
    <row r="1977">
      <c r="A1977" s="12">
        <v>1976.0</v>
      </c>
      <c r="B1977" s="12" t="s">
        <v>230</v>
      </c>
      <c r="C1977" s="5" t="s">
        <v>75</v>
      </c>
      <c r="D1977" s="11">
        <v>0.429</v>
      </c>
      <c r="E1977" s="11">
        <v>10.0</v>
      </c>
      <c r="F1977" s="11">
        <v>73.0</v>
      </c>
      <c r="G1977" s="11">
        <v>216.0</v>
      </c>
      <c r="H1977" s="11">
        <v>0.459</v>
      </c>
      <c r="I1977" s="11">
        <v>1.05</v>
      </c>
      <c r="J1977" s="9" t="s">
        <v>73</v>
      </c>
      <c r="K1977" s="14" t="str">
        <f>IFERROR(__xludf.DUMMYFUNCTION("ARRAYFORMULA(VLOOKUP(A1977,IMPORTRANGE(""https://docs.google.com/spreadsheets/d/1BuTWp7qHGjWhqrnf-OmePP568O4A5Am9ttzvVdP67zw/edit#gid=1603210130"", ""TOURISM!$A$2:$F$2692""), {2,3,4,5,6},0))"),"Europe")</f>
        <v>Europe</v>
      </c>
      <c r="L1977" s="14">
        <f>IFERROR(__xludf.DUMMYFUNCTION("""COMPUTED_VALUE"""),1.919E9)</f>
        <v>1919000000</v>
      </c>
      <c r="M1977" s="14" t="str">
        <f>IFERROR(__xludf.DUMMYFUNCTION("""COMPUTED_VALUE"""),"Romania-Europe")</f>
        <v>Romania-Europe</v>
      </c>
      <c r="N1977" s="14" t="str">
        <f>IFERROR(__xludf.DUMMYFUNCTION("""COMPUTED_VALUE"""),"2012")</f>
        <v>2012</v>
      </c>
      <c r="O1977" s="14">
        <f>IFERROR(__xludf.DUMMYFUNCTION("""COMPUTED_VALUE"""),2.112E9)</f>
        <v>2112000000</v>
      </c>
      <c r="P1977" s="15">
        <f>IFERROR(__xludf.DUMMYFUNCTION("ARRAYFORMULA(VLOOKUP(A1977,IMPORTRANGE(""https://docs.google.com/spreadsheets/d/1BuTWp7qHGjWhqrnf-OmePP568O4A5Am9ttzvVdP67zw/edit#gid=771602874"" ,""HUMAN RESOURCES!$A$2:$M$2692""), {2,3,4,5,6,7,8,9,10,11,12,13},0))"),0.01)</f>
        <v>0.01</v>
      </c>
      <c r="Q1977" s="14">
        <f>IFERROR(__xludf.DUMMYFUNCTION("""COMPUTED_VALUE"""),0.011)</f>
        <v>0.011</v>
      </c>
      <c r="R1977" s="14">
        <f>IFERROR(__xludf.DUMMYFUNCTION("""COMPUTED_VALUE"""),78.0)</f>
        <v>78</v>
      </c>
      <c r="S1977" s="14">
        <f>IFERROR(__xludf.DUMMYFUNCTION("""COMPUTED_VALUE"""),71.0)</f>
        <v>71</v>
      </c>
      <c r="T1977" s="14">
        <f>IFERROR(__xludf.DUMMYFUNCTION("""COMPUTED_VALUE"""),0.15)</f>
        <v>0.15</v>
      </c>
      <c r="U1977" s="14">
        <f>IFERROR(__xludf.DUMMYFUNCTION("""COMPUTED_VALUE"""),0.7)</f>
        <v>0.7</v>
      </c>
      <c r="V1977" s="14">
        <f>IFERROR(__xludf.DUMMYFUNCTION("""COMPUTED_VALUE"""),0.15)</f>
        <v>0.15</v>
      </c>
      <c r="W1977" s="14">
        <f>IFERROR(__xludf.DUMMYFUNCTION("""COMPUTED_VALUE"""),2.0076727E7)</f>
        <v>20076727</v>
      </c>
      <c r="X1977" s="14">
        <f>IFERROR(__xludf.DUMMYFUNCTION("""COMPUTED_VALUE"""),0.541)</f>
        <v>0.541</v>
      </c>
      <c r="Y1977" s="14" t="str">
        <f>IFERROR(__xludf.DUMMYFUNCTION("""COMPUTED_VALUE"""),"Romania-Europe")</f>
        <v>Romania-Europe</v>
      </c>
      <c r="Z1977" s="14" t="str">
        <f>IFERROR(__xludf.DUMMYFUNCTION("""COMPUTED_VALUE"""),"Europe")</f>
        <v>Europe</v>
      </c>
      <c r="AA1977" s="14" t="str">
        <f>IFERROR(__xludf.DUMMYFUNCTION("""COMPUTED_VALUE"""),"2012")</f>
        <v>2012</v>
      </c>
      <c r="AB1977" s="15" t="str">
        <f>IFERROR(__xludf.DUMMYFUNCTION("ARRAYFORMULA(VLOOKUP(A1977,IMPORTRANGE(""https://docs.google.com/spreadsheets/d/1BuTWp7qHGjWhqrnf-OmePP568O4A5Am9ttzvVdP67zw/edit#gid=1931367683"" ,""ENERGY!$A$2:$F$2692""), {2,3,4,5,6},0))"),"Europe")</f>
        <v>Europe</v>
      </c>
      <c r="AC1977" s="14" t="str">
        <f>IFERROR(__xludf.DUMMYFUNCTION("""COMPUTED_VALUE"""),"Romania-Europe")</f>
        <v>Romania-Europe</v>
      </c>
      <c r="AD1977" s="14" t="str">
        <f>IFERROR(__xludf.DUMMYFUNCTION("""COMPUTED_VALUE"""),"2011")</f>
        <v>2011</v>
      </c>
      <c r="AE1977" s="14">
        <f>IFERROR(__xludf.DUMMYFUNCTION("""COMPUTED_VALUE"""),36228.0)</f>
        <v>36228</v>
      </c>
      <c r="AF1977" s="14">
        <f>IFERROR(__xludf.DUMMYFUNCTION("""COMPUTED_VALUE"""),89985.0)</f>
        <v>89985</v>
      </c>
    </row>
    <row r="1978">
      <c r="A1978" s="12">
        <v>1977.0</v>
      </c>
      <c r="B1978" s="12" t="s">
        <v>231</v>
      </c>
      <c r="C1978" s="5" t="s">
        <v>75</v>
      </c>
      <c r="D1978" s="8"/>
      <c r="E1978" s="8"/>
      <c r="F1978" s="8"/>
      <c r="G1978" s="8"/>
      <c r="H1978" s="11">
        <v>0.02</v>
      </c>
      <c r="I1978" s="11">
        <v>0.022</v>
      </c>
      <c r="J1978" s="9" t="s">
        <v>60</v>
      </c>
      <c r="K1978" s="14" t="str">
        <f>IFERROR(__xludf.DUMMYFUNCTION("ARRAYFORMULA(VLOOKUP(A1978,IMPORTRANGE(""https://docs.google.com/spreadsheets/d/1BuTWp7qHGjWhqrnf-OmePP568O4A5Am9ttzvVdP67zw/edit#gid=1603210130"", ""TOURISM!$A$2:$F$2692""), {2,3,4,5,6},0))"),"Europe")</f>
        <v>Europe</v>
      </c>
      <c r="L1978" s="14">
        <f>IFERROR(__xludf.DUMMYFUNCTION("""COMPUTED_VALUE"""),3.429E9)</f>
        <v>3429000000</v>
      </c>
      <c r="M1978" s="14" t="str">
        <f>IFERROR(__xludf.DUMMYFUNCTION("""COMPUTED_VALUE"""),"Russia-Europe")</f>
        <v>Russia-Europe</v>
      </c>
      <c r="N1978" s="14" t="str">
        <f>IFERROR(__xludf.DUMMYFUNCTION("""COMPUTED_VALUE"""),"2000")</f>
        <v>2000</v>
      </c>
      <c r="O1978" s="14">
        <f>IFERROR(__xludf.DUMMYFUNCTION("""COMPUTED_VALUE"""),8.848E9)</f>
        <v>8848000000</v>
      </c>
      <c r="P1978" s="15">
        <f>IFERROR(__xludf.DUMMYFUNCTION("ARRAYFORMULA(VLOOKUP(A1978,IMPORTRANGE(""https://docs.google.com/spreadsheets/d/1BuTWp7qHGjWhqrnf-OmePP568O4A5Am9ttzvVdP67zw/edit#gid=771602874"" ,""HUMAN RESOURCES!$A$2:$M$2692""), {2,3,4,5,6,7,8,9,10,11,12,13},0))"),0.009)</f>
        <v>0.009</v>
      </c>
      <c r="Q1978" s="14">
        <f>IFERROR(__xludf.DUMMYFUNCTION("""COMPUTED_VALUE"""),0.02)</f>
        <v>0.02</v>
      </c>
      <c r="R1978" s="14">
        <f>IFERROR(__xludf.DUMMYFUNCTION("""COMPUTED_VALUE"""),72.0)</f>
        <v>72</v>
      </c>
      <c r="S1978" s="14">
        <f>IFERROR(__xludf.DUMMYFUNCTION("""COMPUTED_VALUE"""),59.0)</f>
        <v>59</v>
      </c>
      <c r="T1978" s="14">
        <f>IFERROR(__xludf.DUMMYFUNCTION("""COMPUTED_VALUE"""),0.182)</f>
        <v>0.182</v>
      </c>
      <c r="U1978" s="14">
        <f>IFERROR(__xludf.DUMMYFUNCTION("""COMPUTED_VALUE"""),0.694)</f>
        <v>0.694</v>
      </c>
      <c r="V1978" s="14">
        <f>IFERROR(__xludf.DUMMYFUNCTION("""COMPUTED_VALUE"""),0.124)</f>
        <v>0.124</v>
      </c>
      <c r="W1978" s="14">
        <f>IFERROR(__xludf.DUMMYFUNCTION("""COMPUTED_VALUE"""),1.4659687E8)</f>
        <v>146596870</v>
      </c>
      <c r="X1978" s="14">
        <f>IFERROR(__xludf.DUMMYFUNCTION("""COMPUTED_VALUE"""),0.734)</f>
        <v>0.734</v>
      </c>
      <c r="Y1978" s="14" t="str">
        <f>IFERROR(__xludf.DUMMYFUNCTION("""COMPUTED_VALUE"""),"Russia-Europe")</f>
        <v>Russia-Europe</v>
      </c>
      <c r="Z1978" s="14" t="str">
        <f>IFERROR(__xludf.DUMMYFUNCTION("""COMPUTED_VALUE"""),"Europe")</f>
        <v>Europe</v>
      </c>
      <c r="AA1978" s="14" t="str">
        <f>IFERROR(__xludf.DUMMYFUNCTION("""COMPUTED_VALUE"""),"2000")</f>
        <v>2000</v>
      </c>
      <c r="AB1978" s="15" t="str">
        <f>IFERROR(__xludf.DUMMYFUNCTION("ARRAYFORMULA(VLOOKUP(A1978,IMPORTRANGE(""https://docs.google.com/spreadsheets/d/1BuTWp7qHGjWhqrnf-OmePP568O4A5Am9ttzvVdP67zw/edit#gid=1931367683"" ,""ENERGY!$A$2:$F$2692""), {2,3,4,5,6},0))"),"Europe")</f>
        <v>Europe</v>
      </c>
      <c r="AC1978" s="14" t="str">
        <f>IFERROR(__xludf.DUMMYFUNCTION("""COMPUTED_VALUE"""),"Russia-Europe")</f>
        <v>Russia-Europe</v>
      </c>
      <c r="AD1978" s="14" t="str">
        <f>IFERROR(__xludf.DUMMYFUNCTION("""COMPUTED_VALUE"""),"2000")</f>
        <v>2000</v>
      </c>
      <c r="AE1978" s="14"/>
      <c r="AF1978" s="14"/>
    </row>
    <row r="1979">
      <c r="A1979" s="12">
        <v>1978.0</v>
      </c>
      <c r="B1979" s="12" t="s">
        <v>231</v>
      </c>
      <c r="C1979" s="5" t="s">
        <v>75</v>
      </c>
      <c r="D1979" s="8"/>
      <c r="E1979" s="8"/>
      <c r="F1979" s="8"/>
      <c r="G1979" s="8"/>
      <c r="H1979" s="11">
        <v>0.029</v>
      </c>
      <c r="I1979" s="11">
        <v>0.053</v>
      </c>
      <c r="J1979" s="9" t="s">
        <v>62</v>
      </c>
      <c r="K1979" s="14" t="str">
        <f>IFERROR(__xludf.DUMMYFUNCTION("ARRAYFORMULA(VLOOKUP(A1979,IMPORTRANGE(""https://docs.google.com/spreadsheets/d/1BuTWp7qHGjWhqrnf-OmePP568O4A5Am9ttzvVdP67zw/edit#gid=1603210130"", ""TOURISM!$A$2:$F$2692""), {2,3,4,5,6},0))"),"Europe")</f>
        <v>Europe</v>
      </c>
      <c r="L1979" s="14">
        <f>IFERROR(__xludf.DUMMYFUNCTION("""COMPUTED_VALUE"""),4.726E9)</f>
        <v>4726000000</v>
      </c>
      <c r="M1979" s="14" t="str">
        <f>IFERROR(__xludf.DUMMYFUNCTION("""COMPUTED_VALUE"""),"Russia-Europe")</f>
        <v>Russia-Europe</v>
      </c>
      <c r="N1979" s="14" t="str">
        <f>IFERROR(__xludf.DUMMYFUNCTION("""COMPUTED_VALUE"""),"2001")</f>
        <v>2001</v>
      </c>
      <c r="O1979" s="14">
        <f>IFERROR(__xludf.DUMMYFUNCTION("""COMPUTED_VALUE"""),9.76E9)</f>
        <v>9760000000</v>
      </c>
      <c r="P1979" s="15">
        <f>IFERROR(__xludf.DUMMYFUNCTION("ARRAYFORMULA(VLOOKUP(A1979,IMPORTRANGE(""https://docs.google.com/spreadsheets/d/1BuTWp7qHGjWhqrnf-OmePP568O4A5Am9ttzvVdP67zw/edit#gid=771602874"" ,""HUMAN RESOURCES!$A$2:$M$2692""), {2,3,4,5,6,7,8,9,10,11,12,13},0))"),0.009)</f>
        <v>0.009</v>
      </c>
      <c r="Q1979" s="14">
        <f>IFERROR(__xludf.DUMMYFUNCTION("""COMPUTED_VALUE"""),0.019)</f>
        <v>0.019</v>
      </c>
      <c r="R1979" s="14">
        <f>IFERROR(__xludf.DUMMYFUNCTION("""COMPUTED_VALUE"""),72.0)</f>
        <v>72</v>
      </c>
      <c r="S1979" s="14">
        <f>IFERROR(__xludf.DUMMYFUNCTION("""COMPUTED_VALUE"""),59.0)</f>
        <v>59</v>
      </c>
      <c r="T1979" s="14">
        <f>IFERROR(__xludf.DUMMYFUNCTION("""COMPUTED_VALUE"""),0.175)</f>
        <v>0.175</v>
      </c>
      <c r="U1979" s="14">
        <f>IFERROR(__xludf.DUMMYFUNCTION("""COMPUTED_VALUE"""),0.698)</f>
        <v>0.698</v>
      </c>
      <c r="V1979" s="14">
        <f>IFERROR(__xludf.DUMMYFUNCTION("""COMPUTED_VALUE"""),0.127)</f>
        <v>0.127</v>
      </c>
      <c r="W1979" s="14">
        <f>IFERROR(__xludf.DUMMYFUNCTION("""COMPUTED_VALUE"""),1.45976473E8)</f>
        <v>145976473</v>
      </c>
      <c r="X1979" s="14">
        <f>IFERROR(__xludf.DUMMYFUNCTION("""COMPUTED_VALUE"""),0.733)</f>
        <v>0.733</v>
      </c>
      <c r="Y1979" s="14" t="str">
        <f>IFERROR(__xludf.DUMMYFUNCTION("""COMPUTED_VALUE"""),"Russia-Europe")</f>
        <v>Russia-Europe</v>
      </c>
      <c r="Z1979" s="14" t="str">
        <f>IFERROR(__xludf.DUMMYFUNCTION("""COMPUTED_VALUE"""),"Europe")</f>
        <v>Europe</v>
      </c>
      <c r="AA1979" s="14" t="str">
        <f>IFERROR(__xludf.DUMMYFUNCTION("""COMPUTED_VALUE"""),"2001")</f>
        <v>2001</v>
      </c>
      <c r="AB1979" s="15" t="str">
        <f>IFERROR(__xludf.DUMMYFUNCTION("ARRAYFORMULA(VLOOKUP(A1979,IMPORTRANGE(""https://docs.google.com/spreadsheets/d/1BuTWp7qHGjWhqrnf-OmePP568O4A5Am9ttzvVdP67zw/edit#gid=1931367683"" ,""ENERGY!$A$2:$F$2692""), {2,3,4,5,6},0))"),"Europe")</f>
        <v>Europe</v>
      </c>
      <c r="AC1979" s="14" t="str">
        <f>IFERROR(__xludf.DUMMYFUNCTION("""COMPUTED_VALUE"""),"Russia-Europe")</f>
        <v>Russia-Europe</v>
      </c>
      <c r="AD1979" s="14" t="str">
        <f>IFERROR(__xludf.DUMMYFUNCTION("""COMPUTED_VALUE"""),"2001")</f>
        <v>2001</v>
      </c>
      <c r="AE1979" s="14">
        <f>IFERROR(__xludf.DUMMYFUNCTION("""COMPUTED_VALUE"""),730970.0)</f>
        <v>730970</v>
      </c>
      <c r="AF1979" s="14"/>
    </row>
    <row r="1980">
      <c r="A1980" s="12">
        <v>1979.0</v>
      </c>
      <c r="B1980" s="12" t="s">
        <v>231</v>
      </c>
      <c r="C1980" s="5" t="s">
        <v>75</v>
      </c>
      <c r="D1980" s="8"/>
      <c r="E1980" s="8"/>
      <c r="F1980" s="8"/>
      <c r="G1980" s="8"/>
      <c r="H1980" s="11">
        <v>0.041</v>
      </c>
      <c r="I1980" s="11">
        <v>0.121</v>
      </c>
      <c r="J1980" s="9" t="s">
        <v>63</v>
      </c>
      <c r="K1980" s="14" t="str">
        <f>IFERROR(__xludf.DUMMYFUNCTION("ARRAYFORMULA(VLOOKUP(A1980,IMPORTRANGE(""https://docs.google.com/spreadsheets/d/1BuTWp7qHGjWhqrnf-OmePP568O4A5Am9ttzvVdP67zw/edit#gid=1603210130"", ""TOURISM!$A$2:$F$2692""), {2,3,4,5,6},0))"),"Europe")</f>
        <v>Europe</v>
      </c>
      <c r="L1980" s="14">
        <f>IFERROR(__xludf.DUMMYFUNCTION("""COMPUTED_VALUE"""),5.278E9)</f>
        <v>5278000000</v>
      </c>
      <c r="M1980" s="14" t="str">
        <f>IFERROR(__xludf.DUMMYFUNCTION("""COMPUTED_VALUE"""),"Russia-Europe")</f>
        <v>Russia-Europe</v>
      </c>
      <c r="N1980" s="14" t="str">
        <f>IFERROR(__xludf.DUMMYFUNCTION("""COMPUTED_VALUE"""),"2002")</f>
        <v>2002</v>
      </c>
      <c r="O1980" s="14">
        <f>IFERROR(__xludf.DUMMYFUNCTION("""COMPUTED_VALUE"""),1.1362E10)</f>
        <v>11362000000</v>
      </c>
      <c r="P1980" s="15">
        <f>IFERROR(__xludf.DUMMYFUNCTION("ARRAYFORMULA(VLOOKUP(A1980,IMPORTRANGE(""https://docs.google.com/spreadsheets/d/1BuTWp7qHGjWhqrnf-OmePP568O4A5Am9ttzvVdP67zw/edit#gid=771602874"" ,""HUMAN RESOURCES!$A$2:$M$2692""), {2,3,4,5,6,7,8,9,10,11,12,13},0))"),0.01)</f>
        <v>0.01</v>
      </c>
      <c r="Q1980" s="14">
        <f>IFERROR(__xludf.DUMMYFUNCTION("""COMPUTED_VALUE"""),0.018)</f>
        <v>0.018</v>
      </c>
      <c r="R1980" s="14">
        <f>IFERROR(__xludf.DUMMYFUNCTION("""COMPUTED_VALUE"""),72.0)</f>
        <v>72</v>
      </c>
      <c r="S1980" s="14">
        <f>IFERROR(__xludf.DUMMYFUNCTION("""COMPUTED_VALUE"""),59.0)</f>
        <v>59</v>
      </c>
      <c r="T1980" s="14">
        <f>IFERROR(__xludf.DUMMYFUNCTION("""COMPUTED_VALUE"""),0.168)</f>
        <v>0.168</v>
      </c>
      <c r="U1980" s="14">
        <f>IFERROR(__xludf.DUMMYFUNCTION("""COMPUTED_VALUE"""),0.702)</f>
        <v>0.702</v>
      </c>
      <c r="V1980" s="14">
        <f>IFERROR(__xludf.DUMMYFUNCTION("""COMPUTED_VALUE"""),0.13)</f>
        <v>0.13</v>
      </c>
      <c r="W1980" s="14">
        <f>IFERROR(__xludf.DUMMYFUNCTION("""COMPUTED_VALUE"""),1.45408033E8)</f>
        <v>145408033</v>
      </c>
      <c r="X1980" s="14">
        <f>IFERROR(__xludf.DUMMYFUNCTION("""COMPUTED_VALUE"""),0.733)</f>
        <v>0.733</v>
      </c>
      <c r="Y1980" s="14" t="str">
        <f>IFERROR(__xludf.DUMMYFUNCTION("""COMPUTED_VALUE"""),"Russia-Europe")</f>
        <v>Russia-Europe</v>
      </c>
      <c r="Z1980" s="14" t="str">
        <f>IFERROR(__xludf.DUMMYFUNCTION("""COMPUTED_VALUE"""),"Europe")</f>
        <v>Europe</v>
      </c>
      <c r="AA1980" s="14" t="str">
        <f>IFERROR(__xludf.DUMMYFUNCTION("""COMPUTED_VALUE"""),"2002")</f>
        <v>2002</v>
      </c>
      <c r="AB1980" s="15" t="str">
        <f>IFERROR(__xludf.DUMMYFUNCTION("ARRAYFORMULA(VLOOKUP(A1980,IMPORTRANGE(""https://docs.google.com/spreadsheets/d/1BuTWp7qHGjWhqrnf-OmePP568O4A5Am9ttzvVdP67zw/edit#gid=1931367683"" ,""ENERGY!$A$2:$F$2692""), {2,3,4,5,6},0))"),"Europe")</f>
        <v>Europe</v>
      </c>
      <c r="AC1980" s="14" t="str">
        <f>IFERROR(__xludf.DUMMYFUNCTION("""COMPUTED_VALUE"""),"Russia-Europe")</f>
        <v>Russia-Europe</v>
      </c>
      <c r="AD1980" s="14" t="str">
        <f>IFERROR(__xludf.DUMMYFUNCTION("""COMPUTED_VALUE"""),"2002")</f>
        <v>2002</v>
      </c>
      <c r="AE1980" s="14">
        <f>IFERROR(__xludf.DUMMYFUNCTION("""COMPUTED_VALUE"""),702292.0)</f>
        <v>702292</v>
      </c>
      <c r="AF1980" s="14">
        <f>IFERROR(__xludf.DUMMYFUNCTION("""COMPUTED_VALUE"""),1740776.0)</f>
        <v>1740776</v>
      </c>
    </row>
    <row r="1981">
      <c r="A1981" s="12">
        <v>1980.0</v>
      </c>
      <c r="B1981" s="12" t="s">
        <v>231</v>
      </c>
      <c r="C1981" s="5" t="s">
        <v>75</v>
      </c>
      <c r="D1981" s="8"/>
      <c r="E1981" s="11">
        <v>43.0</v>
      </c>
      <c r="F1981" s="8"/>
      <c r="G1981" s="8"/>
      <c r="H1981" s="11">
        <v>0.083</v>
      </c>
      <c r="I1981" s="11">
        <v>0.249</v>
      </c>
      <c r="J1981" s="9" t="s">
        <v>64</v>
      </c>
      <c r="K1981" s="14" t="str">
        <f>IFERROR(__xludf.DUMMYFUNCTION("ARRAYFORMULA(VLOOKUP(A1981,IMPORTRANGE(""https://docs.google.com/spreadsheets/d/1BuTWp7qHGjWhqrnf-OmePP568O4A5Am9ttzvVdP67zw/edit#gid=1603210130"", ""TOURISM!$A$2:$F$2692""), {2,3,4,5,6},0))"),"Europe")</f>
        <v>Europe</v>
      </c>
      <c r="L1981" s="14">
        <f>IFERROR(__xludf.DUMMYFUNCTION("""COMPUTED_VALUE"""),5.879E9)</f>
        <v>5879000000</v>
      </c>
      <c r="M1981" s="14" t="str">
        <f>IFERROR(__xludf.DUMMYFUNCTION("""COMPUTED_VALUE"""),"Russia-Europe")</f>
        <v>Russia-Europe</v>
      </c>
      <c r="N1981" s="14" t="str">
        <f>IFERROR(__xludf.DUMMYFUNCTION("""COMPUTED_VALUE"""),"2003")</f>
        <v>2003</v>
      </c>
      <c r="O1981" s="14">
        <f>IFERROR(__xludf.DUMMYFUNCTION("""COMPUTED_VALUE"""),1.3427E10)</f>
        <v>13427000000</v>
      </c>
      <c r="P1981" s="15">
        <f>IFERROR(__xludf.DUMMYFUNCTION("ARRAYFORMULA(VLOOKUP(A1981,IMPORTRANGE(""https://docs.google.com/spreadsheets/d/1BuTWp7qHGjWhqrnf-OmePP568O4A5Am9ttzvVdP67zw/edit#gid=771602874"" ,""HUMAN RESOURCES!$A$2:$M$2692""), {2,3,4,5,6,7,8,9,10,11,12,13},0))"),0.01)</f>
        <v>0.01</v>
      </c>
      <c r="Q1981" s="14">
        <f>IFERROR(__xludf.DUMMYFUNCTION("""COMPUTED_VALUE"""),0.017)</f>
        <v>0.017</v>
      </c>
      <c r="R1981" s="14">
        <f>IFERROR(__xludf.DUMMYFUNCTION("""COMPUTED_VALUE"""),72.0)</f>
        <v>72</v>
      </c>
      <c r="S1981" s="14">
        <f>IFERROR(__xludf.DUMMYFUNCTION("""COMPUTED_VALUE"""),59.0)</f>
        <v>59</v>
      </c>
      <c r="T1981" s="14">
        <f>IFERROR(__xludf.DUMMYFUNCTION("""COMPUTED_VALUE"""),0.162)</f>
        <v>0.162</v>
      </c>
      <c r="U1981" s="14">
        <f>IFERROR(__xludf.DUMMYFUNCTION("""COMPUTED_VALUE"""),0.705)</f>
        <v>0.705</v>
      </c>
      <c r="V1981" s="14">
        <f>IFERROR(__xludf.DUMMYFUNCTION("""COMPUTED_VALUE"""),0.134)</f>
        <v>0.134</v>
      </c>
      <c r="W1981" s="14">
        <f>IFERROR(__xludf.DUMMYFUNCTION("""COMPUTED_VALUE"""),1.44667468E8)</f>
        <v>144667468</v>
      </c>
      <c r="X1981" s="14">
        <f>IFERROR(__xludf.DUMMYFUNCTION("""COMPUTED_VALUE"""),0.734)</f>
        <v>0.734</v>
      </c>
      <c r="Y1981" s="14" t="str">
        <f>IFERROR(__xludf.DUMMYFUNCTION("""COMPUTED_VALUE"""),"Russia-Europe")</f>
        <v>Russia-Europe</v>
      </c>
      <c r="Z1981" s="14" t="str">
        <f>IFERROR(__xludf.DUMMYFUNCTION("""COMPUTED_VALUE"""),"Europe")</f>
        <v>Europe</v>
      </c>
      <c r="AA1981" s="14" t="str">
        <f>IFERROR(__xludf.DUMMYFUNCTION("""COMPUTED_VALUE"""),"2003")</f>
        <v>2003</v>
      </c>
      <c r="AB1981" s="15" t="str">
        <f>IFERROR(__xludf.DUMMYFUNCTION("ARRAYFORMULA(VLOOKUP(A1981,IMPORTRANGE(""https://docs.google.com/spreadsheets/d/1BuTWp7qHGjWhqrnf-OmePP568O4A5Am9ttzvVdP67zw/edit#gid=1931367683"" ,""ENERGY!$A$2:$F$2692""), {2,3,4,5,6},0))"),"Europe")</f>
        <v>Europe</v>
      </c>
      <c r="AC1981" s="14" t="str">
        <f>IFERROR(__xludf.DUMMYFUNCTION("""COMPUTED_VALUE"""),"Russia-Europe")</f>
        <v>Russia-Europe</v>
      </c>
      <c r="AD1981" s="14" t="str">
        <f>IFERROR(__xludf.DUMMYFUNCTION("""COMPUTED_VALUE"""),"2003")</f>
        <v>2003</v>
      </c>
      <c r="AE1981" s="14">
        <f>IFERROR(__xludf.DUMMYFUNCTION("""COMPUTED_VALUE"""),646915.0)</f>
        <v>646915</v>
      </c>
      <c r="AF1981" s="14">
        <f>IFERROR(__xludf.DUMMYFUNCTION("""COMPUTED_VALUE"""),1574368.0)</f>
        <v>1574368</v>
      </c>
    </row>
    <row r="1982">
      <c r="A1982" s="12">
        <v>1981.0</v>
      </c>
      <c r="B1982" s="12" t="s">
        <v>231</v>
      </c>
      <c r="C1982" s="5" t="s">
        <v>75</v>
      </c>
      <c r="D1982" s="8"/>
      <c r="E1982" s="11">
        <v>30.0</v>
      </c>
      <c r="F1982" s="8"/>
      <c r="G1982" s="8"/>
      <c r="H1982" s="11">
        <v>0.129</v>
      </c>
      <c r="I1982" s="11">
        <v>0.511</v>
      </c>
      <c r="J1982" s="9" t="s">
        <v>65</v>
      </c>
      <c r="K1982" s="14" t="str">
        <f>IFERROR(__xludf.DUMMYFUNCTION("ARRAYFORMULA(VLOOKUP(A1982,IMPORTRANGE(""https://docs.google.com/spreadsheets/d/1BuTWp7qHGjWhqrnf-OmePP568O4A5Am9ttzvVdP67zw/edit#gid=1603210130"", ""TOURISM!$A$2:$F$2692""), {2,3,4,5,6},0))"),"Europe")</f>
        <v>Europe</v>
      </c>
      <c r="L1982" s="14">
        <f>IFERROR(__xludf.DUMMYFUNCTION("""COMPUTED_VALUE"""),7.262E9)</f>
        <v>7262000000</v>
      </c>
      <c r="M1982" s="14" t="str">
        <f>IFERROR(__xludf.DUMMYFUNCTION("""COMPUTED_VALUE"""),"Russia-Europe")</f>
        <v>Russia-Europe</v>
      </c>
      <c r="N1982" s="14" t="str">
        <f>IFERROR(__xludf.DUMMYFUNCTION("""COMPUTED_VALUE"""),"2004")</f>
        <v>2004</v>
      </c>
      <c r="O1982" s="14">
        <f>IFERROR(__xludf.DUMMYFUNCTION("""COMPUTED_VALUE"""),1.6082E10)</f>
        <v>16082000000</v>
      </c>
      <c r="P1982" s="15">
        <f>IFERROR(__xludf.DUMMYFUNCTION("ARRAYFORMULA(VLOOKUP(A1982,IMPORTRANGE(""https://docs.google.com/spreadsheets/d/1BuTWp7qHGjWhqrnf-OmePP568O4A5Am9ttzvVdP67zw/edit#gid=771602874"" ,""HUMAN RESOURCES!$A$2:$M$2692""), {2,3,4,5,6,7,8,9,10,11,12,13},0))"),0.01)</f>
        <v>0.01</v>
      </c>
      <c r="Q1982" s="14">
        <f>IFERROR(__xludf.DUMMYFUNCTION("""COMPUTED_VALUE"""),0.015)</f>
        <v>0.015</v>
      </c>
      <c r="R1982" s="14">
        <f>IFERROR(__xludf.DUMMYFUNCTION("""COMPUTED_VALUE"""),72.0)</f>
        <v>72</v>
      </c>
      <c r="S1982" s="14">
        <f>IFERROR(__xludf.DUMMYFUNCTION("""COMPUTED_VALUE"""),59.0)</f>
        <v>59</v>
      </c>
      <c r="T1982" s="14">
        <f>IFERROR(__xludf.DUMMYFUNCTION("""COMPUTED_VALUE"""),0.156)</f>
        <v>0.156</v>
      </c>
      <c r="U1982" s="14">
        <f>IFERROR(__xludf.DUMMYFUNCTION("""COMPUTED_VALUE"""),0.707)</f>
        <v>0.707</v>
      </c>
      <c r="V1982" s="14">
        <f>IFERROR(__xludf.DUMMYFUNCTION("""COMPUTED_VALUE"""),0.136)</f>
        <v>0.136</v>
      </c>
      <c r="W1982" s="14">
        <f>IFERROR(__xludf.DUMMYFUNCTION("""COMPUTED_VALUE"""),1.43821212E8)</f>
        <v>143821212</v>
      </c>
      <c r="X1982" s="14">
        <f>IFERROR(__xludf.DUMMYFUNCTION("""COMPUTED_VALUE"""),0.734)</f>
        <v>0.734</v>
      </c>
      <c r="Y1982" s="14" t="str">
        <f>IFERROR(__xludf.DUMMYFUNCTION("""COMPUTED_VALUE"""),"Russia-Europe")</f>
        <v>Russia-Europe</v>
      </c>
      <c r="Z1982" s="14" t="str">
        <f>IFERROR(__xludf.DUMMYFUNCTION("""COMPUTED_VALUE"""),"Europe")</f>
        <v>Europe</v>
      </c>
      <c r="AA1982" s="14" t="str">
        <f>IFERROR(__xludf.DUMMYFUNCTION("""COMPUTED_VALUE"""),"2004")</f>
        <v>2004</v>
      </c>
      <c r="AB1982" s="15" t="str">
        <f>IFERROR(__xludf.DUMMYFUNCTION("ARRAYFORMULA(VLOOKUP(A1982,IMPORTRANGE(""https://docs.google.com/spreadsheets/d/1BuTWp7qHGjWhqrnf-OmePP568O4A5Am9ttzvVdP67zw/edit#gid=1931367683"" ,""ENERGY!$A$2:$F$2692""), {2,3,4,5,6},0))"),"Europe")</f>
        <v>Europe</v>
      </c>
      <c r="AC1982" s="14" t="str">
        <f>IFERROR(__xludf.DUMMYFUNCTION("""COMPUTED_VALUE"""),"Russia-Europe")</f>
        <v>Russia-Europe</v>
      </c>
      <c r="AD1982" s="14" t="str">
        <f>IFERROR(__xludf.DUMMYFUNCTION("""COMPUTED_VALUE"""),"2004")</f>
        <v>2004</v>
      </c>
      <c r="AE1982" s="14">
        <f>IFERROR(__xludf.DUMMYFUNCTION("""COMPUTED_VALUE"""),688483.0)</f>
        <v>688483</v>
      </c>
      <c r="AF1982" s="14">
        <f>IFERROR(__xludf.DUMMYFUNCTION("""COMPUTED_VALUE"""),1715639.0)</f>
        <v>1715639</v>
      </c>
    </row>
    <row r="1983">
      <c r="A1983" s="12">
        <v>1982.0</v>
      </c>
      <c r="B1983" s="12" t="s">
        <v>231</v>
      </c>
      <c r="C1983" s="5" t="s">
        <v>75</v>
      </c>
      <c r="D1983" s="11">
        <v>0.6</v>
      </c>
      <c r="E1983" s="11">
        <v>29.0</v>
      </c>
      <c r="F1983" s="8"/>
      <c r="G1983" s="11">
        <v>448.0</v>
      </c>
      <c r="H1983" s="11">
        <v>0.152</v>
      </c>
      <c r="I1983" s="11">
        <v>0.834</v>
      </c>
      <c r="J1983" s="9" t="s">
        <v>66</v>
      </c>
      <c r="K1983" s="14" t="str">
        <f>IFERROR(__xludf.DUMMYFUNCTION("ARRAYFORMULA(VLOOKUP(A1983,IMPORTRANGE(""https://docs.google.com/spreadsheets/d/1BuTWp7qHGjWhqrnf-OmePP568O4A5Am9ttzvVdP67zw/edit#gid=1603210130"", ""TOURISM!$A$2:$F$2692""), {2,3,4,5,6},0))"),"Europe")</f>
        <v>Europe</v>
      </c>
      <c r="L1983" s="14">
        <f>IFERROR(__xludf.DUMMYFUNCTION("""COMPUTED_VALUE"""),7.806E9)</f>
        <v>7806000000</v>
      </c>
      <c r="M1983" s="14" t="str">
        <f>IFERROR(__xludf.DUMMYFUNCTION("""COMPUTED_VALUE"""),"Russia-Europe")</f>
        <v>Russia-Europe</v>
      </c>
      <c r="N1983" s="14" t="str">
        <f>IFERROR(__xludf.DUMMYFUNCTION("""COMPUTED_VALUE"""),"2005")</f>
        <v>2005</v>
      </c>
      <c r="O1983" s="14">
        <f>IFERROR(__xludf.DUMMYFUNCTION("""COMPUTED_VALUE"""),1.8305E10)</f>
        <v>18305000000</v>
      </c>
      <c r="P1983" s="15">
        <f>IFERROR(__xludf.DUMMYFUNCTION("ARRAYFORMULA(VLOOKUP(A1983,IMPORTRANGE(""https://docs.google.com/spreadsheets/d/1BuTWp7qHGjWhqrnf-OmePP568O4A5Am9ttzvVdP67zw/edit#gid=771602874"" ,""HUMAN RESOURCES!$A$2:$M$2692""), {2,3,4,5,6,7,8,9,10,11,12,13},0))"),0.01)</f>
        <v>0.01</v>
      </c>
      <c r="Q1983" s="14">
        <f>IFERROR(__xludf.DUMMYFUNCTION("""COMPUTED_VALUE"""),0.014)</f>
        <v>0.014</v>
      </c>
      <c r="R1983" s="14">
        <f>IFERROR(__xludf.DUMMYFUNCTION("""COMPUTED_VALUE"""),72.0)</f>
        <v>72</v>
      </c>
      <c r="S1983" s="14">
        <f>IFERROR(__xludf.DUMMYFUNCTION("""COMPUTED_VALUE"""),59.0)</f>
        <v>59</v>
      </c>
      <c r="T1983" s="14">
        <f>IFERROR(__xludf.DUMMYFUNCTION("""COMPUTED_VALUE"""),0.152)</f>
        <v>0.152</v>
      </c>
      <c r="U1983" s="14">
        <f>IFERROR(__xludf.DUMMYFUNCTION("""COMPUTED_VALUE"""),0.71)</f>
        <v>0.71</v>
      </c>
      <c r="V1983" s="14">
        <f>IFERROR(__xludf.DUMMYFUNCTION("""COMPUTED_VALUE"""),0.138)</f>
        <v>0.138</v>
      </c>
      <c r="W1983" s="14">
        <f>IFERROR(__xludf.DUMMYFUNCTION("""COMPUTED_VALUE"""),1.43113885E8)</f>
        <v>143113885</v>
      </c>
      <c r="X1983" s="14">
        <f>IFERROR(__xludf.DUMMYFUNCTION("""COMPUTED_VALUE"""),0.735)</f>
        <v>0.735</v>
      </c>
      <c r="Y1983" s="14" t="str">
        <f>IFERROR(__xludf.DUMMYFUNCTION("""COMPUTED_VALUE"""),"Russia-Europe")</f>
        <v>Russia-Europe</v>
      </c>
      <c r="Z1983" s="14" t="str">
        <f>IFERROR(__xludf.DUMMYFUNCTION("""COMPUTED_VALUE"""),"Europe")</f>
        <v>Europe</v>
      </c>
      <c r="AA1983" s="14" t="str">
        <f>IFERROR(__xludf.DUMMYFUNCTION("""COMPUTED_VALUE"""),"2005")</f>
        <v>2005</v>
      </c>
      <c r="AB1983" s="15" t="str">
        <f>IFERROR(__xludf.DUMMYFUNCTION("ARRAYFORMULA(VLOOKUP(A1983,IMPORTRANGE(""https://docs.google.com/spreadsheets/d/1BuTWp7qHGjWhqrnf-OmePP568O4A5Am9ttzvVdP67zw/edit#gid=1931367683"" ,""ENERGY!$A$2:$F$2692""), {2,3,4,5,6},0))"),"Europe")</f>
        <v>Europe</v>
      </c>
      <c r="AC1983" s="14" t="str">
        <f>IFERROR(__xludf.DUMMYFUNCTION("""COMPUTED_VALUE"""),"Russia-Europe")</f>
        <v>Russia-Europe</v>
      </c>
      <c r="AD1983" s="14" t="str">
        <f>IFERROR(__xludf.DUMMYFUNCTION("""COMPUTED_VALUE"""),"2008")</f>
        <v>2008</v>
      </c>
      <c r="AE1983" s="14">
        <f>IFERROR(__xludf.DUMMYFUNCTION("""COMPUTED_VALUE"""),672591.0)</f>
        <v>672591</v>
      </c>
      <c r="AF1983" s="14">
        <f>IFERROR(__xludf.DUMMYFUNCTION("""COMPUTED_VALUE"""),1667598.0)</f>
        <v>1667598</v>
      </c>
    </row>
    <row r="1984">
      <c r="A1984" s="12">
        <v>1983.0</v>
      </c>
      <c r="B1984" s="12" t="s">
        <v>231</v>
      </c>
      <c r="C1984" s="5" t="s">
        <v>75</v>
      </c>
      <c r="D1984" s="11">
        <v>0.512</v>
      </c>
      <c r="E1984" s="11">
        <v>29.0</v>
      </c>
      <c r="F1984" s="8"/>
      <c r="G1984" s="11">
        <v>448.0</v>
      </c>
      <c r="H1984" s="11">
        <v>0.18</v>
      </c>
      <c r="I1984" s="11">
        <v>1.048</v>
      </c>
      <c r="J1984" s="9" t="s">
        <v>67</v>
      </c>
      <c r="K1984" s="14" t="str">
        <f>IFERROR(__xludf.DUMMYFUNCTION("ARRAYFORMULA(VLOOKUP(A1984,IMPORTRANGE(""https://docs.google.com/spreadsheets/d/1BuTWp7qHGjWhqrnf-OmePP568O4A5Am9ttzvVdP67zw/edit#gid=1603210130"", ""TOURISM!$A$2:$F$2692""), {2,3,4,5,6},0))"),"Europe")</f>
        <v>Europe</v>
      </c>
      <c r="L1984" s="14">
        <f>IFERROR(__xludf.DUMMYFUNCTION("""COMPUTED_VALUE"""),9.72E9)</f>
        <v>9720000000</v>
      </c>
      <c r="M1984" s="14" t="str">
        <f>IFERROR(__xludf.DUMMYFUNCTION("""COMPUTED_VALUE"""),"Russia-Europe")</f>
        <v>Russia-Europe</v>
      </c>
      <c r="N1984" s="14" t="str">
        <f>IFERROR(__xludf.DUMMYFUNCTION("""COMPUTED_VALUE"""),"2006")</f>
        <v>2006</v>
      </c>
      <c r="O1984" s="14">
        <f>IFERROR(__xludf.DUMMYFUNCTION("""COMPUTED_VALUE"""),1.9478E10)</f>
        <v>19478000000</v>
      </c>
      <c r="P1984" s="15">
        <f>IFERROR(__xludf.DUMMYFUNCTION("ARRAYFORMULA(VLOOKUP(A1984,IMPORTRANGE(""https://docs.google.com/spreadsheets/d/1BuTWp7qHGjWhqrnf-OmePP568O4A5Am9ttzvVdP67zw/edit#gid=771602874"" ,""HUMAN RESOURCES!$A$2:$M$2692""), {2,3,4,5,6,7,8,9,10,11,12,13},0))"),0.01)</f>
        <v>0.01</v>
      </c>
      <c r="Q1984" s="14">
        <f>IFERROR(__xludf.DUMMYFUNCTION("""COMPUTED_VALUE"""),0.013)</f>
        <v>0.013</v>
      </c>
      <c r="R1984" s="14">
        <f>IFERROR(__xludf.DUMMYFUNCTION("""COMPUTED_VALUE"""),73.0)</f>
        <v>73</v>
      </c>
      <c r="S1984" s="14">
        <f>IFERROR(__xludf.DUMMYFUNCTION("""COMPUTED_VALUE"""),60.0)</f>
        <v>60</v>
      </c>
      <c r="T1984" s="14">
        <f>IFERROR(__xludf.DUMMYFUNCTION("""COMPUTED_VALUE"""),0.149)</f>
        <v>0.149</v>
      </c>
      <c r="U1984" s="14">
        <f>IFERROR(__xludf.DUMMYFUNCTION("""COMPUTED_VALUE"""),0.713)</f>
        <v>0.713</v>
      </c>
      <c r="V1984" s="14">
        <f>IFERROR(__xludf.DUMMYFUNCTION("""COMPUTED_VALUE"""),0.138)</f>
        <v>0.138</v>
      </c>
      <c r="W1984" s="14">
        <f>IFERROR(__xludf.DUMMYFUNCTION("""COMPUTED_VALUE"""),1.4248726E8)</f>
        <v>142487260</v>
      </c>
      <c r="X1984" s="14">
        <f>IFERROR(__xludf.DUMMYFUNCTION("""COMPUTED_VALUE"""),0.735)</f>
        <v>0.735</v>
      </c>
      <c r="Y1984" s="14" t="str">
        <f>IFERROR(__xludf.DUMMYFUNCTION("""COMPUTED_VALUE"""),"Russia-Europe")</f>
        <v>Russia-Europe</v>
      </c>
      <c r="Z1984" s="14" t="str">
        <f>IFERROR(__xludf.DUMMYFUNCTION("""COMPUTED_VALUE"""),"Europe")</f>
        <v>Europe</v>
      </c>
      <c r="AA1984" s="14" t="str">
        <f>IFERROR(__xludf.DUMMYFUNCTION("""COMPUTED_VALUE"""),"2006")</f>
        <v>2006</v>
      </c>
      <c r="AB1984" s="15" t="str">
        <f>IFERROR(__xludf.DUMMYFUNCTION("ARRAYFORMULA(VLOOKUP(A1984,IMPORTRANGE(""https://docs.google.com/spreadsheets/d/1BuTWp7qHGjWhqrnf-OmePP568O4A5Am9ttzvVdP67zw/edit#gid=1931367683"" ,""ENERGY!$A$2:$F$2692""), {2,3,4,5,6},0))"),"Europe")</f>
        <v>Europe</v>
      </c>
      <c r="AC1984" s="14" t="str">
        <f>IFERROR(__xludf.DUMMYFUNCTION("""COMPUTED_VALUE"""),"Russia-Europe")</f>
        <v>Russia-Europe</v>
      </c>
      <c r="AD1984" s="14" t="str">
        <f>IFERROR(__xludf.DUMMYFUNCTION("""COMPUTED_VALUE"""),"2012")</f>
        <v>2012</v>
      </c>
      <c r="AE1984" s="14">
        <f>IFERROR(__xludf.DUMMYFUNCTION("""COMPUTED_VALUE"""),670673.0)</f>
        <v>670673</v>
      </c>
      <c r="AF1984" s="14">
        <f>IFERROR(__xludf.DUMMYFUNCTION("""COMPUTED_VALUE"""),1669618.0)</f>
        <v>1669618</v>
      </c>
    </row>
    <row r="1985">
      <c r="A1985" s="12">
        <v>1984.0</v>
      </c>
      <c r="B1985" s="12" t="s">
        <v>231</v>
      </c>
      <c r="C1985" s="5" t="s">
        <v>75</v>
      </c>
      <c r="D1985" s="11">
        <v>0.512</v>
      </c>
      <c r="E1985" s="11">
        <v>29.0</v>
      </c>
      <c r="F1985" s="8"/>
      <c r="G1985" s="11">
        <v>448.0</v>
      </c>
      <c r="H1985" s="11">
        <v>0.247</v>
      </c>
      <c r="I1985" s="11">
        <v>1.192</v>
      </c>
      <c r="J1985" s="9" t="s">
        <v>68</v>
      </c>
      <c r="K1985" s="14" t="str">
        <f>IFERROR(__xludf.DUMMYFUNCTION("ARRAYFORMULA(VLOOKUP(A1985,IMPORTRANGE(""https://docs.google.com/spreadsheets/d/1BuTWp7qHGjWhqrnf-OmePP568O4A5Am9ttzvVdP67zw/edit#gid=1603210130"", ""TOURISM!$A$2:$F$2692""), {2,3,4,5,6},0))"),"Europe")</f>
        <v>Europe</v>
      </c>
      <c r="L1985" s="14">
        <f>IFERROR(__xludf.DUMMYFUNCTION("""COMPUTED_VALUE"""),1.2427E10)</f>
        <v>12427000000</v>
      </c>
      <c r="M1985" s="14" t="str">
        <f>IFERROR(__xludf.DUMMYFUNCTION("""COMPUTED_VALUE"""),"Russia-Europe")</f>
        <v>Russia-Europe</v>
      </c>
      <c r="N1985" s="14" t="str">
        <f>IFERROR(__xludf.DUMMYFUNCTION("""COMPUTED_VALUE"""),"2007")</f>
        <v>2007</v>
      </c>
      <c r="O1985" s="14">
        <f>IFERROR(__xludf.DUMMYFUNCTION("""COMPUTED_VALUE"""),2.3248E10)</f>
        <v>23248000000</v>
      </c>
      <c r="P1985" s="15">
        <f>IFERROR(__xludf.DUMMYFUNCTION("ARRAYFORMULA(VLOOKUP(A1985,IMPORTRANGE(""https://docs.google.com/spreadsheets/d/1BuTWp7qHGjWhqrnf-OmePP568O4A5Am9ttzvVdP67zw/edit#gid=771602874"" ,""HUMAN RESOURCES!$A$2:$M$2692""), {2,3,4,5,6,7,8,9,10,11,12,13},0))"),0.011)</f>
        <v>0.011</v>
      </c>
      <c r="Q1985" s="14">
        <f>IFERROR(__xludf.DUMMYFUNCTION("""COMPUTED_VALUE"""),0.012)</f>
        <v>0.012</v>
      </c>
      <c r="R1985" s="14">
        <f>IFERROR(__xludf.DUMMYFUNCTION("""COMPUTED_VALUE"""),74.0)</f>
        <v>74</v>
      </c>
      <c r="S1985" s="14">
        <f>IFERROR(__xludf.DUMMYFUNCTION("""COMPUTED_VALUE"""),61.0)</f>
        <v>61</v>
      </c>
      <c r="T1985" s="14">
        <f>IFERROR(__xludf.DUMMYFUNCTION("""COMPUTED_VALUE"""),0.147)</f>
        <v>0.147</v>
      </c>
      <c r="U1985" s="14">
        <f>IFERROR(__xludf.DUMMYFUNCTION("""COMPUTED_VALUE"""),0.716)</f>
        <v>0.716</v>
      </c>
      <c r="V1985" s="14">
        <f>IFERROR(__xludf.DUMMYFUNCTION("""COMPUTED_VALUE"""),0.137)</f>
        <v>0.137</v>
      </c>
      <c r="W1985" s="14">
        <f>IFERROR(__xludf.DUMMYFUNCTION("""COMPUTED_VALUE"""),1.42114903E8)</f>
        <v>142114903</v>
      </c>
      <c r="X1985" s="14">
        <f>IFERROR(__xludf.DUMMYFUNCTION("""COMPUTED_VALUE"""),0.736)</f>
        <v>0.736</v>
      </c>
      <c r="Y1985" s="14" t="str">
        <f>IFERROR(__xludf.DUMMYFUNCTION("""COMPUTED_VALUE"""),"Russia-Europe")</f>
        <v>Russia-Europe</v>
      </c>
      <c r="Z1985" s="14" t="str">
        <f>IFERROR(__xludf.DUMMYFUNCTION("""COMPUTED_VALUE"""),"Europe")</f>
        <v>Europe</v>
      </c>
      <c r="AA1985" s="14" t="str">
        <f>IFERROR(__xludf.DUMMYFUNCTION("""COMPUTED_VALUE"""),"2007")</f>
        <v>2007</v>
      </c>
      <c r="AB1985" s="15" t="str">
        <f>IFERROR(__xludf.DUMMYFUNCTION("ARRAYFORMULA(VLOOKUP(A1985,IMPORTRANGE(""https://docs.google.com/spreadsheets/d/1BuTWp7qHGjWhqrnf-OmePP568O4A5Am9ttzvVdP67zw/edit#gid=1931367683"" ,""ENERGY!$A$2:$F$2692""), {2,3,4,5,6},0))"),"Europe")</f>
        <v>Europe</v>
      </c>
      <c r="AC1985" s="14" t="str">
        <f>IFERROR(__xludf.DUMMYFUNCTION("""COMPUTED_VALUE"""),"Russia-Europe")</f>
        <v>Russia-Europe</v>
      </c>
      <c r="AD1985" s="14" t="str">
        <f>IFERROR(__xludf.DUMMYFUNCTION("""COMPUTED_VALUE"""),"2010")</f>
        <v>2010</v>
      </c>
      <c r="AE1985" s="14">
        <f>IFERROR(__xludf.DUMMYFUNCTION("""COMPUTED_VALUE"""),651712.0)</f>
        <v>651712</v>
      </c>
      <c r="AF1985" s="14">
        <f>IFERROR(__xludf.DUMMYFUNCTION("""COMPUTED_VALUE"""),1615688.0)</f>
        <v>1615688</v>
      </c>
    </row>
    <row r="1986">
      <c r="A1986" s="12">
        <v>1985.0</v>
      </c>
      <c r="B1986" s="12" t="s">
        <v>231</v>
      </c>
      <c r="C1986" s="5" t="s">
        <v>75</v>
      </c>
      <c r="D1986" s="11">
        <v>0.483</v>
      </c>
      <c r="E1986" s="11">
        <v>29.0</v>
      </c>
      <c r="F1986" s="8"/>
      <c r="G1986" s="11">
        <v>448.0</v>
      </c>
      <c r="H1986" s="11">
        <v>0.268</v>
      </c>
      <c r="I1986" s="11">
        <v>1.389</v>
      </c>
      <c r="J1986" s="9" t="s">
        <v>69</v>
      </c>
      <c r="K1986" s="14" t="str">
        <f>IFERROR(__xludf.DUMMYFUNCTION("ARRAYFORMULA(VLOOKUP(A1986,IMPORTRANGE(""https://docs.google.com/spreadsheets/d/1BuTWp7qHGjWhqrnf-OmePP568O4A5Am9ttzvVdP67zw/edit#gid=1603210130"", ""TOURISM!$A$2:$F$2692""), {2,3,4,5,6},0))"),"Europe")</f>
        <v>Europe</v>
      </c>
      <c r="L1986" s="14">
        <f>IFERROR(__xludf.DUMMYFUNCTION("""COMPUTED_VALUE"""),1.5821E10)</f>
        <v>15821000000</v>
      </c>
      <c r="M1986" s="14" t="str">
        <f>IFERROR(__xludf.DUMMYFUNCTION("""COMPUTED_VALUE"""),"Russia-Europe")</f>
        <v>Russia-Europe</v>
      </c>
      <c r="N1986" s="14" t="str">
        <f>IFERROR(__xludf.DUMMYFUNCTION("""COMPUTED_VALUE"""),"2008")</f>
        <v>2008</v>
      </c>
      <c r="O1986" s="14">
        <f>IFERROR(__xludf.DUMMYFUNCTION("""COMPUTED_VALUE"""),2.6401E10)</f>
        <v>26401000000</v>
      </c>
      <c r="P1986" s="15">
        <f>IFERROR(__xludf.DUMMYFUNCTION("ARRAYFORMULA(VLOOKUP(A1986,IMPORTRANGE(""https://docs.google.com/spreadsheets/d/1BuTWp7qHGjWhqrnf-OmePP568O4A5Am9ttzvVdP67zw/edit#gid=771602874"" ,""HUMAN RESOURCES!$A$2:$M$2692""), {2,3,4,5,6,7,8,9,10,11,12,13},0))"),0.012)</f>
        <v>0.012</v>
      </c>
      <c r="Q1986" s="14">
        <f>IFERROR(__xludf.DUMMYFUNCTION("""COMPUTED_VALUE"""),0.012)</f>
        <v>0.012</v>
      </c>
      <c r="R1986" s="14">
        <f>IFERROR(__xludf.DUMMYFUNCTION("""COMPUTED_VALUE"""),74.0)</f>
        <v>74</v>
      </c>
      <c r="S1986" s="14">
        <f>IFERROR(__xludf.DUMMYFUNCTION("""COMPUTED_VALUE"""),62.0)</f>
        <v>62</v>
      </c>
      <c r="T1986" s="14">
        <f>IFERROR(__xludf.DUMMYFUNCTION("""COMPUTED_VALUE"""),0.147)</f>
        <v>0.147</v>
      </c>
      <c r="U1986" s="14">
        <f>IFERROR(__xludf.DUMMYFUNCTION("""COMPUTED_VALUE"""),0.718)</f>
        <v>0.718</v>
      </c>
      <c r="V1986" s="14">
        <f>IFERROR(__xludf.DUMMYFUNCTION("""COMPUTED_VALUE"""),0.135)</f>
        <v>0.135</v>
      </c>
      <c r="W1986" s="14">
        <f>IFERROR(__xludf.DUMMYFUNCTION("""COMPUTED_VALUE"""),1.41956409E8)</f>
        <v>141956409</v>
      </c>
      <c r="X1986" s="14">
        <f>IFERROR(__xludf.DUMMYFUNCTION("""COMPUTED_VALUE"""),0.736)</f>
        <v>0.736</v>
      </c>
      <c r="Y1986" s="14" t="str">
        <f>IFERROR(__xludf.DUMMYFUNCTION("""COMPUTED_VALUE"""),"Russia-Europe")</f>
        <v>Russia-Europe</v>
      </c>
      <c r="Z1986" s="14" t="str">
        <f>IFERROR(__xludf.DUMMYFUNCTION("""COMPUTED_VALUE"""),"Europe")</f>
        <v>Europe</v>
      </c>
      <c r="AA1986" s="14" t="str">
        <f>IFERROR(__xludf.DUMMYFUNCTION("""COMPUTED_VALUE"""),"2008")</f>
        <v>2008</v>
      </c>
      <c r="AB1986" s="15" t="str">
        <f>IFERROR(__xludf.DUMMYFUNCTION("ARRAYFORMULA(VLOOKUP(A1986,IMPORTRANGE(""https://docs.google.com/spreadsheets/d/1BuTWp7qHGjWhqrnf-OmePP568O4A5Am9ttzvVdP67zw/edit#gid=1931367683"" ,""ENERGY!$A$2:$F$2692""), {2,3,4,5,6},0))"),"Europe")</f>
        <v>Europe</v>
      </c>
      <c r="AC1986" s="14" t="str">
        <f>IFERROR(__xludf.DUMMYFUNCTION("""COMPUTED_VALUE"""),"Russia-Europe")</f>
        <v>Russia-Europe</v>
      </c>
      <c r="AD1986" s="14" t="str">
        <f>IFERROR(__xludf.DUMMYFUNCTION("""COMPUTED_VALUE"""),"2007")</f>
        <v>2007</v>
      </c>
      <c r="AE1986" s="14">
        <f>IFERROR(__xludf.DUMMYFUNCTION("""COMPUTED_VALUE"""),647392.0)</f>
        <v>647392</v>
      </c>
      <c r="AF1986" s="14">
        <f>IFERROR(__xludf.DUMMYFUNCTION("""COMPUTED_VALUE"""),1602963.0)</f>
        <v>1602963</v>
      </c>
    </row>
    <row r="1987">
      <c r="A1987" s="12">
        <v>1986.0</v>
      </c>
      <c r="B1987" s="12" t="s">
        <v>231</v>
      </c>
      <c r="C1987" s="5" t="s">
        <v>75</v>
      </c>
      <c r="D1987" s="11">
        <v>0.483</v>
      </c>
      <c r="E1987" s="11">
        <v>29.0</v>
      </c>
      <c r="F1987" s="8"/>
      <c r="G1987" s="11">
        <v>320.0</v>
      </c>
      <c r="H1987" s="11">
        <v>0.29</v>
      </c>
      <c r="I1987" s="11">
        <v>1.601</v>
      </c>
      <c r="J1987" s="9" t="s">
        <v>70</v>
      </c>
      <c r="K1987" s="14" t="str">
        <f>IFERROR(__xludf.DUMMYFUNCTION("ARRAYFORMULA(VLOOKUP(A1987,IMPORTRANGE(""https://docs.google.com/spreadsheets/d/1BuTWp7qHGjWhqrnf-OmePP568O4A5Am9ttzvVdP67zw/edit#gid=1603210130"", ""TOURISM!$A$2:$F$2692""), {2,3,4,5,6},0))"),"Europe")</f>
        <v>Europe</v>
      </c>
      <c r="L1987" s="14">
        <f>IFERROR(__xludf.DUMMYFUNCTION("""COMPUTED_VALUE"""),1.2369E10)</f>
        <v>12369000000</v>
      </c>
      <c r="M1987" s="14" t="str">
        <f>IFERROR(__xludf.DUMMYFUNCTION("""COMPUTED_VALUE"""),"Russia-Europe")</f>
        <v>Russia-Europe</v>
      </c>
      <c r="N1987" s="14" t="str">
        <f>IFERROR(__xludf.DUMMYFUNCTION("""COMPUTED_VALUE"""),"2009")</f>
        <v>2009</v>
      </c>
      <c r="O1987" s="14">
        <f>IFERROR(__xludf.DUMMYFUNCTION("""COMPUTED_VALUE"""),2.3785E10)</f>
        <v>23785000000</v>
      </c>
      <c r="P1987" s="15">
        <f>IFERROR(__xludf.DUMMYFUNCTION("ARRAYFORMULA(VLOOKUP(A1987,IMPORTRANGE(""https://docs.google.com/spreadsheets/d/1BuTWp7qHGjWhqrnf-OmePP568O4A5Am9ttzvVdP67zw/edit#gid=771602874"" ,""HUMAN RESOURCES!$A$2:$M$2692""), {2,3,4,5,6,7,8,9,10,11,12,13},0))"),0.012)</f>
        <v>0.012</v>
      </c>
      <c r="Q1987" s="14">
        <f>IFERROR(__xludf.DUMMYFUNCTION("""COMPUTED_VALUE"""),0.011)</f>
        <v>0.011</v>
      </c>
      <c r="R1987" s="14">
        <f>IFERROR(__xludf.DUMMYFUNCTION("""COMPUTED_VALUE"""),75.0)</f>
        <v>75</v>
      </c>
      <c r="S1987" s="14">
        <f>IFERROR(__xludf.DUMMYFUNCTION("""COMPUTED_VALUE"""),63.0)</f>
        <v>63</v>
      </c>
      <c r="T1987" s="14">
        <f>IFERROR(__xludf.DUMMYFUNCTION("""COMPUTED_VALUE"""),0.148)</f>
        <v>0.148</v>
      </c>
      <c r="U1987" s="14">
        <f>IFERROR(__xludf.DUMMYFUNCTION("""COMPUTED_VALUE"""),0.72)</f>
        <v>0.72</v>
      </c>
      <c r="V1987" s="14">
        <f>IFERROR(__xludf.DUMMYFUNCTION("""COMPUTED_VALUE"""),0.133)</f>
        <v>0.133</v>
      </c>
      <c r="W1987" s="14">
        <f>IFERROR(__xludf.DUMMYFUNCTION("""COMPUTED_VALUE"""),1.41909244E8)</f>
        <v>141909244</v>
      </c>
      <c r="X1987" s="14">
        <f>IFERROR(__xludf.DUMMYFUNCTION("""COMPUTED_VALUE"""),0.736)</f>
        <v>0.736</v>
      </c>
      <c r="Y1987" s="14" t="str">
        <f>IFERROR(__xludf.DUMMYFUNCTION("""COMPUTED_VALUE"""),"Russia-Europe")</f>
        <v>Russia-Europe</v>
      </c>
      <c r="Z1987" s="14" t="str">
        <f>IFERROR(__xludf.DUMMYFUNCTION("""COMPUTED_VALUE"""),"Europe")</f>
        <v>Europe</v>
      </c>
      <c r="AA1987" s="14" t="str">
        <f>IFERROR(__xludf.DUMMYFUNCTION("""COMPUTED_VALUE"""),"2009")</f>
        <v>2009</v>
      </c>
      <c r="AB1987" s="15" t="str">
        <f>IFERROR(__xludf.DUMMYFUNCTION("ARRAYFORMULA(VLOOKUP(A1987,IMPORTRANGE(""https://docs.google.com/spreadsheets/d/1BuTWp7qHGjWhqrnf-OmePP568O4A5Am9ttzvVdP67zw/edit#gid=1931367683"" ,""ENERGY!$A$2:$F$2692""), {2,3,4,5,6},0))"),"Europe")</f>
        <v>Europe</v>
      </c>
      <c r="AC1987" s="14" t="str">
        <f>IFERROR(__xludf.DUMMYFUNCTION("""COMPUTED_VALUE"""),"Russia-Europe")</f>
        <v>Russia-Europe</v>
      </c>
      <c r="AD1987" s="14" t="str">
        <f>IFERROR(__xludf.DUMMYFUNCTION("""COMPUTED_VALUE"""),"2011")</f>
        <v>2011</v>
      </c>
      <c r="AE1987" s="14">
        <f>IFERROR(__xludf.DUMMYFUNCTION("""COMPUTED_VALUE"""),645323.0)</f>
        <v>645323</v>
      </c>
      <c r="AF1987" s="14">
        <f>IFERROR(__xludf.DUMMYFUNCTION("""COMPUTED_VALUE"""),1604973.0)</f>
        <v>1604973</v>
      </c>
    </row>
    <row r="1988">
      <c r="A1988" s="12">
        <v>1987.0</v>
      </c>
      <c r="B1988" s="12" t="s">
        <v>231</v>
      </c>
      <c r="C1988" s="5" t="s">
        <v>75</v>
      </c>
      <c r="D1988" s="11">
        <v>0.465</v>
      </c>
      <c r="E1988" s="11">
        <v>29.0</v>
      </c>
      <c r="F1988" s="8"/>
      <c r="G1988" s="11">
        <v>320.0</v>
      </c>
      <c r="H1988" s="11">
        <v>0.43</v>
      </c>
      <c r="I1988" s="11">
        <v>1.655</v>
      </c>
      <c r="J1988" s="9" t="s">
        <v>71</v>
      </c>
      <c r="K1988" s="14" t="str">
        <f>IFERROR(__xludf.DUMMYFUNCTION("ARRAYFORMULA(VLOOKUP(A1988,IMPORTRANGE(""https://docs.google.com/spreadsheets/d/1BuTWp7qHGjWhqrnf-OmePP568O4A5Am9ttzvVdP67zw/edit#gid=1603210130"", ""TOURISM!$A$2:$F$2692""), {2,3,4,5,6},0))"),"Europe")</f>
        <v>Europe</v>
      </c>
      <c r="L1988" s="14">
        <f>IFERROR(__xludf.DUMMYFUNCTION("""COMPUTED_VALUE"""),1.3239E10)</f>
        <v>13239000000</v>
      </c>
      <c r="M1988" s="14" t="str">
        <f>IFERROR(__xludf.DUMMYFUNCTION("""COMPUTED_VALUE"""),"Russia-Europe")</f>
        <v>Russia-Europe</v>
      </c>
      <c r="N1988" s="14" t="str">
        <f>IFERROR(__xludf.DUMMYFUNCTION("""COMPUTED_VALUE"""),"2010")</f>
        <v>2010</v>
      </c>
      <c r="O1988" s="14">
        <f>IFERROR(__xludf.DUMMYFUNCTION("""COMPUTED_VALUE"""),3.0169E10)</f>
        <v>30169000000</v>
      </c>
      <c r="P1988" s="15">
        <f>IFERROR(__xludf.DUMMYFUNCTION("ARRAYFORMULA(VLOOKUP(A1988,IMPORTRANGE(""https://docs.google.com/spreadsheets/d/1BuTWp7qHGjWhqrnf-OmePP568O4A5Am9ttzvVdP67zw/edit#gid=771602874"" ,""HUMAN RESOURCES!$A$2:$M$2692""), {2,3,4,5,6,7,8,9,10,11,12,13},0))"),0.013)</f>
        <v>0.013</v>
      </c>
      <c r="Q1988" s="14">
        <f>IFERROR(__xludf.DUMMYFUNCTION("""COMPUTED_VALUE"""),0.01)</f>
        <v>0.01</v>
      </c>
      <c r="R1988" s="14">
        <f>IFERROR(__xludf.DUMMYFUNCTION("""COMPUTED_VALUE"""),75.0)</f>
        <v>75</v>
      </c>
      <c r="S1988" s="14">
        <f>IFERROR(__xludf.DUMMYFUNCTION("""COMPUTED_VALUE"""),63.0)</f>
        <v>63</v>
      </c>
      <c r="T1988" s="14">
        <f>IFERROR(__xludf.DUMMYFUNCTION("""COMPUTED_VALUE"""),0.149)</f>
        <v>0.149</v>
      </c>
      <c r="U1988" s="14">
        <f>IFERROR(__xludf.DUMMYFUNCTION("""COMPUTED_VALUE"""),0.72)</f>
        <v>0.72</v>
      </c>
      <c r="V1988" s="14">
        <f>IFERROR(__xludf.DUMMYFUNCTION("""COMPUTED_VALUE"""),0.131)</f>
        <v>0.131</v>
      </c>
      <c r="W1988" s="14">
        <f>IFERROR(__xludf.DUMMYFUNCTION("""COMPUTED_VALUE"""),1.42385523E8)</f>
        <v>142385523</v>
      </c>
      <c r="X1988" s="14">
        <f>IFERROR(__xludf.DUMMYFUNCTION("""COMPUTED_VALUE"""),0.737)</f>
        <v>0.737</v>
      </c>
      <c r="Y1988" s="14" t="str">
        <f>IFERROR(__xludf.DUMMYFUNCTION("""COMPUTED_VALUE"""),"Russia-Europe")</f>
        <v>Russia-Europe</v>
      </c>
      <c r="Z1988" s="14" t="str">
        <f>IFERROR(__xludf.DUMMYFUNCTION("""COMPUTED_VALUE"""),"Europe")</f>
        <v>Europe</v>
      </c>
      <c r="AA1988" s="14" t="str">
        <f>IFERROR(__xludf.DUMMYFUNCTION("""COMPUTED_VALUE"""),"2010")</f>
        <v>2010</v>
      </c>
      <c r="AB1988" s="15" t="str">
        <f>IFERROR(__xludf.DUMMYFUNCTION("ARRAYFORMULA(VLOOKUP(A1988,IMPORTRANGE(""https://docs.google.com/spreadsheets/d/1BuTWp7qHGjWhqrnf-OmePP568O4A5Am9ttzvVdP67zw/edit#gid=1931367683"" ,""ENERGY!$A$2:$F$2692""), {2,3,4,5,6},0))"),"Europe")</f>
        <v>Europe</v>
      </c>
      <c r="AC1988" s="14" t="str">
        <f>IFERROR(__xludf.DUMMYFUNCTION("""COMPUTED_VALUE"""),"Russia-Europe")</f>
        <v>Russia-Europe</v>
      </c>
      <c r="AD1988" s="14" t="str">
        <f>IFERROR(__xludf.DUMMYFUNCTION("""COMPUTED_VALUE"""),"2007")</f>
        <v>2007</v>
      </c>
      <c r="AE1988" s="14">
        <f>IFERROR(__xludf.DUMMYFUNCTION("""COMPUTED_VALUE"""),623098.0)</f>
        <v>623098</v>
      </c>
      <c r="AF1988" s="14">
        <f>IFERROR(__xludf.DUMMYFUNCTION("""COMPUTED_VALUE"""),1557665.0)</f>
        <v>1557665</v>
      </c>
    </row>
    <row r="1989">
      <c r="A1989" s="12">
        <v>1988.0</v>
      </c>
      <c r="B1989" s="12" t="s">
        <v>231</v>
      </c>
      <c r="C1989" s="5" t="s">
        <v>75</v>
      </c>
      <c r="D1989" s="11">
        <v>0.469</v>
      </c>
      <c r="E1989" s="11">
        <v>29.0</v>
      </c>
      <c r="F1989" s="8"/>
      <c r="G1989" s="11">
        <v>290.0</v>
      </c>
      <c r="H1989" s="11">
        <v>0.49</v>
      </c>
      <c r="I1989" s="11">
        <v>1.42</v>
      </c>
      <c r="J1989" s="9" t="s">
        <v>72</v>
      </c>
      <c r="K1989" s="14" t="str">
        <f>IFERROR(__xludf.DUMMYFUNCTION("ARRAYFORMULA(VLOOKUP(A1989,IMPORTRANGE(""https://docs.google.com/spreadsheets/d/1BuTWp7qHGjWhqrnf-OmePP568O4A5Am9ttzvVdP67zw/edit#gid=1603210130"", ""TOURISM!$A$2:$F$2692""), {2,3,4,5,6},0))"),"Europe")</f>
        <v>Europe</v>
      </c>
      <c r="L1989" s="14">
        <f>IFERROR(__xludf.DUMMYFUNCTION("""COMPUTED_VALUE"""),1.6961E10)</f>
        <v>16961000000</v>
      </c>
      <c r="M1989" s="14" t="str">
        <f>IFERROR(__xludf.DUMMYFUNCTION("""COMPUTED_VALUE"""),"Russia-Europe")</f>
        <v>Russia-Europe</v>
      </c>
      <c r="N1989" s="14" t="str">
        <f>IFERROR(__xludf.DUMMYFUNCTION("""COMPUTED_VALUE"""),"2011")</f>
        <v>2011</v>
      </c>
      <c r="O1989" s="14">
        <f>IFERROR(__xludf.DUMMYFUNCTION("""COMPUTED_VALUE"""),3.7343E10)</f>
        <v>37343000000</v>
      </c>
      <c r="P1989" s="15">
        <f>IFERROR(__xludf.DUMMYFUNCTION("ARRAYFORMULA(VLOOKUP(A1989,IMPORTRANGE(""https://docs.google.com/spreadsheets/d/1BuTWp7qHGjWhqrnf-OmePP568O4A5Am9ttzvVdP67zw/edit#gid=771602874"" ,""HUMAN RESOURCES!$A$2:$M$2692""), {2,3,4,5,6,7,8,9,10,11,12,13},0))"),0.013)</f>
        <v>0.013</v>
      </c>
      <c r="Q1989" s="14">
        <f>IFERROR(__xludf.DUMMYFUNCTION("""COMPUTED_VALUE"""),0.01)</f>
        <v>0.01</v>
      </c>
      <c r="R1989" s="14">
        <f>IFERROR(__xludf.DUMMYFUNCTION("""COMPUTED_VALUE"""),76.0)</f>
        <v>76</v>
      </c>
      <c r="S1989" s="14">
        <f>IFERROR(__xludf.DUMMYFUNCTION("""COMPUTED_VALUE"""),64.0)</f>
        <v>64</v>
      </c>
      <c r="T1989" s="14">
        <f>IFERROR(__xludf.DUMMYFUNCTION("""COMPUTED_VALUE"""),0.151)</f>
        <v>0.151</v>
      </c>
      <c r="U1989" s="14">
        <f>IFERROR(__xludf.DUMMYFUNCTION("""COMPUTED_VALUE"""),0.718)</f>
        <v>0.718</v>
      </c>
      <c r="V1989" s="14">
        <f>IFERROR(__xludf.DUMMYFUNCTION("""COMPUTED_VALUE"""),0.13)</f>
        <v>0.13</v>
      </c>
      <c r="W1989" s="14">
        <f>IFERROR(__xludf.DUMMYFUNCTION("""COMPUTED_VALUE"""),1.4295646E8)</f>
        <v>142956460</v>
      </c>
      <c r="X1989" s="14">
        <f>IFERROR(__xludf.DUMMYFUNCTION("""COMPUTED_VALUE"""),0.737)</f>
        <v>0.737</v>
      </c>
      <c r="Y1989" s="14" t="str">
        <f>IFERROR(__xludf.DUMMYFUNCTION("""COMPUTED_VALUE"""),"Russia-Europe")</f>
        <v>Russia-Europe</v>
      </c>
      <c r="Z1989" s="14" t="str">
        <f>IFERROR(__xludf.DUMMYFUNCTION("""COMPUTED_VALUE"""),"Europe")</f>
        <v>Europe</v>
      </c>
      <c r="AA1989" s="14" t="str">
        <f>IFERROR(__xludf.DUMMYFUNCTION("""COMPUTED_VALUE"""),"2011")</f>
        <v>2011</v>
      </c>
      <c r="AB1989" s="15" t="str">
        <f>IFERROR(__xludf.DUMMYFUNCTION("ARRAYFORMULA(VLOOKUP(A1989,IMPORTRANGE(""https://docs.google.com/spreadsheets/d/1BuTWp7qHGjWhqrnf-OmePP568O4A5Am9ttzvVdP67zw/edit#gid=1931367683"" ,""ENERGY!$A$2:$F$2692""), {2,3,4,5,6},0))"),"Europe")</f>
        <v>Europe</v>
      </c>
      <c r="AC1989" s="14" t="str">
        <f>IFERROR(__xludf.DUMMYFUNCTION("""COMPUTED_VALUE"""),"Russia-Europe")</f>
        <v>Russia-Europe</v>
      </c>
      <c r="AD1989" s="14" t="str">
        <f>IFERROR(__xludf.DUMMYFUNCTION("""COMPUTED_VALUE"""),"2007")</f>
        <v>2007</v>
      </c>
      <c r="AE1989" s="14">
        <f>IFERROR(__xludf.DUMMYFUNCTION("""COMPUTED_VALUE"""),626014.0)</f>
        <v>626014</v>
      </c>
      <c r="AF1989" s="14">
        <f>IFERROR(__xludf.DUMMYFUNCTION("""COMPUTED_VALUE"""),1558013.0)</f>
        <v>1558013</v>
      </c>
    </row>
    <row r="1990">
      <c r="A1990" s="12">
        <v>1989.0</v>
      </c>
      <c r="B1990" s="12" t="s">
        <v>231</v>
      </c>
      <c r="C1990" s="5" t="s">
        <v>75</v>
      </c>
      <c r="D1990" s="11">
        <v>0.541</v>
      </c>
      <c r="E1990" s="11">
        <v>18.0</v>
      </c>
      <c r="F1990" s="11">
        <v>111.0</v>
      </c>
      <c r="G1990" s="11">
        <v>177.0</v>
      </c>
      <c r="H1990" s="11">
        <v>0.638</v>
      </c>
      <c r="I1990" s="11">
        <v>1.453</v>
      </c>
      <c r="J1990" s="9" t="s">
        <v>73</v>
      </c>
      <c r="K1990" s="14" t="str">
        <f>IFERROR(__xludf.DUMMYFUNCTION("ARRAYFORMULA(VLOOKUP(A1990,IMPORTRANGE(""https://docs.google.com/spreadsheets/d/1BuTWp7qHGjWhqrnf-OmePP568O4A5Am9ttzvVdP67zw/edit#gid=1603210130"", ""TOURISM!$A$2:$F$2692""), {2,3,4,5,6},0))"),"Europe")</f>
        <v>Europe</v>
      </c>
      <c r="L1990" s="14">
        <f>IFERROR(__xludf.DUMMYFUNCTION("""COMPUTED_VALUE"""),1.7876E10)</f>
        <v>17876000000</v>
      </c>
      <c r="M1990" s="14" t="str">
        <f>IFERROR(__xludf.DUMMYFUNCTION("""COMPUTED_VALUE"""),"Russia-Europe")</f>
        <v>Russia-Europe</v>
      </c>
      <c r="N1990" s="14" t="str">
        <f>IFERROR(__xludf.DUMMYFUNCTION("""COMPUTED_VALUE"""),"2012")</f>
        <v>2012</v>
      </c>
      <c r="O1990" s="14">
        <f>IFERROR(__xludf.DUMMYFUNCTION("""COMPUTED_VALUE"""),4.8096E10)</f>
        <v>48096000000</v>
      </c>
      <c r="P1990" s="15">
        <f>IFERROR(__xludf.DUMMYFUNCTION("ARRAYFORMULA(VLOOKUP(A1990,IMPORTRANGE(""https://docs.google.com/spreadsheets/d/1BuTWp7qHGjWhqrnf-OmePP568O4A5Am9ttzvVdP67zw/edit#gid=771602874"" ,""HUMAN RESOURCES!$A$2:$M$2692""), {2,3,4,5,6,7,8,9,10,11,12,13},0))"),0.013)</f>
        <v>0.013</v>
      </c>
      <c r="Q1990" s="14">
        <f>IFERROR(__xludf.DUMMYFUNCTION("""COMPUTED_VALUE"""),0.009)</f>
        <v>0.009</v>
      </c>
      <c r="R1990" s="14">
        <f>IFERROR(__xludf.DUMMYFUNCTION("""COMPUTED_VALUE"""),76.0)</f>
        <v>76</v>
      </c>
      <c r="S1990" s="14">
        <f>IFERROR(__xludf.DUMMYFUNCTION("""COMPUTED_VALUE"""),65.0)</f>
        <v>65</v>
      </c>
      <c r="T1990" s="14">
        <f>IFERROR(__xludf.DUMMYFUNCTION("""COMPUTED_VALUE"""),0.154)</f>
        <v>0.154</v>
      </c>
      <c r="U1990" s="14">
        <f>IFERROR(__xludf.DUMMYFUNCTION("""COMPUTED_VALUE"""),0.716)</f>
        <v>0.716</v>
      </c>
      <c r="V1990" s="14">
        <f>IFERROR(__xludf.DUMMYFUNCTION("""COMPUTED_VALUE"""),0.13)</f>
        <v>0.13</v>
      </c>
      <c r="W1990" s="14">
        <f>IFERROR(__xludf.DUMMYFUNCTION("""COMPUTED_VALUE"""),1.43178E8)</f>
        <v>143178000</v>
      </c>
      <c r="X1990" s="14">
        <f>IFERROR(__xludf.DUMMYFUNCTION("""COMPUTED_VALUE"""),0.738)</f>
        <v>0.738</v>
      </c>
      <c r="Y1990" s="14" t="str">
        <f>IFERROR(__xludf.DUMMYFUNCTION("""COMPUTED_VALUE"""),"Russia-Europe")</f>
        <v>Russia-Europe</v>
      </c>
      <c r="Z1990" s="14" t="str">
        <f>IFERROR(__xludf.DUMMYFUNCTION("""COMPUTED_VALUE"""),"Europe")</f>
        <v>Europe</v>
      </c>
      <c r="AA1990" s="14" t="str">
        <f>IFERROR(__xludf.DUMMYFUNCTION("""COMPUTED_VALUE"""),"2012")</f>
        <v>2012</v>
      </c>
      <c r="AB1990" s="15" t="str">
        <f>IFERROR(__xludf.DUMMYFUNCTION("ARRAYFORMULA(VLOOKUP(A1990,IMPORTRANGE(""https://docs.google.com/spreadsheets/d/1BuTWp7qHGjWhqrnf-OmePP568O4A5Am9ttzvVdP67zw/edit#gid=1931367683"" ,""ENERGY!$A$2:$F$2692""), {2,3,4,5,6},0))"),"Europe")</f>
        <v>Europe</v>
      </c>
      <c r="AC1990" s="14" t="str">
        <f>IFERROR(__xludf.DUMMYFUNCTION("""COMPUTED_VALUE"""),"Russia-Europe")</f>
        <v>Russia-Europe</v>
      </c>
      <c r="AD1990" s="14" t="str">
        <f>IFERROR(__xludf.DUMMYFUNCTION("""COMPUTED_VALUE"""),"2011")</f>
        <v>2011</v>
      </c>
      <c r="AE1990" s="14">
        <f>IFERROR(__xludf.DUMMYFUNCTION("""COMPUTED_VALUE"""),619265.0)</f>
        <v>619265</v>
      </c>
      <c r="AF1990" s="14">
        <f>IFERROR(__xludf.DUMMYFUNCTION("""COMPUTED_VALUE"""),1558112.0)</f>
        <v>1558112</v>
      </c>
    </row>
    <row r="1991">
      <c r="A1991" s="12">
        <v>1990.0</v>
      </c>
      <c r="B1991" s="12" t="s">
        <v>232</v>
      </c>
      <c r="C1991" s="5" t="s">
        <v>77</v>
      </c>
      <c r="D1991" s="8"/>
      <c r="E1991" s="8"/>
      <c r="F1991" s="8"/>
      <c r="G1991" s="8"/>
      <c r="H1991" s="11">
        <v>0.001</v>
      </c>
      <c r="I1991" s="11">
        <v>0.005</v>
      </c>
      <c r="J1991" s="9" t="s">
        <v>60</v>
      </c>
      <c r="K1991" s="14" t="str">
        <f>IFERROR(__xludf.DUMMYFUNCTION("ARRAYFORMULA(VLOOKUP(A1991,IMPORTRANGE(""https://docs.google.com/spreadsheets/d/1BuTWp7qHGjWhqrnf-OmePP568O4A5Am9ttzvVdP67zw/edit#gid=1603210130"", ""TOURISM!$A$2:$F$2692""), {2,3,4,5,6},0))"),"Africa")</f>
        <v>Africa</v>
      </c>
      <c r="L1991" s="14">
        <f>IFERROR(__xludf.DUMMYFUNCTION("""COMPUTED_VALUE"""),2.7E7)</f>
        <v>27000000</v>
      </c>
      <c r="M1991" s="14" t="str">
        <f>IFERROR(__xludf.DUMMYFUNCTION("""COMPUTED_VALUE"""),"Rwanda-Africa")</f>
        <v>Rwanda-Africa</v>
      </c>
      <c r="N1991" s="14" t="str">
        <f>IFERROR(__xludf.DUMMYFUNCTION("""COMPUTED_VALUE"""),"2000")</f>
        <v>2000</v>
      </c>
      <c r="O1991" s="14">
        <f>IFERROR(__xludf.DUMMYFUNCTION("""COMPUTED_VALUE"""),3.5E7)</f>
        <v>35000000</v>
      </c>
      <c r="P1991" s="15">
        <f>IFERROR(__xludf.DUMMYFUNCTION("ARRAYFORMULA(VLOOKUP(A1991,IMPORTRANGE(""https://docs.google.com/spreadsheets/d/1BuTWp7qHGjWhqrnf-OmePP568O4A5Am9ttzvVdP67zw/edit#gid=771602874"" ,""HUMAN RESOURCES!$A$2:$M$2692""), {2,3,4,5,6,7,8,9,10,11,12,13},0))"),0.041)</f>
        <v>0.041</v>
      </c>
      <c r="Q1991" s="14">
        <f>IFERROR(__xludf.DUMMYFUNCTION("""COMPUTED_VALUE"""),0.108)</f>
        <v>0.108</v>
      </c>
      <c r="R1991" s="14">
        <f>IFERROR(__xludf.DUMMYFUNCTION("""COMPUTED_VALUE"""),49.0)</f>
        <v>49</v>
      </c>
      <c r="S1991" s="14">
        <f>IFERROR(__xludf.DUMMYFUNCTION("""COMPUTED_VALUE"""),47.0)</f>
        <v>47</v>
      </c>
      <c r="T1991" s="14">
        <f>IFERROR(__xludf.DUMMYFUNCTION("""COMPUTED_VALUE"""),0.466)</f>
        <v>0.466</v>
      </c>
      <c r="U1991" s="14">
        <f>IFERROR(__xludf.DUMMYFUNCTION("""COMPUTED_VALUE"""),0.505)</f>
        <v>0.505</v>
      </c>
      <c r="V1991" s="14">
        <f>IFERROR(__xludf.DUMMYFUNCTION("""COMPUTED_VALUE"""),0.03)</f>
        <v>0.03</v>
      </c>
      <c r="W1991" s="14">
        <f>IFERROR(__xludf.DUMMYFUNCTION("""COMPUTED_VALUE"""),8395577.0)</f>
        <v>8395577</v>
      </c>
      <c r="X1991" s="14">
        <f>IFERROR(__xludf.DUMMYFUNCTION("""COMPUTED_VALUE"""),0.149)</f>
        <v>0.149</v>
      </c>
      <c r="Y1991" s="14" t="str">
        <f>IFERROR(__xludf.DUMMYFUNCTION("""COMPUTED_VALUE"""),"Rwanda-Africa")</f>
        <v>Rwanda-Africa</v>
      </c>
      <c r="Z1991" s="14" t="str">
        <f>IFERROR(__xludf.DUMMYFUNCTION("""COMPUTED_VALUE"""),"Africa")</f>
        <v>Africa</v>
      </c>
      <c r="AA1991" s="14" t="str">
        <f>IFERROR(__xludf.DUMMYFUNCTION("""COMPUTED_VALUE"""),"2000")</f>
        <v>2000</v>
      </c>
      <c r="AB1991" s="15" t="str">
        <f>IFERROR(__xludf.DUMMYFUNCTION("ARRAYFORMULA(VLOOKUP(A1991,IMPORTRANGE(""https://docs.google.com/spreadsheets/d/1BuTWp7qHGjWhqrnf-OmePP568O4A5Am9ttzvVdP67zw/edit#gid=1931367683"" ,""ENERGY!$A$2:$F$2692""), {2,3,4,5,6},0))"),"Africa")</f>
        <v>Africa</v>
      </c>
      <c r="AC1991" s="14" t="str">
        <f>IFERROR(__xludf.DUMMYFUNCTION("""COMPUTED_VALUE"""),"Rwanda-Africa")</f>
        <v>Rwanda-Africa</v>
      </c>
      <c r="AD1991" s="14" t="str">
        <f>IFERROR(__xludf.DUMMYFUNCTION("""COMPUTED_VALUE"""),"2000")</f>
        <v>2000</v>
      </c>
      <c r="AE1991" s="14"/>
      <c r="AF1991" s="14"/>
    </row>
    <row r="1992">
      <c r="A1992" s="12">
        <v>1991.0</v>
      </c>
      <c r="B1992" s="12" t="s">
        <v>232</v>
      </c>
      <c r="C1992" s="5" t="s">
        <v>77</v>
      </c>
      <c r="D1992" s="8"/>
      <c r="E1992" s="8"/>
      <c r="F1992" s="8"/>
      <c r="G1992" s="8"/>
      <c r="H1992" s="11">
        <v>0.002</v>
      </c>
      <c r="I1992" s="11">
        <v>0.007</v>
      </c>
      <c r="J1992" s="9" t="s">
        <v>62</v>
      </c>
      <c r="K1992" s="14" t="str">
        <f>IFERROR(__xludf.DUMMYFUNCTION("ARRAYFORMULA(VLOOKUP(A1992,IMPORTRANGE(""https://docs.google.com/spreadsheets/d/1BuTWp7qHGjWhqrnf-OmePP568O4A5Am9ttzvVdP67zw/edit#gid=1603210130"", ""TOURISM!$A$2:$F$2692""), {2,3,4,5,6},0))"),"Africa")</f>
        <v>Africa</v>
      </c>
      <c r="L1992" s="14">
        <f>IFERROR(__xludf.DUMMYFUNCTION("""COMPUTED_VALUE"""),2.9E7)</f>
        <v>29000000</v>
      </c>
      <c r="M1992" s="14" t="str">
        <f>IFERROR(__xludf.DUMMYFUNCTION("""COMPUTED_VALUE"""),"Rwanda-Africa")</f>
        <v>Rwanda-Africa</v>
      </c>
      <c r="N1992" s="14" t="str">
        <f>IFERROR(__xludf.DUMMYFUNCTION("""COMPUTED_VALUE"""),"2001")</f>
        <v>2001</v>
      </c>
      <c r="O1992" s="14">
        <f>IFERROR(__xludf.DUMMYFUNCTION("""COMPUTED_VALUE"""),3.3E7)</f>
        <v>33000000</v>
      </c>
      <c r="P1992" s="15">
        <f>IFERROR(__xludf.DUMMYFUNCTION("ARRAYFORMULA(VLOOKUP(A1992,IMPORTRANGE(""https://docs.google.com/spreadsheets/d/1BuTWp7qHGjWhqrnf-OmePP568O4A5Am9ttzvVdP67zw/edit#gid=771602874"" ,""HUMAN RESOURCES!$A$2:$M$2692""), {2,3,4,5,6,7,8,9,10,11,12,13},0))"),0.04)</f>
        <v>0.04</v>
      </c>
      <c r="Q1992" s="14">
        <f>IFERROR(__xludf.DUMMYFUNCTION("""COMPUTED_VALUE"""),0.101)</f>
        <v>0.101</v>
      </c>
      <c r="R1992" s="14">
        <f>IFERROR(__xludf.DUMMYFUNCTION("""COMPUTED_VALUE"""),50.0)</f>
        <v>50</v>
      </c>
      <c r="S1992" s="14">
        <f>IFERROR(__xludf.DUMMYFUNCTION("""COMPUTED_VALUE"""),48.0)</f>
        <v>48</v>
      </c>
      <c r="T1992" s="14">
        <f>IFERROR(__xludf.DUMMYFUNCTION("""COMPUTED_VALUE"""),0.464)</f>
        <v>0.464</v>
      </c>
      <c r="U1992" s="14">
        <f>IFERROR(__xludf.DUMMYFUNCTION("""COMPUTED_VALUE"""),0.507)</f>
        <v>0.507</v>
      </c>
      <c r="V1992" s="14">
        <f>IFERROR(__xludf.DUMMYFUNCTION("""COMPUTED_VALUE"""),0.029)</f>
        <v>0.029</v>
      </c>
      <c r="W1992" s="14">
        <f>IFERROR(__xludf.DUMMYFUNCTION("""COMPUTED_VALUE"""),8760003.0)</f>
        <v>8760003</v>
      </c>
      <c r="X1992" s="14">
        <f>IFERROR(__xludf.DUMMYFUNCTION("""COMPUTED_VALUE"""),0.158)</f>
        <v>0.158</v>
      </c>
      <c r="Y1992" s="14" t="str">
        <f>IFERROR(__xludf.DUMMYFUNCTION("""COMPUTED_VALUE"""),"Rwanda-Africa")</f>
        <v>Rwanda-Africa</v>
      </c>
      <c r="Z1992" s="14" t="str">
        <f>IFERROR(__xludf.DUMMYFUNCTION("""COMPUTED_VALUE"""),"Africa")</f>
        <v>Africa</v>
      </c>
      <c r="AA1992" s="14" t="str">
        <f>IFERROR(__xludf.DUMMYFUNCTION("""COMPUTED_VALUE"""),"2001")</f>
        <v>2001</v>
      </c>
      <c r="AB1992" s="15" t="str">
        <f>IFERROR(__xludf.DUMMYFUNCTION("ARRAYFORMULA(VLOOKUP(A1992,IMPORTRANGE(""https://docs.google.com/spreadsheets/d/1BuTWp7qHGjWhqrnf-OmePP568O4A5Am9ttzvVdP67zw/edit#gid=1931367683"" ,""ENERGY!$A$2:$F$2692""), {2,3,4,5,6},0))"),"Africa")</f>
        <v>Africa</v>
      </c>
      <c r="AC1992" s="14" t="str">
        <f>IFERROR(__xludf.DUMMYFUNCTION("""COMPUTED_VALUE"""),"Rwanda-Africa")</f>
        <v>Rwanda-Africa</v>
      </c>
      <c r="AD1992" s="14" t="str">
        <f>IFERROR(__xludf.DUMMYFUNCTION("""COMPUTED_VALUE"""),"2001")</f>
        <v>2001</v>
      </c>
      <c r="AE1992" s="14"/>
      <c r="AF1992" s="14"/>
    </row>
    <row r="1993">
      <c r="A1993" s="12">
        <v>1992.0</v>
      </c>
      <c r="B1993" s="12" t="s">
        <v>232</v>
      </c>
      <c r="C1993" s="5" t="s">
        <v>77</v>
      </c>
      <c r="D1993" s="8"/>
      <c r="E1993" s="8"/>
      <c r="F1993" s="8"/>
      <c r="G1993" s="8"/>
      <c r="H1993" s="11">
        <v>0.003</v>
      </c>
      <c r="I1993" s="11">
        <v>0.009</v>
      </c>
      <c r="J1993" s="9" t="s">
        <v>63</v>
      </c>
      <c r="K1993" s="14" t="str">
        <f>IFERROR(__xludf.DUMMYFUNCTION("ARRAYFORMULA(VLOOKUP(A1993,IMPORTRANGE(""https://docs.google.com/spreadsheets/d/1BuTWp7qHGjWhqrnf-OmePP568O4A5Am9ttzvVdP67zw/edit#gid=1603210130"", ""TOURISM!$A$2:$F$2692""), {2,3,4,5,6},0))"),"Africa")</f>
        <v>Africa</v>
      </c>
      <c r="L1993" s="14">
        <f>IFERROR(__xludf.DUMMYFUNCTION("""COMPUTED_VALUE"""),3.1E7)</f>
        <v>31000000</v>
      </c>
      <c r="M1993" s="14" t="str">
        <f>IFERROR(__xludf.DUMMYFUNCTION("""COMPUTED_VALUE"""),"Rwanda-Africa")</f>
        <v>Rwanda-Africa</v>
      </c>
      <c r="N1993" s="14" t="str">
        <f>IFERROR(__xludf.DUMMYFUNCTION("""COMPUTED_VALUE"""),"2002")</f>
        <v>2002</v>
      </c>
      <c r="O1993" s="14">
        <f>IFERROR(__xludf.DUMMYFUNCTION("""COMPUTED_VALUE"""),2.4E7)</f>
        <v>24000000</v>
      </c>
      <c r="P1993" s="15">
        <f>IFERROR(__xludf.DUMMYFUNCTION("ARRAYFORMULA(VLOOKUP(A1993,IMPORTRANGE(""https://docs.google.com/spreadsheets/d/1BuTWp7qHGjWhqrnf-OmePP568O4A5Am9ttzvVdP67zw/edit#gid=771602874"" ,""HUMAN RESOURCES!$A$2:$M$2692""), {2,3,4,5,6,7,8,9,10,11,12,13},0))"),0.04)</f>
        <v>0.04</v>
      </c>
      <c r="Q1993" s="14">
        <f>IFERROR(__xludf.DUMMYFUNCTION("""COMPUTED_VALUE"""),0.092)</f>
        <v>0.092</v>
      </c>
      <c r="R1993" s="14">
        <f>IFERROR(__xludf.DUMMYFUNCTION("""COMPUTED_VALUE"""),51.0)</f>
        <v>51</v>
      </c>
      <c r="S1993" s="14">
        <f>IFERROR(__xludf.DUMMYFUNCTION("""COMPUTED_VALUE"""),50.0)</f>
        <v>50</v>
      </c>
      <c r="T1993" s="14">
        <f>IFERROR(__xludf.DUMMYFUNCTION("""COMPUTED_VALUE"""),0.459)</f>
        <v>0.459</v>
      </c>
      <c r="U1993" s="14">
        <f>IFERROR(__xludf.DUMMYFUNCTION("""COMPUTED_VALUE"""),0.513)</f>
        <v>0.513</v>
      </c>
      <c r="V1993" s="14">
        <f>IFERROR(__xludf.DUMMYFUNCTION("""COMPUTED_VALUE"""),0.029)</f>
        <v>0.029</v>
      </c>
      <c r="W1993" s="14">
        <f>IFERROR(__xludf.DUMMYFUNCTION("""COMPUTED_VALUE"""),8987523.0)</f>
        <v>8987523</v>
      </c>
      <c r="X1993" s="14">
        <f>IFERROR(__xludf.DUMMYFUNCTION("""COMPUTED_VALUE"""),0.168)</f>
        <v>0.168</v>
      </c>
      <c r="Y1993" s="14" t="str">
        <f>IFERROR(__xludf.DUMMYFUNCTION("""COMPUTED_VALUE"""),"Rwanda-Africa")</f>
        <v>Rwanda-Africa</v>
      </c>
      <c r="Z1993" s="14" t="str">
        <f>IFERROR(__xludf.DUMMYFUNCTION("""COMPUTED_VALUE"""),"Africa")</f>
        <v>Africa</v>
      </c>
      <c r="AA1993" s="14" t="str">
        <f>IFERROR(__xludf.DUMMYFUNCTION("""COMPUTED_VALUE"""),"2002")</f>
        <v>2002</v>
      </c>
      <c r="AB1993" s="15" t="str">
        <f>IFERROR(__xludf.DUMMYFUNCTION("ARRAYFORMULA(VLOOKUP(A1993,IMPORTRANGE(""https://docs.google.com/spreadsheets/d/1BuTWp7qHGjWhqrnf-OmePP568O4A5Am9ttzvVdP67zw/edit#gid=1931367683"" ,""ENERGY!$A$2:$F$2692""), {2,3,4,5,6},0))"),"Africa")</f>
        <v>Africa</v>
      </c>
      <c r="AC1993" s="14" t="str">
        <f>IFERROR(__xludf.DUMMYFUNCTION("""COMPUTED_VALUE"""),"Rwanda-Africa")</f>
        <v>Rwanda-Africa</v>
      </c>
      <c r="AD1993" s="14" t="str">
        <f>IFERROR(__xludf.DUMMYFUNCTION("""COMPUTED_VALUE"""),"2002")</f>
        <v>2002</v>
      </c>
      <c r="AE1993" s="14"/>
      <c r="AF1993" s="14">
        <f>IFERROR(__xludf.DUMMYFUNCTION("""COMPUTED_VALUE"""),594.0)</f>
        <v>594</v>
      </c>
    </row>
    <row r="1994">
      <c r="A1994" s="12">
        <v>1993.0</v>
      </c>
      <c r="B1994" s="12" t="s">
        <v>232</v>
      </c>
      <c r="C1994" s="5" t="s">
        <v>77</v>
      </c>
      <c r="D1994" s="8"/>
      <c r="E1994" s="11">
        <v>18.0</v>
      </c>
      <c r="F1994" s="8"/>
      <c r="G1994" s="8"/>
      <c r="H1994" s="11">
        <v>0.004</v>
      </c>
      <c r="I1994" s="11">
        <v>0.014</v>
      </c>
      <c r="J1994" s="9" t="s">
        <v>64</v>
      </c>
      <c r="K1994" s="14" t="str">
        <f>IFERROR(__xludf.DUMMYFUNCTION("ARRAYFORMULA(VLOOKUP(A1994,IMPORTRANGE(""https://docs.google.com/spreadsheets/d/1BuTWp7qHGjWhqrnf-OmePP568O4A5Am9ttzvVdP67zw/edit#gid=1603210130"", ""TOURISM!$A$2:$F$2692""), {2,3,4,5,6},0))"),"Africa")</f>
        <v>Africa</v>
      </c>
      <c r="L1994" s="14">
        <f>IFERROR(__xludf.DUMMYFUNCTION("""COMPUTED_VALUE"""),3.0E7)</f>
        <v>30000000</v>
      </c>
      <c r="M1994" s="14" t="str">
        <f>IFERROR(__xludf.DUMMYFUNCTION("""COMPUTED_VALUE"""),"Rwanda-Africa")</f>
        <v>Rwanda-Africa</v>
      </c>
      <c r="N1994" s="14" t="str">
        <f>IFERROR(__xludf.DUMMYFUNCTION("""COMPUTED_VALUE"""),"2003")</f>
        <v>2003</v>
      </c>
      <c r="O1994" s="14">
        <f>IFERROR(__xludf.DUMMYFUNCTION("""COMPUTED_VALUE"""),2.6E7)</f>
        <v>26000000</v>
      </c>
      <c r="P1994" s="15">
        <f>IFERROR(__xludf.DUMMYFUNCTION("ARRAYFORMULA(VLOOKUP(A1994,IMPORTRANGE(""https://docs.google.com/spreadsheets/d/1BuTWp7qHGjWhqrnf-OmePP568O4A5Am9ttzvVdP67zw/edit#gid=771602874"" ,""HUMAN RESOURCES!$A$2:$M$2692""), {2,3,4,5,6,7,8,9,10,11,12,13},0))"),0.039)</f>
        <v>0.039</v>
      </c>
      <c r="Q1994" s="14">
        <f>IFERROR(__xludf.DUMMYFUNCTION("""COMPUTED_VALUE"""),0.083)</f>
        <v>0.083</v>
      </c>
      <c r="R1994" s="14">
        <f>IFERROR(__xludf.DUMMYFUNCTION("""COMPUTED_VALUE"""),53.0)</f>
        <v>53</v>
      </c>
      <c r="S1994" s="14">
        <f>IFERROR(__xludf.DUMMYFUNCTION("""COMPUTED_VALUE"""),51.0)</f>
        <v>51</v>
      </c>
      <c r="T1994" s="14">
        <f>IFERROR(__xludf.DUMMYFUNCTION("""COMPUTED_VALUE"""),0.452)</f>
        <v>0.452</v>
      </c>
      <c r="U1994" s="14">
        <f>IFERROR(__xludf.DUMMYFUNCTION("""COMPUTED_VALUE"""),0.521)</f>
        <v>0.521</v>
      </c>
      <c r="V1994" s="14">
        <f>IFERROR(__xludf.DUMMYFUNCTION("""COMPUTED_VALUE"""),0.027)</f>
        <v>0.027</v>
      </c>
      <c r="W1994" s="14">
        <f>IFERROR(__xludf.DUMMYFUNCTION("""COMPUTED_VALUE"""),9126167.0)</f>
        <v>9126167</v>
      </c>
      <c r="X1994" s="14">
        <f>IFERROR(__xludf.DUMMYFUNCTION("""COMPUTED_VALUE"""),0.176)</f>
        <v>0.176</v>
      </c>
      <c r="Y1994" s="14" t="str">
        <f>IFERROR(__xludf.DUMMYFUNCTION("""COMPUTED_VALUE"""),"Rwanda-Africa")</f>
        <v>Rwanda-Africa</v>
      </c>
      <c r="Z1994" s="14" t="str">
        <f>IFERROR(__xludf.DUMMYFUNCTION("""COMPUTED_VALUE"""),"Africa")</f>
        <v>Africa</v>
      </c>
      <c r="AA1994" s="14" t="str">
        <f>IFERROR(__xludf.DUMMYFUNCTION("""COMPUTED_VALUE"""),"2003")</f>
        <v>2003</v>
      </c>
      <c r="AB1994" s="15" t="str">
        <f>IFERROR(__xludf.DUMMYFUNCTION("ARRAYFORMULA(VLOOKUP(A1994,IMPORTRANGE(""https://docs.google.com/spreadsheets/d/1BuTWp7qHGjWhqrnf-OmePP568O4A5Am9ttzvVdP67zw/edit#gid=1931367683"" ,""ENERGY!$A$2:$F$2692""), {2,3,4,5,6},0))"),"Africa")</f>
        <v>Africa</v>
      </c>
      <c r="AC1994" s="14" t="str">
        <f>IFERROR(__xludf.DUMMYFUNCTION("""COMPUTED_VALUE"""),"Rwanda-Africa")</f>
        <v>Rwanda-Africa</v>
      </c>
      <c r="AD1994" s="14" t="str">
        <f>IFERROR(__xludf.DUMMYFUNCTION("""COMPUTED_VALUE"""),"2003")</f>
        <v>2003</v>
      </c>
      <c r="AE1994" s="14"/>
      <c r="AF1994" s="14">
        <f>IFERROR(__xludf.DUMMYFUNCTION("""COMPUTED_VALUE"""),576.0)</f>
        <v>576</v>
      </c>
    </row>
    <row r="1995">
      <c r="A1995" s="12">
        <v>1994.0</v>
      </c>
      <c r="B1995" s="12" t="s">
        <v>232</v>
      </c>
      <c r="C1995" s="5" t="s">
        <v>77</v>
      </c>
      <c r="D1995" s="8"/>
      <c r="E1995" s="11">
        <v>18.0</v>
      </c>
      <c r="F1995" s="8"/>
      <c r="G1995" s="8"/>
      <c r="H1995" s="11">
        <v>0.004</v>
      </c>
      <c r="I1995" s="11">
        <v>0.015</v>
      </c>
      <c r="J1995" s="9" t="s">
        <v>65</v>
      </c>
      <c r="K1995" s="14" t="str">
        <f>IFERROR(__xludf.DUMMYFUNCTION("ARRAYFORMULA(VLOOKUP(A1995,IMPORTRANGE(""https://docs.google.com/spreadsheets/d/1BuTWp7qHGjWhqrnf-OmePP568O4A5Am9ttzvVdP67zw/edit#gid=1603210130"", ""TOURISM!$A$2:$F$2692""), {2,3,4,5,6},0))"),"Africa")</f>
        <v>Africa</v>
      </c>
      <c r="L1995" s="14">
        <f>IFERROR(__xludf.DUMMYFUNCTION("""COMPUTED_VALUE"""),4.4E7)</f>
        <v>44000000</v>
      </c>
      <c r="M1995" s="14" t="str">
        <f>IFERROR(__xludf.DUMMYFUNCTION("""COMPUTED_VALUE"""),"Rwanda-Africa")</f>
        <v>Rwanda-Africa</v>
      </c>
      <c r="N1995" s="14" t="str">
        <f>IFERROR(__xludf.DUMMYFUNCTION("""COMPUTED_VALUE"""),"2004")</f>
        <v>2004</v>
      </c>
      <c r="O1995" s="14">
        <f>IFERROR(__xludf.DUMMYFUNCTION("""COMPUTED_VALUE"""),3.1E7)</f>
        <v>31000000</v>
      </c>
      <c r="P1995" s="15">
        <f>IFERROR(__xludf.DUMMYFUNCTION("ARRAYFORMULA(VLOOKUP(A1995,IMPORTRANGE(""https://docs.google.com/spreadsheets/d/1BuTWp7qHGjWhqrnf-OmePP568O4A5Am9ttzvVdP67zw/edit#gid=771602874"" ,""HUMAN RESOURCES!$A$2:$M$2692""), {2,3,4,5,6,7,8,9,10,11,12,13},0))"),0.039)</f>
        <v>0.039</v>
      </c>
      <c r="Q1995" s="14">
        <f>IFERROR(__xludf.DUMMYFUNCTION("""COMPUTED_VALUE"""),0.075)</f>
        <v>0.075</v>
      </c>
      <c r="R1995" s="14">
        <f>IFERROR(__xludf.DUMMYFUNCTION("""COMPUTED_VALUE"""),55.0)</f>
        <v>55</v>
      </c>
      <c r="S1995" s="14">
        <f>IFERROR(__xludf.DUMMYFUNCTION("""COMPUTED_VALUE"""),52.0)</f>
        <v>52</v>
      </c>
      <c r="T1995" s="14">
        <f>IFERROR(__xludf.DUMMYFUNCTION("""COMPUTED_VALUE"""),0.446)</f>
        <v>0.446</v>
      </c>
      <c r="U1995" s="14">
        <f>IFERROR(__xludf.DUMMYFUNCTION("""COMPUTED_VALUE"""),0.528)</f>
        <v>0.528</v>
      </c>
      <c r="V1995" s="14">
        <f>IFERROR(__xludf.DUMMYFUNCTION("""COMPUTED_VALUE"""),0.026)</f>
        <v>0.026</v>
      </c>
      <c r="W1995" s="14">
        <f>IFERROR(__xludf.DUMMYFUNCTION("""COMPUTED_VALUE"""),9254379.0)</f>
        <v>9254379</v>
      </c>
      <c r="X1995" s="14">
        <f>IFERROR(__xludf.DUMMYFUNCTION("""COMPUTED_VALUE"""),0.184)</f>
        <v>0.184</v>
      </c>
      <c r="Y1995" s="14" t="str">
        <f>IFERROR(__xludf.DUMMYFUNCTION("""COMPUTED_VALUE"""),"Rwanda-Africa")</f>
        <v>Rwanda-Africa</v>
      </c>
      <c r="Z1995" s="14" t="str">
        <f>IFERROR(__xludf.DUMMYFUNCTION("""COMPUTED_VALUE"""),"Africa")</f>
        <v>Africa</v>
      </c>
      <c r="AA1995" s="14" t="str">
        <f>IFERROR(__xludf.DUMMYFUNCTION("""COMPUTED_VALUE"""),"2004")</f>
        <v>2004</v>
      </c>
      <c r="AB1995" s="15" t="str">
        <f>IFERROR(__xludf.DUMMYFUNCTION("ARRAYFORMULA(VLOOKUP(A1995,IMPORTRANGE(""https://docs.google.com/spreadsheets/d/1BuTWp7qHGjWhqrnf-OmePP568O4A5Am9ttzvVdP67zw/edit#gid=1931367683"" ,""ENERGY!$A$2:$F$2692""), {2,3,4,5,6},0))"),"Africa")</f>
        <v>Africa</v>
      </c>
      <c r="AC1995" s="14" t="str">
        <f>IFERROR(__xludf.DUMMYFUNCTION("""COMPUTED_VALUE"""),"Rwanda-Africa")</f>
        <v>Rwanda-Africa</v>
      </c>
      <c r="AD1995" s="14" t="str">
        <f>IFERROR(__xludf.DUMMYFUNCTION("""COMPUTED_VALUE"""),"2004")</f>
        <v>2004</v>
      </c>
      <c r="AE1995" s="14"/>
      <c r="AF1995" s="14">
        <f>IFERROR(__xludf.DUMMYFUNCTION("""COMPUTED_VALUE"""),543.0)</f>
        <v>543</v>
      </c>
    </row>
    <row r="1996">
      <c r="A1996" s="12">
        <v>1995.0</v>
      </c>
      <c r="B1996" s="12" t="s">
        <v>232</v>
      </c>
      <c r="C1996" s="5" t="s">
        <v>77</v>
      </c>
      <c r="D1996" s="11">
        <v>0.468</v>
      </c>
      <c r="E1996" s="11">
        <v>18.0</v>
      </c>
      <c r="F1996" s="8"/>
      <c r="G1996" s="11">
        <v>168.0</v>
      </c>
      <c r="H1996" s="11">
        <v>0.006</v>
      </c>
      <c r="I1996" s="11">
        <v>0.024</v>
      </c>
      <c r="J1996" s="9" t="s">
        <v>66</v>
      </c>
      <c r="K1996" s="14" t="str">
        <f>IFERROR(__xludf.DUMMYFUNCTION("ARRAYFORMULA(VLOOKUP(A1996,IMPORTRANGE(""https://docs.google.com/spreadsheets/d/1BuTWp7qHGjWhqrnf-OmePP568O4A5Am9ttzvVdP67zw/edit#gid=1603210130"", ""TOURISM!$A$2:$F$2692""), {2,3,4,5,6},0))"),"Africa")</f>
        <v>Africa</v>
      </c>
      <c r="L1996" s="14">
        <f>IFERROR(__xludf.DUMMYFUNCTION("""COMPUTED_VALUE"""),6.7E7)</f>
        <v>67000000</v>
      </c>
      <c r="M1996" s="14" t="str">
        <f>IFERROR(__xludf.DUMMYFUNCTION("""COMPUTED_VALUE"""),"Rwanda-Africa")</f>
        <v>Rwanda-Africa</v>
      </c>
      <c r="N1996" s="14" t="str">
        <f>IFERROR(__xludf.DUMMYFUNCTION("""COMPUTED_VALUE"""),"2005")</f>
        <v>2005</v>
      </c>
      <c r="O1996" s="14">
        <f>IFERROR(__xludf.DUMMYFUNCTION("""COMPUTED_VALUE"""),7.5E7)</f>
        <v>75000000</v>
      </c>
      <c r="P1996" s="15">
        <f>IFERROR(__xludf.DUMMYFUNCTION("ARRAYFORMULA(VLOOKUP(A1996,IMPORTRANGE(""https://docs.google.com/spreadsheets/d/1BuTWp7qHGjWhqrnf-OmePP568O4A5Am9ttzvVdP67zw/edit#gid=771602874"" ,""HUMAN RESOURCES!$A$2:$M$2692""), {2,3,4,5,6,7,8,9,10,11,12,13},0))"),0.038)</f>
        <v>0.038</v>
      </c>
      <c r="Q1996" s="14">
        <f>IFERROR(__xludf.DUMMYFUNCTION("""COMPUTED_VALUE"""),0.067)</f>
        <v>0.067</v>
      </c>
      <c r="R1996" s="14">
        <f>IFERROR(__xludf.DUMMYFUNCTION("""COMPUTED_VALUE"""),56.0)</f>
        <v>56</v>
      </c>
      <c r="S1996" s="14">
        <f>IFERROR(__xludf.DUMMYFUNCTION("""COMPUTED_VALUE"""),54.0)</f>
        <v>54</v>
      </c>
      <c r="T1996" s="14">
        <f>IFERROR(__xludf.DUMMYFUNCTION("""COMPUTED_VALUE"""),0.442)</f>
        <v>0.442</v>
      </c>
      <c r="U1996" s="14">
        <f>IFERROR(__xludf.DUMMYFUNCTION("""COMPUTED_VALUE"""),0.532)</f>
        <v>0.532</v>
      </c>
      <c r="V1996" s="14">
        <f>IFERROR(__xludf.DUMMYFUNCTION("""COMPUTED_VALUE"""),0.025)</f>
        <v>0.025</v>
      </c>
      <c r="W1996" s="14">
        <f>IFERROR(__xludf.DUMMYFUNCTION("""COMPUTED_VALUE"""),9429457.0)</f>
        <v>9429457</v>
      </c>
      <c r="X1996" s="14">
        <f>IFERROR(__xludf.DUMMYFUNCTION("""COMPUTED_VALUE"""),0.193)</f>
        <v>0.193</v>
      </c>
      <c r="Y1996" s="14" t="str">
        <f>IFERROR(__xludf.DUMMYFUNCTION("""COMPUTED_VALUE"""),"Rwanda-Africa")</f>
        <v>Rwanda-Africa</v>
      </c>
      <c r="Z1996" s="14" t="str">
        <f>IFERROR(__xludf.DUMMYFUNCTION("""COMPUTED_VALUE"""),"Africa")</f>
        <v>Africa</v>
      </c>
      <c r="AA1996" s="14" t="str">
        <f>IFERROR(__xludf.DUMMYFUNCTION("""COMPUTED_VALUE"""),"2005")</f>
        <v>2005</v>
      </c>
      <c r="AB1996" s="15" t="str">
        <f>IFERROR(__xludf.DUMMYFUNCTION("ARRAYFORMULA(VLOOKUP(A1996,IMPORTRANGE(""https://docs.google.com/spreadsheets/d/1BuTWp7qHGjWhqrnf-OmePP568O4A5Am9ttzvVdP67zw/edit#gid=1931367683"" ,""ENERGY!$A$2:$F$2692""), {2,3,4,5,6},0))"),"Africa")</f>
        <v>Africa</v>
      </c>
      <c r="AC1996" s="14" t="str">
        <f>IFERROR(__xludf.DUMMYFUNCTION("""COMPUTED_VALUE"""),"Rwanda-Africa")</f>
        <v>Rwanda-Africa</v>
      </c>
      <c r="AD1996" s="14" t="str">
        <f>IFERROR(__xludf.DUMMYFUNCTION("""COMPUTED_VALUE"""),"2008")</f>
        <v>2008</v>
      </c>
      <c r="AE1996" s="14"/>
      <c r="AF1996" s="14">
        <f>IFERROR(__xludf.DUMMYFUNCTION("""COMPUTED_VALUE"""),557.0)</f>
        <v>557</v>
      </c>
    </row>
    <row r="1997">
      <c r="A1997" s="12">
        <v>1996.0</v>
      </c>
      <c r="B1997" s="12" t="s">
        <v>232</v>
      </c>
      <c r="C1997" s="5" t="s">
        <v>77</v>
      </c>
      <c r="D1997" s="11">
        <v>0.369</v>
      </c>
      <c r="E1997" s="11">
        <v>16.0</v>
      </c>
      <c r="F1997" s="8"/>
      <c r="G1997" s="11">
        <v>168.0</v>
      </c>
      <c r="H1997" s="8"/>
      <c r="I1997" s="11">
        <v>0.033</v>
      </c>
      <c r="J1997" s="9" t="s">
        <v>67</v>
      </c>
      <c r="K1997" s="14" t="str">
        <f>IFERROR(__xludf.DUMMYFUNCTION("ARRAYFORMULA(VLOOKUP(A1997,IMPORTRANGE(""https://docs.google.com/spreadsheets/d/1BuTWp7qHGjWhqrnf-OmePP568O4A5Am9ttzvVdP67zw/edit#gid=1603210130"", ""TOURISM!$A$2:$F$2692""), {2,3,4,5,6},0))"),"Africa")</f>
        <v>Africa</v>
      </c>
      <c r="L1997" s="14">
        <f>IFERROR(__xludf.DUMMYFUNCTION("""COMPUTED_VALUE"""),1.48E8)</f>
        <v>148000000</v>
      </c>
      <c r="M1997" s="14" t="str">
        <f>IFERROR(__xludf.DUMMYFUNCTION("""COMPUTED_VALUE"""),"Rwanda-Africa")</f>
        <v>Rwanda-Africa</v>
      </c>
      <c r="N1997" s="14" t="str">
        <f>IFERROR(__xludf.DUMMYFUNCTION("""COMPUTED_VALUE"""),"2006")</f>
        <v>2006</v>
      </c>
      <c r="O1997" s="14">
        <f>IFERROR(__xludf.DUMMYFUNCTION("""COMPUTED_VALUE"""),8.4E7)</f>
        <v>84000000</v>
      </c>
      <c r="P1997" s="15">
        <f>IFERROR(__xludf.DUMMYFUNCTION("ARRAYFORMULA(VLOOKUP(A1997,IMPORTRANGE(""https://docs.google.com/spreadsheets/d/1BuTWp7qHGjWhqrnf-OmePP568O4A5Am9ttzvVdP67zw/edit#gid=771602874"" ,""HUMAN RESOURCES!$A$2:$M$2692""), {2,3,4,5,6,7,8,9,10,11,12,13},0))"),0.038)</f>
        <v>0.038</v>
      </c>
      <c r="Q1997" s="14">
        <f>IFERROR(__xludf.DUMMYFUNCTION("""COMPUTED_VALUE"""),0.061)</f>
        <v>0.061</v>
      </c>
      <c r="R1997" s="14">
        <f>IFERROR(__xludf.DUMMYFUNCTION("""COMPUTED_VALUE"""),58.0)</f>
        <v>58</v>
      </c>
      <c r="S1997" s="14">
        <f>IFERROR(__xludf.DUMMYFUNCTION("""COMPUTED_VALUE"""),56.0)</f>
        <v>56</v>
      </c>
      <c r="T1997" s="14">
        <f>IFERROR(__xludf.DUMMYFUNCTION("""COMPUTED_VALUE"""),0.442)</f>
        <v>0.442</v>
      </c>
      <c r="U1997" s="14">
        <f>IFERROR(__xludf.DUMMYFUNCTION("""COMPUTED_VALUE"""),0.533)</f>
        <v>0.533</v>
      </c>
      <c r="V1997" s="14">
        <f>IFERROR(__xludf.DUMMYFUNCTION("""COMPUTED_VALUE"""),0.024)</f>
        <v>0.024</v>
      </c>
      <c r="W1997" s="14">
        <f>IFERROR(__xludf.DUMMYFUNCTION("""COMPUTED_VALUE"""),9660946.0)</f>
        <v>9660946</v>
      </c>
      <c r="X1997" s="14">
        <f>IFERROR(__xludf.DUMMYFUNCTION("""COMPUTED_VALUE"""),0.202)</f>
        <v>0.202</v>
      </c>
      <c r="Y1997" s="14" t="str">
        <f>IFERROR(__xludf.DUMMYFUNCTION("""COMPUTED_VALUE"""),"Rwanda-Africa")</f>
        <v>Rwanda-Africa</v>
      </c>
      <c r="Z1997" s="14" t="str">
        <f>IFERROR(__xludf.DUMMYFUNCTION("""COMPUTED_VALUE"""),"Africa")</f>
        <v>Africa</v>
      </c>
      <c r="AA1997" s="14" t="str">
        <f>IFERROR(__xludf.DUMMYFUNCTION("""COMPUTED_VALUE"""),"2006")</f>
        <v>2006</v>
      </c>
      <c r="AB1997" s="15" t="str">
        <f>IFERROR(__xludf.DUMMYFUNCTION("ARRAYFORMULA(VLOOKUP(A1997,IMPORTRANGE(""https://docs.google.com/spreadsheets/d/1BuTWp7qHGjWhqrnf-OmePP568O4A5Am9ttzvVdP67zw/edit#gid=1931367683"" ,""ENERGY!$A$2:$F$2692""), {2,3,4,5,6},0))"),"Africa")</f>
        <v>Africa</v>
      </c>
      <c r="AC1997" s="14" t="str">
        <f>IFERROR(__xludf.DUMMYFUNCTION("""COMPUTED_VALUE"""),"Rwanda-Africa")</f>
        <v>Rwanda-Africa</v>
      </c>
      <c r="AD1997" s="14" t="str">
        <f>IFERROR(__xludf.DUMMYFUNCTION("""COMPUTED_VALUE"""),"2012")</f>
        <v>2012</v>
      </c>
      <c r="AE1997" s="14"/>
      <c r="AF1997" s="14">
        <f>IFERROR(__xludf.DUMMYFUNCTION("""COMPUTED_VALUE"""),528.0)</f>
        <v>528</v>
      </c>
    </row>
    <row r="1998">
      <c r="A1998" s="12">
        <v>1997.0</v>
      </c>
      <c r="B1998" s="12" t="s">
        <v>232</v>
      </c>
      <c r="C1998" s="5" t="s">
        <v>77</v>
      </c>
      <c r="D1998" s="11">
        <v>0.335</v>
      </c>
      <c r="E1998" s="11">
        <v>16.0</v>
      </c>
      <c r="F1998" s="8"/>
      <c r="G1998" s="11">
        <v>168.0</v>
      </c>
      <c r="H1998" s="11">
        <v>0.021</v>
      </c>
      <c r="I1998" s="11">
        <v>0.064</v>
      </c>
      <c r="J1998" s="9" t="s">
        <v>68</v>
      </c>
      <c r="K1998" s="14" t="str">
        <f>IFERROR(__xludf.DUMMYFUNCTION("ARRAYFORMULA(VLOOKUP(A1998,IMPORTRANGE(""https://docs.google.com/spreadsheets/d/1BuTWp7qHGjWhqrnf-OmePP568O4A5Am9ttzvVdP67zw/edit#gid=1603210130"", ""TOURISM!$A$2:$F$2692""), {2,3,4,5,6},0))"),"Africa")</f>
        <v>Africa</v>
      </c>
      <c r="L1998" s="14">
        <f>IFERROR(__xludf.DUMMYFUNCTION("""COMPUTED_VALUE"""),1.77E8)</f>
        <v>177000000</v>
      </c>
      <c r="M1998" s="14" t="str">
        <f>IFERROR(__xludf.DUMMYFUNCTION("""COMPUTED_VALUE"""),"Rwanda-Africa")</f>
        <v>Rwanda-Africa</v>
      </c>
      <c r="N1998" s="14" t="str">
        <f>IFERROR(__xludf.DUMMYFUNCTION("""COMPUTED_VALUE"""),"2007")</f>
        <v>2007</v>
      </c>
      <c r="O1998" s="14">
        <f>IFERROR(__xludf.DUMMYFUNCTION("""COMPUTED_VALUE"""),9.8E7)</f>
        <v>98000000</v>
      </c>
      <c r="P1998" s="15">
        <f>IFERROR(__xludf.DUMMYFUNCTION("ARRAYFORMULA(VLOOKUP(A1998,IMPORTRANGE(""https://docs.google.com/spreadsheets/d/1BuTWp7qHGjWhqrnf-OmePP568O4A5Am9ttzvVdP67zw/edit#gid=771602874"" ,""HUMAN RESOURCES!$A$2:$M$2692""), {2,3,4,5,6,7,8,9,10,11,12,13},0))"),0.038)</f>
        <v>0.038</v>
      </c>
      <c r="Q1998" s="14">
        <f>IFERROR(__xludf.DUMMYFUNCTION("""COMPUTED_VALUE"""),0.055)</f>
        <v>0.055</v>
      </c>
      <c r="R1998" s="14">
        <f>IFERROR(__xludf.DUMMYFUNCTION("""COMPUTED_VALUE"""),60.0)</f>
        <v>60</v>
      </c>
      <c r="S1998" s="14">
        <f>IFERROR(__xludf.DUMMYFUNCTION("""COMPUTED_VALUE"""),57.0)</f>
        <v>57</v>
      </c>
      <c r="T1998" s="14">
        <f>IFERROR(__xludf.DUMMYFUNCTION("""COMPUTED_VALUE"""),0.445)</f>
        <v>0.445</v>
      </c>
      <c r="U1998" s="14">
        <f>IFERROR(__xludf.DUMMYFUNCTION("""COMPUTED_VALUE"""),0.532)</f>
        <v>0.532</v>
      </c>
      <c r="V1998" s="14">
        <f>IFERROR(__xludf.DUMMYFUNCTION("""COMPUTED_VALUE"""),0.024)</f>
        <v>0.024</v>
      </c>
      <c r="W1998" s="14">
        <f>IFERROR(__xludf.DUMMYFUNCTION("""COMPUTED_VALUE"""),9928143.0)</f>
        <v>9928143</v>
      </c>
      <c r="X1998" s="14">
        <f>IFERROR(__xludf.DUMMYFUNCTION("""COMPUTED_VALUE"""),0.211)</f>
        <v>0.211</v>
      </c>
      <c r="Y1998" s="14" t="str">
        <f>IFERROR(__xludf.DUMMYFUNCTION("""COMPUTED_VALUE"""),"Rwanda-Africa")</f>
        <v>Rwanda-Africa</v>
      </c>
      <c r="Z1998" s="14" t="str">
        <f>IFERROR(__xludf.DUMMYFUNCTION("""COMPUTED_VALUE"""),"Africa")</f>
        <v>Africa</v>
      </c>
      <c r="AA1998" s="14" t="str">
        <f>IFERROR(__xludf.DUMMYFUNCTION("""COMPUTED_VALUE"""),"2007")</f>
        <v>2007</v>
      </c>
      <c r="AB1998" s="15" t="str">
        <f>IFERROR(__xludf.DUMMYFUNCTION("ARRAYFORMULA(VLOOKUP(A1998,IMPORTRANGE(""https://docs.google.com/spreadsheets/d/1BuTWp7qHGjWhqrnf-OmePP568O4A5Am9ttzvVdP67zw/edit#gid=1931367683"" ,""ENERGY!$A$2:$F$2692""), {2,3,4,5,6},0))"),"Africa")</f>
        <v>Africa</v>
      </c>
      <c r="AC1998" s="14" t="str">
        <f>IFERROR(__xludf.DUMMYFUNCTION("""COMPUTED_VALUE"""),"Rwanda-Africa")</f>
        <v>Rwanda-Africa</v>
      </c>
      <c r="AD1998" s="14" t="str">
        <f>IFERROR(__xludf.DUMMYFUNCTION("""COMPUTED_VALUE"""),"2010")</f>
        <v>2010</v>
      </c>
      <c r="AE1998" s="14"/>
      <c r="AF1998" s="14">
        <f>IFERROR(__xludf.DUMMYFUNCTION("""COMPUTED_VALUE"""),528.0)</f>
        <v>528</v>
      </c>
    </row>
    <row r="1999">
      <c r="A1999" s="12">
        <v>1998.0</v>
      </c>
      <c r="B1999" s="12" t="s">
        <v>232</v>
      </c>
      <c r="C1999" s="5" t="s">
        <v>77</v>
      </c>
      <c r="D1999" s="11">
        <v>0.334</v>
      </c>
      <c r="E1999" s="11">
        <v>14.0</v>
      </c>
      <c r="F1999" s="8"/>
      <c r="G1999" s="11">
        <v>160.0</v>
      </c>
      <c r="H1999" s="11">
        <v>0.045</v>
      </c>
      <c r="I1999" s="11">
        <v>0.129</v>
      </c>
      <c r="J1999" s="9" t="s">
        <v>69</v>
      </c>
      <c r="K1999" s="14" t="str">
        <f>IFERROR(__xludf.DUMMYFUNCTION("ARRAYFORMULA(VLOOKUP(A1999,IMPORTRANGE(""https://docs.google.com/spreadsheets/d/1BuTWp7qHGjWhqrnf-OmePP568O4A5Am9ttzvVdP67zw/edit#gid=1603210130"", ""TOURISM!$A$2:$F$2692""), {2,3,4,5,6},0))"),"Africa")</f>
        <v>Africa</v>
      </c>
      <c r="L1999" s="14">
        <f>IFERROR(__xludf.DUMMYFUNCTION("""COMPUTED_VALUE"""),2.24E8)</f>
        <v>224000000</v>
      </c>
      <c r="M1999" s="14" t="str">
        <f>IFERROR(__xludf.DUMMYFUNCTION("""COMPUTED_VALUE"""),"Rwanda-Africa")</f>
        <v>Rwanda-Africa</v>
      </c>
      <c r="N1999" s="14" t="str">
        <f>IFERROR(__xludf.DUMMYFUNCTION("""COMPUTED_VALUE"""),"2008")</f>
        <v>2008</v>
      </c>
      <c r="O1999" s="14">
        <f>IFERROR(__xludf.DUMMYFUNCTION("""COMPUTED_VALUE"""),1.46E8)</f>
        <v>146000000</v>
      </c>
      <c r="P1999" s="15">
        <f>IFERROR(__xludf.DUMMYFUNCTION("ARRAYFORMULA(VLOOKUP(A1999,IMPORTRANGE(""https://docs.google.com/spreadsheets/d/1BuTWp7qHGjWhqrnf-OmePP568O4A5Am9ttzvVdP67zw/edit#gid=771602874"" ,""HUMAN RESOURCES!$A$2:$M$2692""), {2,3,4,5,6,7,8,9,10,11,12,13},0))"),0.038)</f>
        <v>0.038</v>
      </c>
      <c r="Q1999" s="14">
        <f>IFERROR(__xludf.DUMMYFUNCTION("""COMPUTED_VALUE"""),0.05)</f>
        <v>0.05</v>
      </c>
      <c r="R1999" s="14">
        <f>IFERROR(__xludf.DUMMYFUNCTION("""COMPUTED_VALUE"""),61.0)</f>
        <v>61</v>
      </c>
      <c r="S1999" s="14">
        <f>IFERROR(__xludf.DUMMYFUNCTION("""COMPUTED_VALUE"""),59.0)</f>
        <v>59</v>
      </c>
      <c r="T1999" s="14">
        <f>IFERROR(__xludf.DUMMYFUNCTION("""COMPUTED_VALUE"""),0.447)</f>
        <v>0.447</v>
      </c>
      <c r="U1999" s="14">
        <f>IFERROR(__xludf.DUMMYFUNCTION("""COMPUTED_VALUE"""),0.53)</f>
        <v>0.53</v>
      </c>
      <c r="V1999" s="14">
        <f>IFERROR(__xludf.DUMMYFUNCTION("""COMPUTED_VALUE"""),0.023)</f>
        <v>0.023</v>
      </c>
      <c r="W1999" s="14">
        <f>IFERROR(__xludf.DUMMYFUNCTION("""COMPUTED_VALUE"""),1.0222961E7)</f>
        <v>10222961</v>
      </c>
      <c r="X1999" s="14">
        <f>IFERROR(__xludf.DUMMYFUNCTION("""COMPUTED_VALUE"""),0.22)</f>
        <v>0.22</v>
      </c>
      <c r="Y1999" s="14" t="str">
        <f>IFERROR(__xludf.DUMMYFUNCTION("""COMPUTED_VALUE"""),"Rwanda-Africa")</f>
        <v>Rwanda-Africa</v>
      </c>
      <c r="Z1999" s="14" t="str">
        <f>IFERROR(__xludf.DUMMYFUNCTION("""COMPUTED_VALUE"""),"Africa")</f>
        <v>Africa</v>
      </c>
      <c r="AA1999" s="14" t="str">
        <f>IFERROR(__xludf.DUMMYFUNCTION("""COMPUTED_VALUE"""),"2008")</f>
        <v>2008</v>
      </c>
      <c r="AB1999" s="15" t="str">
        <f>IFERROR(__xludf.DUMMYFUNCTION("ARRAYFORMULA(VLOOKUP(A1999,IMPORTRANGE(""https://docs.google.com/spreadsheets/d/1BuTWp7qHGjWhqrnf-OmePP568O4A5Am9ttzvVdP67zw/edit#gid=1931367683"" ,""ENERGY!$A$2:$F$2692""), {2,3,4,5,6},0))"),"Africa")</f>
        <v>Africa</v>
      </c>
      <c r="AC1999" s="14" t="str">
        <f>IFERROR(__xludf.DUMMYFUNCTION("""COMPUTED_VALUE"""),"Rwanda-Africa")</f>
        <v>Rwanda-Africa</v>
      </c>
      <c r="AD1999" s="14" t="str">
        <f>IFERROR(__xludf.DUMMYFUNCTION("""COMPUTED_VALUE"""),"2007")</f>
        <v>2007</v>
      </c>
      <c r="AE1999" s="14"/>
      <c r="AF1999" s="14">
        <f>IFERROR(__xludf.DUMMYFUNCTION("""COMPUTED_VALUE"""),689.0)</f>
        <v>689</v>
      </c>
    </row>
    <row r="2000">
      <c r="A2000" s="12">
        <v>1999.0</v>
      </c>
      <c r="B2000" s="12" t="s">
        <v>232</v>
      </c>
      <c r="C2000" s="5" t="s">
        <v>77</v>
      </c>
      <c r="D2000" s="11">
        <v>0.31</v>
      </c>
      <c r="E2000" s="11">
        <v>3.0</v>
      </c>
      <c r="F2000" s="8"/>
      <c r="G2000" s="11">
        <v>160.0</v>
      </c>
      <c r="H2000" s="11">
        <v>0.077</v>
      </c>
      <c r="I2000" s="11">
        <v>0.231</v>
      </c>
      <c r="J2000" s="9" t="s">
        <v>70</v>
      </c>
      <c r="K2000" s="14" t="str">
        <f>IFERROR(__xludf.DUMMYFUNCTION("ARRAYFORMULA(VLOOKUP(A2000,IMPORTRANGE(""https://docs.google.com/spreadsheets/d/1BuTWp7qHGjWhqrnf-OmePP568O4A5Am9ttzvVdP67zw/edit#gid=1603210130"", ""TOURISM!$A$2:$F$2692""), {2,3,4,5,6},0))"),"Africa")</f>
        <v>Africa</v>
      </c>
      <c r="L2000" s="14">
        <f>IFERROR(__xludf.DUMMYFUNCTION("""COMPUTED_VALUE"""),2.23E8)</f>
        <v>223000000</v>
      </c>
      <c r="M2000" s="14" t="str">
        <f>IFERROR(__xludf.DUMMYFUNCTION("""COMPUTED_VALUE"""),"Rwanda-Africa")</f>
        <v>Rwanda-Africa</v>
      </c>
      <c r="N2000" s="14" t="str">
        <f>IFERROR(__xludf.DUMMYFUNCTION("""COMPUTED_VALUE"""),"2009")</f>
        <v>2009</v>
      </c>
      <c r="O2000" s="14">
        <f>IFERROR(__xludf.DUMMYFUNCTION("""COMPUTED_VALUE"""),1.48E8)</f>
        <v>148000000</v>
      </c>
      <c r="P2000" s="15">
        <f>IFERROR(__xludf.DUMMYFUNCTION("ARRAYFORMULA(VLOOKUP(A2000,IMPORTRANGE(""https://docs.google.com/spreadsheets/d/1BuTWp7qHGjWhqrnf-OmePP568O4A5Am9ttzvVdP67zw/edit#gid=771602874"" ,""HUMAN RESOURCES!$A$2:$M$2692""), {2,3,4,5,6,7,8,9,10,11,12,13},0))"),0.037)</f>
        <v>0.037</v>
      </c>
      <c r="Q2000" s="14">
        <f>IFERROR(__xludf.DUMMYFUNCTION("""COMPUTED_VALUE"""),0.047)</f>
        <v>0.047</v>
      </c>
      <c r="R2000" s="14">
        <f>IFERROR(__xludf.DUMMYFUNCTION("""COMPUTED_VALUE"""),63.0)</f>
        <v>63</v>
      </c>
      <c r="S2000" s="14">
        <f>IFERROR(__xludf.DUMMYFUNCTION("""COMPUTED_VALUE"""),60.0)</f>
        <v>60</v>
      </c>
      <c r="T2000" s="14">
        <f>IFERROR(__xludf.DUMMYFUNCTION("""COMPUTED_VALUE"""),0.448)</f>
        <v>0.448</v>
      </c>
      <c r="U2000" s="14">
        <f>IFERROR(__xludf.DUMMYFUNCTION("""COMPUTED_VALUE"""),0.529)</f>
        <v>0.529</v>
      </c>
      <c r="V2000" s="14">
        <f>IFERROR(__xludf.DUMMYFUNCTION("""COMPUTED_VALUE"""),0.023)</f>
        <v>0.023</v>
      </c>
      <c r="W2000" s="14">
        <f>IFERROR(__xludf.DUMMYFUNCTION("""COMPUTED_VALUE"""),1.0529668E7)</f>
        <v>10529668</v>
      </c>
      <c r="X2000" s="14">
        <f>IFERROR(__xludf.DUMMYFUNCTION("""COMPUTED_VALUE"""),0.23)</f>
        <v>0.23</v>
      </c>
      <c r="Y2000" s="14" t="str">
        <f>IFERROR(__xludf.DUMMYFUNCTION("""COMPUTED_VALUE"""),"Rwanda-Africa")</f>
        <v>Rwanda-Africa</v>
      </c>
      <c r="Z2000" s="14" t="str">
        <f>IFERROR(__xludf.DUMMYFUNCTION("""COMPUTED_VALUE"""),"Africa")</f>
        <v>Africa</v>
      </c>
      <c r="AA2000" s="14" t="str">
        <f>IFERROR(__xludf.DUMMYFUNCTION("""COMPUTED_VALUE"""),"2009")</f>
        <v>2009</v>
      </c>
      <c r="AB2000" s="15" t="str">
        <f>IFERROR(__xludf.DUMMYFUNCTION("ARRAYFORMULA(VLOOKUP(A2000,IMPORTRANGE(""https://docs.google.com/spreadsheets/d/1BuTWp7qHGjWhqrnf-OmePP568O4A5Am9ttzvVdP67zw/edit#gid=1931367683"" ,""ENERGY!$A$2:$F$2692""), {2,3,4,5,6},0))"),"Africa")</f>
        <v>Africa</v>
      </c>
      <c r="AC2000" s="14" t="str">
        <f>IFERROR(__xludf.DUMMYFUNCTION("""COMPUTED_VALUE"""),"Rwanda-Africa")</f>
        <v>Rwanda-Africa</v>
      </c>
      <c r="AD2000" s="14" t="str">
        <f>IFERROR(__xludf.DUMMYFUNCTION("""COMPUTED_VALUE"""),"2011")</f>
        <v>2011</v>
      </c>
      <c r="AE2000" s="14"/>
      <c r="AF2000" s="14">
        <f>IFERROR(__xludf.DUMMYFUNCTION("""COMPUTED_VALUE"""),682.0)</f>
        <v>682</v>
      </c>
    </row>
    <row r="2001">
      <c r="A2001" s="12">
        <v>2000.0</v>
      </c>
      <c r="B2001" s="12" t="s">
        <v>232</v>
      </c>
      <c r="C2001" s="5" t="s">
        <v>77</v>
      </c>
      <c r="D2001" s="11">
        <v>0.31</v>
      </c>
      <c r="E2001" s="11">
        <v>3.0</v>
      </c>
      <c r="F2001" s="8"/>
      <c r="G2001" s="11">
        <v>148.0</v>
      </c>
      <c r="H2001" s="11">
        <v>0.08</v>
      </c>
      <c r="I2001" s="11">
        <v>0.327</v>
      </c>
      <c r="J2001" s="9" t="s">
        <v>71</v>
      </c>
      <c r="K2001" s="14" t="str">
        <f>IFERROR(__xludf.DUMMYFUNCTION("ARRAYFORMULA(VLOOKUP(A2001,IMPORTRANGE(""https://docs.google.com/spreadsheets/d/1BuTWp7qHGjWhqrnf-OmePP568O4A5Am9ttzvVdP67zw/edit#gid=1603210130"", ""TOURISM!$A$2:$F$2692""), {2,3,4,5,6},0))"),"Africa")</f>
        <v>Africa</v>
      </c>
      <c r="L2001" s="14">
        <f>IFERROR(__xludf.DUMMYFUNCTION("""COMPUTED_VALUE"""),2.24E8)</f>
        <v>224000000</v>
      </c>
      <c r="M2001" s="14" t="str">
        <f>IFERROR(__xludf.DUMMYFUNCTION("""COMPUTED_VALUE"""),"Rwanda-Africa")</f>
        <v>Rwanda-Africa</v>
      </c>
      <c r="N2001" s="14" t="str">
        <f>IFERROR(__xludf.DUMMYFUNCTION("""COMPUTED_VALUE"""),"2010")</f>
        <v>2010</v>
      </c>
      <c r="O2001" s="14">
        <f>IFERROR(__xludf.DUMMYFUNCTION("""COMPUTED_VALUE"""),1.2E8)</f>
        <v>120000000</v>
      </c>
      <c r="P2001" s="15">
        <f>IFERROR(__xludf.DUMMYFUNCTION("ARRAYFORMULA(VLOOKUP(A2001,IMPORTRANGE(""https://docs.google.com/spreadsheets/d/1BuTWp7qHGjWhqrnf-OmePP568O4A5Am9ttzvVdP67zw/edit#gid=771602874"" ,""HUMAN RESOURCES!$A$2:$M$2692""), {2,3,4,5,6,7,8,9,10,11,12,13},0))"),0.037)</f>
        <v>0.037</v>
      </c>
      <c r="Q2001" s="14">
        <f>IFERROR(__xludf.DUMMYFUNCTION("""COMPUTED_VALUE"""),0.044)</f>
        <v>0.044</v>
      </c>
      <c r="R2001" s="14">
        <f>IFERROR(__xludf.DUMMYFUNCTION("""COMPUTED_VALUE"""),64.0)</f>
        <v>64</v>
      </c>
      <c r="S2001" s="14">
        <f>IFERROR(__xludf.DUMMYFUNCTION("""COMPUTED_VALUE"""),61.0)</f>
        <v>61</v>
      </c>
      <c r="T2001" s="14">
        <f>IFERROR(__xludf.DUMMYFUNCTION("""COMPUTED_VALUE"""),0.447)</f>
        <v>0.447</v>
      </c>
      <c r="U2001" s="14">
        <f>IFERROR(__xludf.DUMMYFUNCTION("""COMPUTED_VALUE"""),0.53)</f>
        <v>0.53</v>
      </c>
      <c r="V2001" s="14">
        <f>IFERROR(__xludf.DUMMYFUNCTION("""COMPUTED_VALUE"""),0.023)</f>
        <v>0.023</v>
      </c>
      <c r="W2001" s="14">
        <f>IFERROR(__xludf.DUMMYFUNCTION("""COMPUTED_VALUE"""),1.0836732E7)</f>
        <v>10836732</v>
      </c>
      <c r="X2001" s="14">
        <f>IFERROR(__xludf.DUMMYFUNCTION("""COMPUTED_VALUE"""),0.24)</f>
        <v>0.24</v>
      </c>
      <c r="Y2001" s="14" t="str">
        <f>IFERROR(__xludf.DUMMYFUNCTION("""COMPUTED_VALUE"""),"Rwanda-Africa")</f>
        <v>Rwanda-Africa</v>
      </c>
      <c r="Z2001" s="14" t="str">
        <f>IFERROR(__xludf.DUMMYFUNCTION("""COMPUTED_VALUE"""),"Africa")</f>
        <v>Africa</v>
      </c>
      <c r="AA2001" s="14" t="str">
        <f>IFERROR(__xludf.DUMMYFUNCTION("""COMPUTED_VALUE"""),"2010")</f>
        <v>2010</v>
      </c>
      <c r="AB2001" s="15" t="str">
        <f>IFERROR(__xludf.DUMMYFUNCTION("ARRAYFORMULA(VLOOKUP(A2001,IMPORTRANGE(""https://docs.google.com/spreadsheets/d/1BuTWp7qHGjWhqrnf-OmePP568O4A5Am9ttzvVdP67zw/edit#gid=1931367683"" ,""ENERGY!$A$2:$F$2692""), {2,3,4,5,6},0))"),"Africa")</f>
        <v>Africa</v>
      </c>
      <c r="AC2001" s="14" t="str">
        <f>IFERROR(__xludf.DUMMYFUNCTION("""COMPUTED_VALUE"""),"Rwanda-Africa")</f>
        <v>Rwanda-Africa</v>
      </c>
      <c r="AD2001" s="14" t="str">
        <f>IFERROR(__xludf.DUMMYFUNCTION("""COMPUTED_VALUE"""),"2007")</f>
        <v>2007</v>
      </c>
      <c r="AE2001" s="14"/>
      <c r="AF2001" s="14">
        <f>IFERROR(__xludf.DUMMYFUNCTION("""COMPUTED_VALUE"""),689.0)</f>
        <v>689</v>
      </c>
    </row>
    <row r="2002">
      <c r="A2002" s="12">
        <v>2001.0</v>
      </c>
      <c r="B2002" s="12" t="s">
        <v>232</v>
      </c>
      <c r="C2002" s="5" t="s">
        <v>77</v>
      </c>
      <c r="D2002" s="11">
        <v>0.31</v>
      </c>
      <c r="E2002" s="11">
        <v>3.0</v>
      </c>
      <c r="F2002" s="8"/>
      <c r="G2002" s="11">
        <v>148.0</v>
      </c>
      <c r="H2002" s="11">
        <v>0.07</v>
      </c>
      <c r="I2002" s="11">
        <v>0.399</v>
      </c>
      <c r="J2002" s="9" t="s">
        <v>72</v>
      </c>
      <c r="K2002" s="14" t="str">
        <f>IFERROR(__xludf.DUMMYFUNCTION("ARRAYFORMULA(VLOOKUP(A2002,IMPORTRANGE(""https://docs.google.com/spreadsheets/d/1BuTWp7qHGjWhqrnf-OmePP568O4A5Am9ttzvVdP67zw/edit#gid=1603210130"", ""TOURISM!$A$2:$F$2692""), {2,3,4,5,6},0))"),"Africa")</f>
        <v>Africa</v>
      </c>
      <c r="L2002" s="14">
        <f>IFERROR(__xludf.DUMMYFUNCTION("""COMPUTED_VALUE"""),2.98E8)</f>
        <v>298000000</v>
      </c>
      <c r="M2002" s="14" t="str">
        <f>IFERROR(__xludf.DUMMYFUNCTION("""COMPUTED_VALUE"""),"Rwanda-Africa")</f>
        <v>Rwanda-Africa</v>
      </c>
      <c r="N2002" s="14" t="str">
        <f>IFERROR(__xludf.DUMMYFUNCTION("""COMPUTED_VALUE"""),"2011")</f>
        <v>2011</v>
      </c>
      <c r="O2002" s="14">
        <f>IFERROR(__xludf.DUMMYFUNCTION("""COMPUTED_VALUE"""),1.47E8)</f>
        <v>147000000</v>
      </c>
      <c r="P2002" s="15">
        <f>IFERROR(__xludf.DUMMYFUNCTION("ARRAYFORMULA(VLOOKUP(A2002,IMPORTRANGE(""https://docs.google.com/spreadsheets/d/1BuTWp7qHGjWhqrnf-OmePP568O4A5Am9ttzvVdP67zw/edit#gid=771602874"" ,""HUMAN RESOURCES!$A$2:$M$2692""), {2,3,4,5,6,7,8,9,10,11,12,13},0))"),0.036)</f>
        <v>0.036</v>
      </c>
      <c r="Q2002" s="14">
        <f>IFERROR(__xludf.DUMMYFUNCTION("""COMPUTED_VALUE"""),0.041)</f>
        <v>0.041</v>
      </c>
      <c r="R2002" s="14">
        <f>IFERROR(__xludf.DUMMYFUNCTION("""COMPUTED_VALUE"""),65.0)</f>
        <v>65</v>
      </c>
      <c r="S2002" s="14">
        <f>IFERROR(__xludf.DUMMYFUNCTION("""COMPUTED_VALUE"""),61.0)</f>
        <v>61</v>
      </c>
      <c r="T2002" s="14">
        <f>IFERROR(__xludf.DUMMYFUNCTION("""COMPUTED_VALUE"""),0.442)</f>
        <v>0.442</v>
      </c>
      <c r="U2002" s="14">
        <f>IFERROR(__xludf.DUMMYFUNCTION("""COMPUTED_VALUE"""),0.535)</f>
        <v>0.535</v>
      </c>
      <c r="V2002" s="14">
        <f>IFERROR(__xludf.DUMMYFUNCTION("""COMPUTED_VALUE"""),0.023)</f>
        <v>0.023</v>
      </c>
      <c r="W2002" s="14">
        <f>IFERROR(__xludf.DUMMYFUNCTION("""COMPUTED_VALUE"""),1.1144315E7)</f>
        <v>11144315</v>
      </c>
      <c r="X2002" s="14">
        <f>IFERROR(__xludf.DUMMYFUNCTION("""COMPUTED_VALUE"""),0.249)</f>
        <v>0.249</v>
      </c>
      <c r="Y2002" s="14" t="str">
        <f>IFERROR(__xludf.DUMMYFUNCTION("""COMPUTED_VALUE"""),"Rwanda-Africa")</f>
        <v>Rwanda-Africa</v>
      </c>
      <c r="Z2002" s="14" t="str">
        <f>IFERROR(__xludf.DUMMYFUNCTION("""COMPUTED_VALUE"""),"Africa")</f>
        <v>Africa</v>
      </c>
      <c r="AA2002" s="14" t="str">
        <f>IFERROR(__xludf.DUMMYFUNCTION("""COMPUTED_VALUE"""),"2011")</f>
        <v>2011</v>
      </c>
      <c r="AB2002" s="15" t="str">
        <f>IFERROR(__xludf.DUMMYFUNCTION("ARRAYFORMULA(VLOOKUP(A2002,IMPORTRANGE(""https://docs.google.com/spreadsheets/d/1BuTWp7qHGjWhqrnf-OmePP568O4A5Am9ttzvVdP67zw/edit#gid=1931367683"" ,""ENERGY!$A$2:$F$2692""), {2,3,4,5,6},0))"),"Africa")</f>
        <v>Africa</v>
      </c>
      <c r="AC2002" s="14" t="str">
        <f>IFERROR(__xludf.DUMMYFUNCTION("""COMPUTED_VALUE"""),"Rwanda-Africa")</f>
        <v>Rwanda-Africa</v>
      </c>
      <c r="AD2002" s="14" t="str">
        <f>IFERROR(__xludf.DUMMYFUNCTION("""COMPUTED_VALUE"""),"2007")</f>
        <v>2007</v>
      </c>
      <c r="AE2002" s="14"/>
      <c r="AF2002" s="14">
        <f>IFERROR(__xludf.DUMMYFUNCTION("""COMPUTED_VALUE"""),689.0)</f>
        <v>689</v>
      </c>
    </row>
    <row r="2003">
      <c r="A2003" s="12">
        <v>2002.0</v>
      </c>
      <c r="B2003" s="12" t="s">
        <v>232</v>
      </c>
      <c r="C2003" s="5" t="s">
        <v>77</v>
      </c>
      <c r="D2003" s="11">
        <v>0.308</v>
      </c>
      <c r="E2003" s="11">
        <v>3.0</v>
      </c>
      <c r="F2003" s="11">
        <v>54.0</v>
      </c>
      <c r="G2003" s="11">
        <v>134.0</v>
      </c>
      <c r="H2003" s="11">
        <v>0.08</v>
      </c>
      <c r="I2003" s="11">
        <v>0.497</v>
      </c>
      <c r="J2003" s="9" t="s">
        <v>73</v>
      </c>
      <c r="K2003" s="14" t="str">
        <f>IFERROR(__xludf.DUMMYFUNCTION("ARRAYFORMULA(VLOOKUP(A2003,IMPORTRANGE(""https://docs.google.com/spreadsheets/d/1BuTWp7qHGjWhqrnf-OmePP568O4A5Am9ttzvVdP67zw/edit#gid=1603210130"", ""TOURISM!$A$2:$F$2692""), {2,3,4,5,6},0))"),"Africa")</f>
        <v>Africa</v>
      </c>
      <c r="L2003" s="14">
        <f>IFERROR(__xludf.DUMMYFUNCTION("""COMPUTED_VALUE"""),3.37E8)</f>
        <v>337000000</v>
      </c>
      <c r="M2003" s="14" t="str">
        <f>IFERROR(__xludf.DUMMYFUNCTION("""COMPUTED_VALUE"""),"Rwanda-Africa")</f>
        <v>Rwanda-Africa</v>
      </c>
      <c r="N2003" s="14" t="str">
        <f>IFERROR(__xludf.DUMMYFUNCTION("""COMPUTED_VALUE"""),"2012")</f>
        <v>2012</v>
      </c>
      <c r="O2003" s="14">
        <f>IFERROR(__xludf.DUMMYFUNCTION("""COMPUTED_VALUE"""),1.33E8)</f>
        <v>133000000</v>
      </c>
      <c r="P2003" s="15">
        <f>IFERROR(__xludf.DUMMYFUNCTION("ARRAYFORMULA(VLOOKUP(A2003,IMPORTRANGE(""https://docs.google.com/spreadsheets/d/1BuTWp7qHGjWhqrnf-OmePP568O4A5Am9ttzvVdP67zw/edit#gid=771602874"" ,""HUMAN RESOURCES!$A$2:$M$2692""), {2,3,4,5,6,7,8,9,10,11,12,13},0))"),0.036)</f>
        <v>0.036</v>
      </c>
      <c r="Q2003" s="14">
        <f>IFERROR(__xludf.DUMMYFUNCTION("""COMPUTED_VALUE"""),0.039)</f>
        <v>0.039</v>
      </c>
      <c r="R2003" s="14">
        <f>IFERROR(__xludf.DUMMYFUNCTION("""COMPUTED_VALUE"""),65.0)</f>
        <v>65</v>
      </c>
      <c r="S2003" s="14">
        <f>IFERROR(__xludf.DUMMYFUNCTION("""COMPUTED_VALUE"""),62.0)</f>
        <v>62</v>
      </c>
      <c r="T2003" s="14">
        <f>IFERROR(__xludf.DUMMYFUNCTION("""COMPUTED_VALUE"""),0.436)</f>
        <v>0.436</v>
      </c>
      <c r="U2003" s="14">
        <f>IFERROR(__xludf.DUMMYFUNCTION("""COMPUTED_VALUE"""),0.541)</f>
        <v>0.541</v>
      </c>
      <c r="V2003" s="14">
        <f>IFERROR(__xludf.DUMMYFUNCTION("""COMPUTED_VALUE"""),0.023)</f>
        <v>0.023</v>
      </c>
      <c r="W2003" s="14">
        <f>IFERROR(__xludf.DUMMYFUNCTION("""COMPUTED_VALUE"""),1.1457801E7)</f>
        <v>11457801</v>
      </c>
      <c r="X2003" s="14">
        <f>IFERROR(__xludf.DUMMYFUNCTION("""COMPUTED_VALUE"""),0.259)</f>
        <v>0.259</v>
      </c>
      <c r="Y2003" s="14" t="str">
        <f>IFERROR(__xludf.DUMMYFUNCTION("""COMPUTED_VALUE"""),"Rwanda-Africa")</f>
        <v>Rwanda-Africa</v>
      </c>
      <c r="Z2003" s="14" t="str">
        <f>IFERROR(__xludf.DUMMYFUNCTION("""COMPUTED_VALUE"""),"Africa")</f>
        <v>Africa</v>
      </c>
      <c r="AA2003" s="14" t="str">
        <f>IFERROR(__xludf.DUMMYFUNCTION("""COMPUTED_VALUE"""),"2012")</f>
        <v>2012</v>
      </c>
      <c r="AB2003" s="15" t="str">
        <f>IFERROR(__xludf.DUMMYFUNCTION("ARRAYFORMULA(VLOOKUP(A2003,IMPORTRANGE(""https://docs.google.com/spreadsheets/d/1BuTWp7qHGjWhqrnf-OmePP568O4A5Am9ttzvVdP67zw/edit#gid=1931367683"" ,""ENERGY!$A$2:$F$2692""), {2,3,4,5,6},0))"),"Africa")</f>
        <v>Africa</v>
      </c>
      <c r="AC2003" s="14" t="str">
        <f>IFERROR(__xludf.DUMMYFUNCTION("""COMPUTED_VALUE"""),"Rwanda-Africa")</f>
        <v>Rwanda-Africa</v>
      </c>
      <c r="AD2003" s="14" t="str">
        <f>IFERROR(__xludf.DUMMYFUNCTION("""COMPUTED_VALUE"""),"2011")</f>
        <v>2011</v>
      </c>
      <c r="AE2003" s="14"/>
      <c r="AF2003" s="14">
        <f>IFERROR(__xludf.DUMMYFUNCTION("""COMPUTED_VALUE"""),686.0)</f>
        <v>686</v>
      </c>
    </row>
    <row r="2004">
      <c r="A2004" s="12">
        <v>2003.0</v>
      </c>
      <c r="B2004" s="12" t="s">
        <v>233</v>
      </c>
      <c r="C2004" s="5" t="s">
        <v>80</v>
      </c>
      <c r="D2004" s="8"/>
      <c r="E2004" s="8"/>
      <c r="F2004" s="8"/>
      <c r="G2004" s="8"/>
      <c r="H2004" s="11">
        <v>0.006</v>
      </c>
      <c r="I2004" s="11">
        <v>0.014</v>
      </c>
      <c r="J2004" s="9" t="s">
        <v>60</v>
      </c>
      <c r="K2004" s="14" t="str">
        <f>IFERROR(__xludf.DUMMYFUNCTION("ARRAYFORMULA(VLOOKUP(A2004,IMPORTRANGE(""https://docs.google.com/spreadsheets/d/1BuTWp7qHGjWhqrnf-OmePP568O4A5Am9ttzvVdP67zw/edit#gid=1603210130"", ""TOURISM!$A$2:$F$2692""), {2,3,4,5,6},0))"),"Oceania")</f>
        <v>Oceania</v>
      </c>
      <c r="L2004" s="14">
        <f>IFERROR(__xludf.DUMMYFUNCTION("""COMPUTED_VALUE"""),4.1E7)</f>
        <v>41000000</v>
      </c>
      <c r="M2004" s="14" t="str">
        <f>IFERROR(__xludf.DUMMYFUNCTION("""COMPUTED_VALUE"""),"Samoa-Oceania")</f>
        <v>Samoa-Oceania</v>
      </c>
      <c r="N2004" s="14" t="str">
        <f>IFERROR(__xludf.DUMMYFUNCTION("""COMPUTED_VALUE"""),"2000")</f>
        <v>2000</v>
      </c>
      <c r="O2004" s="14"/>
      <c r="P2004" s="15">
        <f>IFERROR(__xludf.DUMMYFUNCTION("ARRAYFORMULA(VLOOKUP(A2004,IMPORTRANGE(""https://docs.google.com/spreadsheets/d/1BuTWp7qHGjWhqrnf-OmePP568O4A5Am9ttzvVdP67zw/edit#gid=771602874"" ,""HUMAN RESOURCES!$A$2:$M$2692""), {2,3,4,5,6,7,8,9,10,11,12,13},0))"),0.031)</f>
        <v>0.031</v>
      </c>
      <c r="Q2004" s="14">
        <f>IFERROR(__xludf.DUMMYFUNCTION("""COMPUTED_VALUE"""),0.019)</f>
        <v>0.019</v>
      </c>
      <c r="R2004" s="14">
        <f>IFERROR(__xludf.DUMMYFUNCTION("""COMPUTED_VALUE"""),73.0)</f>
        <v>73</v>
      </c>
      <c r="S2004" s="14">
        <f>IFERROR(__xludf.DUMMYFUNCTION("""COMPUTED_VALUE"""),66.0)</f>
        <v>66</v>
      </c>
      <c r="T2004" s="14">
        <f>IFERROR(__xludf.DUMMYFUNCTION("""COMPUTED_VALUE"""),0.407)</f>
        <v>0.407</v>
      </c>
      <c r="U2004" s="14">
        <f>IFERROR(__xludf.DUMMYFUNCTION("""COMPUTED_VALUE"""),0.548)</f>
        <v>0.548</v>
      </c>
      <c r="V2004" s="14">
        <f>IFERROR(__xludf.DUMMYFUNCTION("""COMPUTED_VALUE"""),0.045)</f>
        <v>0.045</v>
      </c>
      <c r="W2004" s="14">
        <f>IFERROR(__xludf.DUMMYFUNCTION("""COMPUTED_VALUE"""),174614.0)</f>
        <v>174614</v>
      </c>
      <c r="X2004" s="14">
        <f>IFERROR(__xludf.DUMMYFUNCTION("""COMPUTED_VALUE"""),0.22)</f>
        <v>0.22</v>
      </c>
      <c r="Y2004" s="14" t="str">
        <f>IFERROR(__xludf.DUMMYFUNCTION("""COMPUTED_VALUE"""),"Samoa-Oceania")</f>
        <v>Samoa-Oceania</v>
      </c>
      <c r="Z2004" s="14" t="str">
        <f>IFERROR(__xludf.DUMMYFUNCTION("""COMPUTED_VALUE"""),"Oceania")</f>
        <v>Oceania</v>
      </c>
      <c r="AA2004" s="14" t="str">
        <f>IFERROR(__xludf.DUMMYFUNCTION("""COMPUTED_VALUE"""),"2000")</f>
        <v>2000</v>
      </c>
      <c r="AB2004" s="15" t="str">
        <f>IFERROR(__xludf.DUMMYFUNCTION("ARRAYFORMULA(VLOOKUP(A2004,IMPORTRANGE(""https://docs.google.com/spreadsheets/d/1BuTWp7qHGjWhqrnf-OmePP568O4A5Am9ttzvVdP67zw/edit#gid=1931367683"" ,""ENERGY!$A$2:$F$2692""), {2,3,4,5,6},0))"),"Oceania")</f>
        <v>Oceania</v>
      </c>
      <c r="AC2004" s="14" t="str">
        <f>IFERROR(__xludf.DUMMYFUNCTION("""COMPUTED_VALUE"""),"Samoa-Oceania")</f>
        <v>Samoa-Oceania</v>
      </c>
      <c r="AD2004" s="14" t="str">
        <f>IFERROR(__xludf.DUMMYFUNCTION("""COMPUTED_VALUE"""),"2000")</f>
        <v>2000</v>
      </c>
      <c r="AE2004" s="14"/>
      <c r="AF2004" s="14"/>
    </row>
    <row r="2005">
      <c r="A2005" s="12">
        <v>2004.0</v>
      </c>
      <c r="B2005" s="12" t="s">
        <v>233</v>
      </c>
      <c r="C2005" s="5" t="s">
        <v>80</v>
      </c>
      <c r="D2005" s="8"/>
      <c r="E2005" s="8"/>
      <c r="F2005" s="8"/>
      <c r="G2005" s="8"/>
      <c r="H2005" s="11">
        <v>0.017</v>
      </c>
      <c r="I2005" s="11">
        <v>0.014</v>
      </c>
      <c r="J2005" s="9" t="s">
        <v>62</v>
      </c>
      <c r="K2005" s="14" t="str">
        <f>IFERROR(__xludf.DUMMYFUNCTION("ARRAYFORMULA(VLOOKUP(A2005,IMPORTRANGE(""https://docs.google.com/spreadsheets/d/1BuTWp7qHGjWhqrnf-OmePP568O4A5Am9ttzvVdP67zw/edit#gid=1603210130"", ""TOURISM!$A$2:$F$2692""), {2,3,4,5,6},0))"),"Oceania")</f>
        <v>Oceania</v>
      </c>
      <c r="L2005" s="14">
        <f>IFERROR(__xludf.DUMMYFUNCTION("""COMPUTED_VALUE"""),3.9E7)</f>
        <v>39000000</v>
      </c>
      <c r="M2005" s="14" t="str">
        <f>IFERROR(__xludf.DUMMYFUNCTION("""COMPUTED_VALUE"""),"Samoa-Oceania")</f>
        <v>Samoa-Oceania</v>
      </c>
      <c r="N2005" s="14" t="str">
        <f>IFERROR(__xludf.DUMMYFUNCTION("""COMPUTED_VALUE"""),"2001")</f>
        <v>2001</v>
      </c>
      <c r="O2005" s="14"/>
      <c r="P2005" s="15">
        <f>IFERROR(__xludf.DUMMYFUNCTION("ARRAYFORMULA(VLOOKUP(A2005,IMPORTRANGE(""https://docs.google.com/spreadsheets/d/1BuTWp7qHGjWhqrnf-OmePP568O4A5Am9ttzvVdP67zw/edit#gid=771602874"" ,""HUMAN RESOURCES!$A$2:$M$2692""), {2,3,4,5,6,7,8,9,10,11,12,13},0))"),0.03)</f>
        <v>0.03</v>
      </c>
      <c r="Q2005" s="14">
        <f>IFERROR(__xludf.DUMMYFUNCTION("""COMPUTED_VALUE"""),0.018)</f>
        <v>0.018</v>
      </c>
      <c r="R2005" s="14">
        <f>IFERROR(__xludf.DUMMYFUNCTION("""COMPUTED_VALUE"""),73.0)</f>
        <v>73</v>
      </c>
      <c r="S2005" s="14">
        <f>IFERROR(__xludf.DUMMYFUNCTION("""COMPUTED_VALUE"""),67.0)</f>
        <v>67</v>
      </c>
      <c r="T2005" s="14">
        <f>IFERROR(__xludf.DUMMYFUNCTION("""COMPUTED_VALUE"""),0.406)</f>
        <v>0.406</v>
      </c>
      <c r="U2005" s="14">
        <f>IFERROR(__xludf.DUMMYFUNCTION("""COMPUTED_VALUE"""),0.549)</f>
        <v>0.549</v>
      </c>
      <c r="V2005" s="14">
        <f>IFERROR(__xludf.DUMMYFUNCTION("""COMPUTED_VALUE"""),0.045)</f>
        <v>0.045</v>
      </c>
      <c r="W2005" s="14">
        <f>IFERROR(__xludf.DUMMYFUNCTION("""COMPUTED_VALUE"""),175567.0)</f>
        <v>175567</v>
      </c>
      <c r="X2005" s="14">
        <f>IFERROR(__xludf.DUMMYFUNCTION("""COMPUTED_VALUE"""),0.221)</f>
        <v>0.221</v>
      </c>
      <c r="Y2005" s="14" t="str">
        <f>IFERROR(__xludf.DUMMYFUNCTION("""COMPUTED_VALUE"""),"Samoa-Oceania")</f>
        <v>Samoa-Oceania</v>
      </c>
      <c r="Z2005" s="14" t="str">
        <f>IFERROR(__xludf.DUMMYFUNCTION("""COMPUTED_VALUE"""),"Oceania")</f>
        <v>Oceania</v>
      </c>
      <c r="AA2005" s="14" t="str">
        <f>IFERROR(__xludf.DUMMYFUNCTION("""COMPUTED_VALUE"""),"2001")</f>
        <v>2001</v>
      </c>
      <c r="AB2005" s="15" t="str">
        <f>IFERROR(__xludf.DUMMYFUNCTION("ARRAYFORMULA(VLOOKUP(A2005,IMPORTRANGE(""https://docs.google.com/spreadsheets/d/1BuTWp7qHGjWhqrnf-OmePP568O4A5Am9ttzvVdP67zw/edit#gid=1931367683"" ,""ENERGY!$A$2:$F$2692""), {2,3,4,5,6},0))"),"Oceania")</f>
        <v>Oceania</v>
      </c>
      <c r="AC2005" s="14" t="str">
        <f>IFERROR(__xludf.DUMMYFUNCTION("""COMPUTED_VALUE"""),"Samoa-Oceania")</f>
        <v>Samoa-Oceania</v>
      </c>
      <c r="AD2005" s="14" t="str">
        <f>IFERROR(__xludf.DUMMYFUNCTION("""COMPUTED_VALUE"""),"2001")</f>
        <v>2001</v>
      </c>
      <c r="AE2005" s="14"/>
      <c r="AF2005" s="14"/>
    </row>
    <row r="2006">
      <c r="A2006" s="12">
        <v>2005.0</v>
      </c>
      <c r="B2006" s="12" t="s">
        <v>233</v>
      </c>
      <c r="C2006" s="5" t="s">
        <v>80</v>
      </c>
      <c r="D2006" s="8"/>
      <c r="E2006" s="8"/>
      <c r="F2006" s="8"/>
      <c r="G2006" s="8"/>
      <c r="H2006" s="11">
        <v>0.022</v>
      </c>
      <c r="I2006" s="11">
        <v>0.015</v>
      </c>
      <c r="J2006" s="9" t="s">
        <v>63</v>
      </c>
      <c r="K2006" s="14" t="str">
        <f>IFERROR(__xludf.DUMMYFUNCTION("ARRAYFORMULA(VLOOKUP(A2006,IMPORTRANGE(""https://docs.google.com/spreadsheets/d/1BuTWp7qHGjWhqrnf-OmePP568O4A5Am9ttzvVdP67zw/edit#gid=1603210130"", ""TOURISM!$A$2:$F$2692""), {2,3,4,5,6},0))"),"Oceania")</f>
        <v>Oceania</v>
      </c>
      <c r="L2006" s="14">
        <f>IFERROR(__xludf.DUMMYFUNCTION("""COMPUTED_VALUE"""),4.5E7)</f>
        <v>45000000</v>
      </c>
      <c r="M2006" s="14" t="str">
        <f>IFERROR(__xludf.DUMMYFUNCTION("""COMPUTED_VALUE"""),"Samoa-Oceania")</f>
        <v>Samoa-Oceania</v>
      </c>
      <c r="N2006" s="14" t="str">
        <f>IFERROR(__xludf.DUMMYFUNCTION("""COMPUTED_VALUE"""),"2002")</f>
        <v>2002</v>
      </c>
      <c r="O2006" s="14"/>
      <c r="P2006" s="15">
        <f>IFERROR(__xludf.DUMMYFUNCTION("ARRAYFORMULA(VLOOKUP(A2006,IMPORTRANGE(""https://docs.google.com/spreadsheets/d/1BuTWp7qHGjWhqrnf-OmePP568O4A5Am9ttzvVdP67zw/edit#gid=771602874"" ,""HUMAN RESOURCES!$A$2:$M$2692""), {2,3,4,5,6,7,8,9,10,11,12,13},0))"),0.03)</f>
        <v>0.03</v>
      </c>
      <c r="Q2006" s="14">
        <f>IFERROR(__xludf.DUMMYFUNCTION("""COMPUTED_VALUE"""),0.018)</f>
        <v>0.018</v>
      </c>
      <c r="R2006" s="14">
        <f>IFERROR(__xludf.DUMMYFUNCTION("""COMPUTED_VALUE"""),73.0)</f>
        <v>73</v>
      </c>
      <c r="S2006" s="14">
        <f>IFERROR(__xludf.DUMMYFUNCTION("""COMPUTED_VALUE"""),67.0)</f>
        <v>67</v>
      </c>
      <c r="T2006" s="14">
        <f>IFERROR(__xludf.DUMMYFUNCTION("""COMPUTED_VALUE"""),0.404)</f>
        <v>0.404</v>
      </c>
      <c r="U2006" s="14">
        <f>IFERROR(__xludf.DUMMYFUNCTION("""COMPUTED_VALUE"""),0.55)</f>
        <v>0.55</v>
      </c>
      <c r="V2006" s="14">
        <f>IFERROR(__xludf.DUMMYFUNCTION("""COMPUTED_VALUE"""),0.046)</f>
        <v>0.046</v>
      </c>
      <c r="W2006" s="14">
        <f>IFERROR(__xludf.DUMMYFUNCTION("""COMPUTED_VALUE"""),176592.0)</f>
        <v>176592</v>
      </c>
      <c r="X2006" s="14">
        <f>IFERROR(__xludf.DUMMYFUNCTION("""COMPUTED_VALUE"""),0.219)</f>
        <v>0.219</v>
      </c>
      <c r="Y2006" s="14" t="str">
        <f>IFERROR(__xludf.DUMMYFUNCTION("""COMPUTED_VALUE"""),"Samoa-Oceania")</f>
        <v>Samoa-Oceania</v>
      </c>
      <c r="Z2006" s="14" t="str">
        <f>IFERROR(__xludf.DUMMYFUNCTION("""COMPUTED_VALUE"""),"Oceania")</f>
        <v>Oceania</v>
      </c>
      <c r="AA2006" s="14" t="str">
        <f>IFERROR(__xludf.DUMMYFUNCTION("""COMPUTED_VALUE"""),"2002")</f>
        <v>2002</v>
      </c>
      <c r="AB2006" s="15" t="str">
        <f>IFERROR(__xludf.DUMMYFUNCTION("ARRAYFORMULA(VLOOKUP(A2006,IMPORTRANGE(""https://docs.google.com/spreadsheets/d/1BuTWp7qHGjWhqrnf-OmePP568O4A5Am9ttzvVdP67zw/edit#gid=1931367683"" ,""ENERGY!$A$2:$F$2692""), {2,3,4,5,6},0))"),"Oceania")</f>
        <v>Oceania</v>
      </c>
      <c r="AC2006" s="14" t="str">
        <f>IFERROR(__xludf.DUMMYFUNCTION("""COMPUTED_VALUE"""),"Samoa-Oceania")</f>
        <v>Samoa-Oceania</v>
      </c>
      <c r="AD2006" s="14" t="str">
        <f>IFERROR(__xludf.DUMMYFUNCTION("""COMPUTED_VALUE"""),"2002")</f>
        <v>2002</v>
      </c>
      <c r="AE2006" s="14"/>
      <c r="AF2006" s="14">
        <f>IFERROR(__xludf.DUMMYFUNCTION("""COMPUTED_VALUE"""),161.0)</f>
        <v>161</v>
      </c>
    </row>
    <row r="2007">
      <c r="A2007" s="12">
        <v>2006.0</v>
      </c>
      <c r="B2007" s="12" t="s">
        <v>233</v>
      </c>
      <c r="C2007" s="5" t="s">
        <v>80</v>
      </c>
      <c r="D2007" s="8"/>
      <c r="E2007" s="11">
        <v>42.0</v>
      </c>
      <c r="F2007" s="8"/>
      <c r="G2007" s="8"/>
      <c r="H2007" s="11">
        <v>0.028</v>
      </c>
      <c r="I2007" s="11">
        <v>0.059</v>
      </c>
      <c r="J2007" s="9" t="s">
        <v>64</v>
      </c>
      <c r="K2007" s="14" t="str">
        <f>IFERROR(__xludf.DUMMYFUNCTION("ARRAYFORMULA(VLOOKUP(A2007,IMPORTRANGE(""https://docs.google.com/spreadsheets/d/1BuTWp7qHGjWhqrnf-OmePP568O4A5Am9ttzvVdP67zw/edit#gid=1603210130"", ""TOURISM!$A$2:$F$2692""), {2,3,4,5,6},0))"),"Oceania")</f>
        <v>Oceania</v>
      </c>
      <c r="L2007" s="14">
        <f>IFERROR(__xludf.DUMMYFUNCTION("""COMPUTED_VALUE"""),5.4E7)</f>
        <v>54000000</v>
      </c>
      <c r="M2007" s="14" t="str">
        <f>IFERROR(__xludf.DUMMYFUNCTION("""COMPUTED_VALUE"""),"Samoa-Oceania")</f>
        <v>Samoa-Oceania</v>
      </c>
      <c r="N2007" s="14" t="str">
        <f>IFERROR(__xludf.DUMMYFUNCTION("""COMPUTED_VALUE"""),"2003")</f>
        <v>2003</v>
      </c>
      <c r="O2007" s="14"/>
      <c r="P2007" s="15">
        <f>IFERROR(__xludf.DUMMYFUNCTION("ARRAYFORMULA(VLOOKUP(A2007,IMPORTRANGE(""https://docs.google.com/spreadsheets/d/1BuTWp7qHGjWhqrnf-OmePP568O4A5Am9ttzvVdP67zw/edit#gid=771602874"" ,""HUMAN RESOURCES!$A$2:$M$2692""), {2,3,4,5,6,7,8,9,10,11,12,13},0))"),0.03)</f>
        <v>0.03</v>
      </c>
      <c r="Q2007" s="14">
        <f>IFERROR(__xludf.DUMMYFUNCTION("""COMPUTED_VALUE"""),0.017)</f>
        <v>0.017</v>
      </c>
      <c r="R2007" s="14">
        <f>IFERROR(__xludf.DUMMYFUNCTION("""COMPUTED_VALUE"""),74.0)</f>
        <v>74</v>
      </c>
      <c r="S2007" s="14">
        <f>IFERROR(__xludf.DUMMYFUNCTION("""COMPUTED_VALUE"""),67.0)</f>
        <v>67</v>
      </c>
      <c r="T2007" s="14">
        <f>IFERROR(__xludf.DUMMYFUNCTION("""COMPUTED_VALUE"""),0.401)</f>
        <v>0.401</v>
      </c>
      <c r="U2007" s="14">
        <f>IFERROR(__xludf.DUMMYFUNCTION("""COMPUTED_VALUE"""),0.552)</f>
        <v>0.552</v>
      </c>
      <c r="V2007" s="14">
        <f>IFERROR(__xludf.DUMMYFUNCTION("""COMPUTED_VALUE"""),0.047)</f>
        <v>0.047</v>
      </c>
      <c r="W2007" s="14">
        <f>IFERROR(__xludf.DUMMYFUNCTION("""COMPUTED_VALUE"""),177677.0)</f>
        <v>177677</v>
      </c>
      <c r="X2007" s="14">
        <f>IFERROR(__xludf.DUMMYFUNCTION("""COMPUTED_VALUE"""),0.217)</f>
        <v>0.217</v>
      </c>
      <c r="Y2007" s="14" t="str">
        <f>IFERROR(__xludf.DUMMYFUNCTION("""COMPUTED_VALUE"""),"Samoa-Oceania")</f>
        <v>Samoa-Oceania</v>
      </c>
      <c r="Z2007" s="14" t="str">
        <f>IFERROR(__xludf.DUMMYFUNCTION("""COMPUTED_VALUE"""),"Oceania")</f>
        <v>Oceania</v>
      </c>
      <c r="AA2007" s="14" t="str">
        <f>IFERROR(__xludf.DUMMYFUNCTION("""COMPUTED_VALUE"""),"2003")</f>
        <v>2003</v>
      </c>
      <c r="AB2007" s="15" t="str">
        <f>IFERROR(__xludf.DUMMYFUNCTION("ARRAYFORMULA(VLOOKUP(A2007,IMPORTRANGE(""https://docs.google.com/spreadsheets/d/1BuTWp7qHGjWhqrnf-OmePP568O4A5Am9ttzvVdP67zw/edit#gid=1931367683"" ,""ENERGY!$A$2:$F$2692""), {2,3,4,5,6},0))"),"Oceania")</f>
        <v>Oceania</v>
      </c>
      <c r="AC2007" s="14" t="str">
        <f>IFERROR(__xludf.DUMMYFUNCTION("""COMPUTED_VALUE"""),"Samoa-Oceania")</f>
        <v>Samoa-Oceania</v>
      </c>
      <c r="AD2007" s="14" t="str">
        <f>IFERROR(__xludf.DUMMYFUNCTION("""COMPUTED_VALUE"""),"2003")</f>
        <v>2003</v>
      </c>
      <c r="AE2007" s="14"/>
      <c r="AF2007" s="14">
        <f>IFERROR(__xludf.DUMMYFUNCTION("""COMPUTED_VALUE"""),161.0)</f>
        <v>161</v>
      </c>
    </row>
    <row r="2008">
      <c r="A2008" s="12">
        <v>2007.0</v>
      </c>
      <c r="B2008" s="12" t="s">
        <v>233</v>
      </c>
      <c r="C2008" s="5" t="s">
        <v>80</v>
      </c>
      <c r="D2008" s="8"/>
      <c r="E2008" s="11">
        <v>42.0</v>
      </c>
      <c r="F2008" s="8"/>
      <c r="G2008" s="8"/>
      <c r="H2008" s="11">
        <v>0.031</v>
      </c>
      <c r="I2008" s="11">
        <v>0.089</v>
      </c>
      <c r="J2008" s="9" t="s">
        <v>65</v>
      </c>
      <c r="K2008" s="14" t="str">
        <f>IFERROR(__xludf.DUMMYFUNCTION("ARRAYFORMULA(VLOOKUP(A2008,IMPORTRANGE(""https://docs.google.com/spreadsheets/d/1BuTWp7qHGjWhqrnf-OmePP568O4A5Am9ttzvVdP67zw/edit#gid=1603210130"", ""TOURISM!$A$2:$F$2692""), {2,3,4,5,6},0))"),"Oceania")</f>
        <v>Oceania</v>
      </c>
      <c r="L2008" s="14">
        <f>IFERROR(__xludf.DUMMYFUNCTION("""COMPUTED_VALUE"""),7.0E7)</f>
        <v>70000000</v>
      </c>
      <c r="M2008" s="14" t="str">
        <f>IFERROR(__xludf.DUMMYFUNCTION("""COMPUTED_VALUE"""),"Samoa-Oceania")</f>
        <v>Samoa-Oceania</v>
      </c>
      <c r="N2008" s="14" t="str">
        <f>IFERROR(__xludf.DUMMYFUNCTION("""COMPUTED_VALUE"""),"2004")</f>
        <v>2004</v>
      </c>
      <c r="O2008" s="14">
        <f>IFERROR(__xludf.DUMMYFUNCTION("""COMPUTED_VALUE"""),1.2E7)</f>
        <v>12000000</v>
      </c>
      <c r="P2008" s="15">
        <f>IFERROR(__xludf.DUMMYFUNCTION("ARRAYFORMULA(VLOOKUP(A2008,IMPORTRANGE(""https://docs.google.com/spreadsheets/d/1BuTWp7qHGjWhqrnf-OmePP568O4A5Am9ttzvVdP67zw/edit#gid=771602874"" ,""HUMAN RESOURCES!$A$2:$M$2692""), {2,3,4,5,6,7,8,9,10,11,12,13},0))"),0.03)</f>
        <v>0.03</v>
      </c>
      <c r="Q2008" s="14">
        <f>IFERROR(__xludf.DUMMYFUNCTION("""COMPUTED_VALUE"""),0.017)</f>
        <v>0.017</v>
      </c>
      <c r="R2008" s="14">
        <f>IFERROR(__xludf.DUMMYFUNCTION("""COMPUTED_VALUE"""),74.0)</f>
        <v>74</v>
      </c>
      <c r="S2008" s="14">
        <f>IFERROR(__xludf.DUMMYFUNCTION("""COMPUTED_VALUE"""),68.0)</f>
        <v>68</v>
      </c>
      <c r="T2008" s="14">
        <f>IFERROR(__xludf.DUMMYFUNCTION("""COMPUTED_VALUE"""),0.398)</f>
        <v>0.398</v>
      </c>
      <c r="U2008" s="14">
        <f>IFERROR(__xludf.DUMMYFUNCTION("""COMPUTED_VALUE"""),0.554)</f>
        <v>0.554</v>
      </c>
      <c r="V2008" s="14">
        <f>IFERROR(__xludf.DUMMYFUNCTION("""COMPUTED_VALUE"""),0.048)</f>
        <v>0.048</v>
      </c>
      <c r="W2008" s="14">
        <f>IFERROR(__xludf.DUMMYFUNCTION("""COMPUTED_VALUE"""),178794.0)</f>
        <v>178794</v>
      </c>
      <c r="X2008" s="14">
        <f>IFERROR(__xludf.DUMMYFUNCTION("""COMPUTED_VALUE"""),0.215)</f>
        <v>0.215</v>
      </c>
      <c r="Y2008" s="14" t="str">
        <f>IFERROR(__xludf.DUMMYFUNCTION("""COMPUTED_VALUE"""),"Samoa-Oceania")</f>
        <v>Samoa-Oceania</v>
      </c>
      <c r="Z2008" s="14" t="str">
        <f>IFERROR(__xludf.DUMMYFUNCTION("""COMPUTED_VALUE"""),"Oceania")</f>
        <v>Oceania</v>
      </c>
      <c r="AA2008" s="14" t="str">
        <f>IFERROR(__xludf.DUMMYFUNCTION("""COMPUTED_VALUE"""),"2004")</f>
        <v>2004</v>
      </c>
      <c r="AB2008" s="15" t="str">
        <f>IFERROR(__xludf.DUMMYFUNCTION("ARRAYFORMULA(VLOOKUP(A2008,IMPORTRANGE(""https://docs.google.com/spreadsheets/d/1BuTWp7qHGjWhqrnf-OmePP568O4A5Am9ttzvVdP67zw/edit#gid=1931367683"" ,""ENERGY!$A$2:$F$2692""), {2,3,4,5,6},0))"),"Oceania")</f>
        <v>Oceania</v>
      </c>
      <c r="AC2008" s="14" t="str">
        <f>IFERROR(__xludf.DUMMYFUNCTION("""COMPUTED_VALUE"""),"Samoa-Oceania")</f>
        <v>Samoa-Oceania</v>
      </c>
      <c r="AD2008" s="14" t="str">
        <f>IFERROR(__xludf.DUMMYFUNCTION("""COMPUTED_VALUE"""),"2004")</f>
        <v>2004</v>
      </c>
      <c r="AE2008" s="14"/>
      <c r="AF2008" s="14">
        <f>IFERROR(__xludf.DUMMYFUNCTION("""COMPUTED_VALUE"""),161.0)</f>
        <v>161</v>
      </c>
    </row>
    <row r="2009">
      <c r="A2009" s="12">
        <v>2008.0</v>
      </c>
      <c r="B2009" s="12" t="s">
        <v>233</v>
      </c>
      <c r="C2009" s="5" t="s">
        <v>80</v>
      </c>
      <c r="D2009" s="11">
        <v>0.202</v>
      </c>
      <c r="E2009" s="11">
        <v>35.0</v>
      </c>
      <c r="F2009" s="8"/>
      <c r="G2009" s="11">
        <v>224.0</v>
      </c>
      <c r="H2009" s="11">
        <v>0.034</v>
      </c>
      <c r="I2009" s="11">
        <v>0.133</v>
      </c>
      <c r="J2009" s="9" t="s">
        <v>66</v>
      </c>
      <c r="K2009" s="14" t="str">
        <f>IFERROR(__xludf.DUMMYFUNCTION("ARRAYFORMULA(VLOOKUP(A2009,IMPORTRANGE(""https://docs.google.com/spreadsheets/d/1BuTWp7qHGjWhqrnf-OmePP568O4A5Am9ttzvVdP67zw/edit#gid=1603210130"", ""TOURISM!$A$2:$F$2692""), {2,3,4,5,6},0))"),"Oceania")</f>
        <v>Oceania</v>
      </c>
      <c r="L2009" s="14">
        <f>IFERROR(__xludf.DUMMYFUNCTION("""COMPUTED_VALUE"""),7.4E7)</f>
        <v>74000000</v>
      </c>
      <c r="M2009" s="14" t="str">
        <f>IFERROR(__xludf.DUMMYFUNCTION("""COMPUTED_VALUE"""),"Samoa-Oceania")</f>
        <v>Samoa-Oceania</v>
      </c>
      <c r="N2009" s="14" t="str">
        <f>IFERROR(__xludf.DUMMYFUNCTION("""COMPUTED_VALUE"""),"2005")</f>
        <v>2005</v>
      </c>
      <c r="O2009" s="14">
        <f>IFERROR(__xludf.DUMMYFUNCTION("""COMPUTED_VALUE"""),2.03E7)</f>
        <v>20300000</v>
      </c>
      <c r="P2009" s="15">
        <f>IFERROR(__xludf.DUMMYFUNCTION("ARRAYFORMULA(VLOOKUP(A2009,IMPORTRANGE(""https://docs.google.com/spreadsheets/d/1BuTWp7qHGjWhqrnf-OmePP568O4A5Am9ttzvVdP67zw/edit#gid=771602874"" ,""HUMAN RESOURCES!$A$2:$M$2692""), {2,3,4,5,6,7,8,9,10,11,12,13},0))"),0.029)</f>
        <v>0.029</v>
      </c>
      <c r="Q2009" s="14">
        <f>IFERROR(__xludf.DUMMYFUNCTION("""COMPUTED_VALUE"""),0.017)</f>
        <v>0.017</v>
      </c>
      <c r="R2009" s="14">
        <f>IFERROR(__xludf.DUMMYFUNCTION("""COMPUTED_VALUE"""),74.0)</f>
        <v>74</v>
      </c>
      <c r="S2009" s="14">
        <f>IFERROR(__xludf.DUMMYFUNCTION("""COMPUTED_VALUE"""),68.0)</f>
        <v>68</v>
      </c>
      <c r="T2009" s="14">
        <f>IFERROR(__xludf.DUMMYFUNCTION("""COMPUTED_VALUE"""),0.396)</f>
        <v>0.396</v>
      </c>
      <c r="U2009" s="14">
        <f>IFERROR(__xludf.DUMMYFUNCTION("""COMPUTED_VALUE"""),0.556)</f>
        <v>0.556</v>
      </c>
      <c r="V2009" s="14">
        <f>IFERROR(__xludf.DUMMYFUNCTION("""COMPUTED_VALUE"""),0.048)</f>
        <v>0.048</v>
      </c>
      <c r="W2009" s="14">
        <f>IFERROR(__xludf.DUMMYFUNCTION("""COMPUTED_VALUE"""),179928.0)</f>
        <v>179928</v>
      </c>
      <c r="X2009" s="14">
        <f>IFERROR(__xludf.DUMMYFUNCTION("""COMPUTED_VALUE"""),0.212)</f>
        <v>0.212</v>
      </c>
      <c r="Y2009" s="14" t="str">
        <f>IFERROR(__xludf.DUMMYFUNCTION("""COMPUTED_VALUE"""),"Samoa-Oceania")</f>
        <v>Samoa-Oceania</v>
      </c>
      <c r="Z2009" s="14" t="str">
        <f>IFERROR(__xludf.DUMMYFUNCTION("""COMPUTED_VALUE"""),"Oceania")</f>
        <v>Oceania</v>
      </c>
      <c r="AA2009" s="14" t="str">
        <f>IFERROR(__xludf.DUMMYFUNCTION("""COMPUTED_VALUE"""),"2005")</f>
        <v>2005</v>
      </c>
      <c r="AB2009" s="15" t="str">
        <f>IFERROR(__xludf.DUMMYFUNCTION("ARRAYFORMULA(VLOOKUP(A2009,IMPORTRANGE(""https://docs.google.com/spreadsheets/d/1BuTWp7qHGjWhqrnf-OmePP568O4A5Am9ttzvVdP67zw/edit#gid=1931367683"" ,""ENERGY!$A$2:$F$2692""), {2,3,4,5,6},0))"),"Oceania")</f>
        <v>Oceania</v>
      </c>
      <c r="AC2009" s="14" t="str">
        <f>IFERROR(__xludf.DUMMYFUNCTION("""COMPUTED_VALUE"""),"Samoa-Oceania")</f>
        <v>Samoa-Oceania</v>
      </c>
      <c r="AD2009" s="14" t="str">
        <f>IFERROR(__xludf.DUMMYFUNCTION("""COMPUTED_VALUE"""),"2008")</f>
        <v>2008</v>
      </c>
      <c r="AE2009" s="14">
        <f>IFERROR(__xludf.DUMMYFUNCTION("""COMPUTED_VALUE"""),58.0)</f>
        <v>58</v>
      </c>
      <c r="AF2009" s="14">
        <f>IFERROR(__xludf.DUMMYFUNCTION("""COMPUTED_VALUE"""),161.0)</f>
        <v>161</v>
      </c>
    </row>
    <row r="2010">
      <c r="A2010" s="12">
        <v>2009.0</v>
      </c>
      <c r="B2010" s="12" t="s">
        <v>233</v>
      </c>
      <c r="C2010" s="5" t="s">
        <v>80</v>
      </c>
      <c r="D2010" s="11">
        <v>0.202</v>
      </c>
      <c r="E2010" s="11">
        <v>35.0</v>
      </c>
      <c r="F2010" s="8"/>
      <c r="G2010" s="11">
        <v>224.0</v>
      </c>
      <c r="H2010" s="11">
        <v>0.045</v>
      </c>
      <c r="I2010" s="11">
        <v>0.251</v>
      </c>
      <c r="J2010" s="9" t="s">
        <v>67</v>
      </c>
      <c r="K2010" s="14" t="str">
        <f>IFERROR(__xludf.DUMMYFUNCTION("ARRAYFORMULA(VLOOKUP(A2010,IMPORTRANGE(""https://docs.google.com/spreadsheets/d/1BuTWp7qHGjWhqrnf-OmePP568O4A5Am9ttzvVdP67zw/edit#gid=1603210130"", ""TOURISM!$A$2:$F$2692""), {2,3,4,5,6},0))"),"Oceania")</f>
        <v>Oceania</v>
      </c>
      <c r="L2010" s="14">
        <f>IFERROR(__xludf.DUMMYFUNCTION("""COMPUTED_VALUE"""),8.7E7)</f>
        <v>87000000</v>
      </c>
      <c r="M2010" s="14" t="str">
        <f>IFERROR(__xludf.DUMMYFUNCTION("""COMPUTED_VALUE"""),"Samoa-Oceania")</f>
        <v>Samoa-Oceania</v>
      </c>
      <c r="N2010" s="14" t="str">
        <f>IFERROR(__xludf.DUMMYFUNCTION("""COMPUTED_VALUE"""),"2006")</f>
        <v>2006</v>
      </c>
      <c r="O2010" s="14">
        <f>IFERROR(__xludf.DUMMYFUNCTION("""COMPUTED_VALUE"""),2.12E7)</f>
        <v>21200000</v>
      </c>
      <c r="P2010" s="15">
        <f>IFERROR(__xludf.DUMMYFUNCTION("ARRAYFORMULA(VLOOKUP(A2010,IMPORTRANGE(""https://docs.google.com/spreadsheets/d/1BuTWp7qHGjWhqrnf-OmePP568O4A5Am9ttzvVdP67zw/edit#gid=771602874"" ,""HUMAN RESOURCES!$A$2:$M$2692""), {2,3,4,5,6,7,8,9,10,11,12,13},0))"),0.029)</f>
        <v>0.029</v>
      </c>
      <c r="Q2010" s="14">
        <f>IFERROR(__xludf.DUMMYFUNCTION("""COMPUTED_VALUE"""),0.016)</f>
        <v>0.016</v>
      </c>
      <c r="R2010" s="14">
        <f>IFERROR(__xludf.DUMMYFUNCTION("""COMPUTED_VALUE"""),75.0)</f>
        <v>75</v>
      </c>
      <c r="S2010" s="14">
        <f>IFERROR(__xludf.DUMMYFUNCTION("""COMPUTED_VALUE"""),68.0)</f>
        <v>68</v>
      </c>
      <c r="T2010" s="14">
        <f>IFERROR(__xludf.DUMMYFUNCTION("""COMPUTED_VALUE"""),0.393)</f>
        <v>0.393</v>
      </c>
      <c r="U2010" s="14">
        <f>IFERROR(__xludf.DUMMYFUNCTION("""COMPUTED_VALUE"""),0.558)</f>
        <v>0.558</v>
      </c>
      <c r="V2010" s="14">
        <f>IFERROR(__xludf.DUMMYFUNCTION("""COMPUTED_VALUE"""),0.049)</f>
        <v>0.049</v>
      </c>
      <c r="W2010" s="14">
        <f>IFERROR(__xludf.DUMMYFUNCTION("""COMPUTED_VALUE"""),181073.0)</f>
        <v>181073</v>
      </c>
      <c r="X2010" s="14">
        <f>IFERROR(__xludf.DUMMYFUNCTION("""COMPUTED_VALUE"""),0.21)</f>
        <v>0.21</v>
      </c>
      <c r="Y2010" s="14" t="str">
        <f>IFERROR(__xludf.DUMMYFUNCTION("""COMPUTED_VALUE"""),"Samoa-Oceania")</f>
        <v>Samoa-Oceania</v>
      </c>
      <c r="Z2010" s="14" t="str">
        <f>IFERROR(__xludf.DUMMYFUNCTION("""COMPUTED_VALUE"""),"Oceania")</f>
        <v>Oceania</v>
      </c>
      <c r="AA2010" s="14" t="str">
        <f>IFERROR(__xludf.DUMMYFUNCTION("""COMPUTED_VALUE"""),"2006")</f>
        <v>2006</v>
      </c>
      <c r="AB2010" s="15" t="str">
        <f>IFERROR(__xludf.DUMMYFUNCTION("ARRAYFORMULA(VLOOKUP(A2010,IMPORTRANGE(""https://docs.google.com/spreadsheets/d/1BuTWp7qHGjWhqrnf-OmePP568O4A5Am9ttzvVdP67zw/edit#gid=1931367683"" ,""ENERGY!$A$2:$F$2692""), {2,3,4,5,6},0))"),"Oceania")</f>
        <v>Oceania</v>
      </c>
      <c r="AC2010" s="14" t="str">
        <f>IFERROR(__xludf.DUMMYFUNCTION("""COMPUTED_VALUE"""),"Samoa-Oceania")</f>
        <v>Samoa-Oceania</v>
      </c>
      <c r="AD2010" s="14" t="str">
        <f>IFERROR(__xludf.DUMMYFUNCTION("""COMPUTED_VALUE"""),"2012")</f>
        <v>2012</v>
      </c>
      <c r="AE2010" s="14">
        <f>IFERROR(__xludf.DUMMYFUNCTION("""COMPUTED_VALUE"""),57.0)</f>
        <v>57</v>
      </c>
      <c r="AF2010" s="14">
        <f>IFERROR(__xludf.DUMMYFUNCTION("""COMPUTED_VALUE"""),158.0)</f>
        <v>158</v>
      </c>
    </row>
    <row r="2011">
      <c r="A2011" s="12">
        <v>2010.0</v>
      </c>
      <c r="B2011" s="12" t="s">
        <v>233</v>
      </c>
      <c r="C2011" s="5" t="s">
        <v>80</v>
      </c>
      <c r="D2011" s="11">
        <v>0.198</v>
      </c>
      <c r="E2011" s="11">
        <v>35.0</v>
      </c>
      <c r="F2011" s="8"/>
      <c r="G2011" s="11">
        <v>224.0</v>
      </c>
      <c r="H2011" s="11">
        <v>0.047</v>
      </c>
      <c r="I2011" s="11">
        <v>0.472</v>
      </c>
      <c r="J2011" s="9" t="s">
        <v>68</v>
      </c>
      <c r="K2011" s="14" t="str">
        <f>IFERROR(__xludf.DUMMYFUNCTION("ARRAYFORMULA(VLOOKUP(A2011,IMPORTRANGE(""https://docs.google.com/spreadsheets/d/1BuTWp7qHGjWhqrnf-OmePP568O4A5Am9ttzvVdP67zw/edit#gid=1603210130"", ""TOURISM!$A$2:$F$2692""), {2,3,4,5,6},0))"),"Oceania")</f>
        <v>Oceania</v>
      </c>
      <c r="L2011" s="14">
        <f>IFERROR(__xludf.DUMMYFUNCTION("""COMPUTED_VALUE"""),1.02E8)</f>
        <v>102000000</v>
      </c>
      <c r="M2011" s="14" t="str">
        <f>IFERROR(__xludf.DUMMYFUNCTION("""COMPUTED_VALUE"""),"Samoa-Oceania")</f>
        <v>Samoa-Oceania</v>
      </c>
      <c r="N2011" s="14" t="str">
        <f>IFERROR(__xludf.DUMMYFUNCTION("""COMPUTED_VALUE"""),"2007")</f>
        <v>2007</v>
      </c>
      <c r="O2011" s="14">
        <f>IFERROR(__xludf.DUMMYFUNCTION("""COMPUTED_VALUE"""),1.98E7)</f>
        <v>19800000</v>
      </c>
      <c r="P2011" s="15">
        <f>IFERROR(__xludf.DUMMYFUNCTION("ARRAYFORMULA(VLOOKUP(A2011,IMPORTRANGE(""https://docs.google.com/spreadsheets/d/1BuTWp7qHGjWhqrnf-OmePP568O4A5Am9ttzvVdP67zw/edit#gid=771602874"" ,""HUMAN RESOURCES!$A$2:$M$2692""), {2,3,4,5,6,7,8,9,10,11,12,13},0))"),0.029)</f>
        <v>0.029</v>
      </c>
      <c r="Q2011" s="14">
        <f>IFERROR(__xludf.DUMMYFUNCTION("""COMPUTED_VALUE"""),0.016)</f>
        <v>0.016</v>
      </c>
      <c r="R2011" s="14">
        <f>IFERROR(__xludf.DUMMYFUNCTION("""COMPUTED_VALUE"""),75.0)</f>
        <v>75</v>
      </c>
      <c r="S2011" s="14">
        <f>IFERROR(__xludf.DUMMYFUNCTION("""COMPUTED_VALUE"""),68.0)</f>
        <v>68</v>
      </c>
      <c r="T2011" s="14">
        <f>IFERROR(__xludf.DUMMYFUNCTION("""COMPUTED_VALUE"""),0.39)</f>
        <v>0.39</v>
      </c>
      <c r="U2011" s="14">
        <f>IFERROR(__xludf.DUMMYFUNCTION("""COMPUTED_VALUE"""),0.56)</f>
        <v>0.56</v>
      </c>
      <c r="V2011" s="14">
        <f>IFERROR(__xludf.DUMMYFUNCTION("""COMPUTED_VALUE"""),0.049)</f>
        <v>0.049</v>
      </c>
      <c r="W2011" s="14">
        <f>IFERROR(__xludf.DUMMYFUNCTION("""COMPUTED_VALUE"""),182240.0)</f>
        <v>182240</v>
      </c>
      <c r="X2011" s="14">
        <f>IFERROR(__xludf.DUMMYFUNCTION("""COMPUTED_VALUE"""),0.208)</f>
        <v>0.208</v>
      </c>
      <c r="Y2011" s="14" t="str">
        <f>IFERROR(__xludf.DUMMYFUNCTION("""COMPUTED_VALUE"""),"Samoa-Oceania")</f>
        <v>Samoa-Oceania</v>
      </c>
      <c r="Z2011" s="14" t="str">
        <f>IFERROR(__xludf.DUMMYFUNCTION("""COMPUTED_VALUE"""),"Oceania")</f>
        <v>Oceania</v>
      </c>
      <c r="AA2011" s="14" t="str">
        <f>IFERROR(__xludf.DUMMYFUNCTION("""COMPUTED_VALUE"""),"2007")</f>
        <v>2007</v>
      </c>
      <c r="AB2011" s="15" t="str">
        <f>IFERROR(__xludf.DUMMYFUNCTION("ARRAYFORMULA(VLOOKUP(A2011,IMPORTRANGE(""https://docs.google.com/spreadsheets/d/1BuTWp7qHGjWhqrnf-OmePP568O4A5Am9ttzvVdP67zw/edit#gid=1931367683"" ,""ENERGY!$A$2:$F$2692""), {2,3,4,5,6},0))"),"Oceania")</f>
        <v>Oceania</v>
      </c>
      <c r="AC2011" s="14" t="str">
        <f>IFERROR(__xludf.DUMMYFUNCTION("""COMPUTED_VALUE"""),"Samoa-Oceania")</f>
        <v>Samoa-Oceania</v>
      </c>
      <c r="AD2011" s="14" t="str">
        <f>IFERROR(__xludf.DUMMYFUNCTION("""COMPUTED_VALUE"""),"2010")</f>
        <v>2010</v>
      </c>
      <c r="AE2011" s="14">
        <f>IFERROR(__xludf.DUMMYFUNCTION("""COMPUTED_VALUE"""),57.0)</f>
        <v>57</v>
      </c>
      <c r="AF2011" s="14">
        <f>IFERROR(__xludf.DUMMYFUNCTION("""COMPUTED_VALUE"""),158.0)</f>
        <v>158</v>
      </c>
    </row>
    <row r="2012">
      <c r="A2012" s="12">
        <v>2011.0</v>
      </c>
      <c r="B2012" s="12" t="s">
        <v>233</v>
      </c>
      <c r="C2012" s="5" t="s">
        <v>80</v>
      </c>
      <c r="D2012" s="11">
        <v>0.189</v>
      </c>
      <c r="E2012" s="11">
        <v>35.0</v>
      </c>
      <c r="F2012" s="8"/>
      <c r="G2012" s="11">
        <v>224.0</v>
      </c>
      <c r="H2012" s="11">
        <v>0.05</v>
      </c>
      <c r="I2012" s="8"/>
      <c r="J2012" s="9" t="s">
        <v>69</v>
      </c>
      <c r="K2012" s="14" t="str">
        <f>IFERROR(__xludf.DUMMYFUNCTION("ARRAYFORMULA(VLOOKUP(A2012,IMPORTRANGE(""https://docs.google.com/spreadsheets/d/1BuTWp7qHGjWhqrnf-OmePP568O4A5Am9ttzvVdP67zw/edit#gid=1603210130"", ""TOURISM!$A$2:$F$2692""), {2,3,4,5,6},0))"),"Oceania")</f>
        <v>Oceania</v>
      </c>
      <c r="L2012" s="14">
        <f>IFERROR(__xludf.DUMMYFUNCTION("""COMPUTED_VALUE"""),1.12E8)</f>
        <v>112000000</v>
      </c>
      <c r="M2012" s="14" t="str">
        <f>IFERROR(__xludf.DUMMYFUNCTION("""COMPUTED_VALUE"""),"Samoa-Oceania")</f>
        <v>Samoa-Oceania</v>
      </c>
      <c r="N2012" s="14" t="str">
        <f>IFERROR(__xludf.DUMMYFUNCTION("""COMPUTED_VALUE"""),"2008")</f>
        <v>2008</v>
      </c>
      <c r="O2012" s="14">
        <f>IFERROR(__xludf.DUMMYFUNCTION("""COMPUTED_VALUE"""),2.16E7)</f>
        <v>21600000</v>
      </c>
      <c r="P2012" s="15">
        <f>IFERROR(__xludf.DUMMYFUNCTION("ARRAYFORMULA(VLOOKUP(A2012,IMPORTRANGE(""https://docs.google.com/spreadsheets/d/1BuTWp7qHGjWhqrnf-OmePP568O4A5Am9ttzvVdP67zw/edit#gid=771602874"" ,""HUMAN RESOURCES!$A$2:$M$2692""), {2,3,4,5,6,7,8,9,10,11,12,13},0))"),0.029)</f>
        <v>0.029</v>
      </c>
      <c r="Q2012" s="14">
        <f>IFERROR(__xludf.DUMMYFUNCTION("""COMPUTED_VALUE"""),0.016)</f>
        <v>0.016</v>
      </c>
      <c r="R2012" s="14">
        <f>IFERROR(__xludf.DUMMYFUNCTION("""COMPUTED_VALUE"""),75.0)</f>
        <v>75</v>
      </c>
      <c r="S2012" s="14">
        <f>IFERROR(__xludf.DUMMYFUNCTION("""COMPUTED_VALUE"""),69.0)</f>
        <v>69</v>
      </c>
      <c r="T2012" s="14">
        <f>IFERROR(__xludf.DUMMYFUNCTION("""COMPUTED_VALUE"""),0.388)</f>
        <v>0.388</v>
      </c>
      <c r="U2012" s="14">
        <f>IFERROR(__xludf.DUMMYFUNCTION("""COMPUTED_VALUE"""),0.563)</f>
        <v>0.563</v>
      </c>
      <c r="V2012" s="14">
        <f>IFERROR(__xludf.DUMMYFUNCTION("""COMPUTED_VALUE"""),0.05)</f>
        <v>0.05</v>
      </c>
      <c r="W2012" s="14">
        <f>IFERROR(__xludf.DUMMYFUNCTION("""COMPUTED_VALUE"""),183444.0)</f>
        <v>183444</v>
      </c>
      <c r="X2012" s="14">
        <f>IFERROR(__xludf.DUMMYFUNCTION("""COMPUTED_VALUE"""),0.205)</f>
        <v>0.205</v>
      </c>
      <c r="Y2012" s="14" t="str">
        <f>IFERROR(__xludf.DUMMYFUNCTION("""COMPUTED_VALUE"""),"Samoa-Oceania")</f>
        <v>Samoa-Oceania</v>
      </c>
      <c r="Z2012" s="14" t="str">
        <f>IFERROR(__xludf.DUMMYFUNCTION("""COMPUTED_VALUE"""),"Oceania")</f>
        <v>Oceania</v>
      </c>
      <c r="AA2012" s="14" t="str">
        <f>IFERROR(__xludf.DUMMYFUNCTION("""COMPUTED_VALUE"""),"2008")</f>
        <v>2008</v>
      </c>
      <c r="AB2012" s="15" t="str">
        <f>IFERROR(__xludf.DUMMYFUNCTION("ARRAYFORMULA(VLOOKUP(A2012,IMPORTRANGE(""https://docs.google.com/spreadsheets/d/1BuTWp7qHGjWhqrnf-OmePP568O4A5Am9ttzvVdP67zw/edit#gid=1931367683"" ,""ENERGY!$A$2:$F$2692""), {2,3,4,5,6},0))"),"Oceania")</f>
        <v>Oceania</v>
      </c>
      <c r="AC2012" s="14" t="str">
        <f>IFERROR(__xludf.DUMMYFUNCTION("""COMPUTED_VALUE"""),"Samoa-Oceania")</f>
        <v>Samoa-Oceania</v>
      </c>
      <c r="AD2012" s="14" t="str">
        <f>IFERROR(__xludf.DUMMYFUNCTION("""COMPUTED_VALUE"""),"2007")</f>
        <v>2007</v>
      </c>
      <c r="AE2012" s="14">
        <f>IFERROR(__xludf.DUMMYFUNCTION("""COMPUTED_VALUE"""),56.0)</f>
        <v>56</v>
      </c>
      <c r="AF2012" s="14">
        <f>IFERROR(__xludf.DUMMYFUNCTION("""COMPUTED_VALUE"""),154.0)</f>
        <v>154</v>
      </c>
    </row>
    <row r="2013">
      <c r="A2013" s="12">
        <v>2012.0</v>
      </c>
      <c r="B2013" s="12" t="s">
        <v>233</v>
      </c>
      <c r="C2013" s="5" t="s">
        <v>80</v>
      </c>
      <c r="D2013" s="11">
        <v>0.189</v>
      </c>
      <c r="E2013" s="11">
        <v>9.0</v>
      </c>
      <c r="F2013" s="8"/>
      <c r="G2013" s="11">
        <v>224.0</v>
      </c>
      <c r="H2013" s="11">
        <v>0.06</v>
      </c>
      <c r="I2013" s="8"/>
      <c r="J2013" s="9" t="s">
        <v>70</v>
      </c>
      <c r="K2013" s="14" t="str">
        <f>IFERROR(__xludf.DUMMYFUNCTION("ARRAYFORMULA(VLOOKUP(A2013,IMPORTRANGE(""https://docs.google.com/spreadsheets/d/1BuTWp7qHGjWhqrnf-OmePP568O4A5Am9ttzvVdP67zw/edit#gid=1603210130"", ""TOURISM!$A$2:$F$2692""), {2,3,4,5,6},0))"),"Oceania")</f>
        <v>Oceania</v>
      </c>
      <c r="L2013" s="14">
        <f>IFERROR(__xludf.DUMMYFUNCTION("""COMPUTED_VALUE"""),1.15E8)</f>
        <v>115000000</v>
      </c>
      <c r="M2013" s="14" t="str">
        <f>IFERROR(__xludf.DUMMYFUNCTION("""COMPUTED_VALUE"""),"Samoa-Oceania")</f>
        <v>Samoa-Oceania</v>
      </c>
      <c r="N2013" s="14" t="str">
        <f>IFERROR(__xludf.DUMMYFUNCTION("""COMPUTED_VALUE"""),"2009")</f>
        <v>2009</v>
      </c>
      <c r="O2013" s="14">
        <f>IFERROR(__xludf.DUMMYFUNCTION("""COMPUTED_VALUE"""),2.0E7)</f>
        <v>20000000</v>
      </c>
      <c r="P2013" s="15">
        <f>IFERROR(__xludf.DUMMYFUNCTION("ARRAYFORMULA(VLOOKUP(A2013,IMPORTRANGE(""https://docs.google.com/spreadsheets/d/1BuTWp7qHGjWhqrnf-OmePP568O4A5Am9ttzvVdP67zw/edit#gid=771602874"" ,""HUMAN RESOURCES!$A$2:$M$2692""), {2,3,4,5,6,7,8,9,10,11,12,13},0))"),0.028)</f>
        <v>0.028</v>
      </c>
      <c r="Q2013" s="14">
        <f>IFERROR(__xludf.DUMMYFUNCTION("""COMPUTED_VALUE"""),0.016)</f>
        <v>0.016</v>
      </c>
      <c r="R2013" s="14">
        <f>IFERROR(__xludf.DUMMYFUNCTION("""COMPUTED_VALUE"""),75.0)</f>
        <v>75</v>
      </c>
      <c r="S2013" s="14">
        <f>IFERROR(__xludf.DUMMYFUNCTION("""COMPUTED_VALUE"""),69.0)</f>
        <v>69</v>
      </c>
      <c r="T2013" s="14">
        <f>IFERROR(__xludf.DUMMYFUNCTION("""COMPUTED_VALUE"""),0.385)</f>
        <v>0.385</v>
      </c>
      <c r="U2013" s="14">
        <f>IFERROR(__xludf.DUMMYFUNCTION("""COMPUTED_VALUE"""),0.565)</f>
        <v>0.565</v>
      </c>
      <c r="V2013" s="14">
        <f>IFERROR(__xludf.DUMMYFUNCTION("""COMPUTED_VALUE"""),0.05)</f>
        <v>0.05</v>
      </c>
      <c r="W2013" s="14">
        <f>IFERROR(__xludf.DUMMYFUNCTION("""COMPUTED_VALUE"""),184704.0)</f>
        <v>184704</v>
      </c>
      <c r="X2013" s="14">
        <f>IFERROR(__xludf.DUMMYFUNCTION("""COMPUTED_VALUE"""),0.203)</f>
        <v>0.203</v>
      </c>
      <c r="Y2013" s="14" t="str">
        <f>IFERROR(__xludf.DUMMYFUNCTION("""COMPUTED_VALUE"""),"Samoa-Oceania")</f>
        <v>Samoa-Oceania</v>
      </c>
      <c r="Z2013" s="14" t="str">
        <f>IFERROR(__xludf.DUMMYFUNCTION("""COMPUTED_VALUE"""),"Oceania")</f>
        <v>Oceania</v>
      </c>
      <c r="AA2013" s="14" t="str">
        <f>IFERROR(__xludf.DUMMYFUNCTION("""COMPUTED_VALUE"""),"2009")</f>
        <v>2009</v>
      </c>
      <c r="AB2013" s="15" t="str">
        <f>IFERROR(__xludf.DUMMYFUNCTION("ARRAYFORMULA(VLOOKUP(A2013,IMPORTRANGE(""https://docs.google.com/spreadsheets/d/1BuTWp7qHGjWhqrnf-OmePP568O4A5Am9ttzvVdP67zw/edit#gid=1931367683"" ,""ENERGY!$A$2:$F$2692""), {2,3,4,5,6},0))"),"Oceania")</f>
        <v>Oceania</v>
      </c>
      <c r="AC2013" s="14" t="str">
        <f>IFERROR(__xludf.DUMMYFUNCTION("""COMPUTED_VALUE"""),"Samoa-Oceania")</f>
        <v>Samoa-Oceania</v>
      </c>
      <c r="AD2013" s="14" t="str">
        <f>IFERROR(__xludf.DUMMYFUNCTION("""COMPUTED_VALUE"""),"2011")</f>
        <v>2011</v>
      </c>
      <c r="AE2013" s="14"/>
      <c r="AF2013" s="14">
        <f>IFERROR(__xludf.DUMMYFUNCTION("""COMPUTED_VALUE"""),150.0)</f>
        <v>150</v>
      </c>
    </row>
    <row r="2014">
      <c r="A2014" s="12">
        <v>2013.0</v>
      </c>
      <c r="B2014" s="12" t="s">
        <v>233</v>
      </c>
      <c r="C2014" s="5" t="s">
        <v>80</v>
      </c>
      <c r="D2014" s="11">
        <v>0.189</v>
      </c>
      <c r="E2014" s="11">
        <v>9.0</v>
      </c>
      <c r="F2014" s="8"/>
      <c r="G2014" s="11">
        <v>224.0</v>
      </c>
      <c r="H2014" s="11">
        <v>0.07</v>
      </c>
      <c r="I2014" s="8"/>
      <c r="J2014" s="9" t="s">
        <v>71</v>
      </c>
      <c r="K2014" s="14" t="str">
        <f>IFERROR(__xludf.DUMMYFUNCTION("ARRAYFORMULA(VLOOKUP(A2014,IMPORTRANGE(""https://docs.google.com/spreadsheets/d/1BuTWp7qHGjWhqrnf-OmePP568O4A5Am9ttzvVdP67zw/edit#gid=1603210130"", ""TOURISM!$A$2:$F$2692""), {2,3,4,5,6},0))"),"Oceania")</f>
        <v>Oceania</v>
      </c>
      <c r="L2014" s="14">
        <f>IFERROR(__xludf.DUMMYFUNCTION("""COMPUTED_VALUE"""),1.24E8)</f>
        <v>124000000</v>
      </c>
      <c r="M2014" s="14" t="str">
        <f>IFERROR(__xludf.DUMMYFUNCTION("""COMPUTED_VALUE"""),"Samoa-Oceania")</f>
        <v>Samoa-Oceania</v>
      </c>
      <c r="N2014" s="14" t="str">
        <f>IFERROR(__xludf.DUMMYFUNCTION("""COMPUTED_VALUE"""),"2010")</f>
        <v>2010</v>
      </c>
      <c r="O2014" s="14">
        <f>IFERROR(__xludf.DUMMYFUNCTION("""COMPUTED_VALUE"""),2.52E7)</f>
        <v>25200000</v>
      </c>
      <c r="P2014" s="15">
        <f>IFERROR(__xludf.DUMMYFUNCTION("ARRAYFORMULA(VLOOKUP(A2014,IMPORTRANGE(""https://docs.google.com/spreadsheets/d/1BuTWp7qHGjWhqrnf-OmePP568O4A5Am9ttzvVdP67zw/edit#gid=771602874"" ,""HUMAN RESOURCES!$A$2:$M$2692""), {2,3,4,5,6,7,8,9,10,11,12,13},0))"),0.028)</f>
        <v>0.028</v>
      </c>
      <c r="Q2014" s="14">
        <f>IFERROR(__xludf.DUMMYFUNCTION("""COMPUTED_VALUE"""),0.016)</f>
        <v>0.016</v>
      </c>
      <c r="R2014" s="14">
        <f>IFERROR(__xludf.DUMMYFUNCTION("""COMPUTED_VALUE"""),76.0)</f>
        <v>76</v>
      </c>
      <c r="S2014" s="14">
        <f>IFERROR(__xludf.DUMMYFUNCTION("""COMPUTED_VALUE"""),69.0)</f>
        <v>69</v>
      </c>
      <c r="T2014" s="14">
        <f>IFERROR(__xludf.DUMMYFUNCTION("""COMPUTED_VALUE"""),0.383)</f>
        <v>0.383</v>
      </c>
      <c r="U2014" s="14">
        <f>IFERROR(__xludf.DUMMYFUNCTION("""COMPUTED_VALUE"""),0.567)</f>
        <v>0.567</v>
      </c>
      <c r="V2014" s="14">
        <f>IFERROR(__xludf.DUMMYFUNCTION("""COMPUTED_VALUE"""),0.051)</f>
        <v>0.051</v>
      </c>
      <c r="W2014" s="14">
        <f>IFERROR(__xludf.DUMMYFUNCTION("""COMPUTED_VALUE"""),186029.0)</f>
        <v>186029</v>
      </c>
      <c r="X2014" s="14">
        <f>IFERROR(__xludf.DUMMYFUNCTION("""COMPUTED_VALUE"""),0.201)</f>
        <v>0.201</v>
      </c>
      <c r="Y2014" s="14" t="str">
        <f>IFERROR(__xludf.DUMMYFUNCTION("""COMPUTED_VALUE"""),"Samoa-Oceania")</f>
        <v>Samoa-Oceania</v>
      </c>
      <c r="Z2014" s="14" t="str">
        <f>IFERROR(__xludf.DUMMYFUNCTION("""COMPUTED_VALUE"""),"Oceania")</f>
        <v>Oceania</v>
      </c>
      <c r="AA2014" s="14" t="str">
        <f>IFERROR(__xludf.DUMMYFUNCTION("""COMPUTED_VALUE"""),"2010")</f>
        <v>2010</v>
      </c>
      <c r="AB2014" s="15" t="str">
        <f>IFERROR(__xludf.DUMMYFUNCTION("ARRAYFORMULA(VLOOKUP(A2014,IMPORTRANGE(""https://docs.google.com/spreadsheets/d/1BuTWp7qHGjWhqrnf-OmePP568O4A5Am9ttzvVdP67zw/edit#gid=1931367683"" ,""ENERGY!$A$2:$F$2692""), {2,3,4,5,6},0))"),"Oceania")</f>
        <v>Oceania</v>
      </c>
      <c r="AC2014" s="14" t="str">
        <f>IFERROR(__xludf.DUMMYFUNCTION("""COMPUTED_VALUE"""),"Samoa-Oceania")</f>
        <v>Samoa-Oceania</v>
      </c>
      <c r="AD2014" s="14" t="str">
        <f>IFERROR(__xludf.DUMMYFUNCTION("""COMPUTED_VALUE"""),"2007")</f>
        <v>2007</v>
      </c>
      <c r="AE2014" s="14"/>
      <c r="AF2014" s="14">
        <f>IFERROR(__xludf.DUMMYFUNCTION("""COMPUTED_VALUE"""),143.0)</f>
        <v>143</v>
      </c>
    </row>
    <row r="2015">
      <c r="A2015" s="12">
        <v>2014.0</v>
      </c>
      <c r="B2015" s="12" t="s">
        <v>233</v>
      </c>
      <c r="C2015" s="5" t="s">
        <v>80</v>
      </c>
      <c r="D2015" s="11">
        <v>0.189</v>
      </c>
      <c r="E2015" s="11">
        <v>9.0</v>
      </c>
      <c r="F2015" s="8"/>
      <c r="G2015" s="11">
        <v>224.0</v>
      </c>
      <c r="H2015" s="11">
        <v>0.11</v>
      </c>
      <c r="I2015" s="8"/>
      <c r="J2015" s="9" t="s">
        <v>72</v>
      </c>
      <c r="K2015" s="14" t="str">
        <f>IFERROR(__xludf.DUMMYFUNCTION("ARRAYFORMULA(VLOOKUP(A2015,IMPORTRANGE(""https://docs.google.com/spreadsheets/d/1BuTWp7qHGjWhqrnf-OmePP568O4A5Am9ttzvVdP67zw/edit#gid=1603210130"", ""TOURISM!$A$2:$F$2692""), {2,3,4,5,6},0))"),"Oceania")</f>
        <v>Oceania</v>
      </c>
      <c r="L2015" s="14">
        <f>IFERROR(__xludf.DUMMYFUNCTION("""COMPUTED_VALUE"""),1.35E8)</f>
        <v>135000000</v>
      </c>
      <c r="M2015" s="14" t="str">
        <f>IFERROR(__xludf.DUMMYFUNCTION("""COMPUTED_VALUE"""),"Samoa-Oceania")</f>
        <v>Samoa-Oceania</v>
      </c>
      <c r="N2015" s="14" t="str">
        <f>IFERROR(__xludf.DUMMYFUNCTION("""COMPUTED_VALUE"""),"2011")</f>
        <v>2011</v>
      </c>
      <c r="O2015" s="14">
        <f>IFERROR(__xludf.DUMMYFUNCTION("""COMPUTED_VALUE"""),2.22E7)</f>
        <v>22200000</v>
      </c>
      <c r="P2015" s="15">
        <f>IFERROR(__xludf.DUMMYFUNCTION("ARRAYFORMULA(VLOOKUP(A2015,IMPORTRANGE(""https://docs.google.com/spreadsheets/d/1BuTWp7qHGjWhqrnf-OmePP568O4A5Am9ttzvVdP67zw/edit#gid=771602874"" ,""HUMAN RESOURCES!$A$2:$M$2692""), {2,3,4,5,6,7,8,9,10,11,12,13},0))"),0.027)</f>
        <v>0.027</v>
      </c>
      <c r="Q2015" s="14">
        <f>IFERROR(__xludf.DUMMYFUNCTION("""COMPUTED_VALUE"""),0.016)</f>
        <v>0.016</v>
      </c>
      <c r="R2015" s="14">
        <f>IFERROR(__xludf.DUMMYFUNCTION("""COMPUTED_VALUE"""),76.0)</f>
        <v>76</v>
      </c>
      <c r="S2015" s="14">
        <f>IFERROR(__xludf.DUMMYFUNCTION("""COMPUTED_VALUE"""),70.0)</f>
        <v>70</v>
      </c>
      <c r="T2015" s="14">
        <f>IFERROR(__xludf.DUMMYFUNCTION("""COMPUTED_VALUE"""),0.381)</f>
        <v>0.381</v>
      </c>
      <c r="U2015" s="14">
        <f>IFERROR(__xludf.DUMMYFUNCTION("""COMPUTED_VALUE"""),0.569)</f>
        <v>0.569</v>
      </c>
      <c r="V2015" s="14">
        <f>IFERROR(__xludf.DUMMYFUNCTION("""COMPUTED_VALUE"""),0.051)</f>
        <v>0.051</v>
      </c>
      <c r="W2015" s="14">
        <f>IFERROR(__xludf.DUMMYFUNCTION("""COMPUTED_VALUE"""),187429.0)</f>
        <v>187429</v>
      </c>
      <c r="X2015" s="14">
        <f>IFERROR(__xludf.DUMMYFUNCTION("""COMPUTED_VALUE"""),0.199)</f>
        <v>0.199</v>
      </c>
      <c r="Y2015" s="14" t="str">
        <f>IFERROR(__xludf.DUMMYFUNCTION("""COMPUTED_VALUE"""),"Samoa-Oceania")</f>
        <v>Samoa-Oceania</v>
      </c>
      <c r="Z2015" s="14" t="str">
        <f>IFERROR(__xludf.DUMMYFUNCTION("""COMPUTED_VALUE"""),"Oceania")</f>
        <v>Oceania</v>
      </c>
      <c r="AA2015" s="14" t="str">
        <f>IFERROR(__xludf.DUMMYFUNCTION("""COMPUTED_VALUE"""),"2011")</f>
        <v>2011</v>
      </c>
      <c r="AB2015" s="15" t="str">
        <f>IFERROR(__xludf.DUMMYFUNCTION("ARRAYFORMULA(VLOOKUP(A2015,IMPORTRANGE(""https://docs.google.com/spreadsheets/d/1BuTWp7qHGjWhqrnf-OmePP568O4A5Am9ttzvVdP67zw/edit#gid=1931367683"" ,""ENERGY!$A$2:$F$2692""), {2,3,4,5,6},0))"),"Oceania")</f>
        <v>Oceania</v>
      </c>
      <c r="AC2015" s="14" t="str">
        <f>IFERROR(__xludf.DUMMYFUNCTION("""COMPUTED_VALUE"""),"Samoa-Oceania")</f>
        <v>Samoa-Oceania</v>
      </c>
      <c r="AD2015" s="14" t="str">
        <f>IFERROR(__xludf.DUMMYFUNCTION("""COMPUTED_VALUE"""),"2007")</f>
        <v>2007</v>
      </c>
      <c r="AE2015" s="14"/>
      <c r="AF2015" s="14">
        <f>IFERROR(__xludf.DUMMYFUNCTION("""COMPUTED_VALUE"""),143.0)</f>
        <v>143</v>
      </c>
    </row>
    <row r="2016">
      <c r="A2016" s="12">
        <v>2015.0</v>
      </c>
      <c r="B2016" s="12" t="s">
        <v>233</v>
      </c>
      <c r="C2016" s="5" t="s">
        <v>80</v>
      </c>
      <c r="D2016" s="11">
        <v>0.189</v>
      </c>
      <c r="E2016" s="11">
        <v>9.0</v>
      </c>
      <c r="F2016" s="11">
        <v>55.0</v>
      </c>
      <c r="G2016" s="11">
        <v>224.0</v>
      </c>
      <c r="H2016" s="11">
        <v>0.129</v>
      </c>
      <c r="I2016" s="8"/>
      <c r="J2016" s="9" t="s">
        <v>73</v>
      </c>
      <c r="K2016" s="14" t="str">
        <f>IFERROR(__xludf.DUMMYFUNCTION("ARRAYFORMULA(VLOOKUP(A2016,IMPORTRANGE(""https://docs.google.com/spreadsheets/d/1BuTWp7qHGjWhqrnf-OmePP568O4A5Am9ttzvVdP67zw/edit#gid=1603210130"", ""TOURISM!$A$2:$F$2692""), {2,3,4,5,6},0))"),"Oceania")</f>
        <v>Oceania</v>
      </c>
      <c r="L2016" s="14">
        <f>IFERROR(__xludf.DUMMYFUNCTION("""COMPUTED_VALUE"""),1.48E8)</f>
        <v>148000000</v>
      </c>
      <c r="M2016" s="14" t="str">
        <f>IFERROR(__xludf.DUMMYFUNCTION("""COMPUTED_VALUE"""),"Samoa-Oceania")</f>
        <v>Samoa-Oceania</v>
      </c>
      <c r="N2016" s="14" t="str">
        <f>IFERROR(__xludf.DUMMYFUNCTION("""COMPUTED_VALUE"""),"2012")</f>
        <v>2012</v>
      </c>
      <c r="O2016" s="14">
        <f>IFERROR(__xludf.DUMMYFUNCTION("""COMPUTED_VALUE"""),2.23E7)</f>
        <v>22300000</v>
      </c>
      <c r="P2016" s="15">
        <f>IFERROR(__xludf.DUMMYFUNCTION("ARRAYFORMULA(VLOOKUP(A2016,IMPORTRANGE(""https://docs.google.com/spreadsheets/d/1BuTWp7qHGjWhqrnf-OmePP568O4A5Am9ttzvVdP67zw/edit#gid=771602874"" ,""HUMAN RESOURCES!$A$2:$M$2692""), {2,3,4,5,6,7,8,9,10,11,12,13},0))"),0.027)</f>
        <v>0.027</v>
      </c>
      <c r="Q2016" s="14">
        <f>IFERROR(__xludf.DUMMYFUNCTION("""COMPUTED_VALUE"""),0.016)</f>
        <v>0.016</v>
      </c>
      <c r="R2016" s="14">
        <f>IFERROR(__xludf.DUMMYFUNCTION("""COMPUTED_VALUE"""),76.0)</f>
        <v>76</v>
      </c>
      <c r="S2016" s="14">
        <f>IFERROR(__xludf.DUMMYFUNCTION("""COMPUTED_VALUE"""),70.0)</f>
        <v>70</v>
      </c>
      <c r="T2016" s="14">
        <f>IFERROR(__xludf.DUMMYFUNCTION("""COMPUTED_VALUE"""),0.379)</f>
        <v>0.379</v>
      </c>
      <c r="U2016" s="14">
        <f>IFERROR(__xludf.DUMMYFUNCTION("""COMPUTED_VALUE"""),0.57)</f>
        <v>0.57</v>
      </c>
      <c r="V2016" s="14">
        <f>IFERROR(__xludf.DUMMYFUNCTION("""COMPUTED_VALUE"""),0.051)</f>
        <v>0.051</v>
      </c>
      <c r="W2016" s="14">
        <f>IFERROR(__xludf.DUMMYFUNCTION("""COMPUTED_VALUE"""),188889.0)</f>
        <v>188889</v>
      </c>
      <c r="X2016" s="14">
        <f>IFERROR(__xludf.DUMMYFUNCTION("""COMPUTED_VALUE"""),0.196)</f>
        <v>0.196</v>
      </c>
      <c r="Y2016" s="14" t="str">
        <f>IFERROR(__xludf.DUMMYFUNCTION("""COMPUTED_VALUE"""),"Samoa-Oceania")</f>
        <v>Samoa-Oceania</v>
      </c>
      <c r="Z2016" s="14" t="str">
        <f>IFERROR(__xludf.DUMMYFUNCTION("""COMPUTED_VALUE"""),"Oceania")</f>
        <v>Oceania</v>
      </c>
      <c r="AA2016" s="14" t="str">
        <f>IFERROR(__xludf.DUMMYFUNCTION("""COMPUTED_VALUE"""),"2012")</f>
        <v>2012</v>
      </c>
      <c r="AB2016" s="15" t="str">
        <f>IFERROR(__xludf.DUMMYFUNCTION("ARRAYFORMULA(VLOOKUP(A2016,IMPORTRANGE(""https://docs.google.com/spreadsheets/d/1BuTWp7qHGjWhqrnf-OmePP568O4A5Am9ttzvVdP67zw/edit#gid=1931367683"" ,""ENERGY!$A$2:$F$2692""), {2,3,4,5,6},0))"),"Oceania")</f>
        <v>Oceania</v>
      </c>
      <c r="AC2016" s="14" t="str">
        <f>IFERROR(__xludf.DUMMYFUNCTION("""COMPUTED_VALUE"""),"Samoa-Oceania")</f>
        <v>Samoa-Oceania</v>
      </c>
      <c r="AD2016" s="14" t="str">
        <f>IFERROR(__xludf.DUMMYFUNCTION("""COMPUTED_VALUE"""),"2011")</f>
        <v>2011</v>
      </c>
      <c r="AE2016" s="14"/>
      <c r="AF2016" s="14">
        <f>IFERROR(__xludf.DUMMYFUNCTION("""COMPUTED_VALUE"""),139.0)</f>
        <v>139</v>
      </c>
    </row>
    <row r="2017">
      <c r="A2017" s="12">
        <v>2016.0</v>
      </c>
      <c r="B2017" s="12" t="s">
        <v>234</v>
      </c>
      <c r="C2017" s="5" t="s">
        <v>75</v>
      </c>
      <c r="D2017" s="8"/>
      <c r="E2017" s="8"/>
      <c r="F2017" s="8"/>
      <c r="G2017" s="8"/>
      <c r="H2017" s="11">
        <v>0.488</v>
      </c>
      <c r="I2017" s="11">
        <v>0.538</v>
      </c>
      <c r="J2017" s="9" t="s">
        <v>60</v>
      </c>
      <c r="K2017" s="14" t="str">
        <f>IFERROR(__xludf.DUMMYFUNCTION("ARRAYFORMULA(VLOOKUP(A2017,IMPORTRANGE(""https://docs.google.com/spreadsheets/d/1BuTWp7qHGjWhqrnf-OmePP568O4A5Am9ttzvVdP67zw/edit#gid=1603210130"", ""TOURISM!$A$2:$F$2692""), {2,3,4,5,6},0))"),"Europe")</f>
        <v>Europe</v>
      </c>
      <c r="L2017" s="14"/>
      <c r="M2017" s="14" t="str">
        <f>IFERROR(__xludf.DUMMYFUNCTION("""COMPUTED_VALUE"""),"San Marino-Europe")</f>
        <v>San Marino-Europe</v>
      </c>
      <c r="N2017" s="14" t="str">
        <f>IFERROR(__xludf.DUMMYFUNCTION("""COMPUTED_VALUE"""),"2000")</f>
        <v>2000</v>
      </c>
      <c r="O2017" s="14"/>
      <c r="P2017" s="15" t="str">
        <f>IFERROR(__xludf.DUMMYFUNCTION("ARRAYFORMULA(VLOOKUP(A2017,IMPORTRANGE(""https://docs.google.com/spreadsheets/d/1BuTWp7qHGjWhqrnf-OmePP568O4A5Am9ttzvVdP67zw/edit#gid=771602874"" ,""HUMAN RESOURCES!$A$2:$M$2692""), {2,3,4,5,6,7,8,9,10,11,12,13},0))"),"")</f>
        <v/>
      </c>
      <c r="Q2017" s="14">
        <f>IFERROR(__xludf.DUMMYFUNCTION("""COMPUTED_VALUE"""),0.005)</f>
        <v>0.005</v>
      </c>
      <c r="R2017" s="14">
        <f>IFERROR(__xludf.DUMMYFUNCTION("""COMPUTED_VALUE"""),84.0)</f>
        <v>84</v>
      </c>
      <c r="S2017" s="14">
        <f>IFERROR(__xludf.DUMMYFUNCTION("""COMPUTED_VALUE"""),77.0)</f>
        <v>77</v>
      </c>
      <c r="T2017" s="14"/>
      <c r="U2017" s="14"/>
      <c r="V2017" s="14"/>
      <c r="W2017" s="14">
        <f>IFERROR(__xludf.DUMMYFUNCTION("""COMPUTED_VALUE"""),26969.0)</f>
        <v>26969</v>
      </c>
      <c r="X2017" s="14">
        <f>IFERROR(__xludf.DUMMYFUNCTION("""COMPUTED_VALUE"""),0.934)</f>
        <v>0.934</v>
      </c>
      <c r="Y2017" s="14" t="str">
        <f>IFERROR(__xludf.DUMMYFUNCTION("""COMPUTED_VALUE"""),"San Marino-Europe")</f>
        <v>San Marino-Europe</v>
      </c>
      <c r="Z2017" s="14" t="str">
        <f>IFERROR(__xludf.DUMMYFUNCTION("""COMPUTED_VALUE"""),"Europe")</f>
        <v>Europe</v>
      </c>
      <c r="AA2017" s="14" t="str">
        <f>IFERROR(__xludf.DUMMYFUNCTION("""COMPUTED_VALUE"""),"2000")</f>
        <v>2000</v>
      </c>
      <c r="AB2017" s="15" t="str">
        <f>IFERROR(__xludf.DUMMYFUNCTION("ARRAYFORMULA(VLOOKUP(A2017,IMPORTRANGE(""https://docs.google.com/spreadsheets/d/1BuTWp7qHGjWhqrnf-OmePP568O4A5Am9ttzvVdP67zw/edit#gid=1931367683"" ,""ENERGY!$A$2:$F$2692""), {2,3,4,5,6},0))"),"Europe")</f>
        <v>Europe</v>
      </c>
      <c r="AC2017" s="14" t="str">
        <f>IFERROR(__xludf.DUMMYFUNCTION("""COMPUTED_VALUE"""),"San Marino-Europe")</f>
        <v>San Marino-Europe</v>
      </c>
      <c r="AD2017" s="14" t="str">
        <f>IFERROR(__xludf.DUMMYFUNCTION("""COMPUTED_VALUE"""),"2000")</f>
        <v>2000</v>
      </c>
      <c r="AE2017" s="14"/>
      <c r="AF2017" s="14"/>
    </row>
    <row r="2018">
      <c r="A2018" s="12">
        <v>2017.0</v>
      </c>
      <c r="B2018" s="12" t="s">
        <v>234</v>
      </c>
      <c r="C2018" s="5" t="s">
        <v>75</v>
      </c>
      <c r="D2018" s="8"/>
      <c r="E2018" s="8"/>
      <c r="F2018" s="8"/>
      <c r="G2018" s="8"/>
      <c r="H2018" s="11">
        <v>0.503</v>
      </c>
      <c r="I2018" s="11">
        <v>0.577</v>
      </c>
      <c r="J2018" s="9" t="s">
        <v>62</v>
      </c>
      <c r="K2018" s="14" t="str">
        <f>IFERROR(__xludf.DUMMYFUNCTION("ARRAYFORMULA(VLOOKUP(A2018,IMPORTRANGE(""https://docs.google.com/spreadsheets/d/1BuTWp7qHGjWhqrnf-OmePP568O4A5Am9ttzvVdP67zw/edit#gid=1603210130"", ""TOURISM!$A$2:$F$2692""), {2,3,4,5,6},0))"),"Europe")</f>
        <v>Europe</v>
      </c>
      <c r="L2018" s="14"/>
      <c r="M2018" s="14" t="str">
        <f>IFERROR(__xludf.DUMMYFUNCTION("""COMPUTED_VALUE"""),"San Marino-Europe")</f>
        <v>San Marino-Europe</v>
      </c>
      <c r="N2018" s="14" t="str">
        <f>IFERROR(__xludf.DUMMYFUNCTION("""COMPUTED_VALUE"""),"2001")</f>
        <v>2001</v>
      </c>
      <c r="O2018" s="14"/>
      <c r="P2018" s="15" t="str">
        <f>IFERROR(__xludf.DUMMYFUNCTION("ARRAYFORMULA(VLOOKUP(A2018,IMPORTRANGE(""https://docs.google.com/spreadsheets/d/1BuTWp7qHGjWhqrnf-OmePP568O4A5Am9ttzvVdP67zw/edit#gid=771602874"" ,""HUMAN RESOURCES!$A$2:$M$2692""), {2,3,4,5,6,7,8,9,10,11,12,13},0))"),"")</f>
        <v/>
      </c>
      <c r="Q2018" s="14">
        <f>IFERROR(__xludf.DUMMYFUNCTION("""COMPUTED_VALUE"""),0.005)</f>
        <v>0.005</v>
      </c>
      <c r="R2018" s="14">
        <f>IFERROR(__xludf.DUMMYFUNCTION("""COMPUTED_VALUE"""),84.0)</f>
        <v>84</v>
      </c>
      <c r="S2018" s="14">
        <f>IFERROR(__xludf.DUMMYFUNCTION("""COMPUTED_VALUE"""),78.0)</f>
        <v>78</v>
      </c>
      <c r="T2018" s="14"/>
      <c r="U2018" s="14"/>
      <c r="V2018" s="14"/>
      <c r="W2018" s="14">
        <f>IFERROR(__xludf.DUMMYFUNCTION("""COMPUTED_VALUE"""),27467.0)</f>
        <v>27467</v>
      </c>
      <c r="X2018" s="14">
        <f>IFERROR(__xludf.DUMMYFUNCTION("""COMPUTED_VALUE"""),0.938)</f>
        <v>0.938</v>
      </c>
      <c r="Y2018" s="14" t="str">
        <f>IFERROR(__xludf.DUMMYFUNCTION("""COMPUTED_VALUE"""),"San Marino-Europe")</f>
        <v>San Marino-Europe</v>
      </c>
      <c r="Z2018" s="14" t="str">
        <f>IFERROR(__xludf.DUMMYFUNCTION("""COMPUTED_VALUE"""),"Europe")</f>
        <v>Europe</v>
      </c>
      <c r="AA2018" s="14" t="str">
        <f>IFERROR(__xludf.DUMMYFUNCTION("""COMPUTED_VALUE"""),"2001")</f>
        <v>2001</v>
      </c>
      <c r="AB2018" s="15" t="str">
        <f>IFERROR(__xludf.DUMMYFUNCTION("ARRAYFORMULA(VLOOKUP(A2018,IMPORTRANGE(""https://docs.google.com/spreadsheets/d/1BuTWp7qHGjWhqrnf-OmePP568O4A5Am9ttzvVdP67zw/edit#gid=1931367683"" ,""ENERGY!$A$2:$F$2692""), {2,3,4,5,6},0))"),"Europe")</f>
        <v>Europe</v>
      </c>
      <c r="AC2018" s="14" t="str">
        <f>IFERROR(__xludf.DUMMYFUNCTION("""COMPUTED_VALUE"""),"San Marino-Europe")</f>
        <v>San Marino-Europe</v>
      </c>
      <c r="AD2018" s="14" t="str">
        <f>IFERROR(__xludf.DUMMYFUNCTION("""COMPUTED_VALUE"""),"2001")</f>
        <v>2001</v>
      </c>
      <c r="AE2018" s="14"/>
      <c r="AF2018" s="14"/>
    </row>
    <row r="2019">
      <c r="A2019" s="12">
        <v>2018.0</v>
      </c>
      <c r="B2019" s="12" t="s">
        <v>234</v>
      </c>
      <c r="C2019" s="5" t="s">
        <v>75</v>
      </c>
      <c r="D2019" s="8"/>
      <c r="E2019" s="8"/>
      <c r="F2019" s="8"/>
      <c r="G2019" s="8"/>
      <c r="H2019" s="11">
        <v>0.508</v>
      </c>
      <c r="I2019" s="11">
        <v>0.597</v>
      </c>
      <c r="J2019" s="9" t="s">
        <v>63</v>
      </c>
      <c r="K2019" s="14" t="str">
        <f>IFERROR(__xludf.DUMMYFUNCTION("ARRAYFORMULA(VLOOKUP(A2019,IMPORTRANGE(""https://docs.google.com/spreadsheets/d/1BuTWp7qHGjWhqrnf-OmePP568O4A5Am9ttzvVdP67zw/edit#gid=1603210130"", ""TOURISM!$A$2:$F$2692""), {2,3,4,5,6},0))"),"Europe")</f>
        <v>Europe</v>
      </c>
      <c r="L2019" s="14"/>
      <c r="M2019" s="14" t="str">
        <f>IFERROR(__xludf.DUMMYFUNCTION("""COMPUTED_VALUE"""),"San Marino-Europe")</f>
        <v>San Marino-Europe</v>
      </c>
      <c r="N2019" s="14" t="str">
        <f>IFERROR(__xludf.DUMMYFUNCTION("""COMPUTED_VALUE"""),"2002")</f>
        <v>2002</v>
      </c>
      <c r="O2019" s="14"/>
      <c r="P2019" s="15" t="str">
        <f>IFERROR(__xludf.DUMMYFUNCTION("ARRAYFORMULA(VLOOKUP(A2019,IMPORTRANGE(""https://docs.google.com/spreadsheets/d/1BuTWp7qHGjWhqrnf-OmePP568O4A5Am9ttzvVdP67zw/edit#gid=771602874"" ,""HUMAN RESOURCES!$A$2:$M$2692""), {2,3,4,5,6,7,8,9,10,11,12,13},0))"),"")</f>
        <v/>
      </c>
      <c r="Q2019" s="14">
        <f>IFERROR(__xludf.DUMMYFUNCTION("""COMPUTED_VALUE"""),0.004)</f>
        <v>0.004</v>
      </c>
      <c r="R2019" s="14">
        <f>IFERROR(__xludf.DUMMYFUNCTION("""COMPUTED_VALUE"""),85.0)</f>
        <v>85</v>
      </c>
      <c r="S2019" s="14">
        <f>IFERROR(__xludf.DUMMYFUNCTION("""COMPUTED_VALUE"""),78.0)</f>
        <v>78</v>
      </c>
      <c r="T2019" s="14"/>
      <c r="U2019" s="14"/>
      <c r="V2019" s="14"/>
      <c r="W2019" s="14">
        <f>IFERROR(__xludf.DUMMYFUNCTION("""COMPUTED_VALUE"""),28064.0)</f>
        <v>28064</v>
      </c>
      <c r="X2019" s="14">
        <f>IFERROR(__xludf.DUMMYFUNCTION("""COMPUTED_VALUE"""),0.939)</f>
        <v>0.939</v>
      </c>
      <c r="Y2019" s="14" t="str">
        <f>IFERROR(__xludf.DUMMYFUNCTION("""COMPUTED_VALUE"""),"San Marino-Europe")</f>
        <v>San Marino-Europe</v>
      </c>
      <c r="Z2019" s="14" t="str">
        <f>IFERROR(__xludf.DUMMYFUNCTION("""COMPUTED_VALUE"""),"Europe")</f>
        <v>Europe</v>
      </c>
      <c r="AA2019" s="14" t="str">
        <f>IFERROR(__xludf.DUMMYFUNCTION("""COMPUTED_VALUE"""),"2002")</f>
        <v>2002</v>
      </c>
      <c r="AB2019" s="15" t="str">
        <f>IFERROR(__xludf.DUMMYFUNCTION("ARRAYFORMULA(VLOOKUP(A2019,IMPORTRANGE(""https://docs.google.com/spreadsheets/d/1BuTWp7qHGjWhqrnf-OmePP568O4A5Am9ttzvVdP67zw/edit#gid=1931367683"" ,""ENERGY!$A$2:$F$2692""), {2,3,4,5,6},0))"),"Europe")</f>
        <v>Europe</v>
      </c>
      <c r="AC2019" s="14" t="str">
        <f>IFERROR(__xludf.DUMMYFUNCTION("""COMPUTED_VALUE"""),"San Marino-Europe")</f>
        <v>San Marino-Europe</v>
      </c>
      <c r="AD2019" s="14" t="str">
        <f>IFERROR(__xludf.DUMMYFUNCTION("""COMPUTED_VALUE"""),"2002")</f>
        <v>2002</v>
      </c>
      <c r="AE2019" s="14"/>
      <c r="AF2019" s="14"/>
    </row>
    <row r="2020">
      <c r="A2020" s="12">
        <v>2019.0</v>
      </c>
      <c r="B2020" s="12" t="s">
        <v>234</v>
      </c>
      <c r="C2020" s="5" t="s">
        <v>75</v>
      </c>
      <c r="D2020" s="8"/>
      <c r="E2020" s="8"/>
      <c r="F2020" s="8"/>
      <c r="G2020" s="8"/>
      <c r="H2020" s="11">
        <v>0.5</v>
      </c>
      <c r="I2020" s="11">
        <v>0.589</v>
      </c>
      <c r="J2020" s="9" t="s">
        <v>64</v>
      </c>
      <c r="K2020" s="14" t="str">
        <f>IFERROR(__xludf.DUMMYFUNCTION("ARRAYFORMULA(VLOOKUP(A2020,IMPORTRANGE(""https://docs.google.com/spreadsheets/d/1BuTWp7qHGjWhqrnf-OmePP568O4A5Am9ttzvVdP67zw/edit#gid=1603210130"", ""TOURISM!$A$2:$F$2692""), {2,3,4,5,6},0))"),"Europe")</f>
        <v>Europe</v>
      </c>
      <c r="L2020" s="14"/>
      <c r="M2020" s="14" t="str">
        <f>IFERROR(__xludf.DUMMYFUNCTION("""COMPUTED_VALUE"""),"San Marino-Europe")</f>
        <v>San Marino-Europe</v>
      </c>
      <c r="N2020" s="14" t="str">
        <f>IFERROR(__xludf.DUMMYFUNCTION("""COMPUTED_VALUE"""),"2003")</f>
        <v>2003</v>
      </c>
      <c r="O2020" s="14"/>
      <c r="P2020" s="15" t="str">
        <f>IFERROR(__xludf.DUMMYFUNCTION("ARRAYFORMULA(VLOOKUP(A2020,IMPORTRANGE(""https://docs.google.com/spreadsheets/d/1BuTWp7qHGjWhqrnf-OmePP568O4A5Am9ttzvVdP67zw/edit#gid=771602874"" ,""HUMAN RESOURCES!$A$2:$M$2692""), {2,3,4,5,6,7,8,9,10,11,12,13},0))"),"")</f>
        <v/>
      </c>
      <c r="Q2020" s="14">
        <f>IFERROR(__xludf.DUMMYFUNCTION("""COMPUTED_VALUE"""),0.004)</f>
        <v>0.004</v>
      </c>
      <c r="R2020" s="14">
        <f>IFERROR(__xludf.DUMMYFUNCTION("""COMPUTED_VALUE"""),85.0)</f>
        <v>85</v>
      </c>
      <c r="S2020" s="14">
        <f>IFERROR(__xludf.DUMMYFUNCTION("""COMPUTED_VALUE"""),78.0)</f>
        <v>78</v>
      </c>
      <c r="T2020" s="14"/>
      <c r="U2020" s="14"/>
      <c r="V2020" s="14"/>
      <c r="W2020" s="14">
        <f>IFERROR(__xludf.DUMMYFUNCTION("""COMPUTED_VALUE"""),28700.0)</f>
        <v>28700</v>
      </c>
      <c r="X2020" s="14">
        <f>IFERROR(__xludf.DUMMYFUNCTION("""COMPUTED_VALUE"""),0.94)</f>
        <v>0.94</v>
      </c>
      <c r="Y2020" s="14" t="str">
        <f>IFERROR(__xludf.DUMMYFUNCTION("""COMPUTED_VALUE"""),"San Marino-Europe")</f>
        <v>San Marino-Europe</v>
      </c>
      <c r="Z2020" s="14" t="str">
        <f>IFERROR(__xludf.DUMMYFUNCTION("""COMPUTED_VALUE"""),"Europe")</f>
        <v>Europe</v>
      </c>
      <c r="AA2020" s="14" t="str">
        <f>IFERROR(__xludf.DUMMYFUNCTION("""COMPUTED_VALUE"""),"2003")</f>
        <v>2003</v>
      </c>
      <c r="AB2020" s="15" t="str">
        <f>IFERROR(__xludf.DUMMYFUNCTION("ARRAYFORMULA(VLOOKUP(A2020,IMPORTRANGE(""https://docs.google.com/spreadsheets/d/1BuTWp7qHGjWhqrnf-OmePP568O4A5Am9ttzvVdP67zw/edit#gid=1931367683"" ,""ENERGY!$A$2:$F$2692""), {2,3,4,5,6},0))"),"Europe")</f>
        <v>Europe</v>
      </c>
      <c r="AC2020" s="14" t="str">
        <f>IFERROR(__xludf.DUMMYFUNCTION("""COMPUTED_VALUE"""),"San Marino-Europe")</f>
        <v>San Marino-Europe</v>
      </c>
      <c r="AD2020" s="14" t="str">
        <f>IFERROR(__xludf.DUMMYFUNCTION("""COMPUTED_VALUE"""),"2003")</f>
        <v>2003</v>
      </c>
      <c r="AE2020" s="14"/>
      <c r="AF2020" s="14"/>
    </row>
    <row r="2021">
      <c r="A2021" s="12">
        <v>2020.0</v>
      </c>
      <c r="B2021" s="12" t="s">
        <v>234</v>
      </c>
      <c r="C2021" s="5" t="s">
        <v>75</v>
      </c>
      <c r="D2021" s="8"/>
      <c r="E2021" s="8"/>
      <c r="F2021" s="8"/>
      <c r="G2021" s="8"/>
      <c r="H2021" s="11">
        <v>0.506</v>
      </c>
      <c r="I2021" s="11">
        <v>0.583</v>
      </c>
      <c r="J2021" s="9" t="s">
        <v>65</v>
      </c>
      <c r="K2021" s="14" t="str">
        <f>IFERROR(__xludf.DUMMYFUNCTION("ARRAYFORMULA(VLOOKUP(A2021,IMPORTRANGE(""https://docs.google.com/spreadsheets/d/1BuTWp7qHGjWhqrnf-OmePP568O4A5Am9ttzvVdP67zw/edit#gid=1603210130"", ""TOURISM!$A$2:$F$2692""), {2,3,4,5,6},0))"),"Europe")</f>
        <v>Europe</v>
      </c>
      <c r="L2021" s="14"/>
      <c r="M2021" s="14" t="str">
        <f>IFERROR(__xludf.DUMMYFUNCTION("""COMPUTED_VALUE"""),"San Marino-Europe")</f>
        <v>San Marino-Europe</v>
      </c>
      <c r="N2021" s="14" t="str">
        <f>IFERROR(__xludf.DUMMYFUNCTION("""COMPUTED_VALUE"""),"2004")</f>
        <v>2004</v>
      </c>
      <c r="O2021" s="14"/>
      <c r="P2021" s="15">
        <f>IFERROR(__xludf.DUMMYFUNCTION("ARRAYFORMULA(VLOOKUP(A2021,IMPORTRANGE(""https://docs.google.com/spreadsheets/d/1BuTWp7qHGjWhqrnf-OmePP568O4A5Am9ttzvVdP67zw/edit#gid=771602874"" ,""HUMAN RESOURCES!$A$2:$M$2692""), {2,3,4,5,6,7,8,9,10,11,12,13},0))"),0.01)</f>
        <v>0.01</v>
      </c>
      <c r="Q2021" s="14">
        <f>IFERROR(__xludf.DUMMYFUNCTION("""COMPUTED_VALUE"""),0.004)</f>
        <v>0.004</v>
      </c>
      <c r="R2021" s="14">
        <f>IFERROR(__xludf.DUMMYFUNCTION("""COMPUTED_VALUE"""),85.0)</f>
        <v>85</v>
      </c>
      <c r="S2021" s="14">
        <f>IFERROR(__xludf.DUMMYFUNCTION("""COMPUTED_VALUE"""),79.0)</f>
        <v>79</v>
      </c>
      <c r="T2021" s="14"/>
      <c r="U2021" s="14"/>
      <c r="V2021" s="14"/>
      <c r="W2021" s="14">
        <f>IFERROR(__xludf.DUMMYFUNCTION("""COMPUTED_VALUE"""),29290.0)</f>
        <v>29290</v>
      </c>
      <c r="X2021" s="14">
        <f>IFERROR(__xludf.DUMMYFUNCTION("""COMPUTED_VALUE"""),0.94)</f>
        <v>0.94</v>
      </c>
      <c r="Y2021" s="14" t="str">
        <f>IFERROR(__xludf.DUMMYFUNCTION("""COMPUTED_VALUE"""),"San Marino-Europe")</f>
        <v>San Marino-Europe</v>
      </c>
      <c r="Z2021" s="14" t="str">
        <f>IFERROR(__xludf.DUMMYFUNCTION("""COMPUTED_VALUE"""),"Europe")</f>
        <v>Europe</v>
      </c>
      <c r="AA2021" s="14" t="str">
        <f>IFERROR(__xludf.DUMMYFUNCTION("""COMPUTED_VALUE"""),"2004")</f>
        <v>2004</v>
      </c>
      <c r="AB2021" s="15" t="str">
        <f>IFERROR(__xludf.DUMMYFUNCTION("ARRAYFORMULA(VLOOKUP(A2021,IMPORTRANGE(""https://docs.google.com/spreadsheets/d/1BuTWp7qHGjWhqrnf-OmePP568O4A5Am9ttzvVdP67zw/edit#gid=1931367683"" ,""ENERGY!$A$2:$F$2692""), {2,3,4,5,6},0))"),"Europe")</f>
        <v>Europe</v>
      </c>
      <c r="AC2021" s="14" t="str">
        <f>IFERROR(__xludf.DUMMYFUNCTION("""COMPUTED_VALUE"""),"San Marino-Europe")</f>
        <v>San Marino-Europe</v>
      </c>
      <c r="AD2021" s="14" t="str">
        <f>IFERROR(__xludf.DUMMYFUNCTION("""COMPUTED_VALUE"""),"2004")</f>
        <v>2004</v>
      </c>
      <c r="AE2021" s="14"/>
      <c r="AF2021" s="14"/>
    </row>
    <row r="2022">
      <c r="A2022" s="12">
        <v>2021.0</v>
      </c>
      <c r="B2022" s="12" t="s">
        <v>234</v>
      </c>
      <c r="C2022" s="5" t="s">
        <v>75</v>
      </c>
      <c r="D2022" s="8"/>
      <c r="E2022" s="8"/>
      <c r="F2022" s="8"/>
      <c r="G2022" s="8"/>
      <c r="H2022" s="11">
        <v>0.503</v>
      </c>
      <c r="I2022" s="11">
        <v>0.576</v>
      </c>
      <c r="J2022" s="9" t="s">
        <v>66</v>
      </c>
      <c r="K2022" s="14" t="str">
        <f>IFERROR(__xludf.DUMMYFUNCTION("ARRAYFORMULA(VLOOKUP(A2022,IMPORTRANGE(""https://docs.google.com/spreadsheets/d/1BuTWp7qHGjWhqrnf-OmePP568O4A5Am9ttzvVdP67zw/edit#gid=1603210130"", ""TOURISM!$A$2:$F$2692""), {2,3,4,5,6},0))"),"Europe")</f>
        <v>Europe</v>
      </c>
      <c r="L2022" s="14"/>
      <c r="M2022" s="14" t="str">
        <f>IFERROR(__xludf.DUMMYFUNCTION("""COMPUTED_VALUE"""),"San Marino-Europe")</f>
        <v>San Marino-Europe</v>
      </c>
      <c r="N2022" s="14" t="str">
        <f>IFERROR(__xludf.DUMMYFUNCTION("""COMPUTED_VALUE"""),"2005")</f>
        <v>2005</v>
      </c>
      <c r="O2022" s="14"/>
      <c r="P2022" s="15">
        <f>IFERROR(__xludf.DUMMYFUNCTION("ARRAYFORMULA(VLOOKUP(A2022,IMPORTRANGE(""https://docs.google.com/spreadsheets/d/1BuTWp7qHGjWhqrnf-OmePP568O4A5Am9ttzvVdP67zw/edit#gid=771602874"" ,""HUMAN RESOURCES!$A$2:$M$2692""), {2,3,4,5,6,7,8,9,10,11,12,13},0))"),0.01)</f>
        <v>0.01</v>
      </c>
      <c r="Q2022" s="14">
        <f>IFERROR(__xludf.DUMMYFUNCTION("""COMPUTED_VALUE"""),0.004)</f>
        <v>0.004</v>
      </c>
      <c r="R2022" s="14">
        <f>IFERROR(__xludf.DUMMYFUNCTION("""COMPUTED_VALUE"""),85.0)</f>
        <v>85</v>
      </c>
      <c r="S2022" s="14">
        <f>IFERROR(__xludf.DUMMYFUNCTION("""COMPUTED_VALUE"""),79.0)</f>
        <v>79</v>
      </c>
      <c r="T2022" s="14"/>
      <c r="U2022" s="14"/>
      <c r="V2022" s="14"/>
      <c r="W2022" s="14">
        <f>IFERROR(__xludf.DUMMYFUNCTION("""COMPUTED_VALUE"""),29775.0)</f>
        <v>29775</v>
      </c>
      <c r="X2022" s="14">
        <f>IFERROR(__xludf.DUMMYFUNCTION("""COMPUTED_VALUE"""),0.94)</f>
        <v>0.94</v>
      </c>
      <c r="Y2022" s="14" t="str">
        <f>IFERROR(__xludf.DUMMYFUNCTION("""COMPUTED_VALUE"""),"San Marino-Europe")</f>
        <v>San Marino-Europe</v>
      </c>
      <c r="Z2022" s="14" t="str">
        <f>IFERROR(__xludf.DUMMYFUNCTION("""COMPUTED_VALUE"""),"Europe")</f>
        <v>Europe</v>
      </c>
      <c r="AA2022" s="14" t="str">
        <f>IFERROR(__xludf.DUMMYFUNCTION("""COMPUTED_VALUE"""),"2005")</f>
        <v>2005</v>
      </c>
      <c r="AB2022" s="15" t="str">
        <f>IFERROR(__xludf.DUMMYFUNCTION("ARRAYFORMULA(VLOOKUP(A2022,IMPORTRANGE(""https://docs.google.com/spreadsheets/d/1BuTWp7qHGjWhqrnf-OmePP568O4A5Am9ttzvVdP67zw/edit#gid=1931367683"" ,""ENERGY!$A$2:$F$2692""), {2,3,4,5,6},0))"),"Europe")</f>
        <v>Europe</v>
      </c>
      <c r="AC2022" s="14" t="str">
        <f>IFERROR(__xludf.DUMMYFUNCTION("""COMPUTED_VALUE"""),"San Marino-Europe")</f>
        <v>San Marino-Europe</v>
      </c>
      <c r="AD2022" s="14" t="str">
        <f>IFERROR(__xludf.DUMMYFUNCTION("""COMPUTED_VALUE"""),"2008")</f>
        <v>2008</v>
      </c>
      <c r="AE2022" s="14"/>
      <c r="AF2022" s="14"/>
    </row>
    <row r="2023">
      <c r="A2023" s="12">
        <v>2022.0</v>
      </c>
      <c r="B2023" s="12" t="s">
        <v>234</v>
      </c>
      <c r="C2023" s="5" t="s">
        <v>75</v>
      </c>
      <c r="D2023" s="8"/>
      <c r="E2023" s="8"/>
      <c r="F2023" s="8"/>
      <c r="G2023" s="8"/>
      <c r="H2023" s="11">
        <v>0.502</v>
      </c>
      <c r="I2023" s="11">
        <v>0.577</v>
      </c>
      <c r="J2023" s="9" t="s">
        <v>67</v>
      </c>
      <c r="K2023" s="14" t="str">
        <f>IFERROR(__xludf.DUMMYFUNCTION("ARRAYFORMULA(VLOOKUP(A2023,IMPORTRANGE(""https://docs.google.com/spreadsheets/d/1BuTWp7qHGjWhqrnf-OmePP568O4A5Am9ttzvVdP67zw/edit#gid=1603210130"", ""TOURISM!$A$2:$F$2692""), {2,3,4,5,6},0))"),"Europe")</f>
        <v>Europe</v>
      </c>
      <c r="L2023" s="14"/>
      <c r="M2023" s="14" t="str">
        <f>IFERROR(__xludf.DUMMYFUNCTION("""COMPUTED_VALUE"""),"San Marino-Europe")</f>
        <v>San Marino-Europe</v>
      </c>
      <c r="N2023" s="14" t="str">
        <f>IFERROR(__xludf.DUMMYFUNCTION("""COMPUTED_VALUE"""),"2006")</f>
        <v>2006</v>
      </c>
      <c r="O2023" s="14"/>
      <c r="P2023" s="15">
        <f>IFERROR(__xludf.DUMMYFUNCTION("ARRAYFORMULA(VLOOKUP(A2023,IMPORTRANGE(""https://docs.google.com/spreadsheets/d/1BuTWp7qHGjWhqrnf-OmePP568O4A5Am9ttzvVdP67zw/edit#gid=771602874"" ,""HUMAN RESOURCES!$A$2:$M$2692""), {2,3,4,5,6,7,8,9,10,11,12,13},0))"),0.01)</f>
        <v>0.01</v>
      </c>
      <c r="Q2023" s="14">
        <f>IFERROR(__xludf.DUMMYFUNCTION("""COMPUTED_VALUE"""),0.004)</f>
        <v>0.004</v>
      </c>
      <c r="R2023" s="14">
        <f>IFERROR(__xludf.DUMMYFUNCTION("""COMPUTED_VALUE"""),85.0)</f>
        <v>85</v>
      </c>
      <c r="S2023" s="14">
        <f>IFERROR(__xludf.DUMMYFUNCTION("""COMPUTED_VALUE"""),79.0)</f>
        <v>79</v>
      </c>
      <c r="T2023" s="14"/>
      <c r="U2023" s="14"/>
      <c r="V2023" s="14"/>
      <c r="W2023" s="14">
        <f>IFERROR(__xludf.DUMMYFUNCTION("""COMPUTED_VALUE"""),30130.0)</f>
        <v>30130</v>
      </c>
      <c r="X2023" s="14">
        <f>IFERROR(__xludf.DUMMYFUNCTION("""COMPUTED_VALUE"""),0.94)</f>
        <v>0.94</v>
      </c>
      <c r="Y2023" s="14" t="str">
        <f>IFERROR(__xludf.DUMMYFUNCTION("""COMPUTED_VALUE"""),"San Marino-Europe")</f>
        <v>San Marino-Europe</v>
      </c>
      <c r="Z2023" s="14" t="str">
        <f>IFERROR(__xludf.DUMMYFUNCTION("""COMPUTED_VALUE"""),"Europe")</f>
        <v>Europe</v>
      </c>
      <c r="AA2023" s="14" t="str">
        <f>IFERROR(__xludf.DUMMYFUNCTION("""COMPUTED_VALUE"""),"2006")</f>
        <v>2006</v>
      </c>
      <c r="AB2023" s="15" t="str">
        <f>IFERROR(__xludf.DUMMYFUNCTION("ARRAYFORMULA(VLOOKUP(A2023,IMPORTRANGE(""https://docs.google.com/spreadsheets/d/1BuTWp7qHGjWhqrnf-OmePP568O4A5Am9ttzvVdP67zw/edit#gid=1931367683"" ,""ENERGY!$A$2:$F$2692""), {2,3,4,5,6},0))"),"Europe")</f>
        <v>Europe</v>
      </c>
      <c r="AC2023" s="14" t="str">
        <f>IFERROR(__xludf.DUMMYFUNCTION("""COMPUTED_VALUE"""),"San Marino-Europe")</f>
        <v>San Marino-Europe</v>
      </c>
      <c r="AD2023" s="14" t="str">
        <f>IFERROR(__xludf.DUMMYFUNCTION("""COMPUTED_VALUE"""),"2012")</f>
        <v>2012</v>
      </c>
      <c r="AE2023" s="14"/>
      <c r="AF2023" s="14"/>
    </row>
    <row r="2024">
      <c r="A2024" s="12">
        <v>2023.0</v>
      </c>
      <c r="B2024" s="12" t="s">
        <v>234</v>
      </c>
      <c r="C2024" s="5" t="s">
        <v>75</v>
      </c>
      <c r="D2024" s="8"/>
      <c r="E2024" s="8"/>
      <c r="F2024" s="8"/>
      <c r="G2024" s="8"/>
      <c r="H2024" s="11">
        <v>0.504</v>
      </c>
      <c r="I2024" s="11">
        <v>0.576</v>
      </c>
      <c r="J2024" s="9" t="s">
        <v>68</v>
      </c>
      <c r="K2024" s="14" t="str">
        <f>IFERROR(__xludf.DUMMYFUNCTION("ARRAYFORMULA(VLOOKUP(A2024,IMPORTRANGE(""https://docs.google.com/spreadsheets/d/1BuTWp7qHGjWhqrnf-OmePP568O4A5Am9ttzvVdP67zw/edit#gid=1603210130"", ""TOURISM!$A$2:$F$2692""), {2,3,4,5,6},0))"),"Europe")</f>
        <v>Europe</v>
      </c>
      <c r="L2024" s="14"/>
      <c r="M2024" s="14" t="str">
        <f>IFERROR(__xludf.DUMMYFUNCTION("""COMPUTED_VALUE"""),"San Marino-Europe")</f>
        <v>San Marino-Europe</v>
      </c>
      <c r="N2024" s="14" t="str">
        <f>IFERROR(__xludf.DUMMYFUNCTION("""COMPUTED_VALUE"""),"2007")</f>
        <v>2007</v>
      </c>
      <c r="O2024" s="14"/>
      <c r="P2024" s="15">
        <f>IFERROR(__xludf.DUMMYFUNCTION("ARRAYFORMULA(VLOOKUP(A2024,IMPORTRANGE(""https://docs.google.com/spreadsheets/d/1BuTWp7qHGjWhqrnf-OmePP568O4A5Am9ttzvVdP67zw/edit#gid=771602874"" ,""HUMAN RESOURCES!$A$2:$M$2692""), {2,3,4,5,6,7,8,9,10,11,12,13},0))"),0.009)</f>
        <v>0.009</v>
      </c>
      <c r="Q2024" s="14">
        <f>IFERROR(__xludf.DUMMYFUNCTION("""COMPUTED_VALUE"""),0.003)</f>
        <v>0.003</v>
      </c>
      <c r="R2024" s="14">
        <f>IFERROR(__xludf.DUMMYFUNCTION("""COMPUTED_VALUE"""),85.0)</f>
        <v>85</v>
      </c>
      <c r="S2024" s="14">
        <f>IFERROR(__xludf.DUMMYFUNCTION("""COMPUTED_VALUE"""),80.0)</f>
        <v>80</v>
      </c>
      <c r="T2024" s="14"/>
      <c r="U2024" s="14"/>
      <c r="V2024" s="14"/>
      <c r="W2024" s="14">
        <f>IFERROR(__xludf.DUMMYFUNCTION("""COMPUTED_VALUE"""),30377.0)</f>
        <v>30377</v>
      </c>
      <c r="X2024" s="14">
        <f>IFERROR(__xludf.DUMMYFUNCTION("""COMPUTED_VALUE"""),0.94)</f>
        <v>0.94</v>
      </c>
      <c r="Y2024" s="14" t="str">
        <f>IFERROR(__xludf.DUMMYFUNCTION("""COMPUTED_VALUE"""),"San Marino-Europe")</f>
        <v>San Marino-Europe</v>
      </c>
      <c r="Z2024" s="14" t="str">
        <f>IFERROR(__xludf.DUMMYFUNCTION("""COMPUTED_VALUE"""),"Europe")</f>
        <v>Europe</v>
      </c>
      <c r="AA2024" s="14" t="str">
        <f>IFERROR(__xludf.DUMMYFUNCTION("""COMPUTED_VALUE"""),"2007")</f>
        <v>2007</v>
      </c>
      <c r="AB2024" s="15" t="str">
        <f>IFERROR(__xludf.DUMMYFUNCTION("ARRAYFORMULA(VLOOKUP(A2024,IMPORTRANGE(""https://docs.google.com/spreadsheets/d/1BuTWp7qHGjWhqrnf-OmePP568O4A5Am9ttzvVdP67zw/edit#gid=1931367683"" ,""ENERGY!$A$2:$F$2692""), {2,3,4,5,6},0))"),"Europe")</f>
        <v>Europe</v>
      </c>
      <c r="AC2024" s="14" t="str">
        <f>IFERROR(__xludf.DUMMYFUNCTION("""COMPUTED_VALUE"""),"San Marino-Europe")</f>
        <v>San Marino-Europe</v>
      </c>
      <c r="AD2024" s="14" t="str">
        <f>IFERROR(__xludf.DUMMYFUNCTION("""COMPUTED_VALUE"""),"2010")</f>
        <v>2010</v>
      </c>
      <c r="AE2024" s="14"/>
      <c r="AF2024" s="14"/>
    </row>
    <row r="2025">
      <c r="A2025" s="12">
        <v>2024.0</v>
      </c>
      <c r="B2025" s="12" t="s">
        <v>234</v>
      </c>
      <c r="C2025" s="5" t="s">
        <v>75</v>
      </c>
      <c r="D2025" s="8"/>
      <c r="E2025" s="8"/>
      <c r="F2025" s="8"/>
      <c r="G2025" s="8"/>
      <c r="H2025" s="11">
        <v>0.545</v>
      </c>
      <c r="I2025" s="11">
        <v>0.799</v>
      </c>
      <c r="J2025" s="9" t="s">
        <v>69</v>
      </c>
      <c r="K2025" s="14" t="str">
        <f>IFERROR(__xludf.DUMMYFUNCTION("ARRAYFORMULA(VLOOKUP(A2025,IMPORTRANGE(""https://docs.google.com/spreadsheets/d/1BuTWp7qHGjWhqrnf-OmePP568O4A5Am9ttzvVdP67zw/edit#gid=1603210130"", ""TOURISM!$A$2:$F$2692""), {2,3,4,5,6},0))"),"Europe")</f>
        <v>Europe</v>
      </c>
      <c r="L2025" s="14"/>
      <c r="M2025" s="14" t="str">
        <f>IFERROR(__xludf.DUMMYFUNCTION("""COMPUTED_VALUE"""),"San Marino-Europe")</f>
        <v>San Marino-Europe</v>
      </c>
      <c r="N2025" s="14" t="str">
        <f>IFERROR(__xludf.DUMMYFUNCTION("""COMPUTED_VALUE"""),"2008")</f>
        <v>2008</v>
      </c>
      <c r="O2025" s="14"/>
      <c r="P2025" s="15">
        <f>IFERROR(__xludf.DUMMYFUNCTION("ARRAYFORMULA(VLOOKUP(A2025,IMPORTRANGE(""https://docs.google.com/spreadsheets/d/1BuTWp7qHGjWhqrnf-OmePP568O4A5Am9ttzvVdP67zw/edit#gid=771602874"" ,""HUMAN RESOURCES!$A$2:$M$2692""), {2,3,4,5,6,7,8,9,10,11,12,13},0))"),0.011)</f>
        <v>0.011</v>
      </c>
      <c r="Q2025" s="14">
        <f>IFERROR(__xludf.DUMMYFUNCTION("""COMPUTED_VALUE"""),0.003)</f>
        <v>0.003</v>
      </c>
      <c r="R2025" s="14">
        <f>IFERROR(__xludf.DUMMYFUNCTION("""COMPUTED_VALUE"""),86.0)</f>
        <v>86</v>
      </c>
      <c r="S2025" s="14">
        <f>IFERROR(__xludf.DUMMYFUNCTION("""COMPUTED_VALUE"""),80.0)</f>
        <v>80</v>
      </c>
      <c r="T2025" s="14"/>
      <c r="U2025" s="14"/>
      <c r="V2025" s="14"/>
      <c r="W2025" s="14">
        <f>IFERROR(__xludf.DUMMYFUNCTION("""COMPUTED_VALUE"""),30549.0)</f>
        <v>30549</v>
      </c>
      <c r="X2025" s="14">
        <f>IFERROR(__xludf.DUMMYFUNCTION("""COMPUTED_VALUE"""),0.941)</f>
        <v>0.941</v>
      </c>
      <c r="Y2025" s="14" t="str">
        <f>IFERROR(__xludf.DUMMYFUNCTION("""COMPUTED_VALUE"""),"San Marino-Europe")</f>
        <v>San Marino-Europe</v>
      </c>
      <c r="Z2025" s="14" t="str">
        <f>IFERROR(__xludf.DUMMYFUNCTION("""COMPUTED_VALUE"""),"Europe")</f>
        <v>Europe</v>
      </c>
      <c r="AA2025" s="14" t="str">
        <f>IFERROR(__xludf.DUMMYFUNCTION("""COMPUTED_VALUE"""),"2008")</f>
        <v>2008</v>
      </c>
      <c r="AB2025" s="15" t="str">
        <f>IFERROR(__xludf.DUMMYFUNCTION("ARRAYFORMULA(VLOOKUP(A2025,IMPORTRANGE(""https://docs.google.com/spreadsheets/d/1BuTWp7qHGjWhqrnf-OmePP568O4A5Am9ttzvVdP67zw/edit#gid=1931367683"" ,""ENERGY!$A$2:$F$2692""), {2,3,4,5,6},0))"),"Europe")</f>
        <v>Europe</v>
      </c>
      <c r="AC2025" s="14" t="str">
        <f>IFERROR(__xludf.DUMMYFUNCTION("""COMPUTED_VALUE"""),"San Marino-Europe")</f>
        <v>San Marino-Europe</v>
      </c>
      <c r="AD2025" s="14" t="str">
        <f>IFERROR(__xludf.DUMMYFUNCTION("""COMPUTED_VALUE"""),"2007")</f>
        <v>2007</v>
      </c>
      <c r="AE2025" s="14"/>
      <c r="AF2025" s="14"/>
    </row>
    <row r="2026">
      <c r="A2026" s="12">
        <v>2025.0</v>
      </c>
      <c r="B2026" s="12" t="s">
        <v>234</v>
      </c>
      <c r="C2026" s="5" t="s">
        <v>75</v>
      </c>
      <c r="D2026" s="8"/>
      <c r="E2026" s="8"/>
      <c r="F2026" s="8"/>
      <c r="G2026" s="8"/>
      <c r="H2026" s="11">
        <v>0.542</v>
      </c>
      <c r="I2026" s="11">
        <v>0.976</v>
      </c>
      <c r="J2026" s="9" t="s">
        <v>70</v>
      </c>
      <c r="K2026" s="14" t="str">
        <f>IFERROR(__xludf.DUMMYFUNCTION("ARRAYFORMULA(VLOOKUP(A2026,IMPORTRANGE(""https://docs.google.com/spreadsheets/d/1BuTWp7qHGjWhqrnf-OmePP568O4A5Am9ttzvVdP67zw/edit#gid=1603210130"", ""TOURISM!$A$2:$F$2692""), {2,3,4,5,6},0))"),"Europe")</f>
        <v>Europe</v>
      </c>
      <c r="L2026" s="14"/>
      <c r="M2026" s="14" t="str">
        <f>IFERROR(__xludf.DUMMYFUNCTION("""COMPUTED_VALUE"""),"San Marino-Europe")</f>
        <v>San Marino-Europe</v>
      </c>
      <c r="N2026" s="14" t="str">
        <f>IFERROR(__xludf.DUMMYFUNCTION("""COMPUTED_VALUE"""),"2009")</f>
        <v>2009</v>
      </c>
      <c r="O2026" s="14"/>
      <c r="P2026" s="15">
        <f>IFERROR(__xludf.DUMMYFUNCTION("ARRAYFORMULA(VLOOKUP(A2026,IMPORTRANGE(""https://docs.google.com/spreadsheets/d/1BuTWp7qHGjWhqrnf-OmePP568O4A5Am9ttzvVdP67zw/edit#gid=771602874"" ,""HUMAN RESOURCES!$A$2:$M$2692""), {2,3,4,5,6,7,8,9,10,11,12,13},0))"),0.011)</f>
        <v>0.011</v>
      </c>
      <c r="Q2026" s="14">
        <f>IFERROR(__xludf.DUMMYFUNCTION("""COMPUTED_VALUE"""),0.003)</f>
        <v>0.003</v>
      </c>
      <c r="R2026" s="14">
        <f>IFERROR(__xludf.DUMMYFUNCTION("""COMPUTED_VALUE"""),86.0)</f>
        <v>86</v>
      </c>
      <c r="S2026" s="14">
        <f>IFERROR(__xludf.DUMMYFUNCTION("""COMPUTED_VALUE"""),80.0)</f>
        <v>80</v>
      </c>
      <c r="T2026" s="14"/>
      <c r="U2026" s="14"/>
      <c r="V2026" s="14"/>
      <c r="W2026" s="14">
        <f>IFERROR(__xludf.DUMMYFUNCTION("""COMPUTED_VALUE"""),30698.0)</f>
        <v>30698</v>
      </c>
      <c r="X2026" s="14">
        <f>IFERROR(__xludf.DUMMYFUNCTION("""COMPUTED_VALUE"""),0.941)</f>
        <v>0.941</v>
      </c>
      <c r="Y2026" s="14" t="str">
        <f>IFERROR(__xludf.DUMMYFUNCTION("""COMPUTED_VALUE"""),"San Marino-Europe")</f>
        <v>San Marino-Europe</v>
      </c>
      <c r="Z2026" s="14" t="str">
        <f>IFERROR(__xludf.DUMMYFUNCTION("""COMPUTED_VALUE"""),"Europe")</f>
        <v>Europe</v>
      </c>
      <c r="AA2026" s="14" t="str">
        <f>IFERROR(__xludf.DUMMYFUNCTION("""COMPUTED_VALUE"""),"2009")</f>
        <v>2009</v>
      </c>
      <c r="AB2026" s="15" t="str">
        <f>IFERROR(__xludf.DUMMYFUNCTION("ARRAYFORMULA(VLOOKUP(A2026,IMPORTRANGE(""https://docs.google.com/spreadsheets/d/1BuTWp7qHGjWhqrnf-OmePP568O4A5Am9ttzvVdP67zw/edit#gid=1931367683"" ,""ENERGY!$A$2:$F$2692""), {2,3,4,5,6},0))"),"Europe")</f>
        <v>Europe</v>
      </c>
      <c r="AC2026" s="14" t="str">
        <f>IFERROR(__xludf.DUMMYFUNCTION("""COMPUTED_VALUE"""),"San Marino-Europe")</f>
        <v>San Marino-Europe</v>
      </c>
      <c r="AD2026" s="14" t="str">
        <f>IFERROR(__xludf.DUMMYFUNCTION("""COMPUTED_VALUE"""),"2011")</f>
        <v>2011</v>
      </c>
      <c r="AE2026" s="14"/>
      <c r="AF2026" s="14"/>
    </row>
    <row r="2027">
      <c r="A2027" s="12">
        <v>2026.0</v>
      </c>
      <c r="B2027" s="12" t="s">
        <v>234</v>
      </c>
      <c r="C2027" s="5" t="s">
        <v>75</v>
      </c>
      <c r="D2027" s="8"/>
      <c r="E2027" s="8"/>
      <c r="F2027" s="8"/>
      <c r="G2027" s="8"/>
      <c r="H2027" s="8"/>
      <c r="I2027" s="11">
        <v>0.991</v>
      </c>
      <c r="J2027" s="9" t="s">
        <v>71</v>
      </c>
      <c r="K2027" s="14" t="str">
        <f>IFERROR(__xludf.DUMMYFUNCTION("ARRAYFORMULA(VLOOKUP(A2027,IMPORTRANGE(""https://docs.google.com/spreadsheets/d/1BuTWp7qHGjWhqrnf-OmePP568O4A5Am9ttzvVdP67zw/edit#gid=1603210130"", ""TOURISM!$A$2:$F$2692""), {2,3,4,5,6},0))"),"Europe")</f>
        <v>Europe</v>
      </c>
      <c r="L2027" s="14"/>
      <c r="M2027" s="14" t="str">
        <f>IFERROR(__xludf.DUMMYFUNCTION("""COMPUTED_VALUE"""),"San Marino-Europe")</f>
        <v>San Marino-Europe</v>
      </c>
      <c r="N2027" s="14" t="str">
        <f>IFERROR(__xludf.DUMMYFUNCTION("""COMPUTED_VALUE"""),"2010")</f>
        <v>2010</v>
      </c>
      <c r="O2027" s="14"/>
      <c r="P2027" s="15">
        <f>IFERROR(__xludf.DUMMYFUNCTION("ARRAYFORMULA(VLOOKUP(A2027,IMPORTRANGE(""https://docs.google.com/spreadsheets/d/1BuTWp7qHGjWhqrnf-OmePP568O4A5Am9ttzvVdP67zw/edit#gid=771602874"" ,""HUMAN RESOURCES!$A$2:$M$2692""), {2,3,4,5,6,7,8,9,10,11,12,13},0))"),0.011)</f>
        <v>0.011</v>
      </c>
      <c r="Q2027" s="14">
        <f>IFERROR(__xludf.DUMMYFUNCTION("""COMPUTED_VALUE"""),0.003)</f>
        <v>0.003</v>
      </c>
      <c r="R2027" s="14">
        <f>IFERROR(__xludf.DUMMYFUNCTION("""COMPUTED_VALUE"""),86.0)</f>
        <v>86</v>
      </c>
      <c r="S2027" s="14">
        <f>IFERROR(__xludf.DUMMYFUNCTION("""COMPUTED_VALUE"""),80.0)</f>
        <v>80</v>
      </c>
      <c r="T2027" s="14"/>
      <c r="U2027" s="14"/>
      <c r="V2027" s="14"/>
      <c r="W2027" s="14">
        <f>IFERROR(__xludf.DUMMYFUNCTION("""COMPUTED_VALUE"""),30861.0)</f>
        <v>30861</v>
      </c>
      <c r="X2027" s="14">
        <f>IFERROR(__xludf.DUMMYFUNCTION("""COMPUTED_VALUE"""),0.941)</f>
        <v>0.941</v>
      </c>
      <c r="Y2027" s="14" t="str">
        <f>IFERROR(__xludf.DUMMYFUNCTION("""COMPUTED_VALUE"""),"San Marino-Europe")</f>
        <v>San Marino-Europe</v>
      </c>
      <c r="Z2027" s="14" t="str">
        <f>IFERROR(__xludf.DUMMYFUNCTION("""COMPUTED_VALUE"""),"Europe")</f>
        <v>Europe</v>
      </c>
      <c r="AA2027" s="14" t="str">
        <f>IFERROR(__xludf.DUMMYFUNCTION("""COMPUTED_VALUE"""),"2010")</f>
        <v>2010</v>
      </c>
      <c r="AB2027" s="15" t="str">
        <f>IFERROR(__xludf.DUMMYFUNCTION("ARRAYFORMULA(VLOOKUP(A2027,IMPORTRANGE(""https://docs.google.com/spreadsheets/d/1BuTWp7qHGjWhqrnf-OmePP568O4A5Am9ttzvVdP67zw/edit#gid=1931367683"" ,""ENERGY!$A$2:$F$2692""), {2,3,4,5,6},0))"),"Europe")</f>
        <v>Europe</v>
      </c>
      <c r="AC2027" s="14" t="str">
        <f>IFERROR(__xludf.DUMMYFUNCTION("""COMPUTED_VALUE"""),"San Marino-Europe")</f>
        <v>San Marino-Europe</v>
      </c>
      <c r="AD2027" s="14" t="str">
        <f>IFERROR(__xludf.DUMMYFUNCTION("""COMPUTED_VALUE"""),"2007")</f>
        <v>2007</v>
      </c>
      <c r="AE2027" s="14"/>
      <c r="AF2027" s="14"/>
    </row>
    <row r="2028">
      <c r="A2028" s="12">
        <v>2027.0</v>
      </c>
      <c r="B2028" s="12" t="s">
        <v>234</v>
      </c>
      <c r="C2028" s="5" t="s">
        <v>75</v>
      </c>
      <c r="D2028" s="8"/>
      <c r="E2028" s="8"/>
      <c r="F2028" s="8"/>
      <c r="G2028" s="8"/>
      <c r="H2028" s="11">
        <v>0.496</v>
      </c>
      <c r="I2028" s="11">
        <v>1.142</v>
      </c>
      <c r="J2028" s="9" t="s">
        <v>72</v>
      </c>
      <c r="K2028" s="14" t="str">
        <f>IFERROR(__xludf.DUMMYFUNCTION("ARRAYFORMULA(VLOOKUP(A2028,IMPORTRANGE(""https://docs.google.com/spreadsheets/d/1BuTWp7qHGjWhqrnf-OmePP568O4A5Am9ttzvVdP67zw/edit#gid=1603210130"", ""TOURISM!$A$2:$F$2692""), {2,3,4,5,6},0))"),"Europe")</f>
        <v>Europe</v>
      </c>
      <c r="L2028" s="14"/>
      <c r="M2028" s="14" t="str">
        <f>IFERROR(__xludf.DUMMYFUNCTION("""COMPUTED_VALUE"""),"San Marino-Europe")</f>
        <v>San Marino-Europe</v>
      </c>
      <c r="N2028" s="14" t="str">
        <f>IFERROR(__xludf.DUMMYFUNCTION("""COMPUTED_VALUE"""),"2011")</f>
        <v>2011</v>
      </c>
      <c r="O2028" s="14"/>
      <c r="P2028" s="15">
        <f>IFERROR(__xludf.DUMMYFUNCTION("ARRAYFORMULA(VLOOKUP(A2028,IMPORTRANGE(""https://docs.google.com/spreadsheets/d/1BuTWp7qHGjWhqrnf-OmePP568O4A5Am9ttzvVdP67zw/edit#gid=771602874"" ,""HUMAN RESOURCES!$A$2:$M$2692""), {2,3,4,5,6,7,8,9,10,11,12,13},0))"),0.01)</f>
        <v>0.01</v>
      </c>
      <c r="Q2028" s="14">
        <f>IFERROR(__xludf.DUMMYFUNCTION("""COMPUTED_VALUE"""),0.003)</f>
        <v>0.003</v>
      </c>
      <c r="R2028" s="14">
        <f>IFERROR(__xludf.DUMMYFUNCTION("""COMPUTED_VALUE"""),86.0)</f>
        <v>86</v>
      </c>
      <c r="S2028" s="14">
        <f>IFERROR(__xludf.DUMMYFUNCTION("""COMPUTED_VALUE"""),80.0)</f>
        <v>80</v>
      </c>
      <c r="T2028" s="14"/>
      <c r="U2028" s="14"/>
      <c r="V2028" s="14"/>
      <c r="W2028" s="14">
        <f>IFERROR(__xludf.DUMMYFUNCTION("""COMPUTED_VALUE"""),31048.0)</f>
        <v>31048</v>
      </c>
      <c r="X2028" s="14">
        <f>IFERROR(__xludf.DUMMYFUNCTION("""COMPUTED_VALUE"""),0.941)</f>
        <v>0.941</v>
      </c>
      <c r="Y2028" s="14" t="str">
        <f>IFERROR(__xludf.DUMMYFUNCTION("""COMPUTED_VALUE"""),"San Marino-Europe")</f>
        <v>San Marino-Europe</v>
      </c>
      <c r="Z2028" s="14" t="str">
        <f>IFERROR(__xludf.DUMMYFUNCTION("""COMPUTED_VALUE"""),"Europe")</f>
        <v>Europe</v>
      </c>
      <c r="AA2028" s="14" t="str">
        <f>IFERROR(__xludf.DUMMYFUNCTION("""COMPUTED_VALUE"""),"2011")</f>
        <v>2011</v>
      </c>
      <c r="AB2028" s="15" t="str">
        <f>IFERROR(__xludf.DUMMYFUNCTION("ARRAYFORMULA(VLOOKUP(A2028,IMPORTRANGE(""https://docs.google.com/spreadsheets/d/1BuTWp7qHGjWhqrnf-OmePP568O4A5Am9ttzvVdP67zw/edit#gid=1931367683"" ,""ENERGY!$A$2:$F$2692""), {2,3,4,5,6},0))"),"Europe")</f>
        <v>Europe</v>
      </c>
      <c r="AC2028" s="14" t="str">
        <f>IFERROR(__xludf.DUMMYFUNCTION("""COMPUTED_VALUE"""),"San Marino-Europe")</f>
        <v>San Marino-Europe</v>
      </c>
      <c r="AD2028" s="14" t="str">
        <f>IFERROR(__xludf.DUMMYFUNCTION("""COMPUTED_VALUE"""),"2007")</f>
        <v>2007</v>
      </c>
      <c r="AE2028" s="14"/>
      <c r="AF2028" s="14"/>
    </row>
    <row r="2029">
      <c r="A2029" s="12">
        <v>2028.0</v>
      </c>
      <c r="B2029" s="12" t="s">
        <v>234</v>
      </c>
      <c r="C2029" s="5" t="s">
        <v>75</v>
      </c>
      <c r="D2029" s="11">
        <v>0.422</v>
      </c>
      <c r="E2029" s="11">
        <v>40.0</v>
      </c>
      <c r="F2029" s="11">
        <v>74.0</v>
      </c>
      <c r="G2029" s="11">
        <v>52.0</v>
      </c>
      <c r="H2029" s="11">
        <v>0.509</v>
      </c>
      <c r="I2029" s="11">
        <v>1.152</v>
      </c>
      <c r="J2029" s="9" t="s">
        <v>73</v>
      </c>
      <c r="K2029" s="14" t="str">
        <f>IFERROR(__xludf.DUMMYFUNCTION("ARRAYFORMULA(VLOOKUP(A2029,IMPORTRANGE(""https://docs.google.com/spreadsheets/d/1BuTWp7qHGjWhqrnf-OmePP568O4A5Am9ttzvVdP67zw/edit#gid=1603210130"", ""TOURISM!$A$2:$F$2692""), {2,3,4,5,6},0))"),"Europe")</f>
        <v>Europe</v>
      </c>
      <c r="L2029" s="14"/>
      <c r="M2029" s="14" t="str">
        <f>IFERROR(__xludf.DUMMYFUNCTION("""COMPUTED_VALUE"""),"San Marino-Europe")</f>
        <v>San Marino-Europe</v>
      </c>
      <c r="N2029" s="14" t="str">
        <f>IFERROR(__xludf.DUMMYFUNCTION("""COMPUTED_VALUE"""),"2012")</f>
        <v>2012</v>
      </c>
      <c r="O2029" s="14"/>
      <c r="P2029" s="15">
        <f>IFERROR(__xludf.DUMMYFUNCTION("ARRAYFORMULA(VLOOKUP(A2029,IMPORTRANGE(""https://docs.google.com/spreadsheets/d/1BuTWp7qHGjWhqrnf-OmePP568O4A5Am9ttzvVdP67zw/edit#gid=771602874"" ,""HUMAN RESOURCES!$A$2:$M$2692""), {2,3,4,5,6,7,8,9,10,11,12,13},0))"),0.01)</f>
        <v>0.01</v>
      </c>
      <c r="Q2029" s="14">
        <f>IFERROR(__xludf.DUMMYFUNCTION("""COMPUTED_VALUE"""),0.003)</f>
        <v>0.003</v>
      </c>
      <c r="R2029" s="14"/>
      <c r="S2029" s="14"/>
      <c r="T2029" s="14"/>
      <c r="U2029" s="14"/>
      <c r="V2029" s="14"/>
      <c r="W2029" s="14">
        <f>IFERROR(__xludf.DUMMYFUNCTION("""COMPUTED_VALUE"""),31247.0)</f>
        <v>31247</v>
      </c>
      <c r="X2029" s="14">
        <f>IFERROR(__xludf.DUMMYFUNCTION("""COMPUTED_VALUE"""),0.941)</f>
        <v>0.941</v>
      </c>
      <c r="Y2029" s="14" t="str">
        <f>IFERROR(__xludf.DUMMYFUNCTION("""COMPUTED_VALUE"""),"San Marino-Europe")</f>
        <v>San Marino-Europe</v>
      </c>
      <c r="Z2029" s="14" t="str">
        <f>IFERROR(__xludf.DUMMYFUNCTION("""COMPUTED_VALUE"""),"Europe")</f>
        <v>Europe</v>
      </c>
      <c r="AA2029" s="14" t="str">
        <f>IFERROR(__xludf.DUMMYFUNCTION("""COMPUTED_VALUE"""),"2012")</f>
        <v>2012</v>
      </c>
      <c r="AB2029" s="15" t="str">
        <f>IFERROR(__xludf.DUMMYFUNCTION("ARRAYFORMULA(VLOOKUP(A2029,IMPORTRANGE(""https://docs.google.com/spreadsheets/d/1BuTWp7qHGjWhqrnf-OmePP568O4A5Am9ttzvVdP67zw/edit#gid=1931367683"" ,""ENERGY!$A$2:$F$2692""), {2,3,4,5,6},0))"),"Europe")</f>
        <v>Europe</v>
      </c>
      <c r="AC2029" s="14" t="str">
        <f>IFERROR(__xludf.DUMMYFUNCTION("""COMPUTED_VALUE"""),"San Marino-Europe")</f>
        <v>San Marino-Europe</v>
      </c>
      <c r="AD2029" s="14" t="str">
        <f>IFERROR(__xludf.DUMMYFUNCTION("""COMPUTED_VALUE"""),"2011")</f>
        <v>2011</v>
      </c>
      <c r="AE2029" s="14"/>
      <c r="AF2029" s="14"/>
    </row>
    <row r="2030">
      <c r="A2030" s="12">
        <v>2029.0</v>
      </c>
      <c r="B2030" s="12" t="s">
        <v>235</v>
      </c>
      <c r="C2030" s="5" t="s">
        <v>77</v>
      </c>
      <c r="D2030" s="8"/>
      <c r="E2030" s="8"/>
      <c r="F2030" s="8"/>
      <c r="G2030" s="8"/>
      <c r="H2030" s="11">
        <v>0.046</v>
      </c>
      <c r="I2030" s="8"/>
      <c r="J2030" s="9" t="s">
        <v>60</v>
      </c>
      <c r="K2030" s="14" t="str">
        <f>IFERROR(__xludf.DUMMYFUNCTION("ARRAYFORMULA(VLOOKUP(A2030,IMPORTRANGE(""https://docs.google.com/spreadsheets/d/1BuTWp7qHGjWhqrnf-OmePP568O4A5Am9ttzvVdP67zw/edit#gid=1603210130"", ""TOURISM!$A$2:$F$2692""), {2,3,4,5,6},0))"),"Africa")</f>
        <v>Africa</v>
      </c>
      <c r="L2030" s="14">
        <f>IFERROR(__xludf.DUMMYFUNCTION("""COMPUTED_VALUE"""),9900000.0)</f>
        <v>9900000</v>
      </c>
      <c r="M2030" s="14" t="str">
        <f>IFERROR(__xludf.DUMMYFUNCTION("""COMPUTED_VALUE"""),"Sao Tome and Principe-Africa")</f>
        <v>Sao Tome and Principe-Africa</v>
      </c>
      <c r="N2030" s="14" t="str">
        <f>IFERROR(__xludf.DUMMYFUNCTION("""COMPUTED_VALUE"""),"2000")</f>
        <v>2000</v>
      </c>
      <c r="O2030" s="14">
        <f>IFERROR(__xludf.DUMMYFUNCTION("""COMPUTED_VALUE"""),2200000.0)</f>
        <v>2200000</v>
      </c>
      <c r="P2030" s="15">
        <f>IFERROR(__xludf.DUMMYFUNCTION("ARRAYFORMULA(VLOOKUP(A2030,IMPORTRANGE(""https://docs.google.com/spreadsheets/d/1BuTWp7qHGjWhqrnf-OmePP568O4A5Am9ttzvVdP67zw/edit#gid=771602874"" ,""HUMAN RESOURCES!$A$2:$M$2692""), {2,3,4,5,6,7,8,9,10,11,12,13},0))"),0.036)</f>
        <v>0.036</v>
      </c>
      <c r="Q2030" s="14">
        <f>IFERROR(__xludf.DUMMYFUNCTION("""COMPUTED_VALUE"""),0.058)</f>
        <v>0.058</v>
      </c>
      <c r="R2030" s="14">
        <f>IFERROR(__xludf.DUMMYFUNCTION("""COMPUTED_VALUE"""),65.0)</f>
        <v>65</v>
      </c>
      <c r="S2030" s="14">
        <f>IFERROR(__xludf.DUMMYFUNCTION("""COMPUTED_VALUE"""),62.0)</f>
        <v>62</v>
      </c>
      <c r="T2030" s="14">
        <f>IFERROR(__xludf.DUMMYFUNCTION("""COMPUTED_VALUE"""),0.44)</f>
        <v>0.44</v>
      </c>
      <c r="U2030" s="14">
        <f>IFERROR(__xludf.DUMMYFUNCTION("""COMPUTED_VALUE"""),0.52)</f>
        <v>0.52</v>
      </c>
      <c r="V2030" s="14">
        <f>IFERROR(__xludf.DUMMYFUNCTION("""COMPUTED_VALUE"""),0.04)</f>
        <v>0.04</v>
      </c>
      <c r="W2030" s="14">
        <f>IFERROR(__xludf.DUMMYFUNCTION("""COMPUTED_VALUE"""),139428.0)</f>
        <v>139428</v>
      </c>
      <c r="X2030" s="14">
        <f>IFERROR(__xludf.DUMMYFUNCTION("""COMPUTED_VALUE"""),0.534)</f>
        <v>0.534</v>
      </c>
      <c r="Y2030" s="14" t="str">
        <f>IFERROR(__xludf.DUMMYFUNCTION("""COMPUTED_VALUE"""),"Sao Tome and Principe-Africa")</f>
        <v>Sao Tome and Principe-Africa</v>
      </c>
      <c r="Z2030" s="14" t="str">
        <f>IFERROR(__xludf.DUMMYFUNCTION("""COMPUTED_VALUE"""),"Africa")</f>
        <v>Africa</v>
      </c>
      <c r="AA2030" s="14" t="str">
        <f>IFERROR(__xludf.DUMMYFUNCTION("""COMPUTED_VALUE"""),"2000")</f>
        <v>2000</v>
      </c>
      <c r="AB2030" s="15" t="str">
        <f>IFERROR(__xludf.DUMMYFUNCTION("ARRAYFORMULA(VLOOKUP(A2030,IMPORTRANGE(""https://docs.google.com/spreadsheets/d/1BuTWp7qHGjWhqrnf-OmePP568O4A5Am9ttzvVdP67zw/edit#gid=1931367683"" ,""ENERGY!$A$2:$F$2692""), {2,3,4,5,6},0))"),"Africa")</f>
        <v>Africa</v>
      </c>
      <c r="AC2030" s="14" t="str">
        <f>IFERROR(__xludf.DUMMYFUNCTION("""COMPUTED_VALUE"""),"Sao Tome and Principe-Africa")</f>
        <v>Sao Tome and Principe-Africa</v>
      </c>
      <c r="AD2030" s="14" t="str">
        <f>IFERROR(__xludf.DUMMYFUNCTION("""COMPUTED_VALUE"""),"2000")</f>
        <v>2000</v>
      </c>
      <c r="AE2030" s="14"/>
      <c r="AF2030" s="14"/>
    </row>
    <row r="2031">
      <c r="A2031" s="12">
        <v>2030.0</v>
      </c>
      <c r="B2031" s="12" t="s">
        <v>235</v>
      </c>
      <c r="C2031" s="5" t="s">
        <v>77</v>
      </c>
      <c r="D2031" s="8"/>
      <c r="E2031" s="8"/>
      <c r="F2031" s="8"/>
      <c r="G2031" s="8"/>
      <c r="H2031" s="11">
        <v>0.063</v>
      </c>
      <c r="I2031" s="8"/>
      <c r="J2031" s="9" t="s">
        <v>62</v>
      </c>
      <c r="K2031" s="14" t="str">
        <f>IFERROR(__xludf.DUMMYFUNCTION("ARRAYFORMULA(VLOOKUP(A2031,IMPORTRANGE(""https://docs.google.com/spreadsheets/d/1BuTWp7qHGjWhqrnf-OmePP568O4A5Am9ttzvVdP67zw/edit#gid=1603210130"", ""TOURISM!$A$2:$F$2692""), {2,3,4,5,6},0))"),"Africa")</f>
        <v>Africa</v>
      </c>
      <c r="L2031" s="14">
        <f>IFERROR(__xludf.DUMMYFUNCTION("""COMPUTED_VALUE"""),6200000.0)</f>
        <v>6200000</v>
      </c>
      <c r="M2031" s="14" t="str">
        <f>IFERROR(__xludf.DUMMYFUNCTION("""COMPUTED_VALUE"""),"Sao Tome and Principe-Africa")</f>
        <v>Sao Tome and Principe-Africa</v>
      </c>
      <c r="N2031" s="14" t="str">
        <f>IFERROR(__xludf.DUMMYFUNCTION("""COMPUTED_VALUE"""),"2001")</f>
        <v>2001</v>
      </c>
      <c r="O2031" s="14">
        <f>IFERROR(__xludf.DUMMYFUNCTION("""COMPUTED_VALUE"""),2000000.0)</f>
        <v>2000000</v>
      </c>
      <c r="P2031" s="15">
        <f>IFERROR(__xludf.DUMMYFUNCTION("ARRAYFORMULA(VLOOKUP(A2031,IMPORTRANGE(""https://docs.google.com/spreadsheets/d/1BuTWp7qHGjWhqrnf-OmePP568O4A5Am9ttzvVdP67zw/edit#gid=771602874"" ,""HUMAN RESOURCES!$A$2:$M$2692""), {2,3,4,5,6,7,8,9,10,11,12,13},0))"),0.037)</f>
        <v>0.037</v>
      </c>
      <c r="Q2031" s="14">
        <f>IFERROR(__xludf.DUMMYFUNCTION("""COMPUTED_VALUE"""),0.056)</f>
        <v>0.056</v>
      </c>
      <c r="R2031" s="14">
        <f>IFERROR(__xludf.DUMMYFUNCTION("""COMPUTED_VALUE"""),65.0)</f>
        <v>65</v>
      </c>
      <c r="S2031" s="14">
        <f>IFERROR(__xludf.DUMMYFUNCTION("""COMPUTED_VALUE"""),62.0)</f>
        <v>62</v>
      </c>
      <c r="T2031" s="14">
        <f>IFERROR(__xludf.DUMMYFUNCTION("""COMPUTED_VALUE"""),0.434)</f>
        <v>0.434</v>
      </c>
      <c r="U2031" s="14">
        <f>IFERROR(__xludf.DUMMYFUNCTION("""COMPUTED_VALUE"""),0.526)</f>
        <v>0.526</v>
      </c>
      <c r="V2031" s="14">
        <f>IFERROR(__xludf.DUMMYFUNCTION("""COMPUTED_VALUE"""),0.04)</f>
        <v>0.04</v>
      </c>
      <c r="W2031" s="14">
        <f>IFERROR(__xludf.DUMMYFUNCTION("""COMPUTED_VALUE"""),141783.0)</f>
        <v>141783</v>
      </c>
      <c r="X2031" s="14">
        <f>IFERROR(__xludf.DUMMYFUNCTION("""COMPUTED_VALUE"""),0.544)</f>
        <v>0.544</v>
      </c>
      <c r="Y2031" s="14" t="str">
        <f>IFERROR(__xludf.DUMMYFUNCTION("""COMPUTED_VALUE"""),"Sao Tome and Principe-Africa")</f>
        <v>Sao Tome and Principe-Africa</v>
      </c>
      <c r="Z2031" s="14" t="str">
        <f>IFERROR(__xludf.DUMMYFUNCTION("""COMPUTED_VALUE"""),"Africa")</f>
        <v>Africa</v>
      </c>
      <c r="AA2031" s="14" t="str">
        <f>IFERROR(__xludf.DUMMYFUNCTION("""COMPUTED_VALUE"""),"2001")</f>
        <v>2001</v>
      </c>
      <c r="AB2031" s="15" t="str">
        <f>IFERROR(__xludf.DUMMYFUNCTION("ARRAYFORMULA(VLOOKUP(A2031,IMPORTRANGE(""https://docs.google.com/spreadsheets/d/1BuTWp7qHGjWhqrnf-OmePP568O4A5Am9ttzvVdP67zw/edit#gid=1931367683"" ,""ENERGY!$A$2:$F$2692""), {2,3,4,5,6},0))"),"Africa")</f>
        <v>Africa</v>
      </c>
      <c r="AC2031" s="14" t="str">
        <f>IFERROR(__xludf.DUMMYFUNCTION("""COMPUTED_VALUE"""),"Sao Tome and Principe-Africa")</f>
        <v>Sao Tome and Principe-Africa</v>
      </c>
      <c r="AD2031" s="14" t="str">
        <f>IFERROR(__xludf.DUMMYFUNCTION("""COMPUTED_VALUE"""),"2001")</f>
        <v>2001</v>
      </c>
      <c r="AE2031" s="14"/>
      <c r="AF2031" s="14"/>
    </row>
    <row r="2032">
      <c r="A2032" s="12">
        <v>2031.0</v>
      </c>
      <c r="B2032" s="12" t="s">
        <v>235</v>
      </c>
      <c r="C2032" s="5" t="s">
        <v>77</v>
      </c>
      <c r="D2032" s="8"/>
      <c r="E2032" s="8"/>
      <c r="F2032" s="8"/>
      <c r="G2032" s="8"/>
      <c r="H2032" s="11">
        <v>0.076</v>
      </c>
      <c r="I2032" s="11">
        <v>0.014</v>
      </c>
      <c r="J2032" s="9" t="s">
        <v>63</v>
      </c>
      <c r="K2032" s="14" t="str">
        <f>IFERROR(__xludf.DUMMYFUNCTION("ARRAYFORMULA(VLOOKUP(A2032,IMPORTRANGE(""https://docs.google.com/spreadsheets/d/1BuTWp7qHGjWhqrnf-OmePP568O4A5Am9ttzvVdP67zw/edit#gid=1603210130"", ""TOURISM!$A$2:$F$2692""), {2,3,4,5,6},0))"),"Africa")</f>
        <v>Africa</v>
      </c>
      <c r="L2032" s="14">
        <f>IFERROR(__xludf.DUMMYFUNCTION("""COMPUTED_VALUE"""),6900000.0)</f>
        <v>6900000</v>
      </c>
      <c r="M2032" s="14" t="str">
        <f>IFERROR(__xludf.DUMMYFUNCTION("""COMPUTED_VALUE"""),"Sao Tome and Principe-Africa")</f>
        <v>Sao Tome and Principe-Africa</v>
      </c>
      <c r="N2032" s="14" t="str">
        <f>IFERROR(__xludf.DUMMYFUNCTION("""COMPUTED_VALUE"""),"2002")</f>
        <v>2002</v>
      </c>
      <c r="O2032" s="14">
        <f>IFERROR(__xludf.DUMMYFUNCTION("""COMPUTED_VALUE"""),1800000.0)</f>
        <v>1800000</v>
      </c>
      <c r="P2032" s="15">
        <f>IFERROR(__xludf.DUMMYFUNCTION("ARRAYFORMULA(VLOOKUP(A2032,IMPORTRANGE(""https://docs.google.com/spreadsheets/d/1BuTWp7qHGjWhqrnf-OmePP568O4A5Am9ttzvVdP67zw/edit#gid=771602874"" ,""HUMAN RESOURCES!$A$2:$M$2692""), {2,3,4,5,6,7,8,9,10,11,12,13},0))"),0.037)</f>
        <v>0.037</v>
      </c>
      <c r="Q2032" s="14">
        <f>IFERROR(__xludf.DUMMYFUNCTION("""COMPUTED_VALUE"""),0.054)</f>
        <v>0.054</v>
      </c>
      <c r="R2032" s="14">
        <f>IFERROR(__xludf.DUMMYFUNCTION("""COMPUTED_VALUE"""),66.0)</f>
        <v>66</v>
      </c>
      <c r="S2032" s="14">
        <f>IFERROR(__xludf.DUMMYFUNCTION("""COMPUTED_VALUE"""),62.0)</f>
        <v>62</v>
      </c>
      <c r="T2032" s="14">
        <f>IFERROR(__xludf.DUMMYFUNCTION("""COMPUTED_VALUE"""),0.429)</f>
        <v>0.429</v>
      </c>
      <c r="U2032" s="14">
        <f>IFERROR(__xludf.DUMMYFUNCTION("""COMPUTED_VALUE"""),0.53)</f>
        <v>0.53</v>
      </c>
      <c r="V2032" s="14">
        <f>IFERROR(__xludf.DUMMYFUNCTION("""COMPUTED_VALUE"""),0.04)</f>
        <v>0.04</v>
      </c>
      <c r="W2032" s="14">
        <f>IFERROR(__xludf.DUMMYFUNCTION("""COMPUTED_VALUE"""),144447.0)</f>
        <v>144447</v>
      </c>
      <c r="X2032" s="14">
        <f>IFERROR(__xludf.DUMMYFUNCTION("""COMPUTED_VALUE"""),0.553)</f>
        <v>0.553</v>
      </c>
      <c r="Y2032" s="14" t="str">
        <f>IFERROR(__xludf.DUMMYFUNCTION("""COMPUTED_VALUE"""),"Sao Tome and Principe-Africa")</f>
        <v>Sao Tome and Principe-Africa</v>
      </c>
      <c r="Z2032" s="14" t="str">
        <f>IFERROR(__xludf.DUMMYFUNCTION("""COMPUTED_VALUE"""),"Africa")</f>
        <v>Africa</v>
      </c>
      <c r="AA2032" s="14" t="str">
        <f>IFERROR(__xludf.DUMMYFUNCTION("""COMPUTED_VALUE"""),"2002")</f>
        <v>2002</v>
      </c>
      <c r="AB2032" s="15" t="str">
        <f>IFERROR(__xludf.DUMMYFUNCTION("ARRAYFORMULA(VLOOKUP(A2032,IMPORTRANGE(""https://docs.google.com/spreadsheets/d/1BuTWp7qHGjWhqrnf-OmePP568O4A5Am9ttzvVdP67zw/edit#gid=1931367683"" ,""ENERGY!$A$2:$F$2692""), {2,3,4,5,6},0))"),"Africa")</f>
        <v>Africa</v>
      </c>
      <c r="AC2032" s="14" t="str">
        <f>IFERROR(__xludf.DUMMYFUNCTION("""COMPUTED_VALUE"""),"Sao Tome and Principe-Africa")</f>
        <v>Sao Tome and Principe-Africa</v>
      </c>
      <c r="AD2032" s="14" t="str">
        <f>IFERROR(__xludf.DUMMYFUNCTION("""COMPUTED_VALUE"""),"2002")</f>
        <v>2002</v>
      </c>
      <c r="AE2032" s="14"/>
      <c r="AF2032" s="14">
        <f>IFERROR(__xludf.DUMMYFUNCTION("""COMPUTED_VALUE"""),99.0)</f>
        <v>99</v>
      </c>
    </row>
    <row r="2033">
      <c r="A2033" s="12">
        <v>2032.0</v>
      </c>
      <c r="B2033" s="12" t="s">
        <v>235</v>
      </c>
      <c r="C2033" s="5" t="s">
        <v>77</v>
      </c>
      <c r="D2033" s="8"/>
      <c r="E2033" s="8"/>
      <c r="F2033" s="8"/>
      <c r="G2033" s="8"/>
      <c r="H2033" s="11">
        <v>0.102</v>
      </c>
      <c r="I2033" s="11">
        <v>0.033</v>
      </c>
      <c r="J2033" s="9" t="s">
        <v>64</v>
      </c>
      <c r="K2033" s="14" t="str">
        <f>IFERROR(__xludf.DUMMYFUNCTION("ARRAYFORMULA(VLOOKUP(A2033,IMPORTRANGE(""https://docs.google.com/spreadsheets/d/1BuTWp7qHGjWhqrnf-OmePP568O4A5Am9ttzvVdP67zw/edit#gid=1603210130"", ""TOURISM!$A$2:$F$2692""), {2,3,4,5,6},0))"),"Africa")</f>
        <v>Africa</v>
      </c>
      <c r="L2033" s="14">
        <f>IFERROR(__xludf.DUMMYFUNCTION("""COMPUTED_VALUE"""),7400000.0)</f>
        <v>7400000</v>
      </c>
      <c r="M2033" s="14" t="str">
        <f>IFERROR(__xludf.DUMMYFUNCTION("""COMPUTED_VALUE"""),"Sao Tome and Principe-Africa")</f>
        <v>Sao Tome and Principe-Africa</v>
      </c>
      <c r="N2033" s="14" t="str">
        <f>IFERROR(__xludf.DUMMYFUNCTION("""COMPUTED_VALUE"""),"2003")</f>
        <v>2003</v>
      </c>
      <c r="O2033" s="14">
        <f>IFERROR(__xludf.DUMMYFUNCTION("""COMPUTED_VALUE"""),1800000.0)</f>
        <v>1800000</v>
      </c>
      <c r="P2033" s="15">
        <f>IFERROR(__xludf.DUMMYFUNCTION("ARRAYFORMULA(VLOOKUP(A2033,IMPORTRANGE(""https://docs.google.com/spreadsheets/d/1BuTWp7qHGjWhqrnf-OmePP568O4A5Am9ttzvVdP67zw/edit#gid=771602874"" ,""HUMAN RESOURCES!$A$2:$M$2692""), {2,3,4,5,6,7,8,9,10,11,12,13},0))"),0.037)</f>
        <v>0.037</v>
      </c>
      <c r="Q2033" s="14">
        <f>IFERROR(__xludf.DUMMYFUNCTION("""COMPUTED_VALUE"""),0.052)</f>
        <v>0.052</v>
      </c>
      <c r="R2033" s="14">
        <f>IFERROR(__xludf.DUMMYFUNCTION("""COMPUTED_VALUE"""),66.0)</f>
        <v>66</v>
      </c>
      <c r="S2033" s="14">
        <f>IFERROR(__xludf.DUMMYFUNCTION("""COMPUTED_VALUE"""),62.0)</f>
        <v>62</v>
      </c>
      <c r="T2033" s="14">
        <f>IFERROR(__xludf.DUMMYFUNCTION("""COMPUTED_VALUE"""),0.426)</f>
        <v>0.426</v>
      </c>
      <c r="U2033" s="14">
        <f>IFERROR(__xludf.DUMMYFUNCTION("""COMPUTED_VALUE"""),0.534)</f>
        <v>0.534</v>
      </c>
      <c r="V2033" s="14">
        <f>IFERROR(__xludf.DUMMYFUNCTION("""COMPUTED_VALUE"""),0.04)</f>
        <v>0.04</v>
      </c>
      <c r="W2033" s="14">
        <f>IFERROR(__xludf.DUMMYFUNCTION("""COMPUTED_VALUE"""),147455.0)</f>
        <v>147455</v>
      </c>
      <c r="X2033" s="14">
        <f>IFERROR(__xludf.DUMMYFUNCTION("""COMPUTED_VALUE"""),0.563)</f>
        <v>0.563</v>
      </c>
      <c r="Y2033" s="14" t="str">
        <f>IFERROR(__xludf.DUMMYFUNCTION("""COMPUTED_VALUE"""),"Sao Tome and Principe-Africa")</f>
        <v>Sao Tome and Principe-Africa</v>
      </c>
      <c r="Z2033" s="14" t="str">
        <f>IFERROR(__xludf.DUMMYFUNCTION("""COMPUTED_VALUE"""),"Africa")</f>
        <v>Africa</v>
      </c>
      <c r="AA2033" s="14" t="str">
        <f>IFERROR(__xludf.DUMMYFUNCTION("""COMPUTED_VALUE"""),"2003")</f>
        <v>2003</v>
      </c>
      <c r="AB2033" s="15" t="str">
        <f>IFERROR(__xludf.DUMMYFUNCTION("ARRAYFORMULA(VLOOKUP(A2033,IMPORTRANGE(""https://docs.google.com/spreadsheets/d/1BuTWp7qHGjWhqrnf-OmePP568O4A5Am9ttzvVdP67zw/edit#gid=1931367683"" ,""ENERGY!$A$2:$F$2692""), {2,3,4,5,6},0))"),"Africa")</f>
        <v>Africa</v>
      </c>
      <c r="AC2033" s="14" t="str">
        <f>IFERROR(__xludf.DUMMYFUNCTION("""COMPUTED_VALUE"""),"Sao Tome and Principe-Africa")</f>
        <v>Sao Tome and Principe-Africa</v>
      </c>
      <c r="AD2033" s="14" t="str">
        <f>IFERROR(__xludf.DUMMYFUNCTION("""COMPUTED_VALUE"""),"2003")</f>
        <v>2003</v>
      </c>
      <c r="AE2033" s="14"/>
      <c r="AF2033" s="14">
        <f>IFERROR(__xludf.DUMMYFUNCTION("""COMPUTED_VALUE"""),92.0)</f>
        <v>92</v>
      </c>
    </row>
    <row r="2034">
      <c r="A2034" s="12">
        <v>2033.0</v>
      </c>
      <c r="B2034" s="12" t="s">
        <v>235</v>
      </c>
      <c r="C2034" s="5" t="s">
        <v>77</v>
      </c>
      <c r="D2034" s="8"/>
      <c r="E2034" s="11">
        <v>192.0</v>
      </c>
      <c r="F2034" s="8"/>
      <c r="G2034" s="8"/>
      <c r="H2034" s="11">
        <v>0.133</v>
      </c>
      <c r="I2034" s="11">
        <v>0.051</v>
      </c>
      <c r="J2034" s="9" t="s">
        <v>65</v>
      </c>
      <c r="K2034" s="14" t="str">
        <f>IFERROR(__xludf.DUMMYFUNCTION("ARRAYFORMULA(VLOOKUP(A2034,IMPORTRANGE(""https://docs.google.com/spreadsheets/d/1BuTWp7qHGjWhqrnf-OmePP568O4A5Am9ttzvVdP67zw/edit#gid=1603210130"", ""TOURISM!$A$2:$F$2692""), {2,3,4,5,6},0))"),"Africa")</f>
        <v>Africa</v>
      </c>
      <c r="L2034" s="14">
        <f>IFERROR(__xludf.DUMMYFUNCTION("""COMPUTED_VALUE"""),7700000.0)</f>
        <v>7700000</v>
      </c>
      <c r="M2034" s="14" t="str">
        <f>IFERROR(__xludf.DUMMYFUNCTION("""COMPUTED_VALUE"""),"Sao Tome and Principe-Africa")</f>
        <v>Sao Tome and Principe-Africa</v>
      </c>
      <c r="N2034" s="14" t="str">
        <f>IFERROR(__xludf.DUMMYFUNCTION("""COMPUTED_VALUE"""),"2004")</f>
        <v>2004</v>
      </c>
      <c r="O2034" s="14">
        <f>IFERROR(__xludf.DUMMYFUNCTION("""COMPUTED_VALUE"""),2100000.0)</f>
        <v>2100000</v>
      </c>
      <c r="P2034" s="15">
        <f>IFERROR(__xludf.DUMMYFUNCTION("ARRAYFORMULA(VLOOKUP(A2034,IMPORTRANGE(""https://docs.google.com/spreadsheets/d/1BuTWp7qHGjWhqrnf-OmePP568O4A5Am9ttzvVdP67zw/edit#gid=771602874"" ,""HUMAN RESOURCES!$A$2:$M$2692""), {2,3,4,5,6,7,8,9,10,11,12,13},0))"),0.038)</f>
        <v>0.038</v>
      </c>
      <c r="Q2034" s="14">
        <f>IFERROR(__xludf.DUMMYFUNCTION("""COMPUTED_VALUE"""),0.05)</f>
        <v>0.05</v>
      </c>
      <c r="R2034" s="14">
        <f>IFERROR(__xludf.DUMMYFUNCTION("""COMPUTED_VALUE"""),66.0)</f>
        <v>66</v>
      </c>
      <c r="S2034" s="14">
        <f>IFERROR(__xludf.DUMMYFUNCTION("""COMPUTED_VALUE"""),62.0)</f>
        <v>62</v>
      </c>
      <c r="T2034" s="14">
        <f>IFERROR(__xludf.DUMMYFUNCTION("""COMPUTED_VALUE"""),0.422)</f>
        <v>0.422</v>
      </c>
      <c r="U2034" s="14">
        <f>IFERROR(__xludf.DUMMYFUNCTION("""COMPUTED_VALUE"""),0.537)</f>
        <v>0.537</v>
      </c>
      <c r="V2034" s="14">
        <f>IFERROR(__xludf.DUMMYFUNCTION("""COMPUTED_VALUE"""),0.04)</f>
        <v>0.04</v>
      </c>
      <c r="W2034" s="14">
        <f>IFERROR(__xludf.DUMMYFUNCTION("""COMPUTED_VALUE"""),150842.0)</f>
        <v>150842</v>
      </c>
      <c r="X2034" s="14">
        <f>IFERROR(__xludf.DUMMYFUNCTION("""COMPUTED_VALUE"""),0.571)</f>
        <v>0.571</v>
      </c>
      <c r="Y2034" s="14" t="str">
        <f>IFERROR(__xludf.DUMMYFUNCTION("""COMPUTED_VALUE"""),"Sao Tome and Principe-Africa")</f>
        <v>Sao Tome and Principe-Africa</v>
      </c>
      <c r="Z2034" s="14" t="str">
        <f>IFERROR(__xludf.DUMMYFUNCTION("""COMPUTED_VALUE"""),"Africa")</f>
        <v>Africa</v>
      </c>
      <c r="AA2034" s="14" t="str">
        <f>IFERROR(__xludf.DUMMYFUNCTION("""COMPUTED_VALUE"""),"2004")</f>
        <v>2004</v>
      </c>
      <c r="AB2034" s="15" t="str">
        <f>IFERROR(__xludf.DUMMYFUNCTION("ARRAYFORMULA(VLOOKUP(A2034,IMPORTRANGE(""https://docs.google.com/spreadsheets/d/1BuTWp7qHGjWhqrnf-OmePP568O4A5Am9ttzvVdP67zw/edit#gid=1931367683"" ,""ENERGY!$A$2:$F$2692""), {2,3,4,5,6},0))"),"Africa")</f>
        <v>Africa</v>
      </c>
      <c r="AC2034" s="14" t="str">
        <f>IFERROR(__xludf.DUMMYFUNCTION("""COMPUTED_VALUE"""),"Sao Tome and Principe-Africa")</f>
        <v>Sao Tome and Principe-Africa</v>
      </c>
      <c r="AD2034" s="14" t="str">
        <f>IFERROR(__xludf.DUMMYFUNCTION("""COMPUTED_VALUE"""),"2004")</f>
        <v>2004</v>
      </c>
      <c r="AE2034" s="14"/>
      <c r="AF2034" s="14">
        <f>IFERROR(__xludf.DUMMYFUNCTION("""COMPUTED_VALUE"""),84.0)</f>
        <v>84</v>
      </c>
    </row>
    <row r="2035">
      <c r="A2035" s="12">
        <v>2034.0</v>
      </c>
      <c r="B2035" s="12" t="s">
        <v>235</v>
      </c>
      <c r="C2035" s="5" t="s">
        <v>77</v>
      </c>
      <c r="D2035" s="11">
        <v>0.469</v>
      </c>
      <c r="E2035" s="11">
        <v>144.0</v>
      </c>
      <c r="F2035" s="8"/>
      <c r="G2035" s="11">
        <v>424.0</v>
      </c>
      <c r="H2035" s="11">
        <v>0.138</v>
      </c>
      <c r="I2035" s="11">
        <v>0.077</v>
      </c>
      <c r="J2035" s="9" t="s">
        <v>66</v>
      </c>
      <c r="K2035" s="14" t="str">
        <f>IFERROR(__xludf.DUMMYFUNCTION("ARRAYFORMULA(VLOOKUP(A2035,IMPORTRANGE(""https://docs.google.com/spreadsheets/d/1BuTWp7qHGjWhqrnf-OmePP568O4A5Am9ttzvVdP67zw/edit#gid=1603210130"", ""TOURISM!$A$2:$F$2692""), {2,3,4,5,6},0))"),"Africa")</f>
        <v>Africa</v>
      </c>
      <c r="L2035" s="14">
        <f>IFERROR(__xludf.DUMMYFUNCTION("""COMPUTED_VALUE"""),7300000.0)</f>
        <v>7300000</v>
      </c>
      <c r="M2035" s="14" t="str">
        <f>IFERROR(__xludf.DUMMYFUNCTION("""COMPUTED_VALUE"""),"Sao Tome and Principe-Africa")</f>
        <v>Sao Tome and Principe-Africa</v>
      </c>
      <c r="N2035" s="14" t="str">
        <f>IFERROR(__xludf.DUMMYFUNCTION("""COMPUTED_VALUE"""),"2005")</f>
        <v>2005</v>
      </c>
      <c r="O2035" s="14">
        <f>IFERROR(__xludf.DUMMYFUNCTION("""COMPUTED_VALUE"""),500000.0)</f>
        <v>500000</v>
      </c>
      <c r="P2035" s="15">
        <f>IFERROR(__xludf.DUMMYFUNCTION("ARRAYFORMULA(VLOOKUP(A2035,IMPORTRANGE(""https://docs.google.com/spreadsheets/d/1BuTWp7qHGjWhqrnf-OmePP568O4A5Am9ttzvVdP67zw/edit#gid=771602874"" ,""HUMAN RESOURCES!$A$2:$M$2692""), {2,3,4,5,6,7,8,9,10,11,12,13},0))"),0.038)</f>
        <v>0.038</v>
      </c>
      <c r="Q2035" s="14">
        <f>IFERROR(__xludf.DUMMYFUNCTION("""COMPUTED_VALUE"""),0.048)</f>
        <v>0.048</v>
      </c>
      <c r="R2035" s="14">
        <f>IFERROR(__xludf.DUMMYFUNCTION("""COMPUTED_VALUE"""),66.0)</f>
        <v>66</v>
      </c>
      <c r="S2035" s="14">
        <f>IFERROR(__xludf.DUMMYFUNCTION("""COMPUTED_VALUE"""),63.0)</f>
        <v>63</v>
      </c>
      <c r="T2035" s="14">
        <f>IFERROR(__xludf.DUMMYFUNCTION("""COMPUTED_VALUE"""),0.42)</f>
        <v>0.42</v>
      </c>
      <c r="U2035" s="14">
        <f>IFERROR(__xludf.DUMMYFUNCTION("""COMPUTED_VALUE"""),0.54)</f>
        <v>0.54</v>
      </c>
      <c r="V2035" s="14">
        <f>IFERROR(__xludf.DUMMYFUNCTION("""COMPUTED_VALUE"""),0.04)</f>
        <v>0.04</v>
      </c>
      <c r="W2035" s="14">
        <f>IFERROR(__xludf.DUMMYFUNCTION("""COMPUTED_VALUE"""),154615.0)</f>
        <v>154615</v>
      </c>
      <c r="X2035" s="14">
        <f>IFERROR(__xludf.DUMMYFUNCTION("""COMPUTED_VALUE"""),0.58)</f>
        <v>0.58</v>
      </c>
      <c r="Y2035" s="14" t="str">
        <f>IFERROR(__xludf.DUMMYFUNCTION("""COMPUTED_VALUE"""),"Sao Tome and Principe-Africa")</f>
        <v>Sao Tome and Principe-Africa</v>
      </c>
      <c r="Z2035" s="14" t="str">
        <f>IFERROR(__xludf.DUMMYFUNCTION("""COMPUTED_VALUE"""),"Africa")</f>
        <v>Africa</v>
      </c>
      <c r="AA2035" s="14" t="str">
        <f>IFERROR(__xludf.DUMMYFUNCTION("""COMPUTED_VALUE"""),"2005")</f>
        <v>2005</v>
      </c>
      <c r="AB2035" s="15" t="str">
        <f>IFERROR(__xludf.DUMMYFUNCTION("ARRAYFORMULA(VLOOKUP(A2035,IMPORTRANGE(""https://docs.google.com/spreadsheets/d/1BuTWp7qHGjWhqrnf-OmePP568O4A5Am9ttzvVdP67zw/edit#gid=1931367683"" ,""ENERGY!$A$2:$F$2692""), {2,3,4,5,6},0))"),"Africa")</f>
        <v>Africa</v>
      </c>
      <c r="AC2035" s="14" t="str">
        <f>IFERROR(__xludf.DUMMYFUNCTION("""COMPUTED_VALUE"""),"Sao Tome and Principe-Africa")</f>
        <v>Sao Tome and Principe-Africa</v>
      </c>
      <c r="AD2035" s="14" t="str">
        <f>IFERROR(__xludf.DUMMYFUNCTION("""COMPUTED_VALUE"""),"2008")</f>
        <v>2008</v>
      </c>
      <c r="AE2035" s="14">
        <f>IFERROR(__xludf.DUMMYFUNCTION("""COMPUTED_VALUE"""),44.0)</f>
        <v>44</v>
      </c>
      <c r="AF2035" s="14">
        <f>IFERROR(__xludf.DUMMYFUNCTION("""COMPUTED_VALUE"""),84.0)</f>
        <v>84</v>
      </c>
    </row>
    <row r="2036">
      <c r="A2036" s="12">
        <v>2035.0</v>
      </c>
      <c r="B2036" s="12" t="s">
        <v>235</v>
      </c>
      <c r="C2036" s="5" t="s">
        <v>77</v>
      </c>
      <c r="D2036" s="11">
        <v>0.487</v>
      </c>
      <c r="E2036" s="11">
        <v>144.0</v>
      </c>
      <c r="F2036" s="8"/>
      <c r="G2036" s="11">
        <v>424.0</v>
      </c>
      <c r="H2036" s="11">
        <v>0.142</v>
      </c>
      <c r="I2036" s="11">
        <v>0.116</v>
      </c>
      <c r="J2036" s="9" t="s">
        <v>67</v>
      </c>
      <c r="K2036" s="14" t="str">
        <f>IFERROR(__xludf.DUMMYFUNCTION("ARRAYFORMULA(VLOOKUP(A2036,IMPORTRANGE(""https://docs.google.com/spreadsheets/d/1BuTWp7qHGjWhqrnf-OmePP568O4A5Am9ttzvVdP67zw/edit#gid=1603210130"", ""TOURISM!$A$2:$F$2692""), {2,3,4,5,6},0))"),"Africa")</f>
        <v>Africa</v>
      </c>
      <c r="L2036" s="14">
        <f>IFERROR(__xludf.DUMMYFUNCTION("""COMPUTED_VALUE"""),6700000.0)</f>
        <v>6700000</v>
      </c>
      <c r="M2036" s="14" t="str">
        <f>IFERROR(__xludf.DUMMYFUNCTION("""COMPUTED_VALUE"""),"Sao Tome and Principe-Africa")</f>
        <v>Sao Tome and Principe-Africa</v>
      </c>
      <c r="N2036" s="14" t="str">
        <f>IFERROR(__xludf.DUMMYFUNCTION("""COMPUTED_VALUE"""),"2006")</f>
        <v>2006</v>
      </c>
      <c r="O2036" s="14">
        <f>IFERROR(__xludf.DUMMYFUNCTION("""COMPUTED_VALUE"""),1100000.0)</f>
        <v>1100000</v>
      </c>
      <c r="P2036" s="15">
        <f>IFERROR(__xludf.DUMMYFUNCTION("ARRAYFORMULA(VLOOKUP(A2036,IMPORTRANGE(""https://docs.google.com/spreadsheets/d/1BuTWp7qHGjWhqrnf-OmePP568O4A5Am9ttzvVdP67zw/edit#gid=771602874"" ,""HUMAN RESOURCES!$A$2:$M$2692""), {2,3,4,5,6,7,8,9,10,11,12,13},0))"),0.038)</f>
        <v>0.038</v>
      </c>
      <c r="Q2036" s="14">
        <f>IFERROR(__xludf.DUMMYFUNCTION("""COMPUTED_VALUE"""),0.046)</f>
        <v>0.046</v>
      </c>
      <c r="R2036" s="14">
        <f>IFERROR(__xludf.DUMMYFUNCTION("""COMPUTED_VALUE"""),67.0)</f>
        <v>67</v>
      </c>
      <c r="S2036" s="14">
        <f>IFERROR(__xludf.DUMMYFUNCTION("""COMPUTED_VALUE"""),63.0)</f>
        <v>63</v>
      </c>
      <c r="T2036" s="14">
        <f>IFERROR(__xludf.DUMMYFUNCTION("""COMPUTED_VALUE"""),0.418)</f>
        <v>0.418</v>
      </c>
      <c r="U2036" s="14">
        <f>IFERROR(__xludf.DUMMYFUNCTION("""COMPUTED_VALUE"""),0.542)</f>
        <v>0.542</v>
      </c>
      <c r="V2036" s="14">
        <f>IFERROR(__xludf.DUMMYFUNCTION("""COMPUTED_VALUE"""),0.039)</f>
        <v>0.039</v>
      </c>
      <c r="W2036" s="14">
        <f>IFERROR(__xludf.DUMMYFUNCTION("""COMPUTED_VALUE"""),158806.0)</f>
        <v>158806</v>
      </c>
      <c r="X2036" s="14">
        <f>IFERROR(__xludf.DUMMYFUNCTION("""COMPUTED_VALUE"""),0.588)</f>
        <v>0.588</v>
      </c>
      <c r="Y2036" s="14" t="str">
        <f>IFERROR(__xludf.DUMMYFUNCTION("""COMPUTED_VALUE"""),"Sao Tome and Principe-Africa")</f>
        <v>Sao Tome and Principe-Africa</v>
      </c>
      <c r="Z2036" s="14" t="str">
        <f>IFERROR(__xludf.DUMMYFUNCTION("""COMPUTED_VALUE"""),"Africa")</f>
        <v>Africa</v>
      </c>
      <c r="AA2036" s="14" t="str">
        <f>IFERROR(__xludf.DUMMYFUNCTION("""COMPUTED_VALUE"""),"2006")</f>
        <v>2006</v>
      </c>
      <c r="AB2036" s="15" t="str">
        <f>IFERROR(__xludf.DUMMYFUNCTION("ARRAYFORMULA(VLOOKUP(A2036,IMPORTRANGE(""https://docs.google.com/spreadsheets/d/1BuTWp7qHGjWhqrnf-OmePP568O4A5Am9ttzvVdP67zw/edit#gid=1931367683"" ,""ENERGY!$A$2:$F$2692""), {2,3,4,5,6},0))"),"Africa")</f>
        <v>Africa</v>
      </c>
      <c r="AC2036" s="14" t="str">
        <f>IFERROR(__xludf.DUMMYFUNCTION("""COMPUTED_VALUE"""),"Sao Tome and Principe-Africa")</f>
        <v>Sao Tome and Principe-Africa</v>
      </c>
      <c r="AD2036" s="14" t="str">
        <f>IFERROR(__xludf.DUMMYFUNCTION("""COMPUTED_VALUE"""),"2012")</f>
        <v>2012</v>
      </c>
      <c r="AE2036" s="14">
        <f>IFERROR(__xludf.DUMMYFUNCTION("""COMPUTED_VALUE"""),44.0)</f>
        <v>44</v>
      </c>
      <c r="AF2036" s="14">
        <f>IFERROR(__xludf.DUMMYFUNCTION("""COMPUTED_VALUE"""),84.0)</f>
        <v>84</v>
      </c>
    </row>
    <row r="2037">
      <c r="A2037" s="12">
        <v>2036.0</v>
      </c>
      <c r="B2037" s="12" t="s">
        <v>235</v>
      </c>
      <c r="C2037" s="5" t="s">
        <v>77</v>
      </c>
      <c r="D2037" s="11">
        <v>0.487</v>
      </c>
      <c r="E2037" s="11">
        <v>144.0</v>
      </c>
      <c r="F2037" s="8"/>
      <c r="G2037" s="11">
        <v>424.0</v>
      </c>
      <c r="H2037" s="11">
        <v>0.146</v>
      </c>
      <c r="I2037" s="11">
        <v>0.184</v>
      </c>
      <c r="J2037" s="9" t="s">
        <v>68</v>
      </c>
      <c r="K2037" s="14" t="str">
        <f>IFERROR(__xludf.DUMMYFUNCTION("ARRAYFORMULA(VLOOKUP(A2037,IMPORTRANGE(""https://docs.google.com/spreadsheets/d/1BuTWp7qHGjWhqrnf-OmePP568O4A5Am9ttzvVdP67zw/edit#gid=1603210130"", ""TOURISM!$A$2:$F$2692""), {2,3,4,5,6},0))"),"Africa")</f>
        <v>Africa</v>
      </c>
      <c r="L2037" s="14">
        <f>IFERROR(__xludf.DUMMYFUNCTION("""COMPUTED_VALUE"""),5000000.0)</f>
        <v>5000000</v>
      </c>
      <c r="M2037" s="14" t="str">
        <f>IFERROR(__xludf.DUMMYFUNCTION("""COMPUTED_VALUE"""),"Sao Tome and Principe-Africa")</f>
        <v>Sao Tome and Principe-Africa</v>
      </c>
      <c r="N2037" s="14" t="str">
        <f>IFERROR(__xludf.DUMMYFUNCTION("""COMPUTED_VALUE"""),"2007")</f>
        <v>2007</v>
      </c>
      <c r="O2037" s="14">
        <f>IFERROR(__xludf.DUMMYFUNCTION("""COMPUTED_VALUE"""),700000.0)</f>
        <v>700000</v>
      </c>
      <c r="P2037" s="15">
        <f>IFERROR(__xludf.DUMMYFUNCTION("ARRAYFORMULA(VLOOKUP(A2037,IMPORTRANGE(""https://docs.google.com/spreadsheets/d/1BuTWp7qHGjWhqrnf-OmePP568O4A5Am9ttzvVdP67zw/edit#gid=771602874"" ,""HUMAN RESOURCES!$A$2:$M$2692""), {2,3,4,5,6,7,8,9,10,11,12,13},0))"),0.038)</f>
        <v>0.038</v>
      </c>
      <c r="Q2037" s="14">
        <f>IFERROR(__xludf.DUMMYFUNCTION("""COMPUTED_VALUE"""),0.044)</f>
        <v>0.044</v>
      </c>
      <c r="R2037" s="14">
        <f>IFERROR(__xludf.DUMMYFUNCTION("""COMPUTED_VALUE"""),67.0)</f>
        <v>67</v>
      </c>
      <c r="S2037" s="14">
        <f>IFERROR(__xludf.DUMMYFUNCTION("""COMPUTED_VALUE"""),63.0)</f>
        <v>63</v>
      </c>
      <c r="T2037" s="14">
        <f>IFERROR(__xludf.DUMMYFUNCTION("""COMPUTED_VALUE"""),0.417)</f>
        <v>0.417</v>
      </c>
      <c r="U2037" s="14">
        <f>IFERROR(__xludf.DUMMYFUNCTION("""COMPUTED_VALUE"""),0.544)</f>
        <v>0.544</v>
      </c>
      <c r="V2037" s="14">
        <f>IFERROR(__xludf.DUMMYFUNCTION("""COMPUTED_VALUE"""),0.039)</f>
        <v>0.039</v>
      </c>
      <c r="W2037" s="14">
        <f>IFERROR(__xludf.DUMMYFUNCTION("""COMPUTED_VALUE"""),163390.0)</f>
        <v>163390</v>
      </c>
      <c r="X2037" s="14">
        <f>IFERROR(__xludf.DUMMYFUNCTION("""COMPUTED_VALUE"""),0.597)</f>
        <v>0.597</v>
      </c>
      <c r="Y2037" s="14" t="str">
        <f>IFERROR(__xludf.DUMMYFUNCTION("""COMPUTED_VALUE"""),"Sao Tome and Principe-Africa")</f>
        <v>Sao Tome and Principe-Africa</v>
      </c>
      <c r="Z2037" s="14" t="str">
        <f>IFERROR(__xludf.DUMMYFUNCTION("""COMPUTED_VALUE"""),"Africa")</f>
        <v>Africa</v>
      </c>
      <c r="AA2037" s="14" t="str">
        <f>IFERROR(__xludf.DUMMYFUNCTION("""COMPUTED_VALUE"""),"2007")</f>
        <v>2007</v>
      </c>
      <c r="AB2037" s="15" t="str">
        <f>IFERROR(__xludf.DUMMYFUNCTION("ARRAYFORMULA(VLOOKUP(A2037,IMPORTRANGE(""https://docs.google.com/spreadsheets/d/1BuTWp7qHGjWhqrnf-OmePP568O4A5Am9ttzvVdP67zw/edit#gid=1931367683"" ,""ENERGY!$A$2:$F$2692""), {2,3,4,5,6},0))"),"Africa")</f>
        <v>Africa</v>
      </c>
      <c r="AC2037" s="14" t="str">
        <f>IFERROR(__xludf.DUMMYFUNCTION("""COMPUTED_VALUE"""),"Sao Tome and Principe-Africa")</f>
        <v>Sao Tome and Principe-Africa</v>
      </c>
      <c r="AD2037" s="14" t="str">
        <f>IFERROR(__xludf.DUMMYFUNCTION("""COMPUTED_VALUE"""),"2010")</f>
        <v>2010</v>
      </c>
      <c r="AE2037" s="14">
        <f>IFERROR(__xludf.DUMMYFUNCTION("""COMPUTED_VALUE"""),43.0)</f>
        <v>43</v>
      </c>
      <c r="AF2037" s="14">
        <f>IFERROR(__xludf.DUMMYFUNCTION("""COMPUTED_VALUE"""),77.0)</f>
        <v>77</v>
      </c>
    </row>
    <row r="2038">
      <c r="A2038" s="12">
        <v>2037.0</v>
      </c>
      <c r="B2038" s="12" t="s">
        <v>235</v>
      </c>
      <c r="C2038" s="5" t="s">
        <v>77</v>
      </c>
      <c r="D2038" s="11">
        <v>0.472</v>
      </c>
      <c r="E2038" s="11">
        <v>144.0</v>
      </c>
      <c r="F2038" s="8"/>
      <c r="G2038" s="11">
        <v>424.0</v>
      </c>
      <c r="H2038" s="11">
        <v>0.155</v>
      </c>
      <c r="I2038" s="11">
        <v>0.3</v>
      </c>
      <c r="J2038" s="9" t="s">
        <v>69</v>
      </c>
      <c r="K2038" s="14" t="str">
        <f>IFERROR(__xludf.DUMMYFUNCTION("ARRAYFORMULA(VLOOKUP(A2038,IMPORTRANGE(""https://docs.google.com/spreadsheets/d/1BuTWp7qHGjWhqrnf-OmePP568O4A5Am9ttzvVdP67zw/edit#gid=1603210130"", ""TOURISM!$A$2:$F$2692""), {2,3,4,5,6},0))"),"Africa")</f>
        <v>Africa</v>
      </c>
      <c r="L2038" s="14">
        <f>IFERROR(__xludf.DUMMYFUNCTION("""COMPUTED_VALUE"""),7700000.0)</f>
        <v>7700000</v>
      </c>
      <c r="M2038" s="14" t="str">
        <f>IFERROR(__xludf.DUMMYFUNCTION("""COMPUTED_VALUE"""),"Sao Tome and Principe-Africa")</f>
        <v>Sao Tome and Principe-Africa</v>
      </c>
      <c r="N2038" s="14" t="str">
        <f>IFERROR(__xludf.DUMMYFUNCTION("""COMPUTED_VALUE"""),"2008")</f>
        <v>2008</v>
      </c>
      <c r="O2038" s="14">
        <f>IFERROR(__xludf.DUMMYFUNCTION("""COMPUTED_VALUE"""),300000.0)</f>
        <v>300000</v>
      </c>
      <c r="P2038" s="15">
        <f>IFERROR(__xludf.DUMMYFUNCTION("ARRAYFORMULA(VLOOKUP(A2038,IMPORTRANGE(""https://docs.google.com/spreadsheets/d/1BuTWp7qHGjWhqrnf-OmePP568O4A5Am9ttzvVdP67zw/edit#gid=771602874"" ,""HUMAN RESOURCES!$A$2:$M$2692""), {2,3,4,5,6,7,8,9,10,11,12,13},0))"),0.037)</f>
        <v>0.037</v>
      </c>
      <c r="Q2038" s="14">
        <f>IFERROR(__xludf.DUMMYFUNCTION("""COMPUTED_VALUE"""),0.043)</f>
        <v>0.043</v>
      </c>
      <c r="R2038" s="14">
        <f>IFERROR(__xludf.DUMMYFUNCTION("""COMPUTED_VALUE"""),67.0)</f>
        <v>67</v>
      </c>
      <c r="S2038" s="14">
        <f>IFERROR(__xludf.DUMMYFUNCTION("""COMPUTED_VALUE"""),64.0)</f>
        <v>64</v>
      </c>
      <c r="T2038" s="14">
        <f>IFERROR(__xludf.DUMMYFUNCTION("""COMPUTED_VALUE"""),0.416)</f>
        <v>0.416</v>
      </c>
      <c r="U2038" s="14">
        <f>IFERROR(__xludf.DUMMYFUNCTION("""COMPUTED_VALUE"""),0.546)</f>
        <v>0.546</v>
      </c>
      <c r="V2038" s="14">
        <f>IFERROR(__xludf.DUMMYFUNCTION("""COMPUTED_VALUE"""),0.038)</f>
        <v>0.038</v>
      </c>
      <c r="W2038" s="14">
        <f>IFERROR(__xludf.DUMMYFUNCTION("""COMPUTED_VALUE"""),168253.0)</f>
        <v>168253</v>
      </c>
      <c r="X2038" s="14">
        <f>IFERROR(__xludf.DUMMYFUNCTION("""COMPUTED_VALUE"""),0.604)</f>
        <v>0.604</v>
      </c>
      <c r="Y2038" s="14" t="str">
        <f>IFERROR(__xludf.DUMMYFUNCTION("""COMPUTED_VALUE"""),"Sao Tome and Principe-Africa")</f>
        <v>Sao Tome and Principe-Africa</v>
      </c>
      <c r="Z2038" s="14" t="str">
        <f>IFERROR(__xludf.DUMMYFUNCTION("""COMPUTED_VALUE"""),"Africa")</f>
        <v>Africa</v>
      </c>
      <c r="AA2038" s="14" t="str">
        <f>IFERROR(__xludf.DUMMYFUNCTION("""COMPUTED_VALUE"""),"2008")</f>
        <v>2008</v>
      </c>
      <c r="AB2038" s="15" t="str">
        <f>IFERROR(__xludf.DUMMYFUNCTION("ARRAYFORMULA(VLOOKUP(A2038,IMPORTRANGE(""https://docs.google.com/spreadsheets/d/1BuTWp7qHGjWhqrnf-OmePP568O4A5Am9ttzvVdP67zw/edit#gid=1931367683"" ,""ENERGY!$A$2:$F$2692""), {2,3,4,5,6},0))"),"Africa")</f>
        <v>Africa</v>
      </c>
      <c r="AC2038" s="14" t="str">
        <f>IFERROR(__xludf.DUMMYFUNCTION("""COMPUTED_VALUE"""),"Sao Tome and Principe-Africa")</f>
        <v>Sao Tome and Principe-Africa</v>
      </c>
      <c r="AD2038" s="14" t="str">
        <f>IFERROR(__xludf.DUMMYFUNCTION("""COMPUTED_VALUE"""),"2007")</f>
        <v>2007</v>
      </c>
      <c r="AE2038" s="14">
        <f>IFERROR(__xludf.DUMMYFUNCTION("""COMPUTED_VALUE"""),38.0)</f>
        <v>38</v>
      </c>
      <c r="AF2038" s="14">
        <f>IFERROR(__xludf.DUMMYFUNCTION("""COMPUTED_VALUE"""),73.0)</f>
        <v>73</v>
      </c>
    </row>
    <row r="2039">
      <c r="A2039" s="12">
        <v>2038.0</v>
      </c>
      <c r="B2039" s="12" t="s">
        <v>235</v>
      </c>
      <c r="C2039" s="5" t="s">
        <v>77</v>
      </c>
      <c r="D2039" s="11">
        <v>0.472</v>
      </c>
      <c r="E2039" s="11">
        <v>144.0</v>
      </c>
      <c r="F2039" s="8"/>
      <c r="G2039" s="11">
        <v>424.0</v>
      </c>
      <c r="H2039" s="11">
        <v>0.164</v>
      </c>
      <c r="I2039" s="11">
        <v>0.467</v>
      </c>
      <c r="J2039" s="9" t="s">
        <v>70</v>
      </c>
      <c r="K2039" s="14" t="str">
        <f>IFERROR(__xludf.DUMMYFUNCTION("ARRAYFORMULA(VLOOKUP(A2039,IMPORTRANGE(""https://docs.google.com/spreadsheets/d/1BuTWp7qHGjWhqrnf-OmePP568O4A5Am9ttzvVdP67zw/edit#gid=1603210130"", ""TOURISM!$A$2:$F$2692""), {2,3,4,5,6},0))"),"Africa")</f>
        <v>Africa</v>
      </c>
      <c r="L2039" s="14">
        <f>IFERROR(__xludf.DUMMYFUNCTION("""COMPUTED_VALUE"""),8300000.0)</f>
        <v>8300000</v>
      </c>
      <c r="M2039" s="14" t="str">
        <f>IFERROR(__xludf.DUMMYFUNCTION("""COMPUTED_VALUE"""),"Sao Tome and Principe-Africa")</f>
        <v>Sao Tome and Principe-Africa</v>
      </c>
      <c r="N2039" s="14" t="str">
        <f>IFERROR(__xludf.DUMMYFUNCTION("""COMPUTED_VALUE"""),"2009")</f>
        <v>2009</v>
      </c>
      <c r="O2039" s="14">
        <f>IFERROR(__xludf.DUMMYFUNCTION("""COMPUTED_VALUE"""),400000.0)</f>
        <v>400000</v>
      </c>
      <c r="P2039" s="15">
        <f>IFERROR(__xludf.DUMMYFUNCTION("ARRAYFORMULA(VLOOKUP(A2039,IMPORTRANGE(""https://docs.google.com/spreadsheets/d/1BuTWp7qHGjWhqrnf-OmePP568O4A5Am9ttzvVdP67zw/edit#gid=771602874"" ,""HUMAN RESOURCES!$A$2:$M$2692""), {2,3,4,5,6,7,8,9,10,11,12,13},0))"),0.037)</f>
        <v>0.037</v>
      </c>
      <c r="Q2039" s="14">
        <f>IFERROR(__xludf.DUMMYFUNCTION("""COMPUTED_VALUE"""),0.041)</f>
        <v>0.041</v>
      </c>
      <c r="R2039" s="14">
        <f>IFERROR(__xludf.DUMMYFUNCTION("""COMPUTED_VALUE"""),68.0)</f>
        <v>68</v>
      </c>
      <c r="S2039" s="14">
        <f>IFERROR(__xludf.DUMMYFUNCTION("""COMPUTED_VALUE"""),64.0)</f>
        <v>64</v>
      </c>
      <c r="T2039" s="14">
        <f>IFERROR(__xludf.DUMMYFUNCTION("""COMPUTED_VALUE"""),0.416)</f>
        <v>0.416</v>
      </c>
      <c r="U2039" s="14">
        <f>IFERROR(__xludf.DUMMYFUNCTION("""COMPUTED_VALUE"""),0.547)</f>
        <v>0.547</v>
      </c>
      <c r="V2039" s="14">
        <f>IFERROR(__xludf.DUMMYFUNCTION("""COMPUTED_VALUE"""),0.037)</f>
        <v>0.037</v>
      </c>
      <c r="W2039" s="14">
        <f>IFERROR(__xludf.DUMMYFUNCTION("""COMPUTED_VALUE"""),173240.0)</f>
        <v>173240</v>
      </c>
      <c r="X2039" s="14">
        <f>IFERROR(__xludf.DUMMYFUNCTION("""COMPUTED_VALUE"""),0.612)</f>
        <v>0.612</v>
      </c>
      <c r="Y2039" s="14" t="str">
        <f>IFERROR(__xludf.DUMMYFUNCTION("""COMPUTED_VALUE"""),"Sao Tome and Principe-Africa")</f>
        <v>Sao Tome and Principe-Africa</v>
      </c>
      <c r="Z2039" s="14" t="str">
        <f>IFERROR(__xludf.DUMMYFUNCTION("""COMPUTED_VALUE"""),"Africa")</f>
        <v>Africa</v>
      </c>
      <c r="AA2039" s="14" t="str">
        <f>IFERROR(__xludf.DUMMYFUNCTION("""COMPUTED_VALUE"""),"2009")</f>
        <v>2009</v>
      </c>
      <c r="AB2039" s="15" t="str">
        <f>IFERROR(__xludf.DUMMYFUNCTION("ARRAYFORMULA(VLOOKUP(A2039,IMPORTRANGE(""https://docs.google.com/spreadsheets/d/1BuTWp7qHGjWhqrnf-OmePP568O4A5Am9ttzvVdP67zw/edit#gid=1931367683"" ,""ENERGY!$A$2:$F$2692""), {2,3,4,5,6},0))"),"Africa")</f>
        <v>Africa</v>
      </c>
      <c r="AC2039" s="14" t="str">
        <f>IFERROR(__xludf.DUMMYFUNCTION("""COMPUTED_VALUE"""),"Sao Tome and Principe-Africa")</f>
        <v>Sao Tome and Principe-Africa</v>
      </c>
      <c r="AD2039" s="14" t="str">
        <f>IFERROR(__xludf.DUMMYFUNCTION("""COMPUTED_VALUE"""),"2011")</f>
        <v>2011</v>
      </c>
      <c r="AE2039" s="14"/>
      <c r="AF2039" s="14">
        <f>IFERROR(__xludf.DUMMYFUNCTION("""COMPUTED_VALUE"""),66.0)</f>
        <v>66</v>
      </c>
    </row>
    <row r="2040">
      <c r="A2040" s="12">
        <v>2039.0</v>
      </c>
      <c r="B2040" s="12" t="s">
        <v>235</v>
      </c>
      <c r="C2040" s="5" t="s">
        <v>77</v>
      </c>
      <c r="D2040" s="11">
        <v>0.333</v>
      </c>
      <c r="E2040" s="11">
        <v>144.0</v>
      </c>
      <c r="F2040" s="8"/>
      <c r="G2040" s="11">
        <v>424.0</v>
      </c>
      <c r="H2040" s="11">
        <v>0.188</v>
      </c>
      <c r="I2040" s="11">
        <v>0.576</v>
      </c>
      <c r="J2040" s="9" t="s">
        <v>71</v>
      </c>
      <c r="K2040" s="14" t="str">
        <f>IFERROR(__xludf.DUMMYFUNCTION("ARRAYFORMULA(VLOOKUP(A2040,IMPORTRANGE(""https://docs.google.com/spreadsheets/d/1BuTWp7qHGjWhqrnf-OmePP568O4A5Am9ttzvVdP67zw/edit#gid=1603210130"", ""TOURISM!$A$2:$F$2692""), {2,3,4,5,6},0))"),"Africa")</f>
        <v>Africa</v>
      </c>
      <c r="L2040" s="14">
        <f>IFERROR(__xludf.DUMMYFUNCTION("""COMPUTED_VALUE"""),1.11E7)</f>
        <v>11100000</v>
      </c>
      <c r="M2040" s="14" t="str">
        <f>IFERROR(__xludf.DUMMYFUNCTION("""COMPUTED_VALUE"""),"Sao Tome and Principe-Africa")</f>
        <v>Sao Tome and Principe-Africa</v>
      </c>
      <c r="N2040" s="14" t="str">
        <f>IFERROR(__xludf.DUMMYFUNCTION("""COMPUTED_VALUE"""),"2010")</f>
        <v>2010</v>
      </c>
      <c r="O2040" s="14">
        <f>IFERROR(__xludf.DUMMYFUNCTION("""COMPUTED_VALUE"""),600000.0)</f>
        <v>600000</v>
      </c>
      <c r="P2040" s="15">
        <f>IFERROR(__xludf.DUMMYFUNCTION("ARRAYFORMULA(VLOOKUP(A2040,IMPORTRANGE(""https://docs.google.com/spreadsheets/d/1BuTWp7qHGjWhqrnf-OmePP568O4A5Am9ttzvVdP67zw/edit#gid=771602874"" ,""HUMAN RESOURCES!$A$2:$M$2692""), {2,3,4,5,6,7,8,9,10,11,12,13},0))"),0.036)</f>
        <v>0.036</v>
      </c>
      <c r="Q2040" s="14">
        <f>IFERROR(__xludf.DUMMYFUNCTION("""COMPUTED_VALUE"""),0.04)</f>
        <v>0.04</v>
      </c>
      <c r="R2040" s="14">
        <f>IFERROR(__xludf.DUMMYFUNCTION("""COMPUTED_VALUE"""),68.0)</f>
        <v>68</v>
      </c>
      <c r="S2040" s="14">
        <f>IFERROR(__xludf.DUMMYFUNCTION("""COMPUTED_VALUE"""),64.0)</f>
        <v>64</v>
      </c>
      <c r="T2040" s="14">
        <f>IFERROR(__xludf.DUMMYFUNCTION("""COMPUTED_VALUE"""),0.416)</f>
        <v>0.416</v>
      </c>
      <c r="U2040" s="14">
        <f>IFERROR(__xludf.DUMMYFUNCTION("""COMPUTED_VALUE"""),0.548)</f>
        <v>0.548</v>
      </c>
      <c r="V2040" s="14">
        <f>IFERROR(__xludf.DUMMYFUNCTION("""COMPUTED_VALUE"""),0.036)</f>
        <v>0.036</v>
      </c>
      <c r="W2040" s="14">
        <f>IFERROR(__xludf.DUMMYFUNCTION("""COMPUTED_VALUE"""),178228.0)</f>
        <v>178228</v>
      </c>
      <c r="X2040" s="14">
        <f>IFERROR(__xludf.DUMMYFUNCTION("""COMPUTED_VALUE"""),0.619)</f>
        <v>0.619</v>
      </c>
      <c r="Y2040" s="14" t="str">
        <f>IFERROR(__xludf.DUMMYFUNCTION("""COMPUTED_VALUE"""),"Sao Tome and Principe-Africa")</f>
        <v>Sao Tome and Principe-Africa</v>
      </c>
      <c r="Z2040" s="14" t="str">
        <f>IFERROR(__xludf.DUMMYFUNCTION("""COMPUTED_VALUE"""),"Africa")</f>
        <v>Africa</v>
      </c>
      <c r="AA2040" s="14" t="str">
        <f>IFERROR(__xludf.DUMMYFUNCTION("""COMPUTED_VALUE"""),"2010")</f>
        <v>2010</v>
      </c>
      <c r="AB2040" s="15" t="str">
        <f>IFERROR(__xludf.DUMMYFUNCTION("ARRAYFORMULA(VLOOKUP(A2040,IMPORTRANGE(""https://docs.google.com/spreadsheets/d/1BuTWp7qHGjWhqrnf-OmePP568O4A5Am9ttzvVdP67zw/edit#gid=1931367683"" ,""ENERGY!$A$2:$F$2692""), {2,3,4,5,6},0))"),"Africa")</f>
        <v>Africa</v>
      </c>
      <c r="AC2040" s="14" t="str">
        <f>IFERROR(__xludf.DUMMYFUNCTION("""COMPUTED_VALUE"""),"Sao Tome and Principe-Africa")</f>
        <v>Sao Tome and Principe-Africa</v>
      </c>
      <c r="AD2040" s="14" t="str">
        <f>IFERROR(__xludf.DUMMYFUNCTION("""COMPUTED_VALUE"""),"2007")</f>
        <v>2007</v>
      </c>
      <c r="AE2040" s="14"/>
      <c r="AF2040" s="14">
        <f>IFERROR(__xludf.DUMMYFUNCTION("""COMPUTED_VALUE"""),59.0)</f>
        <v>59</v>
      </c>
    </row>
    <row r="2041">
      <c r="A2041" s="12">
        <v>2040.0</v>
      </c>
      <c r="B2041" s="12" t="s">
        <v>235</v>
      </c>
      <c r="C2041" s="5" t="s">
        <v>77</v>
      </c>
      <c r="D2041" s="11">
        <v>0.325</v>
      </c>
      <c r="E2041" s="11">
        <v>10.0</v>
      </c>
      <c r="F2041" s="8"/>
      <c r="G2041" s="11">
        <v>424.0</v>
      </c>
      <c r="H2041" s="11">
        <v>0.202</v>
      </c>
      <c r="I2041" s="11">
        <v>0.628</v>
      </c>
      <c r="J2041" s="9" t="s">
        <v>72</v>
      </c>
      <c r="K2041" s="14" t="str">
        <f>IFERROR(__xludf.DUMMYFUNCTION("ARRAYFORMULA(VLOOKUP(A2041,IMPORTRANGE(""https://docs.google.com/spreadsheets/d/1BuTWp7qHGjWhqrnf-OmePP568O4A5Am9ttzvVdP67zw/edit#gid=1603210130"", ""TOURISM!$A$2:$F$2692""), {2,3,4,5,6},0))"),"Africa")</f>
        <v>Africa</v>
      </c>
      <c r="L2041" s="14">
        <f>IFERROR(__xludf.DUMMYFUNCTION("""COMPUTED_VALUE"""),1.59E7)</f>
        <v>15900000</v>
      </c>
      <c r="M2041" s="14" t="str">
        <f>IFERROR(__xludf.DUMMYFUNCTION("""COMPUTED_VALUE"""),"Sao Tome and Principe-Africa")</f>
        <v>Sao Tome and Principe-Africa</v>
      </c>
      <c r="N2041" s="14" t="str">
        <f>IFERROR(__xludf.DUMMYFUNCTION("""COMPUTED_VALUE"""),"2011")</f>
        <v>2011</v>
      </c>
      <c r="O2041" s="14">
        <f>IFERROR(__xludf.DUMMYFUNCTION("""COMPUTED_VALUE"""),1400000.0)</f>
        <v>1400000</v>
      </c>
      <c r="P2041" s="15">
        <f>IFERROR(__xludf.DUMMYFUNCTION("ARRAYFORMULA(VLOOKUP(A2041,IMPORTRANGE(""https://docs.google.com/spreadsheets/d/1BuTWp7qHGjWhqrnf-OmePP568O4A5Am9ttzvVdP67zw/edit#gid=771602874"" ,""HUMAN RESOURCES!$A$2:$M$2692""), {2,3,4,5,6,7,8,9,10,11,12,13},0))"),0.036)</f>
        <v>0.036</v>
      </c>
      <c r="Q2041" s="14">
        <f>IFERROR(__xludf.DUMMYFUNCTION("""COMPUTED_VALUE"""),0.039)</f>
        <v>0.039</v>
      </c>
      <c r="R2041" s="14">
        <f>IFERROR(__xludf.DUMMYFUNCTION("""COMPUTED_VALUE"""),68.0)</f>
        <v>68</v>
      </c>
      <c r="S2041" s="14">
        <f>IFERROR(__xludf.DUMMYFUNCTION("""COMPUTED_VALUE"""),64.0)</f>
        <v>64</v>
      </c>
      <c r="T2041" s="14">
        <f>IFERROR(__xludf.DUMMYFUNCTION("""COMPUTED_VALUE"""),0.416)</f>
        <v>0.416</v>
      </c>
      <c r="U2041" s="14">
        <f>IFERROR(__xludf.DUMMYFUNCTION("""COMPUTED_VALUE"""),0.549)</f>
        <v>0.549</v>
      </c>
      <c r="V2041" s="14">
        <f>IFERROR(__xludf.DUMMYFUNCTION("""COMPUTED_VALUE"""),0.035)</f>
        <v>0.035</v>
      </c>
      <c r="W2041" s="14">
        <f>IFERROR(__xludf.DUMMYFUNCTION("""COMPUTED_VALUE"""),183177.0)</f>
        <v>183177</v>
      </c>
      <c r="X2041" s="14">
        <f>IFERROR(__xludf.DUMMYFUNCTION("""COMPUTED_VALUE"""),0.626)</f>
        <v>0.626</v>
      </c>
      <c r="Y2041" s="14" t="str">
        <f>IFERROR(__xludf.DUMMYFUNCTION("""COMPUTED_VALUE"""),"Sao Tome and Principe-Africa")</f>
        <v>Sao Tome and Principe-Africa</v>
      </c>
      <c r="Z2041" s="14" t="str">
        <f>IFERROR(__xludf.DUMMYFUNCTION("""COMPUTED_VALUE"""),"Africa")</f>
        <v>Africa</v>
      </c>
      <c r="AA2041" s="14" t="str">
        <f>IFERROR(__xludf.DUMMYFUNCTION("""COMPUTED_VALUE"""),"2011")</f>
        <v>2011</v>
      </c>
      <c r="AB2041" s="15" t="str">
        <f>IFERROR(__xludf.DUMMYFUNCTION("ARRAYFORMULA(VLOOKUP(A2041,IMPORTRANGE(""https://docs.google.com/spreadsheets/d/1BuTWp7qHGjWhqrnf-OmePP568O4A5Am9ttzvVdP67zw/edit#gid=1931367683"" ,""ENERGY!$A$2:$F$2692""), {2,3,4,5,6},0))"),"Africa")</f>
        <v>Africa</v>
      </c>
      <c r="AC2041" s="14" t="str">
        <f>IFERROR(__xludf.DUMMYFUNCTION("""COMPUTED_VALUE"""),"Sao Tome and Principe-Africa")</f>
        <v>Sao Tome and Principe-Africa</v>
      </c>
      <c r="AD2041" s="14" t="str">
        <f>IFERROR(__xludf.DUMMYFUNCTION("""COMPUTED_VALUE"""),"2007")</f>
        <v>2007</v>
      </c>
      <c r="AE2041" s="14"/>
      <c r="AF2041" s="14">
        <f>IFERROR(__xludf.DUMMYFUNCTION("""COMPUTED_VALUE"""),51.0)</f>
        <v>51</v>
      </c>
    </row>
    <row r="2042">
      <c r="A2042" s="12">
        <v>2041.0</v>
      </c>
      <c r="B2042" s="12" t="s">
        <v>235</v>
      </c>
      <c r="C2042" s="5" t="s">
        <v>77</v>
      </c>
      <c r="D2042" s="11">
        <v>0.325</v>
      </c>
      <c r="E2042" s="11">
        <v>5.0</v>
      </c>
      <c r="F2042" s="11">
        <v>166.0</v>
      </c>
      <c r="G2042" s="11">
        <v>424.0</v>
      </c>
      <c r="H2042" s="11">
        <v>0.216</v>
      </c>
      <c r="I2042" s="11">
        <v>0.65</v>
      </c>
      <c r="J2042" s="9" t="s">
        <v>73</v>
      </c>
      <c r="K2042" s="14" t="str">
        <f>IFERROR(__xludf.DUMMYFUNCTION("ARRAYFORMULA(VLOOKUP(A2042,IMPORTRANGE(""https://docs.google.com/spreadsheets/d/1BuTWp7qHGjWhqrnf-OmePP568O4A5Am9ttzvVdP67zw/edit#gid=1603210130"", ""TOURISM!$A$2:$F$2692""), {2,3,4,5,6},0))"),"Africa")</f>
        <v>Africa</v>
      </c>
      <c r="L2042" s="14">
        <f>IFERROR(__xludf.DUMMYFUNCTION("""COMPUTED_VALUE"""),1.5E7)</f>
        <v>15000000</v>
      </c>
      <c r="M2042" s="14" t="str">
        <f>IFERROR(__xludf.DUMMYFUNCTION("""COMPUTED_VALUE"""),"Sao Tome and Principe-Africa")</f>
        <v>Sao Tome and Principe-Africa</v>
      </c>
      <c r="N2042" s="14" t="str">
        <f>IFERROR(__xludf.DUMMYFUNCTION("""COMPUTED_VALUE"""),"2012")</f>
        <v>2012</v>
      </c>
      <c r="O2042" s="14">
        <f>IFERROR(__xludf.DUMMYFUNCTION("""COMPUTED_VALUE"""),1300000.0)</f>
        <v>1300000</v>
      </c>
      <c r="P2042" s="15">
        <f>IFERROR(__xludf.DUMMYFUNCTION("ARRAYFORMULA(VLOOKUP(A2042,IMPORTRANGE(""https://docs.google.com/spreadsheets/d/1BuTWp7qHGjWhqrnf-OmePP568O4A5Am9ttzvVdP67zw/edit#gid=771602874"" ,""HUMAN RESOURCES!$A$2:$M$2692""), {2,3,4,5,6,7,8,9,10,11,12,13},0))"),0.035)</f>
        <v>0.035</v>
      </c>
      <c r="Q2042" s="14">
        <f>IFERROR(__xludf.DUMMYFUNCTION("""COMPUTED_VALUE"""),0.038)</f>
        <v>0.038</v>
      </c>
      <c r="R2042" s="14">
        <f>IFERROR(__xludf.DUMMYFUNCTION("""COMPUTED_VALUE"""),68.0)</f>
        <v>68</v>
      </c>
      <c r="S2042" s="14">
        <f>IFERROR(__xludf.DUMMYFUNCTION("""COMPUTED_VALUE"""),64.0)</f>
        <v>64</v>
      </c>
      <c r="T2042" s="14">
        <f>IFERROR(__xludf.DUMMYFUNCTION("""COMPUTED_VALUE"""),0.416)</f>
        <v>0.416</v>
      </c>
      <c r="U2042" s="14">
        <f>IFERROR(__xludf.DUMMYFUNCTION("""COMPUTED_VALUE"""),0.55)</f>
        <v>0.55</v>
      </c>
      <c r="V2042" s="14">
        <f>IFERROR(__xludf.DUMMYFUNCTION("""COMPUTED_VALUE"""),0.034)</f>
        <v>0.034</v>
      </c>
      <c r="W2042" s="14">
        <f>IFERROR(__xludf.DUMMYFUNCTION("""COMPUTED_VALUE"""),188098.0)</f>
        <v>188098</v>
      </c>
      <c r="X2042" s="14">
        <f>IFERROR(__xludf.DUMMYFUNCTION("""COMPUTED_VALUE"""),0.633)</f>
        <v>0.633</v>
      </c>
      <c r="Y2042" s="14" t="str">
        <f>IFERROR(__xludf.DUMMYFUNCTION("""COMPUTED_VALUE"""),"Sao Tome and Principe-Africa")</f>
        <v>Sao Tome and Principe-Africa</v>
      </c>
      <c r="Z2042" s="14" t="str">
        <f>IFERROR(__xludf.DUMMYFUNCTION("""COMPUTED_VALUE"""),"Africa")</f>
        <v>Africa</v>
      </c>
      <c r="AA2042" s="14" t="str">
        <f>IFERROR(__xludf.DUMMYFUNCTION("""COMPUTED_VALUE"""),"2012")</f>
        <v>2012</v>
      </c>
      <c r="AB2042" s="15" t="str">
        <f>IFERROR(__xludf.DUMMYFUNCTION("ARRAYFORMULA(VLOOKUP(A2042,IMPORTRANGE(""https://docs.google.com/spreadsheets/d/1BuTWp7qHGjWhqrnf-OmePP568O4A5Am9ttzvVdP67zw/edit#gid=1931367683"" ,""ENERGY!$A$2:$F$2692""), {2,3,4,5,6},0))"),"Africa")</f>
        <v>Africa</v>
      </c>
      <c r="AC2042" s="14" t="str">
        <f>IFERROR(__xludf.DUMMYFUNCTION("""COMPUTED_VALUE"""),"Sao Tome and Principe-Africa")</f>
        <v>Sao Tome and Principe-Africa</v>
      </c>
      <c r="AD2042" s="14" t="str">
        <f>IFERROR(__xludf.DUMMYFUNCTION("""COMPUTED_VALUE"""),"2011")</f>
        <v>2011</v>
      </c>
      <c r="AE2042" s="14"/>
      <c r="AF2042" s="14">
        <f>IFERROR(__xludf.DUMMYFUNCTION("""COMPUTED_VALUE"""),48.0)</f>
        <v>48</v>
      </c>
    </row>
    <row r="2043">
      <c r="A2043" s="12">
        <v>2042.0</v>
      </c>
      <c r="B2043" s="12" t="s">
        <v>236</v>
      </c>
      <c r="C2043" s="5" t="s">
        <v>93</v>
      </c>
      <c r="D2043" s="8"/>
      <c r="E2043" s="8"/>
      <c r="F2043" s="8"/>
      <c r="G2043" s="8"/>
      <c r="H2043" s="11">
        <v>0.022</v>
      </c>
      <c r="I2043" s="11">
        <v>0.068</v>
      </c>
      <c r="J2043" s="9" t="s">
        <v>60</v>
      </c>
      <c r="K2043" s="14" t="str">
        <f>IFERROR(__xludf.DUMMYFUNCTION("ARRAYFORMULA(VLOOKUP(A2043,IMPORTRANGE(""https://docs.google.com/spreadsheets/d/1BuTWp7qHGjWhqrnf-OmePP568O4A5Am9ttzvVdP67zw/edit#gid=1603210130"", ""TOURISM!$A$2:$F$2692""), {2,3,4,5,6},0))"),"Middle East")</f>
        <v>Middle East</v>
      </c>
      <c r="L2043" s="14"/>
      <c r="M2043" s="14" t="str">
        <f>IFERROR(__xludf.DUMMYFUNCTION("""COMPUTED_VALUE"""),"Saudi Arabia-Middle East")</f>
        <v>Saudi Arabia-Middle East</v>
      </c>
      <c r="N2043" s="14" t="str">
        <f>IFERROR(__xludf.DUMMYFUNCTION("""COMPUTED_VALUE"""),"2000")</f>
        <v>2000</v>
      </c>
      <c r="O2043" s="14"/>
      <c r="P2043" s="15">
        <f>IFERROR(__xludf.DUMMYFUNCTION("ARRAYFORMULA(VLOOKUP(A2043,IMPORTRANGE(""https://docs.google.com/spreadsheets/d/1BuTWp7qHGjWhqrnf-OmePP568O4A5Am9ttzvVdP67zw/edit#gid=771602874"" ,""HUMAN RESOURCES!$A$2:$M$2692""), {2,3,4,5,6,7,8,9,10,11,12,13},0))"),0.027)</f>
        <v>0.027</v>
      </c>
      <c r="Q2043" s="14">
        <f>IFERROR(__xludf.DUMMYFUNCTION("""COMPUTED_VALUE"""),0.019)</f>
        <v>0.019</v>
      </c>
      <c r="R2043" s="14">
        <f>IFERROR(__xludf.DUMMYFUNCTION("""COMPUTED_VALUE"""),74.0)</f>
        <v>74</v>
      </c>
      <c r="S2043" s="14">
        <f>IFERROR(__xludf.DUMMYFUNCTION("""COMPUTED_VALUE"""),71.0)</f>
        <v>71</v>
      </c>
      <c r="T2043" s="14">
        <f>IFERROR(__xludf.DUMMYFUNCTION("""COMPUTED_VALUE"""),0.384)</f>
        <v>0.384</v>
      </c>
      <c r="U2043" s="14">
        <f>IFERROR(__xludf.DUMMYFUNCTION("""COMPUTED_VALUE"""),0.581)</f>
        <v>0.581</v>
      </c>
      <c r="V2043" s="14">
        <f>IFERROR(__xludf.DUMMYFUNCTION("""COMPUTED_VALUE"""),0.035)</f>
        <v>0.035</v>
      </c>
      <c r="W2043" s="14">
        <f>IFERROR(__xludf.DUMMYFUNCTION("""COMPUTED_VALUE"""),2.0144584E7)</f>
        <v>20144584</v>
      </c>
      <c r="X2043" s="14">
        <f>IFERROR(__xludf.DUMMYFUNCTION("""COMPUTED_VALUE"""),0.798)</f>
        <v>0.798</v>
      </c>
      <c r="Y2043" s="14" t="str">
        <f>IFERROR(__xludf.DUMMYFUNCTION("""COMPUTED_VALUE"""),"Saudi Arabia-Middle East")</f>
        <v>Saudi Arabia-Middle East</v>
      </c>
      <c r="Z2043" s="14" t="str">
        <f>IFERROR(__xludf.DUMMYFUNCTION("""COMPUTED_VALUE"""),"Middle East")</f>
        <v>Middle East</v>
      </c>
      <c r="AA2043" s="14" t="str">
        <f>IFERROR(__xludf.DUMMYFUNCTION("""COMPUTED_VALUE"""),"2000")</f>
        <v>2000</v>
      </c>
      <c r="AB2043" s="15" t="str">
        <f>IFERROR(__xludf.DUMMYFUNCTION("ARRAYFORMULA(VLOOKUP(A2043,IMPORTRANGE(""https://docs.google.com/spreadsheets/d/1BuTWp7qHGjWhqrnf-OmePP568O4A5Am9ttzvVdP67zw/edit#gid=1931367683"" ,""ENERGY!$A$2:$F$2692""), {2,3,4,5,6},0))"),"Middle East")</f>
        <v>Middle East</v>
      </c>
      <c r="AC2043" s="14" t="str">
        <f>IFERROR(__xludf.DUMMYFUNCTION("""COMPUTED_VALUE"""),"Saudi Arabia-Middle East")</f>
        <v>Saudi Arabia-Middle East</v>
      </c>
      <c r="AD2043" s="14" t="str">
        <f>IFERROR(__xludf.DUMMYFUNCTION("""COMPUTED_VALUE"""),"2000")</f>
        <v>2000</v>
      </c>
      <c r="AE2043" s="14"/>
      <c r="AF2043" s="14"/>
    </row>
    <row r="2044">
      <c r="A2044" s="12">
        <v>2043.0</v>
      </c>
      <c r="B2044" s="12" t="s">
        <v>236</v>
      </c>
      <c r="C2044" s="5" t="s">
        <v>93</v>
      </c>
      <c r="D2044" s="8"/>
      <c r="E2044" s="8"/>
      <c r="F2044" s="8"/>
      <c r="G2044" s="8"/>
      <c r="H2044" s="11">
        <v>0.047</v>
      </c>
      <c r="I2044" s="11">
        <v>0.121</v>
      </c>
      <c r="J2044" s="9" t="s">
        <v>62</v>
      </c>
      <c r="K2044" s="14" t="str">
        <f>IFERROR(__xludf.DUMMYFUNCTION("ARRAYFORMULA(VLOOKUP(A2044,IMPORTRANGE(""https://docs.google.com/spreadsheets/d/1BuTWp7qHGjWhqrnf-OmePP568O4A5Am9ttzvVdP67zw/edit#gid=1603210130"", ""TOURISM!$A$2:$F$2692""), {2,3,4,5,6},0))"),"Middle East")</f>
        <v>Middle East</v>
      </c>
      <c r="L2044" s="14"/>
      <c r="M2044" s="14" t="str">
        <f>IFERROR(__xludf.DUMMYFUNCTION("""COMPUTED_VALUE"""),"Saudi Arabia-Middle East")</f>
        <v>Saudi Arabia-Middle East</v>
      </c>
      <c r="N2044" s="14" t="str">
        <f>IFERROR(__xludf.DUMMYFUNCTION("""COMPUTED_VALUE"""),"2001")</f>
        <v>2001</v>
      </c>
      <c r="O2044" s="14"/>
      <c r="P2044" s="15">
        <f>IFERROR(__xludf.DUMMYFUNCTION("ARRAYFORMULA(VLOOKUP(A2044,IMPORTRANGE(""https://docs.google.com/spreadsheets/d/1BuTWp7qHGjWhqrnf-OmePP568O4A5Am9ttzvVdP67zw/edit#gid=771602874"" ,""HUMAN RESOURCES!$A$2:$M$2692""), {2,3,4,5,6,7,8,9,10,11,12,13},0))"),0.026)</f>
        <v>0.026</v>
      </c>
      <c r="Q2044" s="14">
        <f>IFERROR(__xludf.DUMMYFUNCTION("""COMPUTED_VALUE"""),0.019)</f>
        <v>0.019</v>
      </c>
      <c r="R2044" s="14">
        <f>IFERROR(__xludf.DUMMYFUNCTION("""COMPUTED_VALUE"""),75.0)</f>
        <v>75</v>
      </c>
      <c r="S2044" s="14">
        <f>IFERROR(__xludf.DUMMYFUNCTION("""COMPUTED_VALUE"""),71.0)</f>
        <v>71</v>
      </c>
      <c r="T2044" s="14">
        <f>IFERROR(__xludf.DUMMYFUNCTION("""COMPUTED_VALUE"""),0.376)</f>
        <v>0.376</v>
      </c>
      <c r="U2044" s="14">
        <f>IFERROR(__xludf.DUMMYFUNCTION("""COMPUTED_VALUE"""),0.589)</f>
        <v>0.589</v>
      </c>
      <c r="V2044" s="14">
        <f>IFERROR(__xludf.DUMMYFUNCTION("""COMPUTED_VALUE"""),0.035)</f>
        <v>0.035</v>
      </c>
      <c r="W2044" s="14">
        <f>IFERROR(__xludf.DUMMYFUNCTION("""COMPUTED_VALUE"""),2.0891594E7)</f>
        <v>20891594</v>
      </c>
      <c r="X2044" s="14">
        <f>IFERROR(__xludf.DUMMYFUNCTION("""COMPUTED_VALUE"""),0.801)</f>
        <v>0.801</v>
      </c>
      <c r="Y2044" s="14" t="str">
        <f>IFERROR(__xludf.DUMMYFUNCTION("""COMPUTED_VALUE"""),"Saudi Arabia-Middle East")</f>
        <v>Saudi Arabia-Middle East</v>
      </c>
      <c r="Z2044" s="14" t="str">
        <f>IFERROR(__xludf.DUMMYFUNCTION("""COMPUTED_VALUE"""),"Middle East")</f>
        <v>Middle East</v>
      </c>
      <c r="AA2044" s="14" t="str">
        <f>IFERROR(__xludf.DUMMYFUNCTION("""COMPUTED_VALUE"""),"2001")</f>
        <v>2001</v>
      </c>
      <c r="AB2044" s="15" t="str">
        <f>IFERROR(__xludf.DUMMYFUNCTION("ARRAYFORMULA(VLOOKUP(A2044,IMPORTRANGE(""https://docs.google.com/spreadsheets/d/1BuTWp7qHGjWhqrnf-OmePP568O4A5Am9ttzvVdP67zw/edit#gid=1931367683"" ,""ENERGY!$A$2:$F$2692""), {2,3,4,5,6},0))"),"Middle East")</f>
        <v>Middle East</v>
      </c>
      <c r="AC2044" s="14" t="str">
        <f>IFERROR(__xludf.DUMMYFUNCTION("""COMPUTED_VALUE"""),"Saudi Arabia-Middle East")</f>
        <v>Saudi Arabia-Middle East</v>
      </c>
      <c r="AD2044" s="14" t="str">
        <f>IFERROR(__xludf.DUMMYFUNCTION("""COMPUTED_VALUE"""),"2001")</f>
        <v>2001</v>
      </c>
      <c r="AE2044" s="14">
        <f>IFERROR(__xludf.DUMMYFUNCTION("""COMPUTED_VALUE"""),187070.0)</f>
        <v>187070</v>
      </c>
      <c r="AF2044" s="14"/>
    </row>
    <row r="2045">
      <c r="A2045" s="12">
        <v>2044.0</v>
      </c>
      <c r="B2045" s="12" t="s">
        <v>236</v>
      </c>
      <c r="C2045" s="5" t="s">
        <v>93</v>
      </c>
      <c r="D2045" s="8"/>
      <c r="E2045" s="8"/>
      <c r="F2045" s="8"/>
      <c r="G2045" s="8"/>
      <c r="H2045" s="11">
        <v>0.064</v>
      </c>
      <c r="I2045" s="11">
        <v>0.229</v>
      </c>
      <c r="J2045" s="9" t="s">
        <v>63</v>
      </c>
      <c r="K2045" s="14" t="str">
        <f>IFERROR(__xludf.DUMMYFUNCTION("ARRAYFORMULA(VLOOKUP(A2045,IMPORTRANGE(""https://docs.google.com/spreadsheets/d/1BuTWp7qHGjWhqrnf-OmePP568O4A5Am9ttzvVdP67zw/edit#gid=1603210130"", ""TOURISM!$A$2:$F$2692""), {2,3,4,5,6},0))"),"Middle East")</f>
        <v>Middle East</v>
      </c>
      <c r="L2045" s="14"/>
      <c r="M2045" s="14" t="str">
        <f>IFERROR(__xludf.DUMMYFUNCTION("""COMPUTED_VALUE"""),"Saudi Arabia-Middle East")</f>
        <v>Saudi Arabia-Middle East</v>
      </c>
      <c r="N2045" s="14" t="str">
        <f>IFERROR(__xludf.DUMMYFUNCTION("""COMPUTED_VALUE"""),"2002")</f>
        <v>2002</v>
      </c>
      <c r="O2045" s="14">
        <f>IFERROR(__xludf.DUMMYFUNCTION("""COMPUTED_VALUE"""),7.37E9)</f>
        <v>7370000000</v>
      </c>
      <c r="P2045" s="15">
        <f>IFERROR(__xludf.DUMMYFUNCTION("ARRAYFORMULA(VLOOKUP(A2045,IMPORTRANGE(""https://docs.google.com/spreadsheets/d/1BuTWp7qHGjWhqrnf-OmePP568O4A5Am9ttzvVdP67zw/edit#gid=771602874"" ,""HUMAN RESOURCES!$A$2:$M$2692""), {2,3,4,5,6,7,8,9,10,11,12,13},0))"),0.025)</f>
        <v>0.025</v>
      </c>
      <c r="Q2045" s="14">
        <f>IFERROR(__xludf.DUMMYFUNCTION("""COMPUTED_VALUE"""),0.018)</f>
        <v>0.018</v>
      </c>
      <c r="R2045" s="14">
        <f>IFERROR(__xludf.DUMMYFUNCTION("""COMPUTED_VALUE"""),75.0)</f>
        <v>75</v>
      </c>
      <c r="S2045" s="14">
        <f>IFERROR(__xludf.DUMMYFUNCTION("""COMPUTED_VALUE"""),71.0)</f>
        <v>71</v>
      </c>
      <c r="T2045" s="14">
        <f>IFERROR(__xludf.DUMMYFUNCTION("""COMPUTED_VALUE"""),0.368)</f>
        <v>0.368</v>
      </c>
      <c r="U2045" s="14">
        <f>IFERROR(__xludf.DUMMYFUNCTION("""COMPUTED_VALUE"""),0.598)</f>
        <v>0.598</v>
      </c>
      <c r="V2045" s="14">
        <f>IFERROR(__xludf.DUMMYFUNCTION("""COMPUTED_VALUE"""),0.034)</f>
        <v>0.034</v>
      </c>
      <c r="W2045" s="14">
        <f>IFERROR(__xludf.DUMMYFUNCTION("""COMPUTED_VALUE"""),2.1825217E7)</f>
        <v>21825217</v>
      </c>
      <c r="X2045" s="14">
        <f>IFERROR(__xludf.DUMMYFUNCTION("""COMPUTED_VALUE"""),0.803)</f>
        <v>0.803</v>
      </c>
      <c r="Y2045" s="14" t="str">
        <f>IFERROR(__xludf.DUMMYFUNCTION("""COMPUTED_VALUE"""),"Saudi Arabia-Middle East")</f>
        <v>Saudi Arabia-Middle East</v>
      </c>
      <c r="Z2045" s="14" t="str">
        <f>IFERROR(__xludf.DUMMYFUNCTION("""COMPUTED_VALUE"""),"Middle East")</f>
        <v>Middle East</v>
      </c>
      <c r="AA2045" s="14" t="str">
        <f>IFERROR(__xludf.DUMMYFUNCTION("""COMPUTED_VALUE"""),"2002")</f>
        <v>2002</v>
      </c>
      <c r="AB2045" s="15" t="str">
        <f>IFERROR(__xludf.DUMMYFUNCTION("ARRAYFORMULA(VLOOKUP(A2045,IMPORTRANGE(""https://docs.google.com/spreadsheets/d/1BuTWp7qHGjWhqrnf-OmePP568O4A5Am9ttzvVdP67zw/edit#gid=1931367683"" ,""ENERGY!$A$2:$F$2692""), {2,3,4,5,6},0))"),"Middle East")</f>
        <v>Middle East</v>
      </c>
      <c r="AC2045" s="14" t="str">
        <f>IFERROR(__xludf.DUMMYFUNCTION("""COMPUTED_VALUE"""),"Saudi Arabia-Middle East")</f>
        <v>Saudi Arabia-Middle East</v>
      </c>
      <c r="AD2045" s="14" t="str">
        <f>IFERROR(__xludf.DUMMYFUNCTION("""COMPUTED_VALUE"""),"2002")</f>
        <v>2002</v>
      </c>
      <c r="AE2045" s="14">
        <f>IFERROR(__xludf.DUMMYFUNCTION("""COMPUTED_VALUE"""),192004.0)</f>
        <v>192004</v>
      </c>
      <c r="AF2045" s="14">
        <f>IFERROR(__xludf.DUMMYFUNCTION("""COMPUTED_VALUE"""),464481.0)</f>
        <v>464481</v>
      </c>
    </row>
    <row r="2046">
      <c r="A2046" s="12">
        <v>2045.0</v>
      </c>
      <c r="B2046" s="12" t="s">
        <v>236</v>
      </c>
      <c r="C2046" s="5" t="s">
        <v>93</v>
      </c>
      <c r="D2046" s="8"/>
      <c r="E2046" s="11">
        <v>74.0</v>
      </c>
      <c r="F2046" s="8"/>
      <c r="G2046" s="8"/>
      <c r="H2046" s="11">
        <v>0.08</v>
      </c>
      <c r="I2046" s="11">
        <v>0.317</v>
      </c>
      <c r="J2046" s="9" t="s">
        <v>64</v>
      </c>
      <c r="K2046" s="14" t="str">
        <f>IFERROR(__xludf.DUMMYFUNCTION("ARRAYFORMULA(VLOOKUP(A2046,IMPORTRANGE(""https://docs.google.com/spreadsheets/d/1BuTWp7qHGjWhqrnf-OmePP568O4A5Am9ttzvVdP67zw/edit#gid=1603210130"", ""TOURISM!$A$2:$F$2692""), {2,3,4,5,6},0))"),"Middle East")</f>
        <v>Middle East</v>
      </c>
      <c r="L2046" s="14">
        <f>IFERROR(__xludf.DUMMYFUNCTION("""COMPUTED_VALUE"""),3.418E9)</f>
        <v>3418000000</v>
      </c>
      <c r="M2046" s="14" t="str">
        <f>IFERROR(__xludf.DUMMYFUNCTION("""COMPUTED_VALUE"""),"Saudi Arabia-Middle East")</f>
        <v>Saudi Arabia-Middle East</v>
      </c>
      <c r="N2046" s="14" t="str">
        <f>IFERROR(__xludf.DUMMYFUNCTION("""COMPUTED_VALUE"""),"2003")</f>
        <v>2003</v>
      </c>
      <c r="O2046" s="14">
        <f>IFERROR(__xludf.DUMMYFUNCTION("""COMPUTED_VALUE"""),4.165E9)</f>
        <v>4165000000</v>
      </c>
      <c r="P2046" s="15">
        <f>IFERROR(__xludf.DUMMYFUNCTION("ARRAYFORMULA(VLOOKUP(A2046,IMPORTRANGE(""https://docs.google.com/spreadsheets/d/1BuTWp7qHGjWhqrnf-OmePP568O4A5Am9ttzvVdP67zw/edit#gid=771602874"" ,""HUMAN RESOURCES!$A$2:$M$2692""), {2,3,4,5,6,7,8,9,10,11,12,13},0))"),0.024)</f>
        <v>0.024</v>
      </c>
      <c r="Q2046" s="14">
        <f>IFERROR(__xludf.DUMMYFUNCTION("""COMPUTED_VALUE"""),0.018)</f>
        <v>0.018</v>
      </c>
      <c r="R2046" s="14">
        <f>IFERROR(__xludf.DUMMYFUNCTION("""COMPUTED_VALUE"""),75.0)</f>
        <v>75</v>
      </c>
      <c r="S2046" s="14">
        <f>IFERROR(__xludf.DUMMYFUNCTION("""COMPUTED_VALUE"""),72.0)</f>
        <v>72</v>
      </c>
      <c r="T2046" s="14">
        <f>IFERROR(__xludf.DUMMYFUNCTION("""COMPUTED_VALUE"""),0.359)</f>
        <v>0.359</v>
      </c>
      <c r="U2046" s="14">
        <f>IFERROR(__xludf.DUMMYFUNCTION("""COMPUTED_VALUE"""),0.608)</f>
        <v>0.608</v>
      </c>
      <c r="V2046" s="14">
        <f>IFERROR(__xludf.DUMMYFUNCTION("""COMPUTED_VALUE"""),0.033)</f>
        <v>0.033</v>
      </c>
      <c r="W2046" s="14">
        <f>IFERROR(__xludf.DUMMYFUNCTION("""COMPUTED_VALUE"""),2.2852333E7)</f>
        <v>22852333</v>
      </c>
      <c r="X2046" s="14">
        <f>IFERROR(__xludf.DUMMYFUNCTION("""COMPUTED_VALUE"""),0.805)</f>
        <v>0.805</v>
      </c>
      <c r="Y2046" s="14" t="str">
        <f>IFERROR(__xludf.DUMMYFUNCTION("""COMPUTED_VALUE"""),"Saudi Arabia-Middle East")</f>
        <v>Saudi Arabia-Middle East</v>
      </c>
      <c r="Z2046" s="14" t="str">
        <f>IFERROR(__xludf.DUMMYFUNCTION("""COMPUTED_VALUE"""),"Middle East")</f>
        <v>Middle East</v>
      </c>
      <c r="AA2046" s="14" t="str">
        <f>IFERROR(__xludf.DUMMYFUNCTION("""COMPUTED_VALUE"""),"2003")</f>
        <v>2003</v>
      </c>
      <c r="AB2046" s="15" t="str">
        <f>IFERROR(__xludf.DUMMYFUNCTION("ARRAYFORMULA(VLOOKUP(A2046,IMPORTRANGE(""https://docs.google.com/spreadsheets/d/1BuTWp7qHGjWhqrnf-OmePP568O4A5Am9ttzvVdP67zw/edit#gid=1931367683"" ,""ENERGY!$A$2:$F$2692""), {2,3,4,5,6},0))"),"Middle East")</f>
        <v>Middle East</v>
      </c>
      <c r="AC2046" s="14" t="str">
        <f>IFERROR(__xludf.DUMMYFUNCTION("""COMPUTED_VALUE"""),"Saudi Arabia-Middle East")</f>
        <v>Saudi Arabia-Middle East</v>
      </c>
      <c r="AD2046" s="14" t="str">
        <f>IFERROR(__xludf.DUMMYFUNCTION("""COMPUTED_VALUE"""),"2003")</f>
        <v>2003</v>
      </c>
      <c r="AE2046" s="14">
        <f>IFERROR(__xludf.DUMMYFUNCTION("""COMPUTED_VALUE"""),175675.0)</f>
        <v>175675</v>
      </c>
      <c r="AF2046" s="14">
        <f>IFERROR(__xludf.DUMMYFUNCTION("""COMPUTED_VALUE"""),431027.0)</f>
        <v>431027</v>
      </c>
    </row>
    <row r="2047">
      <c r="A2047" s="12">
        <v>2046.0</v>
      </c>
      <c r="B2047" s="12" t="s">
        <v>236</v>
      </c>
      <c r="C2047" s="5" t="s">
        <v>93</v>
      </c>
      <c r="D2047" s="8"/>
      <c r="E2047" s="11">
        <v>74.0</v>
      </c>
      <c r="F2047" s="8"/>
      <c r="G2047" s="8"/>
      <c r="H2047" s="11">
        <v>0.102</v>
      </c>
      <c r="I2047" s="11">
        <v>0.385</v>
      </c>
      <c r="J2047" s="9" t="s">
        <v>65</v>
      </c>
      <c r="K2047" s="14" t="str">
        <f>IFERROR(__xludf.DUMMYFUNCTION("ARRAYFORMULA(VLOOKUP(A2047,IMPORTRANGE(""https://docs.google.com/spreadsheets/d/1BuTWp7qHGjWhqrnf-OmePP568O4A5Am9ttzvVdP67zw/edit#gid=1603210130"", ""TOURISM!$A$2:$F$2692""), {2,3,4,5,6},0))"),"Middle East")</f>
        <v>Middle East</v>
      </c>
      <c r="L2047" s="14">
        <f>IFERROR(__xludf.DUMMYFUNCTION("""COMPUTED_VALUE"""),6.486E9)</f>
        <v>6486000000</v>
      </c>
      <c r="M2047" s="14" t="str">
        <f>IFERROR(__xludf.DUMMYFUNCTION("""COMPUTED_VALUE"""),"Saudi Arabia-Middle East")</f>
        <v>Saudi Arabia-Middle East</v>
      </c>
      <c r="N2047" s="14" t="str">
        <f>IFERROR(__xludf.DUMMYFUNCTION("""COMPUTED_VALUE"""),"2004")</f>
        <v>2004</v>
      </c>
      <c r="O2047" s="14">
        <f>IFERROR(__xludf.DUMMYFUNCTION("""COMPUTED_VALUE"""),4.428E9)</f>
        <v>4428000000</v>
      </c>
      <c r="P2047" s="15">
        <f>IFERROR(__xludf.DUMMYFUNCTION("ARRAYFORMULA(VLOOKUP(A2047,IMPORTRANGE(""https://docs.google.com/spreadsheets/d/1BuTWp7qHGjWhqrnf-OmePP568O4A5Am9ttzvVdP67zw/edit#gid=771602874"" ,""HUMAN RESOURCES!$A$2:$M$2692""), {2,3,4,5,6,7,8,9,10,11,12,13},0))"),0.024)</f>
        <v>0.024</v>
      </c>
      <c r="Q2047" s="14">
        <f>IFERROR(__xludf.DUMMYFUNCTION("""COMPUTED_VALUE"""),0.017)</f>
        <v>0.017</v>
      </c>
      <c r="R2047" s="14">
        <f>IFERROR(__xludf.DUMMYFUNCTION("""COMPUTED_VALUE"""),76.0)</f>
        <v>76</v>
      </c>
      <c r="S2047" s="14">
        <f>IFERROR(__xludf.DUMMYFUNCTION("""COMPUTED_VALUE"""),72.0)</f>
        <v>72</v>
      </c>
      <c r="T2047" s="14">
        <f>IFERROR(__xludf.DUMMYFUNCTION("""COMPUTED_VALUE"""),0.351)</f>
        <v>0.351</v>
      </c>
      <c r="U2047" s="14">
        <f>IFERROR(__xludf.DUMMYFUNCTION("""COMPUTED_VALUE"""),0.617)</f>
        <v>0.617</v>
      </c>
      <c r="V2047" s="14">
        <f>IFERROR(__xludf.DUMMYFUNCTION("""COMPUTED_VALUE"""),0.032)</f>
        <v>0.032</v>
      </c>
      <c r="W2047" s="14">
        <f>IFERROR(__xludf.DUMMYFUNCTION("""COMPUTED_VALUE"""),2.3839231E7)</f>
        <v>23839231</v>
      </c>
      <c r="X2047" s="14">
        <f>IFERROR(__xludf.DUMMYFUNCTION("""COMPUTED_VALUE"""),0.808)</f>
        <v>0.808</v>
      </c>
      <c r="Y2047" s="14" t="str">
        <f>IFERROR(__xludf.DUMMYFUNCTION("""COMPUTED_VALUE"""),"Saudi Arabia-Middle East")</f>
        <v>Saudi Arabia-Middle East</v>
      </c>
      <c r="Z2047" s="14" t="str">
        <f>IFERROR(__xludf.DUMMYFUNCTION("""COMPUTED_VALUE"""),"Middle East")</f>
        <v>Middle East</v>
      </c>
      <c r="AA2047" s="14" t="str">
        <f>IFERROR(__xludf.DUMMYFUNCTION("""COMPUTED_VALUE"""),"2004")</f>
        <v>2004</v>
      </c>
      <c r="AB2047" s="15" t="str">
        <f>IFERROR(__xludf.DUMMYFUNCTION("ARRAYFORMULA(VLOOKUP(A2047,IMPORTRANGE(""https://docs.google.com/spreadsheets/d/1BuTWp7qHGjWhqrnf-OmePP568O4A5Am9ttzvVdP67zw/edit#gid=1931367683"" ,""ENERGY!$A$2:$F$2692""), {2,3,4,5,6},0))"),"Middle East")</f>
        <v>Middle East</v>
      </c>
      <c r="AC2047" s="14" t="str">
        <f>IFERROR(__xludf.DUMMYFUNCTION("""COMPUTED_VALUE"""),"Saudi Arabia-Middle East")</f>
        <v>Saudi Arabia-Middle East</v>
      </c>
      <c r="AD2047" s="14" t="str">
        <f>IFERROR(__xludf.DUMMYFUNCTION("""COMPUTED_VALUE"""),"2004")</f>
        <v>2004</v>
      </c>
      <c r="AE2047" s="14">
        <f>IFERROR(__xludf.DUMMYFUNCTION("""COMPUTED_VALUE"""),154076.0)</f>
        <v>154076</v>
      </c>
      <c r="AF2047" s="14">
        <f>IFERROR(__xludf.DUMMYFUNCTION("""COMPUTED_VALUE"""),418240.0)</f>
        <v>418240</v>
      </c>
    </row>
    <row r="2048">
      <c r="A2048" s="12">
        <v>2047.0</v>
      </c>
      <c r="B2048" s="12" t="s">
        <v>236</v>
      </c>
      <c r="C2048" s="5" t="s">
        <v>93</v>
      </c>
      <c r="D2048" s="11">
        <v>0.145</v>
      </c>
      <c r="E2048" s="11">
        <v>67.0</v>
      </c>
      <c r="F2048" s="8"/>
      <c r="G2048" s="11">
        <v>69.0</v>
      </c>
      <c r="H2048" s="11">
        <v>0.127</v>
      </c>
      <c r="I2048" s="11">
        <v>0.574</v>
      </c>
      <c r="J2048" s="9" t="s">
        <v>66</v>
      </c>
      <c r="K2048" s="14" t="str">
        <f>IFERROR(__xludf.DUMMYFUNCTION("ARRAYFORMULA(VLOOKUP(A2048,IMPORTRANGE(""https://docs.google.com/spreadsheets/d/1BuTWp7qHGjWhqrnf-OmePP568O4A5Am9ttzvVdP67zw/edit#gid=1603210130"", ""TOURISM!$A$2:$F$2692""), {2,3,4,5,6},0))"),"Middle East")</f>
        <v>Middle East</v>
      </c>
      <c r="L2048" s="14">
        <f>IFERROR(__xludf.DUMMYFUNCTION("""COMPUTED_VALUE"""),4.626E9)</f>
        <v>4626000000</v>
      </c>
      <c r="M2048" s="14" t="str">
        <f>IFERROR(__xludf.DUMMYFUNCTION("""COMPUTED_VALUE"""),"Saudi Arabia-Middle East")</f>
        <v>Saudi Arabia-Middle East</v>
      </c>
      <c r="N2048" s="14" t="str">
        <f>IFERROR(__xludf.DUMMYFUNCTION("""COMPUTED_VALUE"""),"2005")</f>
        <v>2005</v>
      </c>
      <c r="O2048" s="14">
        <f>IFERROR(__xludf.DUMMYFUNCTION("""COMPUTED_VALUE"""),9.087E9)</f>
        <v>9087000000</v>
      </c>
      <c r="P2048" s="15">
        <f>IFERROR(__xludf.DUMMYFUNCTION("ARRAYFORMULA(VLOOKUP(A2048,IMPORTRANGE(""https://docs.google.com/spreadsheets/d/1BuTWp7qHGjWhqrnf-OmePP568O4A5Am9ttzvVdP67zw/edit#gid=771602874"" ,""HUMAN RESOURCES!$A$2:$M$2692""), {2,3,4,5,6,7,8,9,10,11,12,13},0))"),0.023)</f>
        <v>0.023</v>
      </c>
      <c r="Q2048" s="14">
        <f>IFERROR(__xludf.DUMMYFUNCTION("""COMPUTED_VALUE"""),0.017)</f>
        <v>0.017</v>
      </c>
      <c r="R2048" s="14">
        <f>IFERROR(__xludf.DUMMYFUNCTION("""COMPUTED_VALUE"""),76.0)</f>
        <v>76</v>
      </c>
      <c r="S2048" s="14">
        <f>IFERROR(__xludf.DUMMYFUNCTION("""COMPUTED_VALUE"""),72.0)</f>
        <v>72</v>
      </c>
      <c r="T2048" s="14">
        <f>IFERROR(__xludf.DUMMYFUNCTION("""COMPUTED_VALUE"""),0.343)</f>
        <v>0.343</v>
      </c>
      <c r="U2048" s="14">
        <f>IFERROR(__xludf.DUMMYFUNCTION("""COMPUTED_VALUE"""),0.626)</f>
        <v>0.626</v>
      </c>
      <c r="V2048" s="14">
        <f>IFERROR(__xludf.DUMMYFUNCTION("""COMPUTED_VALUE"""),0.031)</f>
        <v>0.031</v>
      </c>
      <c r="W2048" s="14">
        <f>IFERROR(__xludf.DUMMYFUNCTION("""COMPUTED_VALUE"""),2.4690067E7)</f>
        <v>24690067</v>
      </c>
      <c r="X2048" s="14">
        <f>IFERROR(__xludf.DUMMYFUNCTION("""COMPUTED_VALUE"""),0.81)</f>
        <v>0.81</v>
      </c>
      <c r="Y2048" s="14" t="str">
        <f>IFERROR(__xludf.DUMMYFUNCTION("""COMPUTED_VALUE"""),"Saudi Arabia-Middle East")</f>
        <v>Saudi Arabia-Middle East</v>
      </c>
      <c r="Z2048" s="14" t="str">
        <f>IFERROR(__xludf.DUMMYFUNCTION("""COMPUTED_VALUE"""),"Middle East")</f>
        <v>Middle East</v>
      </c>
      <c r="AA2048" s="14" t="str">
        <f>IFERROR(__xludf.DUMMYFUNCTION("""COMPUTED_VALUE"""),"2005")</f>
        <v>2005</v>
      </c>
      <c r="AB2048" s="15" t="str">
        <f>IFERROR(__xludf.DUMMYFUNCTION("ARRAYFORMULA(VLOOKUP(A2048,IMPORTRANGE(""https://docs.google.com/spreadsheets/d/1BuTWp7qHGjWhqrnf-OmePP568O4A5Am9ttzvVdP67zw/edit#gid=1931367683"" ,""ENERGY!$A$2:$F$2692""), {2,3,4,5,6},0))"),"Middle East")</f>
        <v>Middle East</v>
      </c>
      <c r="AC2048" s="14" t="str">
        <f>IFERROR(__xludf.DUMMYFUNCTION("""COMPUTED_VALUE"""),"Saudi Arabia-Middle East")</f>
        <v>Saudi Arabia-Middle East</v>
      </c>
      <c r="AD2048" s="14" t="str">
        <f>IFERROR(__xludf.DUMMYFUNCTION("""COMPUTED_VALUE"""),"2008")</f>
        <v>2008</v>
      </c>
      <c r="AE2048" s="14">
        <f>IFERROR(__xludf.DUMMYFUNCTION("""COMPUTED_VALUE"""),144109.0)</f>
        <v>144109</v>
      </c>
      <c r="AF2048" s="14">
        <f>IFERROR(__xludf.DUMMYFUNCTION("""COMPUTED_VALUE"""),393535.0)</f>
        <v>393535</v>
      </c>
    </row>
    <row r="2049">
      <c r="A2049" s="12">
        <v>2048.0</v>
      </c>
      <c r="B2049" s="12" t="s">
        <v>236</v>
      </c>
      <c r="C2049" s="5" t="s">
        <v>93</v>
      </c>
      <c r="D2049" s="11">
        <v>0.145</v>
      </c>
      <c r="E2049" s="11">
        <v>42.0</v>
      </c>
      <c r="F2049" s="8"/>
      <c r="G2049" s="11">
        <v>79.0</v>
      </c>
      <c r="H2049" s="11">
        <v>0.195</v>
      </c>
      <c r="I2049" s="11">
        <v>0.776</v>
      </c>
      <c r="J2049" s="9" t="s">
        <v>67</v>
      </c>
      <c r="K2049" s="14" t="str">
        <f>IFERROR(__xludf.DUMMYFUNCTION("ARRAYFORMULA(VLOOKUP(A2049,IMPORTRANGE(""https://docs.google.com/spreadsheets/d/1BuTWp7qHGjWhqrnf-OmePP568O4A5Am9ttzvVdP67zw/edit#gid=1603210130"", ""TOURISM!$A$2:$F$2692""), {2,3,4,5,6},0))"),"Middle East")</f>
        <v>Middle East</v>
      </c>
      <c r="L2049" s="14">
        <f>IFERROR(__xludf.DUMMYFUNCTION("""COMPUTED_VALUE"""),4.769E9)</f>
        <v>4769000000</v>
      </c>
      <c r="M2049" s="14" t="str">
        <f>IFERROR(__xludf.DUMMYFUNCTION("""COMPUTED_VALUE"""),"Saudi Arabia-Middle East")</f>
        <v>Saudi Arabia-Middle East</v>
      </c>
      <c r="N2049" s="14" t="str">
        <f>IFERROR(__xludf.DUMMYFUNCTION("""COMPUTED_VALUE"""),"2006")</f>
        <v>2006</v>
      </c>
      <c r="O2049" s="14">
        <f>IFERROR(__xludf.DUMMYFUNCTION("""COMPUTED_VALUE"""),1.2979E10)</f>
        <v>12979000000</v>
      </c>
      <c r="P2049" s="15">
        <f>IFERROR(__xludf.DUMMYFUNCTION("ARRAYFORMULA(VLOOKUP(A2049,IMPORTRANGE(""https://docs.google.com/spreadsheets/d/1BuTWp7qHGjWhqrnf-OmePP568O4A5Am9ttzvVdP67zw/edit#gid=771602874"" ,""HUMAN RESOURCES!$A$2:$M$2692""), {2,3,4,5,6,7,8,9,10,11,12,13},0))"),0.023)</f>
        <v>0.023</v>
      </c>
      <c r="Q2049" s="14">
        <f>IFERROR(__xludf.DUMMYFUNCTION("""COMPUTED_VALUE"""),0.016)</f>
        <v>0.016</v>
      </c>
      <c r="R2049" s="14">
        <f>IFERROR(__xludf.DUMMYFUNCTION("""COMPUTED_VALUE"""),76.0)</f>
        <v>76</v>
      </c>
      <c r="S2049" s="14">
        <f>IFERROR(__xludf.DUMMYFUNCTION("""COMPUTED_VALUE"""),72.0)</f>
        <v>72</v>
      </c>
      <c r="T2049" s="14">
        <f>IFERROR(__xludf.DUMMYFUNCTION("""COMPUTED_VALUE"""),0.335)</f>
        <v>0.335</v>
      </c>
      <c r="U2049" s="14">
        <f>IFERROR(__xludf.DUMMYFUNCTION("""COMPUTED_VALUE"""),0.634)</f>
        <v>0.634</v>
      </c>
      <c r="V2049" s="14">
        <f>IFERROR(__xludf.DUMMYFUNCTION("""COMPUTED_VALUE"""),0.03)</f>
        <v>0.03</v>
      </c>
      <c r="W2049" s="14">
        <f>IFERROR(__xludf.DUMMYFUNCTION("""COMPUTED_VALUE"""),2.5371936E7)</f>
        <v>25371936</v>
      </c>
      <c r="X2049" s="14">
        <f>IFERROR(__xludf.DUMMYFUNCTION("""COMPUTED_VALUE"""),0.812)</f>
        <v>0.812</v>
      </c>
      <c r="Y2049" s="14" t="str">
        <f>IFERROR(__xludf.DUMMYFUNCTION("""COMPUTED_VALUE"""),"Saudi Arabia-Middle East")</f>
        <v>Saudi Arabia-Middle East</v>
      </c>
      <c r="Z2049" s="14" t="str">
        <f>IFERROR(__xludf.DUMMYFUNCTION("""COMPUTED_VALUE"""),"Middle East")</f>
        <v>Middle East</v>
      </c>
      <c r="AA2049" s="14" t="str">
        <f>IFERROR(__xludf.DUMMYFUNCTION("""COMPUTED_VALUE"""),"2006")</f>
        <v>2006</v>
      </c>
      <c r="AB2049" s="15" t="str">
        <f>IFERROR(__xludf.DUMMYFUNCTION("ARRAYFORMULA(VLOOKUP(A2049,IMPORTRANGE(""https://docs.google.com/spreadsheets/d/1BuTWp7qHGjWhqrnf-OmePP568O4A5Am9ttzvVdP67zw/edit#gid=1931367683"" ,""ENERGY!$A$2:$F$2692""), {2,3,4,5,6},0))"),"Middle East")</f>
        <v>Middle East</v>
      </c>
      <c r="AC2049" s="14" t="str">
        <f>IFERROR(__xludf.DUMMYFUNCTION("""COMPUTED_VALUE"""),"Saudi Arabia-Middle East")</f>
        <v>Saudi Arabia-Middle East</v>
      </c>
      <c r="AD2049" s="14" t="str">
        <f>IFERROR(__xludf.DUMMYFUNCTION("""COMPUTED_VALUE"""),"2012")</f>
        <v>2012</v>
      </c>
      <c r="AE2049" s="14">
        <f>IFERROR(__xludf.DUMMYFUNCTION("""COMPUTED_VALUE"""),158214.0)</f>
        <v>158214</v>
      </c>
      <c r="AF2049" s="14">
        <f>IFERROR(__xludf.DUMMYFUNCTION("""COMPUTED_VALUE"""),432739.0)</f>
        <v>432739</v>
      </c>
    </row>
    <row r="2050">
      <c r="A2050" s="12">
        <v>2049.0</v>
      </c>
      <c r="B2050" s="12" t="s">
        <v>236</v>
      </c>
      <c r="C2050" s="5" t="s">
        <v>93</v>
      </c>
      <c r="D2050" s="11">
        <v>0.145</v>
      </c>
      <c r="E2050" s="11">
        <v>20.0</v>
      </c>
      <c r="F2050" s="8"/>
      <c r="G2050" s="11">
        <v>79.0</v>
      </c>
      <c r="H2050" s="11">
        <v>0.3</v>
      </c>
      <c r="I2050" s="11">
        <v>1.096</v>
      </c>
      <c r="J2050" s="9" t="s">
        <v>68</v>
      </c>
      <c r="K2050" s="14" t="str">
        <f>IFERROR(__xludf.DUMMYFUNCTION("ARRAYFORMULA(VLOOKUP(A2050,IMPORTRANGE(""https://docs.google.com/spreadsheets/d/1BuTWp7qHGjWhqrnf-OmePP568O4A5Am9ttzvVdP67zw/edit#gid=1603210130"", ""TOURISM!$A$2:$F$2692""), {2,3,4,5,6},0))"),"Middle East")</f>
        <v>Middle East</v>
      </c>
      <c r="L2050" s="14">
        <f>IFERROR(__xludf.DUMMYFUNCTION("""COMPUTED_VALUE"""),6.907E9)</f>
        <v>6907000000</v>
      </c>
      <c r="M2050" s="14" t="str">
        <f>IFERROR(__xludf.DUMMYFUNCTION("""COMPUTED_VALUE"""),"Saudi Arabia-Middle East")</f>
        <v>Saudi Arabia-Middle East</v>
      </c>
      <c r="N2050" s="14" t="str">
        <f>IFERROR(__xludf.DUMMYFUNCTION("""COMPUTED_VALUE"""),"2007")</f>
        <v>2007</v>
      </c>
      <c r="O2050" s="14">
        <f>IFERROR(__xludf.DUMMYFUNCTION("""COMPUTED_VALUE"""),2.1031E10)</f>
        <v>21031000000</v>
      </c>
      <c r="P2050" s="15">
        <f>IFERROR(__xludf.DUMMYFUNCTION("ARRAYFORMULA(VLOOKUP(A2050,IMPORTRANGE(""https://docs.google.com/spreadsheets/d/1BuTWp7qHGjWhqrnf-OmePP568O4A5Am9ttzvVdP67zw/edit#gid=771602874"" ,""HUMAN RESOURCES!$A$2:$M$2692""), {2,3,4,5,6,7,8,9,10,11,12,13},0))"),0.022)</f>
        <v>0.022</v>
      </c>
      <c r="Q2050" s="14">
        <f>IFERROR(__xludf.DUMMYFUNCTION("""COMPUTED_VALUE"""),0.016)</f>
        <v>0.016</v>
      </c>
      <c r="R2050" s="14">
        <f>IFERROR(__xludf.DUMMYFUNCTION("""COMPUTED_VALUE"""),76.0)</f>
        <v>76</v>
      </c>
      <c r="S2050" s="14">
        <f>IFERROR(__xludf.DUMMYFUNCTION("""COMPUTED_VALUE"""),73.0)</f>
        <v>73</v>
      </c>
      <c r="T2050" s="14">
        <f>IFERROR(__xludf.DUMMYFUNCTION("""COMPUTED_VALUE"""),0.328)</f>
        <v>0.328</v>
      </c>
      <c r="U2050" s="14">
        <f>IFERROR(__xludf.DUMMYFUNCTION("""COMPUTED_VALUE"""),0.642)</f>
        <v>0.642</v>
      </c>
      <c r="V2050" s="14">
        <f>IFERROR(__xludf.DUMMYFUNCTION("""COMPUTED_VALUE"""),0.03)</f>
        <v>0.03</v>
      </c>
      <c r="W2050" s="14">
        <f>IFERROR(__xludf.DUMMYFUNCTION("""COMPUTED_VALUE"""),2.5915624E7)</f>
        <v>25915624</v>
      </c>
      <c r="X2050" s="14">
        <f>IFERROR(__xludf.DUMMYFUNCTION("""COMPUTED_VALUE"""),0.814)</f>
        <v>0.814</v>
      </c>
      <c r="Y2050" s="14" t="str">
        <f>IFERROR(__xludf.DUMMYFUNCTION("""COMPUTED_VALUE"""),"Saudi Arabia-Middle East")</f>
        <v>Saudi Arabia-Middle East</v>
      </c>
      <c r="Z2050" s="14" t="str">
        <f>IFERROR(__xludf.DUMMYFUNCTION("""COMPUTED_VALUE"""),"Middle East")</f>
        <v>Middle East</v>
      </c>
      <c r="AA2050" s="14" t="str">
        <f>IFERROR(__xludf.DUMMYFUNCTION("""COMPUTED_VALUE"""),"2007")</f>
        <v>2007</v>
      </c>
      <c r="AB2050" s="15" t="str">
        <f>IFERROR(__xludf.DUMMYFUNCTION("ARRAYFORMULA(VLOOKUP(A2050,IMPORTRANGE(""https://docs.google.com/spreadsheets/d/1BuTWp7qHGjWhqrnf-OmePP568O4A5Am9ttzvVdP67zw/edit#gid=1931367683"" ,""ENERGY!$A$2:$F$2692""), {2,3,4,5,6},0))"),"Middle East")</f>
        <v>Middle East</v>
      </c>
      <c r="AC2050" s="14" t="str">
        <f>IFERROR(__xludf.DUMMYFUNCTION("""COMPUTED_VALUE"""),"Saudi Arabia-Middle East")</f>
        <v>Saudi Arabia-Middle East</v>
      </c>
      <c r="AD2050" s="14" t="str">
        <f>IFERROR(__xludf.DUMMYFUNCTION("""COMPUTED_VALUE"""),"2010")</f>
        <v>2010</v>
      </c>
      <c r="AE2050" s="14">
        <f>IFERROR(__xludf.DUMMYFUNCTION("""COMPUTED_VALUE"""),145540.0)</f>
        <v>145540</v>
      </c>
      <c r="AF2050" s="14">
        <f>IFERROR(__xludf.DUMMYFUNCTION("""COMPUTED_VALUE"""),397642.0)</f>
        <v>397642</v>
      </c>
    </row>
    <row r="2051">
      <c r="A2051" s="12">
        <v>2050.0</v>
      </c>
      <c r="B2051" s="12" t="s">
        <v>236</v>
      </c>
      <c r="C2051" s="5" t="s">
        <v>93</v>
      </c>
      <c r="D2051" s="11">
        <v>0.145</v>
      </c>
      <c r="E2051" s="11">
        <v>20.0</v>
      </c>
      <c r="F2051" s="8"/>
      <c r="G2051" s="11">
        <v>79.0</v>
      </c>
      <c r="H2051" s="11">
        <v>0.36</v>
      </c>
      <c r="I2051" s="11">
        <v>1.365</v>
      </c>
      <c r="J2051" s="9" t="s">
        <v>69</v>
      </c>
      <c r="K2051" s="14" t="str">
        <f>IFERROR(__xludf.DUMMYFUNCTION("ARRAYFORMULA(VLOOKUP(A2051,IMPORTRANGE(""https://docs.google.com/spreadsheets/d/1BuTWp7qHGjWhqrnf-OmePP568O4A5Am9ttzvVdP67zw/edit#gid=1603210130"", ""TOURISM!$A$2:$F$2692""), {2,3,4,5,6},0))"),"Middle East")</f>
        <v>Middle East</v>
      </c>
      <c r="L2051" s="14">
        <f>IFERROR(__xludf.DUMMYFUNCTION("""COMPUTED_VALUE"""),6.775E9)</f>
        <v>6775000000</v>
      </c>
      <c r="M2051" s="14" t="str">
        <f>IFERROR(__xludf.DUMMYFUNCTION("""COMPUTED_VALUE"""),"Saudi Arabia-Middle East")</f>
        <v>Saudi Arabia-Middle East</v>
      </c>
      <c r="N2051" s="14" t="str">
        <f>IFERROR(__xludf.DUMMYFUNCTION("""COMPUTED_VALUE"""),"2008")</f>
        <v>2008</v>
      </c>
      <c r="O2051" s="14">
        <f>IFERROR(__xludf.DUMMYFUNCTION("""COMPUTED_VALUE"""),1.6005E10)</f>
        <v>16005000000</v>
      </c>
      <c r="P2051" s="15">
        <f>IFERROR(__xludf.DUMMYFUNCTION("ARRAYFORMULA(VLOOKUP(A2051,IMPORTRANGE(""https://docs.google.com/spreadsheets/d/1BuTWp7qHGjWhqrnf-OmePP568O4A5Am9ttzvVdP67zw/edit#gid=771602874"" ,""HUMAN RESOURCES!$A$2:$M$2692""), {2,3,4,5,6,7,8,9,10,11,12,13},0))"),0.022)</f>
        <v>0.022</v>
      </c>
      <c r="Q2051" s="14">
        <f>IFERROR(__xludf.DUMMYFUNCTION("""COMPUTED_VALUE"""),0.016)</f>
        <v>0.016</v>
      </c>
      <c r="R2051" s="14">
        <f>IFERROR(__xludf.DUMMYFUNCTION("""COMPUTED_VALUE"""),76.0)</f>
        <v>76</v>
      </c>
      <c r="S2051" s="14">
        <f>IFERROR(__xludf.DUMMYFUNCTION("""COMPUTED_VALUE"""),73.0)</f>
        <v>73</v>
      </c>
      <c r="T2051" s="14">
        <f>IFERROR(__xludf.DUMMYFUNCTION("""COMPUTED_VALUE"""),0.32)</f>
        <v>0.32</v>
      </c>
      <c r="U2051" s="14">
        <f>IFERROR(__xludf.DUMMYFUNCTION("""COMPUTED_VALUE"""),0.65)</f>
        <v>0.65</v>
      </c>
      <c r="V2051" s="14">
        <f>IFERROR(__xludf.DUMMYFUNCTION("""COMPUTED_VALUE"""),0.03)</f>
        <v>0.03</v>
      </c>
      <c r="W2051" s="14">
        <f>IFERROR(__xludf.DUMMYFUNCTION("""COMPUTED_VALUE"""),2.6366358E7)</f>
        <v>26366358</v>
      </c>
      <c r="X2051" s="14">
        <f>IFERROR(__xludf.DUMMYFUNCTION("""COMPUTED_VALUE"""),0.816)</f>
        <v>0.816</v>
      </c>
      <c r="Y2051" s="14" t="str">
        <f>IFERROR(__xludf.DUMMYFUNCTION("""COMPUTED_VALUE"""),"Saudi Arabia-Middle East")</f>
        <v>Saudi Arabia-Middle East</v>
      </c>
      <c r="Z2051" s="14" t="str">
        <f>IFERROR(__xludf.DUMMYFUNCTION("""COMPUTED_VALUE"""),"Middle East")</f>
        <v>Middle East</v>
      </c>
      <c r="AA2051" s="14" t="str">
        <f>IFERROR(__xludf.DUMMYFUNCTION("""COMPUTED_VALUE"""),"2008")</f>
        <v>2008</v>
      </c>
      <c r="AB2051" s="15" t="str">
        <f>IFERROR(__xludf.DUMMYFUNCTION("ARRAYFORMULA(VLOOKUP(A2051,IMPORTRANGE(""https://docs.google.com/spreadsheets/d/1BuTWp7qHGjWhqrnf-OmePP568O4A5Am9ttzvVdP67zw/edit#gid=1931367683"" ,""ENERGY!$A$2:$F$2692""), {2,3,4,5,6},0))"),"Middle East")</f>
        <v>Middle East</v>
      </c>
      <c r="AC2051" s="14" t="str">
        <f>IFERROR(__xludf.DUMMYFUNCTION("""COMPUTED_VALUE"""),"Saudi Arabia-Middle East")</f>
        <v>Saudi Arabia-Middle East</v>
      </c>
      <c r="AD2051" s="14" t="str">
        <f>IFERROR(__xludf.DUMMYFUNCTION("""COMPUTED_VALUE"""),"2007")</f>
        <v>2007</v>
      </c>
      <c r="AE2051" s="14">
        <f>IFERROR(__xludf.DUMMYFUNCTION("""COMPUTED_VALUE"""),143706.0)</f>
        <v>143706</v>
      </c>
      <c r="AF2051" s="14">
        <f>IFERROR(__xludf.DUMMYFUNCTION("""COMPUTED_VALUE"""),395834.0)</f>
        <v>395834</v>
      </c>
    </row>
    <row r="2052">
      <c r="A2052" s="12">
        <v>2051.0</v>
      </c>
      <c r="B2052" s="12" t="s">
        <v>236</v>
      </c>
      <c r="C2052" s="5" t="s">
        <v>93</v>
      </c>
      <c r="D2052" s="11">
        <v>0.145</v>
      </c>
      <c r="E2052" s="11">
        <v>21.0</v>
      </c>
      <c r="F2052" s="8"/>
      <c r="G2052" s="11">
        <v>79.0</v>
      </c>
      <c r="H2052" s="11">
        <v>0.38</v>
      </c>
      <c r="I2052" s="11">
        <v>1.674</v>
      </c>
      <c r="J2052" s="9" t="s">
        <v>70</v>
      </c>
      <c r="K2052" s="14" t="str">
        <f>IFERROR(__xludf.DUMMYFUNCTION("ARRAYFORMULA(VLOOKUP(A2052,IMPORTRANGE(""https://docs.google.com/spreadsheets/d/1BuTWp7qHGjWhqrnf-OmePP568O4A5Am9ttzvVdP67zw/edit#gid=1603210130"", ""TOURISM!$A$2:$F$2692""), {2,3,4,5,6},0))"),"Middle East")</f>
        <v>Middle East</v>
      </c>
      <c r="L2052" s="14">
        <f>IFERROR(__xludf.DUMMYFUNCTION("""COMPUTED_VALUE"""),6.744E9)</f>
        <v>6744000000</v>
      </c>
      <c r="M2052" s="14" t="str">
        <f>IFERROR(__xludf.DUMMYFUNCTION("""COMPUTED_VALUE"""),"Saudi Arabia-Middle East")</f>
        <v>Saudi Arabia-Middle East</v>
      </c>
      <c r="N2052" s="14" t="str">
        <f>IFERROR(__xludf.DUMMYFUNCTION("""COMPUTED_VALUE"""),"2009")</f>
        <v>2009</v>
      </c>
      <c r="O2052" s="14">
        <f>IFERROR(__xludf.DUMMYFUNCTION("""COMPUTED_VALUE"""),2.1312E10)</f>
        <v>21312000000</v>
      </c>
      <c r="P2052" s="15">
        <f>IFERROR(__xludf.DUMMYFUNCTION("ARRAYFORMULA(VLOOKUP(A2052,IMPORTRANGE(""https://docs.google.com/spreadsheets/d/1BuTWp7qHGjWhqrnf-OmePP568O4A5Am9ttzvVdP67zw/edit#gid=771602874"" ,""HUMAN RESOURCES!$A$2:$M$2692""), {2,3,4,5,6,7,8,9,10,11,12,13},0))"),0.021)</f>
        <v>0.021</v>
      </c>
      <c r="Q2052" s="14">
        <f>IFERROR(__xludf.DUMMYFUNCTION("""COMPUTED_VALUE"""),0.015)</f>
        <v>0.015</v>
      </c>
      <c r="R2052" s="14">
        <f>IFERROR(__xludf.DUMMYFUNCTION("""COMPUTED_VALUE"""),77.0)</f>
        <v>77</v>
      </c>
      <c r="S2052" s="14">
        <f>IFERROR(__xludf.DUMMYFUNCTION("""COMPUTED_VALUE"""),73.0)</f>
        <v>73</v>
      </c>
      <c r="T2052" s="14">
        <f>IFERROR(__xludf.DUMMYFUNCTION("""COMPUTED_VALUE"""),0.313)</f>
        <v>0.313</v>
      </c>
      <c r="U2052" s="14">
        <f>IFERROR(__xludf.DUMMYFUNCTION("""COMPUTED_VALUE"""),0.657)</f>
        <v>0.657</v>
      </c>
      <c r="V2052" s="14">
        <f>IFERROR(__xludf.DUMMYFUNCTION("""COMPUTED_VALUE"""),0.03)</f>
        <v>0.03</v>
      </c>
      <c r="W2052" s="14">
        <f>IFERROR(__xludf.DUMMYFUNCTION("""COMPUTED_VALUE"""),2.6796375E7)</f>
        <v>26796375</v>
      </c>
      <c r="X2052" s="14">
        <f>IFERROR(__xludf.DUMMYFUNCTION("""COMPUTED_VALUE"""),0.819)</f>
        <v>0.819</v>
      </c>
      <c r="Y2052" s="14" t="str">
        <f>IFERROR(__xludf.DUMMYFUNCTION("""COMPUTED_VALUE"""),"Saudi Arabia-Middle East")</f>
        <v>Saudi Arabia-Middle East</v>
      </c>
      <c r="Z2052" s="14" t="str">
        <f>IFERROR(__xludf.DUMMYFUNCTION("""COMPUTED_VALUE"""),"Middle East")</f>
        <v>Middle East</v>
      </c>
      <c r="AA2052" s="14" t="str">
        <f>IFERROR(__xludf.DUMMYFUNCTION("""COMPUTED_VALUE"""),"2009")</f>
        <v>2009</v>
      </c>
      <c r="AB2052" s="15" t="str">
        <f>IFERROR(__xludf.DUMMYFUNCTION("ARRAYFORMULA(VLOOKUP(A2052,IMPORTRANGE(""https://docs.google.com/spreadsheets/d/1BuTWp7qHGjWhqrnf-OmePP568O4A5Am9ttzvVdP67zw/edit#gid=1931367683"" ,""ENERGY!$A$2:$F$2692""), {2,3,4,5,6},0))"),"Middle East")</f>
        <v>Middle East</v>
      </c>
      <c r="AC2052" s="14" t="str">
        <f>IFERROR(__xludf.DUMMYFUNCTION("""COMPUTED_VALUE"""),"Saudi Arabia-Middle East")</f>
        <v>Saudi Arabia-Middle East</v>
      </c>
      <c r="AD2052" s="14" t="str">
        <f>IFERROR(__xludf.DUMMYFUNCTION("""COMPUTED_VALUE"""),"2011")</f>
        <v>2011</v>
      </c>
      <c r="AE2052" s="14">
        <f>IFERROR(__xludf.DUMMYFUNCTION("""COMPUTED_VALUE"""),121382.0)</f>
        <v>121382</v>
      </c>
      <c r="AF2052" s="14">
        <f>IFERROR(__xludf.DUMMYFUNCTION("""COMPUTED_VALUE"""),327272.0)</f>
        <v>327272</v>
      </c>
    </row>
    <row r="2053">
      <c r="A2053" s="12">
        <v>2052.0</v>
      </c>
      <c r="B2053" s="12" t="s">
        <v>236</v>
      </c>
      <c r="C2053" s="5" t="s">
        <v>93</v>
      </c>
      <c r="D2053" s="11">
        <v>0.145</v>
      </c>
      <c r="E2053" s="11">
        <v>21.0</v>
      </c>
      <c r="F2053" s="8"/>
      <c r="G2053" s="11">
        <v>79.0</v>
      </c>
      <c r="H2053" s="11">
        <v>0.41</v>
      </c>
      <c r="I2053" s="11">
        <v>1.892</v>
      </c>
      <c r="J2053" s="9" t="s">
        <v>71</v>
      </c>
      <c r="K2053" s="14" t="str">
        <f>IFERROR(__xludf.DUMMYFUNCTION("ARRAYFORMULA(VLOOKUP(A2053,IMPORTRANGE(""https://docs.google.com/spreadsheets/d/1BuTWp7qHGjWhqrnf-OmePP568O4A5Am9ttzvVdP67zw/edit#gid=1603210130"", ""TOURISM!$A$2:$F$2692""), {2,3,4,5,6},0))"),"Middle East")</f>
        <v>Middle East</v>
      </c>
      <c r="L2053" s="14">
        <f>IFERROR(__xludf.DUMMYFUNCTION("""COMPUTED_VALUE"""),7.536E9)</f>
        <v>7536000000</v>
      </c>
      <c r="M2053" s="14" t="str">
        <f>IFERROR(__xludf.DUMMYFUNCTION("""COMPUTED_VALUE"""),"Saudi Arabia-Middle East")</f>
        <v>Saudi Arabia-Middle East</v>
      </c>
      <c r="N2053" s="14" t="str">
        <f>IFERROR(__xludf.DUMMYFUNCTION("""COMPUTED_VALUE"""),"2010")</f>
        <v>2010</v>
      </c>
      <c r="O2053" s="14">
        <f>IFERROR(__xludf.DUMMYFUNCTION("""COMPUTED_VALUE"""),2.2076E10)</f>
        <v>22076000000</v>
      </c>
      <c r="P2053" s="15">
        <f>IFERROR(__xludf.DUMMYFUNCTION("ARRAYFORMULA(VLOOKUP(A2053,IMPORTRANGE(""https://docs.google.com/spreadsheets/d/1BuTWp7qHGjWhqrnf-OmePP568O4A5Am9ttzvVdP67zw/edit#gid=771602874"" ,""HUMAN RESOURCES!$A$2:$M$2692""), {2,3,4,5,6,7,8,9,10,11,12,13},0))"),0.021)</f>
        <v>0.021</v>
      </c>
      <c r="Q2053" s="14">
        <f>IFERROR(__xludf.DUMMYFUNCTION("""COMPUTED_VALUE"""),0.015)</f>
        <v>0.015</v>
      </c>
      <c r="R2053" s="14">
        <f>IFERROR(__xludf.DUMMYFUNCTION("""COMPUTED_VALUE"""),77.0)</f>
        <v>77</v>
      </c>
      <c r="S2053" s="14">
        <f>IFERROR(__xludf.DUMMYFUNCTION("""COMPUTED_VALUE"""),73.0)</f>
        <v>73</v>
      </c>
      <c r="T2053" s="14">
        <f>IFERROR(__xludf.DUMMYFUNCTION("""COMPUTED_VALUE"""),0.307)</f>
        <v>0.307</v>
      </c>
      <c r="U2053" s="14">
        <f>IFERROR(__xludf.DUMMYFUNCTION("""COMPUTED_VALUE"""),0.663)</f>
        <v>0.663</v>
      </c>
      <c r="V2053" s="14">
        <f>IFERROR(__xludf.DUMMYFUNCTION("""COMPUTED_VALUE"""),0.03)</f>
        <v>0.03</v>
      </c>
      <c r="W2053" s="14">
        <f>IFERROR(__xludf.DUMMYFUNCTION("""COMPUTED_VALUE"""),2.7258387E7)</f>
        <v>27258387</v>
      </c>
      <c r="X2053" s="14">
        <f>IFERROR(__xludf.DUMMYFUNCTION("""COMPUTED_VALUE"""),0.821)</f>
        <v>0.821</v>
      </c>
      <c r="Y2053" s="14" t="str">
        <f>IFERROR(__xludf.DUMMYFUNCTION("""COMPUTED_VALUE"""),"Saudi Arabia-Middle East")</f>
        <v>Saudi Arabia-Middle East</v>
      </c>
      <c r="Z2053" s="14" t="str">
        <f>IFERROR(__xludf.DUMMYFUNCTION("""COMPUTED_VALUE"""),"Middle East")</f>
        <v>Middle East</v>
      </c>
      <c r="AA2053" s="14" t="str">
        <f>IFERROR(__xludf.DUMMYFUNCTION("""COMPUTED_VALUE"""),"2010")</f>
        <v>2010</v>
      </c>
      <c r="AB2053" s="15" t="str">
        <f>IFERROR(__xludf.DUMMYFUNCTION("ARRAYFORMULA(VLOOKUP(A2053,IMPORTRANGE(""https://docs.google.com/spreadsheets/d/1BuTWp7qHGjWhqrnf-OmePP568O4A5Am9ttzvVdP67zw/edit#gid=1931367683"" ,""ENERGY!$A$2:$F$2692""), {2,3,4,5,6},0))"),"Middle East")</f>
        <v>Middle East</v>
      </c>
      <c r="AC2053" s="14" t="str">
        <f>IFERROR(__xludf.DUMMYFUNCTION("""COMPUTED_VALUE"""),"Saudi Arabia-Middle East")</f>
        <v>Saudi Arabia-Middle East</v>
      </c>
      <c r="AD2053" s="14" t="str">
        <f>IFERROR(__xludf.DUMMYFUNCTION("""COMPUTED_VALUE"""),"2007")</f>
        <v>2007</v>
      </c>
      <c r="AE2053" s="14">
        <f>IFERROR(__xludf.DUMMYFUNCTION("""COMPUTED_VALUE"""),116953.0)</f>
        <v>116953</v>
      </c>
      <c r="AF2053" s="14">
        <f>IFERROR(__xludf.DUMMYFUNCTION("""COMPUTED_VALUE"""),326407.0)</f>
        <v>326407</v>
      </c>
    </row>
    <row r="2054">
      <c r="A2054" s="12">
        <v>2053.0</v>
      </c>
      <c r="B2054" s="12" t="s">
        <v>236</v>
      </c>
      <c r="C2054" s="5" t="s">
        <v>93</v>
      </c>
      <c r="D2054" s="11">
        <v>0.145</v>
      </c>
      <c r="E2054" s="11">
        <v>21.0</v>
      </c>
      <c r="F2054" s="8"/>
      <c r="G2054" s="11">
        <v>79.0</v>
      </c>
      <c r="H2054" s="11">
        <v>0.475</v>
      </c>
      <c r="I2054" s="11">
        <v>1.935</v>
      </c>
      <c r="J2054" s="9" t="s">
        <v>72</v>
      </c>
      <c r="K2054" s="14" t="str">
        <f>IFERROR(__xludf.DUMMYFUNCTION("ARRAYFORMULA(VLOOKUP(A2054,IMPORTRANGE(""https://docs.google.com/spreadsheets/d/1BuTWp7qHGjWhqrnf-OmePP568O4A5Am9ttzvVdP67zw/edit#gid=1603210130"", ""TOURISM!$A$2:$F$2692""), {2,3,4,5,6},0))"),"Middle East")</f>
        <v>Middle East</v>
      </c>
      <c r="L2054" s="14">
        <f>IFERROR(__xludf.DUMMYFUNCTION("""COMPUTED_VALUE"""),9.317E9)</f>
        <v>9317000000</v>
      </c>
      <c r="M2054" s="14" t="str">
        <f>IFERROR(__xludf.DUMMYFUNCTION("""COMPUTED_VALUE"""),"Saudi Arabia-Middle East")</f>
        <v>Saudi Arabia-Middle East</v>
      </c>
      <c r="N2054" s="14" t="str">
        <f>IFERROR(__xludf.DUMMYFUNCTION("""COMPUTED_VALUE"""),"2011")</f>
        <v>2011</v>
      </c>
      <c r="O2054" s="14">
        <f>IFERROR(__xludf.DUMMYFUNCTION("""COMPUTED_VALUE"""),1.8202E10)</f>
        <v>18202000000</v>
      </c>
      <c r="P2054" s="15">
        <f>IFERROR(__xludf.DUMMYFUNCTION("ARRAYFORMULA(VLOOKUP(A2054,IMPORTRANGE(""https://docs.google.com/spreadsheets/d/1BuTWp7qHGjWhqrnf-OmePP568O4A5Am9ttzvVdP67zw/edit#gid=771602874"" ,""HUMAN RESOURCES!$A$2:$M$2692""), {2,3,4,5,6,7,8,9,10,11,12,13},0))"),0.02)</f>
        <v>0.02</v>
      </c>
      <c r="Q2054" s="14">
        <f>IFERROR(__xludf.DUMMYFUNCTION("""COMPUTED_VALUE"""),0.014)</f>
        <v>0.014</v>
      </c>
      <c r="R2054" s="14">
        <f>IFERROR(__xludf.DUMMYFUNCTION("""COMPUTED_VALUE"""),77.0)</f>
        <v>77</v>
      </c>
      <c r="S2054" s="14">
        <f>IFERROR(__xludf.DUMMYFUNCTION("""COMPUTED_VALUE"""),74.0)</f>
        <v>74</v>
      </c>
      <c r="T2054" s="14">
        <f>IFERROR(__xludf.DUMMYFUNCTION("""COMPUTED_VALUE"""),0.302)</f>
        <v>0.302</v>
      </c>
      <c r="U2054" s="14">
        <f>IFERROR(__xludf.DUMMYFUNCTION("""COMPUTED_VALUE"""),0.669)</f>
        <v>0.669</v>
      </c>
      <c r="V2054" s="14">
        <f>IFERROR(__xludf.DUMMYFUNCTION("""COMPUTED_VALUE"""),0.029)</f>
        <v>0.029</v>
      </c>
      <c r="W2054" s="14">
        <f>IFERROR(__xludf.DUMMYFUNCTION("""COMPUTED_VALUE"""),2.7761728E7)</f>
        <v>27761728</v>
      </c>
      <c r="X2054" s="14">
        <f>IFERROR(__xludf.DUMMYFUNCTION("""COMPUTED_VALUE"""),0.823)</f>
        <v>0.823</v>
      </c>
      <c r="Y2054" s="14" t="str">
        <f>IFERROR(__xludf.DUMMYFUNCTION("""COMPUTED_VALUE"""),"Saudi Arabia-Middle East")</f>
        <v>Saudi Arabia-Middle East</v>
      </c>
      <c r="Z2054" s="14" t="str">
        <f>IFERROR(__xludf.DUMMYFUNCTION("""COMPUTED_VALUE"""),"Middle East")</f>
        <v>Middle East</v>
      </c>
      <c r="AA2054" s="14" t="str">
        <f>IFERROR(__xludf.DUMMYFUNCTION("""COMPUTED_VALUE"""),"2011")</f>
        <v>2011</v>
      </c>
      <c r="AB2054" s="15" t="str">
        <f>IFERROR(__xludf.DUMMYFUNCTION("ARRAYFORMULA(VLOOKUP(A2054,IMPORTRANGE(""https://docs.google.com/spreadsheets/d/1BuTWp7qHGjWhqrnf-OmePP568O4A5Am9ttzvVdP67zw/edit#gid=1931367683"" ,""ENERGY!$A$2:$F$2692""), {2,3,4,5,6},0))"),"Middle East")</f>
        <v>Middle East</v>
      </c>
      <c r="AC2054" s="14" t="str">
        <f>IFERROR(__xludf.DUMMYFUNCTION("""COMPUTED_VALUE"""),"Saudi Arabia-Middle East")</f>
        <v>Saudi Arabia-Middle East</v>
      </c>
      <c r="AD2054" s="14" t="str">
        <f>IFERROR(__xludf.DUMMYFUNCTION("""COMPUTED_VALUE"""),"2007")</f>
        <v>2007</v>
      </c>
      <c r="AE2054" s="14">
        <f>IFERROR(__xludf.DUMMYFUNCTION("""COMPUTED_VALUE"""),106657.0)</f>
        <v>106657</v>
      </c>
      <c r="AF2054" s="14">
        <f>IFERROR(__xludf.DUMMYFUNCTION("""COMPUTED_VALUE"""),297214.0)</f>
        <v>297214</v>
      </c>
    </row>
    <row r="2055">
      <c r="A2055" s="12">
        <v>2054.0</v>
      </c>
      <c r="B2055" s="12" t="s">
        <v>236</v>
      </c>
      <c r="C2055" s="5" t="s">
        <v>93</v>
      </c>
      <c r="D2055" s="11">
        <v>0.145</v>
      </c>
      <c r="E2055" s="11">
        <v>21.0</v>
      </c>
      <c r="F2055" s="11">
        <v>22.0</v>
      </c>
      <c r="G2055" s="11">
        <v>72.0</v>
      </c>
      <c r="H2055" s="11">
        <v>0.54</v>
      </c>
      <c r="I2055" s="11">
        <v>1.874</v>
      </c>
      <c r="J2055" s="9" t="s">
        <v>73</v>
      </c>
      <c r="K2055" s="14" t="str">
        <f>IFERROR(__xludf.DUMMYFUNCTION("ARRAYFORMULA(VLOOKUP(A2055,IMPORTRANGE(""https://docs.google.com/spreadsheets/d/1BuTWp7qHGjWhqrnf-OmePP568O4A5Am9ttzvVdP67zw/edit#gid=1603210130"", ""TOURISM!$A$2:$F$2692""), {2,3,4,5,6},0))"),"Middle East")</f>
        <v>Middle East</v>
      </c>
      <c r="L2055" s="14">
        <f>IFERROR(__xludf.DUMMYFUNCTION("""COMPUTED_VALUE"""),8.4E9)</f>
        <v>8400000000</v>
      </c>
      <c r="M2055" s="14" t="str">
        <f>IFERROR(__xludf.DUMMYFUNCTION("""COMPUTED_VALUE"""),"Saudi Arabia-Middle East")</f>
        <v>Saudi Arabia-Middle East</v>
      </c>
      <c r="N2055" s="14" t="str">
        <f>IFERROR(__xludf.DUMMYFUNCTION("""COMPUTED_VALUE"""),"2012")</f>
        <v>2012</v>
      </c>
      <c r="O2055" s="14">
        <f>IFERROR(__xludf.DUMMYFUNCTION("""COMPUTED_VALUE"""),1.7986E10)</f>
        <v>17986000000</v>
      </c>
      <c r="P2055" s="15">
        <f>IFERROR(__xludf.DUMMYFUNCTION("ARRAYFORMULA(VLOOKUP(A2055,IMPORTRANGE(""https://docs.google.com/spreadsheets/d/1BuTWp7qHGjWhqrnf-OmePP568O4A5Am9ttzvVdP67zw/edit#gid=771602874"" ,""HUMAN RESOURCES!$A$2:$M$2692""), {2,3,4,5,6,7,8,9,10,11,12,13},0))"),0.02)</f>
        <v>0.02</v>
      </c>
      <c r="Q2055" s="14">
        <f>IFERROR(__xludf.DUMMYFUNCTION("""COMPUTED_VALUE"""),0.014)</f>
        <v>0.014</v>
      </c>
      <c r="R2055" s="14">
        <f>IFERROR(__xludf.DUMMYFUNCTION("""COMPUTED_VALUE"""),77.0)</f>
        <v>77</v>
      </c>
      <c r="S2055" s="14">
        <f>IFERROR(__xludf.DUMMYFUNCTION("""COMPUTED_VALUE"""),74.0)</f>
        <v>74</v>
      </c>
      <c r="T2055" s="14">
        <f>IFERROR(__xludf.DUMMYFUNCTION("""COMPUTED_VALUE"""),0.297)</f>
        <v>0.297</v>
      </c>
      <c r="U2055" s="14">
        <f>IFERROR(__xludf.DUMMYFUNCTION("""COMPUTED_VALUE"""),0.674)</f>
        <v>0.674</v>
      </c>
      <c r="V2055" s="14">
        <f>IFERROR(__xludf.DUMMYFUNCTION("""COMPUTED_VALUE"""),0.029)</f>
        <v>0.029</v>
      </c>
      <c r="W2055" s="14">
        <f>IFERROR(__xludf.DUMMYFUNCTION("""COMPUTED_VALUE"""),2.8287855E7)</f>
        <v>28287855</v>
      </c>
      <c r="X2055" s="14">
        <f>IFERROR(__xludf.DUMMYFUNCTION("""COMPUTED_VALUE"""),0.825)</f>
        <v>0.825</v>
      </c>
      <c r="Y2055" s="14" t="str">
        <f>IFERROR(__xludf.DUMMYFUNCTION("""COMPUTED_VALUE"""),"Saudi Arabia-Middle East")</f>
        <v>Saudi Arabia-Middle East</v>
      </c>
      <c r="Z2055" s="14" t="str">
        <f>IFERROR(__xludf.DUMMYFUNCTION("""COMPUTED_VALUE"""),"Middle East")</f>
        <v>Middle East</v>
      </c>
      <c r="AA2055" s="14" t="str">
        <f>IFERROR(__xludf.DUMMYFUNCTION("""COMPUTED_VALUE"""),"2012")</f>
        <v>2012</v>
      </c>
      <c r="AB2055" s="15" t="str">
        <f>IFERROR(__xludf.DUMMYFUNCTION("ARRAYFORMULA(VLOOKUP(A2055,IMPORTRANGE(""https://docs.google.com/spreadsheets/d/1BuTWp7qHGjWhqrnf-OmePP568O4A5Am9ttzvVdP67zw/edit#gid=1931367683"" ,""ENERGY!$A$2:$F$2692""), {2,3,4,5,6},0))"),"Middle East")</f>
        <v>Middle East</v>
      </c>
      <c r="AC2055" s="14" t="str">
        <f>IFERROR(__xludf.DUMMYFUNCTION("""COMPUTED_VALUE"""),"Saudi Arabia-Middle East")</f>
        <v>Saudi Arabia-Middle East</v>
      </c>
      <c r="AD2055" s="14" t="str">
        <f>IFERROR(__xludf.DUMMYFUNCTION("""COMPUTED_VALUE"""),"2011")</f>
        <v>2011</v>
      </c>
      <c r="AE2055" s="14">
        <f>IFERROR(__xludf.DUMMYFUNCTION("""COMPUTED_VALUE"""),101325.0)</f>
        <v>101325</v>
      </c>
      <c r="AF2055" s="14">
        <f>IFERROR(__xludf.DUMMYFUNCTION("""COMPUTED_VALUE"""),296935.0)</f>
        <v>296935</v>
      </c>
    </row>
    <row r="2056">
      <c r="A2056" s="12">
        <v>2055.0</v>
      </c>
      <c r="B2056" s="12" t="s">
        <v>237</v>
      </c>
      <c r="C2056" s="5" t="s">
        <v>77</v>
      </c>
      <c r="D2056" s="8"/>
      <c r="E2056" s="8"/>
      <c r="F2056" s="8"/>
      <c r="G2056" s="8"/>
      <c r="H2056" s="11">
        <v>0.004</v>
      </c>
      <c r="I2056" s="11">
        <v>0.025</v>
      </c>
      <c r="J2056" s="9" t="s">
        <v>60</v>
      </c>
      <c r="K2056" s="14" t="str">
        <f>IFERROR(__xludf.DUMMYFUNCTION("ARRAYFORMULA(VLOOKUP(A2056,IMPORTRANGE(""https://docs.google.com/spreadsheets/d/1BuTWp7qHGjWhqrnf-OmePP568O4A5Am9ttzvVdP67zw/edit#gid=1603210130"", ""TOURISM!$A$2:$F$2692""), {2,3,4,5,6},0))"),"Africa")</f>
        <v>Africa</v>
      </c>
      <c r="L2056" s="14">
        <f>IFERROR(__xludf.DUMMYFUNCTION("""COMPUTED_VALUE"""),1.52E8)</f>
        <v>152000000</v>
      </c>
      <c r="M2056" s="14" t="str">
        <f>IFERROR(__xludf.DUMMYFUNCTION("""COMPUTED_VALUE"""),"Senegal-Africa")</f>
        <v>Senegal-Africa</v>
      </c>
      <c r="N2056" s="14" t="str">
        <f>IFERROR(__xludf.DUMMYFUNCTION("""COMPUTED_VALUE"""),"2000")</f>
        <v>2000</v>
      </c>
      <c r="O2056" s="14">
        <f>IFERROR(__xludf.DUMMYFUNCTION("""COMPUTED_VALUE"""),1.25E8)</f>
        <v>125000000</v>
      </c>
      <c r="P2056" s="15">
        <f>IFERROR(__xludf.DUMMYFUNCTION("ARRAYFORMULA(VLOOKUP(A2056,IMPORTRANGE(""https://docs.google.com/spreadsheets/d/1BuTWp7qHGjWhqrnf-OmePP568O4A5Am9ttzvVdP67zw/edit#gid=771602874"" ,""HUMAN RESOURCES!$A$2:$M$2692""), {2,3,4,5,6,7,8,9,10,11,12,13},0))"),0.04)</f>
        <v>0.04</v>
      </c>
      <c r="Q2056" s="14">
        <f>IFERROR(__xludf.DUMMYFUNCTION("""COMPUTED_VALUE"""),0.069)</f>
        <v>0.069</v>
      </c>
      <c r="R2056" s="14">
        <f>IFERROR(__xludf.DUMMYFUNCTION("""COMPUTED_VALUE"""),59.0)</f>
        <v>59</v>
      </c>
      <c r="S2056" s="14">
        <f>IFERROR(__xludf.DUMMYFUNCTION("""COMPUTED_VALUE"""),56.0)</f>
        <v>56</v>
      </c>
      <c r="T2056" s="14">
        <f>IFERROR(__xludf.DUMMYFUNCTION("""COMPUTED_VALUE"""),0.451)</f>
        <v>0.451</v>
      </c>
      <c r="U2056" s="14">
        <f>IFERROR(__xludf.DUMMYFUNCTION("""COMPUTED_VALUE"""),0.517)</f>
        <v>0.517</v>
      </c>
      <c r="V2056" s="14">
        <f>IFERROR(__xludf.DUMMYFUNCTION("""COMPUTED_VALUE"""),0.032)</f>
        <v>0.032</v>
      </c>
      <c r="W2056" s="14">
        <f>IFERROR(__xludf.DUMMYFUNCTION("""COMPUTED_VALUE"""),9861679.0)</f>
        <v>9861679</v>
      </c>
      <c r="X2056" s="14">
        <f>IFERROR(__xludf.DUMMYFUNCTION("""COMPUTED_VALUE"""),0.403)</f>
        <v>0.403</v>
      </c>
      <c r="Y2056" s="14" t="str">
        <f>IFERROR(__xludf.DUMMYFUNCTION("""COMPUTED_VALUE"""),"Senegal-Africa")</f>
        <v>Senegal-Africa</v>
      </c>
      <c r="Z2056" s="14" t="str">
        <f>IFERROR(__xludf.DUMMYFUNCTION("""COMPUTED_VALUE"""),"Africa")</f>
        <v>Africa</v>
      </c>
      <c r="AA2056" s="14" t="str">
        <f>IFERROR(__xludf.DUMMYFUNCTION("""COMPUTED_VALUE"""),"2000")</f>
        <v>2000</v>
      </c>
      <c r="AB2056" s="15" t="str">
        <f>IFERROR(__xludf.DUMMYFUNCTION("ARRAYFORMULA(VLOOKUP(A2056,IMPORTRANGE(""https://docs.google.com/spreadsheets/d/1BuTWp7qHGjWhqrnf-OmePP568O4A5Am9ttzvVdP67zw/edit#gid=1931367683"" ,""ENERGY!$A$2:$F$2692""), {2,3,4,5,6},0))"),"Africa")</f>
        <v>Africa</v>
      </c>
      <c r="AC2056" s="14" t="str">
        <f>IFERROR(__xludf.DUMMYFUNCTION("""COMPUTED_VALUE"""),"Senegal-Africa")</f>
        <v>Senegal-Africa</v>
      </c>
      <c r="AD2056" s="14" t="str">
        <f>IFERROR(__xludf.DUMMYFUNCTION("""COMPUTED_VALUE"""),"2000")</f>
        <v>2000</v>
      </c>
      <c r="AE2056" s="14"/>
      <c r="AF2056" s="14"/>
    </row>
    <row r="2057">
      <c r="A2057" s="12">
        <v>2056.0</v>
      </c>
      <c r="B2057" s="12" t="s">
        <v>237</v>
      </c>
      <c r="C2057" s="5" t="s">
        <v>77</v>
      </c>
      <c r="D2057" s="8"/>
      <c r="E2057" s="8"/>
      <c r="F2057" s="8"/>
      <c r="G2057" s="8"/>
      <c r="H2057" s="11">
        <v>0.01</v>
      </c>
      <c r="I2057" s="11">
        <v>0.03</v>
      </c>
      <c r="J2057" s="9" t="s">
        <v>62</v>
      </c>
      <c r="K2057" s="14" t="str">
        <f>IFERROR(__xludf.DUMMYFUNCTION("ARRAYFORMULA(VLOOKUP(A2057,IMPORTRANGE(""https://docs.google.com/spreadsheets/d/1BuTWp7qHGjWhqrnf-OmePP568O4A5Am9ttzvVdP67zw/edit#gid=1603210130"", ""TOURISM!$A$2:$F$2692""), {2,3,4,5,6},0))"),"Africa")</f>
        <v>Africa</v>
      </c>
      <c r="L2057" s="14">
        <f>IFERROR(__xludf.DUMMYFUNCTION("""COMPUTED_VALUE"""),1.75E8)</f>
        <v>175000000</v>
      </c>
      <c r="M2057" s="14" t="str">
        <f>IFERROR(__xludf.DUMMYFUNCTION("""COMPUTED_VALUE"""),"Senegal-Africa")</f>
        <v>Senegal-Africa</v>
      </c>
      <c r="N2057" s="14" t="str">
        <f>IFERROR(__xludf.DUMMYFUNCTION("""COMPUTED_VALUE"""),"2001")</f>
        <v>2001</v>
      </c>
      <c r="O2057" s="14">
        <f>IFERROR(__xludf.DUMMYFUNCTION("""COMPUTED_VALUE"""),1.12E8)</f>
        <v>112000000</v>
      </c>
      <c r="P2057" s="15">
        <f>IFERROR(__xludf.DUMMYFUNCTION("ARRAYFORMULA(VLOOKUP(A2057,IMPORTRANGE(""https://docs.google.com/spreadsheets/d/1BuTWp7qHGjWhqrnf-OmePP568O4A5Am9ttzvVdP67zw/edit#gid=771602874"" ,""HUMAN RESOURCES!$A$2:$M$2692""), {2,3,4,5,6,7,8,9,10,11,12,13},0))"),0.04)</f>
        <v>0.04</v>
      </c>
      <c r="Q2057" s="14">
        <f>IFERROR(__xludf.DUMMYFUNCTION("""COMPUTED_VALUE"""),0.067)</f>
        <v>0.067</v>
      </c>
      <c r="R2057" s="14">
        <f>IFERROR(__xludf.DUMMYFUNCTION("""COMPUTED_VALUE"""),60.0)</f>
        <v>60</v>
      </c>
      <c r="S2057" s="14">
        <f>IFERROR(__xludf.DUMMYFUNCTION("""COMPUTED_VALUE"""),57.0)</f>
        <v>57</v>
      </c>
      <c r="T2057" s="14">
        <f>IFERROR(__xludf.DUMMYFUNCTION("""COMPUTED_VALUE"""),0.449)</f>
        <v>0.449</v>
      </c>
      <c r="U2057" s="14">
        <f>IFERROR(__xludf.DUMMYFUNCTION("""COMPUTED_VALUE"""),0.519)</f>
        <v>0.519</v>
      </c>
      <c r="V2057" s="14">
        <f>IFERROR(__xludf.DUMMYFUNCTION("""COMPUTED_VALUE"""),0.032)</f>
        <v>0.032</v>
      </c>
      <c r="W2057" s="14">
        <f>IFERROR(__xludf.DUMMYFUNCTION("""COMPUTED_VALUE"""),1.0119118E7)</f>
        <v>10119118</v>
      </c>
      <c r="X2057" s="14">
        <f>IFERROR(__xludf.DUMMYFUNCTION("""COMPUTED_VALUE"""),0.405)</f>
        <v>0.405</v>
      </c>
      <c r="Y2057" s="14" t="str">
        <f>IFERROR(__xludf.DUMMYFUNCTION("""COMPUTED_VALUE"""),"Senegal-Africa")</f>
        <v>Senegal-Africa</v>
      </c>
      <c r="Z2057" s="14" t="str">
        <f>IFERROR(__xludf.DUMMYFUNCTION("""COMPUTED_VALUE"""),"Africa")</f>
        <v>Africa</v>
      </c>
      <c r="AA2057" s="14" t="str">
        <f>IFERROR(__xludf.DUMMYFUNCTION("""COMPUTED_VALUE"""),"2001")</f>
        <v>2001</v>
      </c>
      <c r="AB2057" s="15" t="str">
        <f>IFERROR(__xludf.DUMMYFUNCTION("ARRAYFORMULA(VLOOKUP(A2057,IMPORTRANGE(""https://docs.google.com/spreadsheets/d/1BuTWp7qHGjWhqrnf-OmePP568O4A5Am9ttzvVdP67zw/edit#gid=1931367683"" ,""ENERGY!$A$2:$F$2692""), {2,3,4,5,6},0))"),"Africa")</f>
        <v>Africa</v>
      </c>
      <c r="AC2057" s="14" t="str">
        <f>IFERROR(__xludf.DUMMYFUNCTION("""COMPUTED_VALUE"""),"Senegal-Africa")</f>
        <v>Senegal-Africa</v>
      </c>
      <c r="AD2057" s="14" t="str">
        <f>IFERROR(__xludf.DUMMYFUNCTION("""COMPUTED_VALUE"""),"2001")</f>
        <v>2001</v>
      </c>
      <c r="AE2057" s="14">
        <f>IFERROR(__xludf.DUMMYFUNCTION("""COMPUTED_VALUE"""),3515.0)</f>
        <v>3515</v>
      </c>
      <c r="AF2057" s="14"/>
    </row>
    <row r="2058">
      <c r="A2058" s="12">
        <v>2057.0</v>
      </c>
      <c r="B2058" s="12" t="s">
        <v>237</v>
      </c>
      <c r="C2058" s="5" t="s">
        <v>77</v>
      </c>
      <c r="D2058" s="8"/>
      <c r="E2058" s="8"/>
      <c r="F2058" s="8"/>
      <c r="G2058" s="8"/>
      <c r="H2058" s="11">
        <v>0.01</v>
      </c>
      <c r="I2058" s="11">
        <v>0.053</v>
      </c>
      <c r="J2058" s="9" t="s">
        <v>63</v>
      </c>
      <c r="K2058" s="14" t="str">
        <f>IFERROR(__xludf.DUMMYFUNCTION("ARRAYFORMULA(VLOOKUP(A2058,IMPORTRANGE(""https://docs.google.com/spreadsheets/d/1BuTWp7qHGjWhqrnf-OmePP568O4A5Am9ttzvVdP67zw/edit#gid=1603210130"", ""TOURISM!$A$2:$F$2692""), {2,3,4,5,6},0))"),"Africa")</f>
        <v>Africa</v>
      </c>
      <c r="L2058" s="14">
        <f>IFERROR(__xludf.DUMMYFUNCTION("""COMPUTED_VALUE"""),2.1E8)</f>
        <v>210000000</v>
      </c>
      <c r="M2058" s="14" t="str">
        <f>IFERROR(__xludf.DUMMYFUNCTION("""COMPUTED_VALUE"""),"Senegal-Africa")</f>
        <v>Senegal-Africa</v>
      </c>
      <c r="N2058" s="14" t="str">
        <f>IFERROR(__xludf.DUMMYFUNCTION("""COMPUTED_VALUE"""),"2002")</f>
        <v>2002</v>
      </c>
      <c r="O2058" s="14">
        <f>IFERROR(__xludf.DUMMYFUNCTION("""COMPUTED_VALUE"""),1.12E8)</f>
        <v>112000000</v>
      </c>
      <c r="P2058" s="15">
        <f>IFERROR(__xludf.DUMMYFUNCTION("ARRAYFORMULA(VLOOKUP(A2058,IMPORTRANGE(""https://docs.google.com/spreadsheets/d/1BuTWp7qHGjWhqrnf-OmePP568O4A5Am9ttzvVdP67zw/edit#gid=771602874"" ,""HUMAN RESOURCES!$A$2:$M$2692""), {2,3,4,5,6,7,8,9,10,11,12,13},0))"),0.04)</f>
        <v>0.04</v>
      </c>
      <c r="Q2058" s="14">
        <f>IFERROR(__xludf.DUMMYFUNCTION("""COMPUTED_VALUE"""),0.065)</f>
        <v>0.065</v>
      </c>
      <c r="R2058" s="14">
        <f>IFERROR(__xludf.DUMMYFUNCTION("""COMPUTED_VALUE"""),60.0)</f>
        <v>60</v>
      </c>
      <c r="S2058" s="14">
        <f>IFERROR(__xludf.DUMMYFUNCTION("""COMPUTED_VALUE"""),57.0)</f>
        <v>57</v>
      </c>
      <c r="T2058" s="14">
        <f>IFERROR(__xludf.DUMMYFUNCTION("""COMPUTED_VALUE"""),0.447)</f>
        <v>0.447</v>
      </c>
      <c r="U2058" s="14">
        <f>IFERROR(__xludf.DUMMYFUNCTION("""COMPUTED_VALUE"""),0.521)</f>
        <v>0.521</v>
      </c>
      <c r="V2058" s="14">
        <f>IFERROR(__xludf.DUMMYFUNCTION("""COMPUTED_VALUE"""),0.032)</f>
        <v>0.032</v>
      </c>
      <c r="W2058" s="14">
        <f>IFERROR(__xludf.DUMMYFUNCTION("""COMPUTED_VALUE"""),1.039005E7)</f>
        <v>10390050</v>
      </c>
      <c r="X2058" s="14">
        <f>IFERROR(__xludf.DUMMYFUNCTION("""COMPUTED_VALUE"""),0.406)</f>
        <v>0.406</v>
      </c>
      <c r="Y2058" s="14" t="str">
        <f>IFERROR(__xludf.DUMMYFUNCTION("""COMPUTED_VALUE"""),"Senegal-Africa")</f>
        <v>Senegal-Africa</v>
      </c>
      <c r="Z2058" s="14" t="str">
        <f>IFERROR(__xludf.DUMMYFUNCTION("""COMPUTED_VALUE"""),"Africa")</f>
        <v>Africa</v>
      </c>
      <c r="AA2058" s="14" t="str">
        <f>IFERROR(__xludf.DUMMYFUNCTION("""COMPUTED_VALUE"""),"2002")</f>
        <v>2002</v>
      </c>
      <c r="AB2058" s="15" t="str">
        <f>IFERROR(__xludf.DUMMYFUNCTION("ARRAYFORMULA(VLOOKUP(A2058,IMPORTRANGE(""https://docs.google.com/spreadsheets/d/1BuTWp7qHGjWhqrnf-OmePP568O4A5Am9ttzvVdP67zw/edit#gid=1931367683"" ,""ENERGY!$A$2:$F$2692""), {2,3,4,5,6},0))"),"Africa")</f>
        <v>Africa</v>
      </c>
      <c r="AC2058" s="14" t="str">
        <f>IFERROR(__xludf.DUMMYFUNCTION("""COMPUTED_VALUE"""),"Senegal-Africa")</f>
        <v>Senegal-Africa</v>
      </c>
      <c r="AD2058" s="14" t="str">
        <f>IFERROR(__xludf.DUMMYFUNCTION("""COMPUTED_VALUE"""),"2002")</f>
        <v>2002</v>
      </c>
      <c r="AE2058" s="14">
        <f>IFERROR(__xludf.DUMMYFUNCTION("""COMPUTED_VALUE"""),3426.0)</f>
        <v>3426</v>
      </c>
      <c r="AF2058" s="14">
        <f>IFERROR(__xludf.DUMMYFUNCTION("""COMPUTED_VALUE"""),7059.0)</f>
        <v>7059</v>
      </c>
    </row>
    <row r="2059">
      <c r="A2059" s="12">
        <v>2058.0</v>
      </c>
      <c r="B2059" s="12" t="s">
        <v>237</v>
      </c>
      <c r="C2059" s="5" t="s">
        <v>77</v>
      </c>
      <c r="D2059" s="8"/>
      <c r="E2059" s="11">
        <v>59.0</v>
      </c>
      <c r="F2059" s="8"/>
      <c r="G2059" s="8"/>
      <c r="H2059" s="11">
        <v>0.021</v>
      </c>
      <c r="I2059" s="11">
        <v>0.073</v>
      </c>
      <c r="J2059" s="9" t="s">
        <v>64</v>
      </c>
      <c r="K2059" s="14" t="str">
        <f>IFERROR(__xludf.DUMMYFUNCTION("ARRAYFORMULA(VLOOKUP(A2059,IMPORTRANGE(""https://docs.google.com/spreadsheets/d/1BuTWp7qHGjWhqrnf-OmePP568O4A5Am9ttzvVdP67zw/edit#gid=1603210130"", ""TOURISM!$A$2:$F$2692""), {2,3,4,5,6},0))"),"Africa")</f>
        <v>Africa</v>
      </c>
      <c r="L2059" s="14">
        <f>IFERROR(__xludf.DUMMYFUNCTION("""COMPUTED_VALUE"""),2.69E8)</f>
        <v>269000000</v>
      </c>
      <c r="M2059" s="14" t="str">
        <f>IFERROR(__xludf.DUMMYFUNCTION("""COMPUTED_VALUE"""),"Senegal-Africa")</f>
        <v>Senegal-Africa</v>
      </c>
      <c r="N2059" s="14" t="str">
        <f>IFERROR(__xludf.DUMMYFUNCTION("""COMPUTED_VALUE"""),"2003")</f>
        <v>2003</v>
      </c>
      <c r="O2059" s="14">
        <f>IFERROR(__xludf.DUMMYFUNCTION("""COMPUTED_VALUE"""),1.29E8)</f>
        <v>129000000</v>
      </c>
      <c r="P2059" s="15">
        <f>IFERROR(__xludf.DUMMYFUNCTION("ARRAYFORMULA(VLOOKUP(A2059,IMPORTRANGE(""https://docs.google.com/spreadsheets/d/1BuTWp7qHGjWhqrnf-OmePP568O4A5Am9ttzvVdP67zw/edit#gid=771602874"" ,""HUMAN RESOURCES!$A$2:$M$2692""), {2,3,4,5,6,7,8,9,10,11,12,13},0))"),0.039)</f>
        <v>0.039</v>
      </c>
      <c r="Q2059" s="14">
        <f>IFERROR(__xludf.DUMMYFUNCTION("""COMPUTED_VALUE"""),0.062)</f>
        <v>0.062</v>
      </c>
      <c r="R2059" s="14">
        <f>IFERROR(__xludf.DUMMYFUNCTION("""COMPUTED_VALUE"""),61.0)</f>
        <v>61</v>
      </c>
      <c r="S2059" s="14">
        <f>IFERROR(__xludf.DUMMYFUNCTION("""COMPUTED_VALUE"""),58.0)</f>
        <v>58</v>
      </c>
      <c r="T2059" s="14">
        <f>IFERROR(__xludf.DUMMYFUNCTION("""COMPUTED_VALUE"""),0.445)</f>
        <v>0.445</v>
      </c>
      <c r="U2059" s="14">
        <f>IFERROR(__xludf.DUMMYFUNCTION("""COMPUTED_VALUE"""),0.524)</f>
        <v>0.524</v>
      </c>
      <c r="V2059" s="14">
        <f>IFERROR(__xludf.DUMMYFUNCTION("""COMPUTED_VALUE"""),0.032)</f>
        <v>0.032</v>
      </c>
      <c r="W2059" s="14">
        <f>IFERROR(__xludf.DUMMYFUNCTION("""COMPUTED_VALUE"""),1.0673535E7)</f>
        <v>10673535</v>
      </c>
      <c r="X2059" s="14">
        <f>IFERROR(__xludf.DUMMYFUNCTION("""COMPUTED_VALUE"""),0.408)</f>
        <v>0.408</v>
      </c>
      <c r="Y2059" s="14" t="str">
        <f>IFERROR(__xludf.DUMMYFUNCTION("""COMPUTED_VALUE"""),"Senegal-Africa")</f>
        <v>Senegal-Africa</v>
      </c>
      <c r="Z2059" s="14" t="str">
        <f>IFERROR(__xludf.DUMMYFUNCTION("""COMPUTED_VALUE"""),"Africa")</f>
        <v>Africa</v>
      </c>
      <c r="AA2059" s="14" t="str">
        <f>IFERROR(__xludf.DUMMYFUNCTION("""COMPUTED_VALUE"""),"2003")</f>
        <v>2003</v>
      </c>
      <c r="AB2059" s="15" t="str">
        <f>IFERROR(__xludf.DUMMYFUNCTION("ARRAYFORMULA(VLOOKUP(A2059,IMPORTRANGE(""https://docs.google.com/spreadsheets/d/1BuTWp7qHGjWhqrnf-OmePP568O4A5Am9ttzvVdP67zw/edit#gid=1931367683"" ,""ENERGY!$A$2:$F$2692""), {2,3,4,5,6},0))"),"Africa")</f>
        <v>Africa</v>
      </c>
      <c r="AC2059" s="14" t="str">
        <f>IFERROR(__xludf.DUMMYFUNCTION("""COMPUTED_VALUE"""),"Senegal-Africa")</f>
        <v>Senegal-Africa</v>
      </c>
      <c r="AD2059" s="14" t="str">
        <f>IFERROR(__xludf.DUMMYFUNCTION("""COMPUTED_VALUE"""),"2003")</f>
        <v>2003</v>
      </c>
      <c r="AE2059" s="14">
        <f>IFERROR(__xludf.DUMMYFUNCTION("""COMPUTED_VALUE"""),3270.0)</f>
        <v>3270</v>
      </c>
      <c r="AF2059" s="14">
        <f>IFERROR(__xludf.DUMMYFUNCTION("""COMPUTED_VALUE"""),5849.0)</f>
        <v>5849</v>
      </c>
    </row>
    <row r="2060">
      <c r="A2060" s="12">
        <v>2059.0</v>
      </c>
      <c r="B2060" s="12" t="s">
        <v>237</v>
      </c>
      <c r="C2060" s="5" t="s">
        <v>77</v>
      </c>
      <c r="D2060" s="8"/>
      <c r="E2060" s="11">
        <v>59.0</v>
      </c>
      <c r="F2060" s="8"/>
      <c r="G2060" s="8"/>
      <c r="H2060" s="11">
        <v>0.044</v>
      </c>
      <c r="I2060" s="11">
        <v>0.102</v>
      </c>
      <c r="J2060" s="9" t="s">
        <v>65</v>
      </c>
      <c r="K2060" s="14" t="str">
        <f>IFERROR(__xludf.DUMMYFUNCTION("ARRAYFORMULA(VLOOKUP(A2060,IMPORTRANGE(""https://docs.google.com/spreadsheets/d/1BuTWp7qHGjWhqrnf-OmePP568O4A5Am9ttzvVdP67zw/edit#gid=1603210130"", ""TOURISM!$A$2:$F$2692""), {2,3,4,5,6},0))"),"Africa")</f>
        <v>Africa</v>
      </c>
      <c r="L2060" s="14">
        <f>IFERROR(__xludf.DUMMYFUNCTION("""COMPUTED_VALUE"""),2.86E8)</f>
        <v>286000000</v>
      </c>
      <c r="M2060" s="14" t="str">
        <f>IFERROR(__xludf.DUMMYFUNCTION("""COMPUTED_VALUE"""),"Senegal-Africa")</f>
        <v>Senegal-Africa</v>
      </c>
      <c r="N2060" s="14" t="str">
        <f>IFERROR(__xludf.DUMMYFUNCTION("""COMPUTED_VALUE"""),"2004")</f>
        <v>2004</v>
      </c>
      <c r="O2060" s="14">
        <f>IFERROR(__xludf.DUMMYFUNCTION("""COMPUTED_VALUE"""),1.38E8)</f>
        <v>138000000</v>
      </c>
      <c r="P2060" s="15">
        <f>IFERROR(__xludf.DUMMYFUNCTION("ARRAYFORMULA(VLOOKUP(A2060,IMPORTRANGE(""https://docs.google.com/spreadsheets/d/1BuTWp7qHGjWhqrnf-OmePP568O4A5Am9ttzvVdP67zw/edit#gid=771602874"" ,""HUMAN RESOURCES!$A$2:$M$2692""), {2,3,4,5,6,7,8,9,10,11,12,13},0))"),0.039)</f>
        <v>0.039</v>
      </c>
      <c r="Q2060" s="14">
        <f>IFERROR(__xludf.DUMMYFUNCTION("""COMPUTED_VALUE"""),0.059)</f>
        <v>0.059</v>
      </c>
      <c r="R2060" s="14">
        <f>IFERROR(__xludf.DUMMYFUNCTION("""COMPUTED_VALUE"""),62.0)</f>
        <v>62</v>
      </c>
      <c r="S2060" s="14">
        <f>IFERROR(__xludf.DUMMYFUNCTION("""COMPUTED_VALUE"""),58.0)</f>
        <v>58</v>
      </c>
      <c r="T2060" s="14">
        <f>IFERROR(__xludf.DUMMYFUNCTION("""COMPUTED_VALUE"""),0.443)</f>
        <v>0.443</v>
      </c>
      <c r="U2060" s="14">
        <f>IFERROR(__xludf.DUMMYFUNCTION("""COMPUTED_VALUE"""),0.526)</f>
        <v>0.526</v>
      </c>
      <c r="V2060" s="14">
        <f>IFERROR(__xludf.DUMMYFUNCTION("""COMPUTED_VALUE"""),0.032)</f>
        <v>0.032</v>
      </c>
      <c r="W2060" s="14">
        <f>IFERROR(__xludf.DUMMYFUNCTION("""COMPUTED_VALUE"""),1.0967568E7)</f>
        <v>10967568</v>
      </c>
      <c r="X2060" s="14">
        <f>IFERROR(__xludf.DUMMYFUNCTION("""COMPUTED_VALUE"""),0.409)</f>
        <v>0.409</v>
      </c>
      <c r="Y2060" s="14" t="str">
        <f>IFERROR(__xludf.DUMMYFUNCTION("""COMPUTED_VALUE"""),"Senegal-Africa")</f>
        <v>Senegal-Africa</v>
      </c>
      <c r="Z2060" s="14" t="str">
        <f>IFERROR(__xludf.DUMMYFUNCTION("""COMPUTED_VALUE"""),"Africa")</f>
        <v>Africa</v>
      </c>
      <c r="AA2060" s="14" t="str">
        <f>IFERROR(__xludf.DUMMYFUNCTION("""COMPUTED_VALUE"""),"2004")</f>
        <v>2004</v>
      </c>
      <c r="AB2060" s="15" t="str">
        <f>IFERROR(__xludf.DUMMYFUNCTION("ARRAYFORMULA(VLOOKUP(A2060,IMPORTRANGE(""https://docs.google.com/spreadsheets/d/1BuTWp7qHGjWhqrnf-OmePP568O4A5Am9ttzvVdP67zw/edit#gid=1931367683"" ,""ENERGY!$A$2:$F$2692""), {2,3,4,5,6},0))"),"Africa")</f>
        <v>Africa</v>
      </c>
      <c r="AC2060" s="14" t="str">
        <f>IFERROR(__xludf.DUMMYFUNCTION("""COMPUTED_VALUE"""),"Senegal-Africa")</f>
        <v>Senegal-Africa</v>
      </c>
      <c r="AD2060" s="14" t="str">
        <f>IFERROR(__xludf.DUMMYFUNCTION("""COMPUTED_VALUE"""),"2004")</f>
        <v>2004</v>
      </c>
      <c r="AE2060" s="14">
        <f>IFERROR(__xludf.DUMMYFUNCTION("""COMPUTED_VALUE"""),3036.0)</f>
        <v>3036</v>
      </c>
      <c r="AF2060" s="14">
        <f>IFERROR(__xludf.DUMMYFUNCTION("""COMPUTED_VALUE"""),5442.0)</f>
        <v>5442</v>
      </c>
    </row>
    <row r="2061">
      <c r="A2061" s="12">
        <v>2060.0</v>
      </c>
      <c r="B2061" s="12" t="s">
        <v>237</v>
      </c>
      <c r="C2061" s="5" t="s">
        <v>77</v>
      </c>
      <c r="D2061" s="11">
        <v>0.503</v>
      </c>
      <c r="E2061" s="11">
        <v>59.0</v>
      </c>
      <c r="F2061" s="8"/>
      <c r="G2061" s="11">
        <v>696.0</v>
      </c>
      <c r="H2061" s="11">
        <v>0.048</v>
      </c>
      <c r="I2061" s="11">
        <v>0.154</v>
      </c>
      <c r="J2061" s="9" t="s">
        <v>66</v>
      </c>
      <c r="K2061" s="14" t="str">
        <f>IFERROR(__xludf.DUMMYFUNCTION("ARRAYFORMULA(VLOOKUP(A2061,IMPORTRANGE(""https://docs.google.com/spreadsheets/d/1BuTWp7qHGjWhqrnf-OmePP568O4A5Am9ttzvVdP67zw/edit#gid=1603210130"", ""TOURISM!$A$2:$F$2692""), {2,3,4,5,6},0))"),"Africa")</f>
        <v>Africa</v>
      </c>
      <c r="L2061" s="14">
        <f>IFERROR(__xludf.DUMMYFUNCTION("""COMPUTED_VALUE"""),3.34E8)</f>
        <v>334000000</v>
      </c>
      <c r="M2061" s="14" t="str">
        <f>IFERROR(__xludf.DUMMYFUNCTION("""COMPUTED_VALUE"""),"Senegal-Africa")</f>
        <v>Senegal-Africa</v>
      </c>
      <c r="N2061" s="14" t="str">
        <f>IFERROR(__xludf.DUMMYFUNCTION("""COMPUTED_VALUE"""),"2005")</f>
        <v>2005</v>
      </c>
      <c r="O2061" s="14">
        <f>IFERROR(__xludf.DUMMYFUNCTION("""COMPUTED_VALUE"""),1.44E8)</f>
        <v>144000000</v>
      </c>
      <c r="P2061" s="15">
        <f>IFERROR(__xludf.DUMMYFUNCTION("ARRAYFORMULA(VLOOKUP(A2061,IMPORTRANGE(""https://docs.google.com/spreadsheets/d/1BuTWp7qHGjWhqrnf-OmePP568O4A5Am9ttzvVdP67zw/edit#gid=771602874"" ,""HUMAN RESOURCES!$A$2:$M$2692""), {2,3,4,5,6,7,8,9,10,11,12,13},0))"),0.039)</f>
        <v>0.039</v>
      </c>
      <c r="Q2061" s="14">
        <f>IFERROR(__xludf.DUMMYFUNCTION("""COMPUTED_VALUE"""),0.057)</f>
        <v>0.057</v>
      </c>
      <c r="R2061" s="14">
        <f>IFERROR(__xludf.DUMMYFUNCTION("""COMPUTED_VALUE"""),62.0)</f>
        <v>62</v>
      </c>
      <c r="S2061" s="14">
        <f>IFERROR(__xludf.DUMMYFUNCTION("""COMPUTED_VALUE"""),59.0)</f>
        <v>59</v>
      </c>
      <c r="T2061" s="14">
        <f>IFERROR(__xludf.DUMMYFUNCTION("""COMPUTED_VALUE"""),0.441)</f>
        <v>0.441</v>
      </c>
      <c r="U2061" s="14">
        <f>IFERROR(__xludf.DUMMYFUNCTION("""COMPUTED_VALUE"""),0.527)</f>
        <v>0.527</v>
      </c>
      <c r="V2061" s="14">
        <f>IFERROR(__xludf.DUMMYFUNCTION("""COMPUTED_VALUE"""),0.032)</f>
        <v>0.032</v>
      </c>
      <c r="W2061" s="14">
        <f>IFERROR(__xludf.DUMMYFUNCTION("""COMPUTED_VALUE"""),1.1270826E7)</f>
        <v>11270826</v>
      </c>
      <c r="X2061" s="14">
        <f>IFERROR(__xludf.DUMMYFUNCTION("""COMPUTED_VALUE"""),0.411)</f>
        <v>0.411</v>
      </c>
      <c r="Y2061" s="14" t="str">
        <f>IFERROR(__xludf.DUMMYFUNCTION("""COMPUTED_VALUE"""),"Senegal-Africa")</f>
        <v>Senegal-Africa</v>
      </c>
      <c r="Z2061" s="14" t="str">
        <f>IFERROR(__xludf.DUMMYFUNCTION("""COMPUTED_VALUE"""),"Africa")</f>
        <v>Africa</v>
      </c>
      <c r="AA2061" s="14" t="str">
        <f>IFERROR(__xludf.DUMMYFUNCTION("""COMPUTED_VALUE"""),"2005")</f>
        <v>2005</v>
      </c>
      <c r="AB2061" s="15" t="str">
        <f>IFERROR(__xludf.DUMMYFUNCTION("ARRAYFORMULA(VLOOKUP(A2061,IMPORTRANGE(""https://docs.google.com/spreadsheets/d/1BuTWp7qHGjWhqrnf-OmePP568O4A5Am9ttzvVdP67zw/edit#gid=1931367683"" ,""ENERGY!$A$2:$F$2692""), {2,3,4,5,6},0))"),"Africa")</f>
        <v>Africa</v>
      </c>
      <c r="AC2061" s="14" t="str">
        <f>IFERROR(__xludf.DUMMYFUNCTION("""COMPUTED_VALUE"""),"Senegal-Africa")</f>
        <v>Senegal-Africa</v>
      </c>
      <c r="AD2061" s="14" t="str">
        <f>IFERROR(__xludf.DUMMYFUNCTION("""COMPUTED_VALUE"""),"2008")</f>
        <v>2008</v>
      </c>
      <c r="AE2061" s="14">
        <f>IFERROR(__xludf.DUMMYFUNCTION("""COMPUTED_VALUE"""),3000.0)</f>
        <v>3000</v>
      </c>
      <c r="AF2061" s="14">
        <f>IFERROR(__xludf.DUMMYFUNCTION("""COMPUTED_VALUE"""),5335.0)</f>
        <v>5335</v>
      </c>
    </row>
    <row r="2062">
      <c r="A2062" s="12">
        <v>2061.0</v>
      </c>
      <c r="B2062" s="12" t="s">
        <v>237</v>
      </c>
      <c r="C2062" s="5" t="s">
        <v>77</v>
      </c>
      <c r="D2062" s="11">
        <v>0.455</v>
      </c>
      <c r="E2062" s="11">
        <v>59.0</v>
      </c>
      <c r="F2062" s="8"/>
      <c r="G2062" s="11">
        <v>696.0</v>
      </c>
      <c r="H2062" s="11">
        <v>0.056</v>
      </c>
      <c r="I2062" s="11">
        <v>0.258</v>
      </c>
      <c r="J2062" s="9" t="s">
        <v>67</v>
      </c>
      <c r="K2062" s="14" t="str">
        <f>IFERROR(__xludf.DUMMYFUNCTION("ARRAYFORMULA(VLOOKUP(A2062,IMPORTRANGE(""https://docs.google.com/spreadsheets/d/1BuTWp7qHGjWhqrnf-OmePP568O4A5Am9ttzvVdP67zw/edit#gid=1603210130"", ""TOURISM!$A$2:$F$2692""), {2,3,4,5,6},0))"),"Africa")</f>
        <v>Africa</v>
      </c>
      <c r="L2062" s="14">
        <f>IFERROR(__xludf.DUMMYFUNCTION("""COMPUTED_VALUE"""),3.29E8)</f>
        <v>329000000</v>
      </c>
      <c r="M2062" s="14" t="str">
        <f>IFERROR(__xludf.DUMMYFUNCTION("""COMPUTED_VALUE"""),"Senegal-Africa")</f>
        <v>Senegal-Africa</v>
      </c>
      <c r="N2062" s="14" t="str">
        <f>IFERROR(__xludf.DUMMYFUNCTION("""COMPUTED_VALUE"""),"2006")</f>
        <v>2006</v>
      </c>
      <c r="O2062" s="14">
        <f>IFERROR(__xludf.DUMMYFUNCTION("""COMPUTED_VALUE"""),1.39E8)</f>
        <v>139000000</v>
      </c>
      <c r="P2062" s="15">
        <f>IFERROR(__xludf.DUMMYFUNCTION("ARRAYFORMULA(VLOOKUP(A2062,IMPORTRANGE(""https://docs.google.com/spreadsheets/d/1BuTWp7qHGjWhqrnf-OmePP568O4A5Am9ttzvVdP67zw/edit#gid=771602874"" ,""HUMAN RESOURCES!$A$2:$M$2692""), {2,3,4,5,6,7,8,9,10,11,12,13},0))"),0.039)</f>
        <v>0.039</v>
      </c>
      <c r="Q2062" s="14">
        <f>IFERROR(__xludf.DUMMYFUNCTION("""COMPUTED_VALUE"""),0.055)</f>
        <v>0.055</v>
      </c>
      <c r="R2062" s="14">
        <f>IFERROR(__xludf.DUMMYFUNCTION("""COMPUTED_VALUE"""),63.0)</f>
        <v>63</v>
      </c>
      <c r="S2062" s="14">
        <f>IFERROR(__xludf.DUMMYFUNCTION("""COMPUTED_VALUE"""),60.0)</f>
        <v>60</v>
      </c>
      <c r="T2062" s="14">
        <f>IFERROR(__xludf.DUMMYFUNCTION("""COMPUTED_VALUE"""),0.44)</f>
        <v>0.44</v>
      </c>
      <c r="U2062" s="14">
        <f>IFERROR(__xludf.DUMMYFUNCTION("""COMPUTED_VALUE"""),0.529)</f>
        <v>0.529</v>
      </c>
      <c r="V2062" s="14">
        <f>IFERROR(__xludf.DUMMYFUNCTION("""COMPUTED_VALUE"""),0.032)</f>
        <v>0.032</v>
      </c>
      <c r="W2062" s="14">
        <f>IFERROR(__xludf.DUMMYFUNCTION("""COMPUTED_VALUE"""),1.1582925E7)</f>
        <v>11582925</v>
      </c>
      <c r="X2062" s="14">
        <f>IFERROR(__xludf.DUMMYFUNCTION("""COMPUTED_VALUE"""),0.413)</f>
        <v>0.413</v>
      </c>
      <c r="Y2062" s="14" t="str">
        <f>IFERROR(__xludf.DUMMYFUNCTION("""COMPUTED_VALUE"""),"Senegal-Africa")</f>
        <v>Senegal-Africa</v>
      </c>
      <c r="Z2062" s="14" t="str">
        <f>IFERROR(__xludf.DUMMYFUNCTION("""COMPUTED_VALUE"""),"Africa")</f>
        <v>Africa</v>
      </c>
      <c r="AA2062" s="14" t="str">
        <f>IFERROR(__xludf.DUMMYFUNCTION("""COMPUTED_VALUE"""),"2006")</f>
        <v>2006</v>
      </c>
      <c r="AB2062" s="15" t="str">
        <f>IFERROR(__xludf.DUMMYFUNCTION("ARRAYFORMULA(VLOOKUP(A2062,IMPORTRANGE(""https://docs.google.com/spreadsheets/d/1BuTWp7qHGjWhqrnf-OmePP568O4A5Am9ttzvVdP67zw/edit#gid=1931367683"" ,""ENERGY!$A$2:$F$2692""), {2,3,4,5,6},0))"),"Africa")</f>
        <v>Africa</v>
      </c>
      <c r="AC2062" s="14" t="str">
        <f>IFERROR(__xludf.DUMMYFUNCTION("""COMPUTED_VALUE"""),"Senegal-Africa")</f>
        <v>Senegal-Africa</v>
      </c>
      <c r="AD2062" s="14" t="str">
        <f>IFERROR(__xludf.DUMMYFUNCTION("""COMPUTED_VALUE"""),"2012")</f>
        <v>2012</v>
      </c>
      <c r="AE2062" s="14">
        <f>IFERROR(__xludf.DUMMYFUNCTION("""COMPUTED_VALUE"""),2798.0)</f>
        <v>2798</v>
      </c>
      <c r="AF2062" s="14">
        <f>IFERROR(__xludf.DUMMYFUNCTION("""COMPUTED_VALUE"""),4789.0)</f>
        <v>4789</v>
      </c>
    </row>
    <row r="2063">
      <c r="A2063" s="12">
        <v>2062.0</v>
      </c>
      <c r="B2063" s="12" t="s">
        <v>237</v>
      </c>
      <c r="C2063" s="5" t="s">
        <v>77</v>
      </c>
      <c r="D2063" s="11">
        <v>0.455</v>
      </c>
      <c r="E2063" s="11">
        <v>59.0</v>
      </c>
      <c r="F2063" s="8"/>
      <c r="G2063" s="11">
        <v>696.0</v>
      </c>
      <c r="H2063" s="11">
        <v>0.077</v>
      </c>
      <c r="I2063" s="11">
        <v>0.305</v>
      </c>
      <c r="J2063" s="9" t="s">
        <v>68</v>
      </c>
      <c r="K2063" s="14" t="str">
        <f>IFERROR(__xludf.DUMMYFUNCTION("ARRAYFORMULA(VLOOKUP(A2063,IMPORTRANGE(""https://docs.google.com/spreadsheets/d/1BuTWp7qHGjWhqrnf-OmePP568O4A5Am9ttzvVdP67zw/edit#gid=1603210130"", ""TOURISM!$A$2:$F$2692""), {2,3,4,5,6},0))"),"Africa")</f>
        <v>Africa</v>
      </c>
      <c r="L2063" s="14">
        <f>IFERROR(__xludf.DUMMYFUNCTION("""COMPUTED_VALUE"""),6.22E8)</f>
        <v>622000000</v>
      </c>
      <c r="M2063" s="14" t="str">
        <f>IFERROR(__xludf.DUMMYFUNCTION("""COMPUTED_VALUE"""),"Senegal-Africa")</f>
        <v>Senegal-Africa</v>
      </c>
      <c r="N2063" s="14" t="str">
        <f>IFERROR(__xludf.DUMMYFUNCTION("""COMPUTED_VALUE"""),"2007")</f>
        <v>2007</v>
      </c>
      <c r="O2063" s="14">
        <f>IFERROR(__xludf.DUMMYFUNCTION("""COMPUTED_VALUE"""),3.52E8)</f>
        <v>352000000</v>
      </c>
      <c r="P2063" s="15">
        <f>IFERROR(__xludf.DUMMYFUNCTION("ARRAYFORMULA(VLOOKUP(A2063,IMPORTRANGE(""https://docs.google.com/spreadsheets/d/1BuTWp7qHGjWhqrnf-OmePP568O4A5Am9ttzvVdP67zw/edit#gid=771602874"" ,""HUMAN RESOURCES!$A$2:$M$2692""), {2,3,4,5,6,7,8,9,10,11,12,13},0))"),0.039)</f>
        <v>0.039</v>
      </c>
      <c r="Q2063" s="14">
        <f>IFERROR(__xludf.DUMMYFUNCTION("""COMPUTED_VALUE"""),0.052)</f>
        <v>0.052</v>
      </c>
      <c r="R2063" s="14">
        <f>IFERROR(__xludf.DUMMYFUNCTION("""COMPUTED_VALUE"""),63.0)</f>
        <v>63</v>
      </c>
      <c r="S2063" s="14">
        <f>IFERROR(__xludf.DUMMYFUNCTION("""COMPUTED_VALUE"""),60.0)</f>
        <v>60</v>
      </c>
      <c r="T2063" s="14">
        <f>IFERROR(__xludf.DUMMYFUNCTION("""COMPUTED_VALUE"""),0.439)</f>
        <v>0.439</v>
      </c>
      <c r="U2063" s="14">
        <f>IFERROR(__xludf.DUMMYFUNCTION("""COMPUTED_VALUE"""),0.53)</f>
        <v>0.53</v>
      </c>
      <c r="V2063" s="14">
        <f>IFERROR(__xludf.DUMMYFUNCTION("""COMPUTED_VALUE"""),0.031)</f>
        <v>0.031</v>
      </c>
      <c r="W2063" s="14">
        <f>IFERROR(__xludf.DUMMYFUNCTION("""COMPUTED_VALUE"""),1.1904974E7)</f>
        <v>11904974</v>
      </c>
      <c r="X2063" s="14">
        <f>IFERROR(__xludf.DUMMYFUNCTION("""COMPUTED_VALUE"""),0.415)</f>
        <v>0.415</v>
      </c>
      <c r="Y2063" s="14" t="str">
        <f>IFERROR(__xludf.DUMMYFUNCTION("""COMPUTED_VALUE"""),"Senegal-Africa")</f>
        <v>Senegal-Africa</v>
      </c>
      <c r="Z2063" s="14" t="str">
        <f>IFERROR(__xludf.DUMMYFUNCTION("""COMPUTED_VALUE"""),"Africa")</f>
        <v>Africa</v>
      </c>
      <c r="AA2063" s="14" t="str">
        <f>IFERROR(__xludf.DUMMYFUNCTION("""COMPUTED_VALUE"""),"2007")</f>
        <v>2007</v>
      </c>
      <c r="AB2063" s="15" t="str">
        <f>IFERROR(__xludf.DUMMYFUNCTION("ARRAYFORMULA(VLOOKUP(A2063,IMPORTRANGE(""https://docs.google.com/spreadsheets/d/1BuTWp7qHGjWhqrnf-OmePP568O4A5Am9ttzvVdP67zw/edit#gid=1931367683"" ,""ENERGY!$A$2:$F$2692""), {2,3,4,5,6},0))"),"Africa")</f>
        <v>Africa</v>
      </c>
      <c r="AC2063" s="14" t="str">
        <f>IFERROR(__xludf.DUMMYFUNCTION("""COMPUTED_VALUE"""),"Senegal-Africa")</f>
        <v>Senegal-Africa</v>
      </c>
      <c r="AD2063" s="14" t="str">
        <f>IFERROR(__xludf.DUMMYFUNCTION("""COMPUTED_VALUE"""),"2010")</f>
        <v>2010</v>
      </c>
      <c r="AE2063" s="14">
        <f>IFERROR(__xludf.DUMMYFUNCTION("""COMPUTED_VALUE"""),2791.0)</f>
        <v>2791</v>
      </c>
      <c r="AF2063" s="14">
        <f>IFERROR(__xludf.DUMMYFUNCTION("""COMPUTED_VALUE"""),5860.0)</f>
        <v>5860</v>
      </c>
    </row>
    <row r="2064">
      <c r="A2064" s="12">
        <v>2063.0</v>
      </c>
      <c r="B2064" s="12" t="s">
        <v>237</v>
      </c>
      <c r="C2064" s="5" t="s">
        <v>77</v>
      </c>
      <c r="D2064" s="11">
        <v>0.455</v>
      </c>
      <c r="E2064" s="11">
        <v>9.0</v>
      </c>
      <c r="F2064" s="8"/>
      <c r="G2064" s="11">
        <v>666.0</v>
      </c>
      <c r="H2064" s="11">
        <v>0.106</v>
      </c>
      <c r="I2064" s="11">
        <v>0.44</v>
      </c>
      <c r="J2064" s="9" t="s">
        <v>69</v>
      </c>
      <c r="K2064" s="14" t="str">
        <f>IFERROR(__xludf.DUMMYFUNCTION("ARRAYFORMULA(VLOOKUP(A2064,IMPORTRANGE(""https://docs.google.com/spreadsheets/d/1BuTWp7qHGjWhqrnf-OmePP568O4A5Am9ttzvVdP67zw/edit#gid=1603210130"", ""TOURISM!$A$2:$F$2692""), {2,3,4,5,6},0))"),"Africa")</f>
        <v>Africa</v>
      </c>
      <c r="L2064" s="14">
        <f>IFERROR(__xludf.DUMMYFUNCTION("""COMPUTED_VALUE"""),6.37E8)</f>
        <v>637000000</v>
      </c>
      <c r="M2064" s="14" t="str">
        <f>IFERROR(__xludf.DUMMYFUNCTION("""COMPUTED_VALUE"""),"Senegal-Africa")</f>
        <v>Senegal-Africa</v>
      </c>
      <c r="N2064" s="14" t="str">
        <f>IFERROR(__xludf.DUMMYFUNCTION("""COMPUTED_VALUE"""),"2008")</f>
        <v>2008</v>
      </c>
      <c r="O2064" s="14">
        <f>IFERROR(__xludf.DUMMYFUNCTION("""COMPUTED_VALUE"""),2.76E8)</f>
        <v>276000000</v>
      </c>
      <c r="P2064" s="15">
        <f>IFERROR(__xludf.DUMMYFUNCTION("ARRAYFORMULA(VLOOKUP(A2064,IMPORTRANGE(""https://docs.google.com/spreadsheets/d/1BuTWp7qHGjWhqrnf-OmePP568O4A5Am9ttzvVdP67zw/edit#gid=771602874"" ,""HUMAN RESOURCES!$A$2:$M$2692""), {2,3,4,5,6,7,8,9,10,11,12,13},0))"),0.039)</f>
        <v>0.039</v>
      </c>
      <c r="Q2064" s="14">
        <f>IFERROR(__xludf.DUMMYFUNCTION("""COMPUTED_VALUE"""),0.051)</f>
        <v>0.051</v>
      </c>
      <c r="R2064" s="14">
        <f>IFERROR(__xludf.DUMMYFUNCTION("""COMPUTED_VALUE"""),64.0)</f>
        <v>64</v>
      </c>
      <c r="S2064" s="14">
        <f>IFERROR(__xludf.DUMMYFUNCTION("""COMPUTED_VALUE"""),61.0)</f>
        <v>61</v>
      </c>
      <c r="T2064" s="14">
        <f>IFERROR(__xludf.DUMMYFUNCTION("""COMPUTED_VALUE"""),0.438)</f>
        <v>0.438</v>
      </c>
      <c r="U2064" s="14">
        <f>IFERROR(__xludf.DUMMYFUNCTION("""COMPUTED_VALUE"""),0.531)</f>
        <v>0.531</v>
      </c>
      <c r="V2064" s="14">
        <f>IFERROR(__xludf.DUMMYFUNCTION("""COMPUTED_VALUE"""),0.031)</f>
        <v>0.031</v>
      </c>
      <c r="W2064" s="14">
        <f>IFERROR(__xludf.DUMMYFUNCTION("""COMPUTED_VALUE"""),1.2238791E7)</f>
        <v>12238791</v>
      </c>
      <c r="X2064" s="14">
        <f>IFERROR(__xludf.DUMMYFUNCTION("""COMPUTED_VALUE"""),0.417)</f>
        <v>0.417</v>
      </c>
      <c r="Y2064" s="14" t="str">
        <f>IFERROR(__xludf.DUMMYFUNCTION("""COMPUTED_VALUE"""),"Senegal-Africa")</f>
        <v>Senegal-Africa</v>
      </c>
      <c r="Z2064" s="14" t="str">
        <f>IFERROR(__xludf.DUMMYFUNCTION("""COMPUTED_VALUE"""),"Africa")</f>
        <v>Africa</v>
      </c>
      <c r="AA2064" s="14" t="str">
        <f>IFERROR(__xludf.DUMMYFUNCTION("""COMPUTED_VALUE"""),"2008")</f>
        <v>2008</v>
      </c>
      <c r="AB2064" s="15" t="str">
        <f>IFERROR(__xludf.DUMMYFUNCTION("ARRAYFORMULA(VLOOKUP(A2064,IMPORTRANGE(""https://docs.google.com/spreadsheets/d/1BuTWp7qHGjWhqrnf-OmePP568O4A5Am9ttzvVdP67zw/edit#gid=1931367683"" ,""ENERGY!$A$2:$F$2692""), {2,3,4,5,6},0))"),"Africa")</f>
        <v>Africa</v>
      </c>
      <c r="AC2064" s="14" t="str">
        <f>IFERROR(__xludf.DUMMYFUNCTION("""COMPUTED_VALUE"""),"Senegal-Africa")</f>
        <v>Senegal-Africa</v>
      </c>
      <c r="AD2064" s="14" t="str">
        <f>IFERROR(__xludf.DUMMYFUNCTION("""COMPUTED_VALUE"""),"2007")</f>
        <v>2007</v>
      </c>
      <c r="AE2064" s="14">
        <f>IFERROR(__xludf.DUMMYFUNCTION("""COMPUTED_VALUE"""),2736.0)</f>
        <v>2736</v>
      </c>
      <c r="AF2064" s="14">
        <f>IFERROR(__xludf.DUMMYFUNCTION("""COMPUTED_VALUE"""),5280.0)</f>
        <v>5280</v>
      </c>
    </row>
    <row r="2065">
      <c r="A2065" s="12">
        <v>2064.0</v>
      </c>
      <c r="B2065" s="12" t="s">
        <v>237</v>
      </c>
      <c r="C2065" s="5" t="s">
        <v>77</v>
      </c>
      <c r="D2065" s="11">
        <v>0.455</v>
      </c>
      <c r="E2065" s="11">
        <v>9.0</v>
      </c>
      <c r="F2065" s="8"/>
      <c r="G2065" s="11">
        <v>666.0</v>
      </c>
      <c r="H2065" s="11">
        <v>0.145</v>
      </c>
      <c r="I2065" s="11">
        <v>0.548</v>
      </c>
      <c r="J2065" s="9" t="s">
        <v>70</v>
      </c>
      <c r="K2065" s="14" t="str">
        <f>IFERROR(__xludf.DUMMYFUNCTION("ARRAYFORMULA(VLOOKUP(A2065,IMPORTRANGE(""https://docs.google.com/spreadsheets/d/1BuTWp7qHGjWhqrnf-OmePP568O4A5Am9ttzvVdP67zw/edit#gid=1603210130"", ""TOURISM!$A$2:$F$2692""), {2,3,4,5,6},0))"),"Africa")</f>
        <v>Africa</v>
      </c>
      <c r="L2065" s="14">
        <f>IFERROR(__xludf.DUMMYFUNCTION("""COMPUTED_VALUE"""),4.74E8)</f>
        <v>474000000</v>
      </c>
      <c r="M2065" s="14" t="str">
        <f>IFERROR(__xludf.DUMMYFUNCTION("""COMPUTED_VALUE"""),"Senegal-Africa")</f>
        <v>Senegal-Africa</v>
      </c>
      <c r="N2065" s="14" t="str">
        <f>IFERROR(__xludf.DUMMYFUNCTION("""COMPUTED_VALUE"""),"2009")</f>
        <v>2009</v>
      </c>
      <c r="O2065" s="14">
        <f>IFERROR(__xludf.DUMMYFUNCTION("""COMPUTED_VALUE"""),2.58E8)</f>
        <v>258000000</v>
      </c>
      <c r="P2065" s="15">
        <f>IFERROR(__xludf.DUMMYFUNCTION("ARRAYFORMULA(VLOOKUP(A2065,IMPORTRANGE(""https://docs.google.com/spreadsheets/d/1BuTWp7qHGjWhqrnf-OmePP568O4A5Am9ttzvVdP67zw/edit#gid=771602874"" ,""HUMAN RESOURCES!$A$2:$M$2692""), {2,3,4,5,6,7,8,9,10,11,12,13},0))"),0.039)</f>
        <v>0.039</v>
      </c>
      <c r="Q2065" s="14">
        <f>IFERROR(__xludf.DUMMYFUNCTION("""COMPUTED_VALUE"""),0.049)</f>
        <v>0.049</v>
      </c>
      <c r="R2065" s="14">
        <f>IFERROR(__xludf.DUMMYFUNCTION("""COMPUTED_VALUE"""),64.0)</f>
        <v>64</v>
      </c>
      <c r="S2065" s="14">
        <f>IFERROR(__xludf.DUMMYFUNCTION("""COMPUTED_VALUE"""),61.0)</f>
        <v>61</v>
      </c>
      <c r="T2065" s="14">
        <f>IFERROR(__xludf.DUMMYFUNCTION("""COMPUTED_VALUE"""),0.437)</f>
        <v>0.437</v>
      </c>
      <c r="U2065" s="14">
        <f>IFERROR(__xludf.DUMMYFUNCTION("""COMPUTED_VALUE"""),0.532)</f>
        <v>0.532</v>
      </c>
      <c r="V2065" s="14">
        <f>IFERROR(__xludf.DUMMYFUNCTION("""COMPUTED_VALUE"""),0.031)</f>
        <v>0.031</v>
      </c>
      <c r="W2065" s="14">
        <f>IFERROR(__xludf.DUMMYFUNCTION("""COMPUTED_VALUE"""),1.2586827E7)</f>
        <v>12586827</v>
      </c>
      <c r="X2065" s="14">
        <f>IFERROR(__xludf.DUMMYFUNCTION("""COMPUTED_VALUE"""),0.42)</f>
        <v>0.42</v>
      </c>
      <c r="Y2065" s="14" t="str">
        <f>IFERROR(__xludf.DUMMYFUNCTION("""COMPUTED_VALUE"""),"Senegal-Africa")</f>
        <v>Senegal-Africa</v>
      </c>
      <c r="Z2065" s="14" t="str">
        <f>IFERROR(__xludf.DUMMYFUNCTION("""COMPUTED_VALUE"""),"Africa")</f>
        <v>Africa</v>
      </c>
      <c r="AA2065" s="14" t="str">
        <f>IFERROR(__xludf.DUMMYFUNCTION("""COMPUTED_VALUE"""),"2009")</f>
        <v>2009</v>
      </c>
      <c r="AB2065" s="15" t="str">
        <f>IFERROR(__xludf.DUMMYFUNCTION("ARRAYFORMULA(VLOOKUP(A2065,IMPORTRANGE(""https://docs.google.com/spreadsheets/d/1BuTWp7qHGjWhqrnf-OmePP568O4A5Am9ttzvVdP67zw/edit#gid=1931367683"" ,""ENERGY!$A$2:$F$2692""), {2,3,4,5,6},0))"),"Africa")</f>
        <v>Africa</v>
      </c>
      <c r="AC2065" s="14" t="str">
        <f>IFERROR(__xludf.DUMMYFUNCTION("""COMPUTED_VALUE"""),"Senegal-Africa")</f>
        <v>Senegal-Africa</v>
      </c>
      <c r="AD2065" s="14" t="str">
        <f>IFERROR(__xludf.DUMMYFUNCTION("""COMPUTED_VALUE"""),"2011")</f>
        <v>2011</v>
      </c>
      <c r="AE2065" s="14">
        <f>IFERROR(__xludf.DUMMYFUNCTION("""COMPUTED_VALUE"""),2556.0)</f>
        <v>2556</v>
      </c>
      <c r="AF2065" s="14">
        <f>IFERROR(__xludf.DUMMYFUNCTION("""COMPUTED_VALUE"""),5013.0)</f>
        <v>5013</v>
      </c>
    </row>
    <row r="2066">
      <c r="A2066" s="12">
        <v>2065.0</v>
      </c>
      <c r="B2066" s="12" t="s">
        <v>237</v>
      </c>
      <c r="C2066" s="5" t="s">
        <v>77</v>
      </c>
      <c r="D2066" s="11">
        <v>0.455</v>
      </c>
      <c r="E2066" s="11">
        <v>9.0</v>
      </c>
      <c r="F2066" s="8"/>
      <c r="G2066" s="11">
        <v>666.0</v>
      </c>
      <c r="H2066" s="11">
        <v>0.16</v>
      </c>
      <c r="I2066" s="11">
        <v>0.644</v>
      </c>
      <c r="J2066" s="9" t="s">
        <v>71</v>
      </c>
      <c r="K2066" s="14" t="str">
        <f>IFERROR(__xludf.DUMMYFUNCTION("ARRAYFORMULA(VLOOKUP(A2066,IMPORTRANGE(""https://docs.google.com/spreadsheets/d/1BuTWp7qHGjWhqrnf-OmePP568O4A5Am9ttzvVdP67zw/edit#gid=1603210130"", ""TOURISM!$A$2:$F$2692""), {2,3,4,5,6},0))"),"Africa")</f>
        <v>Africa</v>
      </c>
      <c r="L2066" s="14">
        <f>IFERROR(__xludf.DUMMYFUNCTION("""COMPUTED_VALUE"""),4.64E8)</f>
        <v>464000000</v>
      </c>
      <c r="M2066" s="14" t="str">
        <f>IFERROR(__xludf.DUMMYFUNCTION("""COMPUTED_VALUE"""),"Senegal-Africa")</f>
        <v>Senegal-Africa</v>
      </c>
      <c r="N2066" s="14" t="str">
        <f>IFERROR(__xludf.DUMMYFUNCTION("""COMPUTED_VALUE"""),"2010")</f>
        <v>2010</v>
      </c>
      <c r="O2066" s="14">
        <f>IFERROR(__xludf.DUMMYFUNCTION("""COMPUTED_VALUE"""),2.17E8)</f>
        <v>217000000</v>
      </c>
      <c r="P2066" s="15">
        <f>IFERROR(__xludf.DUMMYFUNCTION("ARRAYFORMULA(VLOOKUP(A2066,IMPORTRANGE(""https://docs.google.com/spreadsheets/d/1BuTWp7qHGjWhqrnf-OmePP568O4A5Am9ttzvVdP67zw/edit#gid=771602874"" ,""HUMAN RESOURCES!$A$2:$M$2692""), {2,3,4,5,6,7,8,9,10,11,12,13},0))"),0.039)</f>
        <v>0.039</v>
      </c>
      <c r="Q2066" s="14">
        <f>IFERROR(__xludf.DUMMYFUNCTION("""COMPUTED_VALUE"""),0.047)</f>
        <v>0.047</v>
      </c>
      <c r="R2066" s="14">
        <f>IFERROR(__xludf.DUMMYFUNCTION("""COMPUTED_VALUE"""),64.0)</f>
        <v>64</v>
      </c>
      <c r="S2066" s="14">
        <f>IFERROR(__xludf.DUMMYFUNCTION("""COMPUTED_VALUE"""),61.0)</f>
        <v>61</v>
      </c>
      <c r="T2066" s="14">
        <f>IFERROR(__xludf.DUMMYFUNCTION("""COMPUTED_VALUE"""),0.436)</f>
        <v>0.436</v>
      </c>
      <c r="U2066" s="14">
        <f>IFERROR(__xludf.DUMMYFUNCTION("""COMPUTED_VALUE"""),0.533)</f>
        <v>0.533</v>
      </c>
      <c r="V2066" s="14">
        <f>IFERROR(__xludf.DUMMYFUNCTION("""COMPUTED_VALUE"""),0.031)</f>
        <v>0.031</v>
      </c>
      <c r="W2066" s="14">
        <f>IFERROR(__xludf.DUMMYFUNCTION("""COMPUTED_VALUE"""),1.2950564E7)</f>
        <v>12950564</v>
      </c>
      <c r="X2066" s="14">
        <f>IFERROR(__xludf.DUMMYFUNCTION("""COMPUTED_VALUE"""),0.422)</f>
        <v>0.422</v>
      </c>
      <c r="Y2066" s="14" t="str">
        <f>IFERROR(__xludf.DUMMYFUNCTION("""COMPUTED_VALUE"""),"Senegal-Africa")</f>
        <v>Senegal-Africa</v>
      </c>
      <c r="Z2066" s="14" t="str">
        <f>IFERROR(__xludf.DUMMYFUNCTION("""COMPUTED_VALUE"""),"Africa")</f>
        <v>Africa</v>
      </c>
      <c r="AA2066" s="14" t="str">
        <f>IFERROR(__xludf.DUMMYFUNCTION("""COMPUTED_VALUE"""),"2010")</f>
        <v>2010</v>
      </c>
      <c r="AB2066" s="15" t="str">
        <f>IFERROR(__xludf.DUMMYFUNCTION("ARRAYFORMULA(VLOOKUP(A2066,IMPORTRANGE(""https://docs.google.com/spreadsheets/d/1BuTWp7qHGjWhqrnf-OmePP568O4A5Am9ttzvVdP67zw/edit#gid=1931367683"" ,""ENERGY!$A$2:$F$2692""), {2,3,4,5,6},0))"),"Africa")</f>
        <v>Africa</v>
      </c>
      <c r="AC2066" s="14" t="str">
        <f>IFERROR(__xludf.DUMMYFUNCTION("""COMPUTED_VALUE"""),"Senegal-Africa")</f>
        <v>Senegal-Africa</v>
      </c>
      <c r="AD2066" s="14" t="str">
        <f>IFERROR(__xludf.DUMMYFUNCTION("""COMPUTED_VALUE"""),"2007")</f>
        <v>2007</v>
      </c>
      <c r="AE2066" s="14">
        <f>IFERROR(__xludf.DUMMYFUNCTION("""COMPUTED_VALUE"""),2632.0)</f>
        <v>2632</v>
      </c>
      <c r="AF2066" s="14">
        <f>IFERROR(__xludf.DUMMYFUNCTION("""COMPUTED_VALUE"""),4547.0)</f>
        <v>4547</v>
      </c>
    </row>
    <row r="2067">
      <c r="A2067" s="12">
        <v>2066.0</v>
      </c>
      <c r="B2067" s="12" t="s">
        <v>237</v>
      </c>
      <c r="C2067" s="5" t="s">
        <v>77</v>
      </c>
      <c r="D2067" s="11">
        <v>0.455</v>
      </c>
      <c r="E2067" s="11">
        <v>6.0</v>
      </c>
      <c r="F2067" s="8"/>
      <c r="G2067" s="11">
        <v>666.0</v>
      </c>
      <c r="H2067" s="11">
        <v>0.175</v>
      </c>
      <c r="I2067" s="11">
        <v>0.702</v>
      </c>
      <c r="J2067" s="9" t="s">
        <v>72</v>
      </c>
      <c r="K2067" s="14" t="str">
        <f>IFERROR(__xludf.DUMMYFUNCTION("ARRAYFORMULA(VLOOKUP(A2067,IMPORTRANGE(""https://docs.google.com/spreadsheets/d/1BuTWp7qHGjWhqrnf-OmePP568O4A5Am9ttzvVdP67zw/edit#gid=1603210130"", ""TOURISM!$A$2:$F$2692""), {2,3,4,5,6},0))"),"Africa")</f>
        <v>Africa</v>
      </c>
      <c r="L2067" s="14"/>
      <c r="M2067" s="14" t="str">
        <f>IFERROR(__xludf.DUMMYFUNCTION("""COMPUTED_VALUE"""),"Senegal-Africa")</f>
        <v>Senegal-Africa</v>
      </c>
      <c r="N2067" s="14" t="str">
        <f>IFERROR(__xludf.DUMMYFUNCTION("""COMPUTED_VALUE"""),"2011")</f>
        <v>2011</v>
      </c>
      <c r="O2067" s="14"/>
      <c r="P2067" s="15">
        <f>IFERROR(__xludf.DUMMYFUNCTION("ARRAYFORMULA(VLOOKUP(A2067,IMPORTRANGE(""https://docs.google.com/spreadsheets/d/1BuTWp7qHGjWhqrnf-OmePP568O4A5Am9ttzvVdP67zw/edit#gid=771602874"" ,""HUMAN RESOURCES!$A$2:$M$2692""), {2,3,4,5,6,7,8,9,10,11,12,13},0))"),0.038)</f>
        <v>0.038</v>
      </c>
      <c r="Q2067" s="14">
        <f>IFERROR(__xludf.DUMMYFUNCTION("""COMPUTED_VALUE"""),0.046)</f>
        <v>0.046</v>
      </c>
      <c r="R2067" s="14">
        <f>IFERROR(__xludf.DUMMYFUNCTION("""COMPUTED_VALUE"""),65.0)</f>
        <v>65</v>
      </c>
      <c r="S2067" s="14">
        <f>IFERROR(__xludf.DUMMYFUNCTION("""COMPUTED_VALUE"""),62.0)</f>
        <v>62</v>
      </c>
      <c r="T2067" s="14">
        <f>IFERROR(__xludf.DUMMYFUNCTION("""COMPUTED_VALUE"""),0.436)</f>
        <v>0.436</v>
      </c>
      <c r="U2067" s="14">
        <f>IFERROR(__xludf.DUMMYFUNCTION("""COMPUTED_VALUE"""),0.534)</f>
        <v>0.534</v>
      </c>
      <c r="V2067" s="14">
        <f>IFERROR(__xludf.DUMMYFUNCTION("""COMPUTED_VALUE"""),0.031)</f>
        <v>0.031</v>
      </c>
      <c r="W2067" s="14">
        <f>IFERROR(__xludf.DUMMYFUNCTION("""COMPUTED_VALUE"""),1.3330737E7)</f>
        <v>13330737</v>
      </c>
      <c r="X2067" s="14">
        <f>IFERROR(__xludf.DUMMYFUNCTION("""COMPUTED_VALUE"""),0.425)</f>
        <v>0.425</v>
      </c>
      <c r="Y2067" s="14" t="str">
        <f>IFERROR(__xludf.DUMMYFUNCTION("""COMPUTED_VALUE"""),"Senegal-Africa")</f>
        <v>Senegal-Africa</v>
      </c>
      <c r="Z2067" s="14" t="str">
        <f>IFERROR(__xludf.DUMMYFUNCTION("""COMPUTED_VALUE"""),"Africa")</f>
        <v>Africa</v>
      </c>
      <c r="AA2067" s="14" t="str">
        <f>IFERROR(__xludf.DUMMYFUNCTION("""COMPUTED_VALUE"""),"2011")</f>
        <v>2011</v>
      </c>
      <c r="AB2067" s="15" t="str">
        <f>IFERROR(__xludf.DUMMYFUNCTION("ARRAYFORMULA(VLOOKUP(A2067,IMPORTRANGE(""https://docs.google.com/spreadsheets/d/1BuTWp7qHGjWhqrnf-OmePP568O4A5Am9ttzvVdP67zw/edit#gid=1931367683"" ,""ENERGY!$A$2:$F$2692""), {2,3,4,5,6},0))"),"Africa")</f>
        <v>Africa</v>
      </c>
      <c r="AC2067" s="14" t="str">
        <f>IFERROR(__xludf.DUMMYFUNCTION("""COMPUTED_VALUE"""),"Senegal-Africa")</f>
        <v>Senegal-Africa</v>
      </c>
      <c r="AD2067" s="14" t="str">
        <f>IFERROR(__xludf.DUMMYFUNCTION("""COMPUTED_VALUE"""),"2007")</f>
        <v>2007</v>
      </c>
      <c r="AE2067" s="14">
        <f>IFERROR(__xludf.DUMMYFUNCTION("""COMPUTED_VALUE"""),2592.0)</f>
        <v>2592</v>
      </c>
      <c r="AF2067" s="14">
        <f>IFERROR(__xludf.DUMMYFUNCTION("""COMPUTED_VALUE"""),4331.0)</f>
        <v>4331</v>
      </c>
    </row>
    <row r="2068">
      <c r="A2068" s="12">
        <v>2067.0</v>
      </c>
      <c r="B2068" s="12" t="s">
        <v>237</v>
      </c>
      <c r="C2068" s="5" t="s">
        <v>77</v>
      </c>
      <c r="D2068" s="11">
        <v>0.455</v>
      </c>
      <c r="E2068" s="11">
        <v>6.0</v>
      </c>
      <c r="F2068" s="11">
        <v>176.0</v>
      </c>
      <c r="G2068" s="11">
        <v>666.0</v>
      </c>
      <c r="H2068" s="11">
        <v>0.192</v>
      </c>
      <c r="I2068" s="11">
        <v>0.836</v>
      </c>
      <c r="J2068" s="9" t="s">
        <v>73</v>
      </c>
      <c r="K2068" s="14" t="str">
        <f>IFERROR(__xludf.DUMMYFUNCTION("ARRAYFORMULA(VLOOKUP(A2068,IMPORTRANGE(""https://docs.google.com/spreadsheets/d/1BuTWp7qHGjWhqrnf-OmePP568O4A5Am9ttzvVdP67zw/edit#gid=1603210130"", ""TOURISM!$A$2:$F$2692""), {2,3,4,5,6},0))"),"Africa")</f>
        <v>Africa</v>
      </c>
      <c r="L2068" s="14"/>
      <c r="M2068" s="14" t="str">
        <f>IFERROR(__xludf.DUMMYFUNCTION("""COMPUTED_VALUE"""),"Senegal-Africa")</f>
        <v>Senegal-Africa</v>
      </c>
      <c r="N2068" s="14" t="str">
        <f>IFERROR(__xludf.DUMMYFUNCTION("""COMPUTED_VALUE"""),"2012")</f>
        <v>2012</v>
      </c>
      <c r="O2068" s="14"/>
      <c r="P2068" s="15">
        <f>IFERROR(__xludf.DUMMYFUNCTION("ARRAYFORMULA(VLOOKUP(A2068,IMPORTRANGE(""https://docs.google.com/spreadsheets/d/1BuTWp7qHGjWhqrnf-OmePP568O4A5Am9ttzvVdP67zw/edit#gid=771602874"" ,""HUMAN RESOURCES!$A$2:$M$2692""), {2,3,4,5,6,7,8,9,10,11,12,13},0))"),0.038)</f>
        <v>0.038</v>
      </c>
      <c r="Q2068" s="14">
        <f>IFERROR(__xludf.DUMMYFUNCTION("""COMPUTED_VALUE"""),0.045)</f>
        <v>0.045</v>
      </c>
      <c r="R2068" s="14">
        <f>IFERROR(__xludf.DUMMYFUNCTION("""COMPUTED_VALUE"""),65.0)</f>
        <v>65</v>
      </c>
      <c r="S2068" s="14">
        <f>IFERROR(__xludf.DUMMYFUNCTION("""COMPUTED_VALUE"""),62.0)</f>
        <v>62</v>
      </c>
      <c r="T2068" s="14">
        <f>IFERROR(__xludf.DUMMYFUNCTION("""COMPUTED_VALUE"""),0.435)</f>
        <v>0.435</v>
      </c>
      <c r="U2068" s="14">
        <f>IFERROR(__xludf.DUMMYFUNCTION("""COMPUTED_VALUE"""),0.534)</f>
        <v>0.534</v>
      </c>
      <c r="V2068" s="14">
        <f>IFERROR(__xludf.DUMMYFUNCTION("""COMPUTED_VALUE"""),0.03)</f>
        <v>0.03</v>
      </c>
      <c r="W2068" s="14">
        <f>IFERROR(__xludf.DUMMYFUNCTION("""COMPUTED_VALUE"""),1.3726021E7)</f>
        <v>13726021</v>
      </c>
      <c r="X2068" s="14">
        <f>IFERROR(__xludf.DUMMYFUNCTION("""COMPUTED_VALUE"""),0.428)</f>
        <v>0.428</v>
      </c>
      <c r="Y2068" s="14" t="str">
        <f>IFERROR(__xludf.DUMMYFUNCTION("""COMPUTED_VALUE"""),"Senegal-Africa")</f>
        <v>Senegal-Africa</v>
      </c>
      <c r="Z2068" s="14" t="str">
        <f>IFERROR(__xludf.DUMMYFUNCTION("""COMPUTED_VALUE"""),"Africa")</f>
        <v>Africa</v>
      </c>
      <c r="AA2068" s="14" t="str">
        <f>IFERROR(__xludf.DUMMYFUNCTION("""COMPUTED_VALUE"""),"2012")</f>
        <v>2012</v>
      </c>
      <c r="AB2068" s="15" t="str">
        <f>IFERROR(__xludf.DUMMYFUNCTION("ARRAYFORMULA(VLOOKUP(A2068,IMPORTRANGE(""https://docs.google.com/spreadsheets/d/1BuTWp7qHGjWhqrnf-OmePP568O4A5Am9ttzvVdP67zw/edit#gid=1931367683"" ,""ENERGY!$A$2:$F$2692""), {2,3,4,5,6},0))"),"Africa")</f>
        <v>Africa</v>
      </c>
      <c r="AC2068" s="14" t="str">
        <f>IFERROR(__xludf.DUMMYFUNCTION("""COMPUTED_VALUE"""),"Senegal-Africa")</f>
        <v>Senegal-Africa</v>
      </c>
      <c r="AD2068" s="14" t="str">
        <f>IFERROR(__xludf.DUMMYFUNCTION("""COMPUTED_VALUE"""),"2011")</f>
        <v>2011</v>
      </c>
      <c r="AE2068" s="14">
        <f>IFERROR(__xludf.DUMMYFUNCTION("""COMPUTED_VALUE"""),2398.0)</f>
        <v>2398</v>
      </c>
      <c r="AF2068" s="14">
        <f>IFERROR(__xludf.DUMMYFUNCTION("""COMPUTED_VALUE"""),3938.0)</f>
        <v>3938</v>
      </c>
    </row>
    <row r="2069">
      <c r="A2069" s="12">
        <v>2068.0</v>
      </c>
      <c r="B2069" s="12" t="s">
        <v>238</v>
      </c>
      <c r="C2069" s="5" t="s">
        <v>75</v>
      </c>
      <c r="D2069" s="8"/>
      <c r="E2069" s="8"/>
      <c r="F2069" s="8"/>
      <c r="G2069" s="8"/>
      <c r="H2069" s="8"/>
      <c r="I2069" s="8"/>
      <c r="J2069" s="9" t="s">
        <v>60</v>
      </c>
      <c r="K2069" s="14" t="str">
        <f>IFERROR(__xludf.DUMMYFUNCTION("ARRAYFORMULA(VLOOKUP(A2069,IMPORTRANGE(""https://docs.google.com/spreadsheets/d/1BuTWp7qHGjWhqrnf-OmePP568O4A5Am9ttzvVdP67zw/edit#gid=1603210130"", ""TOURISM!$A$2:$F$2692""), {2,3,4,5,6},0))"),"Europe")</f>
        <v>Europe</v>
      </c>
      <c r="L2069" s="14"/>
      <c r="M2069" s="14" t="str">
        <f>IFERROR(__xludf.DUMMYFUNCTION("""COMPUTED_VALUE"""),"Serbia-Europe")</f>
        <v>Serbia-Europe</v>
      </c>
      <c r="N2069" s="14" t="str">
        <f>IFERROR(__xludf.DUMMYFUNCTION("""COMPUTED_VALUE"""),"2000")</f>
        <v>2000</v>
      </c>
      <c r="O2069" s="14"/>
      <c r="P2069" s="15">
        <f>IFERROR(__xludf.DUMMYFUNCTION("ARRAYFORMULA(VLOOKUP(A2069,IMPORTRANGE(""https://docs.google.com/spreadsheets/d/1BuTWp7qHGjWhqrnf-OmePP568O4A5Am9ttzvVdP67zw/edit#gid=771602874"" ,""HUMAN RESOURCES!$A$2:$M$2692""), {2,3,4,5,6,7,8,9,10,11,12,13},0))"),0.01)</f>
        <v>0.01</v>
      </c>
      <c r="Q2069" s="14">
        <f>IFERROR(__xludf.DUMMYFUNCTION("""COMPUTED_VALUE"""),0.011)</f>
        <v>0.011</v>
      </c>
      <c r="R2069" s="14">
        <f>IFERROR(__xludf.DUMMYFUNCTION("""COMPUTED_VALUE"""),75.0)</f>
        <v>75</v>
      </c>
      <c r="S2069" s="14">
        <f>IFERROR(__xludf.DUMMYFUNCTION("""COMPUTED_VALUE"""),70.0)</f>
        <v>70</v>
      </c>
      <c r="T2069" s="14">
        <f>IFERROR(__xludf.DUMMYFUNCTION("""COMPUTED_VALUE"""),0.202)</f>
        <v>0.202</v>
      </c>
      <c r="U2069" s="14">
        <f>IFERROR(__xludf.DUMMYFUNCTION("""COMPUTED_VALUE"""),0.669)</f>
        <v>0.669</v>
      </c>
      <c r="V2069" s="14">
        <f>IFERROR(__xludf.DUMMYFUNCTION("""COMPUTED_VALUE"""),0.129)</f>
        <v>0.129</v>
      </c>
      <c r="W2069" s="14">
        <f>IFERROR(__xludf.DUMMYFUNCTION("""COMPUTED_VALUE"""),7516346.0)</f>
        <v>7516346</v>
      </c>
      <c r="X2069" s="14">
        <f>IFERROR(__xludf.DUMMYFUNCTION("""COMPUTED_VALUE"""),0.532)</f>
        <v>0.532</v>
      </c>
      <c r="Y2069" s="14" t="str">
        <f>IFERROR(__xludf.DUMMYFUNCTION("""COMPUTED_VALUE"""),"Serbia-Europe")</f>
        <v>Serbia-Europe</v>
      </c>
      <c r="Z2069" s="14" t="str">
        <f>IFERROR(__xludf.DUMMYFUNCTION("""COMPUTED_VALUE"""),"Europe")</f>
        <v>Europe</v>
      </c>
      <c r="AA2069" s="14" t="str">
        <f>IFERROR(__xludf.DUMMYFUNCTION("""COMPUTED_VALUE"""),"2000")</f>
        <v>2000</v>
      </c>
      <c r="AB2069" s="15" t="str">
        <f>IFERROR(__xludf.DUMMYFUNCTION("ARRAYFORMULA(VLOOKUP(A2069,IMPORTRANGE(""https://docs.google.com/spreadsheets/d/1BuTWp7qHGjWhqrnf-OmePP568O4A5Am9ttzvVdP67zw/edit#gid=1931367683"" ,""ENERGY!$A$2:$F$2692""), {2,3,4,5,6},0))"),"Europe")</f>
        <v>Europe</v>
      </c>
      <c r="AC2069" s="14" t="str">
        <f>IFERROR(__xludf.DUMMYFUNCTION("""COMPUTED_VALUE"""),"Serbia-Europe")</f>
        <v>Serbia-Europe</v>
      </c>
      <c r="AD2069" s="14" t="str">
        <f>IFERROR(__xludf.DUMMYFUNCTION("""COMPUTED_VALUE"""),"2000")</f>
        <v>2000</v>
      </c>
      <c r="AE2069" s="14"/>
      <c r="AF2069" s="14"/>
    </row>
    <row r="2070">
      <c r="A2070" s="12">
        <v>2069.0</v>
      </c>
      <c r="B2070" s="12" t="s">
        <v>238</v>
      </c>
      <c r="C2070" s="5" t="s">
        <v>75</v>
      </c>
      <c r="D2070" s="8"/>
      <c r="E2070" s="8"/>
      <c r="F2070" s="8"/>
      <c r="G2070" s="8"/>
      <c r="H2070" s="8"/>
      <c r="I2070" s="8"/>
      <c r="J2070" s="9" t="s">
        <v>62</v>
      </c>
      <c r="K2070" s="14" t="str">
        <f>IFERROR(__xludf.DUMMYFUNCTION("ARRAYFORMULA(VLOOKUP(A2070,IMPORTRANGE(""https://docs.google.com/spreadsheets/d/1BuTWp7qHGjWhqrnf-OmePP568O4A5Am9ttzvVdP67zw/edit#gid=1603210130"", ""TOURISM!$A$2:$F$2692""), {2,3,4,5,6},0))"),"Europe")</f>
        <v>Europe</v>
      </c>
      <c r="L2070" s="14"/>
      <c r="M2070" s="14" t="str">
        <f>IFERROR(__xludf.DUMMYFUNCTION("""COMPUTED_VALUE"""),"Serbia-Europe")</f>
        <v>Serbia-Europe</v>
      </c>
      <c r="N2070" s="14" t="str">
        <f>IFERROR(__xludf.DUMMYFUNCTION("""COMPUTED_VALUE"""),"2001")</f>
        <v>2001</v>
      </c>
      <c r="O2070" s="14"/>
      <c r="P2070" s="15">
        <f>IFERROR(__xludf.DUMMYFUNCTION("ARRAYFORMULA(VLOOKUP(A2070,IMPORTRANGE(""https://docs.google.com/spreadsheets/d/1BuTWp7qHGjWhqrnf-OmePP568O4A5Am9ttzvVdP67zw/edit#gid=771602874"" ,""HUMAN RESOURCES!$A$2:$M$2692""), {2,3,4,5,6,7,8,9,10,11,12,13},0))"),0.011)</f>
        <v>0.011</v>
      </c>
      <c r="Q2070" s="14">
        <f>IFERROR(__xludf.DUMMYFUNCTION("""COMPUTED_VALUE"""),0.011)</f>
        <v>0.011</v>
      </c>
      <c r="R2070" s="14">
        <f>IFERROR(__xludf.DUMMYFUNCTION("""COMPUTED_VALUE"""),75.0)</f>
        <v>75</v>
      </c>
      <c r="S2070" s="14">
        <f>IFERROR(__xludf.DUMMYFUNCTION("""COMPUTED_VALUE"""),70.0)</f>
        <v>70</v>
      </c>
      <c r="T2070" s="14">
        <f>IFERROR(__xludf.DUMMYFUNCTION("""COMPUTED_VALUE"""),0.197)</f>
        <v>0.197</v>
      </c>
      <c r="U2070" s="14">
        <f>IFERROR(__xludf.DUMMYFUNCTION("""COMPUTED_VALUE"""),0.67)</f>
        <v>0.67</v>
      </c>
      <c r="V2070" s="14">
        <f>IFERROR(__xludf.DUMMYFUNCTION("""COMPUTED_VALUE"""),0.132)</f>
        <v>0.132</v>
      </c>
      <c r="W2070" s="14">
        <f>IFERROR(__xludf.DUMMYFUNCTION("""COMPUTED_VALUE"""),7503433.0)</f>
        <v>7503433</v>
      </c>
      <c r="X2070" s="14">
        <f>IFERROR(__xludf.DUMMYFUNCTION("""COMPUTED_VALUE"""),0.535)</f>
        <v>0.535</v>
      </c>
      <c r="Y2070" s="14" t="str">
        <f>IFERROR(__xludf.DUMMYFUNCTION("""COMPUTED_VALUE"""),"Serbia-Europe")</f>
        <v>Serbia-Europe</v>
      </c>
      <c r="Z2070" s="14" t="str">
        <f>IFERROR(__xludf.DUMMYFUNCTION("""COMPUTED_VALUE"""),"Europe")</f>
        <v>Europe</v>
      </c>
      <c r="AA2070" s="14" t="str">
        <f>IFERROR(__xludf.DUMMYFUNCTION("""COMPUTED_VALUE"""),"2001")</f>
        <v>2001</v>
      </c>
      <c r="AB2070" s="15" t="str">
        <f>IFERROR(__xludf.DUMMYFUNCTION("ARRAYFORMULA(VLOOKUP(A2070,IMPORTRANGE(""https://docs.google.com/spreadsheets/d/1BuTWp7qHGjWhqrnf-OmePP568O4A5Am9ttzvVdP67zw/edit#gid=1931367683"" ,""ENERGY!$A$2:$F$2692""), {2,3,4,5,6},0))"),"Europe")</f>
        <v>Europe</v>
      </c>
      <c r="AC2070" s="14" t="str">
        <f>IFERROR(__xludf.DUMMYFUNCTION("""COMPUTED_VALUE"""),"Serbia-Europe")</f>
        <v>Serbia-Europe</v>
      </c>
      <c r="AD2070" s="14" t="str">
        <f>IFERROR(__xludf.DUMMYFUNCTION("""COMPUTED_VALUE"""),"2001")</f>
        <v>2001</v>
      </c>
      <c r="AE2070" s="14">
        <f>IFERROR(__xludf.DUMMYFUNCTION("""COMPUTED_VALUE"""),16185.0)</f>
        <v>16185</v>
      </c>
      <c r="AF2070" s="14"/>
    </row>
    <row r="2071">
      <c r="A2071" s="12">
        <v>2070.0</v>
      </c>
      <c r="B2071" s="12" t="s">
        <v>238</v>
      </c>
      <c r="C2071" s="5" t="s">
        <v>75</v>
      </c>
      <c r="D2071" s="8"/>
      <c r="E2071" s="8"/>
      <c r="F2071" s="8"/>
      <c r="G2071" s="8"/>
      <c r="H2071" s="8"/>
      <c r="I2071" s="8"/>
      <c r="J2071" s="9" t="s">
        <v>63</v>
      </c>
      <c r="K2071" s="14" t="str">
        <f>IFERROR(__xludf.DUMMYFUNCTION("ARRAYFORMULA(VLOOKUP(A2071,IMPORTRANGE(""https://docs.google.com/spreadsheets/d/1BuTWp7qHGjWhqrnf-OmePP568O4A5Am9ttzvVdP67zw/edit#gid=1603210130"", ""TOURISM!$A$2:$F$2692""), {2,3,4,5,6},0))"),"Europe")</f>
        <v>Europe</v>
      </c>
      <c r="L2071" s="14">
        <f>IFERROR(__xludf.DUMMYFUNCTION("""COMPUTED_VALUE"""),7.7E7)</f>
        <v>77000000</v>
      </c>
      <c r="M2071" s="14" t="str">
        <f>IFERROR(__xludf.DUMMYFUNCTION("""COMPUTED_VALUE"""),"Serbia-Europe")</f>
        <v>Serbia-Europe</v>
      </c>
      <c r="N2071" s="14" t="str">
        <f>IFERROR(__xludf.DUMMYFUNCTION("""COMPUTED_VALUE"""),"2002")</f>
        <v>2002</v>
      </c>
      <c r="O2071" s="14">
        <f>IFERROR(__xludf.DUMMYFUNCTION("""COMPUTED_VALUE"""),1.05E8)</f>
        <v>105000000</v>
      </c>
      <c r="P2071" s="15">
        <f>IFERROR(__xludf.DUMMYFUNCTION("ARRAYFORMULA(VLOOKUP(A2071,IMPORTRANGE(""https://docs.google.com/spreadsheets/d/1BuTWp7qHGjWhqrnf-OmePP568O4A5Am9ttzvVdP67zw/edit#gid=771602874"" ,""HUMAN RESOURCES!$A$2:$M$2692""), {2,3,4,5,6,7,8,9,10,11,12,13},0))"),0.01)</f>
        <v>0.01</v>
      </c>
      <c r="Q2071" s="14">
        <f>IFERROR(__xludf.DUMMYFUNCTION("""COMPUTED_VALUE"""),0.01)</f>
        <v>0.01</v>
      </c>
      <c r="R2071" s="14">
        <f>IFERROR(__xludf.DUMMYFUNCTION("""COMPUTED_VALUE"""),75.0)</f>
        <v>75</v>
      </c>
      <c r="S2071" s="14">
        <f>IFERROR(__xludf.DUMMYFUNCTION("""COMPUTED_VALUE"""),70.0)</f>
        <v>70</v>
      </c>
      <c r="T2071" s="14">
        <f>IFERROR(__xludf.DUMMYFUNCTION("""COMPUTED_VALUE"""),0.193)</f>
        <v>0.193</v>
      </c>
      <c r="U2071" s="14">
        <f>IFERROR(__xludf.DUMMYFUNCTION("""COMPUTED_VALUE"""),0.672)</f>
        <v>0.672</v>
      </c>
      <c r="V2071" s="14">
        <f>IFERROR(__xludf.DUMMYFUNCTION("""COMPUTED_VALUE"""),0.135)</f>
        <v>0.135</v>
      </c>
      <c r="W2071" s="14">
        <f>IFERROR(__xludf.DUMMYFUNCTION("""COMPUTED_VALUE"""),7500031.0)</f>
        <v>7500031</v>
      </c>
      <c r="X2071" s="14">
        <f>IFERROR(__xludf.DUMMYFUNCTION("""COMPUTED_VALUE"""),0.537)</f>
        <v>0.537</v>
      </c>
      <c r="Y2071" s="14" t="str">
        <f>IFERROR(__xludf.DUMMYFUNCTION("""COMPUTED_VALUE"""),"Serbia-Europe")</f>
        <v>Serbia-Europe</v>
      </c>
      <c r="Z2071" s="14" t="str">
        <f>IFERROR(__xludf.DUMMYFUNCTION("""COMPUTED_VALUE"""),"Europe")</f>
        <v>Europe</v>
      </c>
      <c r="AA2071" s="14" t="str">
        <f>IFERROR(__xludf.DUMMYFUNCTION("""COMPUTED_VALUE"""),"2002")</f>
        <v>2002</v>
      </c>
      <c r="AB2071" s="15" t="str">
        <f>IFERROR(__xludf.DUMMYFUNCTION("ARRAYFORMULA(VLOOKUP(A2071,IMPORTRANGE(""https://docs.google.com/spreadsheets/d/1BuTWp7qHGjWhqrnf-OmePP568O4A5Am9ttzvVdP67zw/edit#gid=1931367683"" ,""ENERGY!$A$2:$F$2692""), {2,3,4,5,6},0))"),"Europe")</f>
        <v>Europe</v>
      </c>
      <c r="AC2071" s="14" t="str">
        <f>IFERROR(__xludf.DUMMYFUNCTION("""COMPUTED_VALUE"""),"Serbia-Europe")</f>
        <v>Serbia-Europe</v>
      </c>
      <c r="AD2071" s="14" t="str">
        <f>IFERROR(__xludf.DUMMYFUNCTION("""COMPUTED_VALUE"""),"2002")</f>
        <v>2002</v>
      </c>
      <c r="AE2071" s="14">
        <f>IFERROR(__xludf.DUMMYFUNCTION("""COMPUTED_VALUE"""),15536.0)</f>
        <v>15536</v>
      </c>
      <c r="AF2071" s="14">
        <f>IFERROR(__xludf.DUMMYFUNCTION("""COMPUTED_VALUE"""),45962.0)</f>
        <v>45962</v>
      </c>
    </row>
    <row r="2072">
      <c r="A2072" s="12">
        <v>2071.0</v>
      </c>
      <c r="B2072" s="12" t="s">
        <v>238</v>
      </c>
      <c r="C2072" s="5" t="s">
        <v>75</v>
      </c>
      <c r="D2072" s="8"/>
      <c r="E2072" s="11">
        <v>56.0</v>
      </c>
      <c r="F2072" s="8"/>
      <c r="G2072" s="8"/>
      <c r="H2072" s="8"/>
      <c r="I2072" s="8"/>
      <c r="J2072" s="9" t="s">
        <v>64</v>
      </c>
      <c r="K2072" s="14" t="str">
        <f>IFERROR(__xludf.DUMMYFUNCTION("ARRAYFORMULA(VLOOKUP(A2072,IMPORTRANGE(""https://docs.google.com/spreadsheets/d/1BuTWp7qHGjWhqrnf-OmePP568O4A5Am9ttzvVdP67zw/edit#gid=1603210130"", ""TOURISM!$A$2:$F$2692""), {2,3,4,5,6},0))"),"Europe")</f>
        <v>Europe</v>
      </c>
      <c r="L2072" s="14">
        <f>IFERROR(__xludf.DUMMYFUNCTION("""COMPUTED_VALUE"""),1.59E8)</f>
        <v>159000000</v>
      </c>
      <c r="M2072" s="14" t="str">
        <f>IFERROR(__xludf.DUMMYFUNCTION("""COMPUTED_VALUE"""),"Serbia-Europe")</f>
        <v>Serbia-Europe</v>
      </c>
      <c r="N2072" s="14" t="str">
        <f>IFERROR(__xludf.DUMMYFUNCTION("""COMPUTED_VALUE"""),"2003")</f>
        <v>2003</v>
      </c>
      <c r="O2072" s="14">
        <f>IFERROR(__xludf.DUMMYFUNCTION("""COMPUTED_VALUE"""),1.44E8)</f>
        <v>144000000</v>
      </c>
      <c r="P2072" s="15">
        <f>IFERROR(__xludf.DUMMYFUNCTION("ARRAYFORMULA(VLOOKUP(A2072,IMPORTRANGE(""https://docs.google.com/spreadsheets/d/1BuTWp7qHGjWhqrnf-OmePP568O4A5Am9ttzvVdP67zw/edit#gid=771602874"" ,""HUMAN RESOURCES!$A$2:$M$2692""), {2,3,4,5,6,7,8,9,10,11,12,13},0))"),0.011)</f>
        <v>0.011</v>
      </c>
      <c r="Q2072" s="14">
        <f>IFERROR(__xludf.DUMMYFUNCTION("""COMPUTED_VALUE"""),0.009)</f>
        <v>0.009</v>
      </c>
      <c r="R2072" s="14">
        <f>IFERROR(__xludf.DUMMYFUNCTION("""COMPUTED_VALUE"""),75.0)</f>
        <v>75</v>
      </c>
      <c r="S2072" s="14">
        <f>IFERROR(__xludf.DUMMYFUNCTION("""COMPUTED_VALUE"""),70.0)</f>
        <v>70</v>
      </c>
      <c r="T2072" s="14">
        <f>IFERROR(__xludf.DUMMYFUNCTION("""COMPUTED_VALUE"""),0.189)</f>
        <v>0.189</v>
      </c>
      <c r="U2072" s="14">
        <f>IFERROR(__xludf.DUMMYFUNCTION("""COMPUTED_VALUE"""),0.674)</f>
        <v>0.674</v>
      </c>
      <c r="V2072" s="14">
        <f>IFERROR(__xludf.DUMMYFUNCTION("""COMPUTED_VALUE"""),0.137)</f>
        <v>0.137</v>
      </c>
      <c r="W2072" s="14">
        <f>IFERROR(__xludf.DUMMYFUNCTION("""COMPUTED_VALUE"""),7480591.0)</f>
        <v>7480591</v>
      </c>
      <c r="X2072" s="14">
        <f>IFERROR(__xludf.DUMMYFUNCTION("""COMPUTED_VALUE"""),0.54)</f>
        <v>0.54</v>
      </c>
      <c r="Y2072" s="14" t="str">
        <f>IFERROR(__xludf.DUMMYFUNCTION("""COMPUTED_VALUE"""),"Serbia-Europe")</f>
        <v>Serbia-Europe</v>
      </c>
      <c r="Z2072" s="14" t="str">
        <f>IFERROR(__xludf.DUMMYFUNCTION("""COMPUTED_VALUE"""),"Europe")</f>
        <v>Europe</v>
      </c>
      <c r="AA2072" s="14" t="str">
        <f>IFERROR(__xludf.DUMMYFUNCTION("""COMPUTED_VALUE"""),"2003")</f>
        <v>2003</v>
      </c>
      <c r="AB2072" s="15" t="str">
        <f>IFERROR(__xludf.DUMMYFUNCTION("ARRAYFORMULA(VLOOKUP(A2072,IMPORTRANGE(""https://docs.google.com/spreadsheets/d/1BuTWp7qHGjWhqrnf-OmePP568O4A5Am9ttzvVdP67zw/edit#gid=1931367683"" ,""ENERGY!$A$2:$F$2692""), {2,3,4,5,6},0))"),"Europe")</f>
        <v>Europe</v>
      </c>
      <c r="AC2072" s="14" t="str">
        <f>IFERROR(__xludf.DUMMYFUNCTION("""COMPUTED_VALUE"""),"Serbia-Europe")</f>
        <v>Serbia-Europe</v>
      </c>
      <c r="AD2072" s="14" t="str">
        <f>IFERROR(__xludf.DUMMYFUNCTION("""COMPUTED_VALUE"""),"2003")</f>
        <v>2003</v>
      </c>
      <c r="AE2072" s="14">
        <f>IFERROR(__xludf.DUMMYFUNCTION("""COMPUTED_VALUE"""),15177.0)</f>
        <v>15177</v>
      </c>
      <c r="AF2072" s="14">
        <f>IFERROR(__xludf.DUMMYFUNCTION("""COMPUTED_VALUE"""),46127.0)</f>
        <v>46127</v>
      </c>
    </row>
    <row r="2073">
      <c r="A2073" s="12">
        <v>2072.0</v>
      </c>
      <c r="B2073" s="12" t="s">
        <v>238</v>
      </c>
      <c r="C2073" s="5" t="s">
        <v>75</v>
      </c>
      <c r="D2073" s="8"/>
      <c r="E2073" s="11">
        <v>56.0</v>
      </c>
      <c r="F2073" s="8"/>
      <c r="G2073" s="8"/>
      <c r="H2073" s="11">
        <v>0.235</v>
      </c>
      <c r="I2073" s="11">
        <v>0.472</v>
      </c>
      <c r="J2073" s="9" t="s">
        <v>65</v>
      </c>
      <c r="K2073" s="14" t="str">
        <f>IFERROR(__xludf.DUMMYFUNCTION("ARRAYFORMULA(VLOOKUP(A2073,IMPORTRANGE(""https://docs.google.com/spreadsheets/d/1BuTWp7qHGjWhqrnf-OmePP568O4A5Am9ttzvVdP67zw/edit#gid=1603210130"", ""TOURISM!$A$2:$F$2692""), {2,3,4,5,6},0))"),"Europe")</f>
        <v>Europe</v>
      </c>
      <c r="L2073" s="14">
        <f>IFERROR(__xludf.DUMMYFUNCTION("""COMPUTED_VALUE"""),2.2E8)</f>
        <v>220000000</v>
      </c>
      <c r="M2073" s="14" t="str">
        <f>IFERROR(__xludf.DUMMYFUNCTION("""COMPUTED_VALUE"""),"Serbia-Europe")</f>
        <v>Serbia-Europe</v>
      </c>
      <c r="N2073" s="14" t="str">
        <f>IFERROR(__xludf.DUMMYFUNCTION("""COMPUTED_VALUE"""),"2004")</f>
        <v>2004</v>
      </c>
      <c r="O2073" s="14">
        <f>IFERROR(__xludf.DUMMYFUNCTION("""COMPUTED_VALUE"""),2.08E8)</f>
        <v>208000000</v>
      </c>
      <c r="P2073" s="15">
        <f>IFERROR(__xludf.DUMMYFUNCTION("ARRAYFORMULA(VLOOKUP(A2073,IMPORTRANGE(""https://docs.google.com/spreadsheets/d/1BuTWp7qHGjWhqrnf-OmePP568O4A5Am9ttzvVdP67zw/edit#gid=771602874"" ,""HUMAN RESOURCES!$A$2:$M$2692""), {2,3,4,5,6,7,8,9,10,11,12,13},0))"),0.011)</f>
        <v>0.011</v>
      </c>
      <c r="Q2073" s="14">
        <f>IFERROR(__xludf.DUMMYFUNCTION("""COMPUTED_VALUE"""),0.008)</f>
        <v>0.008</v>
      </c>
      <c r="R2073" s="14">
        <f>IFERROR(__xludf.DUMMYFUNCTION("""COMPUTED_VALUE"""),75.0)</f>
        <v>75</v>
      </c>
      <c r="S2073" s="14">
        <f>IFERROR(__xludf.DUMMYFUNCTION("""COMPUTED_VALUE"""),70.0)</f>
        <v>70</v>
      </c>
      <c r="T2073" s="14">
        <f>IFERROR(__xludf.DUMMYFUNCTION("""COMPUTED_VALUE"""),0.185)</f>
        <v>0.185</v>
      </c>
      <c r="U2073" s="14">
        <f>IFERROR(__xludf.DUMMYFUNCTION("""COMPUTED_VALUE"""),0.676)</f>
        <v>0.676</v>
      </c>
      <c r="V2073" s="14">
        <f>IFERROR(__xludf.DUMMYFUNCTION("""COMPUTED_VALUE"""),0.139)</f>
        <v>0.139</v>
      </c>
      <c r="W2073" s="14">
        <f>IFERROR(__xludf.DUMMYFUNCTION("""COMPUTED_VALUE"""),7463157.0)</f>
        <v>7463157</v>
      </c>
      <c r="X2073" s="14">
        <f>IFERROR(__xludf.DUMMYFUNCTION("""COMPUTED_VALUE"""),0.543)</f>
        <v>0.543</v>
      </c>
      <c r="Y2073" s="14" t="str">
        <f>IFERROR(__xludf.DUMMYFUNCTION("""COMPUTED_VALUE"""),"Serbia-Europe")</f>
        <v>Serbia-Europe</v>
      </c>
      <c r="Z2073" s="14" t="str">
        <f>IFERROR(__xludf.DUMMYFUNCTION("""COMPUTED_VALUE"""),"Europe")</f>
        <v>Europe</v>
      </c>
      <c r="AA2073" s="14" t="str">
        <f>IFERROR(__xludf.DUMMYFUNCTION("""COMPUTED_VALUE"""),"2004")</f>
        <v>2004</v>
      </c>
      <c r="AB2073" s="15" t="str">
        <f>IFERROR(__xludf.DUMMYFUNCTION("ARRAYFORMULA(VLOOKUP(A2073,IMPORTRANGE(""https://docs.google.com/spreadsheets/d/1BuTWp7qHGjWhqrnf-OmePP568O4A5Am9ttzvVdP67zw/edit#gid=1931367683"" ,""ENERGY!$A$2:$F$2692""), {2,3,4,5,6},0))"),"Europe")</f>
        <v>Europe</v>
      </c>
      <c r="AC2073" s="14" t="str">
        <f>IFERROR(__xludf.DUMMYFUNCTION("""COMPUTED_VALUE"""),"Serbia-Europe")</f>
        <v>Serbia-Europe</v>
      </c>
      <c r="AD2073" s="14" t="str">
        <f>IFERROR(__xludf.DUMMYFUNCTION("""COMPUTED_VALUE"""),"2004")</f>
        <v>2004</v>
      </c>
      <c r="AE2073" s="14">
        <f>IFERROR(__xludf.DUMMYFUNCTION("""COMPUTED_VALUE"""),16808.0)</f>
        <v>16808</v>
      </c>
      <c r="AF2073" s="14">
        <f>IFERROR(__xludf.DUMMYFUNCTION("""COMPUTED_VALUE"""),51881.0)</f>
        <v>51881</v>
      </c>
    </row>
    <row r="2074">
      <c r="A2074" s="12">
        <v>2073.0</v>
      </c>
      <c r="B2074" s="12" t="s">
        <v>238</v>
      </c>
      <c r="C2074" s="5" t="s">
        <v>75</v>
      </c>
      <c r="D2074" s="11">
        <v>0.358</v>
      </c>
      <c r="E2074" s="11">
        <v>23.0</v>
      </c>
      <c r="F2074" s="8"/>
      <c r="G2074" s="11">
        <v>279.0</v>
      </c>
      <c r="H2074" s="11">
        <v>0.263</v>
      </c>
      <c r="I2074" s="11">
        <v>0.67</v>
      </c>
      <c r="J2074" s="9" t="s">
        <v>66</v>
      </c>
      <c r="K2074" s="14" t="str">
        <f>IFERROR(__xludf.DUMMYFUNCTION("ARRAYFORMULA(VLOOKUP(A2074,IMPORTRANGE(""https://docs.google.com/spreadsheets/d/1BuTWp7qHGjWhqrnf-OmePP568O4A5Am9ttzvVdP67zw/edit#gid=1603210130"", ""TOURISM!$A$2:$F$2692""), {2,3,4,5,6},0))"),"Europe")</f>
        <v>Europe</v>
      </c>
      <c r="L2074" s="14">
        <f>IFERROR(__xludf.DUMMYFUNCTION("""COMPUTED_VALUE"""),3.08E8)</f>
        <v>308000000</v>
      </c>
      <c r="M2074" s="14" t="str">
        <f>IFERROR(__xludf.DUMMYFUNCTION("""COMPUTED_VALUE"""),"Serbia-Europe")</f>
        <v>Serbia-Europe</v>
      </c>
      <c r="N2074" s="14" t="str">
        <f>IFERROR(__xludf.DUMMYFUNCTION("""COMPUTED_VALUE"""),"2005")</f>
        <v>2005</v>
      </c>
      <c r="O2074" s="14">
        <f>IFERROR(__xludf.DUMMYFUNCTION("""COMPUTED_VALUE"""),2.6E8)</f>
        <v>260000000</v>
      </c>
      <c r="P2074" s="15">
        <f>IFERROR(__xludf.DUMMYFUNCTION("ARRAYFORMULA(VLOOKUP(A2074,IMPORTRANGE(""https://docs.google.com/spreadsheets/d/1BuTWp7qHGjWhqrnf-OmePP568O4A5Am9ttzvVdP67zw/edit#gid=771602874"" ,""HUMAN RESOURCES!$A$2:$M$2692""), {2,3,4,5,6,7,8,9,10,11,12,13},0))"),0.01)</f>
        <v>0.01</v>
      </c>
      <c r="Q2074" s="14">
        <f>IFERROR(__xludf.DUMMYFUNCTION("""COMPUTED_VALUE"""),0.008)</f>
        <v>0.008</v>
      </c>
      <c r="R2074" s="14">
        <f>IFERROR(__xludf.DUMMYFUNCTION("""COMPUTED_VALUE"""),75.0)</f>
        <v>75</v>
      </c>
      <c r="S2074" s="14">
        <f>IFERROR(__xludf.DUMMYFUNCTION("""COMPUTED_VALUE"""),70.0)</f>
        <v>70</v>
      </c>
      <c r="T2074" s="14">
        <f>IFERROR(__xludf.DUMMYFUNCTION("""COMPUTED_VALUE"""),0.181)</f>
        <v>0.181</v>
      </c>
      <c r="U2074" s="14">
        <f>IFERROR(__xludf.DUMMYFUNCTION("""COMPUTED_VALUE"""),0.679)</f>
        <v>0.679</v>
      </c>
      <c r="V2074" s="14">
        <f>IFERROR(__xludf.DUMMYFUNCTION("""COMPUTED_VALUE"""),0.14)</f>
        <v>0.14</v>
      </c>
      <c r="W2074" s="14">
        <f>IFERROR(__xludf.DUMMYFUNCTION("""COMPUTED_VALUE"""),7440769.0)</f>
        <v>7440769</v>
      </c>
      <c r="X2074" s="14">
        <f>IFERROR(__xludf.DUMMYFUNCTION("""COMPUTED_VALUE"""),0.545)</f>
        <v>0.545</v>
      </c>
      <c r="Y2074" s="14" t="str">
        <f>IFERROR(__xludf.DUMMYFUNCTION("""COMPUTED_VALUE"""),"Serbia-Europe")</f>
        <v>Serbia-Europe</v>
      </c>
      <c r="Z2074" s="14" t="str">
        <f>IFERROR(__xludf.DUMMYFUNCTION("""COMPUTED_VALUE"""),"Europe")</f>
        <v>Europe</v>
      </c>
      <c r="AA2074" s="14" t="str">
        <f>IFERROR(__xludf.DUMMYFUNCTION("""COMPUTED_VALUE"""),"2005")</f>
        <v>2005</v>
      </c>
      <c r="AB2074" s="15" t="str">
        <f>IFERROR(__xludf.DUMMYFUNCTION("ARRAYFORMULA(VLOOKUP(A2074,IMPORTRANGE(""https://docs.google.com/spreadsheets/d/1BuTWp7qHGjWhqrnf-OmePP568O4A5Am9ttzvVdP67zw/edit#gid=1931367683"" ,""ENERGY!$A$2:$F$2692""), {2,3,4,5,6},0))"),"Europe")</f>
        <v>Europe</v>
      </c>
      <c r="AC2074" s="14" t="str">
        <f>IFERROR(__xludf.DUMMYFUNCTION("""COMPUTED_VALUE"""),"Serbia-Europe")</f>
        <v>Serbia-Europe</v>
      </c>
      <c r="AD2074" s="14" t="str">
        <f>IFERROR(__xludf.DUMMYFUNCTION("""COMPUTED_VALUE"""),"2008")</f>
        <v>2008</v>
      </c>
      <c r="AE2074" s="14">
        <f>IFERROR(__xludf.DUMMYFUNCTION("""COMPUTED_VALUE"""),16602.0)</f>
        <v>16602</v>
      </c>
      <c r="AF2074" s="14">
        <f>IFERROR(__xludf.DUMMYFUNCTION("""COMPUTED_VALUE"""),52251.0)</f>
        <v>52251</v>
      </c>
    </row>
    <row r="2075">
      <c r="A2075" s="12">
        <v>2074.0</v>
      </c>
      <c r="B2075" s="12" t="s">
        <v>238</v>
      </c>
      <c r="C2075" s="5" t="s">
        <v>75</v>
      </c>
      <c r="D2075" s="11">
        <v>0.358</v>
      </c>
      <c r="E2075" s="11">
        <v>23.0</v>
      </c>
      <c r="F2075" s="8"/>
      <c r="G2075" s="11">
        <v>279.0</v>
      </c>
      <c r="H2075" s="11">
        <v>0.272</v>
      </c>
      <c r="I2075" s="11">
        <v>0.815</v>
      </c>
      <c r="J2075" s="9" t="s">
        <v>67</v>
      </c>
      <c r="K2075" s="14" t="str">
        <f>IFERROR(__xludf.DUMMYFUNCTION("ARRAYFORMULA(VLOOKUP(A2075,IMPORTRANGE(""https://docs.google.com/spreadsheets/d/1BuTWp7qHGjWhqrnf-OmePP568O4A5Am9ttzvVdP67zw/edit#gid=1603210130"", ""TOURISM!$A$2:$F$2692""), {2,3,4,5,6},0))"),"Europe")</f>
        <v>Europe</v>
      </c>
      <c r="L2075" s="14">
        <f>IFERROR(__xludf.DUMMYFUNCTION("""COMPUTED_VALUE"""),4.16E8)</f>
        <v>416000000</v>
      </c>
      <c r="M2075" s="14" t="str">
        <f>IFERROR(__xludf.DUMMYFUNCTION("""COMPUTED_VALUE"""),"Serbia-Europe")</f>
        <v>Serbia-Europe</v>
      </c>
      <c r="N2075" s="14" t="str">
        <f>IFERROR(__xludf.DUMMYFUNCTION("""COMPUTED_VALUE"""),"2006")</f>
        <v>2006</v>
      </c>
      <c r="O2075" s="14">
        <f>IFERROR(__xludf.DUMMYFUNCTION("""COMPUTED_VALUE"""),3.22E8)</f>
        <v>322000000</v>
      </c>
      <c r="P2075" s="15">
        <f>IFERROR(__xludf.DUMMYFUNCTION("ARRAYFORMULA(VLOOKUP(A2075,IMPORTRANGE(""https://docs.google.com/spreadsheets/d/1BuTWp7qHGjWhqrnf-OmePP568O4A5Am9ttzvVdP67zw/edit#gid=771602874"" ,""HUMAN RESOURCES!$A$2:$M$2692""), {2,3,4,5,6,7,8,9,10,11,12,13},0))"),0.01)</f>
        <v>0.01</v>
      </c>
      <c r="Q2075" s="14">
        <f>IFERROR(__xludf.DUMMYFUNCTION("""COMPUTED_VALUE"""),0.007)</f>
        <v>0.007</v>
      </c>
      <c r="R2075" s="14">
        <f>IFERROR(__xludf.DUMMYFUNCTION("""COMPUTED_VALUE"""),76.0)</f>
        <v>76</v>
      </c>
      <c r="S2075" s="14">
        <f>IFERROR(__xludf.DUMMYFUNCTION("""COMPUTED_VALUE"""),71.0)</f>
        <v>71</v>
      </c>
      <c r="T2075" s="14">
        <f>IFERROR(__xludf.DUMMYFUNCTION("""COMPUTED_VALUE"""),0.178)</f>
        <v>0.178</v>
      </c>
      <c r="U2075" s="14">
        <f>IFERROR(__xludf.DUMMYFUNCTION("""COMPUTED_VALUE"""),0.682)</f>
        <v>0.682</v>
      </c>
      <c r="V2075" s="14">
        <f>IFERROR(__xludf.DUMMYFUNCTION("""COMPUTED_VALUE"""),0.14)</f>
        <v>0.14</v>
      </c>
      <c r="W2075" s="14">
        <f>IFERROR(__xludf.DUMMYFUNCTION("""COMPUTED_VALUE"""),7411569.0)</f>
        <v>7411569</v>
      </c>
      <c r="X2075" s="14">
        <f>IFERROR(__xludf.DUMMYFUNCTION("""COMPUTED_VALUE"""),0.548)</f>
        <v>0.548</v>
      </c>
      <c r="Y2075" s="14" t="str">
        <f>IFERROR(__xludf.DUMMYFUNCTION("""COMPUTED_VALUE"""),"Serbia-Europe")</f>
        <v>Serbia-Europe</v>
      </c>
      <c r="Z2075" s="14" t="str">
        <f>IFERROR(__xludf.DUMMYFUNCTION("""COMPUTED_VALUE"""),"Europe")</f>
        <v>Europe</v>
      </c>
      <c r="AA2075" s="14" t="str">
        <f>IFERROR(__xludf.DUMMYFUNCTION("""COMPUTED_VALUE"""),"2006")</f>
        <v>2006</v>
      </c>
      <c r="AB2075" s="15" t="str">
        <f>IFERROR(__xludf.DUMMYFUNCTION("ARRAYFORMULA(VLOOKUP(A2075,IMPORTRANGE(""https://docs.google.com/spreadsheets/d/1BuTWp7qHGjWhqrnf-OmePP568O4A5Am9ttzvVdP67zw/edit#gid=1931367683"" ,""ENERGY!$A$2:$F$2692""), {2,3,4,5,6},0))"),"Europe")</f>
        <v>Europe</v>
      </c>
      <c r="AC2075" s="14" t="str">
        <f>IFERROR(__xludf.DUMMYFUNCTION("""COMPUTED_VALUE"""),"Serbia-Europe")</f>
        <v>Serbia-Europe</v>
      </c>
      <c r="AD2075" s="14" t="str">
        <f>IFERROR(__xludf.DUMMYFUNCTION("""COMPUTED_VALUE"""),"2012")</f>
        <v>2012</v>
      </c>
      <c r="AE2075" s="14">
        <f>IFERROR(__xludf.DUMMYFUNCTION("""COMPUTED_VALUE"""),17064.0)</f>
        <v>17064</v>
      </c>
      <c r="AF2075" s="14">
        <f>IFERROR(__xludf.DUMMYFUNCTION("""COMPUTED_VALUE"""),53766.0)</f>
        <v>53766</v>
      </c>
    </row>
    <row r="2076">
      <c r="A2076" s="12">
        <v>2075.0</v>
      </c>
      <c r="B2076" s="12" t="s">
        <v>238</v>
      </c>
      <c r="C2076" s="5" t="s">
        <v>75</v>
      </c>
      <c r="D2076" s="11">
        <v>0.358</v>
      </c>
      <c r="E2076" s="11">
        <v>23.0</v>
      </c>
      <c r="F2076" s="8"/>
      <c r="G2076" s="11">
        <v>279.0</v>
      </c>
      <c r="H2076" s="11">
        <v>0.332</v>
      </c>
      <c r="I2076" s="11">
        <v>1.045</v>
      </c>
      <c r="J2076" s="9" t="s">
        <v>68</v>
      </c>
      <c r="K2076" s="14" t="str">
        <f>IFERROR(__xludf.DUMMYFUNCTION("ARRAYFORMULA(VLOOKUP(A2076,IMPORTRANGE(""https://docs.google.com/spreadsheets/d/1BuTWp7qHGjWhqrnf-OmePP568O4A5Am9ttzvVdP67zw/edit#gid=1603210130"", ""TOURISM!$A$2:$F$2692""), {2,3,4,5,6},0))"),"Europe")</f>
        <v>Europe</v>
      </c>
      <c r="L2076" s="14">
        <f>IFERROR(__xludf.DUMMYFUNCTION("""COMPUTED_VALUE"""),1.016E9)</f>
        <v>1016000000</v>
      </c>
      <c r="M2076" s="14" t="str">
        <f>IFERROR(__xludf.DUMMYFUNCTION("""COMPUTED_VALUE"""),"Serbia-Europe")</f>
        <v>Serbia-Europe</v>
      </c>
      <c r="N2076" s="14" t="str">
        <f>IFERROR(__xludf.DUMMYFUNCTION("""COMPUTED_VALUE"""),"2007")</f>
        <v>2007</v>
      </c>
      <c r="O2076" s="14">
        <f>IFERROR(__xludf.DUMMYFUNCTION("""COMPUTED_VALUE"""),1.202E9)</f>
        <v>1202000000</v>
      </c>
      <c r="P2076" s="15">
        <f>IFERROR(__xludf.DUMMYFUNCTION("ARRAYFORMULA(VLOOKUP(A2076,IMPORTRANGE(""https://docs.google.com/spreadsheets/d/1BuTWp7qHGjWhqrnf-OmePP568O4A5Am9ttzvVdP67zw/edit#gid=771602874"" ,""HUMAN RESOURCES!$A$2:$M$2692""), {2,3,4,5,6,7,8,9,10,11,12,13},0))"),0.009)</f>
        <v>0.009</v>
      </c>
      <c r="Q2076" s="14">
        <f>IFERROR(__xludf.DUMMYFUNCTION("""COMPUTED_VALUE"""),0.007)</f>
        <v>0.007</v>
      </c>
      <c r="R2076" s="14">
        <f>IFERROR(__xludf.DUMMYFUNCTION("""COMPUTED_VALUE"""),76.0)</f>
        <v>76</v>
      </c>
      <c r="S2076" s="14">
        <f>IFERROR(__xludf.DUMMYFUNCTION("""COMPUTED_VALUE"""),71.0)</f>
        <v>71</v>
      </c>
      <c r="T2076" s="14">
        <f>IFERROR(__xludf.DUMMYFUNCTION("""COMPUTED_VALUE"""),0.176)</f>
        <v>0.176</v>
      </c>
      <c r="U2076" s="14">
        <f>IFERROR(__xludf.DUMMYFUNCTION("""COMPUTED_VALUE"""),0.686)</f>
        <v>0.686</v>
      </c>
      <c r="V2076" s="14">
        <f>IFERROR(__xludf.DUMMYFUNCTION("""COMPUTED_VALUE"""),0.139)</f>
        <v>0.139</v>
      </c>
      <c r="W2076" s="14">
        <f>IFERROR(__xludf.DUMMYFUNCTION("""COMPUTED_VALUE"""),7381579.0)</f>
        <v>7381579</v>
      </c>
      <c r="X2076" s="14">
        <f>IFERROR(__xludf.DUMMYFUNCTION("""COMPUTED_VALUE"""),0.551)</f>
        <v>0.551</v>
      </c>
      <c r="Y2076" s="14" t="str">
        <f>IFERROR(__xludf.DUMMYFUNCTION("""COMPUTED_VALUE"""),"Serbia-Europe")</f>
        <v>Serbia-Europe</v>
      </c>
      <c r="Z2076" s="14" t="str">
        <f>IFERROR(__xludf.DUMMYFUNCTION("""COMPUTED_VALUE"""),"Europe")</f>
        <v>Europe</v>
      </c>
      <c r="AA2076" s="14" t="str">
        <f>IFERROR(__xludf.DUMMYFUNCTION("""COMPUTED_VALUE"""),"2007")</f>
        <v>2007</v>
      </c>
      <c r="AB2076" s="15" t="str">
        <f>IFERROR(__xludf.DUMMYFUNCTION("ARRAYFORMULA(VLOOKUP(A2076,IMPORTRANGE(""https://docs.google.com/spreadsheets/d/1BuTWp7qHGjWhqrnf-OmePP568O4A5Am9ttzvVdP67zw/edit#gid=1931367683"" ,""ENERGY!$A$2:$F$2692""), {2,3,4,5,6},0))"),"Europe")</f>
        <v>Europe</v>
      </c>
      <c r="AC2076" s="14" t="str">
        <f>IFERROR(__xludf.DUMMYFUNCTION("""COMPUTED_VALUE"""),"Serbia-Europe")</f>
        <v>Serbia-Europe</v>
      </c>
      <c r="AD2076" s="14" t="str">
        <f>IFERROR(__xludf.DUMMYFUNCTION("""COMPUTED_VALUE"""),"2010")</f>
        <v>2010</v>
      </c>
      <c r="AE2076" s="14">
        <f>IFERROR(__xludf.DUMMYFUNCTION("""COMPUTED_VALUE"""),16051.0)</f>
        <v>16051</v>
      </c>
      <c r="AF2076" s="14"/>
    </row>
    <row r="2077">
      <c r="A2077" s="12">
        <v>2076.0</v>
      </c>
      <c r="B2077" s="12" t="s">
        <v>238</v>
      </c>
      <c r="C2077" s="5" t="s">
        <v>75</v>
      </c>
      <c r="D2077" s="11">
        <v>0.34</v>
      </c>
      <c r="E2077" s="11">
        <v>23.0</v>
      </c>
      <c r="F2077" s="8"/>
      <c r="G2077" s="11">
        <v>279.0</v>
      </c>
      <c r="H2077" s="11">
        <v>0.356</v>
      </c>
      <c r="I2077" s="11">
        <v>1.198</v>
      </c>
      <c r="J2077" s="9" t="s">
        <v>69</v>
      </c>
      <c r="K2077" s="14" t="str">
        <f>IFERROR(__xludf.DUMMYFUNCTION("ARRAYFORMULA(VLOOKUP(A2077,IMPORTRANGE(""https://docs.google.com/spreadsheets/d/1BuTWp7qHGjWhqrnf-OmePP568O4A5Am9ttzvVdP67zw/edit#gid=1603210130"", ""TOURISM!$A$2:$F$2692""), {2,3,4,5,6},0))"),"Europe")</f>
        <v>Europe</v>
      </c>
      <c r="L2077" s="14">
        <f>IFERROR(__xludf.DUMMYFUNCTION("""COMPUTED_VALUE"""),1.133E9)</f>
        <v>1133000000</v>
      </c>
      <c r="M2077" s="14" t="str">
        <f>IFERROR(__xludf.DUMMYFUNCTION("""COMPUTED_VALUE"""),"Serbia-Europe")</f>
        <v>Serbia-Europe</v>
      </c>
      <c r="N2077" s="14" t="str">
        <f>IFERROR(__xludf.DUMMYFUNCTION("""COMPUTED_VALUE"""),"2008")</f>
        <v>2008</v>
      </c>
      <c r="O2077" s="14">
        <f>IFERROR(__xludf.DUMMYFUNCTION("""COMPUTED_VALUE"""),1.468E9)</f>
        <v>1468000000</v>
      </c>
      <c r="P2077" s="15">
        <f>IFERROR(__xludf.DUMMYFUNCTION("ARRAYFORMULA(VLOOKUP(A2077,IMPORTRANGE(""https://docs.google.com/spreadsheets/d/1BuTWp7qHGjWhqrnf-OmePP568O4A5Am9ttzvVdP67zw/edit#gid=771602874"" ,""HUMAN RESOURCES!$A$2:$M$2692""), {2,3,4,5,6,7,8,9,10,11,12,13},0))"),0.009)</f>
        <v>0.009</v>
      </c>
      <c r="Q2077" s="14">
        <f>IFERROR(__xludf.DUMMYFUNCTION("""COMPUTED_VALUE"""),0.007)</f>
        <v>0.007</v>
      </c>
      <c r="R2077" s="14">
        <f>IFERROR(__xludf.DUMMYFUNCTION("""COMPUTED_VALUE"""),76.0)</f>
        <v>76</v>
      </c>
      <c r="S2077" s="14">
        <f>IFERROR(__xludf.DUMMYFUNCTION("""COMPUTED_VALUE"""),71.0)</f>
        <v>71</v>
      </c>
      <c r="T2077" s="14">
        <f>IFERROR(__xludf.DUMMYFUNCTION("""COMPUTED_VALUE"""),0.173)</f>
        <v>0.173</v>
      </c>
      <c r="U2077" s="14">
        <f>IFERROR(__xludf.DUMMYFUNCTION("""COMPUTED_VALUE"""),0.689)</f>
        <v>0.689</v>
      </c>
      <c r="V2077" s="14">
        <f>IFERROR(__xludf.DUMMYFUNCTION("""COMPUTED_VALUE"""),0.138)</f>
        <v>0.138</v>
      </c>
      <c r="W2077" s="14">
        <f>IFERROR(__xludf.DUMMYFUNCTION("""COMPUTED_VALUE"""),7350221.0)</f>
        <v>7350221</v>
      </c>
      <c r="X2077" s="14">
        <f>IFERROR(__xludf.DUMMYFUNCTION("""COMPUTED_VALUE"""),0.551)</f>
        <v>0.551</v>
      </c>
      <c r="Y2077" s="14" t="str">
        <f>IFERROR(__xludf.DUMMYFUNCTION("""COMPUTED_VALUE"""),"Serbia-Europe")</f>
        <v>Serbia-Europe</v>
      </c>
      <c r="Z2077" s="14" t="str">
        <f>IFERROR(__xludf.DUMMYFUNCTION("""COMPUTED_VALUE"""),"Europe")</f>
        <v>Europe</v>
      </c>
      <c r="AA2077" s="14" t="str">
        <f>IFERROR(__xludf.DUMMYFUNCTION("""COMPUTED_VALUE"""),"2008")</f>
        <v>2008</v>
      </c>
      <c r="AB2077" s="15" t="str">
        <f>IFERROR(__xludf.DUMMYFUNCTION("ARRAYFORMULA(VLOOKUP(A2077,IMPORTRANGE(""https://docs.google.com/spreadsheets/d/1BuTWp7qHGjWhqrnf-OmePP568O4A5Am9ttzvVdP67zw/edit#gid=1931367683"" ,""ENERGY!$A$2:$F$2692""), {2,3,4,5,6},0))"),"Europe")</f>
        <v>Europe</v>
      </c>
      <c r="AC2077" s="14" t="str">
        <f>IFERROR(__xludf.DUMMYFUNCTION("""COMPUTED_VALUE"""),"Serbia-Europe")</f>
        <v>Serbia-Europe</v>
      </c>
      <c r="AD2077" s="14" t="str">
        <f>IFERROR(__xludf.DUMMYFUNCTION("""COMPUTED_VALUE"""),"2007")</f>
        <v>2007</v>
      </c>
      <c r="AE2077" s="14">
        <f>IFERROR(__xludf.DUMMYFUNCTION("""COMPUTED_VALUE"""),18094.0)</f>
        <v>18094</v>
      </c>
      <c r="AF2077" s="14"/>
    </row>
    <row r="2078">
      <c r="A2078" s="12">
        <v>2077.0</v>
      </c>
      <c r="B2078" s="12" t="s">
        <v>238</v>
      </c>
      <c r="C2078" s="5" t="s">
        <v>75</v>
      </c>
      <c r="D2078" s="11">
        <v>0.34</v>
      </c>
      <c r="E2078" s="11">
        <v>13.0</v>
      </c>
      <c r="F2078" s="8"/>
      <c r="G2078" s="11">
        <v>279.0</v>
      </c>
      <c r="H2078" s="11">
        <v>0.381</v>
      </c>
      <c r="I2078" s="11">
        <v>1.244</v>
      </c>
      <c r="J2078" s="9" t="s">
        <v>70</v>
      </c>
      <c r="K2078" s="14" t="str">
        <f>IFERROR(__xludf.DUMMYFUNCTION("ARRAYFORMULA(VLOOKUP(A2078,IMPORTRANGE(""https://docs.google.com/spreadsheets/d/1BuTWp7qHGjWhqrnf-OmePP568O4A5Am9ttzvVdP67zw/edit#gid=1603210130"", ""TOURISM!$A$2:$F$2692""), {2,3,4,5,6},0))"),"Europe")</f>
        <v>Europe</v>
      </c>
      <c r="L2078" s="14">
        <f>IFERROR(__xludf.DUMMYFUNCTION("""COMPUTED_VALUE"""),9.89E8)</f>
        <v>989000000</v>
      </c>
      <c r="M2078" s="14" t="str">
        <f>IFERROR(__xludf.DUMMYFUNCTION("""COMPUTED_VALUE"""),"Serbia-Europe")</f>
        <v>Serbia-Europe</v>
      </c>
      <c r="N2078" s="14" t="str">
        <f>IFERROR(__xludf.DUMMYFUNCTION("""COMPUTED_VALUE"""),"2009")</f>
        <v>2009</v>
      </c>
      <c r="O2078" s="14">
        <f>IFERROR(__xludf.DUMMYFUNCTION("""COMPUTED_VALUE"""),1.107E9)</f>
        <v>1107000000</v>
      </c>
      <c r="P2078" s="15">
        <f>IFERROR(__xludf.DUMMYFUNCTION("ARRAYFORMULA(VLOOKUP(A2078,IMPORTRANGE(""https://docs.google.com/spreadsheets/d/1BuTWp7qHGjWhqrnf-OmePP568O4A5Am9ttzvVdP67zw/edit#gid=771602874"" ,""HUMAN RESOURCES!$A$2:$M$2692""), {2,3,4,5,6,7,8,9,10,11,12,13},0))"),0.01)</f>
        <v>0.01</v>
      </c>
      <c r="Q2078" s="14">
        <f>IFERROR(__xludf.DUMMYFUNCTION("""COMPUTED_VALUE"""),0.007)</f>
        <v>0.007</v>
      </c>
      <c r="R2078" s="14">
        <f>IFERROR(__xludf.DUMMYFUNCTION("""COMPUTED_VALUE"""),76.0)</f>
        <v>76</v>
      </c>
      <c r="S2078" s="14">
        <f>IFERROR(__xludf.DUMMYFUNCTION("""COMPUTED_VALUE"""),71.0)</f>
        <v>71</v>
      </c>
      <c r="T2078" s="14">
        <f>IFERROR(__xludf.DUMMYFUNCTION("""COMPUTED_VALUE"""),0.171)</f>
        <v>0.171</v>
      </c>
      <c r="U2078" s="14">
        <f>IFERROR(__xludf.DUMMYFUNCTION("""COMPUTED_VALUE"""),0.692)</f>
        <v>0.692</v>
      </c>
      <c r="V2078" s="14">
        <f>IFERROR(__xludf.DUMMYFUNCTION("""COMPUTED_VALUE"""),0.137)</f>
        <v>0.137</v>
      </c>
      <c r="W2078" s="14">
        <f>IFERROR(__xludf.DUMMYFUNCTION("""COMPUTED_VALUE"""),7320807.0)</f>
        <v>7320807</v>
      </c>
      <c r="X2078" s="14">
        <f>IFERROR(__xludf.DUMMYFUNCTION("""COMPUTED_VALUE"""),0.552)</f>
        <v>0.552</v>
      </c>
      <c r="Y2078" s="14" t="str">
        <f>IFERROR(__xludf.DUMMYFUNCTION("""COMPUTED_VALUE"""),"Serbia-Europe")</f>
        <v>Serbia-Europe</v>
      </c>
      <c r="Z2078" s="14" t="str">
        <f>IFERROR(__xludf.DUMMYFUNCTION("""COMPUTED_VALUE"""),"Europe")</f>
        <v>Europe</v>
      </c>
      <c r="AA2078" s="14" t="str">
        <f>IFERROR(__xludf.DUMMYFUNCTION("""COMPUTED_VALUE"""),"2009")</f>
        <v>2009</v>
      </c>
      <c r="AB2078" s="15" t="str">
        <f>IFERROR(__xludf.DUMMYFUNCTION("ARRAYFORMULA(VLOOKUP(A2078,IMPORTRANGE(""https://docs.google.com/spreadsheets/d/1BuTWp7qHGjWhqrnf-OmePP568O4A5Am9ttzvVdP67zw/edit#gid=1931367683"" ,""ENERGY!$A$2:$F$2692""), {2,3,4,5,6},0))"),"Europe")</f>
        <v>Europe</v>
      </c>
      <c r="AC2078" s="14" t="str">
        <f>IFERROR(__xludf.DUMMYFUNCTION("""COMPUTED_VALUE"""),"Serbia-Europe")</f>
        <v>Serbia-Europe</v>
      </c>
      <c r="AD2078" s="14" t="str">
        <f>IFERROR(__xludf.DUMMYFUNCTION("""COMPUTED_VALUE"""),"2011")</f>
        <v>2011</v>
      </c>
      <c r="AE2078" s="14">
        <f>IFERROR(__xludf.DUMMYFUNCTION("""COMPUTED_VALUE"""),16635.0)</f>
        <v>16635</v>
      </c>
      <c r="AF2078" s="14"/>
    </row>
    <row r="2079">
      <c r="A2079" s="12">
        <v>2078.0</v>
      </c>
      <c r="B2079" s="12" t="s">
        <v>238</v>
      </c>
      <c r="C2079" s="5" t="s">
        <v>75</v>
      </c>
      <c r="D2079" s="11">
        <v>0.34</v>
      </c>
      <c r="E2079" s="11">
        <v>13.0</v>
      </c>
      <c r="F2079" s="8"/>
      <c r="G2079" s="11">
        <v>279.0</v>
      </c>
      <c r="H2079" s="11">
        <v>0.409</v>
      </c>
      <c r="I2079" s="11">
        <v>1.253</v>
      </c>
      <c r="J2079" s="9" t="s">
        <v>71</v>
      </c>
      <c r="K2079" s="14" t="str">
        <f>IFERROR(__xludf.DUMMYFUNCTION("ARRAYFORMULA(VLOOKUP(A2079,IMPORTRANGE(""https://docs.google.com/spreadsheets/d/1BuTWp7qHGjWhqrnf-OmePP568O4A5Am9ttzvVdP67zw/edit#gid=1603210130"", ""TOURISM!$A$2:$F$2692""), {2,3,4,5,6},0))"),"Europe")</f>
        <v>Europe</v>
      </c>
      <c r="L2079" s="14">
        <f>IFERROR(__xludf.DUMMYFUNCTION("""COMPUTED_VALUE"""),9.51E8)</f>
        <v>951000000</v>
      </c>
      <c r="M2079" s="14" t="str">
        <f>IFERROR(__xludf.DUMMYFUNCTION("""COMPUTED_VALUE"""),"Serbia-Europe")</f>
        <v>Serbia-Europe</v>
      </c>
      <c r="N2079" s="14" t="str">
        <f>IFERROR(__xludf.DUMMYFUNCTION("""COMPUTED_VALUE"""),"2010")</f>
        <v>2010</v>
      </c>
      <c r="O2079" s="14">
        <f>IFERROR(__xludf.DUMMYFUNCTION("""COMPUTED_VALUE"""),1.106E9)</f>
        <v>1106000000</v>
      </c>
      <c r="P2079" s="15">
        <f>IFERROR(__xludf.DUMMYFUNCTION("ARRAYFORMULA(VLOOKUP(A2079,IMPORTRANGE(""https://docs.google.com/spreadsheets/d/1BuTWp7qHGjWhqrnf-OmePP568O4A5Am9ttzvVdP67zw/edit#gid=771602874"" ,""HUMAN RESOURCES!$A$2:$M$2692""), {2,3,4,5,6,7,8,9,10,11,12,13},0))"),0.009)</f>
        <v>0.009</v>
      </c>
      <c r="Q2079" s="14">
        <f>IFERROR(__xludf.DUMMYFUNCTION("""COMPUTED_VALUE"""),0.007)</f>
        <v>0.007</v>
      </c>
      <c r="R2079" s="14">
        <f>IFERROR(__xludf.DUMMYFUNCTION("""COMPUTED_VALUE"""),77.0)</f>
        <v>77</v>
      </c>
      <c r="S2079" s="14">
        <f>IFERROR(__xludf.DUMMYFUNCTION("""COMPUTED_VALUE"""),71.0)</f>
        <v>71</v>
      </c>
      <c r="T2079" s="14">
        <f>IFERROR(__xludf.DUMMYFUNCTION("""COMPUTED_VALUE"""),0.169)</f>
        <v>0.169</v>
      </c>
      <c r="U2079" s="14">
        <f>IFERROR(__xludf.DUMMYFUNCTION("""COMPUTED_VALUE"""),0.694)</f>
        <v>0.694</v>
      </c>
      <c r="V2079" s="14">
        <f>IFERROR(__xludf.DUMMYFUNCTION("""COMPUTED_VALUE"""),0.137)</f>
        <v>0.137</v>
      </c>
      <c r="W2079" s="14">
        <f>IFERROR(__xludf.DUMMYFUNCTION("""COMPUTED_VALUE"""),7291436.0)</f>
        <v>7291436</v>
      </c>
      <c r="X2079" s="14">
        <f>IFERROR(__xludf.DUMMYFUNCTION("""COMPUTED_VALUE"""),0.552)</f>
        <v>0.552</v>
      </c>
      <c r="Y2079" s="14" t="str">
        <f>IFERROR(__xludf.DUMMYFUNCTION("""COMPUTED_VALUE"""),"Serbia-Europe")</f>
        <v>Serbia-Europe</v>
      </c>
      <c r="Z2079" s="14" t="str">
        <f>IFERROR(__xludf.DUMMYFUNCTION("""COMPUTED_VALUE"""),"Europe")</f>
        <v>Europe</v>
      </c>
      <c r="AA2079" s="14" t="str">
        <f>IFERROR(__xludf.DUMMYFUNCTION("""COMPUTED_VALUE"""),"2010")</f>
        <v>2010</v>
      </c>
      <c r="AB2079" s="15" t="str">
        <f>IFERROR(__xludf.DUMMYFUNCTION("ARRAYFORMULA(VLOOKUP(A2079,IMPORTRANGE(""https://docs.google.com/spreadsheets/d/1BuTWp7qHGjWhqrnf-OmePP568O4A5Am9ttzvVdP67zw/edit#gid=1931367683"" ,""ENERGY!$A$2:$F$2692""), {2,3,4,5,6},0))"),"Europe")</f>
        <v>Europe</v>
      </c>
      <c r="AC2079" s="14" t="str">
        <f>IFERROR(__xludf.DUMMYFUNCTION("""COMPUTED_VALUE"""),"Serbia-Europe")</f>
        <v>Serbia-Europe</v>
      </c>
      <c r="AD2079" s="14" t="str">
        <f>IFERROR(__xludf.DUMMYFUNCTION("""COMPUTED_VALUE"""),"2008")</f>
        <v>2008</v>
      </c>
      <c r="AE2079" s="14">
        <f>IFERROR(__xludf.DUMMYFUNCTION("""COMPUTED_VALUE"""),15891.0)</f>
        <v>15891</v>
      </c>
      <c r="AF2079" s="14"/>
    </row>
    <row r="2080">
      <c r="A2080" s="12">
        <v>2079.0</v>
      </c>
      <c r="B2080" s="12" t="s">
        <v>238</v>
      </c>
      <c r="C2080" s="5" t="s">
        <v>75</v>
      </c>
      <c r="D2080" s="11">
        <v>0.34</v>
      </c>
      <c r="E2080" s="11">
        <v>13.0</v>
      </c>
      <c r="F2080" s="8"/>
      <c r="G2080" s="11">
        <v>279.0</v>
      </c>
      <c r="H2080" s="11">
        <v>0.422</v>
      </c>
      <c r="I2080" s="11">
        <v>1.302</v>
      </c>
      <c r="J2080" s="9" t="s">
        <v>72</v>
      </c>
      <c r="K2080" s="14" t="str">
        <f>IFERROR(__xludf.DUMMYFUNCTION("ARRAYFORMULA(VLOOKUP(A2080,IMPORTRANGE(""https://docs.google.com/spreadsheets/d/1BuTWp7qHGjWhqrnf-OmePP568O4A5Am9ttzvVdP67zw/edit#gid=1603210130"", ""TOURISM!$A$2:$F$2692""), {2,3,4,5,6},0))"),"Europe")</f>
        <v>Europe</v>
      </c>
      <c r="L2080" s="14">
        <f>IFERROR(__xludf.DUMMYFUNCTION("""COMPUTED_VALUE"""),1.149E9)</f>
        <v>1149000000</v>
      </c>
      <c r="M2080" s="14" t="str">
        <f>IFERROR(__xludf.DUMMYFUNCTION("""COMPUTED_VALUE"""),"Serbia-Europe")</f>
        <v>Serbia-Europe</v>
      </c>
      <c r="N2080" s="14" t="str">
        <f>IFERROR(__xludf.DUMMYFUNCTION("""COMPUTED_VALUE"""),"2011")</f>
        <v>2011</v>
      </c>
      <c r="O2080" s="14">
        <f>IFERROR(__xludf.DUMMYFUNCTION("""COMPUTED_VALUE"""),1.263E9)</f>
        <v>1263000000</v>
      </c>
      <c r="P2080" s="15">
        <f>IFERROR(__xludf.DUMMYFUNCTION("ARRAYFORMULA(VLOOKUP(A2080,IMPORTRANGE(""https://docs.google.com/spreadsheets/d/1BuTWp7qHGjWhqrnf-OmePP568O4A5Am9ttzvVdP67zw/edit#gid=771602874"" ,""HUMAN RESOURCES!$A$2:$M$2692""), {2,3,4,5,6,7,8,9,10,11,12,13},0))"),0.009)</f>
        <v>0.009</v>
      </c>
      <c r="Q2080" s="14">
        <f>IFERROR(__xludf.DUMMYFUNCTION("""COMPUTED_VALUE"""),0.006)</f>
        <v>0.006</v>
      </c>
      <c r="R2080" s="14">
        <f>IFERROR(__xludf.DUMMYFUNCTION("""COMPUTED_VALUE"""),77.0)</f>
        <v>77</v>
      </c>
      <c r="S2080" s="14">
        <f>IFERROR(__xludf.DUMMYFUNCTION("""COMPUTED_VALUE"""),72.0)</f>
        <v>72</v>
      </c>
      <c r="T2080" s="14">
        <f>IFERROR(__xludf.DUMMYFUNCTION("""COMPUTED_VALUE"""),0.167)</f>
        <v>0.167</v>
      </c>
      <c r="U2080" s="14">
        <f>IFERROR(__xludf.DUMMYFUNCTION("""COMPUTED_VALUE"""),0.695)</f>
        <v>0.695</v>
      </c>
      <c r="V2080" s="14">
        <f>IFERROR(__xludf.DUMMYFUNCTION("""COMPUTED_VALUE"""),0.138)</f>
        <v>0.138</v>
      </c>
      <c r="W2080" s="14">
        <f>IFERROR(__xludf.DUMMYFUNCTION("""COMPUTED_VALUE"""),7234099.0)</f>
        <v>7234099</v>
      </c>
      <c r="X2080" s="14">
        <f>IFERROR(__xludf.DUMMYFUNCTION("""COMPUTED_VALUE"""),0.553)</f>
        <v>0.553</v>
      </c>
      <c r="Y2080" s="14" t="str">
        <f>IFERROR(__xludf.DUMMYFUNCTION("""COMPUTED_VALUE"""),"Serbia-Europe")</f>
        <v>Serbia-Europe</v>
      </c>
      <c r="Z2080" s="14" t="str">
        <f>IFERROR(__xludf.DUMMYFUNCTION("""COMPUTED_VALUE"""),"Europe")</f>
        <v>Europe</v>
      </c>
      <c r="AA2080" s="14" t="str">
        <f>IFERROR(__xludf.DUMMYFUNCTION("""COMPUTED_VALUE"""),"2011")</f>
        <v>2011</v>
      </c>
      <c r="AB2080" s="15" t="str">
        <f>IFERROR(__xludf.DUMMYFUNCTION("ARRAYFORMULA(VLOOKUP(A2080,IMPORTRANGE(""https://docs.google.com/spreadsheets/d/1BuTWp7qHGjWhqrnf-OmePP568O4A5Am9ttzvVdP67zw/edit#gid=1931367683"" ,""ENERGY!$A$2:$F$2692""), {2,3,4,5,6},0))"),"Europe")</f>
        <v>Europe</v>
      </c>
      <c r="AC2080" s="14" t="str">
        <f>IFERROR(__xludf.DUMMYFUNCTION("""COMPUTED_VALUE"""),"Serbia-Europe")</f>
        <v>Serbia-Europe</v>
      </c>
      <c r="AD2080" s="14" t="str">
        <f>IFERROR(__xludf.DUMMYFUNCTION("""COMPUTED_VALUE"""),"2007")</f>
        <v>2007</v>
      </c>
      <c r="AE2080" s="14">
        <f>IFERROR(__xludf.DUMMYFUNCTION("""COMPUTED_VALUE"""),14965.0)</f>
        <v>14965</v>
      </c>
      <c r="AF2080" s="14"/>
    </row>
    <row r="2081">
      <c r="A2081" s="12">
        <v>2080.0</v>
      </c>
      <c r="B2081" s="12" t="s">
        <v>238</v>
      </c>
      <c r="C2081" s="5" t="s">
        <v>75</v>
      </c>
      <c r="D2081" s="11">
        <v>0.34</v>
      </c>
      <c r="E2081" s="11">
        <v>12.0</v>
      </c>
      <c r="F2081" s="11">
        <v>87.0</v>
      </c>
      <c r="G2081" s="11">
        <v>279.0</v>
      </c>
      <c r="H2081" s="11">
        <v>0.481</v>
      </c>
      <c r="I2081" s="11">
        <v>1.178</v>
      </c>
      <c r="J2081" s="9" t="s">
        <v>73</v>
      </c>
      <c r="K2081" s="14" t="str">
        <f>IFERROR(__xludf.DUMMYFUNCTION("ARRAYFORMULA(VLOOKUP(A2081,IMPORTRANGE(""https://docs.google.com/spreadsheets/d/1BuTWp7qHGjWhqrnf-OmePP568O4A5Am9ttzvVdP67zw/edit#gid=1603210130"", ""TOURISM!$A$2:$F$2692""), {2,3,4,5,6},0))"),"Europe")</f>
        <v>Europe</v>
      </c>
      <c r="L2081" s="14">
        <f>IFERROR(__xludf.DUMMYFUNCTION("""COMPUTED_VALUE"""),1.066E9)</f>
        <v>1066000000</v>
      </c>
      <c r="M2081" s="14" t="str">
        <f>IFERROR(__xludf.DUMMYFUNCTION("""COMPUTED_VALUE"""),"Serbia-Europe")</f>
        <v>Serbia-Europe</v>
      </c>
      <c r="N2081" s="14" t="str">
        <f>IFERROR(__xludf.DUMMYFUNCTION("""COMPUTED_VALUE"""),"2012")</f>
        <v>2012</v>
      </c>
      <c r="O2081" s="14">
        <f>IFERROR(__xludf.DUMMYFUNCTION("""COMPUTED_VALUE"""),1.176E9)</f>
        <v>1176000000</v>
      </c>
      <c r="P2081" s="15">
        <f>IFERROR(__xludf.DUMMYFUNCTION("ARRAYFORMULA(VLOOKUP(A2081,IMPORTRANGE(""https://docs.google.com/spreadsheets/d/1BuTWp7qHGjWhqrnf-OmePP568O4A5Am9ttzvVdP67zw/edit#gid=771602874"" ,""HUMAN RESOURCES!$A$2:$M$2692""), {2,3,4,5,6,7,8,9,10,11,12,13},0))"),0.009)</f>
        <v>0.009</v>
      </c>
      <c r="Q2081" s="14">
        <f>IFERROR(__xludf.DUMMYFUNCTION("""COMPUTED_VALUE"""),0.006)</f>
        <v>0.006</v>
      </c>
      <c r="R2081" s="14">
        <f>IFERROR(__xludf.DUMMYFUNCTION("""COMPUTED_VALUE"""),78.0)</f>
        <v>78</v>
      </c>
      <c r="S2081" s="14">
        <f>IFERROR(__xludf.DUMMYFUNCTION("""COMPUTED_VALUE"""),73.0)</f>
        <v>73</v>
      </c>
      <c r="T2081" s="14">
        <f>IFERROR(__xludf.DUMMYFUNCTION("""COMPUTED_VALUE"""),0.165)</f>
        <v>0.165</v>
      </c>
      <c r="U2081" s="14">
        <f>IFERROR(__xludf.DUMMYFUNCTION("""COMPUTED_VALUE"""),0.695)</f>
        <v>0.695</v>
      </c>
      <c r="V2081" s="14">
        <f>IFERROR(__xludf.DUMMYFUNCTION("""COMPUTED_VALUE"""),0.14)</f>
        <v>0.14</v>
      </c>
      <c r="W2081" s="14">
        <f>IFERROR(__xludf.DUMMYFUNCTION("""COMPUTED_VALUE"""),7199077.0)</f>
        <v>7199077</v>
      </c>
      <c r="X2081" s="14">
        <f>IFERROR(__xludf.DUMMYFUNCTION("""COMPUTED_VALUE"""),0.553)</f>
        <v>0.553</v>
      </c>
      <c r="Y2081" s="14" t="str">
        <f>IFERROR(__xludf.DUMMYFUNCTION("""COMPUTED_VALUE"""),"Serbia-Europe")</f>
        <v>Serbia-Europe</v>
      </c>
      <c r="Z2081" s="14" t="str">
        <f>IFERROR(__xludf.DUMMYFUNCTION("""COMPUTED_VALUE"""),"Europe")</f>
        <v>Europe</v>
      </c>
      <c r="AA2081" s="14" t="str">
        <f>IFERROR(__xludf.DUMMYFUNCTION("""COMPUTED_VALUE"""),"2012")</f>
        <v>2012</v>
      </c>
      <c r="AB2081" s="15" t="str">
        <f>IFERROR(__xludf.DUMMYFUNCTION("ARRAYFORMULA(VLOOKUP(A2081,IMPORTRANGE(""https://docs.google.com/spreadsheets/d/1BuTWp7qHGjWhqrnf-OmePP568O4A5Am9ttzvVdP67zw/edit#gid=1931367683"" ,""ENERGY!$A$2:$F$2692""), {2,3,4,5,6},0))"),"Europe")</f>
        <v>Europe</v>
      </c>
      <c r="AC2081" s="14" t="str">
        <f>IFERROR(__xludf.DUMMYFUNCTION("""COMPUTED_VALUE"""),"Serbia-Europe")</f>
        <v>Serbia-Europe</v>
      </c>
      <c r="AD2081" s="14" t="str">
        <f>IFERROR(__xludf.DUMMYFUNCTION("""COMPUTED_VALUE"""),"2011")</f>
        <v>2011</v>
      </c>
      <c r="AE2081" s="14">
        <f>IFERROR(__xludf.DUMMYFUNCTION("""COMPUTED_VALUE"""),13728.0)</f>
        <v>13728</v>
      </c>
      <c r="AF2081" s="14"/>
    </row>
    <row r="2082">
      <c r="A2082" s="12">
        <v>2081.0</v>
      </c>
      <c r="B2082" s="12" t="s">
        <v>239</v>
      </c>
      <c r="C2082" s="5" t="s">
        <v>77</v>
      </c>
      <c r="D2082" s="8"/>
      <c r="E2082" s="8"/>
      <c r="F2082" s="8"/>
      <c r="G2082" s="8"/>
      <c r="H2082" s="11">
        <v>0.074</v>
      </c>
      <c r="I2082" s="11">
        <v>0.325</v>
      </c>
      <c r="J2082" s="9" t="s">
        <v>60</v>
      </c>
      <c r="K2082" s="14" t="str">
        <f>IFERROR(__xludf.DUMMYFUNCTION("ARRAYFORMULA(VLOOKUP(A2082,IMPORTRANGE(""https://docs.google.com/spreadsheets/d/1BuTWp7qHGjWhqrnf-OmePP568O4A5Am9ttzvVdP67zw/edit#gid=1603210130"", ""TOURISM!$A$2:$F$2692""), {2,3,4,5,6},0))"),"Africa")</f>
        <v>Africa</v>
      </c>
      <c r="L2082" s="14">
        <f>IFERROR(__xludf.DUMMYFUNCTION("""COMPUTED_VALUE"""),2.25E8)</f>
        <v>225000000</v>
      </c>
      <c r="M2082" s="14" t="str">
        <f>IFERROR(__xludf.DUMMYFUNCTION("""COMPUTED_VALUE"""),"Seychelles-Africa")</f>
        <v>Seychelles-Africa</v>
      </c>
      <c r="N2082" s="14" t="str">
        <f>IFERROR(__xludf.DUMMYFUNCTION("""COMPUTED_VALUE"""),"2000")</f>
        <v>2000</v>
      </c>
      <c r="O2082" s="14">
        <f>IFERROR(__xludf.DUMMYFUNCTION("""COMPUTED_VALUE"""),4.4E7)</f>
        <v>44000000</v>
      </c>
      <c r="P2082" s="15">
        <f>IFERROR(__xludf.DUMMYFUNCTION("ARRAYFORMULA(VLOOKUP(A2082,IMPORTRANGE(""https://docs.google.com/spreadsheets/d/1BuTWp7qHGjWhqrnf-OmePP568O4A5Am9ttzvVdP67zw/edit#gid=771602874"" ,""HUMAN RESOURCES!$A$2:$M$2692""), {2,3,4,5,6,7,8,9,10,11,12,13},0))"),0.019)</f>
        <v>0.019</v>
      </c>
      <c r="Q2082" s="14">
        <f>IFERROR(__xludf.DUMMYFUNCTION("""COMPUTED_VALUE"""),0.012)</f>
        <v>0.012</v>
      </c>
      <c r="R2082" s="14"/>
      <c r="S2082" s="14"/>
      <c r="T2082" s="14">
        <f>IFERROR(__xludf.DUMMYFUNCTION("""COMPUTED_VALUE"""),0.282)</f>
        <v>0.282</v>
      </c>
      <c r="U2082" s="14">
        <f>IFERROR(__xludf.DUMMYFUNCTION("""COMPUTED_VALUE"""),0.637)</f>
        <v>0.637</v>
      </c>
      <c r="V2082" s="14">
        <f>IFERROR(__xludf.DUMMYFUNCTION("""COMPUTED_VALUE"""),0.081)</f>
        <v>0.081</v>
      </c>
      <c r="W2082" s="14">
        <f>IFERROR(__xludf.DUMMYFUNCTION("""COMPUTED_VALUE"""),81131.0)</f>
        <v>81131</v>
      </c>
      <c r="X2082" s="14">
        <f>IFERROR(__xludf.DUMMYFUNCTION("""COMPUTED_VALUE"""),0.501)</f>
        <v>0.501</v>
      </c>
      <c r="Y2082" s="14" t="str">
        <f>IFERROR(__xludf.DUMMYFUNCTION("""COMPUTED_VALUE"""),"Seychelles-Africa")</f>
        <v>Seychelles-Africa</v>
      </c>
      <c r="Z2082" s="14" t="str">
        <f>IFERROR(__xludf.DUMMYFUNCTION("""COMPUTED_VALUE"""),"Africa")</f>
        <v>Africa</v>
      </c>
      <c r="AA2082" s="14" t="str">
        <f>IFERROR(__xludf.DUMMYFUNCTION("""COMPUTED_VALUE"""),"2000")</f>
        <v>2000</v>
      </c>
      <c r="AB2082" s="15" t="str">
        <f>IFERROR(__xludf.DUMMYFUNCTION("ARRAYFORMULA(VLOOKUP(A2082,IMPORTRANGE(""https://docs.google.com/spreadsheets/d/1BuTWp7qHGjWhqrnf-OmePP568O4A5Am9ttzvVdP67zw/edit#gid=1931367683"" ,""ENERGY!$A$2:$F$2692""), {2,3,4,5,6},0))"),"Africa")</f>
        <v>Africa</v>
      </c>
      <c r="AC2082" s="14" t="str">
        <f>IFERROR(__xludf.DUMMYFUNCTION("""COMPUTED_VALUE"""),"Seychelles-Africa")</f>
        <v>Seychelles-Africa</v>
      </c>
      <c r="AD2082" s="14" t="str">
        <f>IFERROR(__xludf.DUMMYFUNCTION("""COMPUTED_VALUE"""),"2000")</f>
        <v>2000</v>
      </c>
      <c r="AE2082" s="14"/>
      <c r="AF2082" s="14"/>
    </row>
    <row r="2083">
      <c r="A2083" s="12">
        <v>2082.0</v>
      </c>
      <c r="B2083" s="12" t="s">
        <v>239</v>
      </c>
      <c r="C2083" s="5" t="s">
        <v>77</v>
      </c>
      <c r="D2083" s="8"/>
      <c r="E2083" s="8"/>
      <c r="F2083" s="8"/>
      <c r="G2083" s="8"/>
      <c r="H2083" s="11">
        <v>0.11</v>
      </c>
      <c r="I2083" s="11">
        <v>0.452</v>
      </c>
      <c r="J2083" s="9" t="s">
        <v>62</v>
      </c>
      <c r="K2083" s="14" t="str">
        <f>IFERROR(__xludf.DUMMYFUNCTION("ARRAYFORMULA(VLOOKUP(A2083,IMPORTRANGE(""https://docs.google.com/spreadsheets/d/1BuTWp7qHGjWhqrnf-OmePP568O4A5Am9ttzvVdP67zw/edit#gid=1603210130"", ""TOURISM!$A$2:$F$2692""), {2,3,4,5,6},0))"),"Africa")</f>
        <v>Africa</v>
      </c>
      <c r="L2083" s="14">
        <f>IFERROR(__xludf.DUMMYFUNCTION("""COMPUTED_VALUE"""),2.21E8)</f>
        <v>221000000</v>
      </c>
      <c r="M2083" s="14" t="str">
        <f>IFERROR(__xludf.DUMMYFUNCTION("""COMPUTED_VALUE"""),"Seychelles-Africa")</f>
        <v>Seychelles-Africa</v>
      </c>
      <c r="N2083" s="14" t="str">
        <f>IFERROR(__xludf.DUMMYFUNCTION("""COMPUTED_VALUE"""),"2001")</f>
        <v>2001</v>
      </c>
      <c r="O2083" s="14">
        <f>IFERROR(__xludf.DUMMYFUNCTION("""COMPUTED_VALUE"""),4.1E7)</f>
        <v>41000000</v>
      </c>
      <c r="P2083" s="15">
        <f>IFERROR(__xludf.DUMMYFUNCTION("ARRAYFORMULA(VLOOKUP(A2083,IMPORTRANGE(""https://docs.google.com/spreadsheets/d/1BuTWp7qHGjWhqrnf-OmePP568O4A5Am9ttzvVdP67zw/edit#gid=771602874"" ,""HUMAN RESOURCES!$A$2:$M$2692""), {2,3,4,5,6,7,8,9,10,11,12,13},0))"),0.018)</f>
        <v>0.018</v>
      </c>
      <c r="Q2083" s="14">
        <f>IFERROR(__xludf.DUMMYFUNCTION("""COMPUTED_VALUE"""),0.012)</f>
        <v>0.012</v>
      </c>
      <c r="R2083" s="14"/>
      <c r="S2083" s="14"/>
      <c r="T2083" s="14">
        <f>IFERROR(__xludf.DUMMYFUNCTION("""COMPUTED_VALUE"""),0.275)</f>
        <v>0.275</v>
      </c>
      <c r="U2083" s="14">
        <f>IFERROR(__xludf.DUMMYFUNCTION("""COMPUTED_VALUE"""),0.645)</f>
        <v>0.645</v>
      </c>
      <c r="V2083" s="14">
        <f>IFERROR(__xludf.DUMMYFUNCTION("""COMPUTED_VALUE"""),0.08)</f>
        <v>0.08</v>
      </c>
      <c r="W2083" s="14">
        <f>IFERROR(__xludf.DUMMYFUNCTION("""COMPUTED_VALUE"""),81202.0)</f>
        <v>81202</v>
      </c>
      <c r="X2083" s="14">
        <f>IFERROR(__xludf.DUMMYFUNCTION("""COMPUTED_VALUE"""),0.503)</f>
        <v>0.503</v>
      </c>
      <c r="Y2083" s="14" t="str">
        <f>IFERROR(__xludf.DUMMYFUNCTION("""COMPUTED_VALUE"""),"Seychelles-Africa")</f>
        <v>Seychelles-Africa</v>
      </c>
      <c r="Z2083" s="14" t="str">
        <f>IFERROR(__xludf.DUMMYFUNCTION("""COMPUTED_VALUE"""),"Africa")</f>
        <v>Africa</v>
      </c>
      <c r="AA2083" s="14" t="str">
        <f>IFERROR(__xludf.DUMMYFUNCTION("""COMPUTED_VALUE"""),"2001")</f>
        <v>2001</v>
      </c>
      <c r="AB2083" s="15" t="str">
        <f>IFERROR(__xludf.DUMMYFUNCTION("ARRAYFORMULA(VLOOKUP(A2083,IMPORTRANGE(""https://docs.google.com/spreadsheets/d/1BuTWp7qHGjWhqrnf-OmePP568O4A5Am9ttzvVdP67zw/edit#gid=1931367683"" ,""ENERGY!$A$2:$F$2692""), {2,3,4,5,6},0))"),"Africa")</f>
        <v>Africa</v>
      </c>
      <c r="AC2083" s="14" t="str">
        <f>IFERROR(__xludf.DUMMYFUNCTION("""COMPUTED_VALUE"""),"Seychelles-Africa")</f>
        <v>Seychelles-Africa</v>
      </c>
      <c r="AD2083" s="14" t="str">
        <f>IFERROR(__xludf.DUMMYFUNCTION("""COMPUTED_VALUE"""),"2001")</f>
        <v>2001</v>
      </c>
      <c r="AE2083" s="14"/>
      <c r="AF2083" s="14"/>
    </row>
    <row r="2084">
      <c r="A2084" s="12">
        <v>2083.0</v>
      </c>
      <c r="B2084" s="12" t="s">
        <v>239</v>
      </c>
      <c r="C2084" s="5" t="s">
        <v>77</v>
      </c>
      <c r="D2084" s="8"/>
      <c r="E2084" s="8"/>
      <c r="F2084" s="8"/>
      <c r="G2084" s="8"/>
      <c r="H2084" s="11">
        <v>0.143</v>
      </c>
      <c r="I2084" s="11">
        <v>0.541</v>
      </c>
      <c r="J2084" s="9" t="s">
        <v>63</v>
      </c>
      <c r="K2084" s="14" t="str">
        <f>IFERROR(__xludf.DUMMYFUNCTION("ARRAYFORMULA(VLOOKUP(A2084,IMPORTRANGE(""https://docs.google.com/spreadsheets/d/1BuTWp7qHGjWhqrnf-OmePP568O4A5Am9ttzvVdP67zw/edit#gid=1603210130"", ""TOURISM!$A$2:$F$2692""), {2,3,4,5,6},0))"),"Africa")</f>
        <v>Africa</v>
      </c>
      <c r="L2084" s="14">
        <f>IFERROR(__xludf.DUMMYFUNCTION("""COMPUTED_VALUE"""),2.47E8)</f>
        <v>247000000</v>
      </c>
      <c r="M2084" s="14" t="str">
        <f>IFERROR(__xludf.DUMMYFUNCTION("""COMPUTED_VALUE"""),"Seychelles-Africa")</f>
        <v>Seychelles-Africa</v>
      </c>
      <c r="N2084" s="14" t="str">
        <f>IFERROR(__xludf.DUMMYFUNCTION("""COMPUTED_VALUE"""),"2002")</f>
        <v>2002</v>
      </c>
      <c r="O2084" s="14">
        <f>IFERROR(__xludf.DUMMYFUNCTION("""COMPUTED_VALUE"""),5.3E7)</f>
        <v>53000000</v>
      </c>
      <c r="P2084" s="15">
        <f>IFERROR(__xludf.DUMMYFUNCTION("ARRAYFORMULA(VLOOKUP(A2084,IMPORTRANGE(""https://docs.google.com/spreadsheets/d/1BuTWp7qHGjWhqrnf-OmePP568O4A5Am9ttzvVdP67zw/edit#gid=771602874"" ,""HUMAN RESOURCES!$A$2:$M$2692""), {2,3,4,5,6,7,8,9,10,11,12,13},0))"),0.018)</f>
        <v>0.018</v>
      </c>
      <c r="Q2084" s="14">
        <f>IFERROR(__xludf.DUMMYFUNCTION("""COMPUTED_VALUE"""),0.012)</f>
        <v>0.012</v>
      </c>
      <c r="R2084" s="14">
        <f>IFERROR(__xludf.DUMMYFUNCTION("""COMPUTED_VALUE"""),77.0)</f>
        <v>77</v>
      </c>
      <c r="S2084" s="14">
        <f>IFERROR(__xludf.DUMMYFUNCTION("""COMPUTED_VALUE"""),69.0)</f>
        <v>69</v>
      </c>
      <c r="T2084" s="14">
        <f>IFERROR(__xludf.DUMMYFUNCTION("""COMPUTED_VALUE"""),0.267)</f>
        <v>0.267</v>
      </c>
      <c r="U2084" s="14">
        <f>IFERROR(__xludf.DUMMYFUNCTION("""COMPUTED_VALUE"""),0.654)</f>
        <v>0.654</v>
      </c>
      <c r="V2084" s="14">
        <f>IFERROR(__xludf.DUMMYFUNCTION("""COMPUTED_VALUE"""),0.079)</f>
        <v>0.079</v>
      </c>
      <c r="W2084" s="14">
        <f>IFERROR(__xludf.DUMMYFUNCTION("""COMPUTED_VALUE"""),83700.0)</f>
        <v>83700</v>
      </c>
      <c r="X2084" s="14">
        <f>IFERROR(__xludf.DUMMYFUNCTION("""COMPUTED_VALUE"""),0.505)</f>
        <v>0.505</v>
      </c>
      <c r="Y2084" s="14" t="str">
        <f>IFERROR(__xludf.DUMMYFUNCTION("""COMPUTED_VALUE"""),"Seychelles-Africa")</f>
        <v>Seychelles-Africa</v>
      </c>
      <c r="Z2084" s="14" t="str">
        <f>IFERROR(__xludf.DUMMYFUNCTION("""COMPUTED_VALUE"""),"Africa")</f>
        <v>Africa</v>
      </c>
      <c r="AA2084" s="14" t="str">
        <f>IFERROR(__xludf.DUMMYFUNCTION("""COMPUTED_VALUE"""),"2002")</f>
        <v>2002</v>
      </c>
      <c r="AB2084" s="15" t="str">
        <f>IFERROR(__xludf.DUMMYFUNCTION("ARRAYFORMULA(VLOOKUP(A2084,IMPORTRANGE(""https://docs.google.com/spreadsheets/d/1BuTWp7qHGjWhqrnf-OmePP568O4A5Am9ttzvVdP67zw/edit#gid=1931367683"" ,""ENERGY!$A$2:$F$2692""), {2,3,4,5,6},0))"),"Africa")</f>
        <v>Africa</v>
      </c>
      <c r="AC2084" s="14" t="str">
        <f>IFERROR(__xludf.DUMMYFUNCTION("""COMPUTED_VALUE"""),"Seychelles-Africa")</f>
        <v>Seychelles-Africa</v>
      </c>
      <c r="AD2084" s="14" t="str">
        <f>IFERROR(__xludf.DUMMYFUNCTION("""COMPUTED_VALUE"""),"2002")</f>
        <v>2002</v>
      </c>
      <c r="AE2084" s="14"/>
      <c r="AF2084" s="14">
        <f>IFERROR(__xludf.DUMMYFUNCTION("""COMPUTED_VALUE"""),704.0)</f>
        <v>704</v>
      </c>
    </row>
    <row r="2085">
      <c r="A2085" s="12">
        <v>2084.0</v>
      </c>
      <c r="B2085" s="12" t="s">
        <v>239</v>
      </c>
      <c r="C2085" s="5" t="s">
        <v>77</v>
      </c>
      <c r="D2085" s="8"/>
      <c r="E2085" s="8"/>
      <c r="F2085" s="8"/>
      <c r="G2085" s="8"/>
      <c r="H2085" s="11">
        <v>0.146</v>
      </c>
      <c r="I2085" s="11">
        <v>0.585</v>
      </c>
      <c r="J2085" s="9" t="s">
        <v>64</v>
      </c>
      <c r="K2085" s="14" t="str">
        <f>IFERROR(__xludf.DUMMYFUNCTION("ARRAYFORMULA(VLOOKUP(A2085,IMPORTRANGE(""https://docs.google.com/spreadsheets/d/1BuTWp7qHGjWhqrnf-OmePP568O4A5Am9ttzvVdP67zw/edit#gid=1603210130"", ""TOURISM!$A$2:$F$2692""), {2,3,4,5,6},0))"),"Africa")</f>
        <v>Africa</v>
      </c>
      <c r="L2085" s="14">
        <f>IFERROR(__xludf.DUMMYFUNCTION("""COMPUTED_VALUE"""),2.58E8)</f>
        <v>258000000</v>
      </c>
      <c r="M2085" s="14" t="str">
        <f>IFERROR(__xludf.DUMMYFUNCTION("""COMPUTED_VALUE"""),"Seychelles-Africa")</f>
        <v>Seychelles-Africa</v>
      </c>
      <c r="N2085" s="14" t="str">
        <f>IFERROR(__xludf.DUMMYFUNCTION("""COMPUTED_VALUE"""),"2003")</f>
        <v>2003</v>
      </c>
      <c r="O2085" s="14">
        <f>IFERROR(__xludf.DUMMYFUNCTION("""COMPUTED_VALUE"""),5.4E7)</f>
        <v>54000000</v>
      </c>
      <c r="P2085" s="15">
        <f>IFERROR(__xludf.DUMMYFUNCTION("ARRAYFORMULA(VLOOKUP(A2085,IMPORTRANGE(""https://docs.google.com/spreadsheets/d/1BuTWp7qHGjWhqrnf-OmePP568O4A5Am9ttzvVdP67zw/edit#gid=771602874"" ,""HUMAN RESOURCES!$A$2:$M$2692""), {2,3,4,5,6,7,8,9,10,11,12,13},0))"),0.018)</f>
        <v>0.018</v>
      </c>
      <c r="Q2085" s="14">
        <f>IFERROR(__xludf.DUMMYFUNCTION("""COMPUTED_VALUE"""),0.012)</f>
        <v>0.012</v>
      </c>
      <c r="R2085" s="14">
        <f>IFERROR(__xludf.DUMMYFUNCTION("""COMPUTED_VALUE"""),76.0)</f>
        <v>76</v>
      </c>
      <c r="S2085" s="14">
        <f>IFERROR(__xludf.DUMMYFUNCTION("""COMPUTED_VALUE"""),66.0)</f>
        <v>66</v>
      </c>
      <c r="T2085" s="14">
        <f>IFERROR(__xludf.DUMMYFUNCTION("""COMPUTED_VALUE"""),0.258)</f>
        <v>0.258</v>
      </c>
      <c r="U2085" s="14">
        <f>IFERROR(__xludf.DUMMYFUNCTION("""COMPUTED_VALUE"""),0.664)</f>
        <v>0.664</v>
      </c>
      <c r="V2085" s="14">
        <f>IFERROR(__xludf.DUMMYFUNCTION("""COMPUTED_VALUE"""),0.078)</f>
        <v>0.078</v>
      </c>
      <c r="W2085" s="14">
        <f>IFERROR(__xludf.DUMMYFUNCTION("""COMPUTED_VALUE"""),82800.0)</f>
        <v>82800</v>
      </c>
      <c r="X2085" s="14">
        <f>IFERROR(__xludf.DUMMYFUNCTION("""COMPUTED_VALUE"""),0.506)</f>
        <v>0.506</v>
      </c>
      <c r="Y2085" s="14" t="str">
        <f>IFERROR(__xludf.DUMMYFUNCTION("""COMPUTED_VALUE"""),"Seychelles-Africa")</f>
        <v>Seychelles-Africa</v>
      </c>
      <c r="Z2085" s="14" t="str">
        <f>IFERROR(__xludf.DUMMYFUNCTION("""COMPUTED_VALUE"""),"Africa")</f>
        <v>Africa</v>
      </c>
      <c r="AA2085" s="14" t="str">
        <f>IFERROR(__xludf.DUMMYFUNCTION("""COMPUTED_VALUE"""),"2003")</f>
        <v>2003</v>
      </c>
      <c r="AB2085" s="15" t="str">
        <f>IFERROR(__xludf.DUMMYFUNCTION("ARRAYFORMULA(VLOOKUP(A2085,IMPORTRANGE(""https://docs.google.com/spreadsheets/d/1BuTWp7qHGjWhqrnf-OmePP568O4A5Am9ttzvVdP67zw/edit#gid=1931367683"" ,""ENERGY!$A$2:$F$2692""), {2,3,4,5,6},0))"),"Africa")</f>
        <v>Africa</v>
      </c>
      <c r="AC2085" s="14" t="str">
        <f>IFERROR(__xludf.DUMMYFUNCTION("""COMPUTED_VALUE"""),"Seychelles-Africa")</f>
        <v>Seychelles-Africa</v>
      </c>
      <c r="AD2085" s="14" t="str">
        <f>IFERROR(__xludf.DUMMYFUNCTION("""COMPUTED_VALUE"""),"2003")</f>
        <v>2003</v>
      </c>
      <c r="AE2085" s="14"/>
      <c r="AF2085" s="14">
        <f>IFERROR(__xludf.DUMMYFUNCTION("""COMPUTED_VALUE"""),755.0)</f>
        <v>755</v>
      </c>
    </row>
    <row r="2086">
      <c r="A2086" s="12">
        <v>2085.0</v>
      </c>
      <c r="B2086" s="12" t="s">
        <v>239</v>
      </c>
      <c r="C2086" s="5" t="s">
        <v>77</v>
      </c>
      <c r="D2086" s="8"/>
      <c r="E2086" s="8"/>
      <c r="F2086" s="8"/>
      <c r="G2086" s="8"/>
      <c r="H2086" s="11">
        <v>0.243</v>
      </c>
      <c r="I2086" s="11">
        <v>0.634</v>
      </c>
      <c r="J2086" s="9" t="s">
        <v>65</v>
      </c>
      <c r="K2086" s="14" t="str">
        <f>IFERROR(__xludf.DUMMYFUNCTION("ARRAYFORMULA(VLOOKUP(A2086,IMPORTRANGE(""https://docs.google.com/spreadsheets/d/1BuTWp7qHGjWhqrnf-OmePP568O4A5Am9ttzvVdP67zw/edit#gid=1603210130"", ""TOURISM!$A$2:$F$2692""), {2,3,4,5,6},0))"),"Africa")</f>
        <v>Africa</v>
      </c>
      <c r="L2086" s="14">
        <f>IFERROR(__xludf.DUMMYFUNCTION("""COMPUTED_VALUE"""),2.56E8)</f>
        <v>256000000</v>
      </c>
      <c r="M2086" s="14" t="str">
        <f>IFERROR(__xludf.DUMMYFUNCTION("""COMPUTED_VALUE"""),"Seychelles-Africa")</f>
        <v>Seychelles-Africa</v>
      </c>
      <c r="N2086" s="14" t="str">
        <f>IFERROR(__xludf.DUMMYFUNCTION("""COMPUTED_VALUE"""),"2004")</f>
        <v>2004</v>
      </c>
      <c r="O2086" s="14">
        <f>IFERROR(__xludf.DUMMYFUNCTION("""COMPUTED_VALUE"""),5.3E7)</f>
        <v>53000000</v>
      </c>
      <c r="P2086" s="15">
        <f>IFERROR(__xludf.DUMMYFUNCTION("ARRAYFORMULA(VLOOKUP(A2086,IMPORTRANGE(""https://docs.google.com/spreadsheets/d/1BuTWp7qHGjWhqrnf-OmePP568O4A5Am9ttzvVdP67zw/edit#gid=771602874"" ,""HUMAN RESOURCES!$A$2:$M$2692""), {2,3,4,5,6,7,8,9,10,11,12,13},0))"),0.017)</f>
        <v>0.017</v>
      </c>
      <c r="Q2086" s="14">
        <f>IFERROR(__xludf.DUMMYFUNCTION("""COMPUTED_VALUE"""),0.012)</f>
        <v>0.012</v>
      </c>
      <c r="R2086" s="14">
        <f>IFERROR(__xludf.DUMMYFUNCTION("""COMPUTED_VALUE"""),76.0)</f>
        <v>76</v>
      </c>
      <c r="S2086" s="14">
        <f>IFERROR(__xludf.DUMMYFUNCTION("""COMPUTED_VALUE"""),69.0)</f>
        <v>69</v>
      </c>
      <c r="T2086" s="14">
        <f>IFERROR(__xludf.DUMMYFUNCTION("""COMPUTED_VALUE"""),0.25)</f>
        <v>0.25</v>
      </c>
      <c r="U2086" s="14">
        <f>IFERROR(__xludf.DUMMYFUNCTION("""COMPUTED_VALUE"""),0.673)</f>
        <v>0.673</v>
      </c>
      <c r="V2086" s="14">
        <f>IFERROR(__xludf.DUMMYFUNCTION("""COMPUTED_VALUE"""),0.076)</f>
        <v>0.076</v>
      </c>
      <c r="W2086" s="14">
        <f>IFERROR(__xludf.DUMMYFUNCTION("""COMPUTED_VALUE"""),82500.0)</f>
        <v>82500</v>
      </c>
      <c r="X2086" s="14">
        <f>IFERROR(__xludf.DUMMYFUNCTION("""COMPUTED_VALUE"""),0.508)</f>
        <v>0.508</v>
      </c>
      <c r="Y2086" s="14" t="str">
        <f>IFERROR(__xludf.DUMMYFUNCTION("""COMPUTED_VALUE"""),"Seychelles-Africa")</f>
        <v>Seychelles-Africa</v>
      </c>
      <c r="Z2086" s="14" t="str">
        <f>IFERROR(__xludf.DUMMYFUNCTION("""COMPUTED_VALUE"""),"Africa")</f>
        <v>Africa</v>
      </c>
      <c r="AA2086" s="14" t="str">
        <f>IFERROR(__xludf.DUMMYFUNCTION("""COMPUTED_VALUE"""),"2004")</f>
        <v>2004</v>
      </c>
      <c r="AB2086" s="15" t="str">
        <f>IFERROR(__xludf.DUMMYFUNCTION("ARRAYFORMULA(VLOOKUP(A2086,IMPORTRANGE(""https://docs.google.com/spreadsheets/d/1BuTWp7qHGjWhqrnf-OmePP568O4A5Am9ttzvVdP67zw/edit#gid=1931367683"" ,""ENERGY!$A$2:$F$2692""), {2,3,4,5,6},0))"),"Africa")</f>
        <v>Africa</v>
      </c>
      <c r="AC2086" s="14" t="str">
        <f>IFERROR(__xludf.DUMMYFUNCTION("""COMPUTED_VALUE"""),"Seychelles-Africa")</f>
        <v>Seychelles-Africa</v>
      </c>
      <c r="AD2086" s="14" t="str">
        <f>IFERROR(__xludf.DUMMYFUNCTION("""COMPUTED_VALUE"""),"2004")</f>
        <v>2004</v>
      </c>
      <c r="AE2086" s="14"/>
      <c r="AF2086" s="14">
        <f>IFERROR(__xludf.DUMMYFUNCTION("""COMPUTED_VALUE"""),708.0)</f>
        <v>708</v>
      </c>
    </row>
    <row r="2087">
      <c r="A2087" s="12">
        <v>2086.0</v>
      </c>
      <c r="B2087" s="12" t="s">
        <v>239</v>
      </c>
      <c r="C2087" s="5" t="s">
        <v>77</v>
      </c>
      <c r="D2087" s="11">
        <v>0.484</v>
      </c>
      <c r="E2087" s="11">
        <v>39.0</v>
      </c>
      <c r="F2087" s="8"/>
      <c r="G2087" s="11">
        <v>76.0</v>
      </c>
      <c r="H2087" s="11">
        <v>0.254</v>
      </c>
      <c r="I2087" s="11">
        <v>0.675</v>
      </c>
      <c r="J2087" s="9" t="s">
        <v>66</v>
      </c>
      <c r="K2087" s="14" t="str">
        <f>IFERROR(__xludf.DUMMYFUNCTION("ARRAYFORMULA(VLOOKUP(A2087,IMPORTRANGE(""https://docs.google.com/spreadsheets/d/1BuTWp7qHGjWhqrnf-OmePP568O4A5Am9ttzvVdP67zw/edit#gid=1603210130"", ""TOURISM!$A$2:$F$2692""), {2,3,4,5,6},0))"),"Africa")</f>
        <v>Africa</v>
      </c>
      <c r="L2087" s="14">
        <f>IFERROR(__xludf.DUMMYFUNCTION("""COMPUTED_VALUE"""),2.69E8)</f>
        <v>269000000</v>
      </c>
      <c r="M2087" s="14" t="str">
        <f>IFERROR(__xludf.DUMMYFUNCTION("""COMPUTED_VALUE"""),"Seychelles-Africa")</f>
        <v>Seychelles-Africa</v>
      </c>
      <c r="N2087" s="14" t="str">
        <f>IFERROR(__xludf.DUMMYFUNCTION("""COMPUTED_VALUE"""),"2005")</f>
        <v>2005</v>
      </c>
      <c r="O2087" s="14">
        <f>IFERROR(__xludf.DUMMYFUNCTION("""COMPUTED_VALUE"""),5.9E7)</f>
        <v>59000000</v>
      </c>
      <c r="P2087" s="15">
        <f>IFERROR(__xludf.DUMMYFUNCTION("ARRAYFORMULA(VLOOKUP(A2087,IMPORTRANGE(""https://docs.google.com/spreadsheets/d/1BuTWp7qHGjWhqrnf-OmePP568O4A5Am9ttzvVdP67zw/edit#gid=771602874"" ,""HUMAN RESOURCES!$A$2:$M$2692""), {2,3,4,5,6,7,8,9,10,11,12,13},0))"),0.019)</f>
        <v>0.019</v>
      </c>
      <c r="Q2087" s="14">
        <f>IFERROR(__xludf.DUMMYFUNCTION("""COMPUTED_VALUE"""),0.012)</f>
        <v>0.012</v>
      </c>
      <c r="R2087" s="14">
        <f>IFERROR(__xludf.DUMMYFUNCTION("""COMPUTED_VALUE"""),77.0)</f>
        <v>77</v>
      </c>
      <c r="S2087" s="14">
        <f>IFERROR(__xludf.DUMMYFUNCTION("""COMPUTED_VALUE"""),67.0)</f>
        <v>67</v>
      </c>
      <c r="T2087" s="14">
        <f>IFERROR(__xludf.DUMMYFUNCTION("""COMPUTED_VALUE"""),0.243)</f>
        <v>0.243</v>
      </c>
      <c r="U2087" s="14">
        <f>IFERROR(__xludf.DUMMYFUNCTION("""COMPUTED_VALUE"""),0.681)</f>
        <v>0.681</v>
      </c>
      <c r="V2087" s="14">
        <f>IFERROR(__xludf.DUMMYFUNCTION("""COMPUTED_VALUE"""),0.075)</f>
        <v>0.075</v>
      </c>
      <c r="W2087" s="14">
        <f>IFERROR(__xludf.DUMMYFUNCTION("""COMPUTED_VALUE"""),82900.0)</f>
        <v>82900</v>
      </c>
      <c r="X2087" s="14">
        <f>IFERROR(__xludf.DUMMYFUNCTION("""COMPUTED_VALUE"""),0.511)</f>
        <v>0.511</v>
      </c>
      <c r="Y2087" s="14" t="str">
        <f>IFERROR(__xludf.DUMMYFUNCTION("""COMPUTED_VALUE"""),"Seychelles-Africa")</f>
        <v>Seychelles-Africa</v>
      </c>
      <c r="Z2087" s="14" t="str">
        <f>IFERROR(__xludf.DUMMYFUNCTION("""COMPUTED_VALUE"""),"Africa")</f>
        <v>Africa</v>
      </c>
      <c r="AA2087" s="14" t="str">
        <f>IFERROR(__xludf.DUMMYFUNCTION("""COMPUTED_VALUE"""),"2005")</f>
        <v>2005</v>
      </c>
      <c r="AB2087" s="15" t="str">
        <f>IFERROR(__xludf.DUMMYFUNCTION("ARRAYFORMULA(VLOOKUP(A2087,IMPORTRANGE(""https://docs.google.com/spreadsheets/d/1BuTWp7qHGjWhqrnf-OmePP568O4A5Am9ttzvVdP67zw/edit#gid=1931367683"" ,""ENERGY!$A$2:$F$2692""), {2,3,4,5,6},0))"),"Africa")</f>
        <v>Africa</v>
      </c>
      <c r="AC2087" s="14" t="str">
        <f>IFERROR(__xludf.DUMMYFUNCTION("""COMPUTED_VALUE"""),"Seychelles-Africa")</f>
        <v>Seychelles-Africa</v>
      </c>
      <c r="AD2087" s="14" t="str">
        <f>IFERROR(__xludf.DUMMYFUNCTION("""COMPUTED_VALUE"""),"2008")</f>
        <v>2008</v>
      </c>
      <c r="AE2087" s="14">
        <f>IFERROR(__xludf.DUMMYFUNCTION("""COMPUTED_VALUE"""),205.0)</f>
        <v>205</v>
      </c>
      <c r="AF2087" s="14">
        <f>IFERROR(__xludf.DUMMYFUNCTION("""COMPUTED_VALUE"""),653.0)</f>
        <v>653</v>
      </c>
    </row>
    <row r="2088">
      <c r="A2088" s="12">
        <v>2087.0</v>
      </c>
      <c r="B2088" s="12" t="s">
        <v>239</v>
      </c>
      <c r="C2088" s="5" t="s">
        <v>77</v>
      </c>
      <c r="D2088" s="11">
        <v>0.484</v>
      </c>
      <c r="E2088" s="11">
        <v>39.0</v>
      </c>
      <c r="F2088" s="8"/>
      <c r="G2088" s="11">
        <v>76.0</v>
      </c>
      <c r="H2088" s="11">
        <v>0.35</v>
      </c>
      <c r="I2088" s="11">
        <v>0.797</v>
      </c>
      <c r="J2088" s="9" t="s">
        <v>67</v>
      </c>
      <c r="K2088" s="14" t="str">
        <f>IFERROR(__xludf.DUMMYFUNCTION("ARRAYFORMULA(VLOOKUP(A2088,IMPORTRANGE(""https://docs.google.com/spreadsheets/d/1BuTWp7qHGjWhqrnf-OmePP568O4A5Am9ttzvVdP67zw/edit#gid=1603210130"", ""TOURISM!$A$2:$F$2692""), {2,3,4,5,6},0))"),"Africa")</f>
        <v>Africa</v>
      </c>
      <c r="L2088" s="14">
        <f>IFERROR(__xludf.DUMMYFUNCTION("""COMPUTED_VALUE"""),3.23E8)</f>
        <v>323000000</v>
      </c>
      <c r="M2088" s="14" t="str">
        <f>IFERROR(__xludf.DUMMYFUNCTION("""COMPUTED_VALUE"""),"Seychelles-Africa")</f>
        <v>Seychelles-Africa</v>
      </c>
      <c r="N2088" s="14" t="str">
        <f>IFERROR(__xludf.DUMMYFUNCTION("""COMPUTED_VALUE"""),"2006")</f>
        <v>2006</v>
      </c>
      <c r="O2088" s="14">
        <f>IFERROR(__xludf.DUMMYFUNCTION("""COMPUTED_VALUE"""),5.6E7)</f>
        <v>56000000</v>
      </c>
      <c r="P2088" s="15">
        <f>IFERROR(__xludf.DUMMYFUNCTION("ARRAYFORMULA(VLOOKUP(A2088,IMPORTRANGE(""https://docs.google.com/spreadsheets/d/1BuTWp7qHGjWhqrnf-OmePP568O4A5Am9ttzvVdP67zw/edit#gid=771602874"" ,""HUMAN RESOURCES!$A$2:$M$2692""), {2,3,4,5,6,7,8,9,10,11,12,13},0))"),0.017)</f>
        <v>0.017</v>
      </c>
      <c r="Q2088" s="14">
        <f>IFERROR(__xludf.DUMMYFUNCTION("""COMPUTED_VALUE"""),0.012)</f>
        <v>0.012</v>
      </c>
      <c r="R2088" s="14">
        <f>IFERROR(__xludf.DUMMYFUNCTION("""COMPUTED_VALUE"""),76.0)</f>
        <v>76</v>
      </c>
      <c r="S2088" s="14">
        <f>IFERROR(__xludf.DUMMYFUNCTION("""COMPUTED_VALUE"""),69.0)</f>
        <v>69</v>
      </c>
      <c r="T2088" s="14">
        <f>IFERROR(__xludf.DUMMYFUNCTION("""COMPUTED_VALUE"""),0.238)</f>
        <v>0.238</v>
      </c>
      <c r="U2088" s="14">
        <f>IFERROR(__xludf.DUMMYFUNCTION("""COMPUTED_VALUE"""),0.688)</f>
        <v>0.688</v>
      </c>
      <c r="V2088" s="14">
        <f>IFERROR(__xludf.DUMMYFUNCTION("""COMPUTED_VALUE"""),0.075)</f>
        <v>0.075</v>
      </c>
      <c r="W2088" s="14">
        <f>IFERROR(__xludf.DUMMYFUNCTION("""COMPUTED_VALUE"""),84600.0)</f>
        <v>84600</v>
      </c>
      <c r="X2088" s="14">
        <f>IFERROR(__xludf.DUMMYFUNCTION("""COMPUTED_VALUE"""),0.513)</f>
        <v>0.513</v>
      </c>
      <c r="Y2088" s="14" t="str">
        <f>IFERROR(__xludf.DUMMYFUNCTION("""COMPUTED_VALUE"""),"Seychelles-Africa")</f>
        <v>Seychelles-Africa</v>
      </c>
      <c r="Z2088" s="14" t="str">
        <f>IFERROR(__xludf.DUMMYFUNCTION("""COMPUTED_VALUE"""),"Africa")</f>
        <v>Africa</v>
      </c>
      <c r="AA2088" s="14" t="str">
        <f>IFERROR(__xludf.DUMMYFUNCTION("""COMPUTED_VALUE"""),"2006")</f>
        <v>2006</v>
      </c>
      <c r="AB2088" s="15" t="str">
        <f>IFERROR(__xludf.DUMMYFUNCTION("ARRAYFORMULA(VLOOKUP(A2088,IMPORTRANGE(""https://docs.google.com/spreadsheets/d/1BuTWp7qHGjWhqrnf-OmePP568O4A5Am9ttzvVdP67zw/edit#gid=1931367683"" ,""ENERGY!$A$2:$F$2692""), {2,3,4,5,6},0))"),"Africa")</f>
        <v>Africa</v>
      </c>
      <c r="AC2088" s="14" t="str">
        <f>IFERROR(__xludf.DUMMYFUNCTION("""COMPUTED_VALUE"""),"Seychelles-Africa")</f>
        <v>Seychelles-Africa</v>
      </c>
      <c r="AD2088" s="14" t="str">
        <f>IFERROR(__xludf.DUMMYFUNCTION("""COMPUTED_VALUE"""),"2012")</f>
        <v>2012</v>
      </c>
      <c r="AE2088" s="14">
        <f>IFERROR(__xludf.DUMMYFUNCTION("""COMPUTED_VALUE"""),243.0)</f>
        <v>243</v>
      </c>
      <c r="AF2088" s="14">
        <f>IFERROR(__xludf.DUMMYFUNCTION("""COMPUTED_VALUE"""),744.0)</f>
        <v>744</v>
      </c>
    </row>
    <row r="2089">
      <c r="A2089" s="12">
        <v>2088.0</v>
      </c>
      <c r="B2089" s="12" t="s">
        <v>239</v>
      </c>
      <c r="C2089" s="5" t="s">
        <v>77</v>
      </c>
      <c r="D2089" s="11">
        <v>0.484</v>
      </c>
      <c r="E2089" s="11">
        <v>39.0</v>
      </c>
      <c r="F2089" s="8"/>
      <c r="G2089" s="11">
        <v>76.0</v>
      </c>
      <c r="H2089" s="11">
        <v>0.384</v>
      </c>
      <c r="I2089" s="11">
        <v>0.867</v>
      </c>
      <c r="J2089" s="9" t="s">
        <v>68</v>
      </c>
      <c r="K2089" s="14" t="str">
        <f>IFERROR(__xludf.DUMMYFUNCTION("ARRAYFORMULA(VLOOKUP(A2089,IMPORTRANGE(""https://docs.google.com/spreadsheets/d/1BuTWp7qHGjWhqrnf-OmePP568O4A5Am9ttzvVdP67zw/edit#gid=1603210130"", ""TOURISM!$A$2:$F$2692""), {2,3,4,5,6},0))"),"Africa")</f>
        <v>Africa</v>
      </c>
      <c r="L2089" s="14">
        <f>IFERROR(__xludf.DUMMYFUNCTION("""COMPUTED_VALUE"""),6.0E7)</f>
        <v>60000000</v>
      </c>
      <c r="M2089" s="14" t="str">
        <f>IFERROR(__xludf.DUMMYFUNCTION("""COMPUTED_VALUE"""),"Seychelles-Africa")</f>
        <v>Seychelles-Africa</v>
      </c>
      <c r="N2089" s="14" t="str">
        <f>IFERROR(__xludf.DUMMYFUNCTION("""COMPUTED_VALUE"""),"2007")</f>
        <v>2007</v>
      </c>
      <c r="O2089" s="14">
        <f>IFERROR(__xludf.DUMMYFUNCTION("""COMPUTED_VALUE"""),1.1E7)</f>
        <v>11000000</v>
      </c>
      <c r="P2089" s="15">
        <f>IFERROR(__xludf.DUMMYFUNCTION("ARRAYFORMULA(VLOOKUP(A2089,IMPORTRANGE(""https://docs.google.com/spreadsheets/d/1BuTWp7qHGjWhqrnf-OmePP568O4A5Am9ttzvVdP67zw/edit#gid=771602874"" ,""HUMAN RESOURCES!$A$2:$M$2692""), {2,3,4,5,6,7,8,9,10,11,12,13},0))"),0.018)</f>
        <v>0.018</v>
      </c>
      <c r="Q2089" s="14">
        <f>IFERROR(__xludf.DUMMYFUNCTION("""COMPUTED_VALUE"""),0.012)</f>
        <v>0.012</v>
      </c>
      <c r="R2089" s="14">
        <f>IFERROR(__xludf.DUMMYFUNCTION("""COMPUTED_VALUE"""),78.0)</f>
        <v>78</v>
      </c>
      <c r="S2089" s="14">
        <f>IFERROR(__xludf.DUMMYFUNCTION("""COMPUTED_VALUE"""),69.0)</f>
        <v>69</v>
      </c>
      <c r="T2089" s="14">
        <f>IFERROR(__xludf.DUMMYFUNCTION("""COMPUTED_VALUE"""),0.233)</f>
        <v>0.233</v>
      </c>
      <c r="U2089" s="14">
        <f>IFERROR(__xludf.DUMMYFUNCTION("""COMPUTED_VALUE"""),0.693)</f>
        <v>0.693</v>
      </c>
      <c r="V2089" s="14">
        <f>IFERROR(__xludf.DUMMYFUNCTION("""COMPUTED_VALUE"""),0.075)</f>
        <v>0.075</v>
      </c>
      <c r="W2089" s="14">
        <f>IFERROR(__xludf.DUMMYFUNCTION("""COMPUTED_VALUE"""),85033.0)</f>
        <v>85033</v>
      </c>
      <c r="X2089" s="14">
        <f>IFERROR(__xludf.DUMMYFUNCTION("""COMPUTED_VALUE"""),0.515)</f>
        <v>0.515</v>
      </c>
      <c r="Y2089" s="14" t="str">
        <f>IFERROR(__xludf.DUMMYFUNCTION("""COMPUTED_VALUE"""),"Seychelles-Africa")</f>
        <v>Seychelles-Africa</v>
      </c>
      <c r="Z2089" s="14" t="str">
        <f>IFERROR(__xludf.DUMMYFUNCTION("""COMPUTED_VALUE"""),"Africa")</f>
        <v>Africa</v>
      </c>
      <c r="AA2089" s="14" t="str">
        <f>IFERROR(__xludf.DUMMYFUNCTION("""COMPUTED_VALUE"""),"2007")</f>
        <v>2007</v>
      </c>
      <c r="AB2089" s="15" t="str">
        <f>IFERROR(__xludf.DUMMYFUNCTION("ARRAYFORMULA(VLOOKUP(A2089,IMPORTRANGE(""https://docs.google.com/spreadsheets/d/1BuTWp7qHGjWhqrnf-OmePP568O4A5Am9ttzvVdP67zw/edit#gid=1931367683"" ,""ENERGY!$A$2:$F$2692""), {2,3,4,5,6},0))"),"Africa")</f>
        <v>Africa</v>
      </c>
      <c r="AC2089" s="14" t="str">
        <f>IFERROR(__xludf.DUMMYFUNCTION("""COMPUTED_VALUE"""),"Seychelles-Africa")</f>
        <v>Seychelles-Africa</v>
      </c>
      <c r="AD2089" s="14" t="str">
        <f>IFERROR(__xludf.DUMMYFUNCTION("""COMPUTED_VALUE"""),"2010")</f>
        <v>2010</v>
      </c>
      <c r="AE2089" s="14">
        <f>IFERROR(__xludf.DUMMYFUNCTION("""COMPUTED_VALUE"""),228.0)</f>
        <v>228</v>
      </c>
      <c r="AF2089" s="14">
        <f>IFERROR(__xludf.DUMMYFUNCTION("""COMPUTED_VALUE"""),697.0)</f>
        <v>697</v>
      </c>
    </row>
    <row r="2090">
      <c r="A2090" s="12">
        <v>2089.0</v>
      </c>
      <c r="B2090" s="12" t="s">
        <v>239</v>
      </c>
      <c r="C2090" s="5" t="s">
        <v>77</v>
      </c>
      <c r="D2090" s="11">
        <v>0.466</v>
      </c>
      <c r="E2090" s="11">
        <v>39.0</v>
      </c>
      <c r="F2090" s="8"/>
      <c r="G2090" s="11">
        <v>76.0</v>
      </c>
      <c r="H2090" s="11">
        <v>0.404</v>
      </c>
      <c r="I2090" s="11">
        <v>1.04</v>
      </c>
      <c r="J2090" s="9" t="s">
        <v>69</v>
      </c>
      <c r="K2090" s="14" t="str">
        <f>IFERROR(__xludf.DUMMYFUNCTION("ARRAYFORMULA(VLOOKUP(A2090,IMPORTRANGE(""https://docs.google.com/spreadsheets/d/1BuTWp7qHGjWhqrnf-OmePP568O4A5Am9ttzvVdP67zw/edit#gid=1603210130"", ""TOURISM!$A$2:$F$2692""), {2,3,4,5,6},0))"),"Africa")</f>
        <v>Africa</v>
      </c>
      <c r="L2090" s="14">
        <f>IFERROR(__xludf.DUMMYFUNCTION("""COMPUTED_VALUE"""),4.6E7)</f>
        <v>46000000</v>
      </c>
      <c r="M2090" s="14" t="str">
        <f>IFERROR(__xludf.DUMMYFUNCTION("""COMPUTED_VALUE"""),"Seychelles-Africa")</f>
        <v>Seychelles-Africa</v>
      </c>
      <c r="N2090" s="14" t="str">
        <f>IFERROR(__xludf.DUMMYFUNCTION("""COMPUTED_VALUE"""),"2008")</f>
        <v>2008</v>
      </c>
      <c r="O2090" s="14">
        <f>IFERROR(__xludf.DUMMYFUNCTION("""COMPUTED_VALUE"""),7000000.0)</f>
        <v>7000000</v>
      </c>
      <c r="P2090" s="15">
        <f>IFERROR(__xludf.DUMMYFUNCTION("ARRAYFORMULA(VLOOKUP(A2090,IMPORTRANGE(""https://docs.google.com/spreadsheets/d/1BuTWp7qHGjWhqrnf-OmePP568O4A5Am9ttzvVdP67zw/edit#gid=771602874"" ,""HUMAN RESOURCES!$A$2:$M$2692""), {2,3,4,5,6,7,8,9,10,11,12,13},0))"),0.018)</f>
        <v>0.018</v>
      </c>
      <c r="Q2090" s="14">
        <f>IFERROR(__xludf.DUMMYFUNCTION("""COMPUTED_VALUE"""),0.012)</f>
        <v>0.012</v>
      </c>
      <c r="R2090" s="14">
        <f>IFERROR(__xludf.DUMMYFUNCTION("""COMPUTED_VALUE"""),79.0)</f>
        <v>79</v>
      </c>
      <c r="S2090" s="14">
        <f>IFERROR(__xludf.DUMMYFUNCTION("""COMPUTED_VALUE"""),68.0)</f>
        <v>68</v>
      </c>
      <c r="T2090" s="14">
        <f>IFERROR(__xludf.DUMMYFUNCTION("""COMPUTED_VALUE"""),0.229)</f>
        <v>0.229</v>
      </c>
      <c r="U2090" s="14">
        <f>IFERROR(__xludf.DUMMYFUNCTION("""COMPUTED_VALUE"""),0.696)</f>
        <v>0.696</v>
      </c>
      <c r="V2090" s="14">
        <f>IFERROR(__xludf.DUMMYFUNCTION("""COMPUTED_VALUE"""),0.075)</f>
        <v>0.075</v>
      </c>
      <c r="W2090" s="14">
        <f>IFERROR(__xludf.DUMMYFUNCTION("""COMPUTED_VALUE"""),86956.0)</f>
        <v>86956</v>
      </c>
      <c r="X2090" s="14">
        <f>IFERROR(__xludf.DUMMYFUNCTION("""COMPUTED_VALUE"""),0.518)</f>
        <v>0.518</v>
      </c>
      <c r="Y2090" s="14" t="str">
        <f>IFERROR(__xludf.DUMMYFUNCTION("""COMPUTED_VALUE"""),"Seychelles-Africa")</f>
        <v>Seychelles-Africa</v>
      </c>
      <c r="Z2090" s="14" t="str">
        <f>IFERROR(__xludf.DUMMYFUNCTION("""COMPUTED_VALUE"""),"Africa")</f>
        <v>Africa</v>
      </c>
      <c r="AA2090" s="14" t="str">
        <f>IFERROR(__xludf.DUMMYFUNCTION("""COMPUTED_VALUE"""),"2008")</f>
        <v>2008</v>
      </c>
      <c r="AB2090" s="15" t="str">
        <f>IFERROR(__xludf.DUMMYFUNCTION("ARRAYFORMULA(VLOOKUP(A2090,IMPORTRANGE(""https://docs.google.com/spreadsheets/d/1BuTWp7qHGjWhqrnf-OmePP568O4A5Am9ttzvVdP67zw/edit#gid=1931367683"" ,""ENERGY!$A$2:$F$2692""), {2,3,4,5,6},0))"),"Africa")</f>
        <v>Africa</v>
      </c>
      <c r="AC2090" s="14" t="str">
        <f>IFERROR(__xludf.DUMMYFUNCTION("""COMPUTED_VALUE"""),"Seychelles-Africa")</f>
        <v>Seychelles-Africa</v>
      </c>
      <c r="AD2090" s="14" t="str">
        <f>IFERROR(__xludf.DUMMYFUNCTION("""COMPUTED_VALUE"""),"2007")</f>
        <v>2007</v>
      </c>
      <c r="AE2090" s="14">
        <f>IFERROR(__xludf.DUMMYFUNCTION("""COMPUTED_VALUE"""),256.0)</f>
        <v>256</v>
      </c>
      <c r="AF2090" s="14">
        <f>IFERROR(__xludf.DUMMYFUNCTION("""COMPUTED_VALUE"""),744.0)</f>
        <v>744</v>
      </c>
    </row>
    <row r="2091">
      <c r="A2091" s="12">
        <v>2090.0</v>
      </c>
      <c r="B2091" s="12" t="s">
        <v>239</v>
      </c>
      <c r="C2091" s="5" t="s">
        <v>77</v>
      </c>
      <c r="D2091" s="11">
        <v>0.441</v>
      </c>
      <c r="E2091" s="11">
        <v>39.0</v>
      </c>
      <c r="F2091" s="8"/>
      <c r="G2091" s="11">
        <v>76.0</v>
      </c>
      <c r="H2091" s="8"/>
      <c r="I2091" s="11">
        <v>1.222</v>
      </c>
      <c r="J2091" s="9" t="s">
        <v>70</v>
      </c>
      <c r="K2091" s="14" t="str">
        <f>IFERROR(__xludf.DUMMYFUNCTION("ARRAYFORMULA(VLOOKUP(A2091,IMPORTRANGE(""https://docs.google.com/spreadsheets/d/1BuTWp7qHGjWhqrnf-OmePP568O4A5Am9ttzvVdP67zw/edit#gid=1603210130"", ""TOURISM!$A$2:$F$2692""), {2,3,4,5,6},0))"),"Africa")</f>
        <v>Africa</v>
      </c>
      <c r="L2091" s="14">
        <f>IFERROR(__xludf.DUMMYFUNCTION("""COMPUTED_VALUE"""),2.7E7)</f>
        <v>27000000</v>
      </c>
      <c r="M2091" s="14" t="str">
        <f>IFERROR(__xludf.DUMMYFUNCTION("""COMPUTED_VALUE"""),"Seychelles-Africa")</f>
        <v>Seychelles-Africa</v>
      </c>
      <c r="N2091" s="14" t="str">
        <f>IFERROR(__xludf.DUMMYFUNCTION("""COMPUTED_VALUE"""),"2009")</f>
        <v>2009</v>
      </c>
      <c r="O2091" s="14">
        <f>IFERROR(__xludf.DUMMYFUNCTION("""COMPUTED_VALUE"""),5000000.0)</f>
        <v>5000000</v>
      </c>
      <c r="P2091" s="15">
        <f>IFERROR(__xludf.DUMMYFUNCTION("ARRAYFORMULA(VLOOKUP(A2091,IMPORTRANGE(""https://docs.google.com/spreadsheets/d/1BuTWp7qHGjWhqrnf-OmePP568O4A5Am9ttzvVdP67zw/edit#gid=771602874"" ,""HUMAN RESOURCES!$A$2:$M$2692""), {2,3,4,5,6,7,8,9,10,11,12,13},0))"),0.018)</f>
        <v>0.018</v>
      </c>
      <c r="Q2091" s="14">
        <f>IFERROR(__xludf.DUMMYFUNCTION("""COMPUTED_VALUE"""),0.012)</f>
        <v>0.012</v>
      </c>
      <c r="R2091" s="14">
        <f>IFERROR(__xludf.DUMMYFUNCTION("""COMPUTED_VALUE"""),78.0)</f>
        <v>78</v>
      </c>
      <c r="S2091" s="14">
        <f>IFERROR(__xludf.DUMMYFUNCTION("""COMPUTED_VALUE"""),68.0)</f>
        <v>68</v>
      </c>
      <c r="T2091" s="14">
        <f>IFERROR(__xludf.DUMMYFUNCTION("""COMPUTED_VALUE"""),0.225)</f>
        <v>0.225</v>
      </c>
      <c r="U2091" s="14">
        <f>IFERROR(__xludf.DUMMYFUNCTION("""COMPUTED_VALUE"""),0.699)</f>
        <v>0.699</v>
      </c>
      <c r="V2091" s="14">
        <f>IFERROR(__xludf.DUMMYFUNCTION("""COMPUTED_VALUE"""),0.076)</f>
        <v>0.076</v>
      </c>
      <c r="W2091" s="14">
        <f>IFERROR(__xludf.DUMMYFUNCTION("""COMPUTED_VALUE"""),87298.0)</f>
        <v>87298</v>
      </c>
      <c r="X2091" s="14">
        <f>IFERROR(__xludf.DUMMYFUNCTION("""COMPUTED_VALUE"""),0.52)</f>
        <v>0.52</v>
      </c>
      <c r="Y2091" s="14" t="str">
        <f>IFERROR(__xludf.DUMMYFUNCTION("""COMPUTED_VALUE"""),"Seychelles-Africa")</f>
        <v>Seychelles-Africa</v>
      </c>
      <c r="Z2091" s="14" t="str">
        <f>IFERROR(__xludf.DUMMYFUNCTION("""COMPUTED_VALUE"""),"Africa")</f>
        <v>Africa</v>
      </c>
      <c r="AA2091" s="14" t="str">
        <f>IFERROR(__xludf.DUMMYFUNCTION("""COMPUTED_VALUE"""),"2009")</f>
        <v>2009</v>
      </c>
      <c r="AB2091" s="15" t="str">
        <f>IFERROR(__xludf.DUMMYFUNCTION("ARRAYFORMULA(VLOOKUP(A2091,IMPORTRANGE(""https://docs.google.com/spreadsheets/d/1BuTWp7qHGjWhqrnf-OmePP568O4A5Am9ttzvVdP67zw/edit#gid=1931367683"" ,""ENERGY!$A$2:$F$2692""), {2,3,4,5,6},0))"),"Africa")</f>
        <v>Africa</v>
      </c>
      <c r="AC2091" s="14" t="str">
        <f>IFERROR(__xludf.DUMMYFUNCTION("""COMPUTED_VALUE"""),"Seychelles-Africa")</f>
        <v>Seychelles-Africa</v>
      </c>
      <c r="AD2091" s="14" t="str">
        <f>IFERROR(__xludf.DUMMYFUNCTION("""COMPUTED_VALUE"""),"2011")</f>
        <v>2011</v>
      </c>
      <c r="AE2091" s="14"/>
      <c r="AF2091" s="14">
        <f>IFERROR(__xludf.DUMMYFUNCTION("""COMPUTED_VALUE"""),557.0)</f>
        <v>557</v>
      </c>
    </row>
    <row r="2092">
      <c r="A2092" s="12">
        <v>2091.0</v>
      </c>
      <c r="B2092" s="12" t="s">
        <v>239</v>
      </c>
      <c r="C2092" s="5" t="s">
        <v>77</v>
      </c>
      <c r="D2092" s="11">
        <v>0.441</v>
      </c>
      <c r="E2092" s="11">
        <v>39.0</v>
      </c>
      <c r="F2092" s="8"/>
      <c r="G2092" s="11">
        <v>76.0</v>
      </c>
      <c r="H2092" s="11">
        <v>0.41</v>
      </c>
      <c r="I2092" s="11">
        <v>1.289</v>
      </c>
      <c r="J2092" s="9" t="s">
        <v>71</v>
      </c>
      <c r="K2092" s="14" t="str">
        <f>IFERROR(__xludf.DUMMYFUNCTION("ARRAYFORMULA(VLOOKUP(A2092,IMPORTRANGE(""https://docs.google.com/spreadsheets/d/1BuTWp7qHGjWhqrnf-OmePP568O4A5Am9ttzvVdP67zw/edit#gid=1603210130"", ""TOURISM!$A$2:$F$2692""), {2,3,4,5,6},0))"),"Africa")</f>
        <v>Africa</v>
      </c>
      <c r="L2092" s="14">
        <f>IFERROR(__xludf.DUMMYFUNCTION("""COMPUTED_VALUE"""),2.9E7)</f>
        <v>29000000</v>
      </c>
      <c r="M2092" s="14" t="str">
        <f>IFERROR(__xludf.DUMMYFUNCTION("""COMPUTED_VALUE"""),"Seychelles-Africa")</f>
        <v>Seychelles-Africa</v>
      </c>
      <c r="N2092" s="14" t="str">
        <f>IFERROR(__xludf.DUMMYFUNCTION("""COMPUTED_VALUE"""),"2010")</f>
        <v>2010</v>
      </c>
      <c r="O2092" s="14">
        <f>IFERROR(__xludf.DUMMYFUNCTION("""COMPUTED_VALUE"""),5000000.0)</f>
        <v>5000000</v>
      </c>
      <c r="P2092" s="15">
        <f>IFERROR(__xludf.DUMMYFUNCTION("ARRAYFORMULA(VLOOKUP(A2092,IMPORTRANGE(""https://docs.google.com/spreadsheets/d/1BuTWp7qHGjWhqrnf-OmePP568O4A5Am9ttzvVdP67zw/edit#gid=771602874"" ,""HUMAN RESOURCES!$A$2:$M$2692""), {2,3,4,5,6,7,8,9,10,11,12,13},0))"),0.017)</f>
        <v>0.017</v>
      </c>
      <c r="Q2092" s="14">
        <f>IFERROR(__xludf.DUMMYFUNCTION("""COMPUTED_VALUE"""),0.012)</f>
        <v>0.012</v>
      </c>
      <c r="R2092" s="14">
        <f>IFERROR(__xludf.DUMMYFUNCTION("""COMPUTED_VALUE"""),78.0)</f>
        <v>78</v>
      </c>
      <c r="S2092" s="14">
        <f>IFERROR(__xludf.DUMMYFUNCTION("""COMPUTED_VALUE"""),69.0)</f>
        <v>69</v>
      </c>
      <c r="T2092" s="14">
        <f>IFERROR(__xludf.DUMMYFUNCTION("""COMPUTED_VALUE"""),0.223)</f>
        <v>0.223</v>
      </c>
      <c r="U2092" s="14">
        <f>IFERROR(__xludf.DUMMYFUNCTION("""COMPUTED_VALUE"""),0.701)</f>
        <v>0.701</v>
      </c>
      <c r="V2092" s="14">
        <f>IFERROR(__xludf.DUMMYFUNCTION("""COMPUTED_VALUE"""),0.076)</f>
        <v>0.076</v>
      </c>
      <c r="W2092" s="14">
        <f>IFERROR(__xludf.DUMMYFUNCTION("""COMPUTED_VALUE"""),89770.0)</f>
        <v>89770</v>
      </c>
      <c r="X2092" s="14">
        <f>IFERROR(__xludf.DUMMYFUNCTION("""COMPUTED_VALUE"""),0.523)</f>
        <v>0.523</v>
      </c>
      <c r="Y2092" s="14" t="str">
        <f>IFERROR(__xludf.DUMMYFUNCTION("""COMPUTED_VALUE"""),"Seychelles-Africa")</f>
        <v>Seychelles-Africa</v>
      </c>
      <c r="Z2092" s="14" t="str">
        <f>IFERROR(__xludf.DUMMYFUNCTION("""COMPUTED_VALUE"""),"Africa")</f>
        <v>Africa</v>
      </c>
      <c r="AA2092" s="14" t="str">
        <f>IFERROR(__xludf.DUMMYFUNCTION("""COMPUTED_VALUE"""),"2010")</f>
        <v>2010</v>
      </c>
      <c r="AB2092" s="15" t="str">
        <f>IFERROR(__xludf.DUMMYFUNCTION("ARRAYFORMULA(VLOOKUP(A2092,IMPORTRANGE(""https://docs.google.com/spreadsheets/d/1BuTWp7qHGjWhqrnf-OmePP568O4A5Am9ttzvVdP67zw/edit#gid=1931367683"" ,""ENERGY!$A$2:$F$2692""), {2,3,4,5,6},0))"),"Africa")</f>
        <v>Africa</v>
      </c>
      <c r="AC2092" s="14" t="str">
        <f>IFERROR(__xludf.DUMMYFUNCTION("""COMPUTED_VALUE"""),"Seychelles-Africa")</f>
        <v>Seychelles-Africa</v>
      </c>
      <c r="AD2092" s="14" t="str">
        <f>IFERROR(__xludf.DUMMYFUNCTION("""COMPUTED_VALUE"""),"2008")</f>
        <v>2008</v>
      </c>
      <c r="AE2092" s="14"/>
      <c r="AF2092" s="14">
        <f>IFERROR(__xludf.DUMMYFUNCTION("""COMPUTED_VALUE"""),543.0)</f>
        <v>543</v>
      </c>
    </row>
    <row r="2093">
      <c r="A2093" s="12">
        <v>2092.0</v>
      </c>
      <c r="B2093" s="12" t="s">
        <v>239</v>
      </c>
      <c r="C2093" s="5" t="s">
        <v>77</v>
      </c>
      <c r="D2093" s="11">
        <v>0.322</v>
      </c>
      <c r="E2093" s="11">
        <v>39.0</v>
      </c>
      <c r="F2093" s="8"/>
      <c r="G2093" s="11">
        <v>76.0</v>
      </c>
      <c r="H2093" s="11">
        <v>0.432</v>
      </c>
      <c r="I2093" s="11">
        <v>1.379</v>
      </c>
      <c r="J2093" s="9" t="s">
        <v>72</v>
      </c>
      <c r="K2093" s="14" t="str">
        <f>IFERROR(__xludf.DUMMYFUNCTION("ARRAYFORMULA(VLOOKUP(A2093,IMPORTRANGE(""https://docs.google.com/spreadsheets/d/1BuTWp7qHGjWhqrnf-OmePP568O4A5Am9ttzvVdP67zw/edit#gid=1603210130"", ""TOURISM!$A$2:$F$2692""), {2,3,4,5,6},0))"),"Africa")</f>
        <v>Africa</v>
      </c>
      <c r="L2093" s="14">
        <f>IFERROR(__xludf.DUMMYFUNCTION("""COMPUTED_VALUE"""),3.1E7)</f>
        <v>31000000</v>
      </c>
      <c r="M2093" s="14" t="str">
        <f>IFERROR(__xludf.DUMMYFUNCTION("""COMPUTED_VALUE"""),"Seychelles-Africa")</f>
        <v>Seychelles-Africa</v>
      </c>
      <c r="N2093" s="14" t="str">
        <f>IFERROR(__xludf.DUMMYFUNCTION("""COMPUTED_VALUE"""),"2011")</f>
        <v>2011</v>
      </c>
      <c r="O2093" s="14">
        <f>IFERROR(__xludf.DUMMYFUNCTION("""COMPUTED_VALUE"""),5000000.0)</f>
        <v>5000000</v>
      </c>
      <c r="P2093" s="15">
        <f>IFERROR(__xludf.DUMMYFUNCTION("ARRAYFORMULA(VLOOKUP(A2093,IMPORTRANGE(""https://docs.google.com/spreadsheets/d/1BuTWp7qHGjWhqrnf-OmePP568O4A5Am9ttzvVdP67zw/edit#gid=771602874"" ,""HUMAN RESOURCES!$A$2:$M$2692""), {2,3,4,5,6,7,8,9,10,11,12,13},0))"),0.019)</f>
        <v>0.019</v>
      </c>
      <c r="Q2093" s="14">
        <f>IFERROR(__xludf.DUMMYFUNCTION("""COMPUTED_VALUE"""),0.012)</f>
        <v>0.012</v>
      </c>
      <c r="R2093" s="14">
        <f>IFERROR(__xludf.DUMMYFUNCTION("""COMPUTED_VALUE"""),78.0)</f>
        <v>78</v>
      </c>
      <c r="S2093" s="14">
        <f>IFERROR(__xludf.DUMMYFUNCTION("""COMPUTED_VALUE"""),68.0)</f>
        <v>68</v>
      </c>
      <c r="T2093" s="14">
        <f>IFERROR(__xludf.DUMMYFUNCTION("""COMPUTED_VALUE"""),0.222)</f>
        <v>0.222</v>
      </c>
      <c r="U2093" s="14">
        <f>IFERROR(__xludf.DUMMYFUNCTION("""COMPUTED_VALUE"""),0.702)</f>
        <v>0.702</v>
      </c>
      <c r="V2093" s="14">
        <f>IFERROR(__xludf.DUMMYFUNCTION("""COMPUTED_VALUE"""),0.076)</f>
        <v>0.076</v>
      </c>
      <c r="W2093" s="14">
        <f>IFERROR(__xludf.DUMMYFUNCTION("""COMPUTED_VALUE"""),87441.0)</f>
        <v>87441</v>
      </c>
      <c r="X2093" s="14">
        <f>IFERROR(__xludf.DUMMYFUNCTION("""COMPUTED_VALUE"""),0.526)</f>
        <v>0.526</v>
      </c>
      <c r="Y2093" s="14" t="str">
        <f>IFERROR(__xludf.DUMMYFUNCTION("""COMPUTED_VALUE"""),"Seychelles-Africa")</f>
        <v>Seychelles-Africa</v>
      </c>
      <c r="Z2093" s="14" t="str">
        <f>IFERROR(__xludf.DUMMYFUNCTION("""COMPUTED_VALUE"""),"Africa")</f>
        <v>Africa</v>
      </c>
      <c r="AA2093" s="14" t="str">
        <f>IFERROR(__xludf.DUMMYFUNCTION("""COMPUTED_VALUE"""),"2011")</f>
        <v>2011</v>
      </c>
      <c r="AB2093" s="15" t="str">
        <f>IFERROR(__xludf.DUMMYFUNCTION("ARRAYFORMULA(VLOOKUP(A2093,IMPORTRANGE(""https://docs.google.com/spreadsheets/d/1BuTWp7qHGjWhqrnf-OmePP568O4A5Am9ttzvVdP67zw/edit#gid=1931367683"" ,""ENERGY!$A$2:$F$2692""), {2,3,4,5,6},0))"),"Africa")</f>
        <v>Africa</v>
      </c>
      <c r="AC2093" s="14" t="str">
        <f>IFERROR(__xludf.DUMMYFUNCTION("""COMPUTED_VALUE"""),"Seychelles-Africa")</f>
        <v>Seychelles-Africa</v>
      </c>
      <c r="AD2093" s="14" t="str">
        <f>IFERROR(__xludf.DUMMYFUNCTION("""COMPUTED_VALUE"""),"2007")</f>
        <v>2007</v>
      </c>
      <c r="AE2093" s="14"/>
      <c r="AF2093" s="14">
        <f>IFERROR(__xludf.DUMMYFUNCTION("""COMPUTED_VALUE"""),642.0)</f>
        <v>642</v>
      </c>
    </row>
    <row r="2094">
      <c r="A2094" s="12">
        <v>2093.0</v>
      </c>
      <c r="B2094" s="12" t="s">
        <v>239</v>
      </c>
      <c r="C2094" s="5" t="s">
        <v>77</v>
      </c>
      <c r="D2094" s="11">
        <v>0.257</v>
      </c>
      <c r="E2094" s="11">
        <v>39.0</v>
      </c>
      <c r="F2094" s="11">
        <v>77.0</v>
      </c>
      <c r="G2094" s="11">
        <v>76.0</v>
      </c>
      <c r="H2094" s="11">
        <v>0.471</v>
      </c>
      <c r="I2094" s="11">
        <v>1.478</v>
      </c>
      <c r="J2094" s="9" t="s">
        <v>73</v>
      </c>
      <c r="K2094" s="14" t="str">
        <f>IFERROR(__xludf.DUMMYFUNCTION("ARRAYFORMULA(VLOOKUP(A2094,IMPORTRANGE(""https://docs.google.com/spreadsheets/d/1BuTWp7qHGjWhqrnf-OmePP568O4A5Am9ttzvVdP67zw/edit#gid=1603210130"", ""TOURISM!$A$2:$F$2692""), {2,3,4,5,6},0))"),"Africa")</f>
        <v>Africa</v>
      </c>
      <c r="L2094" s="14">
        <f>IFERROR(__xludf.DUMMYFUNCTION("""COMPUTED_VALUE"""),2.6E7)</f>
        <v>26000000</v>
      </c>
      <c r="M2094" s="14" t="str">
        <f>IFERROR(__xludf.DUMMYFUNCTION("""COMPUTED_VALUE"""),"Seychelles-Africa")</f>
        <v>Seychelles-Africa</v>
      </c>
      <c r="N2094" s="14" t="str">
        <f>IFERROR(__xludf.DUMMYFUNCTION("""COMPUTED_VALUE"""),"2012")</f>
        <v>2012</v>
      </c>
      <c r="O2094" s="14">
        <f>IFERROR(__xludf.DUMMYFUNCTION("""COMPUTED_VALUE"""),4000000.0)</f>
        <v>4000000</v>
      </c>
      <c r="P2094" s="15">
        <f>IFERROR(__xludf.DUMMYFUNCTION("ARRAYFORMULA(VLOOKUP(A2094,IMPORTRANGE(""https://docs.google.com/spreadsheets/d/1BuTWp7qHGjWhqrnf-OmePP568O4A5Am9ttzvVdP67zw/edit#gid=771602874"" ,""HUMAN RESOURCES!$A$2:$M$2692""), {2,3,4,5,6,7,8,9,10,11,12,13},0))"),0.019)</f>
        <v>0.019</v>
      </c>
      <c r="Q2094" s="14">
        <f>IFERROR(__xludf.DUMMYFUNCTION("""COMPUTED_VALUE"""),0.012)</f>
        <v>0.012</v>
      </c>
      <c r="R2094" s="14">
        <f>IFERROR(__xludf.DUMMYFUNCTION("""COMPUTED_VALUE"""),78.0)</f>
        <v>78</v>
      </c>
      <c r="S2094" s="14">
        <f>IFERROR(__xludf.DUMMYFUNCTION("""COMPUTED_VALUE"""),68.0)</f>
        <v>68</v>
      </c>
      <c r="T2094" s="14">
        <f>IFERROR(__xludf.DUMMYFUNCTION("""COMPUTED_VALUE"""),0.221)</f>
        <v>0.221</v>
      </c>
      <c r="U2094" s="14">
        <f>IFERROR(__xludf.DUMMYFUNCTION("""COMPUTED_VALUE"""),0.702)</f>
        <v>0.702</v>
      </c>
      <c r="V2094" s="14">
        <f>IFERROR(__xludf.DUMMYFUNCTION("""COMPUTED_VALUE"""),0.077)</f>
        <v>0.077</v>
      </c>
      <c r="W2094" s="14">
        <f>IFERROR(__xludf.DUMMYFUNCTION("""COMPUTED_VALUE"""),88303.0)</f>
        <v>88303</v>
      </c>
      <c r="X2094" s="14">
        <f>IFERROR(__xludf.DUMMYFUNCTION("""COMPUTED_VALUE"""),0.529)</f>
        <v>0.529</v>
      </c>
      <c r="Y2094" s="14" t="str">
        <f>IFERROR(__xludf.DUMMYFUNCTION("""COMPUTED_VALUE"""),"Seychelles-Africa")</f>
        <v>Seychelles-Africa</v>
      </c>
      <c r="Z2094" s="14" t="str">
        <f>IFERROR(__xludf.DUMMYFUNCTION("""COMPUTED_VALUE"""),"Africa")</f>
        <v>Africa</v>
      </c>
      <c r="AA2094" s="14" t="str">
        <f>IFERROR(__xludf.DUMMYFUNCTION("""COMPUTED_VALUE"""),"2012")</f>
        <v>2012</v>
      </c>
      <c r="AB2094" s="15" t="str">
        <f>IFERROR(__xludf.DUMMYFUNCTION("ARRAYFORMULA(VLOOKUP(A2094,IMPORTRANGE(""https://docs.google.com/spreadsheets/d/1BuTWp7qHGjWhqrnf-OmePP568O4A5Am9ttzvVdP67zw/edit#gid=1931367683"" ,""ENERGY!$A$2:$F$2692""), {2,3,4,5,6},0))"),"Africa")</f>
        <v>Africa</v>
      </c>
      <c r="AC2094" s="14" t="str">
        <f>IFERROR(__xludf.DUMMYFUNCTION("""COMPUTED_VALUE"""),"Seychelles-Africa")</f>
        <v>Seychelles-Africa</v>
      </c>
      <c r="AD2094" s="14" t="str">
        <f>IFERROR(__xludf.DUMMYFUNCTION("""COMPUTED_VALUE"""),"2011")</f>
        <v>2011</v>
      </c>
      <c r="AE2094" s="14"/>
      <c r="AF2094" s="14">
        <f>IFERROR(__xludf.DUMMYFUNCTION("""COMPUTED_VALUE"""),565.0)</f>
        <v>565</v>
      </c>
    </row>
    <row r="2095">
      <c r="A2095" s="12">
        <v>2094.0</v>
      </c>
      <c r="B2095" s="12" t="s">
        <v>240</v>
      </c>
      <c r="C2095" s="5" t="s">
        <v>77</v>
      </c>
      <c r="D2095" s="8"/>
      <c r="E2095" s="8"/>
      <c r="F2095" s="8"/>
      <c r="G2095" s="8"/>
      <c r="H2095" s="11">
        <v>0.001</v>
      </c>
      <c r="I2095" s="11">
        <v>0.003</v>
      </c>
      <c r="J2095" s="9" t="s">
        <v>60</v>
      </c>
      <c r="K2095" s="14" t="str">
        <f>IFERROR(__xludf.DUMMYFUNCTION("ARRAYFORMULA(VLOOKUP(A2095,IMPORTRANGE(""https://docs.google.com/spreadsheets/d/1BuTWp7qHGjWhqrnf-OmePP568O4A5Am9ttzvVdP67zw/edit#gid=1603210130"", ""TOURISM!$A$2:$F$2692""), {2,3,4,5,6},0))"),"Africa")</f>
        <v>Africa</v>
      </c>
      <c r="L2095" s="14">
        <f>IFERROR(__xludf.DUMMYFUNCTION("""COMPUTED_VALUE"""),1.0E7)</f>
        <v>10000000</v>
      </c>
      <c r="M2095" s="14" t="str">
        <f>IFERROR(__xludf.DUMMYFUNCTION("""COMPUTED_VALUE"""),"Sierra Leone-Africa")</f>
        <v>Sierra Leone-Africa</v>
      </c>
      <c r="N2095" s="14" t="str">
        <f>IFERROR(__xludf.DUMMYFUNCTION("""COMPUTED_VALUE"""),"2000")</f>
        <v>2000</v>
      </c>
      <c r="O2095" s="14">
        <f>IFERROR(__xludf.DUMMYFUNCTION("""COMPUTED_VALUE"""),3.5E7)</f>
        <v>35000000</v>
      </c>
      <c r="P2095" s="15">
        <f>IFERROR(__xludf.DUMMYFUNCTION("ARRAYFORMULA(VLOOKUP(A2095,IMPORTRANGE(""https://docs.google.com/spreadsheets/d/1BuTWp7qHGjWhqrnf-OmePP568O4A5Am9ttzvVdP67zw/edit#gid=771602874"" ,""HUMAN RESOURCES!$A$2:$M$2692""), {2,3,4,5,6,7,8,9,10,11,12,13},0))"),0.044)</f>
        <v>0.044</v>
      </c>
      <c r="Q2095" s="14">
        <f>IFERROR(__xludf.DUMMYFUNCTION("""COMPUTED_VALUE"""),0.141)</f>
        <v>0.141</v>
      </c>
      <c r="R2095" s="14">
        <f>IFERROR(__xludf.DUMMYFUNCTION("""COMPUTED_VALUE"""),39.0)</f>
        <v>39</v>
      </c>
      <c r="S2095" s="14">
        <f>IFERROR(__xludf.DUMMYFUNCTION("""COMPUTED_VALUE"""),37.0)</f>
        <v>37</v>
      </c>
      <c r="T2095" s="14">
        <f>IFERROR(__xludf.DUMMYFUNCTION("""COMPUTED_VALUE"""),0.43)</f>
        <v>0.43</v>
      </c>
      <c r="U2095" s="14">
        <f>IFERROR(__xludf.DUMMYFUNCTION("""COMPUTED_VALUE"""),0.546)</f>
        <v>0.546</v>
      </c>
      <c r="V2095" s="14">
        <f>IFERROR(__xludf.DUMMYFUNCTION("""COMPUTED_VALUE"""),0.025)</f>
        <v>0.025</v>
      </c>
      <c r="W2095" s="14">
        <f>IFERROR(__xludf.DUMMYFUNCTION("""COMPUTED_VALUE"""),4139757.0)</f>
        <v>4139757</v>
      </c>
      <c r="X2095" s="14">
        <f>IFERROR(__xludf.DUMMYFUNCTION("""COMPUTED_VALUE"""),0.356)</f>
        <v>0.356</v>
      </c>
      <c r="Y2095" s="14" t="str">
        <f>IFERROR(__xludf.DUMMYFUNCTION("""COMPUTED_VALUE"""),"Sierra Leone-Africa")</f>
        <v>Sierra Leone-Africa</v>
      </c>
      <c r="Z2095" s="14" t="str">
        <f>IFERROR(__xludf.DUMMYFUNCTION("""COMPUTED_VALUE"""),"Africa")</f>
        <v>Africa</v>
      </c>
      <c r="AA2095" s="14" t="str">
        <f>IFERROR(__xludf.DUMMYFUNCTION("""COMPUTED_VALUE"""),"2000")</f>
        <v>2000</v>
      </c>
      <c r="AB2095" s="15" t="str">
        <f>IFERROR(__xludf.DUMMYFUNCTION("ARRAYFORMULA(VLOOKUP(A2095,IMPORTRANGE(""https://docs.google.com/spreadsheets/d/1BuTWp7qHGjWhqrnf-OmePP568O4A5Am9ttzvVdP67zw/edit#gid=1931367683"" ,""ENERGY!$A$2:$F$2692""), {2,3,4,5,6},0))"),"Africa")</f>
        <v>Africa</v>
      </c>
      <c r="AC2095" s="14" t="str">
        <f>IFERROR(__xludf.DUMMYFUNCTION("""COMPUTED_VALUE"""),"Sierra Leone-Africa")</f>
        <v>Sierra Leone-Africa</v>
      </c>
      <c r="AD2095" s="14" t="str">
        <f>IFERROR(__xludf.DUMMYFUNCTION("""COMPUTED_VALUE"""),"2000")</f>
        <v>2000</v>
      </c>
      <c r="AE2095" s="14"/>
      <c r="AF2095" s="14"/>
    </row>
    <row r="2096">
      <c r="A2096" s="12">
        <v>2095.0</v>
      </c>
      <c r="B2096" s="12" t="s">
        <v>240</v>
      </c>
      <c r="C2096" s="5" t="s">
        <v>77</v>
      </c>
      <c r="D2096" s="8"/>
      <c r="E2096" s="8"/>
      <c r="F2096" s="8"/>
      <c r="G2096" s="8"/>
      <c r="H2096" s="11">
        <v>0.002</v>
      </c>
      <c r="I2096" s="11">
        <v>0.006</v>
      </c>
      <c r="J2096" s="9" t="s">
        <v>62</v>
      </c>
      <c r="K2096" s="14" t="str">
        <f>IFERROR(__xludf.DUMMYFUNCTION("ARRAYFORMULA(VLOOKUP(A2096,IMPORTRANGE(""https://docs.google.com/spreadsheets/d/1BuTWp7qHGjWhqrnf-OmePP568O4A5Am9ttzvVdP67zw/edit#gid=1603210130"", ""TOURISM!$A$2:$F$2692""), {2,3,4,5,6},0))"),"Africa")</f>
        <v>Africa</v>
      </c>
      <c r="L2096" s="14">
        <f>IFERROR(__xludf.DUMMYFUNCTION("""COMPUTED_VALUE"""),1.4E7)</f>
        <v>14000000</v>
      </c>
      <c r="M2096" s="14" t="str">
        <f>IFERROR(__xludf.DUMMYFUNCTION("""COMPUTED_VALUE"""),"Sierra Leone-Africa")</f>
        <v>Sierra Leone-Africa</v>
      </c>
      <c r="N2096" s="14" t="str">
        <f>IFERROR(__xludf.DUMMYFUNCTION("""COMPUTED_VALUE"""),"2001")</f>
        <v>2001</v>
      </c>
      <c r="O2096" s="14">
        <f>IFERROR(__xludf.DUMMYFUNCTION("""COMPUTED_VALUE"""),4.2E7)</f>
        <v>42000000</v>
      </c>
      <c r="P2096" s="15">
        <f>IFERROR(__xludf.DUMMYFUNCTION("ARRAYFORMULA(VLOOKUP(A2096,IMPORTRANGE(""https://docs.google.com/spreadsheets/d/1BuTWp7qHGjWhqrnf-OmePP568O4A5Am9ttzvVdP67zw/edit#gid=771602874"" ,""HUMAN RESOURCES!$A$2:$M$2692""), {2,3,4,5,6,7,8,9,10,11,12,13},0))"),0.044)</f>
        <v>0.044</v>
      </c>
      <c r="Q2096" s="14">
        <f>IFERROR(__xludf.DUMMYFUNCTION("""COMPUTED_VALUE"""),0.139)</f>
        <v>0.139</v>
      </c>
      <c r="R2096" s="14">
        <f>IFERROR(__xludf.DUMMYFUNCTION("""COMPUTED_VALUE"""),40.0)</f>
        <v>40</v>
      </c>
      <c r="S2096" s="14">
        <f>IFERROR(__xludf.DUMMYFUNCTION("""COMPUTED_VALUE"""),38.0)</f>
        <v>38</v>
      </c>
      <c r="T2096" s="14">
        <f>IFERROR(__xludf.DUMMYFUNCTION("""COMPUTED_VALUE"""),0.429)</f>
        <v>0.429</v>
      </c>
      <c r="U2096" s="14">
        <f>IFERROR(__xludf.DUMMYFUNCTION("""COMPUTED_VALUE"""),0.547)</f>
        <v>0.547</v>
      </c>
      <c r="V2096" s="14">
        <f>IFERROR(__xludf.DUMMYFUNCTION("""COMPUTED_VALUE"""),0.024)</f>
        <v>0.024</v>
      </c>
      <c r="W2096" s="14">
        <f>IFERROR(__xludf.DUMMYFUNCTION("""COMPUTED_VALUE"""),4295667.0)</f>
        <v>4295667</v>
      </c>
      <c r="X2096" s="14">
        <f>IFERROR(__xludf.DUMMYFUNCTION("""COMPUTED_VALUE"""),0.359)</f>
        <v>0.359</v>
      </c>
      <c r="Y2096" s="14" t="str">
        <f>IFERROR(__xludf.DUMMYFUNCTION("""COMPUTED_VALUE"""),"Sierra Leone-Africa")</f>
        <v>Sierra Leone-Africa</v>
      </c>
      <c r="Z2096" s="14" t="str">
        <f>IFERROR(__xludf.DUMMYFUNCTION("""COMPUTED_VALUE"""),"Africa")</f>
        <v>Africa</v>
      </c>
      <c r="AA2096" s="14" t="str">
        <f>IFERROR(__xludf.DUMMYFUNCTION("""COMPUTED_VALUE"""),"2001")</f>
        <v>2001</v>
      </c>
      <c r="AB2096" s="15" t="str">
        <f>IFERROR(__xludf.DUMMYFUNCTION("ARRAYFORMULA(VLOOKUP(A2096,IMPORTRANGE(""https://docs.google.com/spreadsheets/d/1BuTWp7qHGjWhqrnf-OmePP568O4A5Am9ttzvVdP67zw/edit#gid=1931367683"" ,""ENERGY!$A$2:$F$2692""), {2,3,4,5,6},0))"),"Africa")</f>
        <v>Africa</v>
      </c>
      <c r="AC2096" s="14" t="str">
        <f>IFERROR(__xludf.DUMMYFUNCTION("""COMPUTED_VALUE"""),"Sierra Leone-Africa")</f>
        <v>Sierra Leone-Africa</v>
      </c>
      <c r="AD2096" s="14" t="str">
        <f>IFERROR(__xludf.DUMMYFUNCTION("""COMPUTED_VALUE"""),"2001")</f>
        <v>2001</v>
      </c>
      <c r="AE2096" s="14"/>
      <c r="AF2096" s="14"/>
    </row>
    <row r="2097">
      <c r="A2097" s="12">
        <v>2096.0</v>
      </c>
      <c r="B2097" s="12" t="s">
        <v>240</v>
      </c>
      <c r="C2097" s="5" t="s">
        <v>77</v>
      </c>
      <c r="D2097" s="8"/>
      <c r="E2097" s="8"/>
      <c r="F2097" s="8"/>
      <c r="G2097" s="8"/>
      <c r="H2097" s="11">
        <v>0.002</v>
      </c>
      <c r="I2097" s="11">
        <v>0.015</v>
      </c>
      <c r="J2097" s="9" t="s">
        <v>63</v>
      </c>
      <c r="K2097" s="14" t="str">
        <f>IFERROR(__xludf.DUMMYFUNCTION("ARRAYFORMULA(VLOOKUP(A2097,IMPORTRANGE(""https://docs.google.com/spreadsheets/d/1BuTWp7qHGjWhqrnf-OmePP568O4A5Am9ttzvVdP67zw/edit#gid=1603210130"", ""TOURISM!$A$2:$F$2692""), {2,3,4,5,6},0))"),"Africa")</f>
        <v>Africa</v>
      </c>
      <c r="L2097" s="14">
        <f>IFERROR(__xludf.DUMMYFUNCTION("""COMPUTED_VALUE"""),3.8E7)</f>
        <v>38000000</v>
      </c>
      <c r="M2097" s="14" t="str">
        <f>IFERROR(__xludf.DUMMYFUNCTION("""COMPUTED_VALUE"""),"Sierra Leone-Africa")</f>
        <v>Sierra Leone-Africa</v>
      </c>
      <c r="N2097" s="14" t="str">
        <f>IFERROR(__xludf.DUMMYFUNCTION("""COMPUTED_VALUE"""),"2002")</f>
        <v>2002</v>
      </c>
      <c r="O2097" s="14">
        <f>IFERROR(__xludf.DUMMYFUNCTION("""COMPUTED_VALUE"""),3.9E7)</f>
        <v>39000000</v>
      </c>
      <c r="P2097" s="15">
        <f>IFERROR(__xludf.DUMMYFUNCTION("ARRAYFORMULA(VLOOKUP(A2097,IMPORTRANGE(""https://docs.google.com/spreadsheets/d/1BuTWp7qHGjWhqrnf-OmePP568O4A5Am9ttzvVdP67zw/edit#gid=771602874"" ,""HUMAN RESOURCES!$A$2:$M$2692""), {2,3,4,5,6,7,8,9,10,11,12,13},0))"),0.043)</f>
        <v>0.043</v>
      </c>
      <c r="Q2097" s="14">
        <f>IFERROR(__xludf.DUMMYFUNCTION("""COMPUTED_VALUE"""),0.136)</f>
        <v>0.136</v>
      </c>
      <c r="R2097" s="14">
        <f>IFERROR(__xludf.DUMMYFUNCTION("""COMPUTED_VALUE"""),40.0)</f>
        <v>40</v>
      </c>
      <c r="S2097" s="14">
        <f>IFERROR(__xludf.DUMMYFUNCTION("""COMPUTED_VALUE"""),39.0)</f>
        <v>39</v>
      </c>
      <c r="T2097" s="14">
        <f>IFERROR(__xludf.DUMMYFUNCTION("""COMPUTED_VALUE"""),0.428)</f>
        <v>0.428</v>
      </c>
      <c r="U2097" s="14">
        <f>IFERROR(__xludf.DUMMYFUNCTION("""COMPUTED_VALUE"""),0.548)</f>
        <v>0.548</v>
      </c>
      <c r="V2097" s="14">
        <f>IFERROR(__xludf.DUMMYFUNCTION("""COMPUTED_VALUE"""),0.024)</f>
        <v>0.024</v>
      </c>
      <c r="W2097" s="14">
        <f>IFERROR(__xludf.DUMMYFUNCTION("""COMPUTED_VALUE"""),4493047.0)</f>
        <v>4493047</v>
      </c>
      <c r="X2097" s="14">
        <f>IFERROR(__xludf.DUMMYFUNCTION("""COMPUTED_VALUE"""),0.361)</f>
        <v>0.361</v>
      </c>
      <c r="Y2097" s="14" t="str">
        <f>IFERROR(__xludf.DUMMYFUNCTION("""COMPUTED_VALUE"""),"Sierra Leone-Africa")</f>
        <v>Sierra Leone-Africa</v>
      </c>
      <c r="Z2097" s="14" t="str">
        <f>IFERROR(__xludf.DUMMYFUNCTION("""COMPUTED_VALUE"""),"Africa")</f>
        <v>Africa</v>
      </c>
      <c r="AA2097" s="14" t="str">
        <f>IFERROR(__xludf.DUMMYFUNCTION("""COMPUTED_VALUE"""),"2002")</f>
        <v>2002</v>
      </c>
      <c r="AB2097" s="15" t="str">
        <f>IFERROR(__xludf.DUMMYFUNCTION("ARRAYFORMULA(VLOOKUP(A2097,IMPORTRANGE(""https://docs.google.com/spreadsheets/d/1BuTWp7qHGjWhqrnf-OmePP568O4A5Am9ttzvVdP67zw/edit#gid=1931367683"" ,""ENERGY!$A$2:$F$2692""), {2,3,4,5,6},0))"),"Africa")</f>
        <v>Africa</v>
      </c>
      <c r="AC2097" s="14" t="str">
        <f>IFERROR(__xludf.DUMMYFUNCTION("""COMPUTED_VALUE"""),"Sierra Leone-Africa")</f>
        <v>Sierra Leone-Africa</v>
      </c>
      <c r="AD2097" s="14" t="str">
        <f>IFERROR(__xludf.DUMMYFUNCTION("""COMPUTED_VALUE"""),"2002")</f>
        <v>2002</v>
      </c>
      <c r="AE2097" s="14"/>
      <c r="AF2097" s="14">
        <f>IFERROR(__xludf.DUMMYFUNCTION("""COMPUTED_VALUE"""),689.0)</f>
        <v>689</v>
      </c>
    </row>
    <row r="2098">
      <c r="A2098" s="12">
        <v>2097.0</v>
      </c>
      <c r="B2098" s="12" t="s">
        <v>240</v>
      </c>
      <c r="C2098" s="5" t="s">
        <v>77</v>
      </c>
      <c r="D2098" s="8"/>
      <c r="E2098" s="11">
        <v>26.0</v>
      </c>
      <c r="F2098" s="8"/>
      <c r="G2098" s="8"/>
      <c r="H2098" s="11">
        <v>0.002</v>
      </c>
      <c r="I2098" s="11">
        <v>0.024</v>
      </c>
      <c r="J2098" s="9" t="s">
        <v>64</v>
      </c>
      <c r="K2098" s="14" t="str">
        <f>IFERROR(__xludf.DUMMYFUNCTION("ARRAYFORMULA(VLOOKUP(A2098,IMPORTRANGE(""https://docs.google.com/spreadsheets/d/1BuTWp7qHGjWhqrnf-OmePP568O4A5Am9ttzvVdP67zw/edit#gid=1603210130"", ""TOURISM!$A$2:$F$2692""), {2,3,4,5,6},0))"),"Africa")</f>
        <v>Africa</v>
      </c>
      <c r="L2098" s="14">
        <f>IFERROR(__xludf.DUMMYFUNCTION("""COMPUTED_VALUE"""),6.0E7)</f>
        <v>60000000</v>
      </c>
      <c r="M2098" s="14" t="str">
        <f>IFERROR(__xludf.DUMMYFUNCTION("""COMPUTED_VALUE"""),"Sierra Leone-Africa")</f>
        <v>Sierra Leone-Africa</v>
      </c>
      <c r="N2098" s="14" t="str">
        <f>IFERROR(__xludf.DUMMYFUNCTION("""COMPUTED_VALUE"""),"2003")</f>
        <v>2003</v>
      </c>
      <c r="O2098" s="14">
        <f>IFERROR(__xludf.DUMMYFUNCTION("""COMPUTED_VALUE"""),3.8E7)</f>
        <v>38000000</v>
      </c>
      <c r="P2098" s="15">
        <f>IFERROR(__xludf.DUMMYFUNCTION("ARRAYFORMULA(VLOOKUP(A2098,IMPORTRANGE(""https://docs.google.com/spreadsheets/d/1BuTWp7qHGjWhqrnf-OmePP568O4A5Am9ttzvVdP67zw/edit#gid=771602874"" ,""HUMAN RESOURCES!$A$2:$M$2692""), {2,3,4,5,6,7,8,9,10,11,12,13},0))"),0.043)</f>
        <v>0.043</v>
      </c>
      <c r="Q2098" s="14">
        <f>IFERROR(__xludf.DUMMYFUNCTION("""COMPUTED_VALUE"""),0.133)</f>
        <v>0.133</v>
      </c>
      <c r="R2098" s="14">
        <f>IFERROR(__xludf.DUMMYFUNCTION("""COMPUTED_VALUE"""),41.0)</f>
        <v>41</v>
      </c>
      <c r="S2098" s="14">
        <f>IFERROR(__xludf.DUMMYFUNCTION("""COMPUTED_VALUE"""),40.0)</f>
        <v>40</v>
      </c>
      <c r="T2098" s="14">
        <f>IFERROR(__xludf.DUMMYFUNCTION("""COMPUTED_VALUE"""),0.428)</f>
        <v>0.428</v>
      </c>
      <c r="U2098" s="14">
        <f>IFERROR(__xludf.DUMMYFUNCTION("""COMPUTED_VALUE"""),0.548)</f>
        <v>0.548</v>
      </c>
      <c r="V2098" s="14">
        <f>IFERROR(__xludf.DUMMYFUNCTION("""COMPUTED_VALUE"""),0.024)</f>
        <v>0.024</v>
      </c>
      <c r="W2098" s="14">
        <f>IFERROR(__xludf.DUMMYFUNCTION("""COMPUTED_VALUE"""),4712763.0)</f>
        <v>4712763</v>
      </c>
      <c r="X2098" s="14">
        <f>IFERROR(__xludf.DUMMYFUNCTION("""COMPUTED_VALUE"""),0.364)</f>
        <v>0.364</v>
      </c>
      <c r="Y2098" s="14" t="str">
        <f>IFERROR(__xludf.DUMMYFUNCTION("""COMPUTED_VALUE"""),"Sierra Leone-Africa")</f>
        <v>Sierra Leone-Africa</v>
      </c>
      <c r="Z2098" s="14" t="str">
        <f>IFERROR(__xludf.DUMMYFUNCTION("""COMPUTED_VALUE"""),"Africa")</f>
        <v>Africa</v>
      </c>
      <c r="AA2098" s="14" t="str">
        <f>IFERROR(__xludf.DUMMYFUNCTION("""COMPUTED_VALUE"""),"2003")</f>
        <v>2003</v>
      </c>
      <c r="AB2098" s="15" t="str">
        <f>IFERROR(__xludf.DUMMYFUNCTION("ARRAYFORMULA(VLOOKUP(A2098,IMPORTRANGE(""https://docs.google.com/spreadsheets/d/1BuTWp7qHGjWhqrnf-OmePP568O4A5Am9ttzvVdP67zw/edit#gid=1931367683"" ,""ENERGY!$A$2:$F$2692""), {2,3,4,5,6},0))"),"Africa")</f>
        <v>Africa</v>
      </c>
      <c r="AC2098" s="14" t="str">
        <f>IFERROR(__xludf.DUMMYFUNCTION("""COMPUTED_VALUE"""),"Sierra Leone-Africa")</f>
        <v>Sierra Leone-Africa</v>
      </c>
      <c r="AD2098" s="14" t="str">
        <f>IFERROR(__xludf.DUMMYFUNCTION("""COMPUTED_VALUE"""),"2003")</f>
        <v>2003</v>
      </c>
      <c r="AE2098" s="14"/>
      <c r="AF2098" s="14">
        <f>IFERROR(__xludf.DUMMYFUNCTION("""COMPUTED_VALUE"""),653.0)</f>
        <v>653</v>
      </c>
    </row>
    <row r="2099">
      <c r="A2099" s="12">
        <v>2098.0</v>
      </c>
      <c r="B2099" s="12" t="s">
        <v>240</v>
      </c>
      <c r="C2099" s="5" t="s">
        <v>77</v>
      </c>
      <c r="D2099" s="8"/>
      <c r="E2099" s="11">
        <v>26.0</v>
      </c>
      <c r="F2099" s="8"/>
      <c r="G2099" s="8"/>
      <c r="H2099" s="11">
        <v>0.002</v>
      </c>
      <c r="I2099" s="8"/>
      <c r="J2099" s="9" t="s">
        <v>65</v>
      </c>
      <c r="K2099" s="14" t="str">
        <f>IFERROR(__xludf.DUMMYFUNCTION("ARRAYFORMULA(VLOOKUP(A2099,IMPORTRANGE(""https://docs.google.com/spreadsheets/d/1BuTWp7qHGjWhqrnf-OmePP568O4A5Am9ttzvVdP67zw/edit#gid=1603210130"", ""TOURISM!$A$2:$F$2692""), {2,3,4,5,6},0))"),"Africa")</f>
        <v>Africa</v>
      </c>
      <c r="L2099" s="14">
        <f>IFERROR(__xludf.DUMMYFUNCTION("""COMPUTED_VALUE"""),5.8E7)</f>
        <v>58000000</v>
      </c>
      <c r="M2099" s="14" t="str">
        <f>IFERROR(__xludf.DUMMYFUNCTION("""COMPUTED_VALUE"""),"Sierra Leone-Africa")</f>
        <v>Sierra Leone-Africa</v>
      </c>
      <c r="N2099" s="14" t="str">
        <f>IFERROR(__xludf.DUMMYFUNCTION("""COMPUTED_VALUE"""),"2004")</f>
        <v>2004</v>
      </c>
      <c r="O2099" s="14">
        <f>IFERROR(__xludf.DUMMYFUNCTION("""COMPUTED_VALUE"""),3.0E7)</f>
        <v>30000000</v>
      </c>
      <c r="P2099" s="15">
        <f>IFERROR(__xludf.DUMMYFUNCTION("ARRAYFORMULA(VLOOKUP(A2099,IMPORTRANGE(""https://docs.google.com/spreadsheets/d/1BuTWp7qHGjWhqrnf-OmePP568O4A5Am9ttzvVdP67zw/edit#gid=771602874"" ,""HUMAN RESOURCES!$A$2:$M$2692""), {2,3,4,5,6,7,8,9,10,11,12,13},0))"),0.042)</f>
        <v>0.042</v>
      </c>
      <c r="Q2099" s="14">
        <f>IFERROR(__xludf.DUMMYFUNCTION("""COMPUTED_VALUE"""),0.13)</f>
        <v>0.13</v>
      </c>
      <c r="R2099" s="14">
        <f>IFERROR(__xludf.DUMMYFUNCTION("""COMPUTED_VALUE"""),42.0)</f>
        <v>42</v>
      </c>
      <c r="S2099" s="14">
        <f>IFERROR(__xludf.DUMMYFUNCTION("""COMPUTED_VALUE"""),41.0)</f>
        <v>41</v>
      </c>
      <c r="T2099" s="14">
        <f>IFERROR(__xludf.DUMMYFUNCTION("""COMPUTED_VALUE"""),0.427)</f>
        <v>0.427</v>
      </c>
      <c r="U2099" s="14">
        <f>IFERROR(__xludf.DUMMYFUNCTION("""COMPUTED_VALUE"""),0.549)</f>
        <v>0.549</v>
      </c>
      <c r="V2099" s="14">
        <f>IFERROR(__xludf.DUMMYFUNCTION("""COMPUTED_VALUE"""),0.024)</f>
        <v>0.024</v>
      </c>
      <c r="W2099" s="14">
        <f>IFERROR(__xludf.DUMMYFUNCTION("""COMPUTED_VALUE"""),4928175.0)</f>
        <v>4928175</v>
      </c>
      <c r="X2099" s="14">
        <f>IFERROR(__xludf.DUMMYFUNCTION("""COMPUTED_VALUE"""),0.366)</f>
        <v>0.366</v>
      </c>
      <c r="Y2099" s="14" t="str">
        <f>IFERROR(__xludf.DUMMYFUNCTION("""COMPUTED_VALUE"""),"Sierra Leone-Africa")</f>
        <v>Sierra Leone-Africa</v>
      </c>
      <c r="Z2099" s="14" t="str">
        <f>IFERROR(__xludf.DUMMYFUNCTION("""COMPUTED_VALUE"""),"Africa")</f>
        <v>Africa</v>
      </c>
      <c r="AA2099" s="14" t="str">
        <f>IFERROR(__xludf.DUMMYFUNCTION("""COMPUTED_VALUE"""),"2004")</f>
        <v>2004</v>
      </c>
      <c r="AB2099" s="15" t="str">
        <f>IFERROR(__xludf.DUMMYFUNCTION("ARRAYFORMULA(VLOOKUP(A2099,IMPORTRANGE(""https://docs.google.com/spreadsheets/d/1BuTWp7qHGjWhqrnf-OmePP568O4A5Am9ttzvVdP67zw/edit#gid=1931367683"" ,""ENERGY!$A$2:$F$2692""), {2,3,4,5,6},0))"),"Africa")</f>
        <v>Africa</v>
      </c>
      <c r="AC2099" s="14" t="str">
        <f>IFERROR(__xludf.DUMMYFUNCTION("""COMPUTED_VALUE"""),"Sierra Leone-Africa")</f>
        <v>Sierra Leone-Africa</v>
      </c>
      <c r="AD2099" s="14" t="str">
        <f>IFERROR(__xludf.DUMMYFUNCTION("""COMPUTED_VALUE"""),"2004")</f>
        <v>2004</v>
      </c>
      <c r="AE2099" s="14"/>
      <c r="AF2099" s="14">
        <f>IFERROR(__xludf.DUMMYFUNCTION("""COMPUTED_VALUE"""),664.0)</f>
        <v>664</v>
      </c>
    </row>
    <row r="2100">
      <c r="A2100" s="12">
        <v>2099.0</v>
      </c>
      <c r="B2100" s="12" t="s">
        <v>240</v>
      </c>
      <c r="C2100" s="5" t="s">
        <v>77</v>
      </c>
      <c r="D2100" s="11">
        <v>2.72</v>
      </c>
      <c r="E2100" s="11">
        <v>26.0</v>
      </c>
      <c r="F2100" s="8"/>
      <c r="G2100" s="11">
        <v>399.0</v>
      </c>
      <c r="H2100" s="11">
        <v>0.002</v>
      </c>
      <c r="I2100" s="8"/>
      <c r="J2100" s="9" t="s">
        <v>66</v>
      </c>
      <c r="K2100" s="14" t="str">
        <f>IFERROR(__xludf.DUMMYFUNCTION("ARRAYFORMULA(VLOOKUP(A2100,IMPORTRANGE(""https://docs.google.com/spreadsheets/d/1BuTWp7qHGjWhqrnf-OmePP568O4A5Am9ttzvVdP67zw/edit#gid=1603210130"", ""TOURISM!$A$2:$F$2692""), {2,3,4,5,6},0))"),"Africa")</f>
        <v>Africa</v>
      </c>
      <c r="L2100" s="14">
        <f>IFERROR(__xludf.DUMMYFUNCTION("""COMPUTED_VALUE"""),6.4E7)</f>
        <v>64000000</v>
      </c>
      <c r="M2100" s="14" t="str">
        <f>IFERROR(__xludf.DUMMYFUNCTION("""COMPUTED_VALUE"""),"Sierra Leone-Africa")</f>
        <v>Sierra Leone-Africa</v>
      </c>
      <c r="N2100" s="14" t="str">
        <f>IFERROR(__xludf.DUMMYFUNCTION("""COMPUTED_VALUE"""),"2005")</f>
        <v>2005</v>
      </c>
      <c r="O2100" s="14">
        <f>IFERROR(__xludf.DUMMYFUNCTION("""COMPUTED_VALUE"""),3.4E7)</f>
        <v>34000000</v>
      </c>
      <c r="P2100" s="15">
        <f>IFERROR(__xludf.DUMMYFUNCTION("ARRAYFORMULA(VLOOKUP(A2100,IMPORTRANGE(""https://docs.google.com/spreadsheets/d/1BuTWp7qHGjWhqrnf-OmePP568O4A5Am9ttzvVdP67zw/edit#gid=771602874"" ,""HUMAN RESOURCES!$A$2:$M$2692""), {2,3,4,5,6,7,8,9,10,11,12,13},0))"),0.042)</f>
        <v>0.042</v>
      </c>
      <c r="Q2100" s="14">
        <f>IFERROR(__xludf.DUMMYFUNCTION("""COMPUTED_VALUE"""),0.128)</f>
        <v>0.128</v>
      </c>
      <c r="R2100" s="14">
        <f>IFERROR(__xludf.DUMMYFUNCTION("""COMPUTED_VALUE"""),42.0)</f>
        <v>42</v>
      </c>
      <c r="S2100" s="14">
        <f>IFERROR(__xludf.DUMMYFUNCTION("""COMPUTED_VALUE"""),42.0)</f>
        <v>42</v>
      </c>
      <c r="T2100" s="14">
        <f>IFERROR(__xludf.DUMMYFUNCTION("""COMPUTED_VALUE"""),0.427)</f>
        <v>0.427</v>
      </c>
      <c r="U2100" s="14">
        <f>IFERROR(__xludf.DUMMYFUNCTION("""COMPUTED_VALUE"""),0.549)</f>
        <v>0.549</v>
      </c>
      <c r="V2100" s="14">
        <f>IFERROR(__xludf.DUMMYFUNCTION("""COMPUTED_VALUE"""),0.024)</f>
        <v>0.024</v>
      </c>
      <c r="W2100" s="14">
        <f>IFERROR(__xludf.DUMMYFUNCTION("""COMPUTED_VALUE"""),5119895.0)</f>
        <v>5119895</v>
      </c>
      <c r="X2100" s="14">
        <f>IFERROR(__xludf.DUMMYFUNCTION("""COMPUTED_VALUE"""),0.368)</f>
        <v>0.368</v>
      </c>
      <c r="Y2100" s="14" t="str">
        <f>IFERROR(__xludf.DUMMYFUNCTION("""COMPUTED_VALUE"""),"Sierra Leone-Africa")</f>
        <v>Sierra Leone-Africa</v>
      </c>
      <c r="Z2100" s="14" t="str">
        <f>IFERROR(__xludf.DUMMYFUNCTION("""COMPUTED_VALUE"""),"Africa")</f>
        <v>Africa</v>
      </c>
      <c r="AA2100" s="14" t="str">
        <f>IFERROR(__xludf.DUMMYFUNCTION("""COMPUTED_VALUE"""),"2005")</f>
        <v>2005</v>
      </c>
      <c r="AB2100" s="15" t="str">
        <f>IFERROR(__xludf.DUMMYFUNCTION("ARRAYFORMULA(VLOOKUP(A2100,IMPORTRANGE(""https://docs.google.com/spreadsheets/d/1BuTWp7qHGjWhqrnf-OmePP568O4A5Am9ttzvVdP67zw/edit#gid=1931367683"" ,""ENERGY!$A$2:$F$2692""), {2,3,4,5,6},0))"),"Africa")</f>
        <v>Africa</v>
      </c>
      <c r="AC2100" s="14" t="str">
        <f>IFERROR(__xludf.DUMMYFUNCTION("""COMPUTED_VALUE"""),"Sierra Leone-Africa")</f>
        <v>Sierra Leone-Africa</v>
      </c>
      <c r="AD2100" s="14" t="str">
        <f>IFERROR(__xludf.DUMMYFUNCTION("""COMPUTED_VALUE"""),"2008")</f>
        <v>2008</v>
      </c>
      <c r="AE2100" s="14"/>
      <c r="AF2100" s="14">
        <f>IFERROR(__xludf.DUMMYFUNCTION("""COMPUTED_VALUE"""),634.0)</f>
        <v>634</v>
      </c>
    </row>
    <row r="2101">
      <c r="A2101" s="12">
        <v>2100.0</v>
      </c>
      <c r="B2101" s="12" t="s">
        <v>240</v>
      </c>
      <c r="C2101" s="5" t="s">
        <v>77</v>
      </c>
      <c r="D2101" s="11">
        <v>2.72</v>
      </c>
      <c r="E2101" s="11">
        <v>26.0</v>
      </c>
      <c r="F2101" s="8"/>
      <c r="G2101" s="11">
        <v>399.0</v>
      </c>
      <c r="H2101" s="11">
        <v>0.002</v>
      </c>
      <c r="I2101" s="8"/>
      <c r="J2101" s="9" t="s">
        <v>67</v>
      </c>
      <c r="K2101" s="14" t="str">
        <f>IFERROR(__xludf.DUMMYFUNCTION("ARRAYFORMULA(VLOOKUP(A2101,IMPORTRANGE(""https://docs.google.com/spreadsheets/d/1BuTWp7qHGjWhqrnf-OmePP568O4A5Am9ttzvVdP67zw/edit#gid=1603210130"", ""TOURISM!$A$2:$F$2692""), {2,3,4,5,6},0))"),"Africa")</f>
        <v>Africa</v>
      </c>
      <c r="L2101" s="14">
        <f>IFERROR(__xludf.DUMMYFUNCTION("""COMPUTED_VALUE"""),2.3E7)</f>
        <v>23000000</v>
      </c>
      <c r="M2101" s="14" t="str">
        <f>IFERROR(__xludf.DUMMYFUNCTION("""COMPUTED_VALUE"""),"Sierra Leone-Africa")</f>
        <v>Sierra Leone-Africa</v>
      </c>
      <c r="N2101" s="14" t="str">
        <f>IFERROR(__xludf.DUMMYFUNCTION("""COMPUTED_VALUE"""),"2006")</f>
        <v>2006</v>
      </c>
      <c r="O2101" s="14">
        <f>IFERROR(__xludf.DUMMYFUNCTION("""COMPUTED_VALUE"""),1.5E7)</f>
        <v>15000000</v>
      </c>
      <c r="P2101" s="15">
        <f>IFERROR(__xludf.DUMMYFUNCTION("ARRAYFORMULA(VLOOKUP(A2101,IMPORTRANGE(""https://docs.google.com/spreadsheets/d/1BuTWp7qHGjWhqrnf-OmePP568O4A5Am9ttzvVdP67zw/edit#gid=771602874"" ,""HUMAN RESOURCES!$A$2:$M$2692""), {2,3,4,5,6,7,8,9,10,11,12,13},0))"),0.041)</f>
        <v>0.041</v>
      </c>
      <c r="Q2101" s="14">
        <f>IFERROR(__xludf.DUMMYFUNCTION("""COMPUTED_VALUE"""),0.125)</f>
        <v>0.125</v>
      </c>
      <c r="R2101" s="14">
        <f>IFERROR(__xludf.DUMMYFUNCTION("""COMPUTED_VALUE"""),43.0)</f>
        <v>43</v>
      </c>
      <c r="S2101" s="14">
        <f>IFERROR(__xludf.DUMMYFUNCTION("""COMPUTED_VALUE"""),43.0)</f>
        <v>43</v>
      </c>
      <c r="T2101" s="14">
        <f>IFERROR(__xludf.DUMMYFUNCTION("""COMPUTED_VALUE"""),0.426)</f>
        <v>0.426</v>
      </c>
      <c r="U2101" s="14">
        <f>IFERROR(__xludf.DUMMYFUNCTION("""COMPUTED_VALUE"""),0.549)</f>
        <v>0.549</v>
      </c>
      <c r="V2101" s="14">
        <f>IFERROR(__xludf.DUMMYFUNCTION("""COMPUTED_VALUE"""),0.025)</f>
        <v>0.025</v>
      </c>
      <c r="W2101" s="14">
        <f>IFERROR(__xludf.DUMMYFUNCTION("""COMPUTED_VALUE"""),5280909.0)</f>
        <v>5280909</v>
      </c>
      <c r="X2101" s="14">
        <f>IFERROR(__xludf.DUMMYFUNCTION("""COMPUTED_VALUE"""),0.371)</f>
        <v>0.371</v>
      </c>
      <c r="Y2101" s="14" t="str">
        <f>IFERROR(__xludf.DUMMYFUNCTION("""COMPUTED_VALUE"""),"Sierra Leone-Africa")</f>
        <v>Sierra Leone-Africa</v>
      </c>
      <c r="Z2101" s="14" t="str">
        <f>IFERROR(__xludf.DUMMYFUNCTION("""COMPUTED_VALUE"""),"Africa")</f>
        <v>Africa</v>
      </c>
      <c r="AA2101" s="14" t="str">
        <f>IFERROR(__xludf.DUMMYFUNCTION("""COMPUTED_VALUE"""),"2006")</f>
        <v>2006</v>
      </c>
      <c r="AB2101" s="15" t="str">
        <f>IFERROR(__xludf.DUMMYFUNCTION("ARRAYFORMULA(VLOOKUP(A2101,IMPORTRANGE(""https://docs.google.com/spreadsheets/d/1BuTWp7qHGjWhqrnf-OmePP568O4A5Am9ttzvVdP67zw/edit#gid=1931367683"" ,""ENERGY!$A$2:$F$2692""), {2,3,4,5,6},0))"),"Africa")</f>
        <v>Africa</v>
      </c>
      <c r="AC2101" s="14" t="str">
        <f>IFERROR(__xludf.DUMMYFUNCTION("""COMPUTED_VALUE"""),"Sierra Leone-Africa")</f>
        <v>Sierra Leone-Africa</v>
      </c>
      <c r="AD2101" s="14" t="str">
        <f>IFERROR(__xludf.DUMMYFUNCTION("""COMPUTED_VALUE"""),"2012")</f>
        <v>2012</v>
      </c>
      <c r="AE2101" s="14"/>
      <c r="AF2101" s="14">
        <f>IFERROR(__xludf.DUMMYFUNCTION("""COMPUTED_VALUE"""),733.0)</f>
        <v>733</v>
      </c>
    </row>
    <row r="2102">
      <c r="A2102" s="12">
        <v>2101.0</v>
      </c>
      <c r="B2102" s="12" t="s">
        <v>240</v>
      </c>
      <c r="C2102" s="5" t="s">
        <v>77</v>
      </c>
      <c r="D2102" s="11">
        <v>2.352</v>
      </c>
      <c r="E2102" s="11">
        <v>26.0</v>
      </c>
      <c r="F2102" s="8"/>
      <c r="G2102" s="11">
        <v>399.0</v>
      </c>
      <c r="H2102" s="11">
        <v>0.002</v>
      </c>
      <c r="I2102" s="11">
        <v>0.143</v>
      </c>
      <c r="J2102" s="9" t="s">
        <v>68</v>
      </c>
      <c r="K2102" s="14" t="str">
        <f>IFERROR(__xludf.DUMMYFUNCTION("ARRAYFORMULA(VLOOKUP(A2102,IMPORTRANGE(""https://docs.google.com/spreadsheets/d/1BuTWp7qHGjWhqrnf-OmePP568O4A5Am9ttzvVdP67zw/edit#gid=1603210130"", ""TOURISM!$A$2:$F$2692""), {2,3,4,5,6},0))"),"Africa")</f>
        <v>Africa</v>
      </c>
      <c r="L2102" s="14">
        <f>IFERROR(__xludf.DUMMYFUNCTION("""COMPUTED_VALUE"""),2.2E7)</f>
        <v>22000000</v>
      </c>
      <c r="M2102" s="14" t="str">
        <f>IFERROR(__xludf.DUMMYFUNCTION("""COMPUTED_VALUE"""),"Sierra Leone-Africa")</f>
        <v>Sierra Leone-Africa</v>
      </c>
      <c r="N2102" s="14" t="str">
        <f>IFERROR(__xludf.DUMMYFUNCTION("""COMPUTED_VALUE"""),"2007")</f>
        <v>2007</v>
      </c>
      <c r="O2102" s="14">
        <f>IFERROR(__xludf.DUMMYFUNCTION("""COMPUTED_VALUE"""),1.7E7)</f>
        <v>17000000</v>
      </c>
      <c r="P2102" s="15">
        <f>IFERROR(__xludf.DUMMYFUNCTION("ARRAYFORMULA(VLOOKUP(A2102,IMPORTRANGE(""https://docs.google.com/spreadsheets/d/1BuTWp7qHGjWhqrnf-OmePP568O4A5Am9ttzvVdP67zw/edit#gid=771602874"" ,""HUMAN RESOURCES!$A$2:$M$2692""), {2,3,4,5,6,7,8,9,10,11,12,13},0))"),0.04)</f>
        <v>0.04</v>
      </c>
      <c r="Q2102" s="14">
        <f>IFERROR(__xludf.DUMMYFUNCTION("""COMPUTED_VALUE"""),0.122)</f>
        <v>0.122</v>
      </c>
      <c r="R2102" s="14">
        <f>IFERROR(__xludf.DUMMYFUNCTION("""COMPUTED_VALUE"""),44.0)</f>
        <v>44</v>
      </c>
      <c r="S2102" s="14">
        <f>IFERROR(__xludf.DUMMYFUNCTION("""COMPUTED_VALUE"""),43.0)</f>
        <v>43</v>
      </c>
      <c r="T2102" s="14">
        <f>IFERROR(__xludf.DUMMYFUNCTION("""COMPUTED_VALUE"""),0.425)</f>
        <v>0.425</v>
      </c>
      <c r="U2102" s="14">
        <f>IFERROR(__xludf.DUMMYFUNCTION("""COMPUTED_VALUE"""),0.55)</f>
        <v>0.55</v>
      </c>
      <c r="V2102" s="14">
        <f>IFERROR(__xludf.DUMMYFUNCTION("""COMPUTED_VALUE"""),0.025)</f>
        <v>0.025</v>
      </c>
      <c r="W2102" s="14">
        <f>IFERROR(__xludf.DUMMYFUNCTION("""COMPUTED_VALUE"""),5416015.0)</f>
        <v>5416015</v>
      </c>
      <c r="X2102" s="14">
        <f>IFERROR(__xludf.DUMMYFUNCTION("""COMPUTED_VALUE"""),0.374)</f>
        <v>0.374</v>
      </c>
      <c r="Y2102" s="14" t="str">
        <f>IFERROR(__xludf.DUMMYFUNCTION("""COMPUTED_VALUE"""),"Sierra Leone-Africa")</f>
        <v>Sierra Leone-Africa</v>
      </c>
      <c r="Z2102" s="14" t="str">
        <f>IFERROR(__xludf.DUMMYFUNCTION("""COMPUTED_VALUE"""),"Africa")</f>
        <v>Africa</v>
      </c>
      <c r="AA2102" s="14" t="str">
        <f>IFERROR(__xludf.DUMMYFUNCTION("""COMPUTED_VALUE"""),"2007")</f>
        <v>2007</v>
      </c>
      <c r="AB2102" s="15" t="str">
        <f>IFERROR(__xludf.DUMMYFUNCTION("ARRAYFORMULA(VLOOKUP(A2102,IMPORTRANGE(""https://docs.google.com/spreadsheets/d/1BuTWp7qHGjWhqrnf-OmePP568O4A5Am9ttzvVdP67zw/edit#gid=1931367683"" ,""ENERGY!$A$2:$F$2692""), {2,3,4,5,6},0))"),"Africa")</f>
        <v>Africa</v>
      </c>
      <c r="AC2102" s="14" t="str">
        <f>IFERROR(__xludf.DUMMYFUNCTION("""COMPUTED_VALUE"""),"Sierra Leone-Africa")</f>
        <v>Sierra Leone-Africa</v>
      </c>
      <c r="AD2102" s="14" t="str">
        <f>IFERROR(__xludf.DUMMYFUNCTION("""COMPUTED_VALUE"""),"2010")</f>
        <v>2010</v>
      </c>
      <c r="AE2102" s="14"/>
      <c r="AF2102" s="14">
        <f>IFERROR(__xludf.DUMMYFUNCTION("""COMPUTED_VALUE"""),546.0)</f>
        <v>546</v>
      </c>
    </row>
    <row r="2103">
      <c r="A2103" s="12">
        <v>2102.0</v>
      </c>
      <c r="B2103" s="12" t="s">
        <v>240</v>
      </c>
      <c r="C2103" s="5" t="s">
        <v>77</v>
      </c>
      <c r="D2103" s="11">
        <v>2.352</v>
      </c>
      <c r="E2103" s="11">
        <v>17.0</v>
      </c>
      <c r="F2103" s="8"/>
      <c r="G2103" s="11">
        <v>399.0</v>
      </c>
      <c r="H2103" s="11">
        <v>0.003</v>
      </c>
      <c r="I2103" s="11">
        <v>0.182</v>
      </c>
      <c r="J2103" s="9" t="s">
        <v>69</v>
      </c>
      <c r="K2103" s="14" t="str">
        <f>IFERROR(__xludf.DUMMYFUNCTION("ARRAYFORMULA(VLOOKUP(A2103,IMPORTRANGE(""https://docs.google.com/spreadsheets/d/1BuTWp7qHGjWhqrnf-OmePP568O4A5Am9ttzvVdP67zw/edit#gid=1603210130"", ""TOURISM!$A$2:$F$2692""), {2,3,4,5,6},0))"),"Africa")</f>
        <v>Africa</v>
      </c>
      <c r="L2103" s="14">
        <f>IFERROR(__xludf.DUMMYFUNCTION("""COMPUTED_VALUE"""),3.4E7)</f>
        <v>34000000</v>
      </c>
      <c r="M2103" s="14" t="str">
        <f>IFERROR(__xludf.DUMMYFUNCTION("""COMPUTED_VALUE"""),"Sierra Leone-Africa")</f>
        <v>Sierra Leone-Africa</v>
      </c>
      <c r="N2103" s="14" t="str">
        <f>IFERROR(__xludf.DUMMYFUNCTION("""COMPUTED_VALUE"""),"2008")</f>
        <v>2008</v>
      </c>
      <c r="O2103" s="14">
        <f>IFERROR(__xludf.DUMMYFUNCTION("""COMPUTED_VALUE"""),2.4E7)</f>
        <v>24000000</v>
      </c>
      <c r="P2103" s="15">
        <f>IFERROR(__xludf.DUMMYFUNCTION("ARRAYFORMULA(VLOOKUP(A2103,IMPORTRANGE(""https://docs.google.com/spreadsheets/d/1BuTWp7qHGjWhqrnf-OmePP568O4A5Am9ttzvVdP67zw/edit#gid=771602874"" ,""HUMAN RESOURCES!$A$2:$M$2692""), {2,3,4,5,6,7,8,9,10,11,12,13},0))"),0.04)</f>
        <v>0.04</v>
      </c>
      <c r="Q2103" s="14">
        <f>IFERROR(__xludf.DUMMYFUNCTION("""COMPUTED_VALUE"""),0.12)</f>
        <v>0.12</v>
      </c>
      <c r="R2103" s="14">
        <f>IFERROR(__xludf.DUMMYFUNCTION("""COMPUTED_VALUE"""),44.0)</f>
        <v>44</v>
      </c>
      <c r="S2103" s="14">
        <f>IFERROR(__xludf.DUMMYFUNCTION("""COMPUTED_VALUE"""),44.0)</f>
        <v>44</v>
      </c>
      <c r="T2103" s="14">
        <f>IFERROR(__xludf.DUMMYFUNCTION("""COMPUTED_VALUE"""),0.424)</f>
        <v>0.424</v>
      </c>
      <c r="U2103" s="14">
        <f>IFERROR(__xludf.DUMMYFUNCTION("""COMPUTED_VALUE"""),0.551)</f>
        <v>0.551</v>
      </c>
      <c r="V2103" s="14">
        <f>IFERROR(__xludf.DUMMYFUNCTION("""COMPUTED_VALUE"""),0.025)</f>
        <v>0.025</v>
      </c>
      <c r="W2103" s="14">
        <f>IFERROR(__xludf.DUMMYFUNCTION("""COMPUTED_VALUE"""),5532139.0)</f>
        <v>5532139</v>
      </c>
      <c r="X2103" s="14">
        <f>IFERROR(__xludf.DUMMYFUNCTION("""COMPUTED_VALUE"""),0.376)</f>
        <v>0.376</v>
      </c>
      <c r="Y2103" s="14" t="str">
        <f>IFERROR(__xludf.DUMMYFUNCTION("""COMPUTED_VALUE"""),"Sierra Leone-Africa")</f>
        <v>Sierra Leone-Africa</v>
      </c>
      <c r="Z2103" s="14" t="str">
        <f>IFERROR(__xludf.DUMMYFUNCTION("""COMPUTED_VALUE"""),"Africa")</f>
        <v>Africa</v>
      </c>
      <c r="AA2103" s="14" t="str">
        <f>IFERROR(__xludf.DUMMYFUNCTION("""COMPUTED_VALUE"""),"2008")</f>
        <v>2008</v>
      </c>
      <c r="AB2103" s="15" t="str">
        <f>IFERROR(__xludf.DUMMYFUNCTION("ARRAYFORMULA(VLOOKUP(A2103,IMPORTRANGE(""https://docs.google.com/spreadsheets/d/1BuTWp7qHGjWhqrnf-OmePP568O4A5Am9ttzvVdP67zw/edit#gid=1931367683"" ,""ENERGY!$A$2:$F$2692""), {2,3,4,5,6},0))"),"Africa")</f>
        <v>Africa</v>
      </c>
      <c r="AC2103" s="14" t="str">
        <f>IFERROR(__xludf.DUMMYFUNCTION("""COMPUTED_VALUE"""),"Sierra Leone-Africa")</f>
        <v>Sierra Leone-Africa</v>
      </c>
      <c r="AD2103" s="14" t="str">
        <f>IFERROR(__xludf.DUMMYFUNCTION("""COMPUTED_VALUE"""),"2007")</f>
        <v>2007</v>
      </c>
      <c r="AE2103" s="14"/>
      <c r="AF2103" s="14">
        <f>IFERROR(__xludf.DUMMYFUNCTION("""COMPUTED_VALUE"""),642.0)</f>
        <v>642</v>
      </c>
    </row>
    <row r="2104">
      <c r="A2104" s="12">
        <v>2103.0</v>
      </c>
      <c r="B2104" s="12" t="s">
        <v>240</v>
      </c>
      <c r="C2104" s="5" t="s">
        <v>77</v>
      </c>
      <c r="D2104" s="11">
        <v>2.352</v>
      </c>
      <c r="E2104" s="11">
        <v>12.0</v>
      </c>
      <c r="F2104" s="8"/>
      <c r="G2104" s="11">
        <v>357.0</v>
      </c>
      <c r="H2104" s="11">
        <v>0.003</v>
      </c>
      <c r="I2104" s="11">
        <v>0.206</v>
      </c>
      <c r="J2104" s="9" t="s">
        <v>70</v>
      </c>
      <c r="K2104" s="14" t="str">
        <f>IFERROR(__xludf.DUMMYFUNCTION("ARRAYFORMULA(VLOOKUP(A2104,IMPORTRANGE(""https://docs.google.com/spreadsheets/d/1BuTWp7qHGjWhqrnf-OmePP568O4A5Am9ttzvVdP67zw/edit#gid=1603210130"", ""TOURISM!$A$2:$F$2692""), {2,3,4,5,6},0))"),"Africa")</f>
        <v>Africa</v>
      </c>
      <c r="L2104" s="14">
        <f>IFERROR(__xludf.DUMMYFUNCTION("""COMPUTED_VALUE"""),2.5E7)</f>
        <v>25000000</v>
      </c>
      <c r="M2104" s="14" t="str">
        <f>IFERROR(__xludf.DUMMYFUNCTION("""COMPUTED_VALUE"""),"Sierra Leone-Africa")</f>
        <v>Sierra Leone-Africa</v>
      </c>
      <c r="N2104" s="14" t="str">
        <f>IFERROR(__xludf.DUMMYFUNCTION("""COMPUTED_VALUE"""),"2009")</f>
        <v>2009</v>
      </c>
      <c r="O2104" s="14">
        <f>IFERROR(__xludf.DUMMYFUNCTION("""COMPUTED_VALUE"""),2.2E7)</f>
        <v>22000000</v>
      </c>
      <c r="P2104" s="15">
        <f>IFERROR(__xludf.DUMMYFUNCTION("ARRAYFORMULA(VLOOKUP(A2104,IMPORTRANGE(""https://docs.google.com/spreadsheets/d/1BuTWp7qHGjWhqrnf-OmePP568O4A5Am9ttzvVdP67zw/edit#gid=771602874"" ,""HUMAN RESOURCES!$A$2:$M$2692""), {2,3,4,5,6,7,8,9,10,11,12,13},0))"),0.039)</f>
        <v>0.039</v>
      </c>
      <c r="Q2104" s="14">
        <f>IFERROR(__xludf.DUMMYFUNCTION("""COMPUTED_VALUE"""),0.117)</f>
        <v>0.117</v>
      </c>
      <c r="R2104" s="14">
        <f>IFERROR(__xludf.DUMMYFUNCTION("""COMPUTED_VALUE"""),45.0)</f>
        <v>45</v>
      </c>
      <c r="S2104" s="14">
        <f>IFERROR(__xludf.DUMMYFUNCTION("""COMPUTED_VALUE"""),44.0)</f>
        <v>44</v>
      </c>
      <c r="T2104" s="14">
        <f>IFERROR(__xludf.DUMMYFUNCTION("""COMPUTED_VALUE"""),0.423)</f>
        <v>0.423</v>
      </c>
      <c r="U2104" s="14">
        <f>IFERROR(__xludf.DUMMYFUNCTION("""COMPUTED_VALUE"""),0.551)</f>
        <v>0.551</v>
      </c>
      <c r="V2104" s="14">
        <f>IFERROR(__xludf.DUMMYFUNCTION("""COMPUTED_VALUE"""),0.025)</f>
        <v>0.025</v>
      </c>
      <c r="W2104" s="14">
        <f>IFERROR(__xludf.DUMMYFUNCTION("""COMPUTED_VALUE"""),5641182.0)</f>
        <v>5641182</v>
      </c>
      <c r="X2104" s="14">
        <f>IFERROR(__xludf.DUMMYFUNCTION("""COMPUTED_VALUE"""),0.379)</f>
        <v>0.379</v>
      </c>
      <c r="Y2104" s="14" t="str">
        <f>IFERROR(__xludf.DUMMYFUNCTION("""COMPUTED_VALUE"""),"Sierra Leone-Africa")</f>
        <v>Sierra Leone-Africa</v>
      </c>
      <c r="Z2104" s="14" t="str">
        <f>IFERROR(__xludf.DUMMYFUNCTION("""COMPUTED_VALUE"""),"Africa")</f>
        <v>Africa</v>
      </c>
      <c r="AA2104" s="14" t="str">
        <f>IFERROR(__xludf.DUMMYFUNCTION("""COMPUTED_VALUE"""),"2009")</f>
        <v>2009</v>
      </c>
      <c r="AB2104" s="15" t="str">
        <f>IFERROR(__xludf.DUMMYFUNCTION("ARRAYFORMULA(VLOOKUP(A2104,IMPORTRANGE(""https://docs.google.com/spreadsheets/d/1BuTWp7qHGjWhqrnf-OmePP568O4A5Am9ttzvVdP67zw/edit#gid=1931367683"" ,""ENERGY!$A$2:$F$2692""), {2,3,4,5,6},0))"),"Africa")</f>
        <v>Africa</v>
      </c>
      <c r="AC2104" s="14" t="str">
        <f>IFERROR(__xludf.DUMMYFUNCTION("""COMPUTED_VALUE"""),"Sierra Leone-Africa")</f>
        <v>Sierra Leone-Africa</v>
      </c>
      <c r="AD2104" s="14" t="str">
        <f>IFERROR(__xludf.DUMMYFUNCTION("""COMPUTED_VALUE"""),"2011")</f>
        <v>2011</v>
      </c>
      <c r="AE2104" s="14"/>
      <c r="AF2104" s="14">
        <f>IFERROR(__xludf.DUMMYFUNCTION("""COMPUTED_VALUE"""),653.0)</f>
        <v>653</v>
      </c>
    </row>
    <row r="2105">
      <c r="A2105" s="12">
        <v>2104.0</v>
      </c>
      <c r="B2105" s="12" t="s">
        <v>240</v>
      </c>
      <c r="C2105" s="5" t="s">
        <v>77</v>
      </c>
      <c r="D2105" s="11">
        <v>2.352</v>
      </c>
      <c r="E2105" s="11">
        <v>12.0</v>
      </c>
      <c r="F2105" s="8"/>
      <c r="G2105" s="11">
        <v>357.0</v>
      </c>
      <c r="H2105" s="11">
        <v>0.006</v>
      </c>
      <c r="I2105" s="11">
        <v>0.348</v>
      </c>
      <c r="J2105" s="9" t="s">
        <v>71</v>
      </c>
      <c r="K2105" s="14" t="str">
        <f>IFERROR(__xludf.DUMMYFUNCTION("ARRAYFORMULA(VLOOKUP(A2105,IMPORTRANGE(""https://docs.google.com/spreadsheets/d/1BuTWp7qHGjWhqrnf-OmePP568O4A5Am9ttzvVdP67zw/edit#gid=1603210130"", ""TOURISM!$A$2:$F$2692""), {2,3,4,5,6},0))"),"Africa")</f>
        <v>Africa</v>
      </c>
      <c r="L2105" s="14">
        <f>IFERROR(__xludf.DUMMYFUNCTION("""COMPUTED_VALUE"""),2.6E7)</f>
        <v>26000000</v>
      </c>
      <c r="M2105" s="14" t="str">
        <f>IFERROR(__xludf.DUMMYFUNCTION("""COMPUTED_VALUE"""),"Sierra Leone-Africa")</f>
        <v>Sierra Leone-Africa</v>
      </c>
      <c r="N2105" s="14" t="str">
        <f>IFERROR(__xludf.DUMMYFUNCTION("""COMPUTED_VALUE"""),"2010")</f>
        <v>2010</v>
      </c>
      <c r="O2105" s="14">
        <f>IFERROR(__xludf.DUMMYFUNCTION("""COMPUTED_VALUE"""),2.2E7)</f>
        <v>22000000</v>
      </c>
      <c r="P2105" s="15">
        <f>IFERROR(__xludf.DUMMYFUNCTION("ARRAYFORMULA(VLOOKUP(A2105,IMPORTRANGE(""https://docs.google.com/spreadsheets/d/1BuTWp7qHGjWhqrnf-OmePP568O4A5Am9ttzvVdP67zw/edit#gid=771602874"" ,""HUMAN RESOURCES!$A$2:$M$2692""), {2,3,4,5,6,7,8,9,10,11,12,13},0))"),0.038)</f>
        <v>0.038</v>
      </c>
      <c r="Q2105" s="14">
        <f>IFERROR(__xludf.DUMMYFUNCTION("""COMPUTED_VALUE"""),0.114)</f>
        <v>0.114</v>
      </c>
      <c r="R2105" s="14">
        <f>IFERROR(__xludf.DUMMYFUNCTION("""COMPUTED_VALUE"""),45.0)</f>
        <v>45</v>
      </c>
      <c r="S2105" s="14">
        <f>IFERROR(__xludf.DUMMYFUNCTION("""COMPUTED_VALUE"""),45.0)</f>
        <v>45</v>
      </c>
      <c r="T2105" s="14">
        <f>IFERROR(__xludf.DUMMYFUNCTION("""COMPUTED_VALUE"""),0.422)</f>
        <v>0.422</v>
      </c>
      <c r="U2105" s="14">
        <f>IFERROR(__xludf.DUMMYFUNCTION("""COMPUTED_VALUE"""),0.553)</f>
        <v>0.553</v>
      </c>
      <c r="V2105" s="14">
        <f>IFERROR(__xludf.DUMMYFUNCTION("""COMPUTED_VALUE"""),0.026)</f>
        <v>0.026</v>
      </c>
      <c r="W2105" s="14">
        <f>IFERROR(__xludf.DUMMYFUNCTION("""COMPUTED_VALUE"""),5751976.0)</f>
        <v>5751976</v>
      </c>
      <c r="X2105" s="14">
        <f>IFERROR(__xludf.DUMMYFUNCTION("""COMPUTED_VALUE"""),0.382)</f>
        <v>0.382</v>
      </c>
      <c r="Y2105" s="14" t="str">
        <f>IFERROR(__xludf.DUMMYFUNCTION("""COMPUTED_VALUE"""),"Sierra Leone-Africa")</f>
        <v>Sierra Leone-Africa</v>
      </c>
      <c r="Z2105" s="14" t="str">
        <f>IFERROR(__xludf.DUMMYFUNCTION("""COMPUTED_VALUE"""),"Africa")</f>
        <v>Africa</v>
      </c>
      <c r="AA2105" s="14" t="str">
        <f>IFERROR(__xludf.DUMMYFUNCTION("""COMPUTED_VALUE"""),"2010")</f>
        <v>2010</v>
      </c>
      <c r="AB2105" s="15" t="str">
        <f>IFERROR(__xludf.DUMMYFUNCTION("ARRAYFORMULA(VLOOKUP(A2105,IMPORTRANGE(""https://docs.google.com/spreadsheets/d/1BuTWp7qHGjWhqrnf-OmePP568O4A5Am9ttzvVdP67zw/edit#gid=1931367683"" ,""ENERGY!$A$2:$F$2692""), {2,3,4,5,6},0))"),"Africa")</f>
        <v>Africa</v>
      </c>
      <c r="AC2105" s="14" t="str">
        <f>IFERROR(__xludf.DUMMYFUNCTION("""COMPUTED_VALUE"""),"Sierra Leone-Africa")</f>
        <v>Sierra Leone-Africa</v>
      </c>
      <c r="AD2105" s="14" t="str">
        <f>IFERROR(__xludf.DUMMYFUNCTION("""COMPUTED_VALUE"""),"2008")</f>
        <v>2008</v>
      </c>
      <c r="AE2105" s="14"/>
      <c r="AF2105" s="14">
        <f>IFERROR(__xludf.DUMMYFUNCTION("""COMPUTED_VALUE"""),609.0)</f>
        <v>609</v>
      </c>
    </row>
    <row r="2106">
      <c r="A2106" s="12">
        <v>2105.0</v>
      </c>
      <c r="B2106" s="12" t="s">
        <v>240</v>
      </c>
      <c r="C2106" s="5" t="s">
        <v>77</v>
      </c>
      <c r="D2106" s="11">
        <v>0.324</v>
      </c>
      <c r="E2106" s="11">
        <v>12.0</v>
      </c>
      <c r="F2106" s="8"/>
      <c r="G2106" s="11">
        <v>357.0</v>
      </c>
      <c r="H2106" s="11">
        <v>0.009</v>
      </c>
      <c r="I2106" s="11">
        <v>0.364</v>
      </c>
      <c r="J2106" s="9" t="s">
        <v>72</v>
      </c>
      <c r="K2106" s="14" t="str">
        <f>IFERROR(__xludf.DUMMYFUNCTION("ARRAYFORMULA(VLOOKUP(A2106,IMPORTRANGE(""https://docs.google.com/spreadsheets/d/1BuTWp7qHGjWhqrnf-OmePP568O4A5Am9ttzvVdP67zw/edit#gid=1603210130"", ""TOURISM!$A$2:$F$2692""), {2,3,4,5,6},0))"),"Africa")</f>
        <v>Africa</v>
      </c>
      <c r="L2106" s="14">
        <f>IFERROR(__xludf.DUMMYFUNCTION("""COMPUTED_VALUE"""),4.4E7)</f>
        <v>44000000</v>
      </c>
      <c r="M2106" s="14" t="str">
        <f>IFERROR(__xludf.DUMMYFUNCTION("""COMPUTED_VALUE"""),"Sierra Leone-Africa")</f>
        <v>Sierra Leone-Africa</v>
      </c>
      <c r="N2106" s="14" t="str">
        <f>IFERROR(__xludf.DUMMYFUNCTION("""COMPUTED_VALUE"""),"2011")</f>
        <v>2011</v>
      </c>
      <c r="O2106" s="14">
        <f>IFERROR(__xludf.DUMMYFUNCTION("""COMPUTED_VALUE"""),2.9E7)</f>
        <v>29000000</v>
      </c>
      <c r="P2106" s="15">
        <f>IFERROR(__xludf.DUMMYFUNCTION("ARRAYFORMULA(VLOOKUP(A2106,IMPORTRANGE(""https://docs.google.com/spreadsheets/d/1BuTWp7qHGjWhqrnf-OmePP568O4A5Am9ttzvVdP67zw/edit#gid=771602874"" ,""HUMAN RESOURCES!$A$2:$M$2692""), {2,3,4,5,6,7,8,9,10,11,12,13},0))"),0.038)</f>
        <v>0.038</v>
      </c>
      <c r="Q2106" s="14">
        <f>IFERROR(__xludf.DUMMYFUNCTION("""COMPUTED_VALUE"""),0.112)</f>
        <v>0.112</v>
      </c>
      <c r="R2106" s="14">
        <f>IFERROR(__xludf.DUMMYFUNCTION("""COMPUTED_VALUE"""),45.0)</f>
        <v>45</v>
      </c>
      <c r="S2106" s="14">
        <f>IFERROR(__xludf.DUMMYFUNCTION("""COMPUTED_VALUE"""),45.0)</f>
        <v>45</v>
      </c>
      <c r="T2106" s="14">
        <f>IFERROR(__xludf.DUMMYFUNCTION("""COMPUTED_VALUE"""),0.42)</f>
        <v>0.42</v>
      </c>
      <c r="U2106" s="14">
        <f>IFERROR(__xludf.DUMMYFUNCTION("""COMPUTED_VALUE"""),0.554)</f>
        <v>0.554</v>
      </c>
      <c r="V2106" s="14">
        <f>IFERROR(__xludf.DUMMYFUNCTION("""COMPUTED_VALUE"""),0.026)</f>
        <v>0.026</v>
      </c>
      <c r="W2106" s="14">
        <f>IFERROR(__xludf.DUMMYFUNCTION("""COMPUTED_VALUE"""),5865491.0)</f>
        <v>5865491</v>
      </c>
      <c r="X2106" s="14">
        <f>IFERROR(__xludf.DUMMYFUNCTION("""COMPUTED_VALUE"""),0.386)</f>
        <v>0.386</v>
      </c>
      <c r="Y2106" s="14" t="str">
        <f>IFERROR(__xludf.DUMMYFUNCTION("""COMPUTED_VALUE"""),"Sierra Leone-Africa")</f>
        <v>Sierra Leone-Africa</v>
      </c>
      <c r="Z2106" s="14" t="str">
        <f>IFERROR(__xludf.DUMMYFUNCTION("""COMPUTED_VALUE"""),"Africa")</f>
        <v>Africa</v>
      </c>
      <c r="AA2106" s="14" t="str">
        <f>IFERROR(__xludf.DUMMYFUNCTION("""COMPUTED_VALUE"""),"2011")</f>
        <v>2011</v>
      </c>
      <c r="AB2106" s="15" t="str">
        <f>IFERROR(__xludf.DUMMYFUNCTION("ARRAYFORMULA(VLOOKUP(A2106,IMPORTRANGE(""https://docs.google.com/spreadsheets/d/1BuTWp7qHGjWhqrnf-OmePP568O4A5Am9ttzvVdP67zw/edit#gid=1931367683"" ,""ENERGY!$A$2:$F$2692""), {2,3,4,5,6},0))"),"Africa")</f>
        <v>Africa</v>
      </c>
      <c r="AC2106" s="14" t="str">
        <f>IFERROR(__xludf.DUMMYFUNCTION("""COMPUTED_VALUE"""),"Sierra Leone-Africa")</f>
        <v>Sierra Leone-Africa</v>
      </c>
      <c r="AD2106" s="14" t="str">
        <f>IFERROR(__xludf.DUMMYFUNCTION("""COMPUTED_VALUE"""),"2007")</f>
        <v>2007</v>
      </c>
      <c r="AE2106" s="14"/>
      <c r="AF2106" s="14">
        <f>IFERROR(__xludf.DUMMYFUNCTION("""COMPUTED_VALUE"""),568.0)</f>
        <v>568</v>
      </c>
    </row>
    <row r="2107">
      <c r="A2107" s="12">
        <v>2106.0</v>
      </c>
      <c r="B2107" s="12" t="s">
        <v>240</v>
      </c>
      <c r="C2107" s="5" t="s">
        <v>77</v>
      </c>
      <c r="D2107" s="11">
        <v>0.324</v>
      </c>
      <c r="E2107" s="11">
        <v>12.0</v>
      </c>
      <c r="F2107" s="11">
        <v>137.0</v>
      </c>
      <c r="G2107" s="11">
        <v>357.0</v>
      </c>
      <c r="H2107" s="11">
        <v>0.013</v>
      </c>
      <c r="I2107" s="11">
        <v>0.37</v>
      </c>
      <c r="J2107" s="9" t="s">
        <v>73</v>
      </c>
      <c r="K2107" s="14" t="str">
        <f>IFERROR(__xludf.DUMMYFUNCTION("ARRAYFORMULA(VLOOKUP(A2107,IMPORTRANGE(""https://docs.google.com/spreadsheets/d/1BuTWp7qHGjWhqrnf-OmePP568O4A5Am9ttzvVdP67zw/edit#gid=1603210130"", ""TOURISM!$A$2:$F$2692""), {2,3,4,5,6},0))"),"Africa")</f>
        <v>Africa</v>
      </c>
      <c r="L2107" s="14">
        <f>IFERROR(__xludf.DUMMYFUNCTION("""COMPUTED_VALUE"""),4.1E7)</f>
        <v>41000000</v>
      </c>
      <c r="M2107" s="14" t="str">
        <f>IFERROR(__xludf.DUMMYFUNCTION("""COMPUTED_VALUE"""),"Sierra Leone-Africa")</f>
        <v>Sierra Leone-Africa</v>
      </c>
      <c r="N2107" s="14" t="str">
        <f>IFERROR(__xludf.DUMMYFUNCTION("""COMPUTED_VALUE"""),"2012")</f>
        <v>2012</v>
      </c>
      <c r="O2107" s="14">
        <f>IFERROR(__xludf.DUMMYFUNCTION("""COMPUTED_VALUE"""),2.5E7)</f>
        <v>25000000</v>
      </c>
      <c r="P2107" s="15">
        <f>IFERROR(__xludf.DUMMYFUNCTION("ARRAYFORMULA(VLOOKUP(A2107,IMPORTRANGE(""https://docs.google.com/spreadsheets/d/1BuTWp7qHGjWhqrnf-OmePP568O4A5Am9ttzvVdP67zw/edit#gid=771602874"" ,""HUMAN RESOURCES!$A$2:$M$2692""), {2,3,4,5,6,7,8,9,10,11,12,13},0))"),0.037)</f>
        <v>0.037</v>
      </c>
      <c r="Q2107" s="14">
        <f>IFERROR(__xludf.DUMMYFUNCTION("""COMPUTED_VALUE"""),0.11)</f>
        <v>0.11</v>
      </c>
      <c r="R2107" s="14">
        <f>IFERROR(__xludf.DUMMYFUNCTION("""COMPUTED_VALUE"""),46.0)</f>
        <v>46</v>
      </c>
      <c r="S2107" s="14">
        <f>IFERROR(__xludf.DUMMYFUNCTION("""COMPUTED_VALUE"""),45.0)</f>
        <v>45</v>
      </c>
      <c r="T2107" s="14">
        <f>IFERROR(__xludf.DUMMYFUNCTION("""COMPUTED_VALUE"""),0.417)</f>
        <v>0.417</v>
      </c>
      <c r="U2107" s="14">
        <f>IFERROR(__xludf.DUMMYFUNCTION("""COMPUTED_VALUE"""),0.556)</f>
        <v>0.556</v>
      </c>
      <c r="V2107" s="14">
        <f>IFERROR(__xludf.DUMMYFUNCTION("""COMPUTED_VALUE"""),0.026)</f>
        <v>0.026</v>
      </c>
      <c r="W2107" s="14">
        <f>IFERROR(__xludf.DUMMYFUNCTION("""COMPUTED_VALUE"""),5978727.0)</f>
        <v>5978727</v>
      </c>
      <c r="X2107" s="14">
        <f>IFERROR(__xludf.DUMMYFUNCTION("""COMPUTED_VALUE"""),0.389)</f>
        <v>0.389</v>
      </c>
      <c r="Y2107" s="14" t="str">
        <f>IFERROR(__xludf.DUMMYFUNCTION("""COMPUTED_VALUE"""),"Sierra Leone-Africa")</f>
        <v>Sierra Leone-Africa</v>
      </c>
      <c r="Z2107" s="14" t="str">
        <f>IFERROR(__xludf.DUMMYFUNCTION("""COMPUTED_VALUE"""),"Africa")</f>
        <v>Africa</v>
      </c>
      <c r="AA2107" s="14" t="str">
        <f>IFERROR(__xludf.DUMMYFUNCTION("""COMPUTED_VALUE"""),"2012")</f>
        <v>2012</v>
      </c>
      <c r="AB2107" s="15" t="str">
        <f>IFERROR(__xludf.DUMMYFUNCTION("ARRAYFORMULA(VLOOKUP(A2107,IMPORTRANGE(""https://docs.google.com/spreadsheets/d/1BuTWp7qHGjWhqrnf-OmePP568O4A5Am9ttzvVdP67zw/edit#gid=1931367683"" ,""ENERGY!$A$2:$F$2692""), {2,3,4,5,6},0))"),"Africa")</f>
        <v>Africa</v>
      </c>
      <c r="AC2107" s="14" t="str">
        <f>IFERROR(__xludf.DUMMYFUNCTION("""COMPUTED_VALUE"""),"Sierra Leone-Africa")</f>
        <v>Sierra Leone-Africa</v>
      </c>
      <c r="AD2107" s="14" t="str">
        <f>IFERROR(__xludf.DUMMYFUNCTION("""COMPUTED_VALUE"""),"2011")</f>
        <v>2011</v>
      </c>
      <c r="AE2107" s="14"/>
      <c r="AF2107" s="14">
        <f>IFERROR(__xludf.DUMMYFUNCTION("""COMPUTED_VALUE"""),425.0)</f>
        <v>425</v>
      </c>
    </row>
    <row r="2108">
      <c r="A2108" s="12">
        <v>2107.0</v>
      </c>
      <c r="B2108" s="12" t="s">
        <v>241</v>
      </c>
      <c r="C2108" s="5" t="s">
        <v>61</v>
      </c>
      <c r="D2108" s="8"/>
      <c r="E2108" s="8"/>
      <c r="F2108" s="8"/>
      <c r="G2108" s="8"/>
      <c r="H2108" s="11">
        <v>0.36</v>
      </c>
      <c r="I2108" s="11">
        <v>0.701</v>
      </c>
      <c r="J2108" s="9" t="s">
        <v>60</v>
      </c>
      <c r="K2108" s="14" t="str">
        <f>IFERROR(__xludf.DUMMYFUNCTION("ARRAYFORMULA(VLOOKUP(A2108,IMPORTRANGE(""https://docs.google.com/spreadsheets/d/1BuTWp7qHGjWhqrnf-OmePP568O4A5Am9ttzvVdP67zw/edit#gid=1603210130"", ""TOURISM!$A$2:$F$2692""), {2,3,4,5,6},0))"),"Asia")</f>
        <v>Asia</v>
      </c>
      <c r="L2108" s="14">
        <f>IFERROR(__xludf.DUMMYFUNCTION("""COMPUTED_VALUE"""),5.142E9)</f>
        <v>5142000000</v>
      </c>
      <c r="M2108" s="14" t="str">
        <f>IFERROR(__xludf.DUMMYFUNCTION("""COMPUTED_VALUE"""),"Singapore-Asia")</f>
        <v>Singapore-Asia</v>
      </c>
      <c r="N2108" s="14" t="str">
        <f>IFERROR(__xludf.DUMMYFUNCTION("""COMPUTED_VALUE"""),"2000")</f>
        <v>2000</v>
      </c>
      <c r="O2108" s="14">
        <f>IFERROR(__xludf.DUMMYFUNCTION("""COMPUTED_VALUE"""),4.535E9)</f>
        <v>4535000000</v>
      </c>
      <c r="P2108" s="15">
        <f>IFERROR(__xludf.DUMMYFUNCTION("ARRAYFORMULA(VLOOKUP(A2108,IMPORTRANGE(""https://docs.google.com/spreadsheets/d/1BuTWp7qHGjWhqrnf-OmePP568O4A5Am9ttzvVdP67zw/edit#gid=771602874"" ,""HUMAN RESOURCES!$A$2:$M$2692""), {2,3,4,5,6,7,8,9,10,11,12,13},0))"),0.012)</f>
        <v>0.012</v>
      </c>
      <c r="Q2108" s="14">
        <f>IFERROR(__xludf.DUMMYFUNCTION("""COMPUTED_VALUE"""),0.003)</f>
        <v>0.003</v>
      </c>
      <c r="R2108" s="14">
        <f>IFERROR(__xludf.DUMMYFUNCTION("""COMPUTED_VALUE"""),80.0)</f>
        <v>80</v>
      </c>
      <c r="S2108" s="14">
        <f>IFERROR(__xludf.DUMMYFUNCTION("""COMPUTED_VALUE"""),76.0)</f>
        <v>76</v>
      </c>
      <c r="T2108" s="14">
        <f>IFERROR(__xludf.DUMMYFUNCTION("""COMPUTED_VALUE"""),0.215)</f>
        <v>0.215</v>
      </c>
      <c r="U2108" s="14">
        <f>IFERROR(__xludf.DUMMYFUNCTION("""COMPUTED_VALUE"""),0.712)</f>
        <v>0.712</v>
      </c>
      <c r="V2108" s="14">
        <f>IFERROR(__xludf.DUMMYFUNCTION("""COMPUTED_VALUE"""),0.073)</f>
        <v>0.073</v>
      </c>
      <c r="W2108" s="14">
        <f>IFERROR(__xludf.DUMMYFUNCTION("""COMPUTED_VALUE"""),4027900.0)</f>
        <v>4027900</v>
      </c>
      <c r="X2108" s="14">
        <f>IFERROR(__xludf.DUMMYFUNCTION("""COMPUTED_VALUE"""),1.0)</f>
        <v>1</v>
      </c>
      <c r="Y2108" s="14" t="str">
        <f>IFERROR(__xludf.DUMMYFUNCTION("""COMPUTED_VALUE"""),"Singapore-Asia")</f>
        <v>Singapore-Asia</v>
      </c>
      <c r="Z2108" s="14" t="str">
        <f>IFERROR(__xludf.DUMMYFUNCTION("""COMPUTED_VALUE"""),"Asia")</f>
        <v>Asia</v>
      </c>
      <c r="AA2108" s="14" t="str">
        <f>IFERROR(__xludf.DUMMYFUNCTION("""COMPUTED_VALUE"""),"2000")</f>
        <v>2000</v>
      </c>
      <c r="AB2108" s="15" t="str">
        <f>IFERROR(__xludf.DUMMYFUNCTION("ARRAYFORMULA(VLOOKUP(A2108,IMPORTRANGE(""https://docs.google.com/spreadsheets/d/1BuTWp7qHGjWhqrnf-OmePP568O4A5Am9ttzvVdP67zw/edit#gid=1931367683"" ,""ENERGY!$A$2:$F$2692""), {2,3,4,5,6},0))"),"Asia")</f>
        <v>Asia</v>
      </c>
      <c r="AC2108" s="14" t="str">
        <f>IFERROR(__xludf.DUMMYFUNCTION("""COMPUTED_VALUE"""),"Singapore-Asia")</f>
        <v>Singapore-Asia</v>
      </c>
      <c r="AD2108" s="14" t="str">
        <f>IFERROR(__xludf.DUMMYFUNCTION("""COMPUTED_VALUE"""),"2000")</f>
        <v>2000</v>
      </c>
      <c r="AE2108" s="14"/>
      <c r="AF2108" s="14"/>
    </row>
    <row r="2109">
      <c r="A2109" s="12">
        <v>2108.0</v>
      </c>
      <c r="B2109" s="12" t="s">
        <v>241</v>
      </c>
      <c r="C2109" s="5" t="s">
        <v>61</v>
      </c>
      <c r="D2109" s="8"/>
      <c r="E2109" s="8"/>
      <c r="F2109" s="8"/>
      <c r="G2109" s="8"/>
      <c r="H2109" s="11">
        <v>0.417</v>
      </c>
      <c r="I2109" s="11">
        <v>0.744</v>
      </c>
      <c r="J2109" s="9" t="s">
        <v>62</v>
      </c>
      <c r="K2109" s="14" t="str">
        <f>IFERROR(__xludf.DUMMYFUNCTION("ARRAYFORMULA(VLOOKUP(A2109,IMPORTRANGE(""https://docs.google.com/spreadsheets/d/1BuTWp7qHGjWhqrnf-OmePP568O4A5Am9ttzvVdP67zw/edit#gid=1603210130"", ""TOURISM!$A$2:$F$2692""), {2,3,4,5,6},0))"),"Asia")</f>
        <v>Asia</v>
      </c>
      <c r="L2109" s="14">
        <f>IFERROR(__xludf.DUMMYFUNCTION("""COMPUTED_VALUE"""),4.641E9)</f>
        <v>4641000000</v>
      </c>
      <c r="M2109" s="14" t="str">
        <f>IFERROR(__xludf.DUMMYFUNCTION("""COMPUTED_VALUE"""),"Singapore-Asia")</f>
        <v>Singapore-Asia</v>
      </c>
      <c r="N2109" s="14" t="str">
        <f>IFERROR(__xludf.DUMMYFUNCTION("""COMPUTED_VALUE"""),"2001")</f>
        <v>2001</v>
      </c>
      <c r="O2109" s="14">
        <f>IFERROR(__xludf.DUMMYFUNCTION("""COMPUTED_VALUE"""),6.6E9)</f>
        <v>6600000000</v>
      </c>
      <c r="P2109" s="15">
        <f>IFERROR(__xludf.DUMMYFUNCTION("ARRAYFORMULA(VLOOKUP(A2109,IMPORTRANGE(""https://docs.google.com/spreadsheets/d/1BuTWp7qHGjWhqrnf-OmePP568O4A5Am9ttzvVdP67zw/edit#gid=771602874"" ,""HUMAN RESOURCES!$A$2:$M$2692""), {2,3,4,5,6,7,8,9,10,11,12,13},0))"),0.012)</f>
        <v>0.012</v>
      </c>
      <c r="Q2109" s="14">
        <f>IFERROR(__xludf.DUMMYFUNCTION("""COMPUTED_VALUE"""),0.003)</f>
        <v>0.003</v>
      </c>
      <c r="R2109" s="14">
        <f>IFERROR(__xludf.DUMMYFUNCTION("""COMPUTED_VALUE"""),80.0)</f>
        <v>80</v>
      </c>
      <c r="S2109" s="14">
        <f>IFERROR(__xludf.DUMMYFUNCTION("""COMPUTED_VALUE"""),76.0)</f>
        <v>76</v>
      </c>
      <c r="T2109" s="14">
        <f>IFERROR(__xludf.DUMMYFUNCTION("""COMPUTED_VALUE"""),0.211)</f>
        <v>0.211</v>
      </c>
      <c r="U2109" s="14">
        <f>IFERROR(__xludf.DUMMYFUNCTION("""COMPUTED_VALUE"""),0.714)</f>
        <v>0.714</v>
      </c>
      <c r="V2109" s="14">
        <f>IFERROR(__xludf.DUMMYFUNCTION("""COMPUTED_VALUE"""),0.075)</f>
        <v>0.075</v>
      </c>
      <c r="W2109" s="14">
        <f>IFERROR(__xludf.DUMMYFUNCTION("""COMPUTED_VALUE"""),4138000.0)</f>
        <v>4138000</v>
      </c>
      <c r="X2109" s="14">
        <f>IFERROR(__xludf.DUMMYFUNCTION("""COMPUTED_VALUE"""),1.0)</f>
        <v>1</v>
      </c>
      <c r="Y2109" s="14" t="str">
        <f>IFERROR(__xludf.DUMMYFUNCTION("""COMPUTED_VALUE"""),"Singapore-Asia")</f>
        <v>Singapore-Asia</v>
      </c>
      <c r="Z2109" s="14" t="str">
        <f>IFERROR(__xludf.DUMMYFUNCTION("""COMPUTED_VALUE"""),"Asia")</f>
        <v>Asia</v>
      </c>
      <c r="AA2109" s="14" t="str">
        <f>IFERROR(__xludf.DUMMYFUNCTION("""COMPUTED_VALUE"""),"2001")</f>
        <v>2001</v>
      </c>
      <c r="AB2109" s="15" t="str">
        <f>IFERROR(__xludf.DUMMYFUNCTION("ARRAYFORMULA(VLOOKUP(A2109,IMPORTRANGE(""https://docs.google.com/spreadsheets/d/1BuTWp7qHGjWhqrnf-OmePP568O4A5Am9ttzvVdP67zw/edit#gid=1931367683"" ,""ENERGY!$A$2:$F$2692""), {2,3,4,5,6},0))"),"Asia")</f>
        <v>Asia</v>
      </c>
      <c r="AC2109" s="14" t="str">
        <f>IFERROR(__xludf.DUMMYFUNCTION("""COMPUTED_VALUE"""),"Singapore-Asia")</f>
        <v>Singapore-Asia</v>
      </c>
      <c r="AD2109" s="14" t="str">
        <f>IFERROR(__xludf.DUMMYFUNCTION("""COMPUTED_VALUE"""),"2001")</f>
        <v>2001</v>
      </c>
      <c r="AE2109" s="14">
        <f>IFERROR(__xludf.DUMMYFUNCTION("""COMPUTED_VALUE"""),33447.0)</f>
        <v>33447</v>
      </c>
      <c r="AF2109" s="14"/>
    </row>
    <row r="2110">
      <c r="A2110" s="12">
        <v>2109.0</v>
      </c>
      <c r="B2110" s="12" t="s">
        <v>241</v>
      </c>
      <c r="C2110" s="5" t="s">
        <v>61</v>
      </c>
      <c r="D2110" s="8"/>
      <c r="E2110" s="8"/>
      <c r="F2110" s="8"/>
      <c r="G2110" s="8"/>
      <c r="H2110" s="11">
        <v>0.47</v>
      </c>
      <c r="I2110" s="11">
        <v>0.801</v>
      </c>
      <c r="J2110" s="9" t="s">
        <v>63</v>
      </c>
      <c r="K2110" s="14" t="str">
        <f>IFERROR(__xludf.DUMMYFUNCTION("ARRAYFORMULA(VLOOKUP(A2110,IMPORTRANGE(""https://docs.google.com/spreadsheets/d/1BuTWp7qHGjWhqrnf-OmePP568O4A5Am9ttzvVdP67zw/edit#gid=1603210130"", ""TOURISM!$A$2:$F$2692""), {2,3,4,5,6},0))"),"Asia")</f>
        <v>Asia</v>
      </c>
      <c r="L2110" s="14">
        <f>IFERROR(__xludf.DUMMYFUNCTION("""COMPUTED_VALUE"""),4.458E9)</f>
        <v>4458000000</v>
      </c>
      <c r="M2110" s="14" t="str">
        <f>IFERROR(__xludf.DUMMYFUNCTION("""COMPUTED_VALUE"""),"Singapore-Asia")</f>
        <v>Singapore-Asia</v>
      </c>
      <c r="N2110" s="14" t="str">
        <f>IFERROR(__xludf.DUMMYFUNCTION("""COMPUTED_VALUE"""),"2002")</f>
        <v>2002</v>
      </c>
      <c r="O2110" s="14">
        <f>IFERROR(__xludf.DUMMYFUNCTION("""COMPUTED_VALUE"""),8.212E9)</f>
        <v>8212000000</v>
      </c>
      <c r="P2110" s="15">
        <f>IFERROR(__xludf.DUMMYFUNCTION("ARRAYFORMULA(VLOOKUP(A2110,IMPORTRANGE(""https://docs.google.com/spreadsheets/d/1BuTWp7qHGjWhqrnf-OmePP568O4A5Am9ttzvVdP67zw/edit#gid=771602874"" ,""HUMAN RESOURCES!$A$2:$M$2692""), {2,3,4,5,6,7,8,9,10,11,12,13},0))"),0.011)</f>
        <v>0.011</v>
      </c>
      <c r="Q2110" s="14">
        <f>IFERROR(__xludf.DUMMYFUNCTION("""COMPUTED_VALUE"""),0.003)</f>
        <v>0.003</v>
      </c>
      <c r="R2110" s="14">
        <f>IFERROR(__xludf.DUMMYFUNCTION("""COMPUTED_VALUE"""),81.0)</f>
        <v>81</v>
      </c>
      <c r="S2110" s="14">
        <f>IFERROR(__xludf.DUMMYFUNCTION("""COMPUTED_VALUE"""),77.0)</f>
        <v>77</v>
      </c>
      <c r="T2110" s="14">
        <f>IFERROR(__xludf.DUMMYFUNCTION("""COMPUTED_VALUE"""),0.206)</f>
        <v>0.206</v>
      </c>
      <c r="U2110" s="14">
        <f>IFERROR(__xludf.DUMMYFUNCTION("""COMPUTED_VALUE"""),0.717)</f>
        <v>0.717</v>
      </c>
      <c r="V2110" s="14">
        <f>IFERROR(__xludf.DUMMYFUNCTION("""COMPUTED_VALUE"""),0.077)</f>
        <v>0.077</v>
      </c>
      <c r="W2110" s="14">
        <f>IFERROR(__xludf.DUMMYFUNCTION("""COMPUTED_VALUE"""),4176000.0)</f>
        <v>4176000</v>
      </c>
      <c r="X2110" s="14">
        <f>IFERROR(__xludf.DUMMYFUNCTION("""COMPUTED_VALUE"""),1.0)</f>
        <v>1</v>
      </c>
      <c r="Y2110" s="14" t="str">
        <f>IFERROR(__xludf.DUMMYFUNCTION("""COMPUTED_VALUE"""),"Singapore-Asia")</f>
        <v>Singapore-Asia</v>
      </c>
      <c r="Z2110" s="14" t="str">
        <f>IFERROR(__xludf.DUMMYFUNCTION("""COMPUTED_VALUE"""),"Asia")</f>
        <v>Asia</v>
      </c>
      <c r="AA2110" s="14" t="str">
        <f>IFERROR(__xludf.DUMMYFUNCTION("""COMPUTED_VALUE"""),"2002")</f>
        <v>2002</v>
      </c>
      <c r="AB2110" s="15" t="str">
        <f>IFERROR(__xludf.DUMMYFUNCTION("ARRAYFORMULA(VLOOKUP(A2110,IMPORTRANGE(""https://docs.google.com/spreadsheets/d/1BuTWp7qHGjWhqrnf-OmePP568O4A5Am9ttzvVdP67zw/edit#gid=1931367683"" ,""ENERGY!$A$2:$F$2692""), {2,3,4,5,6},0))"),"Asia")</f>
        <v>Asia</v>
      </c>
      <c r="AC2110" s="14" t="str">
        <f>IFERROR(__xludf.DUMMYFUNCTION("""COMPUTED_VALUE"""),"Singapore-Asia")</f>
        <v>Singapore-Asia</v>
      </c>
      <c r="AD2110" s="14" t="str">
        <f>IFERROR(__xludf.DUMMYFUNCTION("""COMPUTED_VALUE"""),"2002")</f>
        <v>2002</v>
      </c>
      <c r="AE2110" s="14">
        <f>IFERROR(__xludf.DUMMYFUNCTION("""COMPUTED_VALUE"""),34280.0)</f>
        <v>34280</v>
      </c>
      <c r="AF2110" s="14">
        <f>IFERROR(__xludf.DUMMYFUNCTION("""COMPUTED_VALUE"""),13520.0)</f>
        <v>13520</v>
      </c>
    </row>
    <row r="2111">
      <c r="A2111" s="12">
        <v>2110.0</v>
      </c>
      <c r="B2111" s="12" t="s">
        <v>241</v>
      </c>
      <c r="C2111" s="5" t="s">
        <v>61</v>
      </c>
      <c r="D2111" s="8"/>
      <c r="E2111" s="11">
        <v>8.0</v>
      </c>
      <c r="F2111" s="8"/>
      <c r="G2111" s="8"/>
      <c r="H2111" s="11">
        <v>0.538</v>
      </c>
      <c r="I2111" s="11">
        <v>0.841</v>
      </c>
      <c r="J2111" s="9" t="s">
        <v>64</v>
      </c>
      <c r="K2111" s="14" t="str">
        <f>IFERROR(__xludf.DUMMYFUNCTION("ARRAYFORMULA(VLOOKUP(A2111,IMPORTRANGE(""https://docs.google.com/spreadsheets/d/1BuTWp7qHGjWhqrnf-OmePP568O4A5Am9ttzvVdP67zw/edit#gid=1603210130"", ""TOURISM!$A$2:$F$2692""), {2,3,4,5,6},0))"),"Asia")</f>
        <v>Asia</v>
      </c>
      <c r="L2111" s="14">
        <f>IFERROR(__xludf.DUMMYFUNCTION("""COMPUTED_VALUE"""),3.842E9)</f>
        <v>3842000000</v>
      </c>
      <c r="M2111" s="14" t="str">
        <f>IFERROR(__xludf.DUMMYFUNCTION("""COMPUTED_VALUE"""),"Singapore-Asia")</f>
        <v>Singapore-Asia</v>
      </c>
      <c r="N2111" s="14" t="str">
        <f>IFERROR(__xludf.DUMMYFUNCTION("""COMPUTED_VALUE"""),"2003")</f>
        <v>2003</v>
      </c>
      <c r="O2111" s="14">
        <f>IFERROR(__xludf.DUMMYFUNCTION("""COMPUTED_VALUE"""),8.382E9)</f>
        <v>8382000000</v>
      </c>
      <c r="P2111" s="15">
        <f>IFERROR(__xludf.DUMMYFUNCTION("ARRAYFORMULA(VLOOKUP(A2111,IMPORTRANGE(""https://docs.google.com/spreadsheets/d/1BuTWp7qHGjWhqrnf-OmePP568O4A5Am9ttzvVdP67zw/edit#gid=771602874"" ,""HUMAN RESOURCES!$A$2:$M$2692""), {2,3,4,5,6,7,8,9,10,11,12,13},0))"),0.011)</f>
        <v>0.011</v>
      </c>
      <c r="Q2111" s="14">
        <f>IFERROR(__xludf.DUMMYFUNCTION("""COMPUTED_VALUE"""),0.003)</f>
        <v>0.003</v>
      </c>
      <c r="R2111" s="14">
        <f>IFERROR(__xludf.DUMMYFUNCTION("""COMPUTED_VALUE"""),82.0)</f>
        <v>82</v>
      </c>
      <c r="S2111" s="14">
        <f>IFERROR(__xludf.DUMMYFUNCTION("""COMPUTED_VALUE"""),77.0)</f>
        <v>77</v>
      </c>
      <c r="T2111" s="14">
        <f>IFERROR(__xludf.DUMMYFUNCTION("""COMPUTED_VALUE"""),0.201)</f>
        <v>0.201</v>
      </c>
      <c r="U2111" s="14">
        <f>IFERROR(__xludf.DUMMYFUNCTION("""COMPUTED_VALUE"""),0.72)</f>
        <v>0.72</v>
      </c>
      <c r="V2111" s="14">
        <f>IFERROR(__xludf.DUMMYFUNCTION("""COMPUTED_VALUE"""),0.079)</f>
        <v>0.079</v>
      </c>
      <c r="W2111" s="14">
        <f>IFERROR(__xludf.DUMMYFUNCTION("""COMPUTED_VALUE"""),4114800.0)</f>
        <v>4114800</v>
      </c>
      <c r="X2111" s="14">
        <f>IFERROR(__xludf.DUMMYFUNCTION("""COMPUTED_VALUE"""),1.0)</f>
        <v>1</v>
      </c>
      <c r="Y2111" s="14" t="str">
        <f>IFERROR(__xludf.DUMMYFUNCTION("""COMPUTED_VALUE"""),"Singapore-Asia")</f>
        <v>Singapore-Asia</v>
      </c>
      <c r="Z2111" s="14" t="str">
        <f>IFERROR(__xludf.DUMMYFUNCTION("""COMPUTED_VALUE"""),"Asia")</f>
        <v>Asia</v>
      </c>
      <c r="AA2111" s="14" t="str">
        <f>IFERROR(__xludf.DUMMYFUNCTION("""COMPUTED_VALUE"""),"2003")</f>
        <v>2003</v>
      </c>
      <c r="AB2111" s="15" t="str">
        <f>IFERROR(__xludf.DUMMYFUNCTION("ARRAYFORMULA(VLOOKUP(A2111,IMPORTRANGE(""https://docs.google.com/spreadsheets/d/1BuTWp7qHGjWhqrnf-OmePP568O4A5Am9ttzvVdP67zw/edit#gid=1931367683"" ,""ENERGY!$A$2:$F$2692""), {2,3,4,5,6},0))"),"Asia")</f>
        <v>Asia</v>
      </c>
      <c r="AC2111" s="14" t="str">
        <f>IFERROR(__xludf.DUMMYFUNCTION("""COMPUTED_VALUE"""),"Singapore-Asia")</f>
        <v>Singapore-Asia</v>
      </c>
      <c r="AD2111" s="14" t="str">
        <f>IFERROR(__xludf.DUMMYFUNCTION("""COMPUTED_VALUE"""),"2003")</f>
        <v>2003</v>
      </c>
      <c r="AE2111" s="14">
        <f>IFERROR(__xludf.DUMMYFUNCTION("""COMPUTED_VALUE"""),28262.0)</f>
        <v>28262</v>
      </c>
      <c r="AF2111" s="14">
        <f>IFERROR(__xludf.DUMMYFUNCTION("""COMPUTED_VALUE"""),24767.0)</f>
        <v>24767</v>
      </c>
    </row>
    <row r="2112">
      <c r="A2112" s="12">
        <v>2111.0</v>
      </c>
      <c r="B2112" s="12" t="s">
        <v>241</v>
      </c>
      <c r="C2112" s="5" t="s">
        <v>61</v>
      </c>
      <c r="D2112" s="8"/>
      <c r="E2112" s="11">
        <v>8.0</v>
      </c>
      <c r="F2112" s="8"/>
      <c r="G2112" s="8"/>
      <c r="H2112" s="11">
        <v>0.62</v>
      </c>
      <c r="I2112" s="11">
        <v>0.912</v>
      </c>
      <c r="J2112" s="9" t="s">
        <v>65</v>
      </c>
      <c r="K2112" s="14" t="str">
        <f>IFERROR(__xludf.DUMMYFUNCTION("ARRAYFORMULA(VLOOKUP(A2112,IMPORTRANGE(""https://docs.google.com/spreadsheets/d/1BuTWp7qHGjWhqrnf-OmePP568O4A5Am9ttzvVdP67zw/edit#gid=1603210130"", ""TOURISM!$A$2:$F$2692""), {2,3,4,5,6},0))"),"Asia")</f>
        <v>Asia</v>
      </c>
      <c r="L2112" s="14">
        <f>IFERROR(__xludf.DUMMYFUNCTION("""COMPUTED_VALUE"""),5.327E9)</f>
        <v>5327000000</v>
      </c>
      <c r="M2112" s="14" t="str">
        <f>IFERROR(__xludf.DUMMYFUNCTION("""COMPUTED_VALUE"""),"Singapore-Asia")</f>
        <v>Singapore-Asia</v>
      </c>
      <c r="N2112" s="14" t="str">
        <f>IFERROR(__xludf.DUMMYFUNCTION("""COMPUTED_VALUE"""),"2004")</f>
        <v>2004</v>
      </c>
      <c r="O2112" s="14">
        <f>IFERROR(__xludf.DUMMYFUNCTION("""COMPUTED_VALUE"""),9.291E9)</f>
        <v>9291000000</v>
      </c>
      <c r="P2112" s="15">
        <f>IFERROR(__xludf.DUMMYFUNCTION("ARRAYFORMULA(VLOOKUP(A2112,IMPORTRANGE(""https://docs.google.com/spreadsheets/d/1BuTWp7qHGjWhqrnf-OmePP568O4A5Am9ttzvVdP67zw/edit#gid=771602874"" ,""HUMAN RESOURCES!$A$2:$M$2692""), {2,3,4,5,6,7,8,9,10,11,12,13},0))"),0.01)</f>
        <v>0.01</v>
      </c>
      <c r="Q2112" s="14">
        <f>IFERROR(__xludf.DUMMYFUNCTION("""COMPUTED_VALUE"""),0.002)</f>
        <v>0.002</v>
      </c>
      <c r="R2112" s="14">
        <f>IFERROR(__xludf.DUMMYFUNCTION("""COMPUTED_VALUE"""),82.0)</f>
        <v>82</v>
      </c>
      <c r="S2112" s="14">
        <f>IFERROR(__xludf.DUMMYFUNCTION("""COMPUTED_VALUE"""),77.0)</f>
        <v>77</v>
      </c>
      <c r="T2112" s="14">
        <f>IFERROR(__xludf.DUMMYFUNCTION("""COMPUTED_VALUE"""),0.196)</f>
        <v>0.196</v>
      </c>
      <c r="U2112" s="14">
        <f>IFERROR(__xludf.DUMMYFUNCTION("""COMPUTED_VALUE"""),0.723)</f>
        <v>0.723</v>
      </c>
      <c r="V2112" s="14">
        <f>IFERROR(__xludf.DUMMYFUNCTION("""COMPUTED_VALUE"""),0.081)</f>
        <v>0.081</v>
      </c>
      <c r="W2112" s="14">
        <f>IFERROR(__xludf.DUMMYFUNCTION("""COMPUTED_VALUE"""),4166700.0)</f>
        <v>4166700</v>
      </c>
      <c r="X2112" s="14">
        <f>IFERROR(__xludf.DUMMYFUNCTION("""COMPUTED_VALUE"""),1.0)</f>
        <v>1</v>
      </c>
      <c r="Y2112" s="14" t="str">
        <f>IFERROR(__xludf.DUMMYFUNCTION("""COMPUTED_VALUE"""),"Singapore-Asia")</f>
        <v>Singapore-Asia</v>
      </c>
      <c r="Z2112" s="14" t="str">
        <f>IFERROR(__xludf.DUMMYFUNCTION("""COMPUTED_VALUE"""),"Asia")</f>
        <v>Asia</v>
      </c>
      <c r="AA2112" s="14" t="str">
        <f>IFERROR(__xludf.DUMMYFUNCTION("""COMPUTED_VALUE"""),"2004")</f>
        <v>2004</v>
      </c>
      <c r="AB2112" s="15" t="str">
        <f>IFERROR(__xludf.DUMMYFUNCTION("ARRAYFORMULA(VLOOKUP(A2112,IMPORTRANGE(""https://docs.google.com/spreadsheets/d/1BuTWp7qHGjWhqrnf-OmePP568O4A5Am9ttzvVdP67zw/edit#gid=1931367683"" ,""ENERGY!$A$2:$F$2692""), {2,3,4,5,6},0))"),"Asia")</f>
        <v>Asia</v>
      </c>
      <c r="AC2112" s="14" t="str">
        <f>IFERROR(__xludf.DUMMYFUNCTION("""COMPUTED_VALUE"""),"Singapore-Asia")</f>
        <v>Singapore-Asia</v>
      </c>
      <c r="AD2112" s="14" t="str">
        <f>IFERROR(__xludf.DUMMYFUNCTION("""COMPUTED_VALUE"""),"2004")</f>
        <v>2004</v>
      </c>
      <c r="AE2112" s="14">
        <f>IFERROR(__xludf.DUMMYFUNCTION("""COMPUTED_VALUE"""),25162.0)</f>
        <v>25162</v>
      </c>
      <c r="AF2112" s="14">
        <f>IFERROR(__xludf.DUMMYFUNCTION("""COMPUTED_VALUE"""),19637.0)</f>
        <v>19637</v>
      </c>
    </row>
    <row r="2113">
      <c r="A2113" s="12">
        <v>2112.0</v>
      </c>
      <c r="B2113" s="12" t="s">
        <v>241</v>
      </c>
      <c r="C2113" s="5" t="s">
        <v>61</v>
      </c>
      <c r="D2113" s="11">
        <v>0.277</v>
      </c>
      <c r="E2113" s="11">
        <v>6.0</v>
      </c>
      <c r="F2113" s="8"/>
      <c r="G2113" s="11">
        <v>80.0</v>
      </c>
      <c r="H2113" s="11">
        <v>0.61</v>
      </c>
      <c r="I2113" s="11">
        <v>0.975</v>
      </c>
      <c r="J2113" s="9" t="s">
        <v>66</v>
      </c>
      <c r="K2113" s="14" t="str">
        <f>IFERROR(__xludf.DUMMYFUNCTION("ARRAYFORMULA(VLOOKUP(A2113,IMPORTRANGE(""https://docs.google.com/spreadsheets/d/1BuTWp7qHGjWhqrnf-OmePP568O4A5Am9ttzvVdP67zw/edit#gid=1603210130"", ""TOURISM!$A$2:$F$2692""), {2,3,4,5,6},0))"),"Asia")</f>
        <v>Asia</v>
      </c>
      <c r="L2113" s="14">
        <f>IFERROR(__xludf.DUMMYFUNCTION("""COMPUTED_VALUE"""),6.209E9)</f>
        <v>6209000000</v>
      </c>
      <c r="M2113" s="14" t="str">
        <f>IFERROR(__xludf.DUMMYFUNCTION("""COMPUTED_VALUE"""),"Singapore-Asia")</f>
        <v>Singapore-Asia</v>
      </c>
      <c r="N2113" s="14" t="str">
        <f>IFERROR(__xludf.DUMMYFUNCTION("""COMPUTED_VALUE"""),"2005")</f>
        <v>2005</v>
      </c>
      <c r="O2113" s="14">
        <f>IFERROR(__xludf.DUMMYFUNCTION("""COMPUTED_VALUE"""),1.0071E10)</f>
        <v>10071000000</v>
      </c>
      <c r="P2113" s="15">
        <f>IFERROR(__xludf.DUMMYFUNCTION("ARRAYFORMULA(VLOOKUP(A2113,IMPORTRANGE(""https://docs.google.com/spreadsheets/d/1BuTWp7qHGjWhqrnf-OmePP568O4A5Am9ttzvVdP67zw/edit#gid=771602874"" ,""HUMAN RESOURCES!$A$2:$M$2692""), {2,3,4,5,6,7,8,9,10,11,12,13},0))"),0.01)</f>
        <v>0.01</v>
      </c>
      <c r="Q2113" s="14">
        <f>IFERROR(__xludf.DUMMYFUNCTION("""COMPUTED_VALUE"""),0.002)</f>
        <v>0.002</v>
      </c>
      <c r="R2113" s="14">
        <f>IFERROR(__xludf.DUMMYFUNCTION("""COMPUTED_VALUE"""),83.0)</f>
        <v>83</v>
      </c>
      <c r="S2113" s="14">
        <f>IFERROR(__xludf.DUMMYFUNCTION("""COMPUTED_VALUE"""),78.0)</f>
        <v>78</v>
      </c>
      <c r="T2113" s="14">
        <f>IFERROR(__xludf.DUMMYFUNCTION("""COMPUTED_VALUE"""),0.191)</f>
        <v>0.191</v>
      </c>
      <c r="U2113" s="14">
        <f>IFERROR(__xludf.DUMMYFUNCTION("""COMPUTED_VALUE"""),0.726)</f>
        <v>0.726</v>
      </c>
      <c r="V2113" s="14">
        <f>IFERROR(__xludf.DUMMYFUNCTION("""COMPUTED_VALUE"""),0.082)</f>
        <v>0.082</v>
      </c>
      <c r="W2113" s="14">
        <f>IFERROR(__xludf.DUMMYFUNCTION("""COMPUTED_VALUE"""),4265800.0)</f>
        <v>4265800</v>
      </c>
      <c r="X2113" s="14">
        <f>IFERROR(__xludf.DUMMYFUNCTION("""COMPUTED_VALUE"""),1.0)</f>
        <v>1</v>
      </c>
      <c r="Y2113" s="14" t="str">
        <f>IFERROR(__xludf.DUMMYFUNCTION("""COMPUTED_VALUE"""),"Singapore-Asia")</f>
        <v>Singapore-Asia</v>
      </c>
      <c r="Z2113" s="14" t="str">
        <f>IFERROR(__xludf.DUMMYFUNCTION("""COMPUTED_VALUE"""),"Asia")</f>
        <v>Asia</v>
      </c>
      <c r="AA2113" s="14" t="str">
        <f>IFERROR(__xludf.DUMMYFUNCTION("""COMPUTED_VALUE"""),"2005")</f>
        <v>2005</v>
      </c>
      <c r="AB2113" s="15" t="str">
        <f>IFERROR(__xludf.DUMMYFUNCTION("ARRAYFORMULA(VLOOKUP(A2113,IMPORTRANGE(""https://docs.google.com/spreadsheets/d/1BuTWp7qHGjWhqrnf-OmePP568O4A5Am9ttzvVdP67zw/edit#gid=1931367683"" ,""ENERGY!$A$2:$F$2692""), {2,3,4,5,6},0))"),"Asia")</f>
        <v>Asia</v>
      </c>
      <c r="AC2113" s="14" t="str">
        <f>IFERROR(__xludf.DUMMYFUNCTION("""COMPUTED_VALUE"""),"Singapore-Asia")</f>
        <v>Singapore-Asia</v>
      </c>
      <c r="AD2113" s="14" t="str">
        <f>IFERROR(__xludf.DUMMYFUNCTION("""COMPUTED_VALUE"""),"2008")</f>
        <v>2008</v>
      </c>
      <c r="AE2113" s="14">
        <f>IFERROR(__xludf.DUMMYFUNCTION("""COMPUTED_VALUE"""),21819.0)</f>
        <v>21819</v>
      </c>
      <c r="AF2113" s="14">
        <f>IFERROR(__xludf.DUMMYFUNCTION("""COMPUTED_VALUE"""),17866.0)</f>
        <v>17866</v>
      </c>
    </row>
    <row r="2114">
      <c r="A2114" s="12">
        <v>2113.0</v>
      </c>
      <c r="B2114" s="12" t="s">
        <v>241</v>
      </c>
      <c r="C2114" s="5" t="s">
        <v>61</v>
      </c>
      <c r="D2114" s="11">
        <v>0.238</v>
      </c>
      <c r="E2114" s="11">
        <v>6.0</v>
      </c>
      <c r="F2114" s="8"/>
      <c r="G2114" s="11">
        <v>80.0</v>
      </c>
      <c r="H2114" s="11">
        <v>0.59</v>
      </c>
      <c r="I2114" s="11">
        <v>1.038</v>
      </c>
      <c r="J2114" s="9" t="s">
        <v>67</v>
      </c>
      <c r="K2114" s="14" t="str">
        <f>IFERROR(__xludf.DUMMYFUNCTION("ARRAYFORMULA(VLOOKUP(A2114,IMPORTRANGE(""https://docs.google.com/spreadsheets/d/1BuTWp7qHGjWhqrnf-OmePP568O4A5Am9ttzvVdP67zw/edit#gid=1603210130"", ""TOURISM!$A$2:$F$2692""), {2,3,4,5,6},0))"),"Asia")</f>
        <v>Asia</v>
      </c>
      <c r="L2114" s="14">
        <f>IFERROR(__xludf.DUMMYFUNCTION("""COMPUTED_VALUE"""),7.536E9)</f>
        <v>7536000000</v>
      </c>
      <c r="M2114" s="14" t="str">
        <f>IFERROR(__xludf.DUMMYFUNCTION("""COMPUTED_VALUE"""),"Singapore-Asia")</f>
        <v>Singapore-Asia</v>
      </c>
      <c r="N2114" s="14" t="str">
        <f>IFERROR(__xludf.DUMMYFUNCTION("""COMPUTED_VALUE"""),"2006")</f>
        <v>2006</v>
      </c>
      <c r="O2114" s="14">
        <f>IFERROR(__xludf.DUMMYFUNCTION("""COMPUTED_VALUE"""),1.1268E10)</f>
        <v>11268000000</v>
      </c>
      <c r="P2114" s="15">
        <f>IFERROR(__xludf.DUMMYFUNCTION("ARRAYFORMULA(VLOOKUP(A2114,IMPORTRANGE(""https://docs.google.com/spreadsheets/d/1BuTWp7qHGjWhqrnf-OmePP568O4A5Am9ttzvVdP67zw/edit#gid=771602874"" ,""HUMAN RESOURCES!$A$2:$M$2692""), {2,3,4,5,6,7,8,9,10,11,12,13},0))"),0.01)</f>
        <v>0.01</v>
      </c>
      <c r="Q2114" s="14">
        <f>IFERROR(__xludf.DUMMYFUNCTION("""COMPUTED_VALUE"""),0.002)</f>
        <v>0.002</v>
      </c>
      <c r="R2114" s="14">
        <f>IFERROR(__xludf.DUMMYFUNCTION("""COMPUTED_VALUE"""),83.0)</f>
        <v>83</v>
      </c>
      <c r="S2114" s="14">
        <f>IFERROR(__xludf.DUMMYFUNCTION("""COMPUTED_VALUE"""),78.0)</f>
        <v>78</v>
      </c>
      <c r="T2114" s="14">
        <f>IFERROR(__xludf.DUMMYFUNCTION("""COMPUTED_VALUE"""),0.188)</f>
        <v>0.188</v>
      </c>
      <c r="U2114" s="14">
        <f>IFERROR(__xludf.DUMMYFUNCTION("""COMPUTED_VALUE"""),0.729)</f>
        <v>0.729</v>
      </c>
      <c r="V2114" s="14">
        <f>IFERROR(__xludf.DUMMYFUNCTION("""COMPUTED_VALUE"""),0.083)</f>
        <v>0.083</v>
      </c>
      <c r="W2114" s="14">
        <f>IFERROR(__xludf.DUMMYFUNCTION("""COMPUTED_VALUE"""),4401400.0)</f>
        <v>4401400</v>
      </c>
      <c r="X2114" s="14">
        <f>IFERROR(__xludf.DUMMYFUNCTION("""COMPUTED_VALUE"""),1.0)</f>
        <v>1</v>
      </c>
      <c r="Y2114" s="14" t="str">
        <f>IFERROR(__xludf.DUMMYFUNCTION("""COMPUTED_VALUE"""),"Singapore-Asia")</f>
        <v>Singapore-Asia</v>
      </c>
      <c r="Z2114" s="14" t="str">
        <f>IFERROR(__xludf.DUMMYFUNCTION("""COMPUTED_VALUE"""),"Asia")</f>
        <v>Asia</v>
      </c>
      <c r="AA2114" s="14" t="str">
        <f>IFERROR(__xludf.DUMMYFUNCTION("""COMPUTED_VALUE"""),"2006")</f>
        <v>2006</v>
      </c>
      <c r="AB2114" s="15" t="str">
        <f>IFERROR(__xludf.DUMMYFUNCTION("ARRAYFORMULA(VLOOKUP(A2114,IMPORTRANGE(""https://docs.google.com/spreadsheets/d/1BuTWp7qHGjWhqrnf-OmePP568O4A5Am9ttzvVdP67zw/edit#gid=1931367683"" ,""ENERGY!$A$2:$F$2692""), {2,3,4,5,6},0))"),"Asia")</f>
        <v>Asia</v>
      </c>
      <c r="AC2114" s="14" t="str">
        <f>IFERROR(__xludf.DUMMYFUNCTION("""COMPUTED_VALUE"""),"Singapore-Asia")</f>
        <v>Singapore-Asia</v>
      </c>
      <c r="AD2114" s="14" t="str">
        <f>IFERROR(__xludf.DUMMYFUNCTION("""COMPUTED_VALUE"""),"2012")</f>
        <v>2012</v>
      </c>
      <c r="AE2114" s="14">
        <f>IFERROR(__xludf.DUMMYFUNCTION("""COMPUTED_VALUE"""),23509.0)</f>
        <v>23509</v>
      </c>
      <c r="AF2114" s="14">
        <f>IFERROR(__xludf.DUMMYFUNCTION("""COMPUTED_VALUE"""),30799.0)</f>
        <v>30799</v>
      </c>
    </row>
    <row r="2115">
      <c r="A2115" s="12">
        <v>2114.0</v>
      </c>
      <c r="B2115" s="12" t="s">
        <v>241</v>
      </c>
      <c r="C2115" s="5" t="s">
        <v>61</v>
      </c>
      <c r="D2115" s="11">
        <v>0.232</v>
      </c>
      <c r="E2115" s="11">
        <v>5.0</v>
      </c>
      <c r="F2115" s="8"/>
      <c r="G2115" s="11">
        <v>80.0</v>
      </c>
      <c r="H2115" s="11">
        <v>0.699</v>
      </c>
      <c r="I2115" s="11">
        <v>1.252</v>
      </c>
      <c r="J2115" s="9" t="s">
        <v>68</v>
      </c>
      <c r="K2115" s="14" t="str">
        <f>IFERROR(__xludf.DUMMYFUNCTION("ARRAYFORMULA(VLOOKUP(A2115,IMPORTRANGE(""https://docs.google.com/spreadsheets/d/1BuTWp7qHGjWhqrnf-OmePP568O4A5Am9ttzvVdP67zw/edit#gid=1603210130"", ""TOURISM!$A$2:$F$2692""), {2,3,4,5,6},0))"),"Asia")</f>
        <v>Asia</v>
      </c>
      <c r="L2115" s="14">
        <f>IFERROR(__xludf.DUMMYFUNCTION("""COMPUTED_VALUE"""),9.066E9)</f>
        <v>9066000000</v>
      </c>
      <c r="M2115" s="14" t="str">
        <f>IFERROR(__xludf.DUMMYFUNCTION("""COMPUTED_VALUE"""),"Singapore-Asia")</f>
        <v>Singapore-Asia</v>
      </c>
      <c r="N2115" s="14" t="str">
        <f>IFERROR(__xludf.DUMMYFUNCTION("""COMPUTED_VALUE"""),"2007")</f>
        <v>2007</v>
      </c>
      <c r="O2115" s="14">
        <f>IFERROR(__xludf.DUMMYFUNCTION("""COMPUTED_VALUE"""),1.3409E10)</f>
        <v>13409000000</v>
      </c>
      <c r="P2115" s="15">
        <f>IFERROR(__xludf.DUMMYFUNCTION("ARRAYFORMULA(VLOOKUP(A2115,IMPORTRANGE(""https://docs.google.com/spreadsheets/d/1BuTWp7qHGjWhqrnf-OmePP568O4A5Am9ttzvVdP67zw/edit#gid=771602874"" ,""HUMAN RESOURCES!$A$2:$M$2692""), {2,3,4,5,6,7,8,9,10,11,12,13},0))"),0.01)</f>
        <v>0.01</v>
      </c>
      <c r="Q2115" s="14">
        <f>IFERROR(__xludf.DUMMYFUNCTION("""COMPUTED_VALUE"""),0.002)</f>
        <v>0.002</v>
      </c>
      <c r="R2115" s="14">
        <f>IFERROR(__xludf.DUMMYFUNCTION("""COMPUTED_VALUE"""),83.0)</f>
        <v>83</v>
      </c>
      <c r="S2115" s="14">
        <f>IFERROR(__xludf.DUMMYFUNCTION("""COMPUTED_VALUE"""),78.0)</f>
        <v>78</v>
      </c>
      <c r="T2115" s="14">
        <f>IFERROR(__xludf.DUMMYFUNCTION("""COMPUTED_VALUE"""),0.184)</f>
        <v>0.184</v>
      </c>
      <c r="U2115" s="14">
        <f>IFERROR(__xludf.DUMMYFUNCTION("""COMPUTED_VALUE"""),0.731)</f>
        <v>0.731</v>
      </c>
      <c r="V2115" s="14">
        <f>IFERROR(__xludf.DUMMYFUNCTION("""COMPUTED_VALUE"""),0.085)</f>
        <v>0.085</v>
      </c>
      <c r="W2115" s="14">
        <f>IFERROR(__xludf.DUMMYFUNCTION("""COMPUTED_VALUE"""),4588600.0)</f>
        <v>4588600</v>
      </c>
      <c r="X2115" s="14">
        <f>IFERROR(__xludf.DUMMYFUNCTION("""COMPUTED_VALUE"""),1.0)</f>
        <v>1</v>
      </c>
      <c r="Y2115" s="14" t="str">
        <f>IFERROR(__xludf.DUMMYFUNCTION("""COMPUTED_VALUE"""),"Singapore-Asia")</f>
        <v>Singapore-Asia</v>
      </c>
      <c r="Z2115" s="14" t="str">
        <f>IFERROR(__xludf.DUMMYFUNCTION("""COMPUTED_VALUE"""),"Asia")</f>
        <v>Asia</v>
      </c>
      <c r="AA2115" s="14" t="str">
        <f>IFERROR(__xludf.DUMMYFUNCTION("""COMPUTED_VALUE"""),"2007")</f>
        <v>2007</v>
      </c>
      <c r="AB2115" s="15" t="str">
        <f>IFERROR(__xludf.DUMMYFUNCTION("ARRAYFORMULA(VLOOKUP(A2115,IMPORTRANGE(""https://docs.google.com/spreadsheets/d/1BuTWp7qHGjWhqrnf-OmePP568O4A5Am9ttzvVdP67zw/edit#gid=1931367683"" ,""ENERGY!$A$2:$F$2692""), {2,3,4,5,6},0))"),"Asia")</f>
        <v>Asia</v>
      </c>
      <c r="AC2115" s="14" t="str">
        <f>IFERROR(__xludf.DUMMYFUNCTION("""COMPUTED_VALUE"""),"Singapore-Asia")</f>
        <v>Singapore-Asia</v>
      </c>
      <c r="AD2115" s="14" t="str">
        <f>IFERROR(__xludf.DUMMYFUNCTION("""COMPUTED_VALUE"""),"2010")</f>
        <v>2010</v>
      </c>
      <c r="AE2115" s="14">
        <f>IFERROR(__xludf.DUMMYFUNCTION("""COMPUTED_VALUE"""),21947.0)</f>
        <v>21947</v>
      </c>
      <c r="AF2115" s="14">
        <f>IFERROR(__xludf.DUMMYFUNCTION("""COMPUTED_VALUE"""),30359.0)</f>
        <v>30359</v>
      </c>
    </row>
    <row r="2116">
      <c r="A2116" s="12">
        <v>2115.0</v>
      </c>
      <c r="B2116" s="12" t="s">
        <v>241</v>
      </c>
      <c r="C2116" s="5" t="s">
        <v>61</v>
      </c>
      <c r="D2116" s="11">
        <v>0.279</v>
      </c>
      <c r="E2116" s="11">
        <v>4.0</v>
      </c>
      <c r="F2116" s="8"/>
      <c r="G2116" s="11">
        <v>84.0</v>
      </c>
      <c r="H2116" s="11">
        <v>0.69</v>
      </c>
      <c r="I2116" s="11">
        <v>1.323</v>
      </c>
      <c r="J2116" s="9" t="s">
        <v>69</v>
      </c>
      <c r="K2116" s="14" t="str">
        <f>IFERROR(__xludf.DUMMYFUNCTION("ARRAYFORMULA(VLOOKUP(A2116,IMPORTRANGE(""https://docs.google.com/spreadsheets/d/1BuTWp7qHGjWhqrnf-OmePP568O4A5Am9ttzvVdP67zw/edit#gid=1603210130"", ""TOURISM!$A$2:$F$2692""), {2,3,4,5,6},0))"),"Asia")</f>
        <v>Asia</v>
      </c>
      <c r="L2116" s="14">
        <f>IFERROR(__xludf.DUMMYFUNCTION("""COMPUTED_VALUE"""),1.0714E10)</f>
        <v>10714000000</v>
      </c>
      <c r="M2116" s="14" t="str">
        <f>IFERROR(__xludf.DUMMYFUNCTION("""COMPUTED_VALUE"""),"Singapore-Asia")</f>
        <v>Singapore-Asia</v>
      </c>
      <c r="N2116" s="14" t="str">
        <f>IFERROR(__xludf.DUMMYFUNCTION("""COMPUTED_VALUE"""),"2008")</f>
        <v>2008</v>
      </c>
      <c r="O2116" s="14">
        <f>IFERROR(__xludf.DUMMYFUNCTION("""COMPUTED_VALUE"""),1.634E10)</f>
        <v>16340000000</v>
      </c>
      <c r="P2116" s="15">
        <f>IFERROR(__xludf.DUMMYFUNCTION("ARRAYFORMULA(VLOOKUP(A2116,IMPORTRANGE(""https://docs.google.com/spreadsheets/d/1BuTWp7qHGjWhqrnf-OmePP568O4A5Am9ttzvVdP67zw/edit#gid=771602874"" ,""HUMAN RESOURCES!$A$2:$M$2692""), {2,3,4,5,6,7,8,9,10,11,12,13},0))"),0.01)</f>
        <v>0.01</v>
      </c>
      <c r="Q2116" s="14">
        <f>IFERROR(__xludf.DUMMYFUNCTION("""COMPUTED_VALUE"""),0.002)</f>
        <v>0.002</v>
      </c>
      <c r="R2116" s="14">
        <f>IFERROR(__xludf.DUMMYFUNCTION("""COMPUTED_VALUE"""),83.0)</f>
        <v>83</v>
      </c>
      <c r="S2116" s="14">
        <f>IFERROR(__xludf.DUMMYFUNCTION("""COMPUTED_VALUE"""),78.0)</f>
        <v>78</v>
      </c>
      <c r="T2116" s="14">
        <f>IFERROR(__xludf.DUMMYFUNCTION("""COMPUTED_VALUE"""),0.181)</f>
        <v>0.181</v>
      </c>
      <c r="U2116" s="14">
        <f>IFERROR(__xludf.DUMMYFUNCTION("""COMPUTED_VALUE"""),0.733)</f>
        <v>0.733</v>
      </c>
      <c r="V2116" s="14">
        <f>IFERROR(__xludf.DUMMYFUNCTION("""COMPUTED_VALUE"""),0.086)</f>
        <v>0.086</v>
      </c>
      <c r="W2116" s="14">
        <f>IFERROR(__xludf.DUMMYFUNCTION("""COMPUTED_VALUE"""),4839400.0)</f>
        <v>4839400</v>
      </c>
      <c r="X2116" s="14">
        <f>IFERROR(__xludf.DUMMYFUNCTION("""COMPUTED_VALUE"""),1.0)</f>
        <v>1</v>
      </c>
      <c r="Y2116" s="14" t="str">
        <f>IFERROR(__xludf.DUMMYFUNCTION("""COMPUTED_VALUE"""),"Singapore-Asia")</f>
        <v>Singapore-Asia</v>
      </c>
      <c r="Z2116" s="14" t="str">
        <f>IFERROR(__xludf.DUMMYFUNCTION("""COMPUTED_VALUE"""),"Asia")</f>
        <v>Asia</v>
      </c>
      <c r="AA2116" s="14" t="str">
        <f>IFERROR(__xludf.DUMMYFUNCTION("""COMPUTED_VALUE"""),"2008")</f>
        <v>2008</v>
      </c>
      <c r="AB2116" s="15" t="str">
        <f>IFERROR(__xludf.DUMMYFUNCTION("ARRAYFORMULA(VLOOKUP(A2116,IMPORTRANGE(""https://docs.google.com/spreadsheets/d/1BuTWp7qHGjWhqrnf-OmePP568O4A5Am9ttzvVdP67zw/edit#gid=1931367683"" ,""ENERGY!$A$2:$F$2692""), {2,3,4,5,6},0))"),"Asia")</f>
        <v>Asia</v>
      </c>
      <c r="AC2116" s="14" t="str">
        <f>IFERROR(__xludf.DUMMYFUNCTION("""COMPUTED_VALUE"""),"Singapore-Asia")</f>
        <v>Singapore-Asia</v>
      </c>
      <c r="AD2116" s="14" t="str">
        <f>IFERROR(__xludf.DUMMYFUNCTION("""COMPUTED_VALUE"""),"2007")</f>
        <v>2007</v>
      </c>
      <c r="AE2116" s="14">
        <f>IFERROR(__xludf.DUMMYFUNCTION("""COMPUTED_VALUE"""),30845.0)</f>
        <v>30845</v>
      </c>
      <c r="AF2116" s="14">
        <f>IFERROR(__xludf.DUMMYFUNCTION("""COMPUTED_VALUE"""),28474.0)</f>
        <v>28474</v>
      </c>
    </row>
    <row r="2117">
      <c r="A2117" s="12">
        <v>2116.0</v>
      </c>
      <c r="B2117" s="12" t="s">
        <v>241</v>
      </c>
      <c r="C2117" s="5" t="s">
        <v>61</v>
      </c>
      <c r="D2117" s="11">
        <v>0.278</v>
      </c>
      <c r="E2117" s="11">
        <v>3.0</v>
      </c>
      <c r="F2117" s="8"/>
      <c r="G2117" s="11">
        <v>84.0</v>
      </c>
      <c r="H2117" s="11">
        <v>0.69</v>
      </c>
      <c r="I2117" s="11">
        <v>1.387</v>
      </c>
      <c r="J2117" s="9" t="s">
        <v>70</v>
      </c>
      <c r="K2117" s="14" t="str">
        <f>IFERROR(__xludf.DUMMYFUNCTION("ARRAYFORMULA(VLOOKUP(A2117,IMPORTRANGE(""https://docs.google.com/spreadsheets/d/1BuTWp7qHGjWhqrnf-OmePP568O4A5Am9ttzvVdP67zw/edit#gid=1603210130"", ""TOURISM!$A$2:$F$2692""), {2,3,4,5,6},0))"),"Asia")</f>
        <v>Asia</v>
      </c>
      <c r="L2117" s="14">
        <f>IFERROR(__xludf.DUMMYFUNCTION("""COMPUTED_VALUE"""),9.403E9)</f>
        <v>9403000000</v>
      </c>
      <c r="M2117" s="14" t="str">
        <f>IFERROR(__xludf.DUMMYFUNCTION("""COMPUTED_VALUE"""),"Singapore-Asia")</f>
        <v>Singapore-Asia</v>
      </c>
      <c r="N2117" s="14" t="str">
        <f>IFERROR(__xludf.DUMMYFUNCTION("""COMPUTED_VALUE"""),"2009")</f>
        <v>2009</v>
      </c>
      <c r="O2117" s="14">
        <f>IFERROR(__xludf.DUMMYFUNCTION("""COMPUTED_VALUE"""),1.5685E10)</f>
        <v>15685000000</v>
      </c>
      <c r="P2117" s="15">
        <f>IFERROR(__xludf.DUMMYFUNCTION("ARRAYFORMULA(VLOOKUP(A2117,IMPORTRANGE(""https://docs.google.com/spreadsheets/d/1BuTWp7qHGjWhqrnf-OmePP568O4A5Am9ttzvVdP67zw/edit#gid=771602874"" ,""HUMAN RESOURCES!$A$2:$M$2692""), {2,3,4,5,6,7,8,9,10,11,12,13},0))"),0.01)</f>
        <v>0.01</v>
      </c>
      <c r="Q2117" s="14">
        <f>IFERROR(__xludf.DUMMYFUNCTION("""COMPUTED_VALUE"""),0.002)</f>
        <v>0.002</v>
      </c>
      <c r="R2117" s="14">
        <f>IFERROR(__xludf.DUMMYFUNCTION("""COMPUTED_VALUE"""),84.0)</f>
        <v>84</v>
      </c>
      <c r="S2117" s="14">
        <f>IFERROR(__xludf.DUMMYFUNCTION("""COMPUTED_VALUE"""),79.0)</f>
        <v>79</v>
      </c>
      <c r="T2117" s="14">
        <f>IFERROR(__xludf.DUMMYFUNCTION("""COMPUTED_VALUE"""),0.177)</f>
        <v>0.177</v>
      </c>
      <c r="U2117" s="14">
        <f>IFERROR(__xludf.DUMMYFUNCTION("""COMPUTED_VALUE"""),0.735)</f>
        <v>0.735</v>
      </c>
      <c r="V2117" s="14">
        <f>IFERROR(__xludf.DUMMYFUNCTION("""COMPUTED_VALUE"""),0.088)</f>
        <v>0.088</v>
      </c>
      <c r="W2117" s="14">
        <f>IFERROR(__xludf.DUMMYFUNCTION("""COMPUTED_VALUE"""),4987600.0)</f>
        <v>4987600</v>
      </c>
      <c r="X2117" s="14">
        <f>IFERROR(__xludf.DUMMYFUNCTION("""COMPUTED_VALUE"""),1.0)</f>
        <v>1</v>
      </c>
      <c r="Y2117" s="14" t="str">
        <f>IFERROR(__xludf.DUMMYFUNCTION("""COMPUTED_VALUE"""),"Singapore-Asia")</f>
        <v>Singapore-Asia</v>
      </c>
      <c r="Z2117" s="14" t="str">
        <f>IFERROR(__xludf.DUMMYFUNCTION("""COMPUTED_VALUE"""),"Asia")</f>
        <v>Asia</v>
      </c>
      <c r="AA2117" s="14" t="str">
        <f>IFERROR(__xludf.DUMMYFUNCTION("""COMPUTED_VALUE"""),"2009")</f>
        <v>2009</v>
      </c>
      <c r="AB2117" s="15" t="str">
        <f>IFERROR(__xludf.DUMMYFUNCTION("ARRAYFORMULA(VLOOKUP(A2117,IMPORTRANGE(""https://docs.google.com/spreadsheets/d/1BuTWp7qHGjWhqrnf-OmePP568O4A5Am9ttzvVdP67zw/edit#gid=1931367683"" ,""ENERGY!$A$2:$F$2692""), {2,3,4,5,6},0))"),"Asia")</f>
        <v>Asia</v>
      </c>
      <c r="AC2117" s="14" t="str">
        <f>IFERROR(__xludf.DUMMYFUNCTION("""COMPUTED_VALUE"""),"Singapore-Asia")</f>
        <v>Singapore-Asia</v>
      </c>
      <c r="AD2117" s="14" t="str">
        <f>IFERROR(__xludf.DUMMYFUNCTION("""COMPUTED_VALUE"""),"2011")</f>
        <v>2011</v>
      </c>
      <c r="AE2117" s="14">
        <f>IFERROR(__xludf.DUMMYFUNCTION("""COMPUTED_VALUE"""),25634.0)</f>
        <v>25634</v>
      </c>
      <c r="AF2117" s="14">
        <f>IFERROR(__xludf.DUMMYFUNCTION("""COMPUTED_VALUE"""),31133.0)</f>
        <v>31133</v>
      </c>
    </row>
    <row r="2118">
      <c r="A2118" s="12">
        <v>2117.0</v>
      </c>
      <c r="B2118" s="12" t="s">
        <v>241</v>
      </c>
      <c r="C2118" s="5" t="s">
        <v>61</v>
      </c>
      <c r="D2118" s="11">
        <v>0.254</v>
      </c>
      <c r="E2118" s="11">
        <v>3.0</v>
      </c>
      <c r="F2118" s="8"/>
      <c r="G2118" s="11">
        <v>84.0</v>
      </c>
      <c r="H2118" s="11">
        <v>0.71</v>
      </c>
      <c r="I2118" s="11">
        <v>1.454</v>
      </c>
      <c r="J2118" s="9" t="s">
        <v>71</v>
      </c>
      <c r="K2118" s="14" t="str">
        <f>IFERROR(__xludf.DUMMYFUNCTION("ARRAYFORMULA(VLOOKUP(A2118,IMPORTRANGE(""https://docs.google.com/spreadsheets/d/1BuTWp7qHGjWhqrnf-OmePP568O4A5Am9ttzvVdP67zw/edit#gid=1603210130"", ""TOURISM!$A$2:$F$2692""), {2,3,4,5,6},0))"),"Asia")</f>
        <v>Asia</v>
      </c>
      <c r="L2118" s="14">
        <f>IFERROR(__xludf.DUMMYFUNCTION("""COMPUTED_VALUE"""),1.4178E10)</f>
        <v>14178000000</v>
      </c>
      <c r="M2118" s="14" t="str">
        <f>IFERROR(__xludf.DUMMYFUNCTION("""COMPUTED_VALUE"""),"Singapore-Asia")</f>
        <v>Singapore-Asia</v>
      </c>
      <c r="N2118" s="14" t="str">
        <f>IFERROR(__xludf.DUMMYFUNCTION("""COMPUTED_VALUE"""),"2010")</f>
        <v>2010</v>
      </c>
      <c r="O2118" s="14">
        <f>IFERROR(__xludf.DUMMYFUNCTION("""COMPUTED_VALUE"""),1.87E10)</f>
        <v>18700000000</v>
      </c>
      <c r="P2118" s="15">
        <f>IFERROR(__xludf.DUMMYFUNCTION("ARRAYFORMULA(VLOOKUP(A2118,IMPORTRANGE(""https://docs.google.com/spreadsheets/d/1BuTWp7qHGjWhqrnf-OmePP568O4A5Am9ttzvVdP67zw/edit#gid=771602874"" ,""HUMAN RESOURCES!$A$2:$M$2692""), {2,3,4,5,6,7,8,9,10,11,12,13},0))"),0.009)</f>
        <v>0.009</v>
      </c>
      <c r="Q2118" s="14">
        <f>IFERROR(__xludf.DUMMYFUNCTION("""COMPUTED_VALUE"""),0.002)</f>
        <v>0.002</v>
      </c>
      <c r="R2118" s="14">
        <f>IFERROR(__xludf.DUMMYFUNCTION("""COMPUTED_VALUE"""),84.0)</f>
        <v>84</v>
      </c>
      <c r="S2118" s="14">
        <f>IFERROR(__xludf.DUMMYFUNCTION("""COMPUTED_VALUE"""),79.0)</f>
        <v>79</v>
      </c>
      <c r="T2118" s="14">
        <f>IFERROR(__xludf.DUMMYFUNCTION("""COMPUTED_VALUE"""),0.173)</f>
        <v>0.173</v>
      </c>
      <c r="U2118" s="14">
        <f>IFERROR(__xludf.DUMMYFUNCTION("""COMPUTED_VALUE"""),0.736)</f>
        <v>0.736</v>
      </c>
      <c r="V2118" s="14">
        <f>IFERROR(__xludf.DUMMYFUNCTION("""COMPUTED_VALUE"""),0.09)</f>
        <v>0.09</v>
      </c>
      <c r="W2118" s="14">
        <f>IFERROR(__xludf.DUMMYFUNCTION("""COMPUTED_VALUE"""),5076700.0)</f>
        <v>5076700</v>
      </c>
      <c r="X2118" s="14">
        <f>IFERROR(__xludf.DUMMYFUNCTION("""COMPUTED_VALUE"""),1.0)</f>
        <v>1</v>
      </c>
      <c r="Y2118" s="14" t="str">
        <f>IFERROR(__xludf.DUMMYFUNCTION("""COMPUTED_VALUE"""),"Singapore-Asia")</f>
        <v>Singapore-Asia</v>
      </c>
      <c r="Z2118" s="14" t="str">
        <f>IFERROR(__xludf.DUMMYFUNCTION("""COMPUTED_VALUE"""),"Asia")</f>
        <v>Asia</v>
      </c>
      <c r="AA2118" s="14" t="str">
        <f>IFERROR(__xludf.DUMMYFUNCTION("""COMPUTED_VALUE"""),"2010")</f>
        <v>2010</v>
      </c>
      <c r="AB2118" s="15" t="str">
        <f>IFERROR(__xludf.DUMMYFUNCTION("ARRAYFORMULA(VLOOKUP(A2118,IMPORTRANGE(""https://docs.google.com/spreadsheets/d/1BuTWp7qHGjWhqrnf-OmePP568O4A5Am9ttzvVdP67zw/edit#gid=1931367683"" ,""ENERGY!$A$2:$F$2692""), {2,3,4,5,6},0))"),"Asia")</f>
        <v>Asia</v>
      </c>
      <c r="AC2118" s="14" t="str">
        <f>IFERROR(__xludf.DUMMYFUNCTION("""COMPUTED_VALUE"""),"Singapore-Asia")</f>
        <v>Singapore-Asia</v>
      </c>
      <c r="AD2118" s="14" t="str">
        <f>IFERROR(__xludf.DUMMYFUNCTION("""COMPUTED_VALUE"""),"2008")</f>
        <v>2008</v>
      </c>
      <c r="AE2118" s="14">
        <f>IFERROR(__xludf.DUMMYFUNCTION("""COMPUTED_VALUE"""),21005.0)</f>
        <v>21005</v>
      </c>
      <c r="AF2118" s="14">
        <f>IFERROR(__xludf.DUMMYFUNCTION("""COMPUTED_VALUE"""),47231.0)</f>
        <v>47231</v>
      </c>
    </row>
    <row r="2119">
      <c r="A2119" s="12">
        <v>2118.0</v>
      </c>
      <c r="B2119" s="12" t="s">
        <v>241</v>
      </c>
      <c r="C2119" s="5" t="s">
        <v>61</v>
      </c>
      <c r="D2119" s="11">
        <v>0.271</v>
      </c>
      <c r="E2119" s="11">
        <v>3.0</v>
      </c>
      <c r="F2119" s="8"/>
      <c r="G2119" s="11">
        <v>84.0</v>
      </c>
      <c r="H2119" s="11">
        <v>0.71</v>
      </c>
      <c r="I2119" s="11">
        <v>1.501</v>
      </c>
      <c r="J2119" s="9" t="s">
        <v>72</v>
      </c>
      <c r="K2119" s="14" t="str">
        <f>IFERROR(__xludf.DUMMYFUNCTION("ARRAYFORMULA(VLOOKUP(A2119,IMPORTRANGE(""https://docs.google.com/spreadsheets/d/1BuTWp7qHGjWhqrnf-OmePP568O4A5Am9ttzvVdP67zw/edit#gid=1603210130"", ""TOURISM!$A$2:$F$2692""), {2,3,4,5,6},0))"),"Asia")</f>
        <v>Asia</v>
      </c>
      <c r="L2119" s="14">
        <f>IFERROR(__xludf.DUMMYFUNCTION("""COMPUTED_VALUE"""),1.8082E10)</f>
        <v>18082000000</v>
      </c>
      <c r="M2119" s="14" t="str">
        <f>IFERROR(__xludf.DUMMYFUNCTION("""COMPUTED_VALUE"""),"Singapore-Asia")</f>
        <v>Singapore-Asia</v>
      </c>
      <c r="N2119" s="14" t="str">
        <f>IFERROR(__xludf.DUMMYFUNCTION("""COMPUTED_VALUE"""),"2011")</f>
        <v>2011</v>
      </c>
      <c r="O2119" s="14">
        <f>IFERROR(__xludf.DUMMYFUNCTION("""COMPUTED_VALUE"""),2.1437E10)</f>
        <v>21437000000</v>
      </c>
      <c r="P2119" s="15">
        <f>IFERROR(__xludf.DUMMYFUNCTION("ARRAYFORMULA(VLOOKUP(A2119,IMPORTRANGE(""https://docs.google.com/spreadsheets/d/1BuTWp7qHGjWhqrnf-OmePP568O4A5Am9ttzvVdP67zw/edit#gid=771602874"" ,""HUMAN RESOURCES!$A$2:$M$2692""), {2,3,4,5,6,7,8,9,10,11,12,13},0))"),0.01)</f>
        <v>0.01</v>
      </c>
      <c r="Q2119" s="14">
        <f>IFERROR(__xludf.DUMMYFUNCTION("""COMPUTED_VALUE"""),0.002)</f>
        <v>0.002</v>
      </c>
      <c r="R2119" s="14">
        <f>IFERROR(__xludf.DUMMYFUNCTION("""COMPUTED_VALUE"""),84.0)</f>
        <v>84</v>
      </c>
      <c r="S2119" s="14">
        <f>IFERROR(__xludf.DUMMYFUNCTION("""COMPUTED_VALUE"""),80.0)</f>
        <v>80</v>
      </c>
      <c r="T2119" s="14">
        <f>IFERROR(__xludf.DUMMYFUNCTION("""COMPUTED_VALUE"""),0.169)</f>
        <v>0.169</v>
      </c>
      <c r="U2119" s="14">
        <f>IFERROR(__xludf.DUMMYFUNCTION("""COMPUTED_VALUE"""),0.737)</f>
        <v>0.737</v>
      </c>
      <c r="V2119" s="14">
        <f>IFERROR(__xludf.DUMMYFUNCTION("""COMPUTED_VALUE"""),0.093)</f>
        <v>0.093</v>
      </c>
      <c r="W2119" s="14">
        <f>IFERROR(__xludf.DUMMYFUNCTION("""COMPUTED_VALUE"""),5183700.0)</f>
        <v>5183700</v>
      </c>
      <c r="X2119" s="14">
        <f>IFERROR(__xludf.DUMMYFUNCTION("""COMPUTED_VALUE"""),1.0)</f>
        <v>1</v>
      </c>
      <c r="Y2119" s="14" t="str">
        <f>IFERROR(__xludf.DUMMYFUNCTION("""COMPUTED_VALUE"""),"Singapore-Asia")</f>
        <v>Singapore-Asia</v>
      </c>
      <c r="Z2119" s="14" t="str">
        <f>IFERROR(__xludf.DUMMYFUNCTION("""COMPUTED_VALUE"""),"Asia")</f>
        <v>Asia</v>
      </c>
      <c r="AA2119" s="14" t="str">
        <f>IFERROR(__xludf.DUMMYFUNCTION("""COMPUTED_VALUE"""),"2011")</f>
        <v>2011</v>
      </c>
      <c r="AB2119" s="15" t="str">
        <f>IFERROR(__xludf.DUMMYFUNCTION("ARRAYFORMULA(VLOOKUP(A2119,IMPORTRANGE(""https://docs.google.com/spreadsheets/d/1BuTWp7qHGjWhqrnf-OmePP568O4A5Am9ttzvVdP67zw/edit#gid=1931367683"" ,""ENERGY!$A$2:$F$2692""), {2,3,4,5,6},0))"),"Asia")</f>
        <v>Asia</v>
      </c>
      <c r="AC2119" s="14" t="str">
        <f>IFERROR(__xludf.DUMMYFUNCTION("""COMPUTED_VALUE"""),"Singapore-Asia")</f>
        <v>Singapore-Asia</v>
      </c>
      <c r="AD2119" s="14" t="str">
        <f>IFERROR(__xludf.DUMMYFUNCTION("""COMPUTED_VALUE"""),"2007")</f>
        <v>2007</v>
      </c>
      <c r="AE2119" s="14">
        <f>IFERROR(__xludf.DUMMYFUNCTION("""COMPUTED_VALUE"""),21229.0)</f>
        <v>21229</v>
      </c>
      <c r="AF2119" s="14">
        <f>IFERROR(__xludf.DUMMYFUNCTION("""COMPUTED_VALUE"""),49541.0)</f>
        <v>49541</v>
      </c>
    </row>
    <row r="2120">
      <c r="A2120" s="12">
        <v>2119.0</v>
      </c>
      <c r="B2120" s="12" t="s">
        <v>241</v>
      </c>
      <c r="C2120" s="5" t="s">
        <v>61</v>
      </c>
      <c r="D2120" s="11">
        <v>0.276</v>
      </c>
      <c r="E2120" s="11">
        <v>3.0</v>
      </c>
      <c r="F2120" s="11">
        <v>1.0</v>
      </c>
      <c r="G2120" s="11">
        <v>82.0</v>
      </c>
      <c r="H2120" s="11">
        <v>0.72</v>
      </c>
      <c r="I2120" s="11">
        <v>1.521</v>
      </c>
      <c r="J2120" s="9" t="s">
        <v>73</v>
      </c>
      <c r="K2120" s="14" t="str">
        <f>IFERROR(__xludf.DUMMYFUNCTION("ARRAYFORMULA(VLOOKUP(A2120,IMPORTRANGE(""https://docs.google.com/spreadsheets/d/1BuTWp7qHGjWhqrnf-OmePP568O4A5Am9ttzvVdP67zw/edit#gid=1603210130"", ""TOURISM!$A$2:$F$2692""), {2,3,4,5,6},0))"),"Asia")</f>
        <v>Asia</v>
      </c>
      <c r="L2120" s="14">
        <f>IFERROR(__xludf.DUMMYFUNCTION("""COMPUTED_VALUE"""),1.9261E10)</f>
        <v>19261000000</v>
      </c>
      <c r="M2120" s="14" t="str">
        <f>IFERROR(__xludf.DUMMYFUNCTION("""COMPUTED_VALUE"""),"Singapore-Asia")</f>
        <v>Singapore-Asia</v>
      </c>
      <c r="N2120" s="14" t="str">
        <f>IFERROR(__xludf.DUMMYFUNCTION("""COMPUTED_VALUE"""),"2012")</f>
        <v>2012</v>
      </c>
      <c r="O2120" s="14">
        <f>IFERROR(__xludf.DUMMYFUNCTION("""COMPUTED_VALUE"""),2.2412E10)</f>
        <v>22412000000</v>
      </c>
      <c r="P2120" s="15">
        <f>IFERROR(__xludf.DUMMYFUNCTION("ARRAYFORMULA(VLOOKUP(A2120,IMPORTRANGE(""https://docs.google.com/spreadsheets/d/1BuTWp7qHGjWhqrnf-OmePP568O4A5Am9ttzvVdP67zw/edit#gid=771602874"" ,""HUMAN RESOURCES!$A$2:$M$2692""), {2,3,4,5,6,7,8,9,10,11,12,13},0))"),0.01)</f>
        <v>0.01</v>
      </c>
      <c r="Q2120" s="14">
        <f>IFERROR(__xludf.DUMMYFUNCTION("""COMPUTED_VALUE"""),0.002)</f>
        <v>0.002</v>
      </c>
      <c r="R2120" s="14">
        <f>IFERROR(__xludf.DUMMYFUNCTION("""COMPUTED_VALUE"""),85.0)</f>
        <v>85</v>
      </c>
      <c r="S2120" s="14">
        <f>IFERROR(__xludf.DUMMYFUNCTION("""COMPUTED_VALUE"""),80.0)</f>
        <v>80</v>
      </c>
      <c r="T2120" s="14">
        <f>IFERROR(__xludf.DUMMYFUNCTION("""COMPUTED_VALUE"""),0.165)</f>
        <v>0.165</v>
      </c>
      <c r="U2120" s="14">
        <f>IFERROR(__xludf.DUMMYFUNCTION("""COMPUTED_VALUE"""),0.738)</f>
        <v>0.738</v>
      </c>
      <c r="V2120" s="14">
        <f>IFERROR(__xludf.DUMMYFUNCTION("""COMPUTED_VALUE"""),0.097)</f>
        <v>0.097</v>
      </c>
      <c r="W2120" s="14">
        <f>IFERROR(__xludf.DUMMYFUNCTION("""COMPUTED_VALUE"""),5312400.0)</f>
        <v>5312400</v>
      </c>
      <c r="X2120" s="14">
        <f>IFERROR(__xludf.DUMMYFUNCTION("""COMPUTED_VALUE"""),1.0)</f>
        <v>1</v>
      </c>
      <c r="Y2120" s="14" t="str">
        <f>IFERROR(__xludf.DUMMYFUNCTION("""COMPUTED_VALUE"""),"Singapore-Asia")</f>
        <v>Singapore-Asia</v>
      </c>
      <c r="Z2120" s="14" t="str">
        <f>IFERROR(__xludf.DUMMYFUNCTION("""COMPUTED_VALUE"""),"Asia")</f>
        <v>Asia</v>
      </c>
      <c r="AA2120" s="14" t="str">
        <f>IFERROR(__xludf.DUMMYFUNCTION("""COMPUTED_VALUE"""),"2012")</f>
        <v>2012</v>
      </c>
      <c r="AB2120" s="15" t="str">
        <f>IFERROR(__xludf.DUMMYFUNCTION("ARRAYFORMULA(VLOOKUP(A2120,IMPORTRANGE(""https://docs.google.com/spreadsheets/d/1BuTWp7qHGjWhqrnf-OmePP568O4A5Am9ttzvVdP67zw/edit#gid=1931367683"" ,""ENERGY!$A$2:$F$2692""), {2,3,4,5,6},0))"),"Asia")</f>
        <v>Asia</v>
      </c>
      <c r="AC2120" s="14" t="str">
        <f>IFERROR(__xludf.DUMMYFUNCTION("""COMPUTED_VALUE"""),"Singapore-Asia")</f>
        <v>Singapore-Asia</v>
      </c>
      <c r="AD2120" s="14" t="str">
        <f>IFERROR(__xludf.DUMMYFUNCTION("""COMPUTED_VALUE"""),"2011")</f>
        <v>2011</v>
      </c>
      <c r="AE2120" s="14">
        <f>IFERROR(__xludf.DUMMYFUNCTION("""COMPUTED_VALUE"""),18692.0)</f>
        <v>18692</v>
      </c>
      <c r="AF2120" s="14">
        <f>IFERROR(__xludf.DUMMYFUNCTION("""COMPUTED_VALUE"""),49006.0)</f>
        <v>49006</v>
      </c>
    </row>
    <row r="2121">
      <c r="A2121" s="12">
        <v>2120.0</v>
      </c>
      <c r="B2121" s="12" t="s">
        <v>242</v>
      </c>
      <c r="C2121" s="5" t="s">
        <v>84</v>
      </c>
      <c r="D2121" s="8"/>
      <c r="E2121" s="8"/>
      <c r="F2121" s="8"/>
      <c r="G2121" s="8"/>
      <c r="H2121" s="8"/>
      <c r="I2121" s="8"/>
      <c r="J2121" s="9" t="s">
        <v>60</v>
      </c>
      <c r="K2121" s="14" t="str">
        <f>IFERROR(__xludf.DUMMYFUNCTION("ARRAYFORMULA(VLOOKUP(A2121,IMPORTRANGE(""https://docs.google.com/spreadsheets/d/1BuTWp7qHGjWhqrnf-OmePP568O4A5Am9ttzvVdP67zw/edit#gid=1603210130"", ""TOURISM!$A$2:$F$2692""), {2,3,4,5,6},0))"),"The Americas")</f>
        <v>The Americas</v>
      </c>
      <c r="L2121" s="14">
        <f>IFERROR(__xludf.DUMMYFUNCTION("""COMPUTED_VALUE"""),5.11E8)</f>
        <v>511000000</v>
      </c>
      <c r="M2121" s="14" t="str">
        <f>IFERROR(__xludf.DUMMYFUNCTION("""COMPUTED_VALUE"""),"Sint Maarten (Dutch part)-The Americas")</f>
        <v>Sint Maarten (Dutch part)-The Americas</v>
      </c>
      <c r="N2121" s="14" t="str">
        <f>IFERROR(__xludf.DUMMYFUNCTION("""COMPUTED_VALUE"""),"2000")</f>
        <v>2000</v>
      </c>
      <c r="O2121" s="14">
        <f>IFERROR(__xludf.DUMMYFUNCTION("""COMPUTED_VALUE"""),1.27E8)</f>
        <v>127000000</v>
      </c>
      <c r="P2121" s="15" t="str">
        <f>IFERROR(__xludf.DUMMYFUNCTION("ARRAYFORMULA(VLOOKUP(A2121,IMPORTRANGE(""https://docs.google.com/spreadsheets/d/1BuTWp7qHGjWhqrnf-OmePP568O4A5Am9ttzvVdP67zw/edit#gid=771602874"" ,""HUMAN RESOURCES!$A$2:$M$2692""), {2,3,4,5,6,7,8,9,10,11,12,13},0))"),"")</f>
        <v/>
      </c>
      <c r="Q2121" s="14"/>
      <c r="R2121" s="14"/>
      <c r="S2121" s="14"/>
      <c r="T2121" s="14"/>
      <c r="U2121" s="14"/>
      <c r="V2121" s="14"/>
      <c r="W2121" s="14">
        <f>IFERROR(__xludf.DUMMYFUNCTION("""COMPUTED_VALUE"""),30519.0)</f>
        <v>30519</v>
      </c>
      <c r="X2121" s="14">
        <f>IFERROR(__xludf.DUMMYFUNCTION("""COMPUTED_VALUE"""),1.0)</f>
        <v>1</v>
      </c>
      <c r="Y2121" s="14" t="str">
        <f>IFERROR(__xludf.DUMMYFUNCTION("""COMPUTED_VALUE"""),"Sint Maarten (Dutch part)-The Americas")</f>
        <v>Sint Maarten (Dutch part)-The Americas</v>
      </c>
      <c r="Z2121" s="14" t="str">
        <f>IFERROR(__xludf.DUMMYFUNCTION("""COMPUTED_VALUE"""),"The Americas")</f>
        <v>The Americas</v>
      </c>
      <c r="AA2121" s="14" t="str">
        <f>IFERROR(__xludf.DUMMYFUNCTION("""COMPUTED_VALUE"""),"2000")</f>
        <v>2000</v>
      </c>
      <c r="AB2121" s="15" t="str">
        <f>IFERROR(__xludf.DUMMYFUNCTION("ARRAYFORMULA(VLOOKUP(A2121,IMPORTRANGE(""https://docs.google.com/spreadsheets/d/1BuTWp7qHGjWhqrnf-OmePP568O4A5Am9ttzvVdP67zw/edit#gid=1931367683"" ,""ENERGY!$A$2:$F$2692""), {2,3,4,5,6},0))"),"The Americas")</f>
        <v>The Americas</v>
      </c>
      <c r="AC2121" s="14" t="str">
        <f>IFERROR(__xludf.DUMMYFUNCTION("""COMPUTED_VALUE"""),"Sint Maarten (Dutch part)-The Americas")</f>
        <v>Sint Maarten (Dutch part)-The Americas</v>
      </c>
      <c r="AD2121" s="14" t="str">
        <f>IFERROR(__xludf.DUMMYFUNCTION("""COMPUTED_VALUE"""),"2000")</f>
        <v>2000</v>
      </c>
      <c r="AE2121" s="14"/>
      <c r="AF2121" s="14"/>
    </row>
    <row r="2122">
      <c r="A2122" s="12">
        <v>2121.0</v>
      </c>
      <c r="B2122" s="12" t="s">
        <v>242</v>
      </c>
      <c r="C2122" s="5" t="s">
        <v>84</v>
      </c>
      <c r="D2122" s="8"/>
      <c r="E2122" s="8"/>
      <c r="F2122" s="8"/>
      <c r="G2122" s="8"/>
      <c r="H2122" s="8"/>
      <c r="I2122" s="8"/>
      <c r="J2122" s="9" t="s">
        <v>62</v>
      </c>
      <c r="K2122" s="14" t="str">
        <f>IFERROR(__xludf.DUMMYFUNCTION("ARRAYFORMULA(VLOOKUP(A2122,IMPORTRANGE(""https://docs.google.com/spreadsheets/d/1BuTWp7qHGjWhqrnf-OmePP568O4A5Am9ttzvVdP67zw/edit#gid=1603210130"", ""TOURISM!$A$2:$F$2692""), {2,3,4,5,6},0))"),"The Americas")</f>
        <v>The Americas</v>
      </c>
      <c r="L2122" s="14">
        <f>IFERROR(__xludf.DUMMYFUNCTION("""COMPUTED_VALUE"""),4.84E8)</f>
        <v>484000000</v>
      </c>
      <c r="M2122" s="14" t="str">
        <f>IFERROR(__xludf.DUMMYFUNCTION("""COMPUTED_VALUE"""),"Sint Maarten (Dutch part)-The Americas")</f>
        <v>Sint Maarten (Dutch part)-The Americas</v>
      </c>
      <c r="N2122" s="14" t="str">
        <f>IFERROR(__xludf.DUMMYFUNCTION("""COMPUTED_VALUE"""),"2001")</f>
        <v>2001</v>
      </c>
      <c r="O2122" s="14">
        <f>IFERROR(__xludf.DUMMYFUNCTION("""COMPUTED_VALUE"""),1.37E8)</f>
        <v>137000000</v>
      </c>
      <c r="P2122" s="15" t="str">
        <f>IFERROR(__xludf.DUMMYFUNCTION("ARRAYFORMULA(VLOOKUP(A2122,IMPORTRANGE(""https://docs.google.com/spreadsheets/d/1BuTWp7qHGjWhqrnf-OmePP568O4A5Am9ttzvVdP67zw/edit#gid=771602874"" ,""HUMAN RESOURCES!$A$2:$M$2692""), {2,3,4,5,6,7,8,9,10,11,12,13},0))"),"")</f>
        <v/>
      </c>
      <c r="Q2122" s="14"/>
      <c r="R2122" s="14"/>
      <c r="S2122" s="14"/>
      <c r="T2122" s="14"/>
      <c r="U2122" s="14"/>
      <c r="V2122" s="14"/>
      <c r="W2122" s="14">
        <f>IFERROR(__xludf.DUMMYFUNCTION("""COMPUTED_VALUE"""),31189.0)</f>
        <v>31189</v>
      </c>
      <c r="X2122" s="14">
        <f>IFERROR(__xludf.DUMMYFUNCTION("""COMPUTED_VALUE"""),1.0)</f>
        <v>1</v>
      </c>
      <c r="Y2122" s="14" t="str">
        <f>IFERROR(__xludf.DUMMYFUNCTION("""COMPUTED_VALUE"""),"Sint Maarten (Dutch part)-The Americas")</f>
        <v>Sint Maarten (Dutch part)-The Americas</v>
      </c>
      <c r="Z2122" s="14" t="str">
        <f>IFERROR(__xludf.DUMMYFUNCTION("""COMPUTED_VALUE"""),"The Americas")</f>
        <v>The Americas</v>
      </c>
      <c r="AA2122" s="14" t="str">
        <f>IFERROR(__xludf.DUMMYFUNCTION("""COMPUTED_VALUE"""),"2001")</f>
        <v>2001</v>
      </c>
      <c r="AB2122" s="15" t="str">
        <f>IFERROR(__xludf.DUMMYFUNCTION("ARRAYFORMULA(VLOOKUP(A2122,IMPORTRANGE(""https://docs.google.com/spreadsheets/d/1BuTWp7qHGjWhqrnf-OmePP568O4A5Am9ttzvVdP67zw/edit#gid=1931367683"" ,""ENERGY!$A$2:$F$2692""), {2,3,4,5,6},0))"),"The Americas")</f>
        <v>The Americas</v>
      </c>
      <c r="AC2122" s="14" t="str">
        <f>IFERROR(__xludf.DUMMYFUNCTION("""COMPUTED_VALUE"""),"Sint Maarten (Dutch part)-The Americas")</f>
        <v>Sint Maarten (Dutch part)-The Americas</v>
      </c>
      <c r="AD2122" s="14" t="str">
        <f>IFERROR(__xludf.DUMMYFUNCTION("""COMPUTED_VALUE"""),"2001")</f>
        <v>2001</v>
      </c>
      <c r="AE2122" s="14"/>
      <c r="AF2122" s="14"/>
    </row>
    <row r="2123">
      <c r="A2123" s="12">
        <v>2122.0</v>
      </c>
      <c r="B2123" s="12" t="s">
        <v>242</v>
      </c>
      <c r="C2123" s="5" t="s">
        <v>84</v>
      </c>
      <c r="D2123" s="8"/>
      <c r="E2123" s="8"/>
      <c r="F2123" s="8"/>
      <c r="G2123" s="8"/>
      <c r="H2123" s="8"/>
      <c r="I2123" s="8"/>
      <c r="J2123" s="9" t="s">
        <v>63</v>
      </c>
      <c r="K2123" s="14" t="str">
        <f>IFERROR(__xludf.DUMMYFUNCTION("ARRAYFORMULA(VLOOKUP(A2123,IMPORTRANGE(""https://docs.google.com/spreadsheets/d/1BuTWp7qHGjWhqrnf-OmePP568O4A5Am9ttzvVdP67zw/edit#gid=1603210130"", ""TOURISM!$A$2:$F$2692""), {2,3,4,5,6},0))"),"The Americas")</f>
        <v>The Americas</v>
      </c>
      <c r="L2123" s="14">
        <f>IFERROR(__xludf.DUMMYFUNCTION("""COMPUTED_VALUE"""),4.89E8)</f>
        <v>489000000</v>
      </c>
      <c r="M2123" s="14" t="str">
        <f>IFERROR(__xludf.DUMMYFUNCTION("""COMPUTED_VALUE"""),"Sint Maarten (Dutch part)-The Americas")</f>
        <v>Sint Maarten (Dutch part)-The Americas</v>
      </c>
      <c r="N2123" s="14" t="str">
        <f>IFERROR(__xludf.DUMMYFUNCTION("""COMPUTED_VALUE"""),"2002")</f>
        <v>2002</v>
      </c>
      <c r="O2123" s="14">
        <f>IFERROR(__xludf.DUMMYFUNCTION("""COMPUTED_VALUE"""),1.4E8)</f>
        <v>140000000</v>
      </c>
      <c r="P2123" s="15" t="str">
        <f>IFERROR(__xludf.DUMMYFUNCTION("ARRAYFORMULA(VLOOKUP(A2123,IMPORTRANGE(""https://docs.google.com/spreadsheets/d/1BuTWp7qHGjWhqrnf-OmePP568O4A5Am9ttzvVdP67zw/edit#gid=771602874"" ,""HUMAN RESOURCES!$A$2:$M$2692""), {2,3,4,5,6,7,8,9,10,11,12,13},0))"),"")</f>
        <v/>
      </c>
      <c r="Q2123" s="14"/>
      <c r="R2123" s="14"/>
      <c r="S2123" s="14"/>
      <c r="T2123" s="14"/>
      <c r="U2123" s="14"/>
      <c r="V2123" s="14"/>
      <c r="W2123" s="14">
        <f>IFERROR(__xludf.DUMMYFUNCTION("""COMPUTED_VALUE"""),32566.0)</f>
        <v>32566</v>
      </c>
      <c r="X2123" s="14">
        <f>IFERROR(__xludf.DUMMYFUNCTION("""COMPUTED_VALUE"""),1.0)</f>
        <v>1</v>
      </c>
      <c r="Y2123" s="14" t="str">
        <f>IFERROR(__xludf.DUMMYFUNCTION("""COMPUTED_VALUE"""),"Sint Maarten (Dutch part)-The Americas")</f>
        <v>Sint Maarten (Dutch part)-The Americas</v>
      </c>
      <c r="Z2123" s="14" t="str">
        <f>IFERROR(__xludf.DUMMYFUNCTION("""COMPUTED_VALUE"""),"The Americas")</f>
        <v>The Americas</v>
      </c>
      <c r="AA2123" s="14" t="str">
        <f>IFERROR(__xludf.DUMMYFUNCTION("""COMPUTED_VALUE"""),"2002")</f>
        <v>2002</v>
      </c>
      <c r="AB2123" s="15" t="str">
        <f>IFERROR(__xludf.DUMMYFUNCTION("ARRAYFORMULA(VLOOKUP(A2123,IMPORTRANGE(""https://docs.google.com/spreadsheets/d/1BuTWp7qHGjWhqrnf-OmePP568O4A5Am9ttzvVdP67zw/edit#gid=1931367683"" ,""ENERGY!$A$2:$F$2692""), {2,3,4,5,6},0))"),"The Americas")</f>
        <v>The Americas</v>
      </c>
      <c r="AC2123" s="14" t="str">
        <f>IFERROR(__xludf.DUMMYFUNCTION("""COMPUTED_VALUE"""),"Sint Maarten (Dutch part)-The Americas")</f>
        <v>Sint Maarten (Dutch part)-The Americas</v>
      </c>
      <c r="AD2123" s="14" t="str">
        <f>IFERROR(__xludf.DUMMYFUNCTION("""COMPUTED_VALUE"""),"2002")</f>
        <v>2002</v>
      </c>
      <c r="AE2123" s="14"/>
      <c r="AF2123" s="14"/>
    </row>
    <row r="2124">
      <c r="A2124" s="12">
        <v>2123.0</v>
      </c>
      <c r="B2124" s="12" t="s">
        <v>242</v>
      </c>
      <c r="C2124" s="5" t="s">
        <v>84</v>
      </c>
      <c r="D2124" s="8"/>
      <c r="E2124" s="8"/>
      <c r="F2124" s="8"/>
      <c r="G2124" s="8"/>
      <c r="H2124" s="8"/>
      <c r="I2124" s="8"/>
      <c r="J2124" s="9" t="s">
        <v>64</v>
      </c>
      <c r="K2124" s="14" t="str">
        <f>IFERROR(__xludf.DUMMYFUNCTION("ARRAYFORMULA(VLOOKUP(A2124,IMPORTRANGE(""https://docs.google.com/spreadsheets/d/1BuTWp7qHGjWhqrnf-OmePP568O4A5Am9ttzvVdP67zw/edit#gid=1603210130"", ""TOURISM!$A$2:$F$2692""), {2,3,4,5,6},0))"),"The Americas")</f>
        <v>The Americas</v>
      </c>
      <c r="L2124" s="14">
        <f>IFERROR(__xludf.DUMMYFUNCTION("""COMPUTED_VALUE"""),5.38E8)</f>
        <v>538000000</v>
      </c>
      <c r="M2124" s="14" t="str">
        <f>IFERROR(__xludf.DUMMYFUNCTION("""COMPUTED_VALUE"""),"Sint Maarten (Dutch part)-The Americas")</f>
        <v>Sint Maarten (Dutch part)-The Americas</v>
      </c>
      <c r="N2124" s="14" t="str">
        <f>IFERROR(__xludf.DUMMYFUNCTION("""COMPUTED_VALUE"""),"2003")</f>
        <v>2003</v>
      </c>
      <c r="O2124" s="14">
        <f>IFERROR(__xludf.DUMMYFUNCTION("""COMPUTED_VALUE"""),1.44E8)</f>
        <v>144000000</v>
      </c>
      <c r="P2124" s="15" t="str">
        <f>IFERROR(__xludf.DUMMYFUNCTION("ARRAYFORMULA(VLOOKUP(A2124,IMPORTRANGE(""https://docs.google.com/spreadsheets/d/1BuTWp7qHGjWhqrnf-OmePP568O4A5Am9ttzvVdP67zw/edit#gid=771602874"" ,""HUMAN RESOURCES!$A$2:$M$2692""), {2,3,4,5,6,7,8,9,10,11,12,13},0))"),"")</f>
        <v/>
      </c>
      <c r="Q2124" s="14"/>
      <c r="R2124" s="14"/>
      <c r="S2124" s="14"/>
      <c r="T2124" s="14"/>
      <c r="U2124" s="14"/>
      <c r="V2124" s="14"/>
      <c r="W2124" s="14">
        <f>IFERROR(__xludf.DUMMYFUNCTION("""COMPUTED_VALUE"""),33791.0)</f>
        <v>33791</v>
      </c>
      <c r="X2124" s="14">
        <f>IFERROR(__xludf.DUMMYFUNCTION("""COMPUTED_VALUE"""),1.0)</f>
        <v>1</v>
      </c>
      <c r="Y2124" s="14" t="str">
        <f>IFERROR(__xludf.DUMMYFUNCTION("""COMPUTED_VALUE"""),"Sint Maarten (Dutch part)-The Americas")</f>
        <v>Sint Maarten (Dutch part)-The Americas</v>
      </c>
      <c r="Z2124" s="14" t="str">
        <f>IFERROR(__xludf.DUMMYFUNCTION("""COMPUTED_VALUE"""),"The Americas")</f>
        <v>The Americas</v>
      </c>
      <c r="AA2124" s="14" t="str">
        <f>IFERROR(__xludf.DUMMYFUNCTION("""COMPUTED_VALUE"""),"2003")</f>
        <v>2003</v>
      </c>
      <c r="AB2124" s="15" t="str">
        <f>IFERROR(__xludf.DUMMYFUNCTION("ARRAYFORMULA(VLOOKUP(A2124,IMPORTRANGE(""https://docs.google.com/spreadsheets/d/1BuTWp7qHGjWhqrnf-OmePP568O4A5Am9ttzvVdP67zw/edit#gid=1931367683"" ,""ENERGY!$A$2:$F$2692""), {2,3,4,5,6},0))"),"The Americas")</f>
        <v>The Americas</v>
      </c>
      <c r="AC2124" s="14" t="str">
        <f>IFERROR(__xludf.DUMMYFUNCTION("""COMPUTED_VALUE"""),"Sint Maarten (Dutch part)-The Americas")</f>
        <v>Sint Maarten (Dutch part)-The Americas</v>
      </c>
      <c r="AD2124" s="14" t="str">
        <f>IFERROR(__xludf.DUMMYFUNCTION("""COMPUTED_VALUE"""),"2003")</f>
        <v>2003</v>
      </c>
      <c r="AE2124" s="14"/>
      <c r="AF2124" s="14"/>
    </row>
    <row r="2125">
      <c r="A2125" s="12">
        <v>2124.0</v>
      </c>
      <c r="B2125" s="12" t="s">
        <v>242</v>
      </c>
      <c r="C2125" s="5" t="s">
        <v>84</v>
      </c>
      <c r="D2125" s="8"/>
      <c r="E2125" s="8"/>
      <c r="F2125" s="8"/>
      <c r="G2125" s="8"/>
      <c r="H2125" s="8"/>
      <c r="I2125" s="8"/>
      <c r="J2125" s="9" t="s">
        <v>65</v>
      </c>
      <c r="K2125" s="14" t="str">
        <f>IFERROR(__xludf.DUMMYFUNCTION("ARRAYFORMULA(VLOOKUP(A2125,IMPORTRANGE(""https://docs.google.com/spreadsheets/d/1BuTWp7qHGjWhqrnf-OmePP568O4A5Am9ttzvVdP67zw/edit#gid=1603210130"", ""TOURISM!$A$2:$F$2692""), {2,3,4,5,6},0))"),"The Americas")</f>
        <v>The Americas</v>
      </c>
      <c r="L2125" s="14">
        <f>IFERROR(__xludf.DUMMYFUNCTION("""COMPUTED_VALUE"""),6.26E8)</f>
        <v>626000000</v>
      </c>
      <c r="M2125" s="14" t="str">
        <f>IFERROR(__xludf.DUMMYFUNCTION("""COMPUTED_VALUE"""),"Sint Maarten (Dutch part)-The Americas")</f>
        <v>Sint Maarten (Dutch part)-The Americas</v>
      </c>
      <c r="N2125" s="14" t="str">
        <f>IFERROR(__xludf.DUMMYFUNCTION("""COMPUTED_VALUE"""),"2004")</f>
        <v>2004</v>
      </c>
      <c r="O2125" s="14">
        <f>IFERROR(__xludf.DUMMYFUNCTION("""COMPUTED_VALUE"""),8.0E7)</f>
        <v>80000000</v>
      </c>
      <c r="P2125" s="15" t="str">
        <f>IFERROR(__xludf.DUMMYFUNCTION("ARRAYFORMULA(VLOOKUP(A2125,IMPORTRANGE(""https://docs.google.com/spreadsheets/d/1BuTWp7qHGjWhqrnf-OmePP568O4A5Am9ttzvVdP67zw/edit#gid=771602874"" ,""HUMAN RESOURCES!$A$2:$M$2692""), {2,3,4,5,6,7,8,9,10,11,12,13},0))"),"")</f>
        <v/>
      </c>
      <c r="Q2125" s="14"/>
      <c r="R2125" s="14"/>
      <c r="S2125" s="14"/>
      <c r="T2125" s="14"/>
      <c r="U2125" s="14"/>
      <c r="V2125" s="14"/>
      <c r="W2125" s="14">
        <f>IFERROR(__xludf.DUMMYFUNCTION("""COMPUTED_VALUE"""),35318.0)</f>
        <v>35318</v>
      </c>
      <c r="X2125" s="14">
        <f>IFERROR(__xludf.DUMMYFUNCTION("""COMPUTED_VALUE"""),1.0)</f>
        <v>1</v>
      </c>
      <c r="Y2125" s="14" t="str">
        <f>IFERROR(__xludf.DUMMYFUNCTION("""COMPUTED_VALUE"""),"Sint Maarten (Dutch part)-The Americas")</f>
        <v>Sint Maarten (Dutch part)-The Americas</v>
      </c>
      <c r="Z2125" s="14" t="str">
        <f>IFERROR(__xludf.DUMMYFUNCTION("""COMPUTED_VALUE"""),"The Americas")</f>
        <v>The Americas</v>
      </c>
      <c r="AA2125" s="14" t="str">
        <f>IFERROR(__xludf.DUMMYFUNCTION("""COMPUTED_VALUE"""),"2004")</f>
        <v>2004</v>
      </c>
      <c r="AB2125" s="15" t="str">
        <f>IFERROR(__xludf.DUMMYFUNCTION("ARRAYFORMULA(VLOOKUP(A2125,IMPORTRANGE(""https://docs.google.com/spreadsheets/d/1BuTWp7qHGjWhqrnf-OmePP568O4A5Am9ttzvVdP67zw/edit#gid=1931367683"" ,""ENERGY!$A$2:$F$2692""), {2,3,4,5,6},0))"),"The Americas")</f>
        <v>The Americas</v>
      </c>
      <c r="AC2125" s="14" t="str">
        <f>IFERROR(__xludf.DUMMYFUNCTION("""COMPUTED_VALUE"""),"Sint Maarten (Dutch part)-The Americas")</f>
        <v>Sint Maarten (Dutch part)-The Americas</v>
      </c>
      <c r="AD2125" s="14" t="str">
        <f>IFERROR(__xludf.DUMMYFUNCTION("""COMPUTED_VALUE"""),"2004")</f>
        <v>2004</v>
      </c>
      <c r="AE2125" s="14"/>
      <c r="AF2125" s="14"/>
    </row>
    <row r="2126">
      <c r="A2126" s="12">
        <v>2125.0</v>
      </c>
      <c r="B2126" s="12" t="s">
        <v>242</v>
      </c>
      <c r="C2126" s="5" t="s">
        <v>84</v>
      </c>
      <c r="D2126" s="8"/>
      <c r="E2126" s="8"/>
      <c r="F2126" s="8"/>
      <c r="G2126" s="8"/>
      <c r="H2126" s="8"/>
      <c r="I2126" s="8"/>
      <c r="J2126" s="9" t="s">
        <v>66</v>
      </c>
      <c r="K2126" s="14" t="str">
        <f>IFERROR(__xludf.DUMMYFUNCTION("ARRAYFORMULA(VLOOKUP(A2126,IMPORTRANGE(""https://docs.google.com/spreadsheets/d/1BuTWp7qHGjWhqrnf-OmePP568O4A5Am9ttzvVdP67zw/edit#gid=1603210130"", ""TOURISM!$A$2:$F$2692""), {2,3,4,5,6},0))"),"The Americas")</f>
        <v>The Americas</v>
      </c>
      <c r="L2126" s="14">
        <f>IFERROR(__xludf.DUMMYFUNCTION("""COMPUTED_VALUE"""),6.59E8)</f>
        <v>659000000</v>
      </c>
      <c r="M2126" s="14" t="str">
        <f>IFERROR(__xludf.DUMMYFUNCTION("""COMPUTED_VALUE"""),"Sint Maarten (Dutch part)-The Americas")</f>
        <v>Sint Maarten (Dutch part)-The Americas</v>
      </c>
      <c r="N2126" s="14" t="str">
        <f>IFERROR(__xludf.DUMMYFUNCTION("""COMPUTED_VALUE"""),"2005")</f>
        <v>2005</v>
      </c>
      <c r="O2126" s="14">
        <f>IFERROR(__xludf.DUMMYFUNCTION("""COMPUTED_VALUE"""),9.4E7)</f>
        <v>94000000</v>
      </c>
      <c r="P2126" s="15" t="str">
        <f>IFERROR(__xludf.DUMMYFUNCTION("ARRAYFORMULA(VLOOKUP(A2126,IMPORTRANGE(""https://docs.google.com/spreadsheets/d/1BuTWp7qHGjWhqrnf-OmePP568O4A5Am9ttzvVdP67zw/edit#gid=771602874"" ,""HUMAN RESOURCES!$A$2:$M$2692""), {2,3,4,5,6,7,8,9,10,11,12,13},0))"),"")</f>
        <v/>
      </c>
      <c r="Q2126" s="14"/>
      <c r="R2126" s="14"/>
      <c r="S2126" s="14"/>
      <c r="T2126" s="14"/>
      <c r="U2126" s="14"/>
      <c r="V2126" s="14"/>
      <c r="W2126" s="14">
        <f>IFERROR(__xludf.DUMMYFUNCTION("""COMPUTED_VALUE"""),36936.0)</f>
        <v>36936</v>
      </c>
      <c r="X2126" s="14">
        <f>IFERROR(__xludf.DUMMYFUNCTION("""COMPUTED_VALUE"""),1.0)</f>
        <v>1</v>
      </c>
      <c r="Y2126" s="14" t="str">
        <f>IFERROR(__xludf.DUMMYFUNCTION("""COMPUTED_VALUE"""),"Sint Maarten (Dutch part)-The Americas")</f>
        <v>Sint Maarten (Dutch part)-The Americas</v>
      </c>
      <c r="Z2126" s="14" t="str">
        <f>IFERROR(__xludf.DUMMYFUNCTION("""COMPUTED_VALUE"""),"The Americas")</f>
        <v>The Americas</v>
      </c>
      <c r="AA2126" s="14" t="str">
        <f>IFERROR(__xludf.DUMMYFUNCTION("""COMPUTED_VALUE"""),"2005")</f>
        <v>2005</v>
      </c>
      <c r="AB2126" s="15" t="str">
        <f>IFERROR(__xludf.DUMMYFUNCTION("ARRAYFORMULA(VLOOKUP(A2126,IMPORTRANGE(""https://docs.google.com/spreadsheets/d/1BuTWp7qHGjWhqrnf-OmePP568O4A5Am9ttzvVdP67zw/edit#gid=1931367683"" ,""ENERGY!$A$2:$F$2692""), {2,3,4,5,6},0))"),"The Americas")</f>
        <v>The Americas</v>
      </c>
      <c r="AC2126" s="14" t="str">
        <f>IFERROR(__xludf.DUMMYFUNCTION("""COMPUTED_VALUE"""),"Sint Maarten (Dutch part)-The Americas")</f>
        <v>Sint Maarten (Dutch part)-The Americas</v>
      </c>
      <c r="AD2126" s="14" t="str">
        <f>IFERROR(__xludf.DUMMYFUNCTION("""COMPUTED_VALUE"""),"2008")</f>
        <v>2008</v>
      </c>
      <c r="AE2126" s="14"/>
      <c r="AF2126" s="14"/>
    </row>
    <row r="2127">
      <c r="A2127" s="12">
        <v>2126.0</v>
      </c>
      <c r="B2127" s="12" t="s">
        <v>242</v>
      </c>
      <c r="C2127" s="5" t="s">
        <v>84</v>
      </c>
      <c r="D2127" s="8"/>
      <c r="E2127" s="8"/>
      <c r="F2127" s="8"/>
      <c r="G2127" s="8"/>
      <c r="H2127" s="8"/>
      <c r="I2127" s="8"/>
      <c r="J2127" s="9" t="s">
        <v>67</v>
      </c>
      <c r="K2127" s="14" t="str">
        <f>IFERROR(__xludf.DUMMYFUNCTION("ARRAYFORMULA(VLOOKUP(A2127,IMPORTRANGE(""https://docs.google.com/spreadsheets/d/1BuTWp7qHGjWhqrnf-OmePP568O4A5Am9ttzvVdP67zw/edit#gid=1603210130"", ""TOURISM!$A$2:$F$2692""), {2,3,4,5,6},0))"),"The Americas")</f>
        <v>The Americas</v>
      </c>
      <c r="L2127" s="14">
        <f>IFERROR(__xludf.DUMMYFUNCTION("""COMPUTED_VALUE"""),6.51E8)</f>
        <v>651000000</v>
      </c>
      <c r="M2127" s="14" t="str">
        <f>IFERROR(__xludf.DUMMYFUNCTION("""COMPUTED_VALUE"""),"Sint Maarten (Dutch part)-The Americas")</f>
        <v>Sint Maarten (Dutch part)-The Americas</v>
      </c>
      <c r="N2127" s="14" t="str">
        <f>IFERROR(__xludf.DUMMYFUNCTION("""COMPUTED_VALUE"""),"2006")</f>
        <v>2006</v>
      </c>
      <c r="O2127" s="14">
        <f>IFERROR(__xludf.DUMMYFUNCTION("""COMPUTED_VALUE"""),8.6E7)</f>
        <v>86000000</v>
      </c>
      <c r="P2127" s="15" t="str">
        <f>IFERROR(__xludf.DUMMYFUNCTION("ARRAYFORMULA(VLOOKUP(A2127,IMPORTRANGE(""https://docs.google.com/spreadsheets/d/1BuTWp7qHGjWhqrnf-OmePP568O4A5Am9ttzvVdP67zw/edit#gid=771602874"" ,""HUMAN RESOURCES!$A$2:$M$2692""), {2,3,4,5,6,7,8,9,10,11,12,13},0))"),"")</f>
        <v/>
      </c>
      <c r="Q2127" s="14"/>
      <c r="R2127" s="14"/>
      <c r="S2127" s="14"/>
      <c r="T2127" s="14"/>
      <c r="U2127" s="14"/>
      <c r="V2127" s="14"/>
      <c r="W2127" s="14">
        <f>IFERROR(__xludf.DUMMYFUNCTION("""COMPUTED_VALUE"""),38272.0)</f>
        <v>38272</v>
      </c>
      <c r="X2127" s="14">
        <f>IFERROR(__xludf.DUMMYFUNCTION("""COMPUTED_VALUE"""),1.0)</f>
        <v>1</v>
      </c>
      <c r="Y2127" s="14" t="str">
        <f>IFERROR(__xludf.DUMMYFUNCTION("""COMPUTED_VALUE"""),"Sint Maarten (Dutch part)-The Americas")</f>
        <v>Sint Maarten (Dutch part)-The Americas</v>
      </c>
      <c r="Z2127" s="14" t="str">
        <f>IFERROR(__xludf.DUMMYFUNCTION("""COMPUTED_VALUE"""),"The Americas")</f>
        <v>The Americas</v>
      </c>
      <c r="AA2127" s="14" t="str">
        <f>IFERROR(__xludf.DUMMYFUNCTION("""COMPUTED_VALUE"""),"2006")</f>
        <v>2006</v>
      </c>
      <c r="AB2127" s="15" t="str">
        <f>IFERROR(__xludf.DUMMYFUNCTION("ARRAYFORMULA(VLOOKUP(A2127,IMPORTRANGE(""https://docs.google.com/spreadsheets/d/1BuTWp7qHGjWhqrnf-OmePP568O4A5Am9ttzvVdP67zw/edit#gid=1931367683"" ,""ENERGY!$A$2:$F$2692""), {2,3,4,5,6},0))"),"The Americas")</f>
        <v>The Americas</v>
      </c>
      <c r="AC2127" s="14" t="str">
        <f>IFERROR(__xludf.DUMMYFUNCTION("""COMPUTED_VALUE"""),"Sint Maarten (Dutch part)-The Americas")</f>
        <v>Sint Maarten (Dutch part)-The Americas</v>
      </c>
      <c r="AD2127" s="14" t="str">
        <f>IFERROR(__xludf.DUMMYFUNCTION("""COMPUTED_VALUE"""),"2012")</f>
        <v>2012</v>
      </c>
      <c r="AE2127" s="14"/>
      <c r="AF2127" s="14"/>
    </row>
    <row r="2128">
      <c r="A2128" s="12">
        <v>2127.0</v>
      </c>
      <c r="B2128" s="12" t="s">
        <v>242</v>
      </c>
      <c r="C2128" s="5" t="s">
        <v>84</v>
      </c>
      <c r="D2128" s="8"/>
      <c r="E2128" s="8"/>
      <c r="F2128" s="8"/>
      <c r="G2128" s="8"/>
      <c r="H2128" s="8"/>
      <c r="I2128" s="8"/>
      <c r="J2128" s="9" t="s">
        <v>68</v>
      </c>
      <c r="K2128" s="14" t="str">
        <f>IFERROR(__xludf.DUMMYFUNCTION("ARRAYFORMULA(VLOOKUP(A2128,IMPORTRANGE(""https://docs.google.com/spreadsheets/d/1BuTWp7qHGjWhqrnf-OmePP568O4A5Am9ttzvVdP67zw/edit#gid=1603210130"", ""TOURISM!$A$2:$F$2692""), {2,3,4,5,6},0))"),"The Americas")</f>
        <v>The Americas</v>
      </c>
      <c r="L2128" s="14">
        <f>IFERROR(__xludf.DUMMYFUNCTION("""COMPUTED_VALUE"""),6.65E8)</f>
        <v>665000000</v>
      </c>
      <c r="M2128" s="14" t="str">
        <f>IFERROR(__xludf.DUMMYFUNCTION("""COMPUTED_VALUE"""),"Sint Maarten (Dutch part)-The Americas")</f>
        <v>Sint Maarten (Dutch part)-The Americas</v>
      </c>
      <c r="N2128" s="14" t="str">
        <f>IFERROR(__xludf.DUMMYFUNCTION("""COMPUTED_VALUE"""),"2007")</f>
        <v>2007</v>
      </c>
      <c r="O2128" s="14">
        <f>IFERROR(__xludf.DUMMYFUNCTION("""COMPUTED_VALUE"""),8.3E7)</f>
        <v>83000000</v>
      </c>
      <c r="P2128" s="15" t="str">
        <f>IFERROR(__xludf.DUMMYFUNCTION("ARRAYFORMULA(VLOOKUP(A2128,IMPORTRANGE(""https://docs.google.com/spreadsheets/d/1BuTWp7qHGjWhqrnf-OmePP568O4A5Am9ttzvVdP67zw/edit#gid=771602874"" ,""HUMAN RESOURCES!$A$2:$M$2692""), {2,3,4,5,6,7,8,9,10,11,12,13},0))"),"")</f>
        <v/>
      </c>
      <c r="Q2128" s="14"/>
      <c r="R2128" s="14">
        <f>IFERROR(__xludf.DUMMYFUNCTION("""COMPUTED_VALUE"""),77.0)</f>
        <v>77</v>
      </c>
      <c r="S2128" s="14">
        <f>IFERROR(__xludf.DUMMYFUNCTION("""COMPUTED_VALUE"""),72.0)</f>
        <v>72</v>
      </c>
      <c r="T2128" s="14"/>
      <c r="U2128" s="14"/>
      <c r="V2128" s="14"/>
      <c r="W2128" s="14">
        <f>IFERROR(__xludf.DUMMYFUNCTION("""COMPUTED_VALUE"""),39464.0)</f>
        <v>39464</v>
      </c>
      <c r="X2128" s="14">
        <f>IFERROR(__xludf.DUMMYFUNCTION("""COMPUTED_VALUE"""),1.0)</f>
        <v>1</v>
      </c>
      <c r="Y2128" s="14" t="str">
        <f>IFERROR(__xludf.DUMMYFUNCTION("""COMPUTED_VALUE"""),"Sint Maarten (Dutch part)-The Americas")</f>
        <v>Sint Maarten (Dutch part)-The Americas</v>
      </c>
      <c r="Z2128" s="14" t="str">
        <f>IFERROR(__xludf.DUMMYFUNCTION("""COMPUTED_VALUE"""),"The Americas")</f>
        <v>The Americas</v>
      </c>
      <c r="AA2128" s="14" t="str">
        <f>IFERROR(__xludf.DUMMYFUNCTION("""COMPUTED_VALUE"""),"2007")</f>
        <v>2007</v>
      </c>
      <c r="AB2128" s="15" t="str">
        <f>IFERROR(__xludf.DUMMYFUNCTION("ARRAYFORMULA(VLOOKUP(A2128,IMPORTRANGE(""https://docs.google.com/spreadsheets/d/1BuTWp7qHGjWhqrnf-OmePP568O4A5Am9ttzvVdP67zw/edit#gid=1931367683"" ,""ENERGY!$A$2:$F$2692""), {2,3,4,5,6},0))"),"The Americas")</f>
        <v>The Americas</v>
      </c>
      <c r="AC2128" s="14" t="str">
        <f>IFERROR(__xludf.DUMMYFUNCTION("""COMPUTED_VALUE"""),"Sint Maarten (Dutch part)-The Americas")</f>
        <v>Sint Maarten (Dutch part)-The Americas</v>
      </c>
      <c r="AD2128" s="14" t="str">
        <f>IFERROR(__xludf.DUMMYFUNCTION("""COMPUTED_VALUE"""),"2010")</f>
        <v>2010</v>
      </c>
      <c r="AE2128" s="14"/>
      <c r="AF2128" s="14"/>
    </row>
    <row r="2129">
      <c r="A2129" s="12">
        <v>2128.0</v>
      </c>
      <c r="B2129" s="12" t="s">
        <v>242</v>
      </c>
      <c r="C2129" s="5" t="s">
        <v>84</v>
      </c>
      <c r="D2129" s="8"/>
      <c r="E2129" s="8"/>
      <c r="F2129" s="8"/>
      <c r="G2129" s="8"/>
      <c r="H2129" s="8"/>
      <c r="I2129" s="8"/>
      <c r="J2129" s="9" t="s">
        <v>69</v>
      </c>
      <c r="K2129" s="14" t="str">
        <f>IFERROR(__xludf.DUMMYFUNCTION("ARRAYFORMULA(VLOOKUP(A2129,IMPORTRANGE(""https://docs.google.com/spreadsheets/d/1BuTWp7qHGjWhqrnf-OmePP568O4A5Am9ttzvVdP67zw/edit#gid=1603210130"", ""TOURISM!$A$2:$F$2692""), {2,3,4,5,6},0))"),"The Americas")</f>
        <v>The Americas</v>
      </c>
      <c r="L2129" s="14">
        <f>IFERROR(__xludf.DUMMYFUNCTION("""COMPUTED_VALUE"""),6.67E8)</f>
        <v>667000000</v>
      </c>
      <c r="M2129" s="14" t="str">
        <f>IFERROR(__xludf.DUMMYFUNCTION("""COMPUTED_VALUE"""),"Sint Maarten (Dutch part)-The Americas")</f>
        <v>Sint Maarten (Dutch part)-The Americas</v>
      </c>
      <c r="N2129" s="14" t="str">
        <f>IFERROR(__xludf.DUMMYFUNCTION("""COMPUTED_VALUE"""),"2008")</f>
        <v>2008</v>
      </c>
      <c r="O2129" s="14">
        <f>IFERROR(__xludf.DUMMYFUNCTION("""COMPUTED_VALUE"""),8.8E7)</f>
        <v>88000000</v>
      </c>
      <c r="P2129" s="15">
        <f>IFERROR(__xludf.DUMMYFUNCTION("ARRAYFORMULA(VLOOKUP(A2129,IMPORTRANGE(""https://docs.google.com/spreadsheets/d/1BuTWp7qHGjWhqrnf-OmePP568O4A5Am9ttzvVdP67zw/edit#gid=771602874"" ,""HUMAN RESOURCES!$A$2:$M$2692""), {2,3,4,5,6,7,8,9,10,11,12,13},0))"),0.013)</f>
        <v>0.013</v>
      </c>
      <c r="Q2129" s="14"/>
      <c r="R2129" s="14">
        <f>IFERROR(__xludf.DUMMYFUNCTION("""COMPUTED_VALUE"""),77.0)</f>
        <v>77</v>
      </c>
      <c r="S2129" s="14">
        <f>IFERROR(__xludf.DUMMYFUNCTION("""COMPUTED_VALUE"""),72.0)</f>
        <v>72</v>
      </c>
      <c r="T2129" s="14"/>
      <c r="U2129" s="14"/>
      <c r="V2129" s="14"/>
      <c r="W2129" s="14">
        <f>IFERROR(__xludf.DUMMYFUNCTION("""COMPUTED_VALUE"""),40459.0)</f>
        <v>40459</v>
      </c>
      <c r="X2129" s="14">
        <f>IFERROR(__xludf.DUMMYFUNCTION("""COMPUTED_VALUE"""),1.0)</f>
        <v>1</v>
      </c>
      <c r="Y2129" s="14" t="str">
        <f>IFERROR(__xludf.DUMMYFUNCTION("""COMPUTED_VALUE"""),"Sint Maarten (Dutch part)-The Americas")</f>
        <v>Sint Maarten (Dutch part)-The Americas</v>
      </c>
      <c r="Z2129" s="14" t="str">
        <f>IFERROR(__xludf.DUMMYFUNCTION("""COMPUTED_VALUE"""),"The Americas")</f>
        <v>The Americas</v>
      </c>
      <c r="AA2129" s="14" t="str">
        <f>IFERROR(__xludf.DUMMYFUNCTION("""COMPUTED_VALUE"""),"2008")</f>
        <v>2008</v>
      </c>
      <c r="AB2129" s="15" t="str">
        <f>IFERROR(__xludf.DUMMYFUNCTION("ARRAYFORMULA(VLOOKUP(A2129,IMPORTRANGE(""https://docs.google.com/spreadsheets/d/1BuTWp7qHGjWhqrnf-OmePP568O4A5Am9ttzvVdP67zw/edit#gid=1931367683"" ,""ENERGY!$A$2:$F$2692""), {2,3,4,5,6},0))"),"The Americas")</f>
        <v>The Americas</v>
      </c>
      <c r="AC2129" s="14" t="str">
        <f>IFERROR(__xludf.DUMMYFUNCTION("""COMPUTED_VALUE"""),"Sint Maarten (Dutch part)-The Americas")</f>
        <v>Sint Maarten (Dutch part)-The Americas</v>
      </c>
      <c r="AD2129" s="14" t="str">
        <f>IFERROR(__xludf.DUMMYFUNCTION("""COMPUTED_VALUE"""),"2007")</f>
        <v>2007</v>
      </c>
      <c r="AE2129" s="14"/>
      <c r="AF2129" s="14"/>
    </row>
    <row r="2130">
      <c r="A2130" s="12">
        <v>2129.0</v>
      </c>
      <c r="B2130" s="12" t="s">
        <v>242</v>
      </c>
      <c r="C2130" s="5" t="s">
        <v>84</v>
      </c>
      <c r="D2130" s="8"/>
      <c r="E2130" s="8"/>
      <c r="F2130" s="8"/>
      <c r="G2130" s="8"/>
      <c r="H2130" s="8"/>
      <c r="I2130" s="8"/>
      <c r="J2130" s="9" t="s">
        <v>70</v>
      </c>
      <c r="K2130" s="14" t="str">
        <f>IFERROR(__xludf.DUMMYFUNCTION("ARRAYFORMULA(VLOOKUP(A2130,IMPORTRANGE(""https://docs.google.com/spreadsheets/d/1BuTWp7qHGjWhqrnf-OmePP568O4A5Am9ttzvVdP67zw/edit#gid=1603210130"", ""TOURISM!$A$2:$F$2692""), {2,3,4,5,6},0))"),"The Americas")</f>
        <v>The Americas</v>
      </c>
      <c r="L2130" s="14">
        <f>IFERROR(__xludf.DUMMYFUNCTION("""COMPUTED_VALUE"""),6.19E8)</f>
        <v>619000000</v>
      </c>
      <c r="M2130" s="14" t="str">
        <f>IFERROR(__xludf.DUMMYFUNCTION("""COMPUTED_VALUE"""),"Sint Maarten (Dutch part)-The Americas")</f>
        <v>Sint Maarten (Dutch part)-The Americas</v>
      </c>
      <c r="N2130" s="14" t="str">
        <f>IFERROR(__xludf.DUMMYFUNCTION("""COMPUTED_VALUE"""),"2009")</f>
        <v>2009</v>
      </c>
      <c r="O2130" s="14">
        <f>IFERROR(__xludf.DUMMYFUNCTION("""COMPUTED_VALUE"""),1.04E8)</f>
        <v>104000000</v>
      </c>
      <c r="P2130" s="15" t="str">
        <f>IFERROR(__xludf.DUMMYFUNCTION("ARRAYFORMULA(VLOOKUP(A2130,IMPORTRANGE(""https://docs.google.com/spreadsheets/d/1BuTWp7qHGjWhqrnf-OmePP568O4A5Am9ttzvVdP67zw/edit#gid=771602874"" ,""HUMAN RESOURCES!$A$2:$M$2692""), {2,3,4,5,6,7,8,9,10,11,12,13},0))"),"")</f>
        <v/>
      </c>
      <c r="Q2130" s="14"/>
      <c r="R2130" s="14">
        <f>IFERROR(__xludf.DUMMYFUNCTION("""COMPUTED_VALUE"""),78.0)</f>
        <v>78</v>
      </c>
      <c r="S2130" s="14">
        <f>IFERROR(__xludf.DUMMYFUNCTION("""COMPUTED_VALUE"""),73.0)</f>
        <v>73</v>
      </c>
      <c r="T2130" s="14"/>
      <c r="U2130" s="14"/>
      <c r="V2130" s="14"/>
      <c r="W2130" s="14">
        <f>IFERROR(__xludf.DUMMYFUNCTION("""COMPUTED_VALUE"""),39133.0)</f>
        <v>39133</v>
      </c>
      <c r="X2130" s="14">
        <f>IFERROR(__xludf.DUMMYFUNCTION("""COMPUTED_VALUE"""),1.0)</f>
        <v>1</v>
      </c>
      <c r="Y2130" s="14" t="str">
        <f>IFERROR(__xludf.DUMMYFUNCTION("""COMPUTED_VALUE"""),"Sint Maarten (Dutch part)-The Americas")</f>
        <v>Sint Maarten (Dutch part)-The Americas</v>
      </c>
      <c r="Z2130" s="14" t="str">
        <f>IFERROR(__xludf.DUMMYFUNCTION("""COMPUTED_VALUE"""),"The Americas")</f>
        <v>The Americas</v>
      </c>
      <c r="AA2130" s="14" t="str">
        <f>IFERROR(__xludf.DUMMYFUNCTION("""COMPUTED_VALUE"""),"2009")</f>
        <v>2009</v>
      </c>
      <c r="AB2130" s="15" t="str">
        <f>IFERROR(__xludf.DUMMYFUNCTION("ARRAYFORMULA(VLOOKUP(A2130,IMPORTRANGE(""https://docs.google.com/spreadsheets/d/1BuTWp7qHGjWhqrnf-OmePP568O4A5Am9ttzvVdP67zw/edit#gid=1931367683"" ,""ENERGY!$A$2:$F$2692""), {2,3,4,5,6},0))"),"The Americas")</f>
        <v>The Americas</v>
      </c>
      <c r="AC2130" s="14" t="str">
        <f>IFERROR(__xludf.DUMMYFUNCTION("""COMPUTED_VALUE"""),"Sint Maarten (Dutch part)-The Americas")</f>
        <v>Sint Maarten (Dutch part)-The Americas</v>
      </c>
      <c r="AD2130" s="14" t="str">
        <f>IFERROR(__xludf.DUMMYFUNCTION("""COMPUTED_VALUE"""),"2011")</f>
        <v>2011</v>
      </c>
      <c r="AE2130" s="14"/>
      <c r="AF2130" s="14"/>
    </row>
    <row r="2131">
      <c r="A2131" s="12">
        <v>2130.0</v>
      </c>
      <c r="B2131" s="12" t="s">
        <v>242</v>
      </c>
      <c r="C2131" s="5" t="s">
        <v>84</v>
      </c>
      <c r="D2131" s="8"/>
      <c r="E2131" s="8"/>
      <c r="F2131" s="8"/>
      <c r="G2131" s="8"/>
      <c r="H2131" s="8"/>
      <c r="I2131" s="8"/>
      <c r="J2131" s="9" t="s">
        <v>71</v>
      </c>
      <c r="K2131" s="14" t="str">
        <f>IFERROR(__xludf.DUMMYFUNCTION("ARRAYFORMULA(VLOOKUP(A2131,IMPORTRANGE(""https://docs.google.com/spreadsheets/d/1BuTWp7qHGjWhqrnf-OmePP568O4A5Am9ttzvVdP67zw/edit#gid=1603210130"", ""TOURISM!$A$2:$F$2692""), {2,3,4,5,6},0))"),"The Americas")</f>
        <v>The Americas</v>
      </c>
      <c r="L2131" s="14">
        <f>IFERROR(__xludf.DUMMYFUNCTION("""COMPUTED_VALUE"""),6.81E8)</f>
        <v>681000000</v>
      </c>
      <c r="M2131" s="14" t="str">
        <f>IFERROR(__xludf.DUMMYFUNCTION("""COMPUTED_VALUE"""),"Sint Maarten (Dutch part)-The Americas")</f>
        <v>Sint Maarten (Dutch part)-The Americas</v>
      </c>
      <c r="N2131" s="14" t="str">
        <f>IFERROR(__xludf.DUMMYFUNCTION("""COMPUTED_VALUE"""),"2010")</f>
        <v>2010</v>
      </c>
      <c r="O2131" s="14">
        <f>IFERROR(__xludf.DUMMYFUNCTION("""COMPUTED_VALUE"""),1.05E8)</f>
        <v>105000000</v>
      </c>
      <c r="P2131" s="15" t="str">
        <f>IFERROR(__xludf.DUMMYFUNCTION("ARRAYFORMULA(VLOOKUP(A2131,IMPORTRANGE(""https://docs.google.com/spreadsheets/d/1BuTWp7qHGjWhqrnf-OmePP568O4A5Am9ttzvVdP67zw/edit#gid=771602874"" ,""HUMAN RESOURCES!$A$2:$M$2692""), {2,3,4,5,6,7,8,9,10,11,12,13},0))"),"")</f>
        <v/>
      </c>
      <c r="Q2131" s="14"/>
      <c r="R2131" s="14"/>
      <c r="S2131" s="14"/>
      <c r="T2131" s="14"/>
      <c r="U2131" s="14"/>
      <c r="V2131" s="14"/>
      <c r="W2131" s="14">
        <f>IFERROR(__xludf.DUMMYFUNCTION("""COMPUTED_VALUE"""),37850.0)</f>
        <v>37850</v>
      </c>
      <c r="X2131" s="14">
        <f>IFERROR(__xludf.DUMMYFUNCTION("""COMPUTED_VALUE"""),1.0)</f>
        <v>1</v>
      </c>
      <c r="Y2131" s="14" t="str">
        <f>IFERROR(__xludf.DUMMYFUNCTION("""COMPUTED_VALUE"""),"Sint Maarten (Dutch part)-The Americas")</f>
        <v>Sint Maarten (Dutch part)-The Americas</v>
      </c>
      <c r="Z2131" s="14" t="str">
        <f>IFERROR(__xludf.DUMMYFUNCTION("""COMPUTED_VALUE"""),"The Americas")</f>
        <v>The Americas</v>
      </c>
      <c r="AA2131" s="14" t="str">
        <f>IFERROR(__xludf.DUMMYFUNCTION("""COMPUTED_VALUE"""),"2010")</f>
        <v>2010</v>
      </c>
      <c r="AB2131" s="15" t="str">
        <f>IFERROR(__xludf.DUMMYFUNCTION("ARRAYFORMULA(VLOOKUP(A2131,IMPORTRANGE(""https://docs.google.com/spreadsheets/d/1BuTWp7qHGjWhqrnf-OmePP568O4A5Am9ttzvVdP67zw/edit#gid=1931367683"" ,""ENERGY!$A$2:$F$2692""), {2,3,4,5,6},0))"),"The Americas")</f>
        <v>The Americas</v>
      </c>
      <c r="AC2131" s="14" t="str">
        <f>IFERROR(__xludf.DUMMYFUNCTION("""COMPUTED_VALUE"""),"Sint Maarten (Dutch part)-The Americas")</f>
        <v>Sint Maarten (Dutch part)-The Americas</v>
      </c>
      <c r="AD2131" s="14" t="str">
        <f>IFERROR(__xludf.DUMMYFUNCTION("""COMPUTED_VALUE"""),"2008")</f>
        <v>2008</v>
      </c>
      <c r="AE2131" s="14"/>
      <c r="AF2131" s="14"/>
    </row>
    <row r="2132">
      <c r="A2132" s="12">
        <v>2131.0</v>
      </c>
      <c r="B2132" s="12" t="s">
        <v>242</v>
      </c>
      <c r="C2132" s="5" t="s">
        <v>84</v>
      </c>
      <c r="D2132" s="8"/>
      <c r="E2132" s="8"/>
      <c r="F2132" s="8"/>
      <c r="G2132" s="8"/>
      <c r="H2132" s="8"/>
      <c r="I2132" s="8"/>
      <c r="J2132" s="9" t="s">
        <v>72</v>
      </c>
      <c r="K2132" s="14" t="str">
        <f>IFERROR(__xludf.DUMMYFUNCTION("ARRAYFORMULA(VLOOKUP(A2132,IMPORTRANGE(""https://docs.google.com/spreadsheets/d/1BuTWp7qHGjWhqrnf-OmePP568O4A5Am9ttzvVdP67zw/edit#gid=1603210130"", ""TOURISM!$A$2:$F$2692""), {2,3,4,5,6},0))"),"The Americas")</f>
        <v>The Americas</v>
      </c>
      <c r="L2132" s="14">
        <f>IFERROR(__xludf.DUMMYFUNCTION("""COMPUTED_VALUE"""),7.29E8)</f>
        <v>729000000</v>
      </c>
      <c r="M2132" s="14" t="str">
        <f>IFERROR(__xludf.DUMMYFUNCTION("""COMPUTED_VALUE"""),"Sint Maarten (Dutch part)-The Americas")</f>
        <v>Sint Maarten (Dutch part)-The Americas</v>
      </c>
      <c r="N2132" s="14" t="str">
        <f>IFERROR(__xludf.DUMMYFUNCTION("""COMPUTED_VALUE"""),"2011")</f>
        <v>2011</v>
      </c>
      <c r="O2132" s="14">
        <f>IFERROR(__xludf.DUMMYFUNCTION("""COMPUTED_VALUE"""),1.12E8)</f>
        <v>112000000</v>
      </c>
      <c r="P2132" s="15" t="str">
        <f>IFERROR(__xludf.DUMMYFUNCTION("ARRAYFORMULA(VLOOKUP(A2132,IMPORTRANGE(""https://docs.google.com/spreadsheets/d/1BuTWp7qHGjWhqrnf-OmePP568O4A5Am9ttzvVdP67zw/edit#gid=771602874"" ,""HUMAN RESOURCES!$A$2:$M$2692""), {2,3,4,5,6,7,8,9,10,11,12,13},0))"),"")</f>
        <v/>
      </c>
      <c r="Q2132" s="14"/>
      <c r="R2132" s="14"/>
      <c r="S2132" s="14"/>
      <c r="T2132" s="14"/>
      <c r="U2132" s="14"/>
      <c r="V2132" s="14"/>
      <c r="W2132" s="14">
        <f>IFERROR(__xludf.DUMMYFUNCTION("""COMPUTED_VALUE"""),38486.0)</f>
        <v>38486</v>
      </c>
      <c r="X2132" s="14">
        <f>IFERROR(__xludf.DUMMYFUNCTION("""COMPUTED_VALUE"""),1.0)</f>
        <v>1</v>
      </c>
      <c r="Y2132" s="14" t="str">
        <f>IFERROR(__xludf.DUMMYFUNCTION("""COMPUTED_VALUE"""),"Sint Maarten (Dutch part)-The Americas")</f>
        <v>Sint Maarten (Dutch part)-The Americas</v>
      </c>
      <c r="Z2132" s="14" t="str">
        <f>IFERROR(__xludf.DUMMYFUNCTION("""COMPUTED_VALUE"""),"The Americas")</f>
        <v>The Americas</v>
      </c>
      <c r="AA2132" s="14" t="str">
        <f>IFERROR(__xludf.DUMMYFUNCTION("""COMPUTED_VALUE"""),"2011")</f>
        <v>2011</v>
      </c>
      <c r="AB2132" s="15" t="str">
        <f>IFERROR(__xludf.DUMMYFUNCTION("ARRAYFORMULA(VLOOKUP(A2132,IMPORTRANGE(""https://docs.google.com/spreadsheets/d/1BuTWp7qHGjWhqrnf-OmePP568O4A5Am9ttzvVdP67zw/edit#gid=1931367683"" ,""ENERGY!$A$2:$F$2692""), {2,3,4,5,6},0))"),"The Americas")</f>
        <v>The Americas</v>
      </c>
      <c r="AC2132" s="14" t="str">
        <f>IFERROR(__xludf.DUMMYFUNCTION("""COMPUTED_VALUE"""),"Sint Maarten (Dutch part)-The Americas")</f>
        <v>Sint Maarten (Dutch part)-The Americas</v>
      </c>
      <c r="AD2132" s="14" t="str">
        <f>IFERROR(__xludf.DUMMYFUNCTION("""COMPUTED_VALUE"""),"2007")</f>
        <v>2007</v>
      </c>
      <c r="AE2132" s="14"/>
      <c r="AF2132" s="14"/>
    </row>
    <row r="2133">
      <c r="A2133" s="12">
        <v>2132.0</v>
      </c>
      <c r="B2133" s="12" t="s">
        <v>242</v>
      </c>
      <c r="C2133" s="5" t="s">
        <v>84</v>
      </c>
      <c r="D2133" s="8"/>
      <c r="E2133" s="8"/>
      <c r="F2133" s="8"/>
      <c r="G2133" s="8"/>
      <c r="H2133" s="8"/>
      <c r="I2133" s="8"/>
      <c r="J2133" s="9" t="s">
        <v>73</v>
      </c>
      <c r="K2133" s="14" t="str">
        <f>IFERROR(__xludf.DUMMYFUNCTION("ARRAYFORMULA(VLOOKUP(A2133,IMPORTRANGE(""https://docs.google.com/spreadsheets/d/1BuTWp7qHGjWhqrnf-OmePP568O4A5Am9ttzvVdP67zw/edit#gid=1603210130"", ""TOURISM!$A$2:$F$2692""), {2,3,4,5,6},0))"),"The Americas")</f>
        <v>The Americas</v>
      </c>
      <c r="L2133" s="14">
        <f>IFERROR(__xludf.DUMMYFUNCTION("""COMPUTED_VALUE"""),8.54E8)</f>
        <v>854000000</v>
      </c>
      <c r="M2133" s="14" t="str">
        <f>IFERROR(__xludf.DUMMYFUNCTION("""COMPUTED_VALUE"""),"Sint Maarten (Dutch part)-The Americas")</f>
        <v>Sint Maarten (Dutch part)-The Americas</v>
      </c>
      <c r="N2133" s="14" t="str">
        <f>IFERROR(__xludf.DUMMYFUNCTION("""COMPUTED_VALUE"""),"2012")</f>
        <v>2012</v>
      </c>
      <c r="O2133" s="14">
        <f>IFERROR(__xludf.DUMMYFUNCTION("""COMPUTED_VALUE"""),1.2E8)</f>
        <v>120000000</v>
      </c>
      <c r="P2133" s="15" t="str">
        <f>IFERROR(__xludf.DUMMYFUNCTION("ARRAYFORMULA(VLOOKUP(A2133,IMPORTRANGE(""https://docs.google.com/spreadsheets/d/1BuTWp7qHGjWhqrnf-OmePP568O4A5Am9ttzvVdP67zw/edit#gid=771602874"" ,""HUMAN RESOURCES!$A$2:$M$2692""), {2,3,4,5,6,7,8,9,10,11,12,13},0))"),"")</f>
        <v/>
      </c>
      <c r="Q2133" s="14"/>
      <c r="R2133" s="14"/>
      <c r="S2133" s="14"/>
      <c r="T2133" s="14"/>
      <c r="U2133" s="14"/>
      <c r="V2133" s="14"/>
      <c r="W2133" s="14">
        <f>IFERROR(__xludf.DUMMYFUNCTION("""COMPUTED_VALUE"""),39088.0)</f>
        <v>39088</v>
      </c>
      <c r="X2133" s="14">
        <f>IFERROR(__xludf.DUMMYFUNCTION("""COMPUTED_VALUE"""),1.0)</f>
        <v>1</v>
      </c>
      <c r="Y2133" s="14" t="str">
        <f>IFERROR(__xludf.DUMMYFUNCTION("""COMPUTED_VALUE"""),"Sint Maarten (Dutch part)-The Americas")</f>
        <v>Sint Maarten (Dutch part)-The Americas</v>
      </c>
      <c r="Z2133" s="14" t="str">
        <f>IFERROR(__xludf.DUMMYFUNCTION("""COMPUTED_VALUE"""),"The Americas")</f>
        <v>The Americas</v>
      </c>
      <c r="AA2133" s="14" t="str">
        <f>IFERROR(__xludf.DUMMYFUNCTION("""COMPUTED_VALUE"""),"2012")</f>
        <v>2012</v>
      </c>
      <c r="AB2133" s="15" t="str">
        <f>IFERROR(__xludf.DUMMYFUNCTION("ARRAYFORMULA(VLOOKUP(A2133,IMPORTRANGE(""https://docs.google.com/spreadsheets/d/1BuTWp7qHGjWhqrnf-OmePP568O4A5Am9ttzvVdP67zw/edit#gid=1931367683"" ,""ENERGY!$A$2:$F$2692""), {2,3,4,5,6},0))"),"The Americas")</f>
        <v>The Americas</v>
      </c>
      <c r="AC2133" s="14" t="str">
        <f>IFERROR(__xludf.DUMMYFUNCTION("""COMPUTED_VALUE"""),"Sint Maarten (Dutch part)-The Americas")</f>
        <v>Sint Maarten (Dutch part)-The Americas</v>
      </c>
      <c r="AD2133" s="14" t="str">
        <f>IFERROR(__xludf.DUMMYFUNCTION("""COMPUTED_VALUE"""),"2012")</f>
        <v>2012</v>
      </c>
      <c r="AE2133" s="14"/>
      <c r="AF2133" s="14"/>
    </row>
    <row r="2134">
      <c r="A2134" s="12">
        <v>2133.0</v>
      </c>
      <c r="B2134" s="12" t="s">
        <v>243</v>
      </c>
      <c r="C2134" s="5" t="s">
        <v>75</v>
      </c>
      <c r="D2134" s="8"/>
      <c r="E2134" s="8"/>
      <c r="F2134" s="8"/>
      <c r="G2134" s="8"/>
      <c r="H2134" s="11">
        <v>0.094</v>
      </c>
      <c r="I2134" s="11">
        <v>0.231</v>
      </c>
      <c r="J2134" s="9" t="s">
        <v>60</v>
      </c>
      <c r="K2134" s="14" t="str">
        <f>IFERROR(__xludf.DUMMYFUNCTION("ARRAYFORMULA(VLOOKUP(A2134,IMPORTRANGE(""https://docs.google.com/spreadsheets/d/1BuTWp7qHGjWhqrnf-OmePP568O4A5Am9ttzvVdP67zw/edit#gid=1603210130"", ""TOURISM!$A$2:$F$2692""), {2,3,4,5,6},0))"),"Europe")</f>
        <v>Europe</v>
      </c>
      <c r="L2134" s="14">
        <f>IFERROR(__xludf.DUMMYFUNCTION("""COMPUTED_VALUE"""),4.41E8)</f>
        <v>441000000</v>
      </c>
      <c r="M2134" s="14" t="str">
        <f>IFERROR(__xludf.DUMMYFUNCTION("""COMPUTED_VALUE"""),"Slovakia-Europe")</f>
        <v>Slovakia-Europe</v>
      </c>
      <c r="N2134" s="14" t="str">
        <f>IFERROR(__xludf.DUMMYFUNCTION("""COMPUTED_VALUE"""),"2000")</f>
        <v>2000</v>
      </c>
      <c r="O2134" s="14">
        <f>IFERROR(__xludf.DUMMYFUNCTION("""COMPUTED_VALUE"""),3.41E8)</f>
        <v>341000000</v>
      </c>
      <c r="P2134" s="15">
        <f>IFERROR(__xludf.DUMMYFUNCTION("ARRAYFORMULA(VLOOKUP(A2134,IMPORTRANGE(""https://docs.google.com/spreadsheets/d/1BuTWp7qHGjWhqrnf-OmePP568O4A5Am9ttzvVdP67zw/edit#gid=771602874"" ,""HUMAN RESOURCES!$A$2:$M$2692""), {2,3,4,5,6,7,8,9,10,11,12,13},0))"),0.01)</f>
        <v>0.01</v>
      </c>
      <c r="Q2134" s="14">
        <f>IFERROR(__xludf.DUMMYFUNCTION("""COMPUTED_VALUE"""),0.01)</f>
        <v>0.01</v>
      </c>
      <c r="R2134" s="14">
        <f>IFERROR(__xludf.DUMMYFUNCTION("""COMPUTED_VALUE"""),77.0)</f>
        <v>77</v>
      </c>
      <c r="S2134" s="14">
        <f>IFERROR(__xludf.DUMMYFUNCTION("""COMPUTED_VALUE"""),69.0)</f>
        <v>69</v>
      </c>
      <c r="T2134" s="14">
        <f>IFERROR(__xludf.DUMMYFUNCTION("""COMPUTED_VALUE"""),0.197)</f>
        <v>0.197</v>
      </c>
      <c r="U2134" s="14">
        <f>IFERROR(__xludf.DUMMYFUNCTION("""COMPUTED_VALUE"""),0.689)</f>
        <v>0.689</v>
      </c>
      <c r="V2134" s="14">
        <f>IFERROR(__xludf.DUMMYFUNCTION("""COMPUTED_VALUE"""),0.114)</f>
        <v>0.114</v>
      </c>
      <c r="W2134" s="14">
        <f>IFERROR(__xludf.DUMMYFUNCTION("""COMPUTED_VALUE"""),5388720.0)</f>
        <v>5388720</v>
      </c>
      <c r="X2134" s="14">
        <f>IFERROR(__xludf.DUMMYFUNCTION("""COMPUTED_VALUE"""),0.562)</f>
        <v>0.562</v>
      </c>
      <c r="Y2134" s="14" t="str">
        <f>IFERROR(__xludf.DUMMYFUNCTION("""COMPUTED_VALUE"""),"Slovakia-Europe")</f>
        <v>Slovakia-Europe</v>
      </c>
      <c r="Z2134" s="14" t="str">
        <f>IFERROR(__xludf.DUMMYFUNCTION("""COMPUTED_VALUE"""),"Europe")</f>
        <v>Europe</v>
      </c>
      <c r="AA2134" s="14" t="str">
        <f>IFERROR(__xludf.DUMMYFUNCTION("""COMPUTED_VALUE"""),"2000")</f>
        <v>2000</v>
      </c>
      <c r="AB2134" s="15" t="str">
        <f>IFERROR(__xludf.DUMMYFUNCTION("ARRAYFORMULA(VLOOKUP(A2134,IMPORTRANGE(""https://docs.google.com/spreadsheets/d/1BuTWp7qHGjWhqrnf-OmePP568O4A5Am9ttzvVdP67zw/edit#gid=1931367683"" ,""ENERGY!$A$2:$F$2692""), {2,3,4,5,6},0))"),"Europe")</f>
        <v>Europe</v>
      </c>
      <c r="AC2134" s="14" t="str">
        <f>IFERROR(__xludf.DUMMYFUNCTION("""COMPUTED_VALUE"""),"Slovakia-Europe")</f>
        <v>Slovakia-Europe</v>
      </c>
      <c r="AD2134" s="14" t="str">
        <f>IFERROR(__xludf.DUMMYFUNCTION("""COMPUTED_VALUE"""),"2000")</f>
        <v>2000</v>
      </c>
      <c r="AE2134" s="14">
        <f>IFERROR(__xludf.DUMMYFUNCTION("""COMPUTED_VALUE"""),16676.0)</f>
        <v>16676</v>
      </c>
      <c r="AF2134" s="14"/>
    </row>
    <row r="2135">
      <c r="A2135" s="12">
        <v>2134.0</v>
      </c>
      <c r="B2135" s="12" t="s">
        <v>243</v>
      </c>
      <c r="C2135" s="5" t="s">
        <v>75</v>
      </c>
      <c r="D2135" s="8"/>
      <c r="E2135" s="8"/>
      <c r="F2135" s="8"/>
      <c r="G2135" s="8"/>
      <c r="H2135" s="11">
        <v>0.125</v>
      </c>
      <c r="I2135" s="11">
        <v>0.399</v>
      </c>
      <c r="J2135" s="9" t="s">
        <v>62</v>
      </c>
      <c r="K2135" s="14" t="str">
        <f>IFERROR(__xludf.DUMMYFUNCTION("ARRAYFORMULA(VLOOKUP(A2135,IMPORTRANGE(""https://docs.google.com/spreadsheets/d/1BuTWp7qHGjWhqrnf-OmePP568O4A5Am9ttzvVdP67zw/edit#gid=1603210130"", ""TOURISM!$A$2:$F$2692""), {2,3,4,5,6},0))"),"Europe")</f>
        <v>Europe</v>
      </c>
      <c r="L2135" s="14">
        <f>IFERROR(__xludf.DUMMYFUNCTION("""COMPUTED_VALUE"""),6.49E8)</f>
        <v>649000000</v>
      </c>
      <c r="M2135" s="14" t="str">
        <f>IFERROR(__xludf.DUMMYFUNCTION("""COMPUTED_VALUE"""),"Slovakia-Europe")</f>
        <v>Slovakia-Europe</v>
      </c>
      <c r="N2135" s="14" t="str">
        <f>IFERROR(__xludf.DUMMYFUNCTION("""COMPUTED_VALUE"""),"2001")</f>
        <v>2001</v>
      </c>
      <c r="O2135" s="14">
        <f>IFERROR(__xludf.DUMMYFUNCTION("""COMPUTED_VALUE"""),3.4E8)</f>
        <v>340000000</v>
      </c>
      <c r="P2135" s="15">
        <f>IFERROR(__xludf.DUMMYFUNCTION("ARRAYFORMULA(VLOOKUP(A2135,IMPORTRANGE(""https://docs.google.com/spreadsheets/d/1BuTWp7qHGjWhqrnf-OmePP568O4A5Am9ttzvVdP67zw/edit#gid=771602874"" ,""HUMAN RESOURCES!$A$2:$M$2692""), {2,3,4,5,6,7,8,9,10,11,12,13},0))"),0.01)</f>
        <v>0.01</v>
      </c>
      <c r="Q2135" s="14">
        <f>IFERROR(__xludf.DUMMYFUNCTION("""COMPUTED_VALUE"""),0.01)</f>
        <v>0.01</v>
      </c>
      <c r="R2135" s="14">
        <f>IFERROR(__xludf.DUMMYFUNCTION("""COMPUTED_VALUE"""),78.0)</f>
        <v>78</v>
      </c>
      <c r="S2135" s="14">
        <f>IFERROR(__xludf.DUMMYFUNCTION("""COMPUTED_VALUE"""),70.0)</f>
        <v>70</v>
      </c>
      <c r="T2135" s="14">
        <f>IFERROR(__xludf.DUMMYFUNCTION("""COMPUTED_VALUE"""),0.191)</f>
        <v>0.191</v>
      </c>
      <c r="U2135" s="14">
        <f>IFERROR(__xludf.DUMMYFUNCTION("""COMPUTED_VALUE"""),0.695)</f>
        <v>0.695</v>
      </c>
      <c r="V2135" s="14">
        <f>IFERROR(__xludf.DUMMYFUNCTION("""COMPUTED_VALUE"""),0.114)</f>
        <v>0.114</v>
      </c>
      <c r="W2135" s="14">
        <f>IFERROR(__xludf.DUMMYFUNCTION("""COMPUTED_VALUE"""),5378867.0)</f>
        <v>5378867</v>
      </c>
      <c r="X2135" s="14">
        <f>IFERROR(__xludf.DUMMYFUNCTION("""COMPUTED_VALUE"""),0.562)</f>
        <v>0.562</v>
      </c>
      <c r="Y2135" s="14" t="str">
        <f>IFERROR(__xludf.DUMMYFUNCTION("""COMPUTED_VALUE"""),"Slovakia-Europe")</f>
        <v>Slovakia-Europe</v>
      </c>
      <c r="Z2135" s="14" t="str">
        <f>IFERROR(__xludf.DUMMYFUNCTION("""COMPUTED_VALUE"""),"Europe")</f>
        <v>Europe</v>
      </c>
      <c r="AA2135" s="14" t="str">
        <f>IFERROR(__xludf.DUMMYFUNCTION("""COMPUTED_VALUE"""),"2001")</f>
        <v>2001</v>
      </c>
      <c r="AB2135" s="15" t="str">
        <f>IFERROR(__xludf.DUMMYFUNCTION("ARRAYFORMULA(VLOOKUP(A2135,IMPORTRANGE(""https://docs.google.com/spreadsheets/d/1BuTWp7qHGjWhqrnf-OmePP568O4A5Am9ttzvVdP67zw/edit#gid=1931367683"" ,""ENERGY!$A$2:$F$2692""), {2,3,4,5,6},0))"),"Europe")</f>
        <v>Europe</v>
      </c>
      <c r="AC2135" s="14" t="str">
        <f>IFERROR(__xludf.DUMMYFUNCTION("""COMPUTED_VALUE"""),"Slovakia-Europe")</f>
        <v>Slovakia-Europe</v>
      </c>
      <c r="AD2135" s="14" t="str">
        <f>IFERROR(__xludf.DUMMYFUNCTION("""COMPUTED_VALUE"""),"2001")</f>
        <v>2001</v>
      </c>
      <c r="AE2135" s="14">
        <f>IFERROR(__xludf.DUMMYFUNCTION("""COMPUTED_VALUE"""),17349.0)</f>
        <v>17349</v>
      </c>
      <c r="AF2135" s="14"/>
    </row>
    <row r="2136">
      <c r="A2136" s="12">
        <v>2135.0</v>
      </c>
      <c r="B2136" s="12" t="s">
        <v>243</v>
      </c>
      <c r="C2136" s="5" t="s">
        <v>75</v>
      </c>
      <c r="D2136" s="8"/>
      <c r="E2136" s="8"/>
      <c r="F2136" s="8"/>
      <c r="G2136" s="8"/>
      <c r="H2136" s="11">
        <v>0.401</v>
      </c>
      <c r="I2136" s="11">
        <v>0.543</v>
      </c>
      <c r="J2136" s="9" t="s">
        <v>63</v>
      </c>
      <c r="K2136" s="14" t="str">
        <f>IFERROR(__xludf.DUMMYFUNCTION("ARRAYFORMULA(VLOOKUP(A2136,IMPORTRANGE(""https://docs.google.com/spreadsheets/d/1BuTWp7qHGjWhqrnf-OmePP568O4A5Am9ttzvVdP67zw/edit#gid=1603210130"", ""TOURISM!$A$2:$F$2692""), {2,3,4,5,6},0))"),"Europe")</f>
        <v>Europe</v>
      </c>
      <c r="L2136" s="14">
        <f>IFERROR(__xludf.DUMMYFUNCTION("""COMPUTED_VALUE"""),7.42E8)</f>
        <v>742000000</v>
      </c>
      <c r="M2136" s="14" t="str">
        <f>IFERROR(__xludf.DUMMYFUNCTION("""COMPUTED_VALUE"""),"Slovakia-Europe")</f>
        <v>Slovakia-Europe</v>
      </c>
      <c r="N2136" s="14" t="str">
        <f>IFERROR(__xludf.DUMMYFUNCTION("""COMPUTED_VALUE"""),"2002")</f>
        <v>2002</v>
      </c>
      <c r="O2136" s="14">
        <f>IFERROR(__xludf.DUMMYFUNCTION("""COMPUTED_VALUE"""),5.06E8)</f>
        <v>506000000</v>
      </c>
      <c r="P2136" s="15">
        <f>IFERROR(__xludf.DUMMYFUNCTION("ARRAYFORMULA(VLOOKUP(A2136,IMPORTRANGE(""https://docs.google.com/spreadsheets/d/1BuTWp7qHGjWhqrnf-OmePP568O4A5Am9ttzvVdP67zw/edit#gid=771602874"" ,""HUMAN RESOURCES!$A$2:$M$2692""), {2,3,4,5,6,7,8,9,10,11,12,13},0))"),0.01)</f>
        <v>0.01</v>
      </c>
      <c r="Q2136" s="14">
        <f>IFERROR(__xludf.DUMMYFUNCTION("""COMPUTED_VALUE"""),0.009)</f>
        <v>0.009</v>
      </c>
      <c r="R2136" s="14">
        <f>IFERROR(__xludf.DUMMYFUNCTION("""COMPUTED_VALUE"""),78.0)</f>
        <v>78</v>
      </c>
      <c r="S2136" s="14">
        <f>IFERROR(__xludf.DUMMYFUNCTION("""COMPUTED_VALUE"""),70.0)</f>
        <v>70</v>
      </c>
      <c r="T2136" s="14">
        <f>IFERROR(__xludf.DUMMYFUNCTION("""COMPUTED_VALUE"""),0.185)</f>
        <v>0.185</v>
      </c>
      <c r="U2136" s="14">
        <f>IFERROR(__xludf.DUMMYFUNCTION("""COMPUTED_VALUE"""),0.7)</f>
        <v>0.7</v>
      </c>
      <c r="V2136" s="14">
        <f>IFERROR(__xludf.DUMMYFUNCTION("""COMPUTED_VALUE"""),0.115)</f>
        <v>0.115</v>
      </c>
      <c r="W2136" s="14">
        <f>IFERROR(__xludf.DUMMYFUNCTION("""COMPUTED_VALUE"""),5376912.0)</f>
        <v>5376912</v>
      </c>
      <c r="X2136" s="14">
        <f>IFERROR(__xludf.DUMMYFUNCTION("""COMPUTED_VALUE"""),0.56)</f>
        <v>0.56</v>
      </c>
      <c r="Y2136" s="14" t="str">
        <f>IFERROR(__xludf.DUMMYFUNCTION("""COMPUTED_VALUE"""),"Slovakia-Europe")</f>
        <v>Slovakia-Europe</v>
      </c>
      <c r="Z2136" s="14" t="str">
        <f>IFERROR(__xludf.DUMMYFUNCTION("""COMPUTED_VALUE"""),"Europe")</f>
        <v>Europe</v>
      </c>
      <c r="AA2136" s="14" t="str">
        <f>IFERROR(__xludf.DUMMYFUNCTION("""COMPUTED_VALUE"""),"2002")</f>
        <v>2002</v>
      </c>
      <c r="AB2136" s="15" t="str">
        <f>IFERROR(__xludf.DUMMYFUNCTION("ARRAYFORMULA(VLOOKUP(A2136,IMPORTRANGE(""https://docs.google.com/spreadsheets/d/1BuTWp7qHGjWhqrnf-OmePP568O4A5Am9ttzvVdP67zw/edit#gid=1931367683"" ,""ENERGY!$A$2:$F$2692""), {2,3,4,5,6},0))"),"Europe")</f>
        <v>Europe</v>
      </c>
      <c r="AC2136" s="14" t="str">
        <f>IFERROR(__xludf.DUMMYFUNCTION("""COMPUTED_VALUE"""),"Slovakia-Europe")</f>
        <v>Slovakia-Europe</v>
      </c>
      <c r="AD2136" s="14" t="str">
        <f>IFERROR(__xludf.DUMMYFUNCTION("""COMPUTED_VALUE"""),"2002")</f>
        <v>2002</v>
      </c>
      <c r="AE2136" s="14">
        <f>IFERROR(__xludf.DUMMYFUNCTION("""COMPUTED_VALUE"""),17828.0)</f>
        <v>17828</v>
      </c>
      <c r="AF2136" s="14">
        <f>IFERROR(__xludf.DUMMYFUNCTION("""COMPUTED_VALUE"""),36094.0)</f>
        <v>36094</v>
      </c>
    </row>
    <row r="2137">
      <c r="A2137" s="12">
        <v>2136.0</v>
      </c>
      <c r="B2137" s="12" t="s">
        <v>243</v>
      </c>
      <c r="C2137" s="5" t="s">
        <v>75</v>
      </c>
      <c r="D2137" s="8"/>
      <c r="E2137" s="11">
        <v>103.0</v>
      </c>
      <c r="F2137" s="8"/>
      <c r="G2137" s="8"/>
      <c r="H2137" s="11">
        <v>0.43</v>
      </c>
      <c r="I2137" s="11">
        <v>0.683</v>
      </c>
      <c r="J2137" s="9" t="s">
        <v>64</v>
      </c>
      <c r="K2137" s="14" t="str">
        <f>IFERROR(__xludf.DUMMYFUNCTION("ARRAYFORMULA(VLOOKUP(A2137,IMPORTRANGE(""https://docs.google.com/spreadsheets/d/1BuTWp7qHGjWhqrnf-OmePP568O4A5Am9ttzvVdP67zw/edit#gid=1603210130"", ""TOURISM!$A$2:$F$2692""), {2,3,4,5,6},0))"),"Europe")</f>
        <v>Europe</v>
      </c>
      <c r="L2137" s="14">
        <f>IFERROR(__xludf.DUMMYFUNCTION("""COMPUTED_VALUE"""),8.76E8)</f>
        <v>876000000</v>
      </c>
      <c r="M2137" s="14" t="str">
        <f>IFERROR(__xludf.DUMMYFUNCTION("""COMPUTED_VALUE"""),"Slovakia-Europe")</f>
        <v>Slovakia-Europe</v>
      </c>
      <c r="N2137" s="14" t="str">
        <f>IFERROR(__xludf.DUMMYFUNCTION("""COMPUTED_VALUE"""),"2003")</f>
        <v>2003</v>
      </c>
      <c r="O2137" s="14">
        <f>IFERROR(__xludf.DUMMYFUNCTION("""COMPUTED_VALUE"""),6.62E8)</f>
        <v>662000000</v>
      </c>
      <c r="P2137" s="15">
        <f>IFERROR(__xludf.DUMMYFUNCTION("ARRAYFORMULA(VLOOKUP(A2137,IMPORTRANGE(""https://docs.google.com/spreadsheets/d/1BuTWp7qHGjWhqrnf-OmePP568O4A5Am9ttzvVdP67zw/edit#gid=771602874"" ,""HUMAN RESOURCES!$A$2:$M$2692""), {2,3,4,5,6,7,8,9,10,11,12,13},0))"),0.01)</f>
        <v>0.01</v>
      </c>
      <c r="Q2137" s="14">
        <f>IFERROR(__xludf.DUMMYFUNCTION("""COMPUTED_VALUE"""),0.009)</f>
        <v>0.009</v>
      </c>
      <c r="R2137" s="14">
        <f>IFERROR(__xludf.DUMMYFUNCTION("""COMPUTED_VALUE"""),78.0)</f>
        <v>78</v>
      </c>
      <c r="S2137" s="14">
        <f>IFERROR(__xludf.DUMMYFUNCTION("""COMPUTED_VALUE"""),70.0)</f>
        <v>70</v>
      </c>
      <c r="T2137" s="14">
        <f>IFERROR(__xludf.DUMMYFUNCTION("""COMPUTED_VALUE"""),0.179)</f>
        <v>0.179</v>
      </c>
      <c r="U2137" s="14">
        <f>IFERROR(__xludf.DUMMYFUNCTION("""COMPUTED_VALUE"""),0.706)</f>
        <v>0.706</v>
      </c>
      <c r="V2137" s="14">
        <f>IFERROR(__xludf.DUMMYFUNCTION("""COMPUTED_VALUE"""),0.116)</f>
        <v>0.116</v>
      </c>
      <c r="W2137" s="14">
        <f>IFERROR(__xludf.DUMMYFUNCTION("""COMPUTED_VALUE"""),5373374.0)</f>
        <v>5373374</v>
      </c>
      <c r="X2137" s="14">
        <f>IFERROR(__xludf.DUMMYFUNCTION("""COMPUTED_VALUE"""),0.559)</f>
        <v>0.559</v>
      </c>
      <c r="Y2137" s="14" t="str">
        <f>IFERROR(__xludf.DUMMYFUNCTION("""COMPUTED_VALUE"""),"Slovakia-Europe")</f>
        <v>Slovakia-Europe</v>
      </c>
      <c r="Z2137" s="14" t="str">
        <f>IFERROR(__xludf.DUMMYFUNCTION("""COMPUTED_VALUE"""),"Europe")</f>
        <v>Europe</v>
      </c>
      <c r="AA2137" s="14" t="str">
        <f>IFERROR(__xludf.DUMMYFUNCTION("""COMPUTED_VALUE"""),"2003")</f>
        <v>2003</v>
      </c>
      <c r="AB2137" s="15" t="str">
        <f>IFERROR(__xludf.DUMMYFUNCTION("ARRAYFORMULA(VLOOKUP(A2137,IMPORTRANGE(""https://docs.google.com/spreadsheets/d/1BuTWp7qHGjWhqrnf-OmePP568O4A5Am9ttzvVdP67zw/edit#gid=1931367683"" ,""ENERGY!$A$2:$F$2692""), {2,3,4,5,6},0))"),"Europe")</f>
        <v>Europe</v>
      </c>
      <c r="AC2137" s="14" t="str">
        <f>IFERROR(__xludf.DUMMYFUNCTION("""COMPUTED_VALUE"""),"Slovakia-Europe")</f>
        <v>Slovakia-Europe</v>
      </c>
      <c r="AD2137" s="14" t="str">
        <f>IFERROR(__xludf.DUMMYFUNCTION("""COMPUTED_VALUE"""),"2003")</f>
        <v>2003</v>
      </c>
      <c r="AE2137" s="14">
        <f>IFERROR(__xludf.DUMMYFUNCTION("""COMPUTED_VALUE"""),16735.0)</f>
        <v>16735</v>
      </c>
      <c r="AF2137" s="14">
        <f>IFERROR(__xludf.DUMMYFUNCTION("""COMPUTED_VALUE"""),33890.0)</f>
        <v>33890</v>
      </c>
    </row>
    <row r="2138">
      <c r="A2138" s="12">
        <v>2137.0</v>
      </c>
      <c r="B2138" s="12" t="s">
        <v>243</v>
      </c>
      <c r="C2138" s="5" t="s">
        <v>75</v>
      </c>
      <c r="D2138" s="8"/>
      <c r="E2138" s="11">
        <v>52.0</v>
      </c>
      <c r="F2138" s="8"/>
      <c r="G2138" s="8"/>
      <c r="H2138" s="11">
        <v>0.529</v>
      </c>
      <c r="I2138" s="11">
        <v>0.793</v>
      </c>
      <c r="J2138" s="9" t="s">
        <v>65</v>
      </c>
      <c r="K2138" s="14" t="str">
        <f>IFERROR(__xludf.DUMMYFUNCTION("ARRAYFORMULA(VLOOKUP(A2138,IMPORTRANGE(""https://docs.google.com/spreadsheets/d/1BuTWp7qHGjWhqrnf-OmePP568O4A5Am9ttzvVdP67zw/edit#gid=1603210130"", ""TOURISM!$A$2:$F$2692""), {2,3,4,5,6},0))"),"Europe")</f>
        <v>Europe</v>
      </c>
      <c r="L2138" s="14">
        <f>IFERROR(__xludf.DUMMYFUNCTION("""COMPUTED_VALUE"""),9.31E8)</f>
        <v>931000000</v>
      </c>
      <c r="M2138" s="14" t="str">
        <f>IFERROR(__xludf.DUMMYFUNCTION("""COMPUTED_VALUE"""),"Slovakia-Europe")</f>
        <v>Slovakia-Europe</v>
      </c>
      <c r="N2138" s="14" t="str">
        <f>IFERROR(__xludf.DUMMYFUNCTION("""COMPUTED_VALUE"""),"2004")</f>
        <v>2004</v>
      </c>
      <c r="O2138" s="14">
        <f>IFERROR(__xludf.DUMMYFUNCTION("""COMPUTED_VALUE"""),9.0E8)</f>
        <v>900000000</v>
      </c>
      <c r="P2138" s="15">
        <f>IFERROR(__xludf.DUMMYFUNCTION("ARRAYFORMULA(VLOOKUP(A2138,IMPORTRANGE(""https://docs.google.com/spreadsheets/d/1BuTWp7qHGjWhqrnf-OmePP568O4A5Am9ttzvVdP67zw/edit#gid=771602874"" ,""HUMAN RESOURCES!$A$2:$M$2692""), {2,3,4,5,6,7,8,9,10,11,12,13},0))"),0.01)</f>
        <v>0.01</v>
      </c>
      <c r="Q2138" s="14">
        <f>IFERROR(__xludf.DUMMYFUNCTION("""COMPUTED_VALUE"""),0.009)</f>
        <v>0.009</v>
      </c>
      <c r="R2138" s="14">
        <f>IFERROR(__xludf.DUMMYFUNCTION("""COMPUTED_VALUE"""),78.0)</f>
        <v>78</v>
      </c>
      <c r="S2138" s="14">
        <f>IFERROR(__xludf.DUMMYFUNCTION("""COMPUTED_VALUE"""),70.0)</f>
        <v>70</v>
      </c>
      <c r="T2138" s="14">
        <f>IFERROR(__xludf.DUMMYFUNCTION("""COMPUTED_VALUE"""),0.173)</f>
        <v>0.173</v>
      </c>
      <c r="U2138" s="14">
        <f>IFERROR(__xludf.DUMMYFUNCTION("""COMPUTED_VALUE"""),0.711)</f>
        <v>0.711</v>
      </c>
      <c r="V2138" s="14">
        <f>IFERROR(__xludf.DUMMYFUNCTION("""COMPUTED_VALUE"""),0.116)</f>
        <v>0.116</v>
      </c>
      <c r="W2138" s="14">
        <f>IFERROR(__xludf.DUMMYFUNCTION("""COMPUTED_VALUE"""),5372280.0)</f>
        <v>5372280</v>
      </c>
      <c r="X2138" s="14">
        <f>IFERROR(__xludf.DUMMYFUNCTION("""COMPUTED_VALUE"""),0.557)</f>
        <v>0.557</v>
      </c>
      <c r="Y2138" s="14" t="str">
        <f>IFERROR(__xludf.DUMMYFUNCTION("""COMPUTED_VALUE"""),"Slovakia-Europe")</f>
        <v>Slovakia-Europe</v>
      </c>
      <c r="Z2138" s="14" t="str">
        <f>IFERROR(__xludf.DUMMYFUNCTION("""COMPUTED_VALUE"""),"Europe")</f>
        <v>Europe</v>
      </c>
      <c r="AA2138" s="14" t="str">
        <f>IFERROR(__xludf.DUMMYFUNCTION("""COMPUTED_VALUE"""),"2004")</f>
        <v>2004</v>
      </c>
      <c r="AB2138" s="15" t="str">
        <f>IFERROR(__xludf.DUMMYFUNCTION("ARRAYFORMULA(VLOOKUP(A2138,IMPORTRANGE(""https://docs.google.com/spreadsheets/d/1BuTWp7qHGjWhqrnf-OmePP568O4A5Am9ttzvVdP67zw/edit#gid=1931367683"" ,""ENERGY!$A$2:$F$2692""), {2,3,4,5,6},0))"),"Europe")</f>
        <v>Europe</v>
      </c>
      <c r="AC2138" s="14" t="str">
        <f>IFERROR(__xludf.DUMMYFUNCTION("""COMPUTED_VALUE"""),"Slovakia-Europe")</f>
        <v>Slovakia-Europe</v>
      </c>
      <c r="AD2138" s="14" t="str">
        <f>IFERROR(__xludf.DUMMYFUNCTION("""COMPUTED_VALUE"""),"2004")</f>
        <v>2004</v>
      </c>
      <c r="AE2138" s="14">
        <f>IFERROR(__xludf.DUMMYFUNCTION("""COMPUTED_VALUE"""),18321.0)</f>
        <v>18321</v>
      </c>
      <c r="AF2138" s="14">
        <f>IFERROR(__xludf.DUMMYFUNCTION("""COMPUTED_VALUE"""),37557.0)</f>
        <v>37557</v>
      </c>
    </row>
    <row r="2139">
      <c r="A2139" s="12">
        <v>2138.0</v>
      </c>
      <c r="B2139" s="12" t="s">
        <v>243</v>
      </c>
      <c r="C2139" s="5" t="s">
        <v>75</v>
      </c>
      <c r="D2139" s="11">
        <v>0.487</v>
      </c>
      <c r="E2139" s="11">
        <v>27.0</v>
      </c>
      <c r="F2139" s="8"/>
      <c r="G2139" s="11">
        <v>325.0</v>
      </c>
      <c r="H2139" s="11">
        <v>0.552</v>
      </c>
      <c r="I2139" s="11">
        <v>0.842</v>
      </c>
      <c r="J2139" s="9" t="s">
        <v>66</v>
      </c>
      <c r="K2139" s="14" t="str">
        <f>IFERROR(__xludf.DUMMYFUNCTION("ARRAYFORMULA(VLOOKUP(A2139,IMPORTRANGE(""https://docs.google.com/spreadsheets/d/1BuTWp7qHGjWhqrnf-OmePP568O4A5Am9ttzvVdP67zw/edit#gid=1603210130"", ""TOURISM!$A$2:$F$2692""), {2,3,4,5,6},0))"),"Europe")</f>
        <v>Europe</v>
      </c>
      <c r="L2139" s="14">
        <f>IFERROR(__xludf.DUMMYFUNCTION("""COMPUTED_VALUE"""),1.282E9)</f>
        <v>1282000000</v>
      </c>
      <c r="M2139" s="14" t="str">
        <f>IFERROR(__xludf.DUMMYFUNCTION("""COMPUTED_VALUE"""),"Slovakia-Europe")</f>
        <v>Slovakia-Europe</v>
      </c>
      <c r="N2139" s="14" t="str">
        <f>IFERROR(__xludf.DUMMYFUNCTION("""COMPUTED_VALUE"""),"2005")</f>
        <v>2005</v>
      </c>
      <c r="O2139" s="14">
        <f>IFERROR(__xludf.DUMMYFUNCTION("""COMPUTED_VALUE"""),1.122E9)</f>
        <v>1122000000</v>
      </c>
      <c r="P2139" s="15">
        <f>IFERROR(__xludf.DUMMYFUNCTION("ARRAYFORMULA(VLOOKUP(A2139,IMPORTRANGE(""https://docs.google.com/spreadsheets/d/1BuTWp7qHGjWhqrnf-OmePP568O4A5Am9ttzvVdP67zw/edit#gid=771602874"" ,""HUMAN RESOURCES!$A$2:$M$2692""), {2,3,4,5,6,7,8,9,10,11,12,13},0))"),0.01)</f>
        <v>0.01</v>
      </c>
      <c r="Q2139" s="14">
        <f>IFERROR(__xludf.DUMMYFUNCTION("""COMPUTED_VALUE"""),0.008)</f>
        <v>0.008</v>
      </c>
      <c r="R2139" s="14">
        <f>IFERROR(__xludf.DUMMYFUNCTION("""COMPUTED_VALUE"""),78.0)</f>
        <v>78</v>
      </c>
      <c r="S2139" s="14">
        <f>IFERROR(__xludf.DUMMYFUNCTION("""COMPUTED_VALUE"""),70.0)</f>
        <v>70</v>
      </c>
      <c r="T2139" s="14">
        <f>IFERROR(__xludf.DUMMYFUNCTION("""COMPUTED_VALUE"""),0.168)</f>
        <v>0.168</v>
      </c>
      <c r="U2139" s="14">
        <f>IFERROR(__xludf.DUMMYFUNCTION("""COMPUTED_VALUE"""),0.716)</f>
        <v>0.716</v>
      </c>
      <c r="V2139" s="14">
        <f>IFERROR(__xludf.DUMMYFUNCTION("""COMPUTED_VALUE"""),0.117)</f>
        <v>0.117</v>
      </c>
      <c r="W2139" s="14">
        <f>IFERROR(__xludf.DUMMYFUNCTION("""COMPUTED_VALUE"""),5372807.0)</f>
        <v>5372807</v>
      </c>
      <c r="X2139" s="14">
        <f>IFERROR(__xludf.DUMMYFUNCTION("""COMPUTED_VALUE"""),0.556)</f>
        <v>0.556</v>
      </c>
      <c r="Y2139" s="14" t="str">
        <f>IFERROR(__xludf.DUMMYFUNCTION("""COMPUTED_VALUE"""),"Slovakia-Europe")</f>
        <v>Slovakia-Europe</v>
      </c>
      <c r="Z2139" s="14" t="str">
        <f>IFERROR(__xludf.DUMMYFUNCTION("""COMPUTED_VALUE"""),"Europe")</f>
        <v>Europe</v>
      </c>
      <c r="AA2139" s="14" t="str">
        <f>IFERROR(__xludf.DUMMYFUNCTION("""COMPUTED_VALUE"""),"2005")</f>
        <v>2005</v>
      </c>
      <c r="AB2139" s="15" t="str">
        <f>IFERROR(__xludf.DUMMYFUNCTION("ARRAYFORMULA(VLOOKUP(A2139,IMPORTRANGE(""https://docs.google.com/spreadsheets/d/1BuTWp7qHGjWhqrnf-OmePP568O4A5Am9ttzvVdP67zw/edit#gid=1931367683"" ,""ENERGY!$A$2:$F$2692""), {2,3,4,5,6},0))"),"Europe")</f>
        <v>Europe</v>
      </c>
      <c r="AC2139" s="14" t="str">
        <f>IFERROR(__xludf.DUMMYFUNCTION("""COMPUTED_VALUE"""),"Slovakia-Europe")</f>
        <v>Slovakia-Europe</v>
      </c>
      <c r="AD2139" s="14" t="str">
        <f>IFERROR(__xludf.DUMMYFUNCTION("""COMPUTED_VALUE"""),"2008")</f>
        <v>2008</v>
      </c>
      <c r="AE2139" s="14">
        <f>IFERROR(__xludf.DUMMYFUNCTION("""COMPUTED_VALUE"""),17850.0)</f>
        <v>17850</v>
      </c>
      <c r="AF2139" s="14">
        <f>IFERROR(__xludf.DUMMYFUNCTION("""COMPUTED_VALUE"""),36600.0)</f>
        <v>36600</v>
      </c>
    </row>
    <row r="2140">
      <c r="A2140" s="12">
        <v>2139.0</v>
      </c>
      <c r="B2140" s="12" t="s">
        <v>243</v>
      </c>
      <c r="C2140" s="5" t="s">
        <v>75</v>
      </c>
      <c r="D2140" s="11">
        <v>0.473</v>
      </c>
      <c r="E2140" s="11">
        <v>27.0</v>
      </c>
      <c r="F2140" s="8"/>
      <c r="G2140" s="11">
        <v>325.0</v>
      </c>
      <c r="H2140" s="11">
        <v>0.561</v>
      </c>
      <c r="I2140" s="11">
        <v>0.907</v>
      </c>
      <c r="J2140" s="9" t="s">
        <v>67</v>
      </c>
      <c r="K2140" s="14" t="str">
        <f>IFERROR(__xludf.DUMMYFUNCTION("ARRAYFORMULA(VLOOKUP(A2140,IMPORTRANGE(""https://docs.google.com/spreadsheets/d/1BuTWp7qHGjWhqrnf-OmePP568O4A5Am9ttzvVdP67zw/edit#gid=1603210130"", ""TOURISM!$A$2:$F$2692""), {2,3,4,5,6},0))"),"Europe")</f>
        <v>Europe</v>
      </c>
      <c r="L2140" s="14">
        <f>IFERROR(__xludf.DUMMYFUNCTION("""COMPUTED_VALUE"""),1.655E9)</f>
        <v>1655000000</v>
      </c>
      <c r="M2140" s="14" t="str">
        <f>IFERROR(__xludf.DUMMYFUNCTION("""COMPUTED_VALUE"""),"Slovakia-Europe")</f>
        <v>Slovakia-Europe</v>
      </c>
      <c r="N2140" s="14" t="str">
        <f>IFERROR(__xludf.DUMMYFUNCTION("""COMPUTED_VALUE"""),"2006")</f>
        <v>2006</v>
      </c>
      <c r="O2140" s="14">
        <f>IFERROR(__xludf.DUMMYFUNCTION("""COMPUTED_VALUE"""),1.23E9)</f>
        <v>1230000000</v>
      </c>
      <c r="P2140" s="15">
        <f>IFERROR(__xludf.DUMMYFUNCTION("ARRAYFORMULA(VLOOKUP(A2140,IMPORTRANGE(""https://docs.google.com/spreadsheets/d/1BuTWp7qHGjWhqrnf-OmePP568O4A5Am9ttzvVdP67zw/edit#gid=771602874"" ,""HUMAN RESOURCES!$A$2:$M$2692""), {2,3,4,5,6,7,8,9,10,11,12,13},0))"),0.01)</f>
        <v>0.01</v>
      </c>
      <c r="Q2140" s="14">
        <f>IFERROR(__xludf.DUMMYFUNCTION("""COMPUTED_VALUE"""),0.008)</f>
        <v>0.008</v>
      </c>
      <c r="R2140" s="14">
        <f>IFERROR(__xludf.DUMMYFUNCTION("""COMPUTED_VALUE"""),78.0)</f>
        <v>78</v>
      </c>
      <c r="S2140" s="14">
        <f>IFERROR(__xludf.DUMMYFUNCTION("""COMPUTED_VALUE"""),70.0)</f>
        <v>70</v>
      </c>
      <c r="T2140" s="14">
        <f>IFERROR(__xludf.DUMMYFUNCTION("""COMPUTED_VALUE"""),0.163)</f>
        <v>0.163</v>
      </c>
      <c r="U2140" s="14">
        <f>IFERROR(__xludf.DUMMYFUNCTION("""COMPUTED_VALUE"""),0.719)</f>
        <v>0.719</v>
      </c>
      <c r="V2140" s="14">
        <f>IFERROR(__xludf.DUMMYFUNCTION("""COMPUTED_VALUE"""),0.118)</f>
        <v>0.118</v>
      </c>
      <c r="W2140" s="14">
        <f>IFERROR(__xludf.DUMMYFUNCTION("""COMPUTED_VALUE"""),5373054.0)</f>
        <v>5373054</v>
      </c>
      <c r="X2140" s="14">
        <f>IFERROR(__xludf.DUMMYFUNCTION("""COMPUTED_VALUE"""),0.554)</f>
        <v>0.554</v>
      </c>
      <c r="Y2140" s="14" t="str">
        <f>IFERROR(__xludf.DUMMYFUNCTION("""COMPUTED_VALUE"""),"Slovakia-Europe")</f>
        <v>Slovakia-Europe</v>
      </c>
      <c r="Z2140" s="14" t="str">
        <f>IFERROR(__xludf.DUMMYFUNCTION("""COMPUTED_VALUE"""),"Europe")</f>
        <v>Europe</v>
      </c>
      <c r="AA2140" s="14" t="str">
        <f>IFERROR(__xludf.DUMMYFUNCTION("""COMPUTED_VALUE"""),"2006")</f>
        <v>2006</v>
      </c>
      <c r="AB2140" s="15" t="str">
        <f>IFERROR(__xludf.DUMMYFUNCTION("ARRAYFORMULA(VLOOKUP(A2140,IMPORTRANGE(""https://docs.google.com/spreadsheets/d/1BuTWp7qHGjWhqrnf-OmePP568O4A5Am9ttzvVdP67zw/edit#gid=1931367683"" ,""ENERGY!$A$2:$F$2692""), {2,3,4,5,6},0))"),"Europe")</f>
        <v>Europe</v>
      </c>
      <c r="AC2140" s="14" t="str">
        <f>IFERROR(__xludf.DUMMYFUNCTION("""COMPUTED_VALUE"""),"Slovakia-Europe")</f>
        <v>Slovakia-Europe</v>
      </c>
      <c r="AD2140" s="14" t="str">
        <f>IFERROR(__xludf.DUMMYFUNCTION("""COMPUTED_VALUE"""),"2012")</f>
        <v>2012</v>
      </c>
      <c r="AE2140" s="14">
        <f>IFERROR(__xludf.DUMMYFUNCTION("""COMPUTED_VALUE"""),18640.0)</f>
        <v>18640</v>
      </c>
      <c r="AF2140" s="14">
        <f>IFERROR(__xludf.DUMMYFUNCTION("""COMPUTED_VALUE"""),38929.0)</f>
        <v>38929</v>
      </c>
    </row>
    <row r="2141">
      <c r="A2141" s="12">
        <v>2140.0</v>
      </c>
      <c r="B2141" s="12" t="s">
        <v>243</v>
      </c>
      <c r="C2141" s="5" t="s">
        <v>75</v>
      </c>
      <c r="D2141" s="11">
        <v>0.473</v>
      </c>
      <c r="E2141" s="11">
        <v>27.0</v>
      </c>
      <c r="F2141" s="8"/>
      <c r="G2141" s="11">
        <v>325.0</v>
      </c>
      <c r="H2141" s="11">
        <v>0.618</v>
      </c>
      <c r="I2141" s="11">
        <v>1.123</v>
      </c>
      <c r="J2141" s="9" t="s">
        <v>68</v>
      </c>
      <c r="K2141" s="14" t="str">
        <f>IFERROR(__xludf.DUMMYFUNCTION("ARRAYFORMULA(VLOOKUP(A2141,IMPORTRANGE(""https://docs.google.com/spreadsheets/d/1BuTWp7qHGjWhqrnf-OmePP568O4A5Am9ttzvVdP67zw/edit#gid=1603210130"", ""TOURISM!$A$2:$F$2692""), {2,3,4,5,6},0))"),"Europe")</f>
        <v>Europe</v>
      </c>
      <c r="L2141" s="14">
        <f>IFERROR(__xludf.DUMMYFUNCTION("""COMPUTED_VALUE"""),2.352E9)</f>
        <v>2352000000</v>
      </c>
      <c r="M2141" s="14" t="str">
        <f>IFERROR(__xludf.DUMMYFUNCTION("""COMPUTED_VALUE"""),"Slovakia-Europe")</f>
        <v>Slovakia-Europe</v>
      </c>
      <c r="N2141" s="14" t="str">
        <f>IFERROR(__xludf.DUMMYFUNCTION("""COMPUTED_VALUE"""),"2007")</f>
        <v>2007</v>
      </c>
      <c r="O2141" s="14">
        <f>IFERROR(__xludf.DUMMYFUNCTION("""COMPUTED_VALUE"""),1.825E9)</f>
        <v>1825000000</v>
      </c>
      <c r="P2141" s="15">
        <f>IFERROR(__xludf.DUMMYFUNCTION("ARRAYFORMULA(VLOOKUP(A2141,IMPORTRANGE(""https://docs.google.com/spreadsheets/d/1BuTWp7qHGjWhqrnf-OmePP568O4A5Am9ttzvVdP67zw/edit#gid=771602874"" ,""HUMAN RESOURCES!$A$2:$M$2692""), {2,3,4,5,6,7,8,9,10,11,12,13},0))"),0.01)</f>
        <v>0.01</v>
      </c>
      <c r="Q2141" s="14">
        <f>IFERROR(__xludf.DUMMYFUNCTION("""COMPUTED_VALUE"""),0.008)</f>
        <v>0.008</v>
      </c>
      <c r="R2141" s="14">
        <f>IFERROR(__xludf.DUMMYFUNCTION("""COMPUTED_VALUE"""),78.0)</f>
        <v>78</v>
      </c>
      <c r="S2141" s="14">
        <f>IFERROR(__xludf.DUMMYFUNCTION("""COMPUTED_VALUE"""),71.0)</f>
        <v>71</v>
      </c>
      <c r="T2141" s="14">
        <f>IFERROR(__xludf.DUMMYFUNCTION("""COMPUTED_VALUE"""),0.159)</f>
        <v>0.159</v>
      </c>
      <c r="U2141" s="14">
        <f>IFERROR(__xludf.DUMMYFUNCTION("""COMPUTED_VALUE"""),0.722)</f>
        <v>0.722</v>
      </c>
      <c r="V2141" s="14">
        <f>IFERROR(__xludf.DUMMYFUNCTION("""COMPUTED_VALUE"""),0.119)</f>
        <v>0.119</v>
      </c>
      <c r="W2141" s="14">
        <f>IFERROR(__xludf.DUMMYFUNCTION("""COMPUTED_VALUE"""),5374622.0)</f>
        <v>5374622</v>
      </c>
      <c r="X2141" s="14">
        <f>IFERROR(__xludf.DUMMYFUNCTION("""COMPUTED_VALUE"""),0.553)</f>
        <v>0.553</v>
      </c>
      <c r="Y2141" s="14" t="str">
        <f>IFERROR(__xludf.DUMMYFUNCTION("""COMPUTED_VALUE"""),"Slovakia-Europe")</f>
        <v>Slovakia-Europe</v>
      </c>
      <c r="Z2141" s="14" t="str">
        <f>IFERROR(__xludf.DUMMYFUNCTION("""COMPUTED_VALUE"""),"Europe")</f>
        <v>Europe</v>
      </c>
      <c r="AA2141" s="14" t="str">
        <f>IFERROR(__xludf.DUMMYFUNCTION("""COMPUTED_VALUE"""),"2007")</f>
        <v>2007</v>
      </c>
      <c r="AB2141" s="15" t="str">
        <f>IFERROR(__xludf.DUMMYFUNCTION("ARRAYFORMULA(VLOOKUP(A2141,IMPORTRANGE(""https://docs.google.com/spreadsheets/d/1BuTWp7qHGjWhqrnf-OmePP568O4A5Am9ttzvVdP67zw/edit#gid=1931367683"" ,""ENERGY!$A$2:$F$2692""), {2,3,4,5,6},0))"),"Europe")</f>
        <v>Europe</v>
      </c>
      <c r="AC2141" s="14" t="str">
        <f>IFERROR(__xludf.DUMMYFUNCTION("""COMPUTED_VALUE"""),"Slovakia-Europe")</f>
        <v>Slovakia-Europe</v>
      </c>
      <c r="AD2141" s="14" t="str">
        <f>IFERROR(__xludf.DUMMYFUNCTION("""COMPUTED_VALUE"""),"2010")</f>
        <v>2010</v>
      </c>
      <c r="AE2141" s="14">
        <f>IFERROR(__xludf.DUMMYFUNCTION("""COMPUTED_VALUE"""),18830.0)</f>
        <v>18830</v>
      </c>
      <c r="AF2141" s="14">
        <f>IFERROR(__xludf.DUMMYFUNCTION("""COMPUTED_VALUE"""),39175.0)</f>
        <v>39175</v>
      </c>
    </row>
    <row r="2142">
      <c r="A2142" s="12">
        <v>2141.0</v>
      </c>
      <c r="B2142" s="12" t="s">
        <v>243</v>
      </c>
      <c r="C2142" s="5" t="s">
        <v>75</v>
      </c>
      <c r="D2142" s="11">
        <v>0.465</v>
      </c>
      <c r="E2142" s="11">
        <v>18.0</v>
      </c>
      <c r="F2142" s="8"/>
      <c r="G2142" s="11">
        <v>325.0</v>
      </c>
      <c r="H2142" s="11">
        <v>0.661</v>
      </c>
      <c r="I2142" s="11">
        <v>1.019</v>
      </c>
      <c r="J2142" s="9" t="s">
        <v>69</v>
      </c>
      <c r="K2142" s="14" t="str">
        <f>IFERROR(__xludf.DUMMYFUNCTION("ARRAYFORMULA(VLOOKUP(A2142,IMPORTRANGE(""https://docs.google.com/spreadsheets/d/1BuTWp7qHGjWhqrnf-OmePP568O4A5Am9ttzvVdP67zw/edit#gid=1603210130"", ""TOURISM!$A$2:$F$2692""), {2,3,4,5,6},0))"),"Europe")</f>
        <v>Europe</v>
      </c>
      <c r="L2142" s="14">
        <f>IFERROR(__xludf.DUMMYFUNCTION("""COMPUTED_VALUE"""),3.004E9)</f>
        <v>3004000000</v>
      </c>
      <c r="M2142" s="14" t="str">
        <f>IFERROR(__xludf.DUMMYFUNCTION("""COMPUTED_VALUE"""),"Slovakia-Europe")</f>
        <v>Slovakia-Europe</v>
      </c>
      <c r="N2142" s="14" t="str">
        <f>IFERROR(__xludf.DUMMYFUNCTION("""COMPUTED_VALUE"""),"2008")</f>
        <v>2008</v>
      </c>
      <c r="O2142" s="14">
        <f>IFERROR(__xludf.DUMMYFUNCTION("""COMPUTED_VALUE"""),2.596E9)</f>
        <v>2596000000</v>
      </c>
      <c r="P2142" s="15">
        <f>IFERROR(__xludf.DUMMYFUNCTION("ARRAYFORMULA(VLOOKUP(A2142,IMPORTRANGE(""https://docs.google.com/spreadsheets/d/1BuTWp7qHGjWhqrnf-OmePP568O4A5Am9ttzvVdP67zw/edit#gid=771602874"" ,""HUMAN RESOURCES!$A$2:$M$2692""), {2,3,4,5,6,7,8,9,10,11,12,13},0))"),0.011)</f>
        <v>0.011</v>
      </c>
      <c r="Q2142" s="14">
        <f>IFERROR(__xludf.DUMMYFUNCTION("""COMPUTED_VALUE"""),0.007)</f>
        <v>0.007</v>
      </c>
      <c r="R2142" s="14">
        <f>IFERROR(__xludf.DUMMYFUNCTION("""COMPUTED_VALUE"""),79.0)</f>
        <v>79</v>
      </c>
      <c r="S2142" s="14">
        <f>IFERROR(__xludf.DUMMYFUNCTION("""COMPUTED_VALUE"""),71.0)</f>
        <v>71</v>
      </c>
      <c r="T2142" s="14">
        <f>IFERROR(__xludf.DUMMYFUNCTION("""COMPUTED_VALUE"""),0.156)</f>
        <v>0.156</v>
      </c>
      <c r="U2142" s="14">
        <f>IFERROR(__xludf.DUMMYFUNCTION("""COMPUTED_VALUE"""),0.724)</f>
        <v>0.724</v>
      </c>
      <c r="V2142" s="14">
        <f>IFERROR(__xludf.DUMMYFUNCTION("""COMPUTED_VALUE"""),0.12)</f>
        <v>0.12</v>
      </c>
      <c r="W2142" s="14">
        <f>IFERROR(__xludf.DUMMYFUNCTION("""COMPUTED_VALUE"""),5379233.0)</f>
        <v>5379233</v>
      </c>
      <c r="X2142" s="14">
        <f>IFERROR(__xludf.DUMMYFUNCTION("""COMPUTED_VALUE"""),0.551)</f>
        <v>0.551</v>
      </c>
      <c r="Y2142" s="14" t="str">
        <f>IFERROR(__xludf.DUMMYFUNCTION("""COMPUTED_VALUE"""),"Slovakia-Europe")</f>
        <v>Slovakia-Europe</v>
      </c>
      <c r="Z2142" s="14" t="str">
        <f>IFERROR(__xludf.DUMMYFUNCTION("""COMPUTED_VALUE"""),"Europe")</f>
        <v>Europe</v>
      </c>
      <c r="AA2142" s="14" t="str">
        <f>IFERROR(__xludf.DUMMYFUNCTION("""COMPUTED_VALUE"""),"2008")</f>
        <v>2008</v>
      </c>
      <c r="AB2142" s="15" t="str">
        <f>IFERROR(__xludf.DUMMYFUNCTION("ARRAYFORMULA(VLOOKUP(A2142,IMPORTRANGE(""https://docs.google.com/spreadsheets/d/1BuTWp7qHGjWhqrnf-OmePP568O4A5Am9ttzvVdP67zw/edit#gid=1931367683"" ,""ENERGY!$A$2:$F$2692""), {2,3,4,5,6},0))"),"Europe")</f>
        <v>Europe</v>
      </c>
      <c r="AC2142" s="14" t="str">
        <f>IFERROR(__xludf.DUMMYFUNCTION("""COMPUTED_VALUE"""),"Slovakia-Europe")</f>
        <v>Slovakia-Europe</v>
      </c>
      <c r="AD2142" s="14" t="str">
        <f>IFERROR(__xludf.DUMMYFUNCTION("""COMPUTED_VALUE"""),"2007")</f>
        <v>2007</v>
      </c>
      <c r="AE2142" s="14">
        <f>IFERROR(__xludf.DUMMYFUNCTION("""COMPUTED_VALUE"""),18353.0)</f>
        <v>18353</v>
      </c>
      <c r="AF2142" s="14">
        <f>IFERROR(__xludf.DUMMYFUNCTION("""COMPUTED_VALUE"""),38749.0)</f>
        <v>38749</v>
      </c>
    </row>
    <row r="2143">
      <c r="A2143" s="12">
        <v>2142.0</v>
      </c>
      <c r="B2143" s="12" t="s">
        <v>243</v>
      </c>
      <c r="C2143" s="5" t="s">
        <v>75</v>
      </c>
      <c r="D2143" s="11">
        <v>0.475</v>
      </c>
      <c r="E2143" s="11">
        <v>18.0</v>
      </c>
      <c r="F2143" s="8"/>
      <c r="G2143" s="11">
        <v>257.0</v>
      </c>
      <c r="H2143" s="11">
        <v>0.7</v>
      </c>
      <c r="I2143" s="11">
        <v>1.013</v>
      </c>
      <c r="J2143" s="9" t="s">
        <v>70</v>
      </c>
      <c r="K2143" s="14" t="str">
        <f>IFERROR(__xludf.DUMMYFUNCTION("ARRAYFORMULA(VLOOKUP(A2143,IMPORTRANGE(""https://docs.google.com/spreadsheets/d/1BuTWp7qHGjWhqrnf-OmePP568O4A5Am9ttzvVdP67zw/edit#gid=1603210130"", ""TOURISM!$A$2:$F$2692""), {2,3,4,5,6},0))"),"Europe")</f>
        <v>Europe</v>
      </c>
      <c r="L2143" s="14">
        <f>IFERROR(__xludf.DUMMYFUNCTION("""COMPUTED_VALUE"""),2.539E9)</f>
        <v>2539000000</v>
      </c>
      <c r="M2143" s="14" t="str">
        <f>IFERROR(__xludf.DUMMYFUNCTION("""COMPUTED_VALUE"""),"Slovakia-Europe")</f>
        <v>Slovakia-Europe</v>
      </c>
      <c r="N2143" s="14" t="str">
        <f>IFERROR(__xludf.DUMMYFUNCTION("""COMPUTED_VALUE"""),"2009")</f>
        <v>2009</v>
      </c>
      <c r="O2143" s="14">
        <f>IFERROR(__xludf.DUMMYFUNCTION("""COMPUTED_VALUE"""),2.249E9)</f>
        <v>2249000000</v>
      </c>
      <c r="P2143" s="15">
        <f>IFERROR(__xludf.DUMMYFUNCTION("ARRAYFORMULA(VLOOKUP(A2143,IMPORTRANGE(""https://docs.google.com/spreadsheets/d/1BuTWp7qHGjWhqrnf-OmePP568O4A5Am9ttzvVdP67zw/edit#gid=771602874"" ,""HUMAN RESOURCES!$A$2:$M$2692""), {2,3,4,5,6,7,8,9,10,11,12,13},0))"),0.011)</f>
        <v>0.011</v>
      </c>
      <c r="Q2143" s="14">
        <f>IFERROR(__xludf.DUMMYFUNCTION("""COMPUTED_VALUE"""),0.007)</f>
        <v>0.007</v>
      </c>
      <c r="R2143" s="14">
        <f>IFERROR(__xludf.DUMMYFUNCTION("""COMPUTED_VALUE"""),79.0)</f>
        <v>79</v>
      </c>
      <c r="S2143" s="14">
        <f>IFERROR(__xludf.DUMMYFUNCTION("""COMPUTED_VALUE"""),71.0)</f>
        <v>71</v>
      </c>
      <c r="T2143" s="14">
        <f>IFERROR(__xludf.DUMMYFUNCTION("""COMPUTED_VALUE"""),0.153)</f>
        <v>0.153</v>
      </c>
      <c r="U2143" s="14">
        <f>IFERROR(__xludf.DUMMYFUNCTION("""COMPUTED_VALUE"""),0.726)</f>
        <v>0.726</v>
      </c>
      <c r="V2143" s="14">
        <f>IFERROR(__xludf.DUMMYFUNCTION("""COMPUTED_VALUE"""),0.121)</f>
        <v>0.121</v>
      </c>
      <c r="W2143" s="14">
        <f>IFERROR(__xludf.DUMMYFUNCTION("""COMPUTED_VALUE"""),5386406.0)</f>
        <v>5386406</v>
      </c>
      <c r="X2143" s="14">
        <f>IFERROR(__xludf.DUMMYFUNCTION("""COMPUTED_VALUE"""),0.55)</f>
        <v>0.55</v>
      </c>
      <c r="Y2143" s="14" t="str">
        <f>IFERROR(__xludf.DUMMYFUNCTION("""COMPUTED_VALUE"""),"Slovakia-Europe")</f>
        <v>Slovakia-Europe</v>
      </c>
      <c r="Z2143" s="14" t="str">
        <f>IFERROR(__xludf.DUMMYFUNCTION("""COMPUTED_VALUE"""),"Europe")</f>
        <v>Europe</v>
      </c>
      <c r="AA2143" s="14" t="str">
        <f>IFERROR(__xludf.DUMMYFUNCTION("""COMPUTED_VALUE"""),"2009")</f>
        <v>2009</v>
      </c>
      <c r="AB2143" s="15" t="str">
        <f>IFERROR(__xludf.DUMMYFUNCTION("ARRAYFORMULA(VLOOKUP(A2143,IMPORTRANGE(""https://docs.google.com/spreadsheets/d/1BuTWp7qHGjWhqrnf-OmePP568O4A5Am9ttzvVdP67zw/edit#gid=1931367683"" ,""ENERGY!$A$2:$F$2692""), {2,3,4,5,6},0))"),"Europe")</f>
        <v>Europe</v>
      </c>
      <c r="AC2143" s="14" t="str">
        <f>IFERROR(__xludf.DUMMYFUNCTION("""COMPUTED_VALUE"""),"Slovakia-Europe")</f>
        <v>Slovakia-Europe</v>
      </c>
      <c r="AD2143" s="14" t="str">
        <f>IFERROR(__xludf.DUMMYFUNCTION("""COMPUTED_VALUE"""),"2011")</f>
        <v>2011</v>
      </c>
      <c r="AE2143" s="14">
        <f>IFERROR(__xludf.DUMMYFUNCTION("""COMPUTED_VALUE"""),18639.0)</f>
        <v>18639</v>
      </c>
      <c r="AF2143" s="14">
        <f>IFERROR(__xludf.DUMMYFUNCTION("""COMPUTED_VALUE"""),39494.0)</f>
        <v>39494</v>
      </c>
    </row>
    <row r="2144">
      <c r="A2144" s="12">
        <v>2143.0</v>
      </c>
      <c r="B2144" s="12" t="s">
        <v>243</v>
      </c>
      <c r="C2144" s="5" t="s">
        <v>75</v>
      </c>
      <c r="D2144" s="11">
        <v>0.474</v>
      </c>
      <c r="E2144" s="11">
        <v>18.0</v>
      </c>
      <c r="F2144" s="8"/>
      <c r="G2144" s="11">
        <v>257.0</v>
      </c>
      <c r="H2144" s="11">
        <v>0.757</v>
      </c>
      <c r="I2144" s="11">
        <v>1.09</v>
      </c>
      <c r="J2144" s="9" t="s">
        <v>71</v>
      </c>
      <c r="K2144" s="14" t="str">
        <f>IFERROR(__xludf.DUMMYFUNCTION("ARRAYFORMULA(VLOOKUP(A2144,IMPORTRANGE(""https://docs.google.com/spreadsheets/d/1BuTWp7qHGjWhqrnf-OmePP568O4A5Am9ttzvVdP67zw/edit#gid=1603210130"", ""TOURISM!$A$2:$F$2692""), {2,3,4,5,6},0))"),"Europe")</f>
        <v>Europe</v>
      </c>
      <c r="L2144" s="14">
        <f>IFERROR(__xludf.DUMMYFUNCTION("""COMPUTED_VALUE"""),2.335E9)</f>
        <v>2335000000</v>
      </c>
      <c r="M2144" s="14" t="str">
        <f>IFERROR(__xludf.DUMMYFUNCTION("""COMPUTED_VALUE"""),"Slovakia-Europe")</f>
        <v>Slovakia-Europe</v>
      </c>
      <c r="N2144" s="14" t="str">
        <f>IFERROR(__xludf.DUMMYFUNCTION("""COMPUTED_VALUE"""),"2010")</f>
        <v>2010</v>
      </c>
      <c r="O2144" s="14">
        <f>IFERROR(__xludf.DUMMYFUNCTION("""COMPUTED_VALUE"""),2.146E9)</f>
        <v>2146000000</v>
      </c>
      <c r="P2144" s="15">
        <f>IFERROR(__xludf.DUMMYFUNCTION("ARRAYFORMULA(VLOOKUP(A2144,IMPORTRANGE(""https://docs.google.com/spreadsheets/d/1BuTWp7qHGjWhqrnf-OmePP568O4A5Am9ttzvVdP67zw/edit#gid=771602874"" ,""HUMAN RESOURCES!$A$2:$M$2692""), {2,3,4,5,6,7,8,9,10,11,12,13},0))"),0.011)</f>
        <v>0.011</v>
      </c>
      <c r="Q2144" s="14">
        <f>IFERROR(__xludf.DUMMYFUNCTION("""COMPUTED_VALUE"""),0.007)</f>
        <v>0.007</v>
      </c>
      <c r="R2144" s="14">
        <f>IFERROR(__xludf.DUMMYFUNCTION("""COMPUTED_VALUE"""),79.0)</f>
        <v>79</v>
      </c>
      <c r="S2144" s="14">
        <f>IFERROR(__xludf.DUMMYFUNCTION("""COMPUTED_VALUE"""),72.0)</f>
        <v>72</v>
      </c>
      <c r="T2144" s="14">
        <f>IFERROR(__xludf.DUMMYFUNCTION("""COMPUTED_VALUE"""),0.151)</f>
        <v>0.151</v>
      </c>
      <c r="U2144" s="14">
        <f>IFERROR(__xludf.DUMMYFUNCTION("""COMPUTED_VALUE"""),0.726)</f>
        <v>0.726</v>
      </c>
      <c r="V2144" s="14">
        <f>IFERROR(__xludf.DUMMYFUNCTION("""COMPUTED_VALUE"""),0.123)</f>
        <v>0.123</v>
      </c>
      <c r="W2144" s="14">
        <f>IFERROR(__xludf.DUMMYFUNCTION("""COMPUTED_VALUE"""),5391428.0)</f>
        <v>5391428</v>
      </c>
      <c r="X2144" s="14">
        <f>IFERROR(__xludf.DUMMYFUNCTION("""COMPUTED_VALUE"""),0.547)</f>
        <v>0.547</v>
      </c>
      <c r="Y2144" s="14" t="str">
        <f>IFERROR(__xludf.DUMMYFUNCTION("""COMPUTED_VALUE"""),"Slovakia-Europe")</f>
        <v>Slovakia-Europe</v>
      </c>
      <c r="Z2144" s="14" t="str">
        <f>IFERROR(__xludf.DUMMYFUNCTION("""COMPUTED_VALUE"""),"Europe")</f>
        <v>Europe</v>
      </c>
      <c r="AA2144" s="14" t="str">
        <f>IFERROR(__xludf.DUMMYFUNCTION("""COMPUTED_VALUE"""),"2010")</f>
        <v>2010</v>
      </c>
      <c r="AB2144" s="15" t="str">
        <f>IFERROR(__xludf.DUMMYFUNCTION("ARRAYFORMULA(VLOOKUP(A2144,IMPORTRANGE(""https://docs.google.com/spreadsheets/d/1BuTWp7qHGjWhqrnf-OmePP568O4A5Am9ttzvVdP67zw/edit#gid=1931367683"" ,""ENERGY!$A$2:$F$2692""), {2,3,4,5,6},0))"),"Europe")</f>
        <v>Europe</v>
      </c>
      <c r="AC2144" s="14" t="str">
        <f>IFERROR(__xludf.DUMMYFUNCTION("""COMPUTED_VALUE"""),"Slovakia-Europe")</f>
        <v>Slovakia-Europe</v>
      </c>
      <c r="AD2144" s="14" t="str">
        <f>IFERROR(__xludf.DUMMYFUNCTION("""COMPUTED_VALUE"""),"2008")</f>
        <v>2008</v>
      </c>
      <c r="AE2144" s="14">
        <f>IFERROR(__xludf.DUMMYFUNCTION("""COMPUTED_VALUE"""),18733.0)</f>
        <v>18733</v>
      </c>
      <c r="AF2144" s="14">
        <f>IFERROR(__xludf.DUMMYFUNCTION("""COMPUTED_VALUE"""),39252.0)</f>
        <v>39252</v>
      </c>
    </row>
    <row r="2145">
      <c r="A2145" s="12">
        <v>2144.0</v>
      </c>
      <c r="B2145" s="12" t="s">
        <v>243</v>
      </c>
      <c r="C2145" s="5" t="s">
        <v>75</v>
      </c>
      <c r="D2145" s="11">
        <v>0.476</v>
      </c>
      <c r="E2145" s="11">
        <v>18.0</v>
      </c>
      <c r="F2145" s="8"/>
      <c r="G2145" s="11">
        <v>231.0</v>
      </c>
      <c r="H2145" s="11">
        <v>0.744</v>
      </c>
      <c r="I2145" s="11">
        <v>1.1</v>
      </c>
      <c r="J2145" s="9" t="s">
        <v>72</v>
      </c>
      <c r="K2145" s="14" t="str">
        <f>IFERROR(__xludf.DUMMYFUNCTION("ARRAYFORMULA(VLOOKUP(A2145,IMPORTRANGE(""https://docs.google.com/spreadsheets/d/1BuTWp7qHGjWhqrnf-OmePP568O4A5Am9ttzvVdP67zw/edit#gid=1603210130"", ""TOURISM!$A$2:$F$2692""), {2,3,4,5,6},0))"),"Europe")</f>
        <v>Europe</v>
      </c>
      <c r="L2145" s="14">
        <f>IFERROR(__xludf.DUMMYFUNCTION("""COMPUTED_VALUE"""),2.514E9)</f>
        <v>2514000000</v>
      </c>
      <c r="M2145" s="14" t="str">
        <f>IFERROR(__xludf.DUMMYFUNCTION("""COMPUTED_VALUE"""),"Slovakia-Europe")</f>
        <v>Slovakia-Europe</v>
      </c>
      <c r="N2145" s="14" t="str">
        <f>IFERROR(__xludf.DUMMYFUNCTION("""COMPUTED_VALUE"""),"2011")</f>
        <v>2011</v>
      </c>
      <c r="O2145" s="14">
        <f>IFERROR(__xludf.DUMMYFUNCTION("""COMPUTED_VALUE"""),2.449E9)</f>
        <v>2449000000</v>
      </c>
      <c r="P2145" s="15">
        <f>IFERROR(__xludf.DUMMYFUNCTION("ARRAYFORMULA(VLOOKUP(A2145,IMPORTRANGE(""https://docs.google.com/spreadsheets/d/1BuTWp7qHGjWhqrnf-OmePP568O4A5Am9ttzvVdP67zw/edit#gid=771602874"" ,""HUMAN RESOURCES!$A$2:$M$2692""), {2,3,4,5,6,7,8,9,10,11,12,13},0))"),0.011)</f>
        <v>0.011</v>
      </c>
      <c r="Q2145" s="14">
        <f>IFERROR(__xludf.DUMMYFUNCTION("""COMPUTED_VALUE"""),0.007)</f>
        <v>0.007</v>
      </c>
      <c r="R2145" s="14">
        <f>IFERROR(__xludf.DUMMYFUNCTION("""COMPUTED_VALUE"""),80.0)</f>
        <v>80</v>
      </c>
      <c r="S2145" s="14">
        <f>IFERROR(__xludf.DUMMYFUNCTION("""COMPUTED_VALUE"""),72.0)</f>
        <v>72</v>
      </c>
      <c r="T2145" s="14">
        <f>IFERROR(__xludf.DUMMYFUNCTION("""COMPUTED_VALUE"""),0.15)</f>
        <v>0.15</v>
      </c>
      <c r="U2145" s="14">
        <f>IFERROR(__xludf.DUMMYFUNCTION("""COMPUTED_VALUE"""),0.725)</f>
        <v>0.725</v>
      </c>
      <c r="V2145" s="14">
        <f>IFERROR(__xludf.DUMMYFUNCTION("""COMPUTED_VALUE"""),0.125)</f>
        <v>0.125</v>
      </c>
      <c r="W2145" s="14">
        <f>IFERROR(__xludf.DUMMYFUNCTION("""COMPUTED_VALUE"""),5398384.0)</f>
        <v>5398384</v>
      </c>
      <c r="X2145" s="14">
        <f>IFERROR(__xludf.DUMMYFUNCTION("""COMPUTED_VALUE"""),0.544)</f>
        <v>0.544</v>
      </c>
      <c r="Y2145" s="14" t="str">
        <f>IFERROR(__xludf.DUMMYFUNCTION("""COMPUTED_VALUE"""),"Slovakia-Europe")</f>
        <v>Slovakia-Europe</v>
      </c>
      <c r="Z2145" s="14" t="str">
        <f>IFERROR(__xludf.DUMMYFUNCTION("""COMPUTED_VALUE"""),"Europe")</f>
        <v>Europe</v>
      </c>
      <c r="AA2145" s="14" t="str">
        <f>IFERROR(__xludf.DUMMYFUNCTION("""COMPUTED_VALUE"""),"2011")</f>
        <v>2011</v>
      </c>
      <c r="AB2145" s="15" t="str">
        <f>IFERROR(__xludf.DUMMYFUNCTION("ARRAYFORMULA(VLOOKUP(A2145,IMPORTRANGE(""https://docs.google.com/spreadsheets/d/1BuTWp7qHGjWhqrnf-OmePP568O4A5Am9ttzvVdP67zw/edit#gid=1931367683"" ,""ENERGY!$A$2:$F$2692""), {2,3,4,5,6},0))"),"Europe")</f>
        <v>Europe</v>
      </c>
      <c r="AC2145" s="14" t="str">
        <f>IFERROR(__xludf.DUMMYFUNCTION("""COMPUTED_VALUE"""),"Slovakia-Europe")</f>
        <v>Slovakia-Europe</v>
      </c>
      <c r="AD2145" s="14" t="str">
        <f>IFERROR(__xludf.DUMMYFUNCTION("""COMPUTED_VALUE"""),"2007")</f>
        <v>2007</v>
      </c>
      <c r="AE2145" s="14">
        <f>IFERROR(__xludf.DUMMYFUNCTION("""COMPUTED_VALUE"""),18593.0)</f>
        <v>18593</v>
      </c>
      <c r="AF2145" s="14">
        <f>IFERROR(__xludf.DUMMYFUNCTION("""COMPUTED_VALUE"""),39358.0)</f>
        <v>39358</v>
      </c>
    </row>
    <row r="2146">
      <c r="A2146" s="12">
        <v>2145.0</v>
      </c>
      <c r="B2146" s="12" t="s">
        <v>243</v>
      </c>
      <c r="C2146" s="5" t="s">
        <v>75</v>
      </c>
      <c r="D2146" s="11">
        <v>0.471</v>
      </c>
      <c r="E2146" s="11">
        <v>14.0</v>
      </c>
      <c r="F2146" s="11">
        <v>43.0</v>
      </c>
      <c r="G2146" s="11">
        <v>207.0</v>
      </c>
      <c r="H2146" s="11">
        <v>0.767</v>
      </c>
      <c r="I2146" s="11">
        <v>1.119</v>
      </c>
      <c r="J2146" s="9" t="s">
        <v>73</v>
      </c>
      <c r="K2146" s="14" t="str">
        <f>IFERROR(__xludf.DUMMYFUNCTION("ARRAYFORMULA(VLOOKUP(A2146,IMPORTRANGE(""https://docs.google.com/spreadsheets/d/1BuTWp7qHGjWhqrnf-OmePP568O4A5Am9ttzvVdP67zw/edit#gid=1603210130"", ""TOURISM!$A$2:$F$2692""), {2,3,4,5,6},0))"),"Europe")</f>
        <v>Europe</v>
      </c>
      <c r="L2146" s="14">
        <f>IFERROR(__xludf.DUMMYFUNCTION("""COMPUTED_VALUE"""),2.365E9)</f>
        <v>2365000000</v>
      </c>
      <c r="M2146" s="14" t="str">
        <f>IFERROR(__xludf.DUMMYFUNCTION("""COMPUTED_VALUE"""),"Slovakia-Europe")</f>
        <v>Slovakia-Europe</v>
      </c>
      <c r="N2146" s="14" t="str">
        <f>IFERROR(__xludf.DUMMYFUNCTION("""COMPUTED_VALUE"""),"2012")</f>
        <v>2012</v>
      </c>
      <c r="O2146" s="14">
        <f>IFERROR(__xludf.DUMMYFUNCTION("""COMPUTED_VALUE"""),2.307E9)</f>
        <v>2307000000</v>
      </c>
      <c r="P2146" s="15">
        <f>IFERROR(__xludf.DUMMYFUNCTION("ARRAYFORMULA(VLOOKUP(A2146,IMPORTRANGE(""https://docs.google.com/spreadsheets/d/1BuTWp7qHGjWhqrnf-OmePP568O4A5Am9ttzvVdP67zw/edit#gid=771602874"" ,""HUMAN RESOURCES!$A$2:$M$2692""), {2,3,4,5,6,7,8,9,10,11,12,13},0))"),0.01)</f>
        <v>0.01</v>
      </c>
      <c r="Q2146" s="14">
        <f>IFERROR(__xludf.DUMMYFUNCTION("""COMPUTED_VALUE"""),0.006)</f>
        <v>0.006</v>
      </c>
      <c r="R2146" s="14">
        <f>IFERROR(__xludf.DUMMYFUNCTION("""COMPUTED_VALUE"""),80.0)</f>
        <v>80</v>
      </c>
      <c r="S2146" s="14">
        <f>IFERROR(__xludf.DUMMYFUNCTION("""COMPUTED_VALUE"""),73.0)</f>
        <v>73</v>
      </c>
      <c r="T2146" s="14">
        <f>IFERROR(__xludf.DUMMYFUNCTION("""COMPUTED_VALUE"""),0.15)</f>
        <v>0.15</v>
      </c>
      <c r="U2146" s="14">
        <f>IFERROR(__xludf.DUMMYFUNCTION("""COMPUTED_VALUE"""),0.723)</f>
        <v>0.723</v>
      </c>
      <c r="V2146" s="14">
        <f>IFERROR(__xludf.DUMMYFUNCTION("""COMPUTED_VALUE"""),0.127)</f>
        <v>0.127</v>
      </c>
      <c r="W2146" s="14">
        <f>IFERROR(__xludf.DUMMYFUNCTION("""COMPUTED_VALUE"""),5407579.0)</f>
        <v>5407579</v>
      </c>
      <c r="X2146" s="14">
        <f>IFERROR(__xludf.DUMMYFUNCTION("""COMPUTED_VALUE"""),0.542)</f>
        <v>0.542</v>
      </c>
      <c r="Y2146" s="14" t="str">
        <f>IFERROR(__xludf.DUMMYFUNCTION("""COMPUTED_VALUE"""),"Slovakia-Europe")</f>
        <v>Slovakia-Europe</v>
      </c>
      <c r="Z2146" s="14" t="str">
        <f>IFERROR(__xludf.DUMMYFUNCTION("""COMPUTED_VALUE"""),"Europe")</f>
        <v>Europe</v>
      </c>
      <c r="AA2146" s="14" t="str">
        <f>IFERROR(__xludf.DUMMYFUNCTION("""COMPUTED_VALUE"""),"2012")</f>
        <v>2012</v>
      </c>
      <c r="AB2146" s="15" t="str">
        <f>IFERROR(__xludf.DUMMYFUNCTION("ARRAYFORMULA(VLOOKUP(A2146,IMPORTRANGE(""https://docs.google.com/spreadsheets/d/1BuTWp7qHGjWhqrnf-OmePP568O4A5Am9ttzvVdP67zw/edit#gid=1931367683"" ,""ENERGY!$A$2:$F$2692""), {2,3,4,5,6},0))"),"Europe")</f>
        <v>Europe</v>
      </c>
      <c r="AC2146" s="14" t="str">
        <f>IFERROR(__xludf.DUMMYFUNCTION("""COMPUTED_VALUE"""),"Slovakia-Europe")</f>
        <v>Slovakia-Europe</v>
      </c>
      <c r="AD2146" s="14" t="str">
        <f>IFERROR(__xludf.DUMMYFUNCTION("""COMPUTED_VALUE"""),"2012")</f>
        <v>2012</v>
      </c>
      <c r="AE2146" s="14">
        <f>IFERROR(__xludf.DUMMYFUNCTION("""COMPUTED_VALUE"""),17743.0)</f>
        <v>17743</v>
      </c>
      <c r="AF2146" s="14">
        <f>IFERROR(__xludf.DUMMYFUNCTION("""COMPUTED_VALUE"""),37312.0)</f>
        <v>37312</v>
      </c>
    </row>
    <row r="2147">
      <c r="A2147" s="12">
        <v>2146.0</v>
      </c>
      <c r="B2147" s="12" t="s">
        <v>244</v>
      </c>
      <c r="C2147" s="5" t="s">
        <v>75</v>
      </c>
      <c r="D2147" s="8"/>
      <c r="E2147" s="8"/>
      <c r="F2147" s="8"/>
      <c r="G2147" s="8"/>
      <c r="H2147" s="11">
        <v>0.151</v>
      </c>
      <c r="I2147" s="11">
        <v>0.611</v>
      </c>
      <c r="J2147" s="9" t="s">
        <v>60</v>
      </c>
      <c r="K2147" s="14" t="str">
        <f>IFERROR(__xludf.DUMMYFUNCTION("ARRAYFORMULA(VLOOKUP(A2147,IMPORTRANGE(""https://docs.google.com/spreadsheets/d/1BuTWp7qHGjWhqrnf-OmePP568O4A5Am9ttzvVdP67zw/edit#gid=1603210130"", ""TOURISM!$A$2:$F$2692""), {2,3,4,5,6},0))"),"Europe")</f>
        <v>Europe</v>
      </c>
      <c r="L2147" s="14">
        <f>IFERROR(__xludf.DUMMYFUNCTION("""COMPUTED_VALUE"""),1.016E9)</f>
        <v>1016000000</v>
      </c>
      <c r="M2147" s="14" t="str">
        <f>IFERROR(__xludf.DUMMYFUNCTION("""COMPUTED_VALUE"""),"Slovenia-Europe")</f>
        <v>Slovenia-Europe</v>
      </c>
      <c r="N2147" s="14" t="str">
        <f>IFERROR(__xludf.DUMMYFUNCTION("""COMPUTED_VALUE"""),"2000")</f>
        <v>2000</v>
      </c>
      <c r="O2147" s="14">
        <f>IFERROR(__xludf.DUMMYFUNCTION("""COMPUTED_VALUE"""),5.44E8)</f>
        <v>544000000</v>
      </c>
      <c r="P2147" s="15">
        <f>IFERROR(__xludf.DUMMYFUNCTION("ARRAYFORMULA(VLOOKUP(A2147,IMPORTRANGE(""https://docs.google.com/spreadsheets/d/1BuTWp7qHGjWhqrnf-OmePP568O4A5Am9ttzvVdP67zw/edit#gid=771602874"" ,""HUMAN RESOURCES!$A$2:$M$2692""), {2,3,4,5,6,7,8,9,10,11,12,13},0))"),0.009)</f>
        <v>0.009</v>
      </c>
      <c r="Q2147" s="14">
        <f>IFERROR(__xludf.DUMMYFUNCTION("""COMPUTED_VALUE"""),0.005)</f>
        <v>0.005</v>
      </c>
      <c r="R2147" s="14">
        <f>IFERROR(__xludf.DUMMYFUNCTION("""COMPUTED_VALUE"""),79.0)</f>
        <v>79</v>
      </c>
      <c r="S2147" s="14">
        <f>IFERROR(__xludf.DUMMYFUNCTION("""COMPUTED_VALUE"""),72.0)</f>
        <v>72</v>
      </c>
      <c r="T2147" s="14">
        <f>IFERROR(__xludf.DUMMYFUNCTION("""COMPUTED_VALUE"""),0.159)</f>
        <v>0.159</v>
      </c>
      <c r="U2147" s="14">
        <f>IFERROR(__xludf.DUMMYFUNCTION("""COMPUTED_VALUE"""),0.7)</f>
        <v>0.7</v>
      </c>
      <c r="V2147" s="14">
        <f>IFERROR(__xludf.DUMMYFUNCTION("""COMPUTED_VALUE"""),0.141)</f>
        <v>0.141</v>
      </c>
      <c r="W2147" s="14">
        <f>IFERROR(__xludf.DUMMYFUNCTION("""COMPUTED_VALUE"""),1988925.0)</f>
        <v>1988925</v>
      </c>
      <c r="X2147" s="14">
        <f>IFERROR(__xludf.DUMMYFUNCTION("""COMPUTED_VALUE"""),0.508)</f>
        <v>0.508</v>
      </c>
      <c r="Y2147" s="14" t="str">
        <f>IFERROR(__xludf.DUMMYFUNCTION("""COMPUTED_VALUE"""),"Slovenia-Europe")</f>
        <v>Slovenia-Europe</v>
      </c>
      <c r="Z2147" s="14" t="str">
        <f>IFERROR(__xludf.DUMMYFUNCTION("""COMPUTED_VALUE"""),"Europe")</f>
        <v>Europe</v>
      </c>
      <c r="AA2147" s="14" t="str">
        <f>IFERROR(__xludf.DUMMYFUNCTION("""COMPUTED_VALUE"""),"2000")</f>
        <v>2000</v>
      </c>
      <c r="AB2147" s="15" t="str">
        <f>IFERROR(__xludf.DUMMYFUNCTION("ARRAYFORMULA(VLOOKUP(A2147,IMPORTRANGE(""https://docs.google.com/spreadsheets/d/1BuTWp7qHGjWhqrnf-OmePP568O4A5Am9ttzvVdP67zw/edit#gid=1931367683"" ,""ENERGY!$A$2:$F$2692""), {2,3,4,5,6},0))"),"Europe")</f>
        <v>Europe</v>
      </c>
      <c r="AC2147" s="14" t="str">
        <f>IFERROR(__xludf.DUMMYFUNCTION("""COMPUTED_VALUE"""),"Slovenia-Europe")</f>
        <v>Slovenia-Europe</v>
      </c>
      <c r="AD2147" s="14" t="str">
        <f>IFERROR(__xludf.DUMMYFUNCTION("""COMPUTED_VALUE"""),"2000")</f>
        <v>2000</v>
      </c>
      <c r="AE2147" s="14">
        <f>IFERROR(__xludf.DUMMYFUNCTION("""COMPUTED_VALUE"""),7143.0)</f>
        <v>7143</v>
      </c>
      <c r="AF2147" s="14"/>
    </row>
    <row r="2148">
      <c r="A2148" s="12">
        <v>2147.0</v>
      </c>
      <c r="B2148" s="12" t="s">
        <v>244</v>
      </c>
      <c r="C2148" s="5" t="s">
        <v>75</v>
      </c>
      <c r="D2148" s="8"/>
      <c r="E2148" s="8"/>
      <c r="F2148" s="8"/>
      <c r="G2148" s="8"/>
      <c r="H2148" s="11">
        <v>0.302</v>
      </c>
      <c r="I2148" s="11">
        <v>0.739</v>
      </c>
      <c r="J2148" s="9" t="s">
        <v>62</v>
      </c>
      <c r="K2148" s="14" t="str">
        <f>IFERROR(__xludf.DUMMYFUNCTION("ARRAYFORMULA(VLOOKUP(A2148,IMPORTRANGE(""https://docs.google.com/spreadsheets/d/1BuTWp7qHGjWhqrnf-OmePP568O4A5Am9ttzvVdP67zw/edit#gid=1603210130"", ""TOURISM!$A$2:$F$2692""), {2,3,4,5,6},0))"),"Europe")</f>
        <v>Europe</v>
      </c>
      <c r="L2148" s="14">
        <f>IFERROR(__xludf.DUMMYFUNCTION("""COMPUTED_VALUE"""),1.059E9)</f>
        <v>1059000000</v>
      </c>
      <c r="M2148" s="14" t="str">
        <f>IFERROR(__xludf.DUMMYFUNCTION("""COMPUTED_VALUE"""),"Slovenia-Europe")</f>
        <v>Slovenia-Europe</v>
      </c>
      <c r="N2148" s="14" t="str">
        <f>IFERROR(__xludf.DUMMYFUNCTION("""COMPUTED_VALUE"""),"2001")</f>
        <v>2001</v>
      </c>
      <c r="O2148" s="14">
        <f>IFERROR(__xludf.DUMMYFUNCTION("""COMPUTED_VALUE"""),5.6E8)</f>
        <v>560000000</v>
      </c>
      <c r="P2148" s="15">
        <f>IFERROR(__xludf.DUMMYFUNCTION("ARRAYFORMULA(VLOOKUP(A2148,IMPORTRANGE(""https://docs.google.com/spreadsheets/d/1BuTWp7qHGjWhqrnf-OmePP568O4A5Am9ttzvVdP67zw/edit#gid=771602874"" ,""HUMAN RESOURCES!$A$2:$M$2692""), {2,3,4,5,6,7,8,9,10,11,12,13},0))"),0.009)</f>
        <v>0.009</v>
      </c>
      <c r="Q2148" s="14">
        <f>IFERROR(__xludf.DUMMYFUNCTION("""COMPUTED_VALUE"""),0.004)</f>
        <v>0.004</v>
      </c>
      <c r="R2148" s="14">
        <f>IFERROR(__xludf.DUMMYFUNCTION("""COMPUTED_VALUE"""),80.0)</f>
        <v>80</v>
      </c>
      <c r="S2148" s="14">
        <f>IFERROR(__xludf.DUMMYFUNCTION("""COMPUTED_VALUE"""),72.0)</f>
        <v>72</v>
      </c>
      <c r="T2148" s="14">
        <f>IFERROR(__xludf.DUMMYFUNCTION("""COMPUTED_VALUE"""),0.155)</f>
        <v>0.155</v>
      </c>
      <c r="U2148" s="14">
        <f>IFERROR(__xludf.DUMMYFUNCTION("""COMPUTED_VALUE"""),0.701)</f>
        <v>0.701</v>
      </c>
      <c r="V2148" s="14">
        <f>IFERROR(__xludf.DUMMYFUNCTION("""COMPUTED_VALUE"""),0.144)</f>
        <v>0.144</v>
      </c>
      <c r="W2148" s="14">
        <f>IFERROR(__xludf.DUMMYFUNCTION("""COMPUTED_VALUE"""),1992060.0)</f>
        <v>1992060</v>
      </c>
      <c r="X2148" s="14">
        <f>IFERROR(__xludf.DUMMYFUNCTION("""COMPUTED_VALUE"""),0.508)</f>
        <v>0.508</v>
      </c>
      <c r="Y2148" s="14" t="str">
        <f>IFERROR(__xludf.DUMMYFUNCTION("""COMPUTED_VALUE"""),"Slovenia-Europe")</f>
        <v>Slovenia-Europe</v>
      </c>
      <c r="Z2148" s="14" t="str">
        <f>IFERROR(__xludf.DUMMYFUNCTION("""COMPUTED_VALUE"""),"Europe")</f>
        <v>Europe</v>
      </c>
      <c r="AA2148" s="14" t="str">
        <f>IFERROR(__xludf.DUMMYFUNCTION("""COMPUTED_VALUE"""),"2001")</f>
        <v>2001</v>
      </c>
      <c r="AB2148" s="15" t="str">
        <f>IFERROR(__xludf.DUMMYFUNCTION("ARRAYFORMULA(VLOOKUP(A2148,IMPORTRANGE(""https://docs.google.com/spreadsheets/d/1BuTWp7qHGjWhqrnf-OmePP568O4A5Am9ttzvVdP67zw/edit#gid=1931367683"" ,""ENERGY!$A$2:$F$2692""), {2,3,4,5,6},0))"),"Europe")</f>
        <v>Europe</v>
      </c>
      <c r="AC2148" s="14" t="str">
        <f>IFERROR(__xludf.DUMMYFUNCTION("""COMPUTED_VALUE"""),"Slovenia-Europe")</f>
        <v>Slovenia-Europe</v>
      </c>
      <c r="AD2148" s="14" t="str">
        <f>IFERROR(__xludf.DUMMYFUNCTION("""COMPUTED_VALUE"""),"2001")</f>
        <v>2001</v>
      </c>
      <c r="AE2148" s="14">
        <f>IFERROR(__xludf.DUMMYFUNCTION("""COMPUTED_VALUE"""),7249.0)</f>
        <v>7249</v>
      </c>
      <c r="AF2148" s="14"/>
    </row>
    <row r="2149">
      <c r="A2149" s="12">
        <v>2148.0</v>
      </c>
      <c r="B2149" s="12" t="s">
        <v>244</v>
      </c>
      <c r="C2149" s="5" t="s">
        <v>75</v>
      </c>
      <c r="D2149" s="8"/>
      <c r="E2149" s="8"/>
      <c r="F2149" s="8"/>
      <c r="G2149" s="8"/>
      <c r="H2149" s="11">
        <v>0.278</v>
      </c>
      <c r="I2149" s="11">
        <v>0.838</v>
      </c>
      <c r="J2149" s="9" t="s">
        <v>63</v>
      </c>
      <c r="K2149" s="14" t="str">
        <f>IFERROR(__xludf.DUMMYFUNCTION("ARRAYFORMULA(VLOOKUP(A2149,IMPORTRANGE(""https://docs.google.com/spreadsheets/d/1BuTWp7qHGjWhqrnf-OmePP568O4A5Am9ttzvVdP67zw/edit#gid=1603210130"", ""TOURISM!$A$2:$F$2692""), {2,3,4,5,6},0))"),"Europe")</f>
        <v>Europe</v>
      </c>
      <c r="L2149" s="14">
        <f>IFERROR(__xludf.DUMMYFUNCTION("""COMPUTED_VALUE"""),1.152E9)</f>
        <v>1152000000</v>
      </c>
      <c r="M2149" s="14" t="str">
        <f>IFERROR(__xludf.DUMMYFUNCTION("""COMPUTED_VALUE"""),"Slovenia-Europe")</f>
        <v>Slovenia-Europe</v>
      </c>
      <c r="N2149" s="14" t="str">
        <f>IFERROR(__xludf.DUMMYFUNCTION("""COMPUTED_VALUE"""),"2002")</f>
        <v>2002</v>
      </c>
      <c r="O2149" s="14">
        <f>IFERROR(__xludf.DUMMYFUNCTION("""COMPUTED_VALUE"""),6.47E8)</f>
        <v>647000000</v>
      </c>
      <c r="P2149" s="15">
        <f>IFERROR(__xludf.DUMMYFUNCTION("ARRAYFORMULA(VLOOKUP(A2149,IMPORTRANGE(""https://docs.google.com/spreadsheets/d/1BuTWp7qHGjWhqrnf-OmePP568O4A5Am9ttzvVdP67zw/edit#gid=771602874"" ,""HUMAN RESOURCES!$A$2:$M$2692""), {2,3,4,5,6,7,8,9,10,11,12,13},0))"),0.009)</f>
        <v>0.009</v>
      </c>
      <c r="Q2149" s="14">
        <f>IFERROR(__xludf.DUMMYFUNCTION("""COMPUTED_VALUE"""),0.004)</f>
        <v>0.004</v>
      </c>
      <c r="R2149" s="14">
        <f>IFERROR(__xludf.DUMMYFUNCTION("""COMPUTED_VALUE"""),80.0)</f>
        <v>80</v>
      </c>
      <c r="S2149" s="14">
        <f>IFERROR(__xludf.DUMMYFUNCTION("""COMPUTED_VALUE"""),72.0)</f>
        <v>72</v>
      </c>
      <c r="T2149" s="14">
        <f>IFERROR(__xludf.DUMMYFUNCTION("""COMPUTED_VALUE"""),0.151)</f>
        <v>0.151</v>
      </c>
      <c r="U2149" s="14">
        <f>IFERROR(__xludf.DUMMYFUNCTION("""COMPUTED_VALUE"""),0.702)</f>
        <v>0.702</v>
      </c>
      <c r="V2149" s="14">
        <f>IFERROR(__xludf.DUMMYFUNCTION("""COMPUTED_VALUE"""),0.147)</f>
        <v>0.147</v>
      </c>
      <c r="W2149" s="14">
        <f>IFERROR(__xludf.DUMMYFUNCTION("""COMPUTED_VALUE"""),1994530.0)</f>
        <v>1994530</v>
      </c>
      <c r="X2149" s="14">
        <f>IFERROR(__xludf.DUMMYFUNCTION("""COMPUTED_VALUE"""),0.508)</f>
        <v>0.508</v>
      </c>
      <c r="Y2149" s="14" t="str">
        <f>IFERROR(__xludf.DUMMYFUNCTION("""COMPUTED_VALUE"""),"Slovenia-Europe")</f>
        <v>Slovenia-Europe</v>
      </c>
      <c r="Z2149" s="14" t="str">
        <f>IFERROR(__xludf.DUMMYFUNCTION("""COMPUTED_VALUE"""),"Europe")</f>
        <v>Europe</v>
      </c>
      <c r="AA2149" s="14" t="str">
        <f>IFERROR(__xludf.DUMMYFUNCTION("""COMPUTED_VALUE"""),"2002")</f>
        <v>2002</v>
      </c>
      <c r="AB2149" s="15" t="str">
        <f>IFERROR(__xludf.DUMMYFUNCTION("ARRAYFORMULA(VLOOKUP(A2149,IMPORTRANGE(""https://docs.google.com/spreadsheets/d/1BuTWp7qHGjWhqrnf-OmePP568O4A5Am9ttzvVdP67zw/edit#gid=1931367683"" ,""ENERGY!$A$2:$F$2692""), {2,3,4,5,6},0))"),"Europe")</f>
        <v>Europe</v>
      </c>
      <c r="AC2149" s="14" t="str">
        <f>IFERROR(__xludf.DUMMYFUNCTION("""COMPUTED_VALUE"""),"Slovenia-Europe")</f>
        <v>Slovenia-Europe</v>
      </c>
      <c r="AD2149" s="14" t="str">
        <f>IFERROR(__xludf.DUMMYFUNCTION("""COMPUTED_VALUE"""),"2002")</f>
        <v>2002</v>
      </c>
      <c r="AE2149" s="14">
        <f>IFERROR(__xludf.DUMMYFUNCTION("""COMPUTED_VALUE"""),7230.0)</f>
        <v>7230</v>
      </c>
      <c r="AF2149" s="14">
        <f>IFERROR(__xludf.DUMMYFUNCTION("""COMPUTED_VALUE"""),15328.0)</f>
        <v>15328</v>
      </c>
    </row>
    <row r="2150">
      <c r="A2150" s="12">
        <v>2149.0</v>
      </c>
      <c r="B2150" s="12" t="s">
        <v>244</v>
      </c>
      <c r="C2150" s="5" t="s">
        <v>75</v>
      </c>
      <c r="D2150" s="8"/>
      <c r="E2150" s="11">
        <v>60.0</v>
      </c>
      <c r="F2150" s="8"/>
      <c r="G2150" s="8"/>
      <c r="H2150" s="11">
        <v>0.319</v>
      </c>
      <c r="I2150" s="11">
        <v>0.873</v>
      </c>
      <c r="J2150" s="9" t="s">
        <v>64</v>
      </c>
      <c r="K2150" s="14" t="str">
        <f>IFERROR(__xludf.DUMMYFUNCTION("ARRAYFORMULA(VLOOKUP(A2150,IMPORTRANGE(""https://docs.google.com/spreadsheets/d/1BuTWp7qHGjWhqrnf-OmePP568O4A5Am9ttzvVdP67zw/edit#gid=1603210130"", ""TOURISM!$A$2:$F$2692""), {2,3,4,5,6},0))"),"Europe")</f>
        <v>Europe</v>
      </c>
      <c r="L2150" s="14">
        <f>IFERROR(__xludf.DUMMYFUNCTION("""COMPUTED_VALUE"""),1.427E9)</f>
        <v>1427000000</v>
      </c>
      <c r="M2150" s="14" t="str">
        <f>IFERROR(__xludf.DUMMYFUNCTION("""COMPUTED_VALUE"""),"Slovenia-Europe")</f>
        <v>Slovenia-Europe</v>
      </c>
      <c r="N2150" s="14" t="str">
        <f>IFERROR(__xludf.DUMMYFUNCTION("""COMPUTED_VALUE"""),"2003")</f>
        <v>2003</v>
      </c>
      <c r="O2150" s="14">
        <f>IFERROR(__xludf.DUMMYFUNCTION("""COMPUTED_VALUE"""),8.05E8)</f>
        <v>805000000</v>
      </c>
      <c r="P2150" s="15">
        <f>IFERROR(__xludf.DUMMYFUNCTION("ARRAYFORMULA(VLOOKUP(A2150,IMPORTRANGE(""https://docs.google.com/spreadsheets/d/1BuTWp7qHGjWhqrnf-OmePP568O4A5Am9ttzvVdP67zw/edit#gid=771602874"" ,""HUMAN RESOURCES!$A$2:$M$2692""), {2,3,4,5,6,7,8,9,10,11,12,13},0))"),0.009)</f>
        <v>0.009</v>
      </c>
      <c r="Q2150" s="14">
        <f>IFERROR(__xludf.DUMMYFUNCTION("""COMPUTED_VALUE"""),0.004)</f>
        <v>0.004</v>
      </c>
      <c r="R2150" s="14">
        <f>IFERROR(__xludf.DUMMYFUNCTION("""COMPUTED_VALUE"""),81.0)</f>
        <v>81</v>
      </c>
      <c r="S2150" s="14">
        <f>IFERROR(__xludf.DUMMYFUNCTION("""COMPUTED_VALUE"""),73.0)</f>
        <v>73</v>
      </c>
      <c r="T2150" s="14">
        <f>IFERROR(__xludf.DUMMYFUNCTION("""COMPUTED_VALUE"""),0.147)</f>
        <v>0.147</v>
      </c>
      <c r="U2150" s="14">
        <f>IFERROR(__xludf.DUMMYFUNCTION("""COMPUTED_VALUE"""),0.703)</f>
        <v>0.703</v>
      </c>
      <c r="V2150" s="14">
        <f>IFERROR(__xludf.DUMMYFUNCTION("""COMPUTED_VALUE"""),0.15)</f>
        <v>0.15</v>
      </c>
      <c r="W2150" s="14">
        <f>IFERROR(__xludf.DUMMYFUNCTION("""COMPUTED_VALUE"""),1995733.0)</f>
        <v>1995733</v>
      </c>
      <c r="X2150" s="14">
        <f>IFERROR(__xludf.DUMMYFUNCTION("""COMPUTED_VALUE"""),0.507)</f>
        <v>0.507</v>
      </c>
      <c r="Y2150" s="14" t="str">
        <f>IFERROR(__xludf.DUMMYFUNCTION("""COMPUTED_VALUE"""),"Slovenia-Europe")</f>
        <v>Slovenia-Europe</v>
      </c>
      <c r="Z2150" s="14" t="str">
        <f>IFERROR(__xludf.DUMMYFUNCTION("""COMPUTED_VALUE"""),"Europe")</f>
        <v>Europe</v>
      </c>
      <c r="AA2150" s="14" t="str">
        <f>IFERROR(__xludf.DUMMYFUNCTION("""COMPUTED_VALUE"""),"2003")</f>
        <v>2003</v>
      </c>
      <c r="AB2150" s="15" t="str">
        <f>IFERROR(__xludf.DUMMYFUNCTION("ARRAYFORMULA(VLOOKUP(A2150,IMPORTRANGE(""https://docs.google.com/spreadsheets/d/1BuTWp7qHGjWhqrnf-OmePP568O4A5Am9ttzvVdP67zw/edit#gid=1931367683"" ,""ENERGY!$A$2:$F$2692""), {2,3,4,5,6},0))"),"Europe")</f>
        <v>Europe</v>
      </c>
      <c r="AC2150" s="14" t="str">
        <f>IFERROR(__xludf.DUMMYFUNCTION("""COMPUTED_VALUE"""),"Slovenia-Europe")</f>
        <v>Slovenia-Europe</v>
      </c>
      <c r="AD2150" s="14" t="str">
        <f>IFERROR(__xludf.DUMMYFUNCTION("""COMPUTED_VALUE"""),"2003")</f>
        <v>2003</v>
      </c>
      <c r="AE2150" s="14">
        <f>IFERROR(__xludf.DUMMYFUNCTION("""COMPUTED_VALUE"""),7097.0)</f>
        <v>7097</v>
      </c>
      <c r="AF2150" s="14">
        <f>IFERROR(__xludf.DUMMYFUNCTION("""COMPUTED_VALUE"""),15310.0)</f>
        <v>15310</v>
      </c>
    </row>
    <row r="2151">
      <c r="A2151" s="12">
        <v>2150.0</v>
      </c>
      <c r="B2151" s="12" t="s">
        <v>244</v>
      </c>
      <c r="C2151" s="5" t="s">
        <v>75</v>
      </c>
      <c r="D2151" s="8"/>
      <c r="E2151" s="11">
        <v>60.0</v>
      </c>
      <c r="F2151" s="8"/>
      <c r="G2151" s="8"/>
      <c r="H2151" s="11">
        <v>0.408</v>
      </c>
      <c r="I2151" s="11">
        <v>0.927</v>
      </c>
      <c r="J2151" s="9" t="s">
        <v>65</v>
      </c>
      <c r="K2151" s="14" t="str">
        <f>IFERROR(__xludf.DUMMYFUNCTION("ARRAYFORMULA(VLOOKUP(A2151,IMPORTRANGE(""https://docs.google.com/spreadsheets/d/1BuTWp7qHGjWhqrnf-OmePP568O4A5Am9ttzvVdP67zw/edit#gid=1603210130"", ""TOURISM!$A$2:$F$2692""), {2,3,4,5,6},0))"),"Europe")</f>
        <v>Europe</v>
      </c>
      <c r="L2151" s="14">
        <f>IFERROR(__xludf.DUMMYFUNCTION("""COMPUTED_VALUE"""),1.725E9)</f>
        <v>1725000000</v>
      </c>
      <c r="M2151" s="14" t="str">
        <f>IFERROR(__xludf.DUMMYFUNCTION("""COMPUTED_VALUE"""),"Slovenia-Europe")</f>
        <v>Slovenia-Europe</v>
      </c>
      <c r="N2151" s="14" t="str">
        <f>IFERROR(__xludf.DUMMYFUNCTION("""COMPUTED_VALUE"""),"2004")</f>
        <v>2004</v>
      </c>
      <c r="O2151" s="14">
        <f>IFERROR(__xludf.DUMMYFUNCTION("""COMPUTED_VALUE"""),9.37E8)</f>
        <v>937000000</v>
      </c>
      <c r="P2151" s="15">
        <f>IFERROR(__xludf.DUMMYFUNCTION("ARRAYFORMULA(VLOOKUP(A2151,IMPORTRANGE(""https://docs.google.com/spreadsheets/d/1BuTWp7qHGjWhqrnf-OmePP568O4A5Am9ttzvVdP67zw/edit#gid=771602874"" ,""HUMAN RESOURCES!$A$2:$M$2692""), {2,3,4,5,6,7,8,9,10,11,12,13},0))"),0.009)</f>
        <v>0.009</v>
      </c>
      <c r="Q2151" s="14">
        <f>IFERROR(__xludf.DUMMYFUNCTION("""COMPUTED_VALUE"""),0.004)</f>
        <v>0.004</v>
      </c>
      <c r="R2151" s="14">
        <f>IFERROR(__xludf.DUMMYFUNCTION("""COMPUTED_VALUE"""),81.0)</f>
        <v>81</v>
      </c>
      <c r="S2151" s="14">
        <f>IFERROR(__xludf.DUMMYFUNCTION("""COMPUTED_VALUE"""),74.0)</f>
        <v>74</v>
      </c>
      <c r="T2151" s="14">
        <f>IFERROR(__xludf.DUMMYFUNCTION("""COMPUTED_VALUE"""),0.144)</f>
        <v>0.144</v>
      </c>
      <c r="U2151" s="14">
        <f>IFERROR(__xludf.DUMMYFUNCTION("""COMPUTED_VALUE"""),0.703)</f>
        <v>0.703</v>
      </c>
      <c r="V2151" s="14">
        <f>IFERROR(__xludf.DUMMYFUNCTION("""COMPUTED_VALUE"""),0.153)</f>
        <v>0.153</v>
      </c>
      <c r="W2151" s="14">
        <f>IFERROR(__xludf.DUMMYFUNCTION("""COMPUTED_VALUE"""),1997012.0)</f>
        <v>1997012</v>
      </c>
      <c r="X2151" s="14">
        <f>IFERROR(__xludf.DUMMYFUNCTION("""COMPUTED_VALUE"""),0.506)</f>
        <v>0.506</v>
      </c>
      <c r="Y2151" s="14" t="str">
        <f>IFERROR(__xludf.DUMMYFUNCTION("""COMPUTED_VALUE"""),"Slovenia-Europe")</f>
        <v>Slovenia-Europe</v>
      </c>
      <c r="Z2151" s="14" t="str">
        <f>IFERROR(__xludf.DUMMYFUNCTION("""COMPUTED_VALUE"""),"Europe")</f>
        <v>Europe</v>
      </c>
      <c r="AA2151" s="14" t="str">
        <f>IFERROR(__xludf.DUMMYFUNCTION("""COMPUTED_VALUE"""),"2004")</f>
        <v>2004</v>
      </c>
      <c r="AB2151" s="15" t="str">
        <f>IFERROR(__xludf.DUMMYFUNCTION("ARRAYFORMULA(VLOOKUP(A2151,IMPORTRANGE(""https://docs.google.com/spreadsheets/d/1BuTWp7qHGjWhqrnf-OmePP568O4A5Am9ttzvVdP67zw/edit#gid=1931367683"" ,""ENERGY!$A$2:$F$2692""), {2,3,4,5,6},0))"),"Europe")</f>
        <v>Europe</v>
      </c>
      <c r="AC2151" s="14" t="str">
        <f>IFERROR(__xludf.DUMMYFUNCTION("""COMPUTED_VALUE"""),"Slovenia-Europe")</f>
        <v>Slovenia-Europe</v>
      </c>
      <c r="AD2151" s="14" t="str">
        <f>IFERROR(__xludf.DUMMYFUNCTION("""COMPUTED_VALUE"""),"2004")</f>
        <v>2004</v>
      </c>
      <c r="AE2151" s="14">
        <f>IFERROR(__xludf.DUMMYFUNCTION("""COMPUTED_VALUE"""),7740.0)</f>
        <v>7740</v>
      </c>
      <c r="AF2151" s="14">
        <f>IFERROR(__xludf.DUMMYFUNCTION("""COMPUTED_VALUE"""),17180.0)</f>
        <v>17180</v>
      </c>
    </row>
    <row r="2152">
      <c r="A2152" s="12">
        <v>2151.0</v>
      </c>
      <c r="B2152" s="12" t="s">
        <v>244</v>
      </c>
      <c r="C2152" s="5" t="s">
        <v>75</v>
      </c>
      <c r="D2152" s="11">
        <v>0.392</v>
      </c>
      <c r="E2152" s="11">
        <v>60.0</v>
      </c>
      <c r="F2152" s="8"/>
      <c r="G2152" s="11">
        <v>260.0</v>
      </c>
      <c r="H2152" s="11">
        <v>0.468</v>
      </c>
      <c r="I2152" s="11">
        <v>0.879</v>
      </c>
      <c r="J2152" s="9" t="s">
        <v>66</v>
      </c>
      <c r="K2152" s="14" t="str">
        <f>IFERROR(__xludf.DUMMYFUNCTION("ARRAYFORMULA(VLOOKUP(A2152,IMPORTRANGE(""https://docs.google.com/spreadsheets/d/1BuTWp7qHGjWhqrnf-OmePP568O4A5Am9ttzvVdP67zw/edit#gid=1603210130"", ""TOURISM!$A$2:$F$2692""), {2,3,4,5,6},0))"),"Europe")</f>
        <v>Europe</v>
      </c>
      <c r="L2152" s="14">
        <f>IFERROR(__xludf.DUMMYFUNCTION("""COMPUTED_VALUE"""),1.894E9)</f>
        <v>1894000000</v>
      </c>
      <c r="M2152" s="14" t="str">
        <f>IFERROR(__xludf.DUMMYFUNCTION("""COMPUTED_VALUE"""),"Slovenia-Europe")</f>
        <v>Slovenia-Europe</v>
      </c>
      <c r="N2152" s="14" t="str">
        <f>IFERROR(__xludf.DUMMYFUNCTION("""COMPUTED_VALUE"""),"2005")</f>
        <v>2005</v>
      </c>
      <c r="O2152" s="14">
        <f>IFERROR(__xludf.DUMMYFUNCTION("""COMPUTED_VALUE"""),1.019E9)</f>
        <v>1019000000</v>
      </c>
      <c r="P2152" s="15">
        <f>IFERROR(__xludf.DUMMYFUNCTION("ARRAYFORMULA(VLOOKUP(A2152,IMPORTRANGE(""https://docs.google.com/spreadsheets/d/1BuTWp7qHGjWhqrnf-OmePP568O4A5Am9ttzvVdP67zw/edit#gid=771602874"" ,""HUMAN RESOURCES!$A$2:$M$2692""), {2,3,4,5,6,7,8,9,10,11,12,13},0))"),0.009)</f>
        <v>0.009</v>
      </c>
      <c r="Q2152" s="14">
        <f>IFERROR(__xludf.DUMMYFUNCTION("""COMPUTED_VALUE"""),0.004)</f>
        <v>0.004</v>
      </c>
      <c r="R2152" s="14">
        <f>IFERROR(__xludf.DUMMYFUNCTION("""COMPUTED_VALUE"""),81.0)</f>
        <v>81</v>
      </c>
      <c r="S2152" s="14">
        <f>IFERROR(__xludf.DUMMYFUNCTION("""COMPUTED_VALUE"""),74.0)</f>
        <v>74</v>
      </c>
      <c r="T2152" s="14">
        <f>IFERROR(__xludf.DUMMYFUNCTION("""COMPUTED_VALUE"""),0.142)</f>
        <v>0.142</v>
      </c>
      <c r="U2152" s="14">
        <f>IFERROR(__xludf.DUMMYFUNCTION("""COMPUTED_VALUE"""),0.703)</f>
        <v>0.703</v>
      </c>
      <c r="V2152" s="14">
        <f>IFERROR(__xludf.DUMMYFUNCTION("""COMPUTED_VALUE"""),0.155)</f>
        <v>0.155</v>
      </c>
      <c r="W2152" s="14">
        <f>IFERROR(__xludf.DUMMYFUNCTION("""COMPUTED_VALUE"""),2000474.0)</f>
        <v>2000474</v>
      </c>
      <c r="X2152" s="14">
        <f>IFERROR(__xludf.DUMMYFUNCTION("""COMPUTED_VALUE"""),0.505)</f>
        <v>0.505</v>
      </c>
      <c r="Y2152" s="14" t="str">
        <f>IFERROR(__xludf.DUMMYFUNCTION("""COMPUTED_VALUE"""),"Slovenia-Europe")</f>
        <v>Slovenia-Europe</v>
      </c>
      <c r="Z2152" s="14" t="str">
        <f>IFERROR(__xludf.DUMMYFUNCTION("""COMPUTED_VALUE"""),"Europe")</f>
        <v>Europe</v>
      </c>
      <c r="AA2152" s="14" t="str">
        <f>IFERROR(__xludf.DUMMYFUNCTION("""COMPUTED_VALUE"""),"2005")</f>
        <v>2005</v>
      </c>
      <c r="AB2152" s="15" t="str">
        <f>IFERROR(__xludf.DUMMYFUNCTION("ARRAYFORMULA(VLOOKUP(A2152,IMPORTRANGE(""https://docs.google.com/spreadsheets/d/1BuTWp7qHGjWhqrnf-OmePP568O4A5Am9ttzvVdP67zw/edit#gid=1931367683"" ,""ENERGY!$A$2:$F$2692""), {2,3,4,5,6},0))"),"Europe")</f>
        <v>Europe</v>
      </c>
      <c r="AC2152" s="14" t="str">
        <f>IFERROR(__xludf.DUMMYFUNCTION("""COMPUTED_VALUE"""),"Slovenia-Europe")</f>
        <v>Slovenia-Europe</v>
      </c>
      <c r="AD2152" s="14" t="str">
        <f>IFERROR(__xludf.DUMMYFUNCTION("""COMPUTED_VALUE"""),"2008")</f>
        <v>2008</v>
      </c>
      <c r="AE2152" s="14">
        <f>IFERROR(__xludf.DUMMYFUNCTION("""COMPUTED_VALUE"""),7321.0)</f>
        <v>7321</v>
      </c>
      <c r="AF2152" s="14">
        <f>IFERROR(__xludf.DUMMYFUNCTION("""COMPUTED_VALUE"""),16212.0)</f>
        <v>16212</v>
      </c>
    </row>
    <row r="2153">
      <c r="A2153" s="12">
        <v>2152.0</v>
      </c>
      <c r="B2153" s="12" t="s">
        <v>244</v>
      </c>
      <c r="C2153" s="5" t="s">
        <v>75</v>
      </c>
      <c r="D2153" s="11">
        <v>0.392</v>
      </c>
      <c r="E2153" s="11">
        <v>60.0</v>
      </c>
      <c r="F2153" s="8"/>
      <c r="G2153" s="11">
        <v>260.0</v>
      </c>
      <c r="H2153" s="11">
        <v>0.54</v>
      </c>
      <c r="I2153" s="11">
        <v>0.906</v>
      </c>
      <c r="J2153" s="9" t="s">
        <v>67</v>
      </c>
      <c r="K2153" s="14" t="str">
        <f>IFERROR(__xludf.DUMMYFUNCTION("ARRAYFORMULA(VLOOKUP(A2153,IMPORTRANGE(""https://docs.google.com/spreadsheets/d/1BuTWp7qHGjWhqrnf-OmePP568O4A5Am9ttzvVdP67zw/edit#gid=1603210130"", ""TOURISM!$A$2:$F$2692""), {2,3,4,5,6},0))"),"Europe")</f>
        <v>Europe</v>
      </c>
      <c r="L2153" s="14">
        <f>IFERROR(__xludf.DUMMYFUNCTION("""COMPUTED_VALUE"""),2.074E9)</f>
        <v>2074000000</v>
      </c>
      <c r="M2153" s="14" t="str">
        <f>IFERROR(__xludf.DUMMYFUNCTION("""COMPUTED_VALUE"""),"Slovenia-Europe")</f>
        <v>Slovenia-Europe</v>
      </c>
      <c r="N2153" s="14" t="str">
        <f>IFERROR(__xludf.DUMMYFUNCTION("""COMPUTED_VALUE"""),"2006")</f>
        <v>2006</v>
      </c>
      <c r="O2153" s="14">
        <f>IFERROR(__xludf.DUMMYFUNCTION("""COMPUTED_VALUE"""),1.058E9)</f>
        <v>1058000000</v>
      </c>
      <c r="P2153" s="15">
        <f>IFERROR(__xludf.DUMMYFUNCTION("ARRAYFORMULA(VLOOKUP(A2153,IMPORTRANGE(""https://docs.google.com/spreadsheets/d/1BuTWp7qHGjWhqrnf-OmePP568O4A5Am9ttzvVdP67zw/edit#gid=771602874"" ,""HUMAN RESOURCES!$A$2:$M$2692""), {2,3,4,5,6,7,8,9,10,11,12,13},0))"),0.009)</f>
        <v>0.009</v>
      </c>
      <c r="Q2153" s="14">
        <f>IFERROR(__xludf.DUMMYFUNCTION("""COMPUTED_VALUE"""),0.003)</f>
        <v>0.003</v>
      </c>
      <c r="R2153" s="14">
        <f>IFERROR(__xludf.DUMMYFUNCTION("""COMPUTED_VALUE"""),82.0)</f>
        <v>82</v>
      </c>
      <c r="S2153" s="14">
        <f>IFERROR(__xludf.DUMMYFUNCTION("""COMPUTED_VALUE"""),75.0)</f>
        <v>75</v>
      </c>
      <c r="T2153" s="14">
        <f>IFERROR(__xludf.DUMMYFUNCTION("""COMPUTED_VALUE"""),0.14)</f>
        <v>0.14</v>
      </c>
      <c r="U2153" s="14">
        <f>IFERROR(__xludf.DUMMYFUNCTION("""COMPUTED_VALUE"""),0.702)</f>
        <v>0.702</v>
      </c>
      <c r="V2153" s="14">
        <f>IFERROR(__xludf.DUMMYFUNCTION("""COMPUTED_VALUE"""),0.158)</f>
        <v>0.158</v>
      </c>
      <c r="W2153" s="14">
        <f>IFERROR(__xludf.DUMMYFUNCTION("""COMPUTED_VALUE"""),2006868.0)</f>
        <v>2006868</v>
      </c>
      <c r="X2153" s="14">
        <f>IFERROR(__xludf.DUMMYFUNCTION("""COMPUTED_VALUE"""),0.504)</f>
        <v>0.504</v>
      </c>
      <c r="Y2153" s="14" t="str">
        <f>IFERROR(__xludf.DUMMYFUNCTION("""COMPUTED_VALUE"""),"Slovenia-Europe")</f>
        <v>Slovenia-Europe</v>
      </c>
      <c r="Z2153" s="14" t="str">
        <f>IFERROR(__xludf.DUMMYFUNCTION("""COMPUTED_VALUE"""),"Europe")</f>
        <v>Europe</v>
      </c>
      <c r="AA2153" s="14" t="str">
        <f>IFERROR(__xludf.DUMMYFUNCTION("""COMPUTED_VALUE"""),"2006")</f>
        <v>2006</v>
      </c>
      <c r="AB2153" s="15" t="str">
        <f>IFERROR(__xludf.DUMMYFUNCTION("ARRAYFORMULA(VLOOKUP(A2153,IMPORTRANGE(""https://docs.google.com/spreadsheets/d/1BuTWp7qHGjWhqrnf-OmePP568O4A5Am9ttzvVdP67zw/edit#gid=1931367683"" ,""ENERGY!$A$2:$F$2692""), {2,3,4,5,6},0))"),"Europe")</f>
        <v>Europe</v>
      </c>
      <c r="AC2153" s="14" t="str">
        <f>IFERROR(__xludf.DUMMYFUNCTION("""COMPUTED_VALUE"""),"Slovenia-Europe")</f>
        <v>Slovenia-Europe</v>
      </c>
      <c r="AD2153" s="14" t="str">
        <f>IFERROR(__xludf.DUMMYFUNCTION("""COMPUTED_VALUE"""),"2012")</f>
        <v>2012</v>
      </c>
      <c r="AE2153" s="14">
        <f>IFERROR(__xludf.DUMMYFUNCTION("""COMPUTED_VALUE"""),7321.0)</f>
        <v>7321</v>
      </c>
      <c r="AF2153" s="14">
        <f>IFERROR(__xludf.DUMMYFUNCTION("""COMPUTED_VALUE"""),16245.0)</f>
        <v>16245</v>
      </c>
    </row>
    <row r="2154">
      <c r="A2154" s="12">
        <v>2153.0</v>
      </c>
      <c r="B2154" s="12" t="s">
        <v>244</v>
      </c>
      <c r="C2154" s="5" t="s">
        <v>75</v>
      </c>
      <c r="D2154" s="11">
        <v>0.384</v>
      </c>
      <c r="E2154" s="11">
        <v>60.0</v>
      </c>
      <c r="F2154" s="8"/>
      <c r="G2154" s="11">
        <v>260.0</v>
      </c>
      <c r="H2154" s="11">
        <v>0.567</v>
      </c>
      <c r="I2154" s="11">
        <v>0.955</v>
      </c>
      <c r="J2154" s="9" t="s">
        <v>68</v>
      </c>
      <c r="K2154" s="14" t="str">
        <f>IFERROR(__xludf.DUMMYFUNCTION("ARRAYFORMULA(VLOOKUP(A2154,IMPORTRANGE(""https://docs.google.com/spreadsheets/d/1BuTWp7qHGjWhqrnf-OmePP568O4A5Am9ttzvVdP67zw/edit#gid=1603210130"", ""TOURISM!$A$2:$F$2692""), {2,3,4,5,6},0))"),"Europe")</f>
        <v>Europe</v>
      </c>
      <c r="L2154" s="14">
        <f>IFERROR(__xludf.DUMMYFUNCTION("""COMPUTED_VALUE"""),2.465E9)</f>
        <v>2465000000</v>
      </c>
      <c r="M2154" s="14" t="str">
        <f>IFERROR(__xludf.DUMMYFUNCTION("""COMPUTED_VALUE"""),"Slovenia-Europe")</f>
        <v>Slovenia-Europe</v>
      </c>
      <c r="N2154" s="14" t="str">
        <f>IFERROR(__xludf.DUMMYFUNCTION("""COMPUTED_VALUE"""),"2007")</f>
        <v>2007</v>
      </c>
      <c r="O2154" s="14">
        <f>IFERROR(__xludf.DUMMYFUNCTION("""COMPUTED_VALUE"""),1.26E9)</f>
        <v>1260000000</v>
      </c>
      <c r="P2154" s="15">
        <f>IFERROR(__xludf.DUMMYFUNCTION("ARRAYFORMULA(VLOOKUP(A2154,IMPORTRANGE(""https://docs.google.com/spreadsheets/d/1BuTWp7qHGjWhqrnf-OmePP568O4A5Am9ttzvVdP67zw/edit#gid=771602874"" ,""HUMAN RESOURCES!$A$2:$M$2692""), {2,3,4,5,6,7,8,9,10,11,12,13},0))"),0.01)</f>
        <v>0.01</v>
      </c>
      <c r="Q2154" s="14">
        <f>IFERROR(__xludf.DUMMYFUNCTION("""COMPUTED_VALUE"""),0.003)</f>
        <v>0.003</v>
      </c>
      <c r="R2154" s="14">
        <f>IFERROR(__xludf.DUMMYFUNCTION("""COMPUTED_VALUE"""),82.0)</f>
        <v>82</v>
      </c>
      <c r="S2154" s="14">
        <f>IFERROR(__xludf.DUMMYFUNCTION("""COMPUTED_VALUE"""),75.0)</f>
        <v>75</v>
      </c>
      <c r="T2154" s="14">
        <f>IFERROR(__xludf.DUMMYFUNCTION("""COMPUTED_VALUE"""),0.14)</f>
        <v>0.14</v>
      </c>
      <c r="U2154" s="14">
        <f>IFERROR(__xludf.DUMMYFUNCTION("""COMPUTED_VALUE"""),0.7)</f>
        <v>0.7</v>
      </c>
      <c r="V2154" s="14">
        <f>IFERROR(__xludf.DUMMYFUNCTION("""COMPUTED_VALUE"""),0.16)</f>
        <v>0.16</v>
      </c>
      <c r="W2154" s="14">
        <f>IFERROR(__xludf.DUMMYFUNCTION("""COMPUTED_VALUE"""),2018122.0)</f>
        <v>2018122</v>
      </c>
      <c r="X2154" s="14">
        <f>IFERROR(__xludf.DUMMYFUNCTION("""COMPUTED_VALUE"""),0.503)</f>
        <v>0.503</v>
      </c>
      <c r="Y2154" s="14" t="str">
        <f>IFERROR(__xludf.DUMMYFUNCTION("""COMPUTED_VALUE"""),"Slovenia-Europe")</f>
        <v>Slovenia-Europe</v>
      </c>
      <c r="Z2154" s="14" t="str">
        <f>IFERROR(__xludf.DUMMYFUNCTION("""COMPUTED_VALUE"""),"Europe")</f>
        <v>Europe</v>
      </c>
      <c r="AA2154" s="14" t="str">
        <f>IFERROR(__xludf.DUMMYFUNCTION("""COMPUTED_VALUE"""),"2007")</f>
        <v>2007</v>
      </c>
      <c r="AB2154" s="15" t="str">
        <f>IFERROR(__xludf.DUMMYFUNCTION("ARRAYFORMULA(VLOOKUP(A2154,IMPORTRANGE(""https://docs.google.com/spreadsheets/d/1BuTWp7qHGjWhqrnf-OmePP568O4A5Am9ttzvVdP67zw/edit#gid=1931367683"" ,""ENERGY!$A$2:$F$2692""), {2,3,4,5,6},0))"),"Europe")</f>
        <v>Europe</v>
      </c>
      <c r="AC2154" s="14" t="str">
        <f>IFERROR(__xludf.DUMMYFUNCTION("""COMPUTED_VALUE"""),"Slovenia-Europe")</f>
        <v>Slovenia-Europe</v>
      </c>
      <c r="AD2154" s="14" t="str">
        <f>IFERROR(__xludf.DUMMYFUNCTION("""COMPUTED_VALUE"""),"2010")</f>
        <v>2010</v>
      </c>
      <c r="AE2154" s="14">
        <f>IFERROR(__xludf.DUMMYFUNCTION("""COMPUTED_VALUE"""),7293.0)</f>
        <v>7293</v>
      </c>
      <c r="AF2154" s="14">
        <f>IFERROR(__xludf.DUMMYFUNCTION("""COMPUTED_VALUE"""),15867.0)</f>
        <v>15867</v>
      </c>
    </row>
    <row r="2155">
      <c r="A2155" s="12">
        <v>2154.0</v>
      </c>
      <c r="B2155" s="12" t="s">
        <v>244</v>
      </c>
      <c r="C2155" s="5" t="s">
        <v>75</v>
      </c>
      <c r="D2155" s="11">
        <v>0.358</v>
      </c>
      <c r="E2155" s="11">
        <v>19.0</v>
      </c>
      <c r="F2155" s="8"/>
      <c r="G2155" s="11">
        <v>260.0</v>
      </c>
      <c r="H2155" s="11">
        <v>0.58</v>
      </c>
      <c r="I2155" s="11">
        <v>1.011</v>
      </c>
      <c r="J2155" s="9" t="s">
        <v>69</v>
      </c>
      <c r="K2155" s="14" t="str">
        <f>IFERROR(__xludf.DUMMYFUNCTION("ARRAYFORMULA(VLOOKUP(A2155,IMPORTRANGE(""https://docs.google.com/spreadsheets/d/1BuTWp7qHGjWhqrnf-OmePP568O4A5Am9ttzvVdP67zw/edit#gid=1603210130"", ""TOURISM!$A$2:$F$2692""), {2,3,4,5,6},0))"),"Europe")</f>
        <v>Europe</v>
      </c>
      <c r="L2155" s="14">
        <f>IFERROR(__xludf.DUMMYFUNCTION("""COMPUTED_VALUE"""),2.954E9)</f>
        <v>2954000000</v>
      </c>
      <c r="M2155" s="14" t="str">
        <f>IFERROR(__xludf.DUMMYFUNCTION("""COMPUTED_VALUE"""),"Slovenia-Europe")</f>
        <v>Slovenia-Europe</v>
      </c>
      <c r="N2155" s="14" t="str">
        <f>IFERROR(__xludf.DUMMYFUNCTION("""COMPUTED_VALUE"""),"2008")</f>
        <v>2008</v>
      </c>
      <c r="O2155" s="14">
        <f>IFERROR(__xludf.DUMMYFUNCTION("""COMPUTED_VALUE"""),1.61E9)</f>
        <v>1610000000</v>
      </c>
      <c r="P2155" s="15">
        <f>IFERROR(__xludf.DUMMYFUNCTION("ARRAYFORMULA(VLOOKUP(A2155,IMPORTRANGE(""https://docs.google.com/spreadsheets/d/1BuTWp7qHGjWhqrnf-OmePP568O4A5Am9ttzvVdP67zw/edit#gid=771602874"" ,""HUMAN RESOURCES!$A$2:$M$2692""), {2,3,4,5,6,7,8,9,10,11,12,13},0))"),0.011)</f>
        <v>0.011</v>
      </c>
      <c r="Q2155" s="14">
        <f>IFERROR(__xludf.DUMMYFUNCTION("""COMPUTED_VALUE"""),0.003)</f>
        <v>0.003</v>
      </c>
      <c r="R2155" s="14">
        <f>IFERROR(__xludf.DUMMYFUNCTION("""COMPUTED_VALUE"""),82.0)</f>
        <v>82</v>
      </c>
      <c r="S2155" s="14">
        <f>IFERROR(__xludf.DUMMYFUNCTION("""COMPUTED_VALUE"""),75.0)</f>
        <v>75</v>
      </c>
      <c r="T2155" s="14">
        <f>IFERROR(__xludf.DUMMYFUNCTION("""COMPUTED_VALUE"""),0.139)</f>
        <v>0.139</v>
      </c>
      <c r="U2155" s="14">
        <f>IFERROR(__xludf.DUMMYFUNCTION("""COMPUTED_VALUE"""),0.698)</f>
        <v>0.698</v>
      </c>
      <c r="V2155" s="14">
        <f>IFERROR(__xludf.DUMMYFUNCTION("""COMPUTED_VALUE"""),0.162)</f>
        <v>0.162</v>
      </c>
      <c r="W2155" s="14">
        <f>IFERROR(__xludf.DUMMYFUNCTION("""COMPUTED_VALUE"""),2021316.0)</f>
        <v>2021316</v>
      </c>
      <c r="X2155" s="14">
        <f>IFERROR(__xludf.DUMMYFUNCTION("""COMPUTED_VALUE"""),0.502)</f>
        <v>0.502</v>
      </c>
      <c r="Y2155" s="14" t="str">
        <f>IFERROR(__xludf.DUMMYFUNCTION("""COMPUTED_VALUE"""),"Slovenia-Europe")</f>
        <v>Slovenia-Europe</v>
      </c>
      <c r="Z2155" s="14" t="str">
        <f>IFERROR(__xludf.DUMMYFUNCTION("""COMPUTED_VALUE"""),"Europe")</f>
        <v>Europe</v>
      </c>
      <c r="AA2155" s="14" t="str">
        <f>IFERROR(__xludf.DUMMYFUNCTION("""COMPUTED_VALUE"""),"2008")</f>
        <v>2008</v>
      </c>
      <c r="AB2155" s="15" t="str">
        <f>IFERROR(__xludf.DUMMYFUNCTION("ARRAYFORMULA(VLOOKUP(A2155,IMPORTRANGE(""https://docs.google.com/spreadsheets/d/1BuTWp7qHGjWhqrnf-OmePP568O4A5Am9ttzvVdP67zw/edit#gid=1931367683"" ,""ENERGY!$A$2:$F$2692""), {2,3,4,5,6},0))"),"Europe")</f>
        <v>Europe</v>
      </c>
      <c r="AC2155" s="14" t="str">
        <f>IFERROR(__xludf.DUMMYFUNCTION("""COMPUTED_VALUE"""),"Slovenia-Europe")</f>
        <v>Slovenia-Europe</v>
      </c>
      <c r="AD2155" s="14" t="str">
        <f>IFERROR(__xludf.DUMMYFUNCTION("""COMPUTED_VALUE"""),"2007")</f>
        <v>2007</v>
      </c>
      <c r="AE2155" s="14">
        <f>IFERROR(__xludf.DUMMYFUNCTION("""COMPUTED_VALUE"""),7131.0)</f>
        <v>7131</v>
      </c>
      <c r="AF2155" s="14">
        <f>IFERROR(__xludf.DUMMYFUNCTION("""COMPUTED_VALUE"""),15746.0)</f>
        <v>15746</v>
      </c>
    </row>
    <row r="2156">
      <c r="A2156" s="12">
        <v>2155.0</v>
      </c>
      <c r="B2156" s="12" t="s">
        <v>244</v>
      </c>
      <c r="C2156" s="5" t="s">
        <v>75</v>
      </c>
      <c r="D2156" s="11">
        <v>0.367</v>
      </c>
      <c r="E2156" s="11">
        <v>6.0</v>
      </c>
      <c r="F2156" s="8"/>
      <c r="G2156" s="11">
        <v>260.0</v>
      </c>
      <c r="H2156" s="11">
        <v>0.64</v>
      </c>
      <c r="I2156" s="11">
        <v>1.027</v>
      </c>
      <c r="J2156" s="9" t="s">
        <v>70</v>
      </c>
      <c r="K2156" s="14" t="str">
        <f>IFERROR(__xludf.DUMMYFUNCTION("ARRAYFORMULA(VLOOKUP(A2156,IMPORTRANGE(""https://docs.google.com/spreadsheets/d/1BuTWp7qHGjWhqrnf-OmePP568O4A5Am9ttzvVdP67zw/edit#gid=1603210130"", ""TOURISM!$A$2:$F$2692""), {2,3,4,5,6},0))"),"Europe")</f>
        <v>Europe</v>
      </c>
      <c r="L2156" s="14">
        <f>IFERROR(__xludf.DUMMYFUNCTION("""COMPUTED_VALUE"""),2.735E9)</f>
        <v>2735000000</v>
      </c>
      <c r="M2156" s="14" t="str">
        <f>IFERROR(__xludf.DUMMYFUNCTION("""COMPUTED_VALUE"""),"Slovenia-Europe")</f>
        <v>Slovenia-Europe</v>
      </c>
      <c r="N2156" s="14" t="str">
        <f>IFERROR(__xludf.DUMMYFUNCTION("""COMPUTED_VALUE"""),"2009")</f>
        <v>2009</v>
      </c>
      <c r="O2156" s="14">
        <f>IFERROR(__xludf.DUMMYFUNCTION("""COMPUTED_VALUE"""),1.456E9)</f>
        <v>1456000000</v>
      </c>
      <c r="P2156" s="15">
        <f>IFERROR(__xludf.DUMMYFUNCTION("ARRAYFORMULA(VLOOKUP(A2156,IMPORTRANGE(""https://docs.google.com/spreadsheets/d/1BuTWp7qHGjWhqrnf-OmePP568O4A5Am9ttzvVdP67zw/edit#gid=771602874"" ,""HUMAN RESOURCES!$A$2:$M$2692""), {2,3,4,5,6,7,8,9,10,11,12,13},0))"),0.011)</f>
        <v>0.011</v>
      </c>
      <c r="Q2156" s="14">
        <f>IFERROR(__xludf.DUMMYFUNCTION("""COMPUTED_VALUE"""),0.003)</f>
        <v>0.003</v>
      </c>
      <c r="R2156" s="14">
        <f>IFERROR(__xludf.DUMMYFUNCTION("""COMPUTED_VALUE"""),82.0)</f>
        <v>82</v>
      </c>
      <c r="S2156" s="14">
        <f>IFERROR(__xludf.DUMMYFUNCTION("""COMPUTED_VALUE"""),76.0)</f>
        <v>76</v>
      </c>
      <c r="T2156" s="14">
        <f>IFERROR(__xludf.DUMMYFUNCTION("""COMPUTED_VALUE"""),0.14)</f>
        <v>0.14</v>
      </c>
      <c r="U2156" s="14">
        <f>IFERROR(__xludf.DUMMYFUNCTION("""COMPUTED_VALUE"""),0.696)</f>
        <v>0.696</v>
      </c>
      <c r="V2156" s="14">
        <f>IFERROR(__xludf.DUMMYFUNCTION("""COMPUTED_VALUE"""),0.165)</f>
        <v>0.165</v>
      </c>
      <c r="W2156" s="14">
        <f>IFERROR(__xludf.DUMMYFUNCTION("""COMPUTED_VALUE"""),2039669.0)</f>
        <v>2039669</v>
      </c>
      <c r="X2156" s="14">
        <f>IFERROR(__xludf.DUMMYFUNCTION("""COMPUTED_VALUE"""),0.501)</f>
        <v>0.501</v>
      </c>
      <c r="Y2156" s="14" t="str">
        <f>IFERROR(__xludf.DUMMYFUNCTION("""COMPUTED_VALUE"""),"Slovenia-Europe")</f>
        <v>Slovenia-Europe</v>
      </c>
      <c r="Z2156" s="14" t="str">
        <f>IFERROR(__xludf.DUMMYFUNCTION("""COMPUTED_VALUE"""),"Europe")</f>
        <v>Europe</v>
      </c>
      <c r="AA2156" s="14" t="str">
        <f>IFERROR(__xludf.DUMMYFUNCTION("""COMPUTED_VALUE"""),"2009")</f>
        <v>2009</v>
      </c>
      <c r="AB2156" s="15" t="str">
        <f>IFERROR(__xludf.DUMMYFUNCTION("ARRAYFORMULA(VLOOKUP(A2156,IMPORTRANGE(""https://docs.google.com/spreadsheets/d/1BuTWp7qHGjWhqrnf-OmePP568O4A5Am9ttzvVdP67zw/edit#gid=1931367683"" ,""ENERGY!$A$2:$F$2692""), {2,3,4,5,6},0))"),"Europe")</f>
        <v>Europe</v>
      </c>
      <c r="AC2156" s="14" t="str">
        <f>IFERROR(__xludf.DUMMYFUNCTION("""COMPUTED_VALUE"""),"Slovenia-Europe")</f>
        <v>Slovenia-Europe</v>
      </c>
      <c r="AD2156" s="14" t="str">
        <f>IFERROR(__xludf.DUMMYFUNCTION("""COMPUTED_VALUE"""),"2011")</f>
        <v>2011</v>
      </c>
      <c r="AE2156" s="14">
        <f>IFERROR(__xludf.DUMMYFUNCTION("""COMPUTED_VALUE"""),6912.0)</f>
        <v>6912</v>
      </c>
      <c r="AF2156" s="14">
        <f>IFERROR(__xludf.DUMMYFUNCTION("""COMPUTED_VALUE"""),15500.0)</f>
        <v>15500</v>
      </c>
    </row>
    <row r="2157">
      <c r="A2157" s="12">
        <v>2156.0</v>
      </c>
      <c r="B2157" s="12" t="s">
        <v>244</v>
      </c>
      <c r="C2157" s="5" t="s">
        <v>75</v>
      </c>
      <c r="D2157" s="11">
        <v>0.346</v>
      </c>
      <c r="E2157" s="11">
        <v>6.0</v>
      </c>
      <c r="F2157" s="8"/>
      <c r="G2157" s="11">
        <v>260.0</v>
      </c>
      <c r="H2157" s="11">
        <v>0.7</v>
      </c>
      <c r="I2157" s="11">
        <v>1.033</v>
      </c>
      <c r="J2157" s="9" t="s">
        <v>71</v>
      </c>
      <c r="K2157" s="14" t="str">
        <f>IFERROR(__xludf.DUMMYFUNCTION("ARRAYFORMULA(VLOOKUP(A2157,IMPORTRANGE(""https://docs.google.com/spreadsheets/d/1BuTWp7qHGjWhqrnf-OmePP568O4A5Am9ttzvVdP67zw/edit#gid=1603210130"", ""TOURISM!$A$2:$F$2692""), {2,3,4,5,6},0))"),"Europe")</f>
        <v>Europe</v>
      </c>
      <c r="L2157" s="14">
        <f>IFERROR(__xludf.DUMMYFUNCTION("""COMPUTED_VALUE"""),2.721E9)</f>
        <v>2721000000</v>
      </c>
      <c r="M2157" s="14" t="str">
        <f>IFERROR(__xludf.DUMMYFUNCTION("""COMPUTED_VALUE"""),"Slovenia-Europe")</f>
        <v>Slovenia-Europe</v>
      </c>
      <c r="N2157" s="14" t="str">
        <f>IFERROR(__xludf.DUMMYFUNCTION("""COMPUTED_VALUE"""),"2010")</f>
        <v>2010</v>
      </c>
      <c r="O2157" s="14">
        <f>IFERROR(__xludf.DUMMYFUNCTION("""COMPUTED_VALUE"""),1.377E9)</f>
        <v>1377000000</v>
      </c>
      <c r="P2157" s="15">
        <f>IFERROR(__xludf.DUMMYFUNCTION("ARRAYFORMULA(VLOOKUP(A2157,IMPORTRANGE(""https://docs.google.com/spreadsheets/d/1BuTWp7qHGjWhqrnf-OmePP568O4A5Am9ttzvVdP67zw/edit#gid=771602874"" ,""HUMAN RESOURCES!$A$2:$M$2692""), {2,3,4,5,6,7,8,9,10,11,12,13},0))"),0.011)</f>
        <v>0.011</v>
      </c>
      <c r="Q2157" s="14">
        <f>IFERROR(__xludf.DUMMYFUNCTION("""COMPUTED_VALUE"""),0.003)</f>
        <v>0.003</v>
      </c>
      <c r="R2157" s="14">
        <f>IFERROR(__xludf.DUMMYFUNCTION("""COMPUTED_VALUE"""),83.0)</f>
        <v>83</v>
      </c>
      <c r="S2157" s="14">
        <f>IFERROR(__xludf.DUMMYFUNCTION("""COMPUTED_VALUE"""),76.0)</f>
        <v>76</v>
      </c>
      <c r="T2157" s="14">
        <f>IFERROR(__xludf.DUMMYFUNCTION("""COMPUTED_VALUE"""),0.14)</f>
        <v>0.14</v>
      </c>
      <c r="U2157" s="14">
        <f>IFERROR(__xludf.DUMMYFUNCTION("""COMPUTED_VALUE"""),0.693)</f>
        <v>0.693</v>
      </c>
      <c r="V2157" s="14">
        <f>IFERROR(__xludf.DUMMYFUNCTION("""COMPUTED_VALUE"""),0.167)</f>
        <v>0.167</v>
      </c>
      <c r="W2157" s="14">
        <f>IFERROR(__xludf.DUMMYFUNCTION("""COMPUTED_VALUE"""),2048583.0)</f>
        <v>2048583</v>
      </c>
      <c r="X2157" s="14">
        <f>IFERROR(__xludf.DUMMYFUNCTION("""COMPUTED_VALUE"""),0.5)</f>
        <v>0.5</v>
      </c>
      <c r="Y2157" s="14" t="str">
        <f>IFERROR(__xludf.DUMMYFUNCTION("""COMPUTED_VALUE"""),"Slovenia-Europe")</f>
        <v>Slovenia-Europe</v>
      </c>
      <c r="Z2157" s="14" t="str">
        <f>IFERROR(__xludf.DUMMYFUNCTION("""COMPUTED_VALUE"""),"Europe")</f>
        <v>Europe</v>
      </c>
      <c r="AA2157" s="14" t="str">
        <f>IFERROR(__xludf.DUMMYFUNCTION("""COMPUTED_VALUE"""),"2010")</f>
        <v>2010</v>
      </c>
      <c r="AB2157" s="15" t="str">
        <f>IFERROR(__xludf.DUMMYFUNCTION("ARRAYFORMULA(VLOOKUP(A2157,IMPORTRANGE(""https://docs.google.com/spreadsheets/d/1BuTWp7qHGjWhqrnf-OmePP568O4A5Am9ttzvVdP67zw/edit#gid=1931367683"" ,""ENERGY!$A$2:$F$2692""), {2,3,4,5,6},0))"),"Europe")</f>
        <v>Europe</v>
      </c>
      <c r="AC2157" s="14" t="str">
        <f>IFERROR(__xludf.DUMMYFUNCTION("""COMPUTED_VALUE"""),"Slovenia-Europe")</f>
        <v>Slovenia-Europe</v>
      </c>
      <c r="AD2157" s="14" t="str">
        <f>IFERROR(__xludf.DUMMYFUNCTION("""COMPUTED_VALUE"""),"2008")</f>
        <v>2008</v>
      </c>
      <c r="AE2157" s="14">
        <f>IFERROR(__xludf.DUMMYFUNCTION("""COMPUTED_VALUE"""),6830.0)</f>
        <v>6830</v>
      </c>
      <c r="AF2157" s="14">
        <f>IFERROR(__xludf.DUMMYFUNCTION("""COMPUTED_VALUE"""),15420.0)</f>
        <v>15420</v>
      </c>
    </row>
    <row r="2158">
      <c r="A2158" s="12">
        <v>2157.0</v>
      </c>
      <c r="B2158" s="12" t="s">
        <v>244</v>
      </c>
      <c r="C2158" s="5" t="s">
        <v>75</v>
      </c>
      <c r="D2158" s="11">
        <v>0.339</v>
      </c>
      <c r="E2158" s="11">
        <v>6.0</v>
      </c>
      <c r="F2158" s="8"/>
      <c r="G2158" s="11">
        <v>260.0</v>
      </c>
      <c r="H2158" s="11">
        <v>0.673</v>
      </c>
      <c r="I2158" s="11">
        <v>1.052</v>
      </c>
      <c r="J2158" s="9" t="s">
        <v>72</v>
      </c>
      <c r="K2158" s="14" t="str">
        <f>IFERROR(__xludf.DUMMYFUNCTION("ARRAYFORMULA(VLOOKUP(A2158,IMPORTRANGE(""https://docs.google.com/spreadsheets/d/1BuTWp7qHGjWhqrnf-OmePP568O4A5Am9ttzvVdP67zw/edit#gid=1603210130"", ""TOURISM!$A$2:$F$2692""), {2,3,4,5,6},0))"),"Europe")</f>
        <v>Europe</v>
      </c>
      <c r="L2158" s="14">
        <f>IFERROR(__xludf.DUMMYFUNCTION("""COMPUTED_VALUE"""),2.953E9)</f>
        <v>2953000000</v>
      </c>
      <c r="M2158" s="14" t="str">
        <f>IFERROR(__xludf.DUMMYFUNCTION("""COMPUTED_VALUE"""),"Slovenia-Europe")</f>
        <v>Slovenia-Europe</v>
      </c>
      <c r="N2158" s="14" t="str">
        <f>IFERROR(__xludf.DUMMYFUNCTION("""COMPUTED_VALUE"""),"2011")</f>
        <v>2011</v>
      </c>
      <c r="O2158" s="14">
        <f>IFERROR(__xludf.DUMMYFUNCTION("""COMPUTED_VALUE"""),1.315E9)</f>
        <v>1315000000</v>
      </c>
      <c r="P2158" s="15">
        <f>IFERROR(__xludf.DUMMYFUNCTION("ARRAYFORMULA(VLOOKUP(A2158,IMPORTRANGE(""https://docs.google.com/spreadsheets/d/1BuTWp7qHGjWhqrnf-OmePP568O4A5Am9ttzvVdP67zw/edit#gid=771602874"" ,""HUMAN RESOURCES!$A$2:$M$2692""), {2,3,4,5,6,7,8,9,10,11,12,13},0))"),0.011)</f>
        <v>0.011</v>
      </c>
      <c r="Q2158" s="14">
        <f>IFERROR(__xludf.DUMMYFUNCTION("""COMPUTED_VALUE"""),0.003)</f>
        <v>0.003</v>
      </c>
      <c r="R2158" s="14">
        <f>IFERROR(__xludf.DUMMYFUNCTION("""COMPUTED_VALUE"""),83.0)</f>
        <v>83</v>
      </c>
      <c r="S2158" s="14">
        <f>IFERROR(__xludf.DUMMYFUNCTION("""COMPUTED_VALUE"""),77.0)</f>
        <v>77</v>
      </c>
      <c r="T2158" s="14">
        <f>IFERROR(__xludf.DUMMYFUNCTION("""COMPUTED_VALUE"""),0.141)</f>
        <v>0.141</v>
      </c>
      <c r="U2158" s="14">
        <f>IFERROR(__xludf.DUMMYFUNCTION("""COMPUTED_VALUE"""),0.691)</f>
        <v>0.691</v>
      </c>
      <c r="V2158" s="14">
        <f>IFERROR(__xludf.DUMMYFUNCTION("""COMPUTED_VALUE"""),0.169)</f>
        <v>0.169</v>
      </c>
      <c r="W2158" s="14">
        <f>IFERROR(__xludf.DUMMYFUNCTION("""COMPUTED_VALUE"""),2052843.0)</f>
        <v>2052843</v>
      </c>
      <c r="X2158" s="14">
        <f>IFERROR(__xludf.DUMMYFUNCTION("""COMPUTED_VALUE"""),0.499)</f>
        <v>0.499</v>
      </c>
      <c r="Y2158" s="14" t="str">
        <f>IFERROR(__xludf.DUMMYFUNCTION("""COMPUTED_VALUE"""),"Slovenia-Europe")</f>
        <v>Slovenia-Europe</v>
      </c>
      <c r="Z2158" s="14" t="str">
        <f>IFERROR(__xludf.DUMMYFUNCTION("""COMPUTED_VALUE"""),"Europe")</f>
        <v>Europe</v>
      </c>
      <c r="AA2158" s="14" t="str">
        <f>IFERROR(__xludf.DUMMYFUNCTION("""COMPUTED_VALUE"""),"2011")</f>
        <v>2011</v>
      </c>
      <c r="AB2158" s="15" t="str">
        <f>IFERROR(__xludf.DUMMYFUNCTION("ARRAYFORMULA(VLOOKUP(A2158,IMPORTRANGE(""https://docs.google.com/spreadsheets/d/1BuTWp7qHGjWhqrnf-OmePP568O4A5Am9ttzvVdP67zw/edit#gid=1931367683"" ,""ENERGY!$A$2:$F$2692""), {2,3,4,5,6},0))"),"Europe")</f>
        <v>Europe</v>
      </c>
      <c r="AC2158" s="14" t="str">
        <f>IFERROR(__xludf.DUMMYFUNCTION("""COMPUTED_VALUE"""),"Slovenia-Europe")</f>
        <v>Slovenia-Europe</v>
      </c>
      <c r="AD2158" s="14" t="str">
        <f>IFERROR(__xludf.DUMMYFUNCTION("""COMPUTED_VALUE"""),"2007")</f>
        <v>2007</v>
      </c>
      <c r="AE2158" s="14">
        <f>IFERROR(__xludf.DUMMYFUNCTION("""COMPUTED_VALUE"""),6732.0)</f>
        <v>6732</v>
      </c>
      <c r="AF2158" s="14">
        <f>IFERROR(__xludf.DUMMYFUNCTION("""COMPUTED_VALUE"""),15163.0)</f>
        <v>15163</v>
      </c>
    </row>
    <row r="2159">
      <c r="A2159" s="12">
        <v>2158.0</v>
      </c>
      <c r="B2159" s="12" t="s">
        <v>244</v>
      </c>
      <c r="C2159" s="5" t="s">
        <v>75</v>
      </c>
      <c r="D2159" s="11">
        <v>0.339</v>
      </c>
      <c r="E2159" s="11">
        <v>6.0</v>
      </c>
      <c r="F2159" s="11">
        <v>31.0</v>
      </c>
      <c r="G2159" s="11">
        <v>260.0</v>
      </c>
      <c r="H2159" s="11">
        <v>0.683</v>
      </c>
      <c r="I2159" s="11">
        <v>1.084</v>
      </c>
      <c r="J2159" s="9" t="s">
        <v>73</v>
      </c>
      <c r="K2159" s="14" t="str">
        <f>IFERROR(__xludf.DUMMYFUNCTION("ARRAYFORMULA(VLOOKUP(A2159,IMPORTRANGE(""https://docs.google.com/spreadsheets/d/1BuTWp7qHGjWhqrnf-OmePP568O4A5Am9ttzvVdP67zw/edit#gid=1603210130"", ""TOURISM!$A$2:$F$2692""), {2,3,4,5,6},0))"),"Europe")</f>
        <v>Europe</v>
      </c>
      <c r="L2159" s="14">
        <f>IFERROR(__xludf.DUMMYFUNCTION("""COMPUTED_VALUE"""),2.841E9)</f>
        <v>2841000000</v>
      </c>
      <c r="M2159" s="14" t="str">
        <f>IFERROR(__xludf.DUMMYFUNCTION("""COMPUTED_VALUE"""),"Slovenia-Europe")</f>
        <v>Slovenia-Europe</v>
      </c>
      <c r="N2159" s="14" t="str">
        <f>IFERROR(__xludf.DUMMYFUNCTION("""COMPUTED_VALUE"""),"2012")</f>
        <v>2012</v>
      </c>
      <c r="O2159" s="14">
        <f>IFERROR(__xludf.DUMMYFUNCTION("""COMPUTED_VALUE"""),1.085E9)</f>
        <v>1085000000</v>
      </c>
      <c r="P2159" s="15">
        <f>IFERROR(__xludf.DUMMYFUNCTION("ARRAYFORMULA(VLOOKUP(A2159,IMPORTRANGE(""https://docs.google.com/spreadsheets/d/1BuTWp7qHGjWhqrnf-OmePP568O4A5Am9ttzvVdP67zw/edit#gid=771602874"" ,""HUMAN RESOURCES!$A$2:$M$2692""), {2,3,4,5,6,7,8,9,10,11,12,13},0))"),0.011)</f>
        <v>0.011</v>
      </c>
      <c r="Q2159" s="14">
        <f>IFERROR(__xludf.DUMMYFUNCTION("""COMPUTED_VALUE"""),0.002)</f>
        <v>0.002</v>
      </c>
      <c r="R2159" s="14">
        <f>IFERROR(__xludf.DUMMYFUNCTION("""COMPUTED_VALUE"""),83.0)</f>
        <v>83</v>
      </c>
      <c r="S2159" s="14">
        <f>IFERROR(__xludf.DUMMYFUNCTION("""COMPUTED_VALUE"""),77.0)</f>
        <v>77</v>
      </c>
      <c r="T2159" s="14">
        <f>IFERROR(__xludf.DUMMYFUNCTION("""COMPUTED_VALUE"""),0.142)</f>
        <v>0.142</v>
      </c>
      <c r="U2159" s="14">
        <f>IFERROR(__xludf.DUMMYFUNCTION("""COMPUTED_VALUE"""),0.688)</f>
        <v>0.688</v>
      </c>
      <c r="V2159" s="14">
        <f>IFERROR(__xludf.DUMMYFUNCTION("""COMPUTED_VALUE"""),0.171)</f>
        <v>0.171</v>
      </c>
      <c r="W2159" s="14">
        <f>IFERROR(__xludf.DUMMYFUNCTION("""COMPUTED_VALUE"""),2057159.0)</f>
        <v>2057159</v>
      </c>
      <c r="X2159" s="14">
        <f>IFERROR(__xludf.DUMMYFUNCTION("""COMPUTED_VALUE"""),0.499)</f>
        <v>0.499</v>
      </c>
      <c r="Y2159" s="14" t="str">
        <f>IFERROR(__xludf.DUMMYFUNCTION("""COMPUTED_VALUE"""),"Slovenia-Europe")</f>
        <v>Slovenia-Europe</v>
      </c>
      <c r="Z2159" s="14" t="str">
        <f>IFERROR(__xludf.DUMMYFUNCTION("""COMPUTED_VALUE"""),"Europe")</f>
        <v>Europe</v>
      </c>
      <c r="AA2159" s="14" t="str">
        <f>IFERROR(__xludf.DUMMYFUNCTION("""COMPUTED_VALUE"""),"2012")</f>
        <v>2012</v>
      </c>
      <c r="AB2159" s="15" t="str">
        <f>IFERROR(__xludf.DUMMYFUNCTION("ARRAYFORMULA(VLOOKUP(A2159,IMPORTRANGE(""https://docs.google.com/spreadsheets/d/1BuTWp7qHGjWhqrnf-OmePP568O4A5Am9ttzvVdP67zw/edit#gid=1931367683"" ,""ENERGY!$A$2:$F$2692""), {2,3,4,5,6},0))"),"Europe")</f>
        <v>Europe</v>
      </c>
      <c r="AC2159" s="14" t="str">
        <f>IFERROR(__xludf.DUMMYFUNCTION("""COMPUTED_VALUE"""),"Slovenia-Europe")</f>
        <v>Slovenia-Europe</v>
      </c>
      <c r="AD2159" s="14" t="str">
        <f>IFERROR(__xludf.DUMMYFUNCTION("""COMPUTED_VALUE"""),"2012")</f>
        <v>2012</v>
      </c>
      <c r="AE2159" s="14">
        <f>IFERROR(__xludf.DUMMYFUNCTION("""COMPUTED_VALUE"""),6413.0)</f>
        <v>6413</v>
      </c>
      <c r="AF2159" s="14">
        <f>IFERROR(__xludf.DUMMYFUNCTION("""COMPUTED_VALUE"""),14265.0)</f>
        <v>14265</v>
      </c>
    </row>
    <row r="2160">
      <c r="A2160" s="12">
        <v>2159.0</v>
      </c>
      <c r="B2160" s="12" t="s">
        <v>245</v>
      </c>
      <c r="C2160" s="5" t="s">
        <v>80</v>
      </c>
      <c r="D2160" s="8"/>
      <c r="E2160" s="8"/>
      <c r="F2160" s="8"/>
      <c r="G2160" s="8"/>
      <c r="H2160" s="11">
        <v>0.005</v>
      </c>
      <c r="I2160" s="11">
        <v>0.003</v>
      </c>
      <c r="J2160" s="9" t="s">
        <v>60</v>
      </c>
      <c r="K2160" s="14" t="str">
        <f>IFERROR(__xludf.DUMMYFUNCTION("ARRAYFORMULA(VLOOKUP(A2160,IMPORTRANGE(""https://docs.google.com/spreadsheets/d/1BuTWp7qHGjWhqrnf-OmePP568O4A5Am9ttzvVdP67zw/edit#gid=1603210130"", ""TOURISM!$A$2:$F$2692""), {2,3,4,5,6},0))"),"Oceania")</f>
        <v>Oceania</v>
      </c>
      <c r="L2160" s="14">
        <f>IFERROR(__xludf.DUMMYFUNCTION("""COMPUTED_VALUE"""),4000000.0)</f>
        <v>4000000</v>
      </c>
      <c r="M2160" s="14" t="str">
        <f>IFERROR(__xludf.DUMMYFUNCTION("""COMPUTED_VALUE"""),"Solomon Islands-Oceania")</f>
        <v>Solomon Islands-Oceania</v>
      </c>
      <c r="N2160" s="14" t="str">
        <f>IFERROR(__xludf.DUMMYFUNCTION("""COMPUTED_VALUE"""),"2000")</f>
        <v>2000</v>
      </c>
      <c r="O2160" s="14">
        <f>IFERROR(__xludf.DUMMYFUNCTION("""COMPUTED_VALUE"""),1.22E7)</f>
        <v>12200000</v>
      </c>
      <c r="P2160" s="15">
        <f>IFERROR(__xludf.DUMMYFUNCTION("ARRAYFORMULA(VLOOKUP(A2160,IMPORTRANGE(""https://docs.google.com/spreadsheets/d/1BuTWp7qHGjWhqrnf-OmePP568O4A5Am9ttzvVdP67zw/edit#gid=771602874"" ,""HUMAN RESOURCES!$A$2:$M$2692""), {2,3,4,5,6,7,8,9,10,11,12,13},0))"),0.036)</f>
        <v>0.036</v>
      </c>
      <c r="Q2160" s="14">
        <f>IFERROR(__xludf.DUMMYFUNCTION("""COMPUTED_VALUE"""),0.028)</f>
        <v>0.028</v>
      </c>
      <c r="R2160" s="14">
        <f>IFERROR(__xludf.DUMMYFUNCTION("""COMPUTED_VALUE"""),64.0)</f>
        <v>64</v>
      </c>
      <c r="S2160" s="14">
        <f>IFERROR(__xludf.DUMMYFUNCTION("""COMPUTED_VALUE"""),62.0)</f>
        <v>62</v>
      </c>
      <c r="T2160" s="14">
        <f>IFERROR(__xludf.DUMMYFUNCTION("""COMPUTED_VALUE"""),0.419)</f>
        <v>0.419</v>
      </c>
      <c r="U2160" s="14">
        <f>IFERROR(__xludf.DUMMYFUNCTION("""COMPUTED_VALUE"""),0.553)</f>
        <v>0.553</v>
      </c>
      <c r="V2160" s="14">
        <f>IFERROR(__xludf.DUMMYFUNCTION("""COMPUTED_VALUE"""),0.028)</f>
        <v>0.028</v>
      </c>
      <c r="W2160" s="14">
        <f>IFERROR(__xludf.DUMMYFUNCTION("""COMPUTED_VALUE"""),412336.0)</f>
        <v>412336</v>
      </c>
      <c r="X2160" s="14">
        <f>IFERROR(__xludf.DUMMYFUNCTION("""COMPUTED_VALUE"""),0.158)</f>
        <v>0.158</v>
      </c>
      <c r="Y2160" s="14" t="str">
        <f>IFERROR(__xludf.DUMMYFUNCTION("""COMPUTED_VALUE"""),"Solomon Islands-Oceania")</f>
        <v>Solomon Islands-Oceania</v>
      </c>
      <c r="Z2160" s="14" t="str">
        <f>IFERROR(__xludf.DUMMYFUNCTION("""COMPUTED_VALUE"""),"Oceania")</f>
        <v>Oceania</v>
      </c>
      <c r="AA2160" s="14" t="str">
        <f>IFERROR(__xludf.DUMMYFUNCTION("""COMPUTED_VALUE"""),"2000")</f>
        <v>2000</v>
      </c>
      <c r="AB2160" s="15" t="str">
        <f>IFERROR(__xludf.DUMMYFUNCTION("ARRAYFORMULA(VLOOKUP(A2160,IMPORTRANGE(""https://docs.google.com/spreadsheets/d/1BuTWp7qHGjWhqrnf-OmePP568O4A5Am9ttzvVdP67zw/edit#gid=1931367683"" ,""ENERGY!$A$2:$F$2692""), {2,3,4,5,6},0))"),"Oceania")</f>
        <v>Oceania</v>
      </c>
      <c r="AC2160" s="14" t="str">
        <f>IFERROR(__xludf.DUMMYFUNCTION("""COMPUTED_VALUE"""),"Solomon Islands-Oceania")</f>
        <v>Solomon Islands-Oceania</v>
      </c>
      <c r="AD2160" s="14" t="str">
        <f>IFERROR(__xludf.DUMMYFUNCTION("""COMPUTED_VALUE"""),"2000")</f>
        <v>2000</v>
      </c>
      <c r="AE2160" s="14"/>
      <c r="AF2160" s="14"/>
    </row>
    <row r="2161">
      <c r="A2161" s="12">
        <v>2160.0</v>
      </c>
      <c r="B2161" s="12" t="s">
        <v>245</v>
      </c>
      <c r="C2161" s="5" t="s">
        <v>80</v>
      </c>
      <c r="D2161" s="8"/>
      <c r="E2161" s="8"/>
      <c r="F2161" s="8"/>
      <c r="G2161" s="8"/>
      <c r="H2161" s="11">
        <v>0.005</v>
      </c>
      <c r="I2161" s="11">
        <v>0.002</v>
      </c>
      <c r="J2161" s="9" t="s">
        <v>62</v>
      </c>
      <c r="K2161" s="14" t="str">
        <f>IFERROR(__xludf.DUMMYFUNCTION("ARRAYFORMULA(VLOOKUP(A2161,IMPORTRANGE(""https://docs.google.com/spreadsheets/d/1BuTWp7qHGjWhqrnf-OmePP568O4A5Am9ttzvVdP67zw/edit#gid=1603210130"", ""TOURISM!$A$2:$F$2692""), {2,3,4,5,6},0))"),"Oceania")</f>
        <v>Oceania</v>
      </c>
      <c r="L2161" s="14">
        <f>IFERROR(__xludf.DUMMYFUNCTION("""COMPUTED_VALUE"""),8800000.0)</f>
        <v>8800000</v>
      </c>
      <c r="M2161" s="14" t="str">
        <f>IFERROR(__xludf.DUMMYFUNCTION("""COMPUTED_VALUE"""),"Solomon Islands-Oceania")</f>
        <v>Solomon Islands-Oceania</v>
      </c>
      <c r="N2161" s="14" t="str">
        <f>IFERROR(__xludf.DUMMYFUNCTION("""COMPUTED_VALUE"""),"2001")</f>
        <v>2001</v>
      </c>
      <c r="O2161" s="14">
        <f>IFERROR(__xludf.DUMMYFUNCTION("""COMPUTED_VALUE"""),1.05E7)</f>
        <v>10500000</v>
      </c>
      <c r="P2161" s="15">
        <f>IFERROR(__xludf.DUMMYFUNCTION("ARRAYFORMULA(VLOOKUP(A2161,IMPORTRANGE(""https://docs.google.com/spreadsheets/d/1BuTWp7qHGjWhqrnf-OmePP568O4A5Am9ttzvVdP67zw/edit#gid=771602874"" ,""HUMAN RESOURCES!$A$2:$M$2692""), {2,3,4,5,6,7,8,9,10,11,12,13},0))"),0.035)</f>
        <v>0.035</v>
      </c>
      <c r="Q2161" s="14">
        <f>IFERROR(__xludf.DUMMYFUNCTION("""COMPUTED_VALUE"""),0.029)</f>
        <v>0.029</v>
      </c>
      <c r="R2161" s="14">
        <f>IFERROR(__xludf.DUMMYFUNCTION("""COMPUTED_VALUE"""),65.0)</f>
        <v>65</v>
      </c>
      <c r="S2161" s="14">
        <f>IFERROR(__xludf.DUMMYFUNCTION("""COMPUTED_VALUE"""),62.0)</f>
        <v>62</v>
      </c>
      <c r="T2161" s="14">
        <f>IFERROR(__xludf.DUMMYFUNCTION("""COMPUTED_VALUE"""),0.418)</f>
        <v>0.418</v>
      </c>
      <c r="U2161" s="14">
        <f>IFERROR(__xludf.DUMMYFUNCTION("""COMPUTED_VALUE"""),0.554)</f>
        <v>0.554</v>
      </c>
      <c r="V2161" s="14">
        <f>IFERROR(__xludf.DUMMYFUNCTION("""COMPUTED_VALUE"""),0.029)</f>
        <v>0.029</v>
      </c>
      <c r="W2161" s="14">
        <f>IFERROR(__xludf.DUMMYFUNCTION("""COMPUTED_VALUE"""),423529.0)</f>
        <v>423529</v>
      </c>
      <c r="X2161" s="14">
        <f>IFERROR(__xludf.DUMMYFUNCTION("""COMPUTED_VALUE"""),0.162)</f>
        <v>0.162</v>
      </c>
      <c r="Y2161" s="14" t="str">
        <f>IFERROR(__xludf.DUMMYFUNCTION("""COMPUTED_VALUE"""),"Solomon Islands-Oceania")</f>
        <v>Solomon Islands-Oceania</v>
      </c>
      <c r="Z2161" s="14" t="str">
        <f>IFERROR(__xludf.DUMMYFUNCTION("""COMPUTED_VALUE"""),"Oceania")</f>
        <v>Oceania</v>
      </c>
      <c r="AA2161" s="14" t="str">
        <f>IFERROR(__xludf.DUMMYFUNCTION("""COMPUTED_VALUE"""),"2001")</f>
        <v>2001</v>
      </c>
      <c r="AB2161" s="15" t="str">
        <f>IFERROR(__xludf.DUMMYFUNCTION("ARRAYFORMULA(VLOOKUP(A2161,IMPORTRANGE(""https://docs.google.com/spreadsheets/d/1BuTWp7qHGjWhqrnf-OmePP568O4A5Am9ttzvVdP67zw/edit#gid=1931367683"" ,""ENERGY!$A$2:$F$2692""), {2,3,4,5,6},0))"),"Oceania")</f>
        <v>Oceania</v>
      </c>
      <c r="AC2161" s="14" t="str">
        <f>IFERROR(__xludf.DUMMYFUNCTION("""COMPUTED_VALUE"""),"Solomon Islands-Oceania")</f>
        <v>Solomon Islands-Oceania</v>
      </c>
      <c r="AD2161" s="14" t="str">
        <f>IFERROR(__xludf.DUMMYFUNCTION("""COMPUTED_VALUE"""),"2001")</f>
        <v>2001</v>
      </c>
      <c r="AE2161" s="14"/>
      <c r="AF2161" s="14"/>
    </row>
    <row r="2162">
      <c r="A2162" s="12">
        <v>2161.0</v>
      </c>
      <c r="B2162" s="12" t="s">
        <v>245</v>
      </c>
      <c r="C2162" s="5" t="s">
        <v>80</v>
      </c>
      <c r="D2162" s="8"/>
      <c r="E2162" s="8"/>
      <c r="F2162" s="8"/>
      <c r="G2162" s="8"/>
      <c r="H2162" s="11">
        <v>0.005</v>
      </c>
      <c r="I2162" s="11">
        <v>0.002</v>
      </c>
      <c r="J2162" s="9" t="s">
        <v>63</v>
      </c>
      <c r="K2162" s="14" t="str">
        <f>IFERROR(__xludf.DUMMYFUNCTION("ARRAYFORMULA(VLOOKUP(A2162,IMPORTRANGE(""https://docs.google.com/spreadsheets/d/1BuTWp7qHGjWhqrnf-OmePP568O4A5Am9ttzvVdP67zw/edit#gid=1603210130"", ""TOURISM!$A$2:$F$2692""), {2,3,4,5,6},0))"),"Oceania")</f>
        <v>Oceania</v>
      </c>
      <c r="L2162" s="14">
        <f>IFERROR(__xludf.DUMMYFUNCTION("""COMPUTED_VALUE"""),800000.0)</f>
        <v>800000</v>
      </c>
      <c r="M2162" s="14" t="str">
        <f>IFERROR(__xludf.DUMMYFUNCTION("""COMPUTED_VALUE"""),"Solomon Islands-Oceania")</f>
        <v>Solomon Islands-Oceania</v>
      </c>
      <c r="N2162" s="14" t="str">
        <f>IFERROR(__xludf.DUMMYFUNCTION("""COMPUTED_VALUE"""),"2002")</f>
        <v>2002</v>
      </c>
      <c r="O2162" s="14">
        <f>IFERROR(__xludf.DUMMYFUNCTION("""COMPUTED_VALUE"""),8500000.0)</f>
        <v>8500000</v>
      </c>
      <c r="P2162" s="15">
        <f>IFERROR(__xludf.DUMMYFUNCTION("ARRAYFORMULA(VLOOKUP(A2162,IMPORTRANGE(""https://docs.google.com/spreadsheets/d/1BuTWp7qHGjWhqrnf-OmePP568O4A5Am9ttzvVdP67zw/edit#gid=771602874"" ,""HUMAN RESOURCES!$A$2:$M$2692""), {2,3,4,5,6,7,8,9,10,11,12,13},0))"),0.035)</f>
        <v>0.035</v>
      </c>
      <c r="Q2162" s="14">
        <f>IFERROR(__xludf.DUMMYFUNCTION("""COMPUTED_VALUE"""),0.029)</f>
        <v>0.029</v>
      </c>
      <c r="R2162" s="14">
        <f>IFERROR(__xludf.DUMMYFUNCTION("""COMPUTED_VALUE"""),66.0)</f>
        <v>66</v>
      </c>
      <c r="S2162" s="14">
        <f>IFERROR(__xludf.DUMMYFUNCTION("""COMPUTED_VALUE"""),63.0)</f>
        <v>63</v>
      </c>
      <c r="T2162" s="14">
        <f>IFERROR(__xludf.DUMMYFUNCTION("""COMPUTED_VALUE"""),0.416)</f>
        <v>0.416</v>
      </c>
      <c r="U2162" s="14">
        <f>IFERROR(__xludf.DUMMYFUNCTION("""COMPUTED_VALUE"""),0.555)</f>
        <v>0.555</v>
      </c>
      <c r="V2162" s="14">
        <f>IFERROR(__xludf.DUMMYFUNCTION("""COMPUTED_VALUE"""),0.029)</f>
        <v>0.029</v>
      </c>
      <c r="W2162" s="14">
        <f>IFERROR(__xludf.DUMMYFUNCTION("""COMPUTED_VALUE"""),434880.0)</f>
        <v>434880</v>
      </c>
      <c r="X2162" s="14">
        <f>IFERROR(__xludf.DUMMYFUNCTION("""COMPUTED_VALUE"""),0.166)</f>
        <v>0.166</v>
      </c>
      <c r="Y2162" s="14" t="str">
        <f>IFERROR(__xludf.DUMMYFUNCTION("""COMPUTED_VALUE"""),"Solomon Islands-Oceania")</f>
        <v>Solomon Islands-Oceania</v>
      </c>
      <c r="Z2162" s="14" t="str">
        <f>IFERROR(__xludf.DUMMYFUNCTION("""COMPUTED_VALUE"""),"Oceania")</f>
        <v>Oceania</v>
      </c>
      <c r="AA2162" s="14" t="str">
        <f>IFERROR(__xludf.DUMMYFUNCTION("""COMPUTED_VALUE"""),"2002")</f>
        <v>2002</v>
      </c>
      <c r="AB2162" s="15" t="str">
        <f>IFERROR(__xludf.DUMMYFUNCTION("ARRAYFORMULA(VLOOKUP(A2162,IMPORTRANGE(""https://docs.google.com/spreadsheets/d/1BuTWp7qHGjWhqrnf-OmePP568O4A5Am9ttzvVdP67zw/edit#gid=1931367683"" ,""ENERGY!$A$2:$F$2692""), {2,3,4,5,6},0))"),"Oceania")</f>
        <v>Oceania</v>
      </c>
      <c r="AC2162" s="14" t="str">
        <f>IFERROR(__xludf.DUMMYFUNCTION("""COMPUTED_VALUE"""),"Solomon Islands-Oceania")</f>
        <v>Solomon Islands-Oceania</v>
      </c>
      <c r="AD2162" s="14" t="str">
        <f>IFERROR(__xludf.DUMMYFUNCTION("""COMPUTED_VALUE"""),"2002")</f>
        <v>2002</v>
      </c>
      <c r="AE2162" s="14"/>
      <c r="AF2162" s="14">
        <f>IFERROR(__xludf.DUMMYFUNCTION("""COMPUTED_VALUE"""),202.0)</f>
        <v>202</v>
      </c>
    </row>
    <row r="2163">
      <c r="A2163" s="12">
        <v>2162.0</v>
      </c>
      <c r="B2163" s="12" t="s">
        <v>245</v>
      </c>
      <c r="C2163" s="5" t="s">
        <v>80</v>
      </c>
      <c r="D2163" s="8"/>
      <c r="E2163" s="11">
        <v>56.0</v>
      </c>
      <c r="F2163" s="8"/>
      <c r="G2163" s="8"/>
      <c r="H2163" s="11">
        <v>0.006</v>
      </c>
      <c r="I2163" s="11">
        <v>0.002</v>
      </c>
      <c r="J2163" s="9" t="s">
        <v>64</v>
      </c>
      <c r="K2163" s="14" t="str">
        <f>IFERROR(__xludf.DUMMYFUNCTION("ARRAYFORMULA(VLOOKUP(A2163,IMPORTRANGE(""https://docs.google.com/spreadsheets/d/1BuTWp7qHGjWhqrnf-OmePP568O4A5Am9ttzvVdP67zw/edit#gid=1603210130"", ""TOURISM!$A$2:$F$2692""), {2,3,4,5,6},0))"),"Oceania")</f>
        <v>Oceania</v>
      </c>
      <c r="L2163" s="14">
        <f>IFERROR(__xludf.DUMMYFUNCTION("""COMPUTED_VALUE"""),1600000.0)</f>
        <v>1600000</v>
      </c>
      <c r="M2163" s="14" t="str">
        <f>IFERROR(__xludf.DUMMYFUNCTION("""COMPUTED_VALUE"""),"Solomon Islands-Oceania")</f>
        <v>Solomon Islands-Oceania</v>
      </c>
      <c r="N2163" s="14" t="str">
        <f>IFERROR(__xludf.DUMMYFUNCTION("""COMPUTED_VALUE"""),"2003")</f>
        <v>2003</v>
      </c>
      <c r="O2163" s="14">
        <f>IFERROR(__xludf.DUMMYFUNCTION("""COMPUTED_VALUE"""),6400000.0)</f>
        <v>6400000</v>
      </c>
      <c r="P2163" s="15">
        <f>IFERROR(__xludf.DUMMYFUNCTION("ARRAYFORMULA(VLOOKUP(A2163,IMPORTRANGE(""https://docs.google.com/spreadsheets/d/1BuTWp7qHGjWhqrnf-OmePP568O4A5Am9ttzvVdP67zw/edit#gid=771602874"" ,""HUMAN RESOURCES!$A$2:$M$2692""), {2,3,4,5,6,7,8,9,10,11,12,13},0))"),0.035)</f>
        <v>0.035</v>
      </c>
      <c r="Q2163" s="14">
        <f>IFERROR(__xludf.DUMMYFUNCTION("""COMPUTED_VALUE"""),0.029)</f>
        <v>0.029</v>
      </c>
      <c r="R2163" s="14">
        <f>IFERROR(__xludf.DUMMYFUNCTION("""COMPUTED_VALUE"""),66.0)</f>
        <v>66</v>
      </c>
      <c r="S2163" s="14">
        <f>IFERROR(__xludf.DUMMYFUNCTION("""COMPUTED_VALUE"""),63.0)</f>
        <v>63</v>
      </c>
      <c r="T2163" s="14">
        <f>IFERROR(__xludf.DUMMYFUNCTION("""COMPUTED_VALUE"""),0.415)</f>
        <v>0.415</v>
      </c>
      <c r="U2163" s="14">
        <f>IFERROR(__xludf.DUMMYFUNCTION("""COMPUTED_VALUE"""),0.556)</f>
        <v>0.556</v>
      </c>
      <c r="V2163" s="14">
        <f>IFERROR(__xludf.DUMMYFUNCTION("""COMPUTED_VALUE"""),0.029)</f>
        <v>0.029</v>
      </c>
      <c r="W2163" s="14">
        <f>IFERROR(__xludf.DUMMYFUNCTION("""COMPUTED_VALUE"""),446335.0)</f>
        <v>446335</v>
      </c>
      <c r="X2163" s="14">
        <f>IFERROR(__xludf.DUMMYFUNCTION("""COMPUTED_VALUE"""),0.17)</f>
        <v>0.17</v>
      </c>
      <c r="Y2163" s="14" t="str">
        <f>IFERROR(__xludf.DUMMYFUNCTION("""COMPUTED_VALUE"""),"Solomon Islands-Oceania")</f>
        <v>Solomon Islands-Oceania</v>
      </c>
      <c r="Z2163" s="14" t="str">
        <f>IFERROR(__xludf.DUMMYFUNCTION("""COMPUTED_VALUE"""),"Oceania")</f>
        <v>Oceania</v>
      </c>
      <c r="AA2163" s="14" t="str">
        <f>IFERROR(__xludf.DUMMYFUNCTION("""COMPUTED_VALUE"""),"2003")</f>
        <v>2003</v>
      </c>
      <c r="AB2163" s="15" t="str">
        <f>IFERROR(__xludf.DUMMYFUNCTION("ARRAYFORMULA(VLOOKUP(A2163,IMPORTRANGE(""https://docs.google.com/spreadsheets/d/1BuTWp7qHGjWhqrnf-OmePP568O4A5Am9ttzvVdP67zw/edit#gid=1931367683"" ,""ENERGY!$A$2:$F$2692""), {2,3,4,5,6},0))"),"Oceania")</f>
        <v>Oceania</v>
      </c>
      <c r="AC2163" s="14" t="str">
        <f>IFERROR(__xludf.DUMMYFUNCTION("""COMPUTED_VALUE"""),"Solomon Islands-Oceania")</f>
        <v>Solomon Islands-Oceania</v>
      </c>
      <c r="AD2163" s="14" t="str">
        <f>IFERROR(__xludf.DUMMYFUNCTION("""COMPUTED_VALUE"""),"2003")</f>
        <v>2003</v>
      </c>
      <c r="AE2163" s="14"/>
      <c r="AF2163" s="14">
        <f>IFERROR(__xludf.DUMMYFUNCTION("""COMPUTED_VALUE"""),198.0)</f>
        <v>198</v>
      </c>
    </row>
    <row r="2164">
      <c r="A2164" s="12">
        <v>2163.0</v>
      </c>
      <c r="B2164" s="12" t="s">
        <v>245</v>
      </c>
      <c r="C2164" s="5" t="s">
        <v>80</v>
      </c>
      <c r="D2164" s="8"/>
      <c r="E2164" s="11">
        <v>56.0</v>
      </c>
      <c r="F2164" s="8"/>
      <c r="G2164" s="8"/>
      <c r="H2164" s="11">
        <v>0.006</v>
      </c>
      <c r="I2164" s="11">
        <v>0.007</v>
      </c>
      <c r="J2164" s="9" t="s">
        <v>65</v>
      </c>
      <c r="K2164" s="14" t="str">
        <f>IFERROR(__xludf.DUMMYFUNCTION("ARRAYFORMULA(VLOOKUP(A2164,IMPORTRANGE(""https://docs.google.com/spreadsheets/d/1BuTWp7qHGjWhqrnf-OmePP568O4A5Am9ttzvVdP67zw/edit#gid=1603210130"", ""TOURISM!$A$2:$F$2692""), {2,3,4,5,6},0))"),"Oceania")</f>
        <v>Oceania</v>
      </c>
      <c r="L2164" s="14">
        <f>IFERROR(__xludf.DUMMYFUNCTION("""COMPUTED_VALUE"""),3500000.0)</f>
        <v>3500000</v>
      </c>
      <c r="M2164" s="14" t="str">
        <f>IFERROR(__xludf.DUMMYFUNCTION("""COMPUTED_VALUE"""),"Solomon Islands-Oceania")</f>
        <v>Solomon Islands-Oceania</v>
      </c>
      <c r="N2164" s="14" t="str">
        <f>IFERROR(__xludf.DUMMYFUNCTION("""COMPUTED_VALUE"""),"2004")</f>
        <v>2004</v>
      </c>
      <c r="O2164" s="14">
        <f>IFERROR(__xludf.DUMMYFUNCTION("""COMPUTED_VALUE"""),1.23E7)</f>
        <v>12300000</v>
      </c>
      <c r="P2164" s="15">
        <f>IFERROR(__xludf.DUMMYFUNCTION("ARRAYFORMULA(VLOOKUP(A2164,IMPORTRANGE(""https://docs.google.com/spreadsheets/d/1BuTWp7qHGjWhqrnf-OmePP568O4A5Am9ttzvVdP67zw/edit#gid=771602874"" ,""HUMAN RESOURCES!$A$2:$M$2692""), {2,3,4,5,6,7,8,9,10,11,12,13},0))"),0.035)</f>
        <v>0.035</v>
      </c>
      <c r="Q2164" s="14">
        <f>IFERROR(__xludf.DUMMYFUNCTION("""COMPUTED_VALUE"""),0.029)</f>
        <v>0.029</v>
      </c>
      <c r="R2164" s="14">
        <f>IFERROR(__xludf.DUMMYFUNCTION("""COMPUTED_VALUE"""),67.0)</f>
        <v>67</v>
      </c>
      <c r="S2164" s="14">
        <f>IFERROR(__xludf.DUMMYFUNCTION("""COMPUTED_VALUE"""),64.0)</f>
        <v>64</v>
      </c>
      <c r="T2164" s="14">
        <f>IFERROR(__xludf.DUMMYFUNCTION("""COMPUTED_VALUE"""),0.414)</f>
        <v>0.414</v>
      </c>
      <c r="U2164" s="14">
        <f>IFERROR(__xludf.DUMMYFUNCTION("""COMPUTED_VALUE"""),0.557)</f>
        <v>0.557</v>
      </c>
      <c r="V2164" s="14">
        <f>IFERROR(__xludf.DUMMYFUNCTION("""COMPUTED_VALUE"""),0.029)</f>
        <v>0.029</v>
      </c>
      <c r="W2164" s="14">
        <f>IFERROR(__xludf.DUMMYFUNCTION("""COMPUTED_VALUE"""),457827.0)</f>
        <v>457827</v>
      </c>
      <c r="X2164" s="14">
        <f>IFERROR(__xludf.DUMMYFUNCTION("""COMPUTED_VALUE"""),0.174)</f>
        <v>0.174</v>
      </c>
      <c r="Y2164" s="14" t="str">
        <f>IFERROR(__xludf.DUMMYFUNCTION("""COMPUTED_VALUE"""),"Solomon Islands-Oceania")</f>
        <v>Solomon Islands-Oceania</v>
      </c>
      <c r="Z2164" s="14" t="str">
        <f>IFERROR(__xludf.DUMMYFUNCTION("""COMPUTED_VALUE"""),"Oceania")</f>
        <v>Oceania</v>
      </c>
      <c r="AA2164" s="14" t="str">
        <f>IFERROR(__xludf.DUMMYFUNCTION("""COMPUTED_VALUE"""),"2004")</f>
        <v>2004</v>
      </c>
      <c r="AB2164" s="15" t="str">
        <f>IFERROR(__xludf.DUMMYFUNCTION("ARRAYFORMULA(VLOOKUP(A2164,IMPORTRANGE(""https://docs.google.com/spreadsheets/d/1BuTWp7qHGjWhqrnf-OmePP568O4A5Am9ttzvVdP67zw/edit#gid=1931367683"" ,""ENERGY!$A$2:$F$2692""), {2,3,4,5,6},0))"),"Oceania")</f>
        <v>Oceania</v>
      </c>
      <c r="AC2164" s="14" t="str">
        <f>IFERROR(__xludf.DUMMYFUNCTION("""COMPUTED_VALUE"""),"Solomon Islands-Oceania")</f>
        <v>Solomon Islands-Oceania</v>
      </c>
      <c r="AD2164" s="14" t="str">
        <f>IFERROR(__xludf.DUMMYFUNCTION("""COMPUTED_VALUE"""),"2004")</f>
        <v>2004</v>
      </c>
      <c r="AE2164" s="14"/>
      <c r="AF2164" s="14">
        <f>IFERROR(__xludf.DUMMYFUNCTION("""COMPUTED_VALUE"""),198.0)</f>
        <v>198</v>
      </c>
    </row>
    <row r="2165">
      <c r="A2165" s="12">
        <v>2164.0</v>
      </c>
      <c r="B2165" s="12" t="s">
        <v>245</v>
      </c>
      <c r="C2165" s="5" t="s">
        <v>80</v>
      </c>
      <c r="D2165" s="11">
        <v>0.261</v>
      </c>
      <c r="E2165" s="11">
        <v>56.0</v>
      </c>
      <c r="F2165" s="8"/>
      <c r="G2165" s="11">
        <v>80.0</v>
      </c>
      <c r="H2165" s="11">
        <v>0.008</v>
      </c>
      <c r="I2165" s="11">
        <v>0.013</v>
      </c>
      <c r="J2165" s="9" t="s">
        <v>66</v>
      </c>
      <c r="K2165" s="14" t="str">
        <f>IFERROR(__xludf.DUMMYFUNCTION("ARRAYFORMULA(VLOOKUP(A2165,IMPORTRANGE(""https://docs.google.com/spreadsheets/d/1BuTWp7qHGjWhqrnf-OmePP568O4A5Am9ttzvVdP67zw/edit#gid=1603210130"", ""TOURISM!$A$2:$F$2692""), {2,3,4,5,6},0))"),"Oceania")</f>
        <v>Oceania</v>
      </c>
      <c r="L2165" s="14">
        <f>IFERROR(__xludf.DUMMYFUNCTION("""COMPUTED_VALUE"""),6400000.0)</f>
        <v>6400000</v>
      </c>
      <c r="M2165" s="14" t="str">
        <f>IFERROR(__xludf.DUMMYFUNCTION("""COMPUTED_VALUE"""),"Solomon Islands-Oceania")</f>
        <v>Solomon Islands-Oceania</v>
      </c>
      <c r="N2165" s="14" t="str">
        <f>IFERROR(__xludf.DUMMYFUNCTION("""COMPUTED_VALUE"""),"2005")</f>
        <v>2005</v>
      </c>
      <c r="O2165" s="14">
        <f>IFERROR(__xludf.DUMMYFUNCTION("""COMPUTED_VALUE"""),1.12E7)</f>
        <v>11200000</v>
      </c>
      <c r="P2165" s="15">
        <f>IFERROR(__xludf.DUMMYFUNCTION("ARRAYFORMULA(VLOOKUP(A2165,IMPORTRANGE(""https://docs.google.com/spreadsheets/d/1BuTWp7qHGjWhqrnf-OmePP568O4A5Am9ttzvVdP67zw/edit#gid=771602874"" ,""HUMAN RESOURCES!$A$2:$M$2692""), {2,3,4,5,6,7,8,9,10,11,12,13},0))"),0.035)</f>
        <v>0.035</v>
      </c>
      <c r="Q2165" s="14">
        <f>IFERROR(__xludf.DUMMYFUNCTION("""COMPUTED_VALUE"""),0.029)</f>
        <v>0.029</v>
      </c>
      <c r="R2165" s="14">
        <f>IFERROR(__xludf.DUMMYFUNCTION("""COMPUTED_VALUE"""),67.0)</f>
        <v>67</v>
      </c>
      <c r="S2165" s="14">
        <f>IFERROR(__xludf.DUMMYFUNCTION("""COMPUTED_VALUE"""),64.0)</f>
        <v>64</v>
      </c>
      <c r="T2165" s="14">
        <f>IFERROR(__xludf.DUMMYFUNCTION("""COMPUTED_VALUE"""),0.413)</f>
        <v>0.413</v>
      </c>
      <c r="U2165" s="14">
        <f>IFERROR(__xludf.DUMMYFUNCTION("""COMPUTED_VALUE"""),0.557)</f>
        <v>0.557</v>
      </c>
      <c r="V2165" s="14">
        <f>IFERROR(__xludf.DUMMYFUNCTION("""COMPUTED_VALUE"""),0.03)</f>
        <v>0.03</v>
      </c>
      <c r="W2165" s="14">
        <f>IFERROR(__xludf.DUMMYFUNCTION("""COMPUTED_VALUE"""),469306.0)</f>
        <v>469306</v>
      </c>
      <c r="X2165" s="14">
        <f>IFERROR(__xludf.DUMMYFUNCTION("""COMPUTED_VALUE"""),0.178)</f>
        <v>0.178</v>
      </c>
      <c r="Y2165" s="14" t="str">
        <f>IFERROR(__xludf.DUMMYFUNCTION("""COMPUTED_VALUE"""),"Solomon Islands-Oceania")</f>
        <v>Solomon Islands-Oceania</v>
      </c>
      <c r="Z2165" s="14" t="str">
        <f>IFERROR(__xludf.DUMMYFUNCTION("""COMPUTED_VALUE"""),"Oceania")</f>
        <v>Oceania</v>
      </c>
      <c r="AA2165" s="14" t="str">
        <f>IFERROR(__xludf.DUMMYFUNCTION("""COMPUTED_VALUE"""),"2005")</f>
        <v>2005</v>
      </c>
      <c r="AB2165" s="15" t="str">
        <f>IFERROR(__xludf.DUMMYFUNCTION("ARRAYFORMULA(VLOOKUP(A2165,IMPORTRANGE(""https://docs.google.com/spreadsheets/d/1BuTWp7qHGjWhqrnf-OmePP568O4A5Am9ttzvVdP67zw/edit#gid=1931367683"" ,""ENERGY!$A$2:$F$2692""), {2,3,4,5,6},0))"),"Oceania")</f>
        <v>Oceania</v>
      </c>
      <c r="AC2165" s="14" t="str">
        <f>IFERROR(__xludf.DUMMYFUNCTION("""COMPUTED_VALUE"""),"Solomon Islands-Oceania")</f>
        <v>Solomon Islands-Oceania</v>
      </c>
      <c r="AD2165" s="14" t="str">
        <f>IFERROR(__xludf.DUMMYFUNCTION("""COMPUTED_VALUE"""),"2008")</f>
        <v>2008</v>
      </c>
      <c r="AE2165" s="14">
        <f>IFERROR(__xludf.DUMMYFUNCTION("""COMPUTED_VALUE"""),64.0)</f>
        <v>64</v>
      </c>
      <c r="AF2165" s="14">
        <f>IFERROR(__xludf.DUMMYFUNCTION("""COMPUTED_VALUE"""),198.0)</f>
        <v>198</v>
      </c>
    </row>
    <row r="2166">
      <c r="A2166" s="12">
        <v>2165.0</v>
      </c>
      <c r="B2166" s="12" t="s">
        <v>245</v>
      </c>
      <c r="C2166" s="5" t="s">
        <v>80</v>
      </c>
      <c r="D2166" s="11">
        <v>0.261</v>
      </c>
      <c r="E2166" s="11">
        <v>56.0</v>
      </c>
      <c r="F2166" s="8"/>
      <c r="G2166" s="11">
        <v>80.0</v>
      </c>
      <c r="H2166" s="11">
        <v>0.016</v>
      </c>
      <c r="I2166" s="11">
        <v>0.015</v>
      </c>
      <c r="J2166" s="9" t="s">
        <v>67</v>
      </c>
      <c r="K2166" s="14" t="str">
        <f>IFERROR(__xludf.DUMMYFUNCTION("ARRAYFORMULA(VLOOKUP(A2166,IMPORTRANGE(""https://docs.google.com/spreadsheets/d/1BuTWp7qHGjWhqrnf-OmePP568O4A5Am9ttzvVdP67zw/edit#gid=1603210130"", ""TOURISM!$A$2:$F$2692""), {2,3,4,5,6},0))"),"Oceania")</f>
        <v>Oceania</v>
      </c>
      <c r="L2166" s="14">
        <f>IFERROR(__xludf.DUMMYFUNCTION("""COMPUTED_VALUE"""),3.53E7)</f>
        <v>35300000</v>
      </c>
      <c r="M2166" s="14" t="str">
        <f>IFERROR(__xludf.DUMMYFUNCTION("""COMPUTED_VALUE"""),"Solomon Islands-Oceania")</f>
        <v>Solomon Islands-Oceania</v>
      </c>
      <c r="N2166" s="14" t="str">
        <f>IFERROR(__xludf.DUMMYFUNCTION("""COMPUTED_VALUE"""),"2006")</f>
        <v>2006</v>
      </c>
      <c r="O2166" s="14">
        <f>IFERROR(__xludf.DUMMYFUNCTION("""COMPUTED_VALUE"""),2.65E7)</f>
        <v>26500000</v>
      </c>
      <c r="P2166" s="15">
        <f>IFERROR(__xludf.DUMMYFUNCTION("ARRAYFORMULA(VLOOKUP(A2166,IMPORTRANGE(""https://docs.google.com/spreadsheets/d/1BuTWp7qHGjWhqrnf-OmePP568O4A5Am9ttzvVdP67zw/edit#gid=771602874"" ,""HUMAN RESOURCES!$A$2:$M$2692""), {2,3,4,5,6,7,8,9,10,11,12,13},0))"),0.034)</f>
        <v>0.034</v>
      </c>
      <c r="Q2166" s="14">
        <f>IFERROR(__xludf.DUMMYFUNCTION("""COMPUTED_VALUE"""),0.029)</f>
        <v>0.029</v>
      </c>
      <c r="R2166" s="14">
        <f>IFERROR(__xludf.DUMMYFUNCTION("""COMPUTED_VALUE"""),67.0)</f>
        <v>67</v>
      </c>
      <c r="S2166" s="14">
        <f>IFERROR(__xludf.DUMMYFUNCTION("""COMPUTED_VALUE"""),65.0)</f>
        <v>65</v>
      </c>
      <c r="T2166" s="14">
        <f>IFERROR(__xludf.DUMMYFUNCTION("""COMPUTED_VALUE"""),0.412)</f>
        <v>0.412</v>
      </c>
      <c r="U2166" s="14">
        <f>IFERROR(__xludf.DUMMYFUNCTION("""COMPUTED_VALUE"""),0.557)</f>
        <v>0.557</v>
      </c>
      <c r="V2166" s="14">
        <f>IFERROR(__xludf.DUMMYFUNCTION("""COMPUTED_VALUE"""),0.03)</f>
        <v>0.03</v>
      </c>
      <c r="W2166" s="14">
        <f>IFERROR(__xludf.DUMMYFUNCTION("""COMPUTED_VALUE"""),480745.0)</f>
        <v>480745</v>
      </c>
      <c r="X2166" s="14">
        <f>IFERROR(__xludf.DUMMYFUNCTION("""COMPUTED_VALUE"""),0.183)</f>
        <v>0.183</v>
      </c>
      <c r="Y2166" s="14" t="str">
        <f>IFERROR(__xludf.DUMMYFUNCTION("""COMPUTED_VALUE"""),"Solomon Islands-Oceania")</f>
        <v>Solomon Islands-Oceania</v>
      </c>
      <c r="Z2166" s="14" t="str">
        <f>IFERROR(__xludf.DUMMYFUNCTION("""COMPUTED_VALUE"""),"Oceania")</f>
        <v>Oceania</v>
      </c>
      <c r="AA2166" s="14" t="str">
        <f>IFERROR(__xludf.DUMMYFUNCTION("""COMPUTED_VALUE"""),"2006")</f>
        <v>2006</v>
      </c>
      <c r="AB2166" s="15" t="str">
        <f>IFERROR(__xludf.DUMMYFUNCTION("ARRAYFORMULA(VLOOKUP(A2166,IMPORTRANGE(""https://docs.google.com/spreadsheets/d/1BuTWp7qHGjWhqrnf-OmePP568O4A5Am9ttzvVdP67zw/edit#gid=1931367683"" ,""ENERGY!$A$2:$F$2692""), {2,3,4,5,6},0))"),"Oceania")</f>
        <v>Oceania</v>
      </c>
      <c r="AC2166" s="14" t="str">
        <f>IFERROR(__xludf.DUMMYFUNCTION("""COMPUTED_VALUE"""),"Solomon Islands-Oceania")</f>
        <v>Solomon Islands-Oceania</v>
      </c>
      <c r="AD2166" s="14" t="str">
        <f>IFERROR(__xludf.DUMMYFUNCTION("""COMPUTED_VALUE"""),"2012")</f>
        <v>2012</v>
      </c>
      <c r="AE2166" s="14">
        <f>IFERROR(__xludf.DUMMYFUNCTION("""COMPUTED_VALUE"""),59.0)</f>
        <v>59</v>
      </c>
      <c r="AF2166" s="14">
        <f>IFERROR(__xludf.DUMMYFUNCTION("""COMPUTED_VALUE"""),180.0)</f>
        <v>180</v>
      </c>
    </row>
    <row r="2167">
      <c r="A2167" s="12">
        <v>2166.0</v>
      </c>
      <c r="B2167" s="12" t="s">
        <v>245</v>
      </c>
      <c r="C2167" s="5" t="s">
        <v>80</v>
      </c>
      <c r="D2167" s="11">
        <v>0.261</v>
      </c>
      <c r="E2167" s="11">
        <v>56.0</v>
      </c>
      <c r="F2167" s="8"/>
      <c r="G2167" s="11">
        <v>80.0</v>
      </c>
      <c r="H2167" s="11">
        <v>0.02</v>
      </c>
      <c r="I2167" s="11">
        <v>0.022</v>
      </c>
      <c r="J2167" s="9" t="s">
        <v>68</v>
      </c>
      <c r="K2167" s="14" t="str">
        <f>IFERROR(__xludf.DUMMYFUNCTION("ARRAYFORMULA(VLOOKUP(A2167,IMPORTRANGE(""https://docs.google.com/spreadsheets/d/1BuTWp7qHGjWhqrnf-OmePP568O4A5Am9ttzvVdP67zw/edit#gid=1603210130"", ""TOURISM!$A$2:$F$2692""), {2,3,4,5,6},0))"),"Oceania")</f>
        <v>Oceania</v>
      </c>
      <c r="L2167" s="14">
        <f>IFERROR(__xludf.DUMMYFUNCTION("""COMPUTED_VALUE"""),3.78E7)</f>
        <v>37800000</v>
      </c>
      <c r="M2167" s="14" t="str">
        <f>IFERROR(__xludf.DUMMYFUNCTION("""COMPUTED_VALUE"""),"Solomon Islands-Oceania")</f>
        <v>Solomon Islands-Oceania</v>
      </c>
      <c r="N2167" s="14" t="str">
        <f>IFERROR(__xludf.DUMMYFUNCTION("""COMPUTED_VALUE"""),"2007")</f>
        <v>2007</v>
      </c>
      <c r="O2167" s="14">
        <f>IFERROR(__xludf.DUMMYFUNCTION("""COMPUTED_VALUE"""),3.56E7)</f>
        <v>35600000</v>
      </c>
      <c r="P2167" s="15">
        <f>IFERROR(__xludf.DUMMYFUNCTION("ARRAYFORMULA(VLOOKUP(A2167,IMPORTRANGE(""https://docs.google.com/spreadsheets/d/1BuTWp7qHGjWhqrnf-OmePP568O4A5Am9ttzvVdP67zw/edit#gid=771602874"" ,""HUMAN RESOURCES!$A$2:$M$2692""), {2,3,4,5,6,7,8,9,10,11,12,13},0))"),0.034)</f>
        <v>0.034</v>
      </c>
      <c r="Q2167" s="14">
        <f>IFERROR(__xludf.DUMMYFUNCTION("""COMPUTED_VALUE"""),0.029)</f>
        <v>0.029</v>
      </c>
      <c r="R2167" s="14">
        <f>IFERROR(__xludf.DUMMYFUNCTION("""COMPUTED_VALUE"""),68.0)</f>
        <v>68</v>
      </c>
      <c r="S2167" s="14">
        <f>IFERROR(__xludf.DUMMYFUNCTION("""COMPUTED_VALUE"""),65.0)</f>
        <v>65</v>
      </c>
      <c r="T2167" s="14">
        <f>IFERROR(__xludf.DUMMYFUNCTION("""COMPUTED_VALUE"""),0.411)</f>
        <v>0.411</v>
      </c>
      <c r="U2167" s="14">
        <f>IFERROR(__xludf.DUMMYFUNCTION("""COMPUTED_VALUE"""),0.558)</f>
        <v>0.558</v>
      </c>
      <c r="V2167" s="14">
        <f>IFERROR(__xludf.DUMMYFUNCTION("""COMPUTED_VALUE"""),0.031)</f>
        <v>0.031</v>
      </c>
      <c r="W2167" s="14">
        <f>IFERROR(__xludf.DUMMYFUNCTION("""COMPUTED_VALUE"""),492148.0)</f>
        <v>492148</v>
      </c>
      <c r="X2167" s="14">
        <f>IFERROR(__xludf.DUMMYFUNCTION("""COMPUTED_VALUE"""),0.187)</f>
        <v>0.187</v>
      </c>
      <c r="Y2167" s="14" t="str">
        <f>IFERROR(__xludf.DUMMYFUNCTION("""COMPUTED_VALUE"""),"Solomon Islands-Oceania")</f>
        <v>Solomon Islands-Oceania</v>
      </c>
      <c r="Z2167" s="14" t="str">
        <f>IFERROR(__xludf.DUMMYFUNCTION("""COMPUTED_VALUE"""),"Oceania")</f>
        <v>Oceania</v>
      </c>
      <c r="AA2167" s="14" t="str">
        <f>IFERROR(__xludf.DUMMYFUNCTION("""COMPUTED_VALUE"""),"2007")</f>
        <v>2007</v>
      </c>
      <c r="AB2167" s="15" t="str">
        <f>IFERROR(__xludf.DUMMYFUNCTION("ARRAYFORMULA(VLOOKUP(A2167,IMPORTRANGE(""https://docs.google.com/spreadsheets/d/1BuTWp7qHGjWhqrnf-OmePP568O4A5Am9ttzvVdP67zw/edit#gid=1931367683"" ,""ENERGY!$A$2:$F$2692""), {2,3,4,5,6},0))"),"Oceania")</f>
        <v>Oceania</v>
      </c>
      <c r="AC2167" s="14" t="str">
        <f>IFERROR(__xludf.DUMMYFUNCTION("""COMPUTED_VALUE"""),"Solomon Islands-Oceania")</f>
        <v>Solomon Islands-Oceania</v>
      </c>
      <c r="AD2167" s="14" t="str">
        <f>IFERROR(__xludf.DUMMYFUNCTION("""COMPUTED_VALUE"""),"2010")</f>
        <v>2010</v>
      </c>
      <c r="AE2167" s="14">
        <f>IFERROR(__xludf.DUMMYFUNCTION("""COMPUTED_VALUE"""),58.0)</f>
        <v>58</v>
      </c>
      <c r="AF2167" s="14">
        <f>IFERROR(__xludf.DUMMYFUNCTION("""COMPUTED_VALUE"""),180.0)</f>
        <v>180</v>
      </c>
    </row>
    <row r="2168">
      <c r="A2168" s="12">
        <v>2167.0</v>
      </c>
      <c r="B2168" s="12" t="s">
        <v>245</v>
      </c>
      <c r="C2168" s="5" t="s">
        <v>80</v>
      </c>
      <c r="D2168" s="11">
        <v>0.261</v>
      </c>
      <c r="E2168" s="11">
        <v>56.0</v>
      </c>
      <c r="F2168" s="8"/>
      <c r="G2168" s="11">
        <v>80.0</v>
      </c>
      <c r="H2168" s="11">
        <v>0.03</v>
      </c>
      <c r="I2168" s="11">
        <v>0.06</v>
      </c>
      <c r="J2168" s="9" t="s">
        <v>69</v>
      </c>
      <c r="K2168" s="14" t="str">
        <f>IFERROR(__xludf.DUMMYFUNCTION("ARRAYFORMULA(VLOOKUP(A2168,IMPORTRANGE(""https://docs.google.com/spreadsheets/d/1BuTWp7qHGjWhqrnf-OmePP568O4A5Am9ttzvVdP67zw/edit#gid=1603210130"", ""TOURISM!$A$2:$F$2692""), {2,3,4,5,6},0))"),"Oceania")</f>
        <v>Oceania</v>
      </c>
      <c r="L2168" s="14">
        <f>IFERROR(__xludf.DUMMYFUNCTION("""COMPUTED_VALUE"""),4.06E7)</f>
        <v>40600000</v>
      </c>
      <c r="M2168" s="14" t="str">
        <f>IFERROR(__xludf.DUMMYFUNCTION("""COMPUTED_VALUE"""),"Solomon Islands-Oceania")</f>
        <v>Solomon Islands-Oceania</v>
      </c>
      <c r="N2168" s="14" t="str">
        <f>IFERROR(__xludf.DUMMYFUNCTION("""COMPUTED_VALUE"""),"2008")</f>
        <v>2008</v>
      </c>
      <c r="O2168" s="14">
        <f>IFERROR(__xludf.DUMMYFUNCTION("""COMPUTED_VALUE"""),4.05E7)</f>
        <v>40500000</v>
      </c>
      <c r="P2168" s="15">
        <f>IFERROR(__xludf.DUMMYFUNCTION("ARRAYFORMULA(VLOOKUP(A2168,IMPORTRANGE(""https://docs.google.com/spreadsheets/d/1BuTWp7qHGjWhqrnf-OmePP568O4A5Am9ttzvVdP67zw/edit#gid=771602874"" ,""HUMAN RESOURCES!$A$2:$M$2692""), {2,3,4,5,6,7,8,9,10,11,12,13},0))"),0.034)</f>
        <v>0.034</v>
      </c>
      <c r="Q2168" s="14">
        <f>IFERROR(__xludf.DUMMYFUNCTION("""COMPUTED_VALUE"""),0.028)</f>
        <v>0.028</v>
      </c>
      <c r="R2168" s="14">
        <f>IFERROR(__xludf.DUMMYFUNCTION("""COMPUTED_VALUE"""),68.0)</f>
        <v>68</v>
      </c>
      <c r="S2168" s="14">
        <f>IFERROR(__xludf.DUMMYFUNCTION("""COMPUTED_VALUE"""),65.0)</f>
        <v>65</v>
      </c>
      <c r="T2168" s="14">
        <f>IFERROR(__xludf.DUMMYFUNCTION("""COMPUTED_VALUE"""),0.41)</f>
        <v>0.41</v>
      </c>
      <c r="U2168" s="14">
        <f>IFERROR(__xludf.DUMMYFUNCTION("""COMPUTED_VALUE"""),0.558)</f>
        <v>0.558</v>
      </c>
      <c r="V2168" s="14">
        <f>IFERROR(__xludf.DUMMYFUNCTION("""COMPUTED_VALUE"""),0.032)</f>
        <v>0.032</v>
      </c>
      <c r="W2168" s="14">
        <f>IFERROR(__xludf.DUMMYFUNCTION("""COMPUTED_VALUE"""),503541.0)</f>
        <v>503541</v>
      </c>
      <c r="X2168" s="14">
        <f>IFERROR(__xludf.DUMMYFUNCTION("""COMPUTED_VALUE"""),0.191)</f>
        <v>0.191</v>
      </c>
      <c r="Y2168" s="14" t="str">
        <f>IFERROR(__xludf.DUMMYFUNCTION("""COMPUTED_VALUE"""),"Solomon Islands-Oceania")</f>
        <v>Solomon Islands-Oceania</v>
      </c>
      <c r="Z2168" s="14" t="str">
        <f>IFERROR(__xludf.DUMMYFUNCTION("""COMPUTED_VALUE"""),"Oceania")</f>
        <v>Oceania</v>
      </c>
      <c r="AA2168" s="14" t="str">
        <f>IFERROR(__xludf.DUMMYFUNCTION("""COMPUTED_VALUE"""),"2008")</f>
        <v>2008</v>
      </c>
      <c r="AB2168" s="15" t="str">
        <f>IFERROR(__xludf.DUMMYFUNCTION("ARRAYFORMULA(VLOOKUP(A2168,IMPORTRANGE(""https://docs.google.com/spreadsheets/d/1BuTWp7qHGjWhqrnf-OmePP568O4A5Am9ttzvVdP67zw/edit#gid=1931367683"" ,""ENERGY!$A$2:$F$2692""), {2,3,4,5,6},0))"),"Oceania")</f>
        <v>Oceania</v>
      </c>
      <c r="AC2168" s="14" t="str">
        <f>IFERROR(__xludf.DUMMYFUNCTION("""COMPUTED_VALUE"""),"Solomon Islands-Oceania")</f>
        <v>Solomon Islands-Oceania</v>
      </c>
      <c r="AD2168" s="14" t="str">
        <f>IFERROR(__xludf.DUMMYFUNCTION("""COMPUTED_VALUE"""),"2007")</f>
        <v>2007</v>
      </c>
      <c r="AE2168" s="14">
        <f>IFERROR(__xludf.DUMMYFUNCTION("""COMPUTED_VALUE"""),58.0)</f>
        <v>58</v>
      </c>
      <c r="AF2168" s="14">
        <f>IFERROR(__xludf.DUMMYFUNCTION("""COMPUTED_VALUE"""),180.0)</f>
        <v>180</v>
      </c>
    </row>
    <row r="2169">
      <c r="A2169" s="12">
        <v>2168.0</v>
      </c>
      <c r="B2169" s="12" t="s">
        <v>245</v>
      </c>
      <c r="C2169" s="5" t="s">
        <v>80</v>
      </c>
      <c r="D2169" s="11">
        <v>0.261</v>
      </c>
      <c r="E2169" s="11">
        <v>56.0</v>
      </c>
      <c r="F2169" s="8"/>
      <c r="G2169" s="11">
        <v>80.0</v>
      </c>
      <c r="H2169" s="11">
        <v>0.04</v>
      </c>
      <c r="I2169" s="11">
        <v>0.097</v>
      </c>
      <c r="J2169" s="9" t="s">
        <v>70</v>
      </c>
      <c r="K2169" s="14" t="str">
        <f>IFERROR(__xludf.DUMMYFUNCTION("ARRAYFORMULA(VLOOKUP(A2169,IMPORTRANGE(""https://docs.google.com/spreadsheets/d/1BuTWp7qHGjWhqrnf-OmePP568O4A5Am9ttzvVdP67zw/edit#gid=1603210130"", ""TOURISM!$A$2:$F$2692""), {2,3,4,5,6},0))"),"Oceania")</f>
        <v>Oceania</v>
      </c>
      <c r="L2169" s="14">
        <f>IFERROR(__xludf.DUMMYFUNCTION("""COMPUTED_VALUE"""),5.0E7)</f>
        <v>50000000</v>
      </c>
      <c r="M2169" s="14" t="str">
        <f>IFERROR(__xludf.DUMMYFUNCTION("""COMPUTED_VALUE"""),"Solomon Islands-Oceania")</f>
        <v>Solomon Islands-Oceania</v>
      </c>
      <c r="N2169" s="14" t="str">
        <f>IFERROR(__xludf.DUMMYFUNCTION("""COMPUTED_VALUE"""),"2009")</f>
        <v>2009</v>
      </c>
      <c r="O2169" s="14">
        <f>IFERROR(__xludf.DUMMYFUNCTION("""COMPUTED_VALUE"""),3.77E7)</f>
        <v>37700000</v>
      </c>
      <c r="P2169" s="15">
        <f>IFERROR(__xludf.DUMMYFUNCTION("ARRAYFORMULA(VLOOKUP(A2169,IMPORTRANGE(""https://docs.google.com/spreadsheets/d/1BuTWp7qHGjWhqrnf-OmePP568O4A5Am9ttzvVdP67zw/edit#gid=771602874"" ,""HUMAN RESOURCES!$A$2:$M$2692""), {2,3,4,5,6,7,8,9,10,11,12,13},0))"),0.033)</f>
        <v>0.033</v>
      </c>
      <c r="Q2169" s="14">
        <f>IFERROR(__xludf.DUMMYFUNCTION("""COMPUTED_VALUE"""),0.028)</f>
        <v>0.028</v>
      </c>
      <c r="R2169" s="14">
        <f>IFERROR(__xludf.DUMMYFUNCTION("""COMPUTED_VALUE"""),68.0)</f>
        <v>68</v>
      </c>
      <c r="S2169" s="14">
        <f>IFERROR(__xludf.DUMMYFUNCTION("""COMPUTED_VALUE"""),66.0)</f>
        <v>66</v>
      </c>
      <c r="T2169" s="14">
        <f>IFERROR(__xludf.DUMMYFUNCTION("""COMPUTED_VALUE"""),0.409)</f>
        <v>0.409</v>
      </c>
      <c r="U2169" s="14">
        <f>IFERROR(__xludf.DUMMYFUNCTION("""COMPUTED_VALUE"""),0.559)</f>
        <v>0.559</v>
      </c>
      <c r="V2169" s="14">
        <f>IFERROR(__xludf.DUMMYFUNCTION("""COMPUTED_VALUE"""),0.032)</f>
        <v>0.032</v>
      </c>
      <c r="W2169" s="14">
        <f>IFERROR(__xludf.DUMMYFUNCTION("""COMPUTED_VALUE"""),514964.0)</f>
        <v>514964</v>
      </c>
      <c r="X2169" s="14">
        <f>IFERROR(__xludf.DUMMYFUNCTION("""COMPUTED_VALUE"""),0.196)</f>
        <v>0.196</v>
      </c>
      <c r="Y2169" s="14" t="str">
        <f>IFERROR(__xludf.DUMMYFUNCTION("""COMPUTED_VALUE"""),"Solomon Islands-Oceania")</f>
        <v>Solomon Islands-Oceania</v>
      </c>
      <c r="Z2169" s="14" t="str">
        <f>IFERROR(__xludf.DUMMYFUNCTION("""COMPUTED_VALUE"""),"Oceania")</f>
        <v>Oceania</v>
      </c>
      <c r="AA2169" s="14" t="str">
        <f>IFERROR(__xludf.DUMMYFUNCTION("""COMPUTED_VALUE"""),"2009")</f>
        <v>2009</v>
      </c>
      <c r="AB2169" s="15" t="str">
        <f>IFERROR(__xludf.DUMMYFUNCTION("ARRAYFORMULA(VLOOKUP(A2169,IMPORTRANGE(""https://docs.google.com/spreadsheets/d/1BuTWp7qHGjWhqrnf-OmePP568O4A5Am9ttzvVdP67zw/edit#gid=1931367683"" ,""ENERGY!$A$2:$F$2692""), {2,3,4,5,6},0))"),"Oceania")</f>
        <v>Oceania</v>
      </c>
      <c r="AC2169" s="14" t="str">
        <f>IFERROR(__xludf.DUMMYFUNCTION("""COMPUTED_VALUE"""),"Solomon Islands-Oceania")</f>
        <v>Solomon Islands-Oceania</v>
      </c>
      <c r="AD2169" s="14" t="str">
        <f>IFERROR(__xludf.DUMMYFUNCTION("""COMPUTED_VALUE"""),"2011")</f>
        <v>2011</v>
      </c>
      <c r="AE2169" s="14"/>
      <c r="AF2169" s="14">
        <f>IFERROR(__xludf.DUMMYFUNCTION("""COMPUTED_VALUE"""),180.0)</f>
        <v>180</v>
      </c>
    </row>
    <row r="2170">
      <c r="A2170" s="12">
        <v>2169.0</v>
      </c>
      <c r="B2170" s="12" t="s">
        <v>245</v>
      </c>
      <c r="C2170" s="5" t="s">
        <v>80</v>
      </c>
      <c r="D2170" s="11">
        <v>0.262</v>
      </c>
      <c r="E2170" s="11">
        <v>56.0</v>
      </c>
      <c r="F2170" s="8"/>
      <c r="G2170" s="11">
        <v>80.0</v>
      </c>
      <c r="H2170" s="11">
        <v>0.05</v>
      </c>
      <c r="I2170" s="11">
        <v>0.219</v>
      </c>
      <c r="J2170" s="9" t="s">
        <v>71</v>
      </c>
      <c r="K2170" s="14" t="str">
        <f>IFERROR(__xludf.DUMMYFUNCTION("ARRAYFORMULA(VLOOKUP(A2170,IMPORTRANGE(""https://docs.google.com/spreadsheets/d/1BuTWp7qHGjWhqrnf-OmePP568O4A5Am9ttzvVdP67zw/edit#gid=1603210130"", ""TOURISM!$A$2:$F$2692""), {2,3,4,5,6},0))"),"Oceania")</f>
        <v>Oceania</v>
      </c>
      <c r="L2170" s="14">
        <f>IFERROR(__xludf.DUMMYFUNCTION("""COMPUTED_VALUE"""),6.54E7)</f>
        <v>65400000</v>
      </c>
      <c r="M2170" s="14" t="str">
        <f>IFERROR(__xludf.DUMMYFUNCTION("""COMPUTED_VALUE"""),"Solomon Islands-Oceania")</f>
        <v>Solomon Islands-Oceania</v>
      </c>
      <c r="N2170" s="14" t="str">
        <f>IFERROR(__xludf.DUMMYFUNCTION("""COMPUTED_VALUE"""),"2010")</f>
        <v>2010</v>
      </c>
      <c r="O2170" s="14">
        <f>IFERROR(__xludf.DUMMYFUNCTION("""COMPUTED_VALUE"""),5.12E7)</f>
        <v>51200000</v>
      </c>
      <c r="P2170" s="15">
        <f>IFERROR(__xludf.DUMMYFUNCTION("ARRAYFORMULA(VLOOKUP(A2170,IMPORTRANGE(""https://docs.google.com/spreadsheets/d/1BuTWp7qHGjWhqrnf-OmePP568O4A5Am9ttzvVdP67zw/edit#gid=771602874"" ,""HUMAN RESOURCES!$A$2:$M$2692""), {2,3,4,5,6,7,8,9,10,11,12,13},0))"),0.033)</f>
        <v>0.033</v>
      </c>
      <c r="Q2170" s="14">
        <f>IFERROR(__xludf.DUMMYFUNCTION("""COMPUTED_VALUE"""),0.027)</f>
        <v>0.027</v>
      </c>
      <c r="R2170" s="14">
        <f>IFERROR(__xludf.DUMMYFUNCTION("""COMPUTED_VALUE"""),68.0)</f>
        <v>68</v>
      </c>
      <c r="S2170" s="14">
        <f>IFERROR(__xludf.DUMMYFUNCTION("""COMPUTED_VALUE"""),66.0)</f>
        <v>66</v>
      </c>
      <c r="T2170" s="14">
        <f>IFERROR(__xludf.DUMMYFUNCTION("""COMPUTED_VALUE"""),0.408)</f>
        <v>0.408</v>
      </c>
      <c r="U2170" s="14">
        <f>IFERROR(__xludf.DUMMYFUNCTION("""COMPUTED_VALUE"""),0.56)</f>
        <v>0.56</v>
      </c>
      <c r="V2170" s="14">
        <f>IFERROR(__xludf.DUMMYFUNCTION("""COMPUTED_VALUE"""),0.033)</f>
        <v>0.033</v>
      </c>
      <c r="W2170" s="14">
        <f>IFERROR(__xludf.DUMMYFUNCTION("""COMPUTED_VALUE"""),526447.0)</f>
        <v>526447</v>
      </c>
      <c r="X2170" s="14">
        <f>IFERROR(__xludf.DUMMYFUNCTION("""COMPUTED_VALUE"""),0.2)</f>
        <v>0.2</v>
      </c>
      <c r="Y2170" s="14" t="str">
        <f>IFERROR(__xludf.DUMMYFUNCTION("""COMPUTED_VALUE"""),"Solomon Islands-Oceania")</f>
        <v>Solomon Islands-Oceania</v>
      </c>
      <c r="Z2170" s="14" t="str">
        <f>IFERROR(__xludf.DUMMYFUNCTION("""COMPUTED_VALUE"""),"Oceania")</f>
        <v>Oceania</v>
      </c>
      <c r="AA2170" s="14" t="str">
        <f>IFERROR(__xludf.DUMMYFUNCTION("""COMPUTED_VALUE"""),"2010")</f>
        <v>2010</v>
      </c>
      <c r="AB2170" s="15" t="str">
        <f>IFERROR(__xludf.DUMMYFUNCTION("ARRAYFORMULA(VLOOKUP(A2170,IMPORTRANGE(""https://docs.google.com/spreadsheets/d/1BuTWp7qHGjWhqrnf-OmePP568O4A5Am9ttzvVdP67zw/edit#gid=1931367683"" ,""ENERGY!$A$2:$F$2692""), {2,3,4,5,6},0))"),"Oceania")</f>
        <v>Oceania</v>
      </c>
      <c r="AC2170" s="14" t="str">
        <f>IFERROR(__xludf.DUMMYFUNCTION("""COMPUTED_VALUE"""),"Solomon Islands-Oceania")</f>
        <v>Solomon Islands-Oceania</v>
      </c>
      <c r="AD2170" s="14" t="str">
        <f>IFERROR(__xludf.DUMMYFUNCTION("""COMPUTED_VALUE"""),"2008")</f>
        <v>2008</v>
      </c>
      <c r="AE2170" s="14"/>
      <c r="AF2170" s="14">
        <f>IFERROR(__xludf.DUMMYFUNCTION("""COMPUTED_VALUE"""),172.0)</f>
        <v>172</v>
      </c>
    </row>
    <row r="2171">
      <c r="A2171" s="12">
        <v>2170.0</v>
      </c>
      <c r="B2171" s="12" t="s">
        <v>245</v>
      </c>
      <c r="C2171" s="5" t="s">
        <v>80</v>
      </c>
      <c r="D2171" s="11">
        <v>0.262</v>
      </c>
      <c r="E2171" s="11">
        <v>42.0</v>
      </c>
      <c r="F2171" s="8"/>
      <c r="G2171" s="11">
        <v>80.0</v>
      </c>
      <c r="H2171" s="11">
        <v>0.06</v>
      </c>
      <c r="I2171" s="11">
        <v>0.511</v>
      </c>
      <c r="J2171" s="9" t="s">
        <v>72</v>
      </c>
      <c r="K2171" s="14" t="str">
        <f>IFERROR(__xludf.DUMMYFUNCTION("ARRAYFORMULA(VLOOKUP(A2171,IMPORTRANGE(""https://docs.google.com/spreadsheets/d/1BuTWp7qHGjWhqrnf-OmePP568O4A5Am9ttzvVdP67zw/edit#gid=1603210130"", ""TOURISM!$A$2:$F$2692""), {2,3,4,5,6},0))"),"Oceania")</f>
        <v>Oceania</v>
      </c>
      <c r="L2171" s="14">
        <f>IFERROR(__xludf.DUMMYFUNCTION("""COMPUTED_VALUE"""),8.67E7)</f>
        <v>86700000</v>
      </c>
      <c r="M2171" s="14" t="str">
        <f>IFERROR(__xludf.DUMMYFUNCTION("""COMPUTED_VALUE"""),"Solomon Islands-Oceania")</f>
        <v>Solomon Islands-Oceania</v>
      </c>
      <c r="N2171" s="14" t="str">
        <f>IFERROR(__xludf.DUMMYFUNCTION("""COMPUTED_VALUE"""),"2011")</f>
        <v>2011</v>
      </c>
      <c r="O2171" s="14">
        <f>IFERROR(__xludf.DUMMYFUNCTION("""COMPUTED_VALUE"""),6.6E7)</f>
        <v>66000000</v>
      </c>
      <c r="P2171" s="15">
        <f>IFERROR(__xludf.DUMMYFUNCTION("ARRAYFORMULA(VLOOKUP(A2171,IMPORTRANGE(""https://docs.google.com/spreadsheets/d/1BuTWp7qHGjWhqrnf-OmePP568O4A5Am9ttzvVdP67zw/edit#gid=771602874"" ,""HUMAN RESOURCES!$A$2:$M$2692""), {2,3,4,5,6,7,8,9,10,11,12,13},0))"),0.032)</f>
        <v>0.032</v>
      </c>
      <c r="Q2171" s="14">
        <f>IFERROR(__xludf.DUMMYFUNCTION("""COMPUTED_VALUE"""),0.026)</f>
        <v>0.026</v>
      </c>
      <c r="R2171" s="14">
        <f>IFERROR(__xludf.DUMMYFUNCTION("""COMPUTED_VALUE"""),69.0)</f>
        <v>69</v>
      </c>
      <c r="S2171" s="14">
        <f>IFERROR(__xludf.DUMMYFUNCTION("""COMPUTED_VALUE"""),66.0)</f>
        <v>66</v>
      </c>
      <c r="T2171" s="14">
        <f>IFERROR(__xludf.DUMMYFUNCTION("""COMPUTED_VALUE"""),0.406)</f>
        <v>0.406</v>
      </c>
      <c r="U2171" s="14">
        <f>IFERROR(__xludf.DUMMYFUNCTION("""COMPUTED_VALUE"""),0.561)</f>
        <v>0.561</v>
      </c>
      <c r="V2171" s="14">
        <f>IFERROR(__xludf.DUMMYFUNCTION("""COMPUTED_VALUE"""),0.033)</f>
        <v>0.033</v>
      </c>
      <c r="W2171" s="14">
        <f>IFERROR(__xludf.DUMMYFUNCTION("""COMPUTED_VALUE"""),537997.0)</f>
        <v>537997</v>
      </c>
      <c r="X2171" s="14">
        <f>IFERROR(__xludf.DUMMYFUNCTION("""COMPUTED_VALUE"""),0.205)</f>
        <v>0.205</v>
      </c>
      <c r="Y2171" s="14" t="str">
        <f>IFERROR(__xludf.DUMMYFUNCTION("""COMPUTED_VALUE"""),"Solomon Islands-Oceania")</f>
        <v>Solomon Islands-Oceania</v>
      </c>
      <c r="Z2171" s="14" t="str">
        <f>IFERROR(__xludf.DUMMYFUNCTION("""COMPUTED_VALUE"""),"Oceania")</f>
        <v>Oceania</v>
      </c>
      <c r="AA2171" s="14" t="str">
        <f>IFERROR(__xludf.DUMMYFUNCTION("""COMPUTED_VALUE"""),"2011")</f>
        <v>2011</v>
      </c>
      <c r="AB2171" s="15" t="str">
        <f>IFERROR(__xludf.DUMMYFUNCTION("ARRAYFORMULA(VLOOKUP(A2171,IMPORTRANGE(""https://docs.google.com/spreadsheets/d/1BuTWp7qHGjWhqrnf-OmePP568O4A5Am9ttzvVdP67zw/edit#gid=1931367683"" ,""ENERGY!$A$2:$F$2692""), {2,3,4,5,6},0))"),"Oceania")</f>
        <v>Oceania</v>
      </c>
      <c r="AC2171" s="14" t="str">
        <f>IFERROR(__xludf.DUMMYFUNCTION("""COMPUTED_VALUE"""),"Solomon Islands-Oceania")</f>
        <v>Solomon Islands-Oceania</v>
      </c>
      <c r="AD2171" s="14" t="str">
        <f>IFERROR(__xludf.DUMMYFUNCTION("""COMPUTED_VALUE"""),"2007")</f>
        <v>2007</v>
      </c>
      <c r="AE2171" s="14"/>
      <c r="AF2171" s="14">
        <f>IFERROR(__xludf.DUMMYFUNCTION("""COMPUTED_VALUE"""),172.0)</f>
        <v>172</v>
      </c>
    </row>
    <row r="2172">
      <c r="A2172" s="12">
        <v>2171.0</v>
      </c>
      <c r="B2172" s="12" t="s">
        <v>245</v>
      </c>
      <c r="C2172" s="5" t="s">
        <v>80</v>
      </c>
      <c r="D2172" s="11">
        <v>0.253</v>
      </c>
      <c r="E2172" s="11">
        <v>9.0</v>
      </c>
      <c r="F2172" s="11">
        <v>92.0</v>
      </c>
      <c r="G2172" s="11">
        <v>80.0</v>
      </c>
      <c r="H2172" s="11">
        <v>0.07</v>
      </c>
      <c r="I2172" s="11">
        <v>0.55</v>
      </c>
      <c r="J2172" s="9" t="s">
        <v>73</v>
      </c>
      <c r="K2172" s="14" t="str">
        <f>IFERROR(__xludf.DUMMYFUNCTION("ARRAYFORMULA(VLOOKUP(A2172,IMPORTRANGE(""https://docs.google.com/spreadsheets/d/1BuTWp7qHGjWhqrnf-OmePP568O4A5Am9ttzvVdP67zw/edit#gid=1603210130"", ""TOURISM!$A$2:$F$2692""), {2,3,4,5,6},0))"),"Oceania")</f>
        <v>Oceania</v>
      </c>
      <c r="L2172" s="14">
        <f>IFERROR(__xludf.DUMMYFUNCTION("""COMPUTED_VALUE"""),6.69E7)</f>
        <v>66900000</v>
      </c>
      <c r="M2172" s="14" t="str">
        <f>IFERROR(__xludf.DUMMYFUNCTION("""COMPUTED_VALUE"""),"Solomon Islands-Oceania")</f>
        <v>Solomon Islands-Oceania</v>
      </c>
      <c r="N2172" s="14" t="str">
        <f>IFERROR(__xludf.DUMMYFUNCTION("""COMPUTED_VALUE"""),"2012")</f>
        <v>2012</v>
      </c>
      <c r="O2172" s="14">
        <f>IFERROR(__xludf.DUMMYFUNCTION("""COMPUTED_VALUE"""),6.8E7)</f>
        <v>68000000</v>
      </c>
      <c r="P2172" s="15">
        <f>IFERROR(__xludf.DUMMYFUNCTION("ARRAYFORMULA(VLOOKUP(A2172,IMPORTRANGE(""https://docs.google.com/spreadsheets/d/1BuTWp7qHGjWhqrnf-OmePP568O4A5Am9ttzvVdP67zw/edit#gid=771602874"" ,""HUMAN RESOURCES!$A$2:$M$2692""), {2,3,4,5,6,7,8,9,10,11,12,13},0))"),0.031)</f>
        <v>0.031</v>
      </c>
      <c r="Q2172" s="14">
        <f>IFERROR(__xludf.DUMMYFUNCTION("""COMPUTED_VALUE"""),0.026)</f>
        <v>0.026</v>
      </c>
      <c r="R2172" s="14">
        <f>IFERROR(__xludf.DUMMYFUNCTION("""COMPUTED_VALUE"""),69.0)</f>
        <v>69</v>
      </c>
      <c r="S2172" s="14">
        <f>IFERROR(__xludf.DUMMYFUNCTION("""COMPUTED_VALUE"""),66.0)</f>
        <v>66</v>
      </c>
      <c r="T2172" s="14">
        <f>IFERROR(__xludf.DUMMYFUNCTION("""COMPUTED_VALUE"""),0.404)</f>
        <v>0.404</v>
      </c>
      <c r="U2172" s="14">
        <f>IFERROR(__xludf.DUMMYFUNCTION("""COMPUTED_VALUE"""),0.563)</f>
        <v>0.563</v>
      </c>
      <c r="V2172" s="14">
        <f>IFERROR(__xludf.DUMMYFUNCTION("""COMPUTED_VALUE"""),0.033)</f>
        <v>0.033</v>
      </c>
      <c r="W2172" s="14">
        <f>IFERROR(__xludf.DUMMYFUNCTION("""COMPUTED_VALUE"""),549598.0)</f>
        <v>549598</v>
      </c>
      <c r="X2172" s="14">
        <f>IFERROR(__xludf.DUMMYFUNCTION("""COMPUTED_VALUE"""),0.21)</f>
        <v>0.21</v>
      </c>
      <c r="Y2172" s="14" t="str">
        <f>IFERROR(__xludf.DUMMYFUNCTION("""COMPUTED_VALUE"""),"Solomon Islands-Oceania")</f>
        <v>Solomon Islands-Oceania</v>
      </c>
      <c r="Z2172" s="14" t="str">
        <f>IFERROR(__xludf.DUMMYFUNCTION("""COMPUTED_VALUE"""),"Oceania")</f>
        <v>Oceania</v>
      </c>
      <c r="AA2172" s="14" t="str">
        <f>IFERROR(__xludf.DUMMYFUNCTION("""COMPUTED_VALUE"""),"2012")</f>
        <v>2012</v>
      </c>
      <c r="AB2172" s="15" t="str">
        <f>IFERROR(__xludf.DUMMYFUNCTION("ARRAYFORMULA(VLOOKUP(A2172,IMPORTRANGE(""https://docs.google.com/spreadsheets/d/1BuTWp7qHGjWhqrnf-OmePP568O4A5Am9ttzvVdP67zw/edit#gid=1931367683"" ,""ENERGY!$A$2:$F$2692""), {2,3,4,5,6},0))"),"Oceania")</f>
        <v>Oceania</v>
      </c>
      <c r="AC2172" s="14" t="str">
        <f>IFERROR(__xludf.DUMMYFUNCTION("""COMPUTED_VALUE"""),"Solomon Islands-Oceania")</f>
        <v>Solomon Islands-Oceania</v>
      </c>
      <c r="AD2172" s="14" t="str">
        <f>IFERROR(__xludf.DUMMYFUNCTION("""COMPUTED_VALUE"""),"2012")</f>
        <v>2012</v>
      </c>
      <c r="AE2172" s="14"/>
      <c r="AF2172" s="14">
        <f>IFERROR(__xludf.DUMMYFUNCTION("""COMPUTED_VALUE"""),165.0)</f>
        <v>165</v>
      </c>
    </row>
    <row r="2173">
      <c r="A2173" s="12">
        <v>2172.0</v>
      </c>
      <c r="B2173" s="12" t="s">
        <v>246</v>
      </c>
      <c r="C2173" s="5" t="s">
        <v>77</v>
      </c>
      <c r="D2173" s="8"/>
      <c r="E2173" s="8"/>
      <c r="F2173" s="8"/>
      <c r="G2173" s="8"/>
      <c r="H2173" s="11">
        <v>0.0</v>
      </c>
      <c r="I2173" s="11">
        <v>0.011</v>
      </c>
      <c r="J2173" s="9" t="s">
        <v>60</v>
      </c>
      <c r="K2173" s="14" t="str">
        <f>IFERROR(__xludf.DUMMYFUNCTION("ARRAYFORMULA(VLOOKUP(A2173,IMPORTRANGE(""https://docs.google.com/spreadsheets/d/1BuTWp7qHGjWhqrnf-OmePP568O4A5Am9ttzvVdP67zw/edit#gid=1603210130"", ""TOURISM!$A$2:$F$2692""), {2,3,4,5,6},0))"),"Africa")</f>
        <v>Africa</v>
      </c>
      <c r="L2173" s="14"/>
      <c r="M2173" s="14" t="str">
        <f>IFERROR(__xludf.DUMMYFUNCTION("""COMPUTED_VALUE"""),"Somalia-Africa")</f>
        <v>Somalia-Africa</v>
      </c>
      <c r="N2173" s="14" t="str">
        <f>IFERROR(__xludf.DUMMYFUNCTION("""COMPUTED_VALUE"""),"2000")</f>
        <v>2000</v>
      </c>
      <c r="O2173" s="14"/>
      <c r="P2173" s="15">
        <f>IFERROR(__xludf.DUMMYFUNCTION("ARRAYFORMULA(VLOOKUP(A2173,IMPORTRANGE(""https://docs.google.com/spreadsheets/d/1BuTWp7qHGjWhqrnf-OmePP568O4A5Am9ttzvVdP67zw/edit#gid=771602874"" ,""HUMAN RESOURCES!$A$2:$M$2692""), {2,3,4,5,6,7,8,9,10,11,12,13},0))"),0.049)</f>
        <v>0.049</v>
      </c>
      <c r="Q2173" s="14">
        <f>IFERROR(__xludf.DUMMYFUNCTION("""COMPUTED_VALUE"""),0.105)</f>
        <v>0.105</v>
      </c>
      <c r="R2173" s="14">
        <f>IFERROR(__xludf.DUMMYFUNCTION("""COMPUTED_VALUE"""),52.0)</f>
        <v>52</v>
      </c>
      <c r="S2173" s="14">
        <f>IFERROR(__xludf.DUMMYFUNCTION("""COMPUTED_VALUE"""),49.0)</f>
        <v>49</v>
      </c>
      <c r="T2173" s="14">
        <f>IFERROR(__xludf.DUMMYFUNCTION("""COMPUTED_VALUE"""),0.472)</f>
        <v>0.472</v>
      </c>
      <c r="U2173" s="14">
        <f>IFERROR(__xludf.DUMMYFUNCTION("""COMPUTED_VALUE"""),0.499)</f>
        <v>0.499</v>
      </c>
      <c r="V2173" s="14">
        <f>IFERROR(__xludf.DUMMYFUNCTION("""COMPUTED_VALUE"""),0.029)</f>
        <v>0.029</v>
      </c>
      <c r="W2173" s="14">
        <f>IFERROR(__xludf.DUMMYFUNCTION("""COMPUTED_VALUE"""),7385416.0)</f>
        <v>7385416</v>
      </c>
      <c r="X2173" s="14">
        <f>IFERROR(__xludf.DUMMYFUNCTION("""COMPUTED_VALUE"""),0.332)</f>
        <v>0.332</v>
      </c>
      <c r="Y2173" s="14" t="str">
        <f>IFERROR(__xludf.DUMMYFUNCTION("""COMPUTED_VALUE"""),"Somalia-Africa")</f>
        <v>Somalia-Africa</v>
      </c>
      <c r="Z2173" s="14" t="str">
        <f>IFERROR(__xludf.DUMMYFUNCTION("""COMPUTED_VALUE"""),"Africa")</f>
        <v>Africa</v>
      </c>
      <c r="AA2173" s="14" t="str">
        <f>IFERROR(__xludf.DUMMYFUNCTION("""COMPUTED_VALUE"""),"2000")</f>
        <v>2000</v>
      </c>
      <c r="AB2173" s="15" t="str">
        <f>IFERROR(__xludf.DUMMYFUNCTION("ARRAYFORMULA(VLOOKUP(A2173,IMPORTRANGE(""https://docs.google.com/spreadsheets/d/1BuTWp7qHGjWhqrnf-OmePP568O4A5Am9ttzvVdP67zw/edit#gid=1931367683"" ,""ENERGY!$A$2:$F$2692""), {2,3,4,5,6},0))"),"Africa")</f>
        <v>Africa</v>
      </c>
      <c r="AC2173" s="14" t="str">
        <f>IFERROR(__xludf.DUMMYFUNCTION("""COMPUTED_VALUE"""),"Somalia-Africa")</f>
        <v>Somalia-Africa</v>
      </c>
      <c r="AD2173" s="14" t="str">
        <f>IFERROR(__xludf.DUMMYFUNCTION("""COMPUTED_VALUE"""),"2000")</f>
        <v>2000</v>
      </c>
      <c r="AE2173" s="14"/>
      <c r="AF2173" s="14"/>
    </row>
    <row r="2174">
      <c r="A2174" s="12">
        <v>2173.0</v>
      </c>
      <c r="B2174" s="12" t="s">
        <v>246</v>
      </c>
      <c r="C2174" s="5" t="s">
        <v>77</v>
      </c>
      <c r="D2174" s="8"/>
      <c r="E2174" s="8"/>
      <c r="F2174" s="8"/>
      <c r="G2174" s="8"/>
      <c r="H2174" s="11">
        <v>0.001</v>
      </c>
      <c r="I2174" s="11">
        <v>0.011</v>
      </c>
      <c r="J2174" s="9" t="s">
        <v>62</v>
      </c>
      <c r="K2174" s="14" t="str">
        <f>IFERROR(__xludf.DUMMYFUNCTION("ARRAYFORMULA(VLOOKUP(A2174,IMPORTRANGE(""https://docs.google.com/spreadsheets/d/1BuTWp7qHGjWhqrnf-OmePP568O4A5Am9ttzvVdP67zw/edit#gid=1603210130"", ""TOURISM!$A$2:$F$2692""), {2,3,4,5,6},0))"),"Africa")</f>
        <v>Africa</v>
      </c>
      <c r="L2174" s="14"/>
      <c r="M2174" s="14" t="str">
        <f>IFERROR(__xludf.DUMMYFUNCTION("""COMPUTED_VALUE"""),"Somalia-Africa")</f>
        <v>Somalia-Africa</v>
      </c>
      <c r="N2174" s="14" t="str">
        <f>IFERROR(__xludf.DUMMYFUNCTION("""COMPUTED_VALUE"""),"2001")</f>
        <v>2001</v>
      </c>
      <c r="O2174" s="14"/>
      <c r="P2174" s="15">
        <f>IFERROR(__xludf.DUMMYFUNCTION("ARRAYFORMULA(VLOOKUP(A2174,IMPORTRANGE(""https://docs.google.com/spreadsheets/d/1BuTWp7qHGjWhqrnf-OmePP568O4A5Am9ttzvVdP67zw/edit#gid=771602874"" ,""HUMAN RESOURCES!$A$2:$M$2692""), {2,3,4,5,6,7,8,9,10,11,12,13},0))"),0.048)</f>
        <v>0.048</v>
      </c>
      <c r="Q2174" s="14">
        <f>IFERROR(__xludf.DUMMYFUNCTION("""COMPUTED_VALUE"""),0.105)</f>
        <v>0.105</v>
      </c>
      <c r="R2174" s="14">
        <f>IFERROR(__xludf.DUMMYFUNCTION("""COMPUTED_VALUE"""),53.0)</f>
        <v>53</v>
      </c>
      <c r="S2174" s="14">
        <f>IFERROR(__xludf.DUMMYFUNCTION("""COMPUTED_VALUE"""),50.0)</f>
        <v>50</v>
      </c>
      <c r="T2174" s="14">
        <f>IFERROR(__xludf.DUMMYFUNCTION("""COMPUTED_VALUE"""),0.473)</f>
        <v>0.473</v>
      </c>
      <c r="U2174" s="14">
        <f>IFERROR(__xludf.DUMMYFUNCTION("""COMPUTED_VALUE"""),0.497)</f>
        <v>0.497</v>
      </c>
      <c r="V2174" s="14">
        <f>IFERROR(__xludf.DUMMYFUNCTION("""COMPUTED_VALUE"""),0.029)</f>
        <v>0.029</v>
      </c>
      <c r="W2174" s="14">
        <f>IFERROR(__xludf.DUMMYFUNCTION("""COMPUTED_VALUE"""),7609265.0)</f>
        <v>7609265</v>
      </c>
      <c r="X2174" s="14">
        <f>IFERROR(__xludf.DUMMYFUNCTION("""COMPUTED_VALUE"""),0.336)</f>
        <v>0.336</v>
      </c>
      <c r="Y2174" s="14" t="str">
        <f>IFERROR(__xludf.DUMMYFUNCTION("""COMPUTED_VALUE"""),"Somalia-Africa")</f>
        <v>Somalia-Africa</v>
      </c>
      <c r="Z2174" s="14" t="str">
        <f>IFERROR(__xludf.DUMMYFUNCTION("""COMPUTED_VALUE"""),"Africa")</f>
        <v>Africa</v>
      </c>
      <c r="AA2174" s="14" t="str">
        <f>IFERROR(__xludf.DUMMYFUNCTION("""COMPUTED_VALUE"""),"2001")</f>
        <v>2001</v>
      </c>
      <c r="AB2174" s="15" t="str">
        <f>IFERROR(__xludf.DUMMYFUNCTION("ARRAYFORMULA(VLOOKUP(A2174,IMPORTRANGE(""https://docs.google.com/spreadsheets/d/1BuTWp7qHGjWhqrnf-OmePP568O4A5Am9ttzvVdP67zw/edit#gid=1931367683"" ,""ENERGY!$A$2:$F$2692""), {2,3,4,5,6},0))"),"Africa")</f>
        <v>Africa</v>
      </c>
      <c r="AC2174" s="14" t="str">
        <f>IFERROR(__xludf.DUMMYFUNCTION("""COMPUTED_VALUE"""),"Somalia-Africa")</f>
        <v>Somalia-Africa</v>
      </c>
      <c r="AD2174" s="14" t="str">
        <f>IFERROR(__xludf.DUMMYFUNCTION("""COMPUTED_VALUE"""),"2001")</f>
        <v>2001</v>
      </c>
      <c r="AE2174" s="14"/>
      <c r="AF2174" s="14"/>
    </row>
    <row r="2175">
      <c r="A2175" s="12">
        <v>2174.0</v>
      </c>
      <c r="B2175" s="12" t="s">
        <v>246</v>
      </c>
      <c r="C2175" s="5" t="s">
        <v>77</v>
      </c>
      <c r="D2175" s="8"/>
      <c r="E2175" s="8"/>
      <c r="F2175" s="8"/>
      <c r="G2175" s="8"/>
      <c r="H2175" s="11">
        <v>0.001</v>
      </c>
      <c r="I2175" s="11">
        <v>0.013</v>
      </c>
      <c r="J2175" s="9" t="s">
        <v>63</v>
      </c>
      <c r="K2175" s="14" t="str">
        <f>IFERROR(__xludf.DUMMYFUNCTION("ARRAYFORMULA(VLOOKUP(A2175,IMPORTRANGE(""https://docs.google.com/spreadsheets/d/1BuTWp7qHGjWhqrnf-OmePP568O4A5Am9ttzvVdP67zw/edit#gid=1603210130"", ""TOURISM!$A$2:$F$2692""), {2,3,4,5,6},0))"),"Africa")</f>
        <v>Africa</v>
      </c>
      <c r="L2175" s="14"/>
      <c r="M2175" s="14" t="str">
        <f>IFERROR(__xludf.DUMMYFUNCTION("""COMPUTED_VALUE"""),"Somalia-Africa")</f>
        <v>Somalia-Africa</v>
      </c>
      <c r="N2175" s="14" t="str">
        <f>IFERROR(__xludf.DUMMYFUNCTION("""COMPUTED_VALUE"""),"2002")</f>
        <v>2002</v>
      </c>
      <c r="O2175" s="14"/>
      <c r="P2175" s="15">
        <f>IFERROR(__xludf.DUMMYFUNCTION("ARRAYFORMULA(VLOOKUP(A2175,IMPORTRANGE(""https://docs.google.com/spreadsheets/d/1BuTWp7qHGjWhqrnf-OmePP568O4A5Am9ttzvVdP67zw/edit#gid=771602874"" ,""HUMAN RESOURCES!$A$2:$M$2692""), {2,3,4,5,6,7,8,9,10,11,12,13},0))"),0.048)</f>
        <v>0.048</v>
      </c>
      <c r="Q2175" s="14">
        <f>IFERROR(__xludf.DUMMYFUNCTION("""COMPUTED_VALUE"""),0.105)</f>
        <v>0.105</v>
      </c>
      <c r="R2175" s="14">
        <f>IFERROR(__xludf.DUMMYFUNCTION("""COMPUTED_VALUE"""),53.0)</f>
        <v>53</v>
      </c>
      <c r="S2175" s="14">
        <f>IFERROR(__xludf.DUMMYFUNCTION("""COMPUTED_VALUE"""),50.0)</f>
        <v>50</v>
      </c>
      <c r="T2175" s="14">
        <f>IFERROR(__xludf.DUMMYFUNCTION("""COMPUTED_VALUE"""),0.475)</f>
        <v>0.475</v>
      </c>
      <c r="U2175" s="14">
        <f>IFERROR(__xludf.DUMMYFUNCTION("""COMPUTED_VALUE"""),0.496)</f>
        <v>0.496</v>
      </c>
      <c r="V2175" s="14">
        <f>IFERROR(__xludf.DUMMYFUNCTION("""COMPUTED_VALUE"""),0.029)</f>
        <v>0.029</v>
      </c>
      <c r="W2175" s="14">
        <f>IFERROR(__xludf.DUMMYFUNCTION("""COMPUTED_VALUE"""),7825924.0)</f>
        <v>7825924</v>
      </c>
      <c r="X2175" s="14">
        <f>IFERROR(__xludf.DUMMYFUNCTION("""COMPUTED_VALUE"""),0.34)</f>
        <v>0.34</v>
      </c>
      <c r="Y2175" s="14" t="str">
        <f>IFERROR(__xludf.DUMMYFUNCTION("""COMPUTED_VALUE"""),"Somalia-Africa")</f>
        <v>Somalia-Africa</v>
      </c>
      <c r="Z2175" s="14" t="str">
        <f>IFERROR(__xludf.DUMMYFUNCTION("""COMPUTED_VALUE"""),"Africa")</f>
        <v>Africa</v>
      </c>
      <c r="AA2175" s="14" t="str">
        <f>IFERROR(__xludf.DUMMYFUNCTION("""COMPUTED_VALUE"""),"2002")</f>
        <v>2002</v>
      </c>
      <c r="AB2175" s="15" t="str">
        <f>IFERROR(__xludf.DUMMYFUNCTION("ARRAYFORMULA(VLOOKUP(A2175,IMPORTRANGE(""https://docs.google.com/spreadsheets/d/1BuTWp7qHGjWhqrnf-OmePP568O4A5Am9ttzvVdP67zw/edit#gid=1931367683"" ,""ENERGY!$A$2:$F$2692""), {2,3,4,5,6},0))"),"Africa")</f>
        <v>Africa</v>
      </c>
      <c r="AC2175" s="14" t="str">
        <f>IFERROR(__xludf.DUMMYFUNCTION("""COMPUTED_VALUE"""),"Somalia-Africa")</f>
        <v>Somalia-Africa</v>
      </c>
      <c r="AD2175" s="14" t="str">
        <f>IFERROR(__xludf.DUMMYFUNCTION("""COMPUTED_VALUE"""),"2002")</f>
        <v>2002</v>
      </c>
      <c r="AE2175" s="14"/>
      <c r="AF2175" s="14">
        <f>IFERROR(__xludf.DUMMYFUNCTION("""COMPUTED_VALUE"""),609.0)</f>
        <v>609</v>
      </c>
    </row>
    <row r="2176">
      <c r="A2176" s="12">
        <v>2175.0</v>
      </c>
      <c r="B2176" s="12" t="s">
        <v>246</v>
      </c>
      <c r="C2176" s="5" t="s">
        <v>77</v>
      </c>
      <c r="D2176" s="8"/>
      <c r="E2176" s="8"/>
      <c r="F2176" s="8"/>
      <c r="G2176" s="8"/>
      <c r="H2176" s="11">
        <v>0.004</v>
      </c>
      <c r="I2176" s="11">
        <v>0.025</v>
      </c>
      <c r="J2176" s="9" t="s">
        <v>64</v>
      </c>
      <c r="K2176" s="14" t="str">
        <f>IFERROR(__xludf.DUMMYFUNCTION("ARRAYFORMULA(VLOOKUP(A2176,IMPORTRANGE(""https://docs.google.com/spreadsheets/d/1BuTWp7qHGjWhqrnf-OmePP568O4A5Am9ttzvVdP67zw/edit#gid=1603210130"", ""TOURISM!$A$2:$F$2692""), {2,3,4,5,6},0))"),"Africa")</f>
        <v>Africa</v>
      </c>
      <c r="L2176" s="14"/>
      <c r="M2176" s="14" t="str">
        <f>IFERROR(__xludf.DUMMYFUNCTION("""COMPUTED_VALUE"""),"Somalia-Africa")</f>
        <v>Somalia-Africa</v>
      </c>
      <c r="N2176" s="14" t="str">
        <f>IFERROR(__xludf.DUMMYFUNCTION("""COMPUTED_VALUE"""),"2003")</f>
        <v>2003</v>
      </c>
      <c r="O2176" s="14"/>
      <c r="P2176" s="15">
        <f>IFERROR(__xludf.DUMMYFUNCTION("ARRAYFORMULA(VLOOKUP(A2176,IMPORTRANGE(""https://docs.google.com/spreadsheets/d/1BuTWp7qHGjWhqrnf-OmePP568O4A5Am9ttzvVdP67zw/edit#gid=771602874"" ,""HUMAN RESOURCES!$A$2:$M$2692""), {2,3,4,5,6,7,8,9,10,11,12,13},0))"),0.047)</f>
        <v>0.047</v>
      </c>
      <c r="Q2176" s="14">
        <f>IFERROR(__xludf.DUMMYFUNCTION("""COMPUTED_VALUE"""),0.105)</f>
        <v>0.105</v>
      </c>
      <c r="R2176" s="14">
        <f>IFERROR(__xludf.DUMMYFUNCTION("""COMPUTED_VALUE"""),53.0)</f>
        <v>53</v>
      </c>
      <c r="S2176" s="14">
        <f>IFERROR(__xludf.DUMMYFUNCTION("""COMPUTED_VALUE"""),50.0)</f>
        <v>50</v>
      </c>
      <c r="T2176" s="14">
        <f>IFERROR(__xludf.DUMMYFUNCTION("""COMPUTED_VALUE"""),0.476)</f>
        <v>0.476</v>
      </c>
      <c r="U2176" s="14">
        <f>IFERROR(__xludf.DUMMYFUNCTION("""COMPUTED_VALUE"""),0.495)</f>
        <v>0.495</v>
      </c>
      <c r="V2176" s="14">
        <f>IFERROR(__xludf.DUMMYFUNCTION("""COMPUTED_VALUE"""),0.029)</f>
        <v>0.029</v>
      </c>
      <c r="W2176" s="14">
        <f>IFERROR(__xludf.DUMMYFUNCTION("""COMPUTED_VALUE"""),8037706.0)</f>
        <v>8037706</v>
      </c>
      <c r="X2176" s="14">
        <f>IFERROR(__xludf.DUMMYFUNCTION("""COMPUTED_VALUE"""),0.344)</f>
        <v>0.344</v>
      </c>
      <c r="Y2176" s="14" t="str">
        <f>IFERROR(__xludf.DUMMYFUNCTION("""COMPUTED_VALUE"""),"Somalia-Africa")</f>
        <v>Somalia-Africa</v>
      </c>
      <c r="Z2176" s="14" t="str">
        <f>IFERROR(__xludf.DUMMYFUNCTION("""COMPUTED_VALUE"""),"Africa")</f>
        <v>Africa</v>
      </c>
      <c r="AA2176" s="14" t="str">
        <f>IFERROR(__xludf.DUMMYFUNCTION("""COMPUTED_VALUE"""),"2003")</f>
        <v>2003</v>
      </c>
      <c r="AB2176" s="15" t="str">
        <f>IFERROR(__xludf.DUMMYFUNCTION("ARRAYFORMULA(VLOOKUP(A2176,IMPORTRANGE(""https://docs.google.com/spreadsheets/d/1BuTWp7qHGjWhqrnf-OmePP568O4A5Am9ttzvVdP67zw/edit#gid=1931367683"" ,""ENERGY!$A$2:$F$2692""), {2,3,4,5,6},0))"),"Africa")</f>
        <v>Africa</v>
      </c>
      <c r="AC2176" s="14" t="str">
        <f>IFERROR(__xludf.DUMMYFUNCTION("""COMPUTED_VALUE"""),"Somalia-Africa")</f>
        <v>Somalia-Africa</v>
      </c>
      <c r="AD2176" s="14" t="str">
        <f>IFERROR(__xludf.DUMMYFUNCTION("""COMPUTED_VALUE"""),"2003")</f>
        <v>2003</v>
      </c>
      <c r="AE2176" s="14"/>
      <c r="AF2176" s="14">
        <f>IFERROR(__xludf.DUMMYFUNCTION("""COMPUTED_VALUE"""),594.0)</f>
        <v>594</v>
      </c>
    </row>
    <row r="2177">
      <c r="A2177" s="12">
        <v>2176.0</v>
      </c>
      <c r="B2177" s="12" t="s">
        <v>246</v>
      </c>
      <c r="C2177" s="5" t="s">
        <v>77</v>
      </c>
      <c r="D2177" s="8"/>
      <c r="E2177" s="8"/>
      <c r="F2177" s="8"/>
      <c r="G2177" s="8"/>
      <c r="H2177" s="11">
        <v>0.011</v>
      </c>
      <c r="I2177" s="11">
        <v>0.061</v>
      </c>
      <c r="J2177" s="9" t="s">
        <v>65</v>
      </c>
      <c r="K2177" s="14" t="str">
        <f>IFERROR(__xludf.DUMMYFUNCTION("ARRAYFORMULA(VLOOKUP(A2177,IMPORTRANGE(""https://docs.google.com/spreadsheets/d/1BuTWp7qHGjWhqrnf-OmePP568O4A5Am9ttzvVdP67zw/edit#gid=1603210130"", ""TOURISM!$A$2:$F$2692""), {2,3,4,5,6},0))"),"Africa")</f>
        <v>Africa</v>
      </c>
      <c r="L2177" s="14"/>
      <c r="M2177" s="14" t="str">
        <f>IFERROR(__xludf.DUMMYFUNCTION("""COMPUTED_VALUE"""),"Somalia-Africa")</f>
        <v>Somalia-Africa</v>
      </c>
      <c r="N2177" s="14" t="str">
        <f>IFERROR(__xludf.DUMMYFUNCTION("""COMPUTED_VALUE"""),"2004")</f>
        <v>2004</v>
      </c>
      <c r="O2177" s="14"/>
      <c r="P2177" s="15">
        <f>IFERROR(__xludf.DUMMYFUNCTION("ARRAYFORMULA(VLOOKUP(A2177,IMPORTRANGE(""https://docs.google.com/spreadsheets/d/1BuTWp7qHGjWhqrnf-OmePP568O4A5Am9ttzvVdP67zw/edit#gid=771602874"" ,""HUMAN RESOURCES!$A$2:$M$2692""), {2,3,4,5,6,7,8,9,10,11,12,13},0))"),0.047)</f>
        <v>0.047</v>
      </c>
      <c r="Q2177" s="14">
        <f>IFERROR(__xludf.DUMMYFUNCTION("""COMPUTED_VALUE"""),0.105)</f>
        <v>0.105</v>
      </c>
      <c r="R2177" s="14">
        <f>IFERROR(__xludf.DUMMYFUNCTION("""COMPUTED_VALUE"""),54.0)</f>
        <v>54</v>
      </c>
      <c r="S2177" s="14">
        <f>IFERROR(__xludf.DUMMYFUNCTION("""COMPUTED_VALUE"""),51.0)</f>
        <v>51</v>
      </c>
      <c r="T2177" s="14">
        <f>IFERROR(__xludf.DUMMYFUNCTION("""COMPUTED_VALUE"""),0.477)</f>
        <v>0.477</v>
      </c>
      <c r="U2177" s="14">
        <f>IFERROR(__xludf.DUMMYFUNCTION("""COMPUTED_VALUE"""),0.494)</f>
        <v>0.494</v>
      </c>
      <c r="V2177" s="14">
        <f>IFERROR(__xludf.DUMMYFUNCTION("""COMPUTED_VALUE"""),0.029)</f>
        <v>0.029</v>
      </c>
      <c r="W2177" s="14">
        <f>IFERROR(__xludf.DUMMYFUNCTION("""COMPUTED_VALUE"""),8249965.0)</f>
        <v>8249965</v>
      </c>
      <c r="X2177" s="14">
        <f>IFERROR(__xludf.DUMMYFUNCTION("""COMPUTED_VALUE"""),0.348)</f>
        <v>0.348</v>
      </c>
      <c r="Y2177" s="14" t="str">
        <f>IFERROR(__xludf.DUMMYFUNCTION("""COMPUTED_VALUE"""),"Somalia-Africa")</f>
        <v>Somalia-Africa</v>
      </c>
      <c r="Z2177" s="14" t="str">
        <f>IFERROR(__xludf.DUMMYFUNCTION("""COMPUTED_VALUE"""),"Africa")</f>
        <v>Africa</v>
      </c>
      <c r="AA2177" s="14" t="str">
        <f>IFERROR(__xludf.DUMMYFUNCTION("""COMPUTED_VALUE"""),"2004")</f>
        <v>2004</v>
      </c>
      <c r="AB2177" s="15" t="str">
        <f>IFERROR(__xludf.DUMMYFUNCTION("ARRAYFORMULA(VLOOKUP(A2177,IMPORTRANGE(""https://docs.google.com/spreadsheets/d/1BuTWp7qHGjWhqrnf-OmePP568O4A5Am9ttzvVdP67zw/edit#gid=1931367683"" ,""ENERGY!$A$2:$F$2692""), {2,3,4,5,6},0))"),"Africa")</f>
        <v>Africa</v>
      </c>
      <c r="AC2177" s="14" t="str">
        <f>IFERROR(__xludf.DUMMYFUNCTION("""COMPUTED_VALUE"""),"Somalia-Africa")</f>
        <v>Somalia-Africa</v>
      </c>
      <c r="AD2177" s="14" t="str">
        <f>IFERROR(__xludf.DUMMYFUNCTION("""COMPUTED_VALUE"""),"2004")</f>
        <v>2004</v>
      </c>
      <c r="AE2177" s="14"/>
      <c r="AF2177" s="14">
        <f>IFERROR(__xludf.DUMMYFUNCTION("""COMPUTED_VALUE"""),609.0)</f>
        <v>609</v>
      </c>
    </row>
    <row r="2178">
      <c r="A2178" s="12">
        <v>2177.0</v>
      </c>
      <c r="B2178" s="12" t="s">
        <v>246</v>
      </c>
      <c r="C2178" s="5" t="s">
        <v>77</v>
      </c>
      <c r="D2178" s="8"/>
      <c r="E2178" s="8"/>
      <c r="F2178" s="8"/>
      <c r="G2178" s="8"/>
      <c r="H2178" s="11">
        <v>0.011</v>
      </c>
      <c r="I2178" s="11">
        <v>0.059</v>
      </c>
      <c r="J2178" s="9" t="s">
        <v>66</v>
      </c>
      <c r="K2178" s="14" t="str">
        <f>IFERROR(__xludf.DUMMYFUNCTION("ARRAYFORMULA(VLOOKUP(A2178,IMPORTRANGE(""https://docs.google.com/spreadsheets/d/1BuTWp7qHGjWhqrnf-OmePP568O4A5Am9ttzvVdP67zw/edit#gid=1603210130"", ""TOURISM!$A$2:$F$2692""), {2,3,4,5,6},0))"),"Africa")</f>
        <v>Africa</v>
      </c>
      <c r="L2178" s="14"/>
      <c r="M2178" s="14" t="str">
        <f>IFERROR(__xludf.DUMMYFUNCTION("""COMPUTED_VALUE"""),"Somalia-Africa")</f>
        <v>Somalia-Africa</v>
      </c>
      <c r="N2178" s="14" t="str">
        <f>IFERROR(__xludf.DUMMYFUNCTION("""COMPUTED_VALUE"""),"2005")</f>
        <v>2005</v>
      </c>
      <c r="O2178" s="14"/>
      <c r="P2178" s="15">
        <f>IFERROR(__xludf.DUMMYFUNCTION("ARRAYFORMULA(VLOOKUP(A2178,IMPORTRANGE(""https://docs.google.com/spreadsheets/d/1BuTWp7qHGjWhqrnf-OmePP568O4A5Am9ttzvVdP67zw/edit#gid=771602874"" ,""HUMAN RESOURCES!$A$2:$M$2692""), {2,3,4,5,6,7,8,9,10,11,12,13},0))"),0.047)</f>
        <v>0.047</v>
      </c>
      <c r="Q2178" s="14">
        <f>IFERROR(__xludf.DUMMYFUNCTION("""COMPUTED_VALUE"""),0.105)</f>
        <v>0.105</v>
      </c>
      <c r="R2178" s="14">
        <f>IFERROR(__xludf.DUMMYFUNCTION("""COMPUTED_VALUE"""),54.0)</f>
        <v>54</v>
      </c>
      <c r="S2178" s="14">
        <f>IFERROR(__xludf.DUMMYFUNCTION("""COMPUTED_VALUE"""),51.0)</f>
        <v>51</v>
      </c>
      <c r="T2178" s="14">
        <f>IFERROR(__xludf.DUMMYFUNCTION("""COMPUTED_VALUE"""),0.477)</f>
        <v>0.477</v>
      </c>
      <c r="U2178" s="14">
        <f>IFERROR(__xludf.DUMMYFUNCTION("""COMPUTED_VALUE"""),0.494)</f>
        <v>0.494</v>
      </c>
      <c r="V2178" s="14">
        <f>IFERROR(__xludf.DUMMYFUNCTION("""COMPUTED_VALUE"""),0.029)</f>
        <v>0.029</v>
      </c>
      <c r="W2178" s="14">
        <f>IFERROR(__xludf.DUMMYFUNCTION("""COMPUTED_VALUE"""),8466938.0)</f>
        <v>8466938</v>
      </c>
      <c r="X2178" s="14">
        <f>IFERROR(__xludf.DUMMYFUNCTION("""COMPUTED_VALUE"""),0.352)</f>
        <v>0.352</v>
      </c>
      <c r="Y2178" s="14" t="str">
        <f>IFERROR(__xludf.DUMMYFUNCTION("""COMPUTED_VALUE"""),"Somalia-Africa")</f>
        <v>Somalia-Africa</v>
      </c>
      <c r="Z2178" s="14" t="str">
        <f>IFERROR(__xludf.DUMMYFUNCTION("""COMPUTED_VALUE"""),"Africa")</f>
        <v>Africa</v>
      </c>
      <c r="AA2178" s="14" t="str">
        <f>IFERROR(__xludf.DUMMYFUNCTION("""COMPUTED_VALUE"""),"2005")</f>
        <v>2005</v>
      </c>
      <c r="AB2178" s="15" t="str">
        <f>IFERROR(__xludf.DUMMYFUNCTION("ARRAYFORMULA(VLOOKUP(A2178,IMPORTRANGE(""https://docs.google.com/spreadsheets/d/1BuTWp7qHGjWhqrnf-OmePP568O4A5Am9ttzvVdP67zw/edit#gid=1931367683"" ,""ENERGY!$A$2:$F$2692""), {2,3,4,5,6},0))"),"Africa")</f>
        <v>Africa</v>
      </c>
      <c r="AC2178" s="14" t="str">
        <f>IFERROR(__xludf.DUMMYFUNCTION("""COMPUTED_VALUE"""),"Somalia-Africa")</f>
        <v>Somalia-Africa</v>
      </c>
      <c r="AD2178" s="14" t="str">
        <f>IFERROR(__xludf.DUMMYFUNCTION("""COMPUTED_VALUE"""),"2008")</f>
        <v>2008</v>
      </c>
      <c r="AE2178" s="14"/>
      <c r="AF2178" s="14">
        <f>IFERROR(__xludf.DUMMYFUNCTION("""COMPUTED_VALUE"""),605.0)</f>
        <v>605</v>
      </c>
    </row>
    <row r="2179">
      <c r="A2179" s="12">
        <v>2178.0</v>
      </c>
      <c r="B2179" s="12" t="s">
        <v>246</v>
      </c>
      <c r="C2179" s="5" t="s">
        <v>77</v>
      </c>
      <c r="D2179" s="8"/>
      <c r="E2179" s="8"/>
      <c r="F2179" s="8"/>
      <c r="G2179" s="8"/>
      <c r="H2179" s="11">
        <v>0.011</v>
      </c>
      <c r="I2179" s="11">
        <v>0.063</v>
      </c>
      <c r="J2179" s="9" t="s">
        <v>67</v>
      </c>
      <c r="K2179" s="14" t="str">
        <f>IFERROR(__xludf.DUMMYFUNCTION("ARRAYFORMULA(VLOOKUP(A2179,IMPORTRANGE(""https://docs.google.com/spreadsheets/d/1BuTWp7qHGjWhqrnf-OmePP568O4A5Am9ttzvVdP67zw/edit#gid=1603210130"", ""TOURISM!$A$2:$F$2692""), {2,3,4,5,6},0))"),"Africa")</f>
        <v>Africa</v>
      </c>
      <c r="L2179" s="14"/>
      <c r="M2179" s="14" t="str">
        <f>IFERROR(__xludf.DUMMYFUNCTION("""COMPUTED_VALUE"""),"Somalia-Africa")</f>
        <v>Somalia-Africa</v>
      </c>
      <c r="N2179" s="14" t="str">
        <f>IFERROR(__xludf.DUMMYFUNCTION("""COMPUTED_VALUE"""),"2006")</f>
        <v>2006</v>
      </c>
      <c r="O2179" s="14"/>
      <c r="P2179" s="15">
        <f>IFERROR(__xludf.DUMMYFUNCTION("ARRAYFORMULA(VLOOKUP(A2179,IMPORTRANGE(""https://docs.google.com/spreadsheets/d/1BuTWp7qHGjWhqrnf-OmePP568O4A5Am9ttzvVdP67zw/edit#gid=771602874"" ,""HUMAN RESOURCES!$A$2:$M$2692""), {2,3,4,5,6,7,8,9,10,11,12,13},0))"),0.047)</f>
        <v>0.047</v>
      </c>
      <c r="Q2179" s="14">
        <f>IFERROR(__xludf.DUMMYFUNCTION("""COMPUTED_VALUE"""),0.105)</f>
        <v>0.105</v>
      </c>
      <c r="R2179" s="14">
        <f>IFERROR(__xludf.DUMMYFUNCTION("""COMPUTED_VALUE"""),54.0)</f>
        <v>54</v>
      </c>
      <c r="S2179" s="14">
        <f>IFERROR(__xludf.DUMMYFUNCTION("""COMPUTED_VALUE"""),51.0)</f>
        <v>51</v>
      </c>
      <c r="T2179" s="14">
        <f>IFERROR(__xludf.DUMMYFUNCTION("""COMPUTED_VALUE"""),0.478)</f>
        <v>0.478</v>
      </c>
      <c r="U2179" s="14">
        <f>IFERROR(__xludf.DUMMYFUNCTION("""COMPUTED_VALUE"""),0.493)</f>
        <v>0.493</v>
      </c>
      <c r="V2179" s="14">
        <f>IFERROR(__xludf.DUMMYFUNCTION("""COMPUTED_VALUE"""),0.029)</f>
        <v>0.029</v>
      </c>
      <c r="W2179" s="14">
        <f>IFERROR(__xludf.DUMMYFUNCTION("""COMPUTED_VALUE"""),8687671.0)</f>
        <v>8687671</v>
      </c>
      <c r="X2179" s="14">
        <f>IFERROR(__xludf.DUMMYFUNCTION("""COMPUTED_VALUE"""),0.356)</f>
        <v>0.356</v>
      </c>
      <c r="Y2179" s="14" t="str">
        <f>IFERROR(__xludf.DUMMYFUNCTION("""COMPUTED_VALUE"""),"Somalia-Africa")</f>
        <v>Somalia-Africa</v>
      </c>
      <c r="Z2179" s="14" t="str">
        <f>IFERROR(__xludf.DUMMYFUNCTION("""COMPUTED_VALUE"""),"Africa")</f>
        <v>Africa</v>
      </c>
      <c r="AA2179" s="14" t="str">
        <f>IFERROR(__xludf.DUMMYFUNCTION("""COMPUTED_VALUE"""),"2006")</f>
        <v>2006</v>
      </c>
      <c r="AB2179" s="15" t="str">
        <f>IFERROR(__xludf.DUMMYFUNCTION("ARRAYFORMULA(VLOOKUP(A2179,IMPORTRANGE(""https://docs.google.com/spreadsheets/d/1BuTWp7qHGjWhqrnf-OmePP568O4A5Am9ttzvVdP67zw/edit#gid=1931367683"" ,""ENERGY!$A$2:$F$2692""), {2,3,4,5,6},0))"),"Africa")</f>
        <v>Africa</v>
      </c>
      <c r="AC2179" s="14" t="str">
        <f>IFERROR(__xludf.DUMMYFUNCTION("""COMPUTED_VALUE"""),"Somalia-Africa")</f>
        <v>Somalia-Africa</v>
      </c>
      <c r="AD2179" s="14" t="str">
        <f>IFERROR(__xludf.DUMMYFUNCTION("""COMPUTED_VALUE"""),"2012")</f>
        <v>2012</v>
      </c>
      <c r="AE2179" s="14"/>
      <c r="AF2179" s="14">
        <f>IFERROR(__xludf.DUMMYFUNCTION("""COMPUTED_VALUE"""),576.0)</f>
        <v>576</v>
      </c>
    </row>
    <row r="2180">
      <c r="A2180" s="12">
        <v>2179.0</v>
      </c>
      <c r="B2180" s="12" t="s">
        <v>246</v>
      </c>
      <c r="C2180" s="5" t="s">
        <v>77</v>
      </c>
      <c r="D2180" s="8"/>
      <c r="E2180" s="8"/>
      <c r="F2180" s="8"/>
      <c r="G2180" s="8"/>
      <c r="H2180" s="11">
        <v>0.011</v>
      </c>
      <c r="I2180" s="11">
        <v>0.067</v>
      </c>
      <c r="J2180" s="9" t="s">
        <v>68</v>
      </c>
      <c r="K2180" s="14" t="str">
        <f>IFERROR(__xludf.DUMMYFUNCTION("ARRAYFORMULA(VLOOKUP(A2180,IMPORTRANGE(""https://docs.google.com/spreadsheets/d/1BuTWp7qHGjWhqrnf-OmePP568O4A5Am9ttzvVdP67zw/edit#gid=1603210130"", ""TOURISM!$A$2:$F$2692""), {2,3,4,5,6},0))"),"Africa")</f>
        <v>Africa</v>
      </c>
      <c r="L2180" s="14"/>
      <c r="M2180" s="14" t="str">
        <f>IFERROR(__xludf.DUMMYFUNCTION("""COMPUTED_VALUE"""),"Somalia-Africa")</f>
        <v>Somalia-Africa</v>
      </c>
      <c r="N2180" s="14" t="str">
        <f>IFERROR(__xludf.DUMMYFUNCTION("""COMPUTED_VALUE"""),"2007")</f>
        <v>2007</v>
      </c>
      <c r="O2180" s="14"/>
      <c r="P2180" s="15">
        <f>IFERROR(__xludf.DUMMYFUNCTION("ARRAYFORMULA(VLOOKUP(A2180,IMPORTRANGE(""https://docs.google.com/spreadsheets/d/1BuTWp7qHGjWhqrnf-OmePP568O4A5Am9ttzvVdP67zw/edit#gid=771602874"" ,""HUMAN RESOURCES!$A$2:$M$2692""), {2,3,4,5,6,7,8,9,10,11,12,13},0))"),0.046)</f>
        <v>0.046</v>
      </c>
      <c r="Q2180" s="14">
        <f>IFERROR(__xludf.DUMMYFUNCTION("""COMPUTED_VALUE"""),0.104)</f>
        <v>0.104</v>
      </c>
      <c r="R2180" s="14">
        <f>IFERROR(__xludf.DUMMYFUNCTION("""COMPUTED_VALUE"""),55.0)</f>
        <v>55</v>
      </c>
      <c r="S2180" s="14">
        <f>IFERROR(__xludf.DUMMYFUNCTION("""COMPUTED_VALUE"""),51.0)</f>
        <v>51</v>
      </c>
      <c r="T2180" s="14">
        <f>IFERROR(__xludf.DUMMYFUNCTION("""COMPUTED_VALUE"""),0.478)</f>
        <v>0.478</v>
      </c>
      <c r="U2180" s="14">
        <f>IFERROR(__xludf.DUMMYFUNCTION("""COMPUTED_VALUE"""),0.493)</f>
        <v>0.493</v>
      </c>
      <c r="V2180" s="14">
        <f>IFERROR(__xludf.DUMMYFUNCTION("""COMPUTED_VALUE"""),0.029)</f>
        <v>0.029</v>
      </c>
      <c r="W2180" s="14">
        <f>IFERROR(__xludf.DUMMYFUNCTION("""COMPUTED_VALUE"""),8910851.0)</f>
        <v>8910851</v>
      </c>
      <c r="X2180" s="14">
        <f>IFERROR(__xludf.DUMMYFUNCTION("""COMPUTED_VALUE"""),0.36)</f>
        <v>0.36</v>
      </c>
      <c r="Y2180" s="14" t="str">
        <f>IFERROR(__xludf.DUMMYFUNCTION("""COMPUTED_VALUE"""),"Somalia-Africa")</f>
        <v>Somalia-Africa</v>
      </c>
      <c r="Z2180" s="14" t="str">
        <f>IFERROR(__xludf.DUMMYFUNCTION("""COMPUTED_VALUE"""),"Africa")</f>
        <v>Africa</v>
      </c>
      <c r="AA2180" s="14" t="str">
        <f>IFERROR(__xludf.DUMMYFUNCTION("""COMPUTED_VALUE"""),"2007")</f>
        <v>2007</v>
      </c>
      <c r="AB2180" s="15" t="str">
        <f>IFERROR(__xludf.DUMMYFUNCTION("ARRAYFORMULA(VLOOKUP(A2180,IMPORTRANGE(""https://docs.google.com/spreadsheets/d/1BuTWp7qHGjWhqrnf-OmePP568O4A5Am9ttzvVdP67zw/edit#gid=1931367683"" ,""ENERGY!$A$2:$F$2692""), {2,3,4,5,6},0))"),"Africa")</f>
        <v>Africa</v>
      </c>
      <c r="AC2180" s="14" t="str">
        <f>IFERROR(__xludf.DUMMYFUNCTION("""COMPUTED_VALUE"""),"Somalia-Africa")</f>
        <v>Somalia-Africa</v>
      </c>
      <c r="AD2180" s="14" t="str">
        <f>IFERROR(__xludf.DUMMYFUNCTION("""COMPUTED_VALUE"""),"2010")</f>
        <v>2010</v>
      </c>
      <c r="AE2180" s="14"/>
      <c r="AF2180" s="14">
        <f>IFERROR(__xludf.DUMMYFUNCTION("""COMPUTED_VALUE"""),579.0)</f>
        <v>579</v>
      </c>
    </row>
    <row r="2181">
      <c r="A2181" s="12">
        <v>2180.0</v>
      </c>
      <c r="B2181" s="12" t="s">
        <v>246</v>
      </c>
      <c r="C2181" s="5" t="s">
        <v>77</v>
      </c>
      <c r="D2181" s="8"/>
      <c r="E2181" s="8"/>
      <c r="F2181" s="8"/>
      <c r="G2181" s="8"/>
      <c r="H2181" s="11">
        <v>0.011</v>
      </c>
      <c r="I2181" s="11">
        <v>0.069</v>
      </c>
      <c r="J2181" s="9" t="s">
        <v>69</v>
      </c>
      <c r="K2181" s="14" t="str">
        <f>IFERROR(__xludf.DUMMYFUNCTION("ARRAYFORMULA(VLOOKUP(A2181,IMPORTRANGE(""https://docs.google.com/spreadsheets/d/1BuTWp7qHGjWhqrnf-OmePP568O4A5Am9ttzvVdP67zw/edit#gid=1603210130"", ""TOURISM!$A$2:$F$2692""), {2,3,4,5,6},0))"),"Africa")</f>
        <v>Africa</v>
      </c>
      <c r="L2181" s="14"/>
      <c r="M2181" s="14" t="str">
        <f>IFERROR(__xludf.DUMMYFUNCTION("""COMPUTED_VALUE"""),"Somalia-Africa")</f>
        <v>Somalia-Africa</v>
      </c>
      <c r="N2181" s="14" t="str">
        <f>IFERROR(__xludf.DUMMYFUNCTION("""COMPUTED_VALUE"""),"2008")</f>
        <v>2008</v>
      </c>
      <c r="O2181" s="14"/>
      <c r="P2181" s="15">
        <f>IFERROR(__xludf.DUMMYFUNCTION("ARRAYFORMULA(VLOOKUP(A2181,IMPORTRANGE(""https://docs.google.com/spreadsheets/d/1BuTWp7qHGjWhqrnf-OmePP568O4A5Am9ttzvVdP67zw/edit#gid=771602874"" ,""HUMAN RESOURCES!$A$2:$M$2692""), {2,3,4,5,6,7,8,9,10,11,12,13},0))"),0.046)</f>
        <v>0.046</v>
      </c>
      <c r="Q2181" s="14">
        <f>IFERROR(__xludf.DUMMYFUNCTION("""COMPUTED_VALUE"""),0.102)</f>
        <v>0.102</v>
      </c>
      <c r="R2181" s="14">
        <f>IFERROR(__xludf.DUMMYFUNCTION("""COMPUTED_VALUE"""),55.0)</f>
        <v>55</v>
      </c>
      <c r="S2181" s="14">
        <f>IFERROR(__xludf.DUMMYFUNCTION("""COMPUTED_VALUE"""),52.0)</f>
        <v>52</v>
      </c>
      <c r="T2181" s="14">
        <f>IFERROR(__xludf.DUMMYFUNCTION("""COMPUTED_VALUE"""),0.478)</f>
        <v>0.478</v>
      </c>
      <c r="U2181" s="14">
        <f>IFERROR(__xludf.DUMMYFUNCTION("""COMPUTED_VALUE"""),0.493)</f>
        <v>0.493</v>
      </c>
      <c r="V2181" s="14">
        <f>IFERROR(__xludf.DUMMYFUNCTION("""COMPUTED_VALUE"""),0.029)</f>
        <v>0.029</v>
      </c>
      <c r="W2181" s="14">
        <f>IFERROR(__xludf.DUMMYFUNCTION("""COMPUTED_VALUE"""),9140259.0)</f>
        <v>9140259</v>
      </c>
      <c r="X2181" s="14">
        <f>IFERROR(__xludf.DUMMYFUNCTION("""COMPUTED_VALUE"""),0.364)</f>
        <v>0.364</v>
      </c>
      <c r="Y2181" s="14" t="str">
        <f>IFERROR(__xludf.DUMMYFUNCTION("""COMPUTED_VALUE"""),"Somalia-Africa")</f>
        <v>Somalia-Africa</v>
      </c>
      <c r="Z2181" s="14" t="str">
        <f>IFERROR(__xludf.DUMMYFUNCTION("""COMPUTED_VALUE"""),"Africa")</f>
        <v>Africa</v>
      </c>
      <c r="AA2181" s="14" t="str">
        <f>IFERROR(__xludf.DUMMYFUNCTION("""COMPUTED_VALUE"""),"2008")</f>
        <v>2008</v>
      </c>
      <c r="AB2181" s="15" t="str">
        <f>IFERROR(__xludf.DUMMYFUNCTION("ARRAYFORMULA(VLOOKUP(A2181,IMPORTRANGE(""https://docs.google.com/spreadsheets/d/1BuTWp7qHGjWhqrnf-OmePP568O4A5Am9ttzvVdP67zw/edit#gid=1931367683"" ,""ENERGY!$A$2:$F$2692""), {2,3,4,5,6},0))"),"Africa")</f>
        <v>Africa</v>
      </c>
      <c r="AC2181" s="14" t="str">
        <f>IFERROR(__xludf.DUMMYFUNCTION("""COMPUTED_VALUE"""),"Somalia-Africa")</f>
        <v>Somalia-Africa</v>
      </c>
      <c r="AD2181" s="14" t="str">
        <f>IFERROR(__xludf.DUMMYFUNCTION("""COMPUTED_VALUE"""),"2007")</f>
        <v>2007</v>
      </c>
      <c r="AE2181" s="14"/>
      <c r="AF2181" s="14">
        <f>IFERROR(__xludf.DUMMYFUNCTION("""COMPUTED_VALUE"""),576.0)</f>
        <v>576</v>
      </c>
    </row>
    <row r="2182">
      <c r="A2182" s="12">
        <v>2181.0</v>
      </c>
      <c r="B2182" s="12" t="s">
        <v>246</v>
      </c>
      <c r="C2182" s="5" t="s">
        <v>77</v>
      </c>
      <c r="D2182" s="8"/>
      <c r="E2182" s="8"/>
      <c r="F2182" s="8"/>
      <c r="G2182" s="8"/>
      <c r="H2182" s="11">
        <v>0.012</v>
      </c>
      <c r="I2182" s="11">
        <v>0.068</v>
      </c>
      <c r="J2182" s="9" t="s">
        <v>70</v>
      </c>
      <c r="K2182" s="14" t="str">
        <f>IFERROR(__xludf.DUMMYFUNCTION("ARRAYFORMULA(VLOOKUP(A2182,IMPORTRANGE(""https://docs.google.com/spreadsheets/d/1BuTWp7qHGjWhqrnf-OmePP568O4A5Am9ttzvVdP67zw/edit#gid=1603210130"", ""TOURISM!$A$2:$F$2692""), {2,3,4,5,6},0))"),"Africa")</f>
        <v>Africa</v>
      </c>
      <c r="L2182" s="14"/>
      <c r="M2182" s="14" t="str">
        <f>IFERROR(__xludf.DUMMYFUNCTION("""COMPUTED_VALUE"""),"Somalia-Africa")</f>
        <v>Somalia-Africa</v>
      </c>
      <c r="N2182" s="14" t="str">
        <f>IFERROR(__xludf.DUMMYFUNCTION("""COMPUTED_VALUE"""),"2009")</f>
        <v>2009</v>
      </c>
      <c r="O2182" s="14"/>
      <c r="P2182" s="15">
        <f>IFERROR(__xludf.DUMMYFUNCTION("ARRAYFORMULA(VLOOKUP(A2182,IMPORTRANGE(""https://docs.google.com/spreadsheets/d/1BuTWp7qHGjWhqrnf-OmePP568O4A5Am9ttzvVdP67zw/edit#gid=771602874"" ,""HUMAN RESOURCES!$A$2:$M$2692""), {2,3,4,5,6,7,8,9,10,11,12,13},0))"),0.046)</f>
        <v>0.046</v>
      </c>
      <c r="Q2182" s="14">
        <f>IFERROR(__xludf.DUMMYFUNCTION("""COMPUTED_VALUE"""),0.1)</f>
        <v>0.1</v>
      </c>
      <c r="R2182" s="14">
        <f>IFERROR(__xludf.DUMMYFUNCTION("""COMPUTED_VALUE"""),55.0)</f>
        <v>55</v>
      </c>
      <c r="S2182" s="14">
        <f>IFERROR(__xludf.DUMMYFUNCTION("""COMPUTED_VALUE"""),52.0)</f>
        <v>52</v>
      </c>
      <c r="T2182" s="14">
        <f>IFERROR(__xludf.DUMMYFUNCTION("""COMPUTED_VALUE"""),0.478)</f>
        <v>0.478</v>
      </c>
      <c r="U2182" s="14">
        <f>IFERROR(__xludf.DUMMYFUNCTION("""COMPUTED_VALUE"""),0.494)</f>
        <v>0.494</v>
      </c>
      <c r="V2182" s="14">
        <f>IFERROR(__xludf.DUMMYFUNCTION("""COMPUTED_VALUE"""),0.028)</f>
        <v>0.028</v>
      </c>
      <c r="W2182" s="14">
        <f>IFERROR(__xludf.DUMMYFUNCTION("""COMPUTED_VALUE"""),9380854.0)</f>
        <v>9380854</v>
      </c>
      <c r="X2182" s="14">
        <f>IFERROR(__xludf.DUMMYFUNCTION("""COMPUTED_VALUE"""),0.368)</f>
        <v>0.368</v>
      </c>
      <c r="Y2182" s="14" t="str">
        <f>IFERROR(__xludf.DUMMYFUNCTION("""COMPUTED_VALUE"""),"Somalia-Africa")</f>
        <v>Somalia-Africa</v>
      </c>
      <c r="Z2182" s="14" t="str">
        <f>IFERROR(__xludf.DUMMYFUNCTION("""COMPUTED_VALUE"""),"Africa")</f>
        <v>Africa</v>
      </c>
      <c r="AA2182" s="14" t="str">
        <f>IFERROR(__xludf.DUMMYFUNCTION("""COMPUTED_VALUE"""),"2009")</f>
        <v>2009</v>
      </c>
      <c r="AB2182" s="15" t="str">
        <f>IFERROR(__xludf.DUMMYFUNCTION("ARRAYFORMULA(VLOOKUP(A2182,IMPORTRANGE(""https://docs.google.com/spreadsheets/d/1BuTWp7qHGjWhqrnf-OmePP568O4A5Am9ttzvVdP67zw/edit#gid=1931367683"" ,""ENERGY!$A$2:$F$2692""), {2,3,4,5,6},0))"),"Africa")</f>
        <v>Africa</v>
      </c>
      <c r="AC2182" s="14" t="str">
        <f>IFERROR(__xludf.DUMMYFUNCTION("""COMPUTED_VALUE"""),"Somalia-Africa")</f>
        <v>Somalia-Africa</v>
      </c>
      <c r="AD2182" s="14" t="str">
        <f>IFERROR(__xludf.DUMMYFUNCTION("""COMPUTED_VALUE"""),"2011")</f>
        <v>2011</v>
      </c>
      <c r="AE2182" s="14"/>
      <c r="AF2182" s="14">
        <f>IFERROR(__xludf.DUMMYFUNCTION("""COMPUTED_VALUE"""),576.0)</f>
        <v>576</v>
      </c>
    </row>
    <row r="2183">
      <c r="A2183" s="12">
        <v>2182.0</v>
      </c>
      <c r="B2183" s="12" t="s">
        <v>246</v>
      </c>
      <c r="C2183" s="5" t="s">
        <v>77</v>
      </c>
      <c r="D2183" s="8"/>
      <c r="E2183" s="8"/>
      <c r="F2183" s="8"/>
      <c r="G2183" s="8"/>
      <c r="H2183" s="8"/>
      <c r="I2183" s="11">
        <v>0.067</v>
      </c>
      <c r="J2183" s="9" t="s">
        <v>71</v>
      </c>
      <c r="K2183" s="14" t="str">
        <f>IFERROR(__xludf.DUMMYFUNCTION("ARRAYFORMULA(VLOOKUP(A2183,IMPORTRANGE(""https://docs.google.com/spreadsheets/d/1BuTWp7qHGjWhqrnf-OmePP568O4A5Am9ttzvVdP67zw/edit#gid=1603210130"", ""TOURISM!$A$2:$F$2692""), {2,3,4,5,6},0))"),"Africa")</f>
        <v>Africa</v>
      </c>
      <c r="L2183" s="14"/>
      <c r="M2183" s="14" t="str">
        <f>IFERROR(__xludf.DUMMYFUNCTION("""COMPUTED_VALUE"""),"Somalia-Africa")</f>
        <v>Somalia-Africa</v>
      </c>
      <c r="N2183" s="14" t="str">
        <f>IFERROR(__xludf.DUMMYFUNCTION("""COMPUTED_VALUE"""),"2010")</f>
        <v>2010</v>
      </c>
      <c r="O2183" s="14"/>
      <c r="P2183" s="15">
        <f>IFERROR(__xludf.DUMMYFUNCTION("ARRAYFORMULA(VLOOKUP(A2183,IMPORTRANGE(""https://docs.google.com/spreadsheets/d/1BuTWp7qHGjWhqrnf-OmePP568O4A5Am9ttzvVdP67zw/edit#gid=771602874"" ,""HUMAN RESOURCES!$A$2:$M$2692""), {2,3,4,5,6,7,8,9,10,11,12,13},0))"),0.045)</f>
        <v>0.045</v>
      </c>
      <c r="Q2183" s="14">
        <f>IFERROR(__xludf.DUMMYFUNCTION("""COMPUTED_VALUE"""),0.097)</f>
        <v>0.097</v>
      </c>
      <c r="R2183" s="14">
        <f>IFERROR(__xludf.DUMMYFUNCTION("""COMPUTED_VALUE"""),56.0)</f>
        <v>56</v>
      </c>
      <c r="S2183" s="14">
        <f>IFERROR(__xludf.DUMMYFUNCTION("""COMPUTED_VALUE"""),52.0)</f>
        <v>52</v>
      </c>
      <c r="T2183" s="14">
        <f>IFERROR(__xludf.DUMMYFUNCTION("""COMPUTED_VALUE"""),0.477)</f>
        <v>0.477</v>
      </c>
      <c r="U2183" s="14">
        <f>IFERROR(__xludf.DUMMYFUNCTION("""COMPUTED_VALUE"""),0.495)</f>
        <v>0.495</v>
      </c>
      <c r="V2183" s="14">
        <f>IFERROR(__xludf.DUMMYFUNCTION("""COMPUTED_VALUE"""),0.028)</f>
        <v>0.028</v>
      </c>
      <c r="W2183" s="14">
        <f>IFERROR(__xludf.DUMMYFUNCTION("""COMPUTED_VALUE"""),9636173.0)</f>
        <v>9636173</v>
      </c>
      <c r="X2183" s="14">
        <f>IFERROR(__xludf.DUMMYFUNCTION("""COMPUTED_VALUE"""),0.373)</f>
        <v>0.373</v>
      </c>
      <c r="Y2183" s="14" t="str">
        <f>IFERROR(__xludf.DUMMYFUNCTION("""COMPUTED_VALUE"""),"Somalia-Africa")</f>
        <v>Somalia-Africa</v>
      </c>
      <c r="Z2183" s="14" t="str">
        <f>IFERROR(__xludf.DUMMYFUNCTION("""COMPUTED_VALUE"""),"Africa")</f>
        <v>Africa</v>
      </c>
      <c r="AA2183" s="14" t="str">
        <f>IFERROR(__xludf.DUMMYFUNCTION("""COMPUTED_VALUE"""),"2010")</f>
        <v>2010</v>
      </c>
      <c r="AB2183" s="15" t="str">
        <f>IFERROR(__xludf.DUMMYFUNCTION("ARRAYFORMULA(VLOOKUP(A2183,IMPORTRANGE(""https://docs.google.com/spreadsheets/d/1BuTWp7qHGjWhqrnf-OmePP568O4A5Am9ttzvVdP67zw/edit#gid=1931367683"" ,""ENERGY!$A$2:$F$2692""), {2,3,4,5,6},0))"),"Africa")</f>
        <v>Africa</v>
      </c>
      <c r="AC2183" s="14" t="str">
        <f>IFERROR(__xludf.DUMMYFUNCTION("""COMPUTED_VALUE"""),"Somalia-Africa")</f>
        <v>Somalia-Africa</v>
      </c>
      <c r="AD2183" s="14" t="str">
        <f>IFERROR(__xludf.DUMMYFUNCTION("""COMPUTED_VALUE"""),"2008")</f>
        <v>2008</v>
      </c>
      <c r="AE2183" s="14"/>
      <c r="AF2183" s="14">
        <f>IFERROR(__xludf.DUMMYFUNCTION("""COMPUTED_VALUE"""),572.0)</f>
        <v>572</v>
      </c>
    </row>
    <row r="2184">
      <c r="A2184" s="12">
        <v>2183.0</v>
      </c>
      <c r="B2184" s="12" t="s">
        <v>246</v>
      </c>
      <c r="C2184" s="5" t="s">
        <v>77</v>
      </c>
      <c r="D2184" s="8"/>
      <c r="E2184" s="8"/>
      <c r="F2184" s="8"/>
      <c r="G2184" s="8"/>
      <c r="H2184" s="11">
        <v>0.013</v>
      </c>
      <c r="I2184" s="11">
        <v>0.182</v>
      </c>
      <c r="J2184" s="9" t="s">
        <v>72</v>
      </c>
      <c r="K2184" s="14" t="str">
        <f>IFERROR(__xludf.DUMMYFUNCTION("ARRAYFORMULA(VLOOKUP(A2184,IMPORTRANGE(""https://docs.google.com/spreadsheets/d/1BuTWp7qHGjWhqrnf-OmePP568O4A5Am9ttzvVdP67zw/edit#gid=1603210130"", ""TOURISM!$A$2:$F$2692""), {2,3,4,5,6},0))"),"Africa")</f>
        <v>Africa</v>
      </c>
      <c r="L2184" s="14"/>
      <c r="M2184" s="14" t="str">
        <f>IFERROR(__xludf.DUMMYFUNCTION("""COMPUTED_VALUE"""),"Somalia-Africa")</f>
        <v>Somalia-Africa</v>
      </c>
      <c r="N2184" s="14" t="str">
        <f>IFERROR(__xludf.DUMMYFUNCTION("""COMPUTED_VALUE"""),"2011")</f>
        <v>2011</v>
      </c>
      <c r="O2184" s="14"/>
      <c r="P2184" s="15">
        <f>IFERROR(__xludf.DUMMYFUNCTION("ARRAYFORMULA(VLOOKUP(A2184,IMPORTRANGE(""https://docs.google.com/spreadsheets/d/1BuTWp7qHGjWhqrnf-OmePP568O4A5Am9ttzvVdP67zw/edit#gid=771602874"" ,""HUMAN RESOURCES!$A$2:$M$2692""), {2,3,4,5,6,7,8,9,10,11,12,13},0))"),0.045)</f>
        <v>0.045</v>
      </c>
      <c r="Q2184" s="14">
        <f>IFERROR(__xludf.DUMMYFUNCTION("""COMPUTED_VALUE"""),0.095)</f>
        <v>0.095</v>
      </c>
      <c r="R2184" s="14">
        <f>IFERROR(__xludf.DUMMYFUNCTION("""COMPUTED_VALUE"""),56.0)</f>
        <v>56</v>
      </c>
      <c r="S2184" s="14">
        <f>IFERROR(__xludf.DUMMYFUNCTION("""COMPUTED_VALUE"""),53.0)</f>
        <v>53</v>
      </c>
      <c r="T2184" s="14">
        <f>IFERROR(__xludf.DUMMYFUNCTION("""COMPUTED_VALUE"""),0.475)</f>
        <v>0.475</v>
      </c>
      <c r="U2184" s="14">
        <f>IFERROR(__xludf.DUMMYFUNCTION("""COMPUTED_VALUE"""),0.496)</f>
        <v>0.496</v>
      </c>
      <c r="V2184" s="14">
        <f>IFERROR(__xludf.DUMMYFUNCTION("""COMPUTED_VALUE"""),0.028)</f>
        <v>0.028</v>
      </c>
      <c r="W2184" s="14">
        <f>IFERROR(__xludf.DUMMYFUNCTION("""COMPUTED_VALUE"""),9907903.0)</f>
        <v>9907903</v>
      </c>
      <c r="X2184" s="14">
        <f>IFERROR(__xludf.DUMMYFUNCTION("""COMPUTED_VALUE"""),0.377)</f>
        <v>0.377</v>
      </c>
      <c r="Y2184" s="14" t="str">
        <f>IFERROR(__xludf.DUMMYFUNCTION("""COMPUTED_VALUE"""),"Somalia-Africa")</f>
        <v>Somalia-Africa</v>
      </c>
      <c r="Z2184" s="14" t="str">
        <f>IFERROR(__xludf.DUMMYFUNCTION("""COMPUTED_VALUE"""),"Africa")</f>
        <v>Africa</v>
      </c>
      <c r="AA2184" s="14" t="str">
        <f>IFERROR(__xludf.DUMMYFUNCTION("""COMPUTED_VALUE"""),"2011")</f>
        <v>2011</v>
      </c>
      <c r="AB2184" s="15" t="str">
        <f>IFERROR(__xludf.DUMMYFUNCTION("ARRAYFORMULA(VLOOKUP(A2184,IMPORTRANGE(""https://docs.google.com/spreadsheets/d/1BuTWp7qHGjWhqrnf-OmePP568O4A5Am9ttzvVdP67zw/edit#gid=1931367683"" ,""ENERGY!$A$2:$F$2692""), {2,3,4,5,6},0))"),"Africa")</f>
        <v>Africa</v>
      </c>
      <c r="AC2184" s="14" t="str">
        <f>IFERROR(__xludf.DUMMYFUNCTION("""COMPUTED_VALUE"""),"Somalia-Africa")</f>
        <v>Somalia-Africa</v>
      </c>
      <c r="AD2184" s="14" t="str">
        <f>IFERROR(__xludf.DUMMYFUNCTION("""COMPUTED_VALUE"""),"2007")</f>
        <v>2007</v>
      </c>
      <c r="AE2184" s="14"/>
      <c r="AF2184" s="14">
        <f>IFERROR(__xludf.DUMMYFUNCTION("""COMPUTED_VALUE"""),502.0)</f>
        <v>502</v>
      </c>
    </row>
    <row r="2185">
      <c r="A2185" s="12">
        <v>2184.0</v>
      </c>
      <c r="B2185" s="12" t="s">
        <v>246</v>
      </c>
      <c r="C2185" s="5" t="s">
        <v>77</v>
      </c>
      <c r="D2185" s="8"/>
      <c r="E2185" s="8"/>
      <c r="F2185" s="8"/>
      <c r="G2185" s="8"/>
      <c r="H2185" s="11">
        <v>0.014</v>
      </c>
      <c r="I2185" s="11">
        <v>0.226</v>
      </c>
      <c r="J2185" s="9" t="s">
        <v>73</v>
      </c>
      <c r="K2185" s="14" t="str">
        <f>IFERROR(__xludf.DUMMYFUNCTION("ARRAYFORMULA(VLOOKUP(A2185,IMPORTRANGE(""https://docs.google.com/spreadsheets/d/1BuTWp7qHGjWhqrnf-OmePP568O4A5Am9ttzvVdP67zw/edit#gid=1603210130"", ""TOURISM!$A$2:$F$2692""), {2,3,4,5,6},0))"),"Africa")</f>
        <v>Africa</v>
      </c>
      <c r="L2185" s="14"/>
      <c r="M2185" s="14" t="str">
        <f>IFERROR(__xludf.DUMMYFUNCTION("""COMPUTED_VALUE"""),"Somalia-Africa")</f>
        <v>Somalia-Africa</v>
      </c>
      <c r="N2185" s="14" t="str">
        <f>IFERROR(__xludf.DUMMYFUNCTION("""COMPUTED_VALUE"""),"2012")</f>
        <v>2012</v>
      </c>
      <c r="O2185" s="14"/>
      <c r="P2185" s="15">
        <f>IFERROR(__xludf.DUMMYFUNCTION("ARRAYFORMULA(VLOOKUP(A2185,IMPORTRANGE(""https://docs.google.com/spreadsheets/d/1BuTWp7qHGjWhqrnf-OmePP568O4A5Am9ttzvVdP67zw/edit#gid=771602874"" ,""HUMAN RESOURCES!$A$2:$M$2692""), {2,3,4,5,6,7,8,9,10,11,12,13},0))"),0.044)</f>
        <v>0.044</v>
      </c>
      <c r="Q2185" s="14">
        <f>IFERROR(__xludf.DUMMYFUNCTION("""COMPUTED_VALUE"""),0.092)</f>
        <v>0.092</v>
      </c>
      <c r="R2185" s="14">
        <f>IFERROR(__xludf.DUMMYFUNCTION("""COMPUTED_VALUE"""),56.0)</f>
        <v>56</v>
      </c>
      <c r="S2185" s="14">
        <f>IFERROR(__xludf.DUMMYFUNCTION("""COMPUTED_VALUE"""),53.0)</f>
        <v>53</v>
      </c>
      <c r="T2185" s="14">
        <f>IFERROR(__xludf.DUMMYFUNCTION("""COMPUTED_VALUE"""),0.473)</f>
        <v>0.473</v>
      </c>
      <c r="U2185" s="14">
        <f>IFERROR(__xludf.DUMMYFUNCTION("""COMPUTED_VALUE"""),0.498)</f>
        <v>0.498</v>
      </c>
      <c r="V2185" s="14">
        <f>IFERROR(__xludf.DUMMYFUNCTION("""COMPUTED_VALUE"""),0.028)</f>
        <v>0.028</v>
      </c>
      <c r="W2185" s="14">
        <f>IFERROR(__xludf.DUMMYFUNCTION("""COMPUTED_VALUE"""),1.0195134E7)</f>
        <v>10195134</v>
      </c>
      <c r="X2185" s="14">
        <f>IFERROR(__xludf.DUMMYFUNCTION("""COMPUTED_VALUE"""),0.382)</f>
        <v>0.382</v>
      </c>
      <c r="Y2185" s="14" t="str">
        <f>IFERROR(__xludf.DUMMYFUNCTION("""COMPUTED_VALUE"""),"Somalia-Africa")</f>
        <v>Somalia-Africa</v>
      </c>
      <c r="Z2185" s="14" t="str">
        <f>IFERROR(__xludf.DUMMYFUNCTION("""COMPUTED_VALUE"""),"Africa")</f>
        <v>Africa</v>
      </c>
      <c r="AA2185" s="14" t="str">
        <f>IFERROR(__xludf.DUMMYFUNCTION("""COMPUTED_VALUE"""),"2012")</f>
        <v>2012</v>
      </c>
      <c r="AB2185" s="15" t="str">
        <f>IFERROR(__xludf.DUMMYFUNCTION("ARRAYFORMULA(VLOOKUP(A2185,IMPORTRANGE(""https://docs.google.com/spreadsheets/d/1BuTWp7qHGjWhqrnf-OmePP568O4A5Am9ttzvVdP67zw/edit#gid=1931367683"" ,""ENERGY!$A$2:$F$2692""), {2,3,4,5,6},0))"),"Africa")</f>
        <v>Africa</v>
      </c>
      <c r="AC2185" s="14" t="str">
        <f>IFERROR(__xludf.DUMMYFUNCTION("""COMPUTED_VALUE"""),"Somalia-Africa")</f>
        <v>Somalia-Africa</v>
      </c>
      <c r="AD2185" s="14" t="str">
        <f>IFERROR(__xludf.DUMMYFUNCTION("""COMPUTED_VALUE"""),"2012")</f>
        <v>2012</v>
      </c>
      <c r="AE2185" s="14"/>
      <c r="AF2185" s="14">
        <f>IFERROR(__xludf.DUMMYFUNCTION("""COMPUTED_VALUE"""),517.0)</f>
        <v>517</v>
      </c>
    </row>
    <row r="2186">
      <c r="A2186" s="12">
        <v>2185.0</v>
      </c>
      <c r="B2186" s="12" t="s">
        <v>247</v>
      </c>
      <c r="C2186" s="5" t="s">
        <v>77</v>
      </c>
      <c r="D2186" s="8"/>
      <c r="E2186" s="8"/>
      <c r="F2186" s="8"/>
      <c r="G2186" s="8"/>
      <c r="H2186" s="11">
        <v>0.053</v>
      </c>
      <c r="I2186" s="11">
        <v>0.186</v>
      </c>
      <c r="J2186" s="9" t="s">
        <v>60</v>
      </c>
      <c r="K2186" s="14" t="str">
        <f>IFERROR(__xludf.DUMMYFUNCTION("ARRAYFORMULA(VLOOKUP(A2186,IMPORTRANGE(""https://docs.google.com/spreadsheets/d/1BuTWp7qHGjWhqrnf-OmePP568O4A5Am9ttzvVdP67zw/edit#gid=1603210130"", ""TOURISM!$A$2:$F$2692""), {2,3,4,5,6},0))"),"Africa")</f>
        <v>Africa</v>
      </c>
      <c r="L2186" s="14">
        <f>IFERROR(__xludf.DUMMYFUNCTION("""COMPUTED_VALUE"""),3.338E9)</f>
        <v>3338000000</v>
      </c>
      <c r="M2186" s="14" t="str">
        <f>IFERROR(__xludf.DUMMYFUNCTION("""COMPUTED_VALUE"""),"South Africa-Africa")</f>
        <v>South Africa-Africa</v>
      </c>
      <c r="N2186" s="14" t="str">
        <f>IFERROR(__xludf.DUMMYFUNCTION("""COMPUTED_VALUE"""),"2000")</f>
        <v>2000</v>
      </c>
      <c r="O2186" s="14">
        <f>IFERROR(__xludf.DUMMYFUNCTION("""COMPUTED_VALUE"""),2.684E9)</f>
        <v>2684000000</v>
      </c>
      <c r="P2186" s="15">
        <f>IFERROR(__xludf.DUMMYFUNCTION("ARRAYFORMULA(VLOOKUP(A2186,IMPORTRANGE(""https://docs.google.com/spreadsheets/d/1BuTWp7qHGjWhqrnf-OmePP568O4A5Am9ttzvVdP67zw/edit#gid=771602874"" ,""HUMAN RESOURCES!$A$2:$M$2692""), {2,3,4,5,6,7,8,9,10,11,12,13},0))"),0.024)</f>
        <v>0.024</v>
      </c>
      <c r="Q2186" s="14">
        <f>IFERROR(__xludf.DUMMYFUNCTION("""COMPUTED_VALUE"""),0.052)</f>
        <v>0.052</v>
      </c>
      <c r="R2186" s="14">
        <f>IFERROR(__xludf.DUMMYFUNCTION("""COMPUTED_VALUE"""),58.0)</f>
        <v>58</v>
      </c>
      <c r="S2186" s="14">
        <f>IFERROR(__xludf.DUMMYFUNCTION("""COMPUTED_VALUE"""),54.0)</f>
        <v>54</v>
      </c>
      <c r="T2186" s="14">
        <f>IFERROR(__xludf.DUMMYFUNCTION("""COMPUTED_VALUE"""),0.33)</f>
        <v>0.33</v>
      </c>
      <c r="U2186" s="14">
        <f>IFERROR(__xludf.DUMMYFUNCTION("""COMPUTED_VALUE"""),0.636)</f>
        <v>0.636</v>
      </c>
      <c r="V2186" s="14">
        <f>IFERROR(__xludf.DUMMYFUNCTION("""COMPUTED_VALUE"""),0.034)</f>
        <v>0.034</v>
      </c>
      <c r="W2186" s="14">
        <f>IFERROR(__xludf.DUMMYFUNCTION("""COMPUTED_VALUE"""),4.4E7)</f>
        <v>44000000</v>
      </c>
      <c r="X2186" s="14">
        <f>IFERROR(__xludf.DUMMYFUNCTION("""COMPUTED_VALUE"""),0.569)</f>
        <v>0.569</v>
      </c>
      <c r="Y2186" s="14" t="str">
        <f>IFERROR(__xludf.DUMMYFUNCTION("""COMPUTED_VALUE"""),"South Africa-Africa")</f>
        <v>South Africa-Africa</v>
      </c>
      <c r="Z2186" s="14" t="str">
        <f>IFERROR(__xludf.DUMMYFUNCTION("""COMPUTED_VALUE"""),"Africa")</f>
        <v>Africa</v>
      </c>
      <c r="AA2186" s="14" t="str">
        <f>IFERROR(__xludf.DUMMYFUNCTION("""COMPUTED_VALUE"""),"2000")</f>
        <v>2000</v>
      </c>
      <c r="AB2186" s="15" t="str">
        <f>IFERROR(__xludf.DUMMYFUNCTION("ARRAYFORMULA(VLOOKUP(A2186,IMPORTRANGE(""https://docs.google.com/spreadsheets/d/1BuTWp7qHGjWhqrnf-OmePP568O4A5Am9ttzvVdP67zw/edit#gid=1931367683"" ,""ENERGY!$A$2:$F$2692""), {2,3,4,5,6},0))"),"Africa")</f>
        <v>Africa</v>
      </c>
      <c r="AC2186" s="14" t="str">
        <f>IFERROR(__xludf.DUMMYFUNCTION("""COMPUTED_VALUE"""),"South Africa-Africa")</f>
        <v>South Africa-Africa</v>
      </c>
      <c r="AD2186" s="14" t="str">
        <f>IFERROR(__xludf.DUMMYFUNCTION("""COMPUTED_VALUE"""),"2000")</f>
        <v>2000</v>
      </c>
      <c r="AE2186" s="14"/>
      <c r="AF2186" s="14"/>
    </row>
    <row r="2187">
      <c r="A2187" s="12">
        <v>2186.0</v>
      </c>
      <c r="B2187" s="12" t="s">
        <v>247</v>
      </c>
      <c r="C2187" s="5" t="s">
        <v>77</v>
      </c>
      <c r="D2187" s="8"/>
      <c r="E2187" s="8"/>
      <c r="F2187" s="8"/>
      <c r="G2187" s="8"/>
      <c r="H2187" s="11">
        <v>0.063</v>
      </c>
      <c r="I2187" s="11">
        <v>0.237</v>
      </c>
      <c r="J2187" s="9" t="s">
        <v>62</v>
      </c>
      <c r="K2187" s="14" t="str">
        <f>IFERROR(__xludf.DUMMYFUNCTION("ARRAYFORMULA(VLOOKUP(A2187,IMPORTRANGE(""https://docs.google.com/spreadsheets/d/1BuTWp7qHGjWhqrnf-OmePP568O4A5Am9ttzvVdP67zw/edit#gid=1603210130"", ""TOURISM!$A$2:$F$2692""), {2,3,4,5,6},0))"),"Africa")</f>
        <v>Africa</v>
      </c>
      <c r="L2187" s="14">
        <f>IFERROR(__xludf.DUMMYFUNCTION("""COMPUTED_VALUE"""),3.256E9)</f>
        <v>3256000000</v>
      </c>
      <c r="M2187" s="14" t="str">
        <f>IFERROR(__xludf.DUMMYFUNCTION("""COMPUTED_VALUE"""),"South Africa-Africa")</f>
        <v>South Africa-Africa</v>
      </c>
      <c r="N2187" s="14" t="str">
        <f>IFERROR(__xludf.DUMMYFUNCTION("""COMPUTED_VALUE"""),"2001")</f>
        <v>2001</v>
      </c>
      <c r="O2187" s="14">
        <f>IFERROR(__xludf.DUMMYFUNCTION("""COMPUTED_VALUE"""),2.366E9)</f>
        <v>2366000000</v>
      </c>
      <c r="P2187" s="15">
        <f>IFERROR(__xludf.DUMMYFUNCTION("ARRAYFORMULA(VLOOKUP(A2187,IMPORTRANGE(""https://docs.google.com/spreadsheets/d/1BuTWp7qHGjWhqrnf-OmePP568O4A5Am9ttzvVdP67zw/edit#gid=771602874"" ,""HUMAN RESOURCES!$A$2:$M$2692""), {2,3,4,5,6,7,8,9,10,11,12,13},0))"),0.024)</f>
        <v>0.024</v>
      </c>
      <c r="Q2187" s="14">
        <f>IFERROR(__xludf.DUMMYFUNCTION("""COMPUTED_VALUE"""),0.053)</f>
        <v>0.053</v>
      </c>
      <c r="R2187" s="14">
        <f>IFERROR(__xludf.DUMMYFUNCTION("""COMPUTED_VALUE"""),57.0)</f>
        <v>57</v>
      </c>
      <c r="S2187" s="14">
        <f>IFERROR(__xludf.DUMMYFUNCTION("""COMPUTED_VALUE"""),53.0)</f>
        <v>53</v>
      </c>
      <c r="T2187" s="14">
        <f>IFERROR(__xludf.DUMMYFUNCTION("""COMPUTED_VALUE"""),0.325)</f>
        <v>0.325</v>
      </c>
      <c r="U2187" s="14">
        <f>IFERROR(__xludf.DUMMYFUNCTION("""COMPUTED_VALUE"""),0.64)</f>
        <v>0.64</v>
      </c>
      <c r="V2187" s="14">
        <f>IFERROR(__xludf.DUMMYFUNCTION("""COMPUTED_VALUE"""),0.036)</f>
        <v>0.036</v>
      </c>
      <c r="W2187" s="14">
        <f>IFERROR(__xludf.DUMMYFUNCTION("""COMPUTED_VALUE"""),4.4909738E7)</f>
        <v>44909738</v>
      </c>
      <c r="X2187" s="14">
        <f>IFERROR(__xludf.DUMMYFUNCTION("""COMPUTED_VALUE"""),0.574)</f>
        <v>0.574</v>
      </c>
      <c r="Y2187" s="14" t="str">
        <f>IFERROR(__xludf.DUMMYFUNCTION("""COMPUTED_VALUE"""),"South Africa-Africa")</f>
        <v>South Africa-Africa</v>
      </c>
      <c r="Z2187" s="14" t="str">
        <f>IFERROR(__xludf.DUMMYFUNCTION("""COMPUTED_VALUE"""),"Africa")</f>
        <v>Africa</v>
      </c>
      <c r="AA2187" s="14" t="str">
        <f>IFERROR(__xludf.DUMMYFUNCTION("""COMPUTED_VALUE"""),"2001")</f>
        <v>2001</v>
      </c>
      <c r="AB2187" s="15" t="str">
        <f>IFERROR(__xludf.DUMMYFUNCTION("ARRAYFORMULA(VLOOKUP(A2187,IMPORTRANGE(""https://docs.google.com/spreadsheets/d/1BuTWp7qHGjWhqrnf-OmePP568O4A5Am9ttzvVdP67zw/edit#gid=1931367683"" ,""ENERGY!$A$2:$F$2692""), {2,3,4,5,6},0))"),"Africa")</f>
        <v>Africa</v>
      </c>
      <c r="AC2187" s="14" t="str">
        <f>IFERROR(__xludf.DUMMYFUNCTION("""COMPUTED_VALUE"""),"South Africa-Africa")</f>
        <v>South Africa-Africa</v>
      </c>
      <c r="AD2187" s="14" t="str">
        <f>IFERROR(__xludf.DUMMYFUNCTION("""COMPUTED_VALUE"""),"2001")</f>
        <v>2001</v>
      </c>
      <c r="AE2187" s="14">
        <f>IFERROR(__xludf.DUMMYFUNCTION("""COMPUTED_VALUE"""),141372.0)</f>
        <v>141372</v>
      </c>
      <c r="AF2187" s="14"/>
    </row>
    <row r="2188">
      <c r="A2188" s="12">
        <v>2187.0</v>
      </c>
      <c r="B2188" s="12" t="s">
        <v>247</v>
      </c>
      <c r="C2188" s="5" t="s">
        <v>77</v>
      </c>
      <c r="D2188" s="8"/>
      <c r="E2188" s="8"/>
      <c r="F2188" s="8"/>
      <c r="G2188" s="8"/>
      <c r="H2188" s="11">
        <v>0.067</v>
      </c>
      <c r="I2188" s="11">
        <v>0.297</v>
      </c>
      <c r="J2188" s="9" t="s">
        <v>63</v>
      </c>
      <c r="K2188" s="14" t="str">
        <f>IFERROR(__xludf.DUMMYFUNCTION("ARRAYFORMULA(VLOOKUP(A2188,IMPORTRANGE(""https://docs.google.com/spreadsheets/d/1BuTWp7qHGjWhqrnf-OmePP568O4A5Am9ttzvVdP67zw/edit#gid=1603210130"", ""TOURISM!$A$2:$F$2692""), {2,3,4,5,6},0))"),"Africa")</f>
        <v>Africa</v>
      </c>
      <c r="L2188" s="14">
        <f>IFERROR(__xludf.DUMMYFUNCTION("""COMPUTED_VALUE"""),3.695E9)</f>
        <v>3695000000</v>
      </c>
      <c r="M2188" s="14" t="str">
        <f>IFERROR(__xludf.DUMMYFUNCTION("""COMPUTED_VALUE"""),"South Africa-Africa")</f>
        <v>South Africa-Africa</v>
      </c>
      <c r="N2188" s="14" t="str">
        <f>IFERROR(__xludf.DUMMYFUNCTION("""COMPUTED_VALUE"""),"2002")</f>
        <v>2002</v>
      </c>
      <c r="O2188" s="14">
        <f>IFERROR(__xludf.DUMMYFUNCTION("""COMPUTED_VALUE"""),2.251E9)</f>
        <v>2251000000</v>
      </c>
      <c r="P2188" s="15">
        <f>IFERROR(__xludf.DUMMYFUNCTION("ARRAYFORMULA(VLOOKUP(A2188,IMPORTRANGE(""https://docs.google.com/spreadsheets/d/1BuTWp7qHGjWhqrnf-OmePP568O4A5Am9ttzvVdP67zw/edit#gid=771602874"" ,""HUMAN RESOURCES!$A$2:$M$2692""), {2,3,4,5,6,7,8,9,10,11,12,13},0))"),0.024)</f>
        <v>0.024</v>
      </c>
      <c r="Q2188" s="14">
        <f>IFERROR(__xludf.DUMMYFUNCTION("""COMPUTED_VALUE"""),0.053)</f>
        <v>0.053</v>
      </c>
      <c r="R2188" s="14">
        <f>IFERROR(__xludf.DUMMYFUNCTION("""COMPUTED_VALUE"""),55.0)</f>
        <v>55</v>
      </c>
      <c r="S2188" s="14">
        <f>IFERROR(__xludf.DUMMYFUNCTION("""COMPUTED_VALUE"""),52.0)</f>
        <v>52</v>
      </c>
      <c r="T2188" s="14">
        <f>IFERROR(__xludf.DUMMYFUNCTION("""COMPUTED_VALUE"""),0.32)</f>
        <v>0.32</v>
      </c>
      <c r="U2188" s="14">
        <f>IFERROR(__xludf.DUMMYFUNCTION("""COMPUTED_VALUE"""),0.643)</f>
        <v>0.643</v>
      </c>
      <c r="V2188" s="14">
        <f>IFERROR(__xludf.DUMMYFUNCTION("""COMPUTED_VALUE"""),0.037)</f>
        <v>0.037</v>
      </c>
      <c r="W2188" s="14">
        <f>IFERROR(__xludf.DUMMYFUNCTION("""COMPUTED_VALUE"""),4.5808736E7)</f>
        <v>45808736</v>
      </c>
      <c r="X2188" s="14">
        <f>IFERROR(__xludf.DUMMYFUNCTION("""COMPUTED_VALUE"""),0.579)</f>
        <v>0.579</v>
      </c>
      <c r="Y2188" s="14" t="str">
        <f>IFERROR(__xludf.DUMMYFUNCTION("""COMPUTED_VALUE"""),"South Africa-Africa")</f>
        <v>South Africa-Africa</v>
      </c>
      <c r="Z2188" s="14" t="str">
        <f>IFERROR(__xludf.DUMMYFUNCTION("""COMPUTED_VALUE"""),"Africa")</f>
        <v>Africa</v>
      </c>
      <c r="AA2188" s="14" t="str">
        <f>IFERROR(__xludf.DUMMYFUNCTION("""COMPUTED_VALUE"""),"2002")</f>
        <v>2002</v>
      </c>
      <c r="AB2188" s="15" t="str">
        <f>IFERROR(__xludf.DUMMYFUNCTION("ARRAYFORMULA(VLOOKUP(A2188,IMPORTRANGE(""https://docs.google.com/spreadsheets/d/1BuTWp7qHGjWhqrnf-OmePP568O4A5Am9ttzvVdP67zw/edit#gid=1931367683"" ,""ENERGY!$A$2:$F$2692""), {2,3,4,5,6},0))"),"Africa")</f>
        <v>Africa</v>
      </c>
      <c r="AC2188" s="14" t="str">
        <f>IFERROR(__xludf.DUMMYFUNCTION("""COMPUTED_VALUE"""),"South Africa-Africa")</f>
        <v>South Africa-Africa</v>
      </c>
      <c r="AD2188" s="14" t="str">
        <f>IFERROR(__xludf.DUMMYFUNCTION("""COMPUTED_VALUE"""),"2002")</f>
        <v>2002</v>
      </c>
      <c r="AE2188" s="14">
        <f>IFERROR(__xludf.DUMMYFUNCTION("""COMPUTED_VALUE"""),142291.0)</f>
        <v>142291</v>
      </c>
      <c r="AF2188" s="14">
        <f>IFERROR(__xludf.DUMMYFUNCTION("""COMPUTED_VALUE"""),460124.0)</f>
        <v>460124</v>
      </c>
    </row>
    <row r="2189">
      <c r="A2189" s="12">
        <v>2188.0</v>
      </c>
      <c r="B2189" s="12" t="s">
        <v>247</v>
      </c>
      <c r="C2189" s="5" t="s">
        <v>77</v>
      </c>
      <c r="D2189" s="8"/>
      <c r="E2189" s="11">
        <v>38.0</v>
      </c>
      <c r="F2189" s="8"/>
      <c r="G2189" s="8"/>
      <c r="H2189" s="11">
        <v>0.07</v>
      </c>
      <c r="I2189" s="11">
        <v>0.36</v>
      </c>
      <c r="J2189" s="9" t="s">
        <v>64</v>
      </c>
      <c r="K2189" s="14" t="str">
        <f>IFERROR(__xludf.DUMMYFUNCTION("ARRAYFORMULA(VLOOKUP(A2189,IMPORTRANGE(""https://docs.google.com/spreadsheets/d/1BuTWp7qHGjWhqrnf-OmePP568O4A5Am9ttzvVdP67zw/edit#gid=1603210130"", ""TOURISM!$A$2:$F$2692""), {2,3,4,5,6},0))"),"Africa")</f>
        <v>Africa</v>
      </c>
      <c r="L2189" s="14">
        <f>IFERROR(__xludf.DUMMYFUNCTION("""COMPUTED_VALUE"""),6.674E9)</f>
        <v>6674000000</v>
      </c>
      <c r="M2189" s="14" t="str">
        <f>IFERROR(__xludf.DUMMYFUNCTION("""COMPUTED_VALUE"""),"South Africa-Africa")</f>
        <v>South Africa-Africa</v>
      </c>
      <c r="N2189" s="14" t="str">
        <f>IFERROR(__xludf.DUMMYFUNCTION("""COMPUTED_VALUE"""),"2003")</f>
        <v>2003</v>
      </c>
      <c r="O2189" s="14">
        <f>IFERROR(__xludf.DUMMYFUNCTION("""COMPUTED_VALUE"""),3.655E9)</f>
        <v>3655000000</v>
      </c>
      <c r="P2189" s="15">
        <f>IFERROR(__xludf.DUMMYFUNCTION("ARRAYFORMULA(VLOOKUP(A2189,IMPORTRANGE(""https://docs.google.com/spreadsheets/d/1BuTWp7qHGjWhqrnf-OmePP568O4A5Am9ttzvVdP67zw/edit#gid=771602874"" ,""HUMAN RESOURCES!$A$2:$M$2692""), {2,3,4,5,6,7,8,9,10,11,12,13},0))"),0.023)</f>
        <v>0.023</v>
      </c>
      <c r="Q2189" s="14">
        <f>IFERROR(__xludf.DUMMYFUNCTION("""COMPUTED_VALUE"""),0.053)</f>
        <v>0.053</v>
      </c>
      <c r="R2189" s="14">
        <f>IFERROR(__xludf.DUMMYFUNCTION("""COMPUTED_VALUE"""),54.0)</f>
        <v>54</v>
      </c>
      <c r="S2189" s="14">
        <f>IFERROR(__xludf.DUMMYFUNCTION("""COMPUTED_VALUE"""),51.0)</f>
        <v>51</v>
      </c>
      <c r="T2189" s="14">
        <f>IFERROR(__xludf.DUMMYFUNCTION("""COMPUTED_VALUE"""),0.316)</f>
        <v>0.316</v>
      </c>
      <c r="U2189" s="14">
        <f>IFERROR(__xludf.DUMMYFUNCTION("""COMPUTED_VALUE"""),0.645)</f>
        <v>0.645</v>
      </c>
      <c r="V2189" s="14">
        <f>IFERROR(__xludf.DUMMYFUNCTION("""COMPUTED_VALUE"""),0.039)</f>
        <v>0.039</v>
      </c>
      <c r="W2189" s="14">
        <f>IFERROR(__xludf.DUMMYFUNCTION("""COMPUTED_VALUE"""),4.6409243E7)</f>
        <v>46409243</v>
      </c>
      <c r="X2189" s="14">
        <f>IFERROR(__xludf.DUMMYFUNCTION("""COMPUTED_VALUE"""),0.584)</f>
        <v>0.584</v>
      </c>
      <c r="Y2189" s="14" t="str">
        <f>IFERROR(__xludf.DUMMYFUNCTION("""COMPUTED_VALUE"""),"South Africa-Africa")</f>
        <v>South Africa-Africa</v>
      </c>
      <c r="Z2189" s="14" t="str">
        <f>IFERROR(__xludf.DUMMYFUNCTION("""COMPUTED_VALUE"""),"Africa")</f>
        <v>Africa</v>
      </c>
      <c r="AA2189" s="14" t="str">
        <f>IFERROR(__xludf.DUMMYFUNCTION("""COMPUTED_VALUE"""),"2003")</f>
        <v>2003</v>
      </c>
      <c r="AB2189" s="15" t="str">
        <f>IFERROR(__xludf.DUMMYFUNCTION("ARRAYFORMULA(VLOOKUP(A2189,IMPORTRANGE(""https://docs.google.com/spreadsheets/d/1BuTWp7qHGjWhqrnf-OmePP568O4A5Am9ttzvVdP67zw/edit#gid=1931367683"" ,""ENERGY!$A$2:$F$2692""), {2,3,4,5,6},0))"),"Africa")</f>
        <v>Africa</v>
      </c>
      <c r="AC2189" s="14" t="str">
        <f>IFERROR(__xludf.DUMMYFUNCTION("""COMPUTED_VALUE"""),"South Africa-Africa")</f>
        <v>South Africa-Africa</v>
      </c>
      <c r="AD2189" s="14" t="str">
        <f>IFERROR(__xludf.DUMMYFUNCTION("""COMPUTED_VALUE"""),"2003")</f>
        <v>2003</v>
      </c>
      <c r="AE2189" s="14">
        <f>IFERROR(__xludf.DUMMYFUNCTION("""COMPUTED_VALUE"""),142761.0)</f>
        <v>142761</v>
      </c>
      <c r="AF2189" s="14">
        <f>IFERROR(__xludf.DUMMYFUNCTION("""COMPUTED_VALUE"""),503941.0)</f>
        <v>503941</v>
      </c>
    </row>
    <row r="2190">
      <c r="A2190" s="12">
        <v>2189.0</v>
      </c>
      <c r="B2190" s="12" t="s">
        <v>247</v>
      </c>
      <c r="C2190" s="5" t="s">
        <v>77</v>
      </c>
      <c r="D2190" s="8"/>
      <c r="E2190" s="11">
        <v>38.0</v>
      </c>
      <c r="F2190" s="8"/>
      <c r="G2190" s="8"/>
      <c r="H2190" s="11">
        <v>0.084</v>
      </c>
      <c r="I2190" s="11">
        <v>0.438</v>
      </c>
      <c r="J2190" s="9" t="s">
        <v>65</v>
      </c>
      <c r="K2190" s="14" t="str">
        <f>IFERROR(__xludf.DUMMYFUNCTION("ARRAYFORMULA(VLOOKUP(A2190,IMPORTRANGE(""https://docs.google.com/spreadsheets/d/1BuTWp7qHGjWhqrnf-OmePP568O4A5Am9ttzvVdP67zw/edit#gid=1603210130"", ""TOURISM!$A$2:$F$2692""), {2,3,4,5,6},0))"),"Africa")</f>
        <v>Africa</v>
      </c>
      <c r="L2190" s="14">
        <f>IFERROR(__xludf.DUMMYFUNCTION("""COMPUTED_VALUE"""),7.571E9)</f>
        <v>7571000000</v>
      </c>
      <c r="M2190" s="14" t="str">
        <f>IFERROR(__xludf.DUMMYFUNCTION("""COMPUTED_VALUE"""),"South Africa-Africa")</f>
        <v>South Africa-Africa</v>
      </c>
      <c r="N2190" s="14" t="str">
        <f>IFERROR(__xludf.DUMMYFUNCTION("""COMPUTED_VALUE"""),"2004")</f>
        <v>2004</v>
      </c>
      <c r="O2190" s="14">
        <f>IFERROR(__xludf.DUMMYFUNCTION("""COMPUTED_VALUE"""),4.237E9)</f>
        <v>4237000000</v>
      </c>
      <c r="P2190" s="15">
        <f>IFERROR(__xludf.DUMMYFUNCTION("ARRAYFORMULA(VLOOKUP(A2190,IMPORTRANGE(""https://docs.google.com/spreadsheets/d/1BuTWp7qHGjWhqrnf-OmePP568O4A5Am9ttzvVdP67zw/edit#gid=771602874"" ,""HUMAN RESOURCES!$A$2:$M$2692""), {2,3,4,5,6,7,8,9,10,11,12,13},0))"),0.023)</f>
        <v>0.023</v>
      </c>
      <c r="Q2190" s="14">
        <f>IFERROR(__xludf.DUMMYFUNCTION("""COMPUTED_VALUE"""),0.052)</f>
        <v>0.052</v>
      </c>
      <c r="R2190" s="14">
        <f>IFERROR(__xludf.DUMMYFUNCTION("""COMPUTED_VALUE"""),53.0)</f>
        <v>53</v>
      </c>
      <c r="S2190" s="14">
        <f>IFERROR(__xludf.DUMMYFUNCTION("""COMPUTED_VALUE"""),51.0)</f>
        <v>51</v>
      </c>
      <c r="T2190" s="14">
        <f>IFERROR(__xludf.DUMMYFUNCTION("""COMPUTED_VALUE"""),0.312)</f>
        <v>0.312</v>
      </c>
      <c r="U2190" s="14">
        <f>IFERROR(__xludf.DUMMYFUNCTION("""COMPUTED_VALUE"""),0.647)</f>
        <v>0.647</v>
      </c>
      <c r="V2190" s="14">
        <f>IFERROR(__xludf.DUMMYFUNCTION("""COMPUTED_VALUE"""),0.042)</f>
        <v>0.042</v>
      </c>
      <c r="W2190" s="14">
        <f>IFERROR(__xludf.DUMMYFUNCTION("""COMPUTED_VALUE"""),4.7019452E7)</f>
        <v>47019452</v>
      </c>
      <c r="X2190" s="14">
        <f>IFERROR(__xludf.DUMMYFUNCTION("""COMPUTED_VALUE"""),0.59)</f>
        <v>0.59</v>
      </c>
      <c r="Y2190" s="14" t="str">
        <f>IFERROR(__xludf.DUMMYFUNCTION("""COMPUTED_VALUE"""),"South Africa-Africa")</f>
        <v>South Africa-Africa</v>
      </c>
      <c r="Z2190" s="14" t="str">
        <f>IFERROR(__xludf.DUMMYFUNCTION("""COMPUTED_VALUE"""),"Africa")</f>
        <v>Africa</v>
      </c>
      <c r="AA2190" s="14" t="str">
        <f>IFERROR(__xludf.DUMMYFUNCTION("""COMPUTED_VALUE"""),"2004")</f>
        <v>2004</v>
      </c>
      <c r="AB2190" s="15" t="str">
        <f>IFERROR(__xludf.DUMMYFUNCTION("ARRAYFORMULA(VLOOKUP(A2190,IMPORTRANGE(""https://docs.google.com/spreadsheets/d/1BuTWp7qHGjWhqrnf-OmePP568O4A5Am9ttzvVdP67zw/edit#gid=1931367683"" ,""ENERGY!$A$2:$F$2692""), {2,3,4,5,6},0))"),"Africa")</f>
        <v>Africa</v>
      </c>
      <c r="AC2190" s="14" t="str">
        <f>IFERROR(__xludf.DUMMYFUNCTION("""COMPUTED_VALUE"""),"South Africa-Africa")</f>
        <v>South Africa-Africa</v>
      </c>
      <c r="AD2190" s="14" t="str">
        <f>IFERROR(__xludf.DUMMYFUNCTION("""COMPUTED_VALUE"""),"2004")</f>
        <v>2004</v>
      </c>
      <c r="AE2190" s="14">
        <f>IFERROR(__xludf.DUMMYFUNCTION("""COMPUTED_VALUE"""),146768.0)</f>
        <v>146768</v>
      </c>
      <c r="AF2190" s="14">
        <f>IFERROR(__xludf.DUMMYFUNCTION("""COMPUTED_VALUE"""),465023.0)</f>
        <v>465023</v>
      </c>
    </row>
    <row r="2191">
      <c r="A2191" s="12">
        <v>2190.0</v>
      </c>
      <c r="B2191" s="12" t="s">
        <v>247</v>
      </c>
      <c r="C2191" s="5" t="s">
        <v>77</v>
      </c>
      <c r="D2191" s="11">
        <v>0.376</v>
      </c>
      <c r="E2191" s="11">
        <v>35.0</v>
      </c>
      <c r="F2191" s="8"/>
      <c r="G2191" s="11">
        <v>350.0</v>
      </c>
      <c r="H2191" s="11">
        <v>0.075</v>
      </c>
      <c r="I2191" s="11">
        <v>0.704</v>
      </c>
      <c r="J2191" s="9" t="s">
        <v>66</v>
      </c>
      <c r="K2191" s="14" t="str">
        <f>IFERROR(__xludf.DUMMYFUNCTION("ARRAYFORMULA(VLOOKUP(A2191,IMPORTRANGE(""https://docs.google.com/spreadsheets/d/1BuTWp7qHGjWhqrnf-OmePP568O4A5Am9ttzvVdP67zw/edit#gid=1603210130"", ""TOURISM!$A$2:$F$2692""), {2,3,4,5,6},0))"),"Africa")</f>
        <v>Africa</v>
      </c>
      <c r="L2191" s="14">
        <f>IFERROR(__xludf.DUMMYFUNCTION("""COMPUTED_VALUE"""),8.629E9)</f>
        <v>8629000000</v>
      </c>
      <c r="M2191" s="14" t="str">
        <f>IFERROR(__xludf.DUMMYFUNCTION("""COMPUTED_VALUE"""),"South Africa-Africa")</f>
        <v>South Africa-Africa</v>
      </c>
      <c r="N2191" s="14" t="str">
        <f>IFERROR(__xludf.DUMMYFUNCTION("""COMPUTED_VALUE"""),"2005")</f>
        <v>2005</v>
      </c>
      <c r="O2191" s="14">
        <f>IFERROR(__xludf.DUMMYFUNCTION("""COMPUTED_VALUE"""),4.812E9)</f>
        <v>4812000000</v>
      </c>
      <c r="P2191" s="15">
        <f>IFERROR(__xludf.DUMMYFUNCTION("ARRAYFORMULA(VLOOKUP(A2191,IMPORTRANGE(""https://docs.google.com/spreadsheets/d/1BuTWp7qHGjWhqrnf-OmePP568O4A5Am9ttzvVdP67zw/edit#gid=771602874"" ,""HUMAN RESOURCES!$A$2:$M$2692""), {2,3,4,5,6,7,8,9,10,11,12,13},0))"),0.023)</f>
        <v>0.023</v>
      </c>
      <c r="Q2191" s="14">
        <f>IFERROR(__xludf.DUMMYFUNCTION("""COMPUTED_VALUE"""),0.051)</f>
        <v>0.051</v>
      </c>
      <c r="R2191" s="14">
        <f>IFERROR(__xludf.DUMMYFUNCTION("""COMPUTED_VALUE"""),53.0)</f>
        <v>53</v>
      </c>
      <c r="S2191" s="14">
        <f>IFERROR(__xludf.DUMMYFUNCTION("""COMPUTED_VALUE"""),50.0)</f>
        <v>50</v>
      </c>
      <c r="T2191" s="14">
        <f>IFERROR(__xludf.DUMMYFUNCTION("""COMPUTED_VALUE"""),0.308)</f>
        <v>0.308</v>
      </c>
      <c r="U2191" s="14">
        <f>IFERROR(__xludf.DUMMYFUNCTION("""COMPUTED_VALUE"""),0.648)</f>
        <v>0.648</v>
      </c>
      <c r="V2191" s="14">
        <f>IFERROR(__xludf.DUMMYFUNCTION("""COMPUTED_VALUE"""),0.044)</f>
        <v>0.044</v>
      </c>
      <c r="W2191" s="14">
        <f>IFERROR(__xludf.DUMMYFUNCTION("""COMPUTED_VALUE"""),4.7639556E7)</f>
        <v>47639556</v>
      </c>
      <c r="X2191" s="14">
        <f>IFERROR(__xludf.DUMMYFUNCTION("""COMPUTED_VALUE"""),0.595)</f>
        <v>0.595</v>
      </c>
      <c r="Y2191" s="14" t="str">
        <f>IFERROR(__xludf.DUMMYFUNCTION("""COMPUTED_VALUE"""),"South Africa-Africa")</f>
        <v>South Africa-Africa</v>
      </c>
      <c r="Z2191" s="14" t="str">
        <f>IFERROR(__xludf.DUMMYFUNCTION("""COMPUTED_VALUE"""),"Africa")</f>
        <v>Africa</v>
      </c>
      <c r="AA2191" s="14" t="str">
        <f>IFERROR(__xludf.DUMMYFUNCTION("""COMPUTED_VALUE"""),"2005")</f>
        <v>2005</v>
      </c>
      <c r="AB2191" s="15" t="str">
        <f>IFERROR(__xludf.DUMMYFUNCTION("ARRAYFORMULA(VLOOKUP(A2191,IMPORTRANGE(""https://docs.google.com/spreadsheets/d/1BuTWp7qHGjWhqrnf-OmePP568O4A5Am9ttzvVdP67zw/edit#gid=1931367683"" ,""ENERGY!$A$2:$F$2692""), {2,3,4,5,6},0))"),"Africa")</f>
        <v>Africa</v>
      </c>
      <c r="AC2191" s="14" t="str">
        <f>IFERROR(__xludf.DUMMYFUNCTION("""COMPUTED_VALUE"""),"South Africa-Africa")</f>
        <v>South Africa-Africa</v>
      </c>
      <c r="AD2191" s="14" t="str">
        <f>IFERROR(__xludf.DUMMYFUNCTION("""COMPUTED_VALUE"""),"2008")</f>
        <v>2008</v>
      </c>
      <c r="AE2191" s="14">
        <f>IFERROR(__xludf.DUMMYFUNCTION("""COMPUTED_VALUE"""),136604.0)</f>
        <v>136604</v>
      </c>
      <c r="AF2191" s="14">
        <f>IFERROR(__xludf.DUMMYFUNCTION("""COMPUTED_VALUE"""),443648.0)</f>
        <v>443648</v>
      </c>
    </row>
    <row r="2192">
      <c r="A2192" s="12">
        <v>2191.0</v>
      </c>
      <c r="B2192" s="12" t="s">
        <v>247</v>
      </c>
      <c r="C2192" s="5" t="s">
        <v>77</v>
      </c>
      <c r="D2192" s="11">
        <v>0.371</v>
      </c>
      <c r="E2192" s="11">
        <v>35.0</v>
      </c>
      <c r="F2192" s="8"/>
      <c r="G2192" s="11">
        <v>350.0</v>
      </c>
      <c r="H2192" s="11">
        <v>0.076</v>
      </c>
      <c r="I2192" s="11">
        <v>0.811</v>
      </c>
      <c r="J2192" s="9" t="s">
        <v>67</v>
      </c>
      <c r="K2192" s="14" t="str">
        <f>IFERROR(__xludf.DUMMYFUNCTION("ARRAYFORMULA(VLOOKUP(A2192,IMPORTRANGE(""https://docs.google.com/spreadsheets/d/1BuTWp7qHGjWhqrnf-OmePP568O4A5Am9ttzvVdP67zw/edit#gid=1603210130"", ""TOURISM!$A$2:$F$2692""), {2,3,4,5,6},0))"),"Africa")</f>
        <v>Africa</v>
      </c>
      <c r="L2192" s="14">
        <f>IFERROR(__xludf.DUMMYFUNCTION("""COMPUTED_VALUE"""),9.211E9)</f>
        <v>9211000000</v>
      </c>
      <c r="M2192" s="14" t="str">
        <f>IFERROR(__xludf.DUMMYFUNCTION("""COMPUTED_VALUE"""),"South Africa-Africa")</f>
        <v>South Africa-Africa</v>
      </c>
      <c r="N2192" s="14" t="str">
        <f>IFERROR(__xludf.DUMMYFUNCTION("""COMPUTED_VALUE"""),"2006")</f>
        <v>2006</v>
      </c>
      <c r="O2192" s="14">
        <f>IFERROR(__xludf.DUMMYFUNCTION("""COMPUTED_VALUE"""),5.23E9)</f>
        <v>5230000000</v>
      </c>
      <c r="P2192" s="15">
        <f>IFERROR(__xludf.DUMMYFUNCTION("ARRAYFORMULA(VLOOKUP(A2192,IMPORTRANGE(""https://docs.google.com/spreadsheets/d/1BuTWp7qHGjWhqrnf-OmePP568O4A5Am9ttzvVdP67zw/edit#gid=771602874"" ,""HUMAN RESOURCES!$A$2:$M$2692""), {2,3,4,5,6,7,8,9,10,11,12,13},0))"),0.023)</f>
        <v>0.023</v>
      </c>
      <c r="Q2192" s="14">
        <f>IFERROR(__xludf.DUMMYFUNCTION("""COMPUTED_VALUE"""),0.05)</f>
        <v>0.05</v>
      </c>
      <c r="R2192" s="14">
        <f>IFERROR(__xludf.DUMMYFUNCTION("""COMPUTED_VALUE"""),53.0)</f>
        <v>53</v>
      </c>
      <c r="S2192" s="14">
        <f>IFERROR(__xludf.DUMMYFUNCTION("""COMPUTED_VALUE"""),50.0)</f>
        <v>50</v>
      </c>
      <c r="T2192" s="14">
        <f>IFERROR(__xludf.DUMMYFUNCTION("""COMPUTED_VALUE"""),0.305)</f>
        <v>0.305</v>
      </c>
      <c r="U2192" s="14">
        <f>IFERROR(__xludf.DUMMYFUNCTION("""COMPUTED_VALUE"""),0.649)</f>
        <v>0.649</v>
      </c>
      <c r="V2192" s="14">
        <f>IFERROR(__xludf.DUMMYFUNCTION("""COMPUTED_VALUE"""),0.046)</f>
        <v>0.046</v>
      </c>
      <c r="W2192" s="14">
        <f>IFERROR(__xludf.DUMMYFUNCTION("""COMPUTED_VALUE"""),4.8269753E7)</f>
        <v>48269753</v>
      </c>
      <c r="X2192" s="14">
        <f>IFERROR(__xludf.DUMMYFUNCTION("""COMPUTED_VALUE"""),0.601)</f>
        <v>0.601</v>
      </c>
      <c r="Y2192" s="14" t="str">
        <f>IFERROR(__xludf.DUMMYFUNCTION("""COMPUTED_VALUE"""),"South Africa-Africa")</f>
        <v>South Africa-Africa</v>
      </c>
      <c r="Z2192" s="14" t="str">
        <f>IFERROR(__xludf.DUMMYFUNCTION("""COMPUTED_VALUE"""),"Africa")</f>
        <v>Africa</v>
      </c>
      <c r="AA2192" s="14" t="str">
        <f>IFERROR(__xludf.DUMMYFUNCTION("""COMPUTED_VALUE"""),"2006")</f>
        <v>2006</v>
      </c>
      <c r="AB2192" s="15" t="str">
        <f>IFERROR(__xludf.DUMMYFUNCTION("ARRAYFORMULA(VLOOKUP(A2192,IMPORTRANGE(""https://docs.google.com/spreadsheets/d/1BuTWp7qHGjWhqrnf-OmePP568O4A5Am9ttzvVdP67zw/edit#gid=1931367683"" ,""ENERGY!$A$2:$F$2692""), {2,3,4,5,6},0))"),"Africa")</f>
        <v>Africa</v>
      </c>
      <c r="AC2192" s="14" t="str">
        <f>IFERROR(__xludf.DUMMYFUNCTION("""COMPUTED_VALUE"""),"South Africa-Africa")</f>
        <v>South Africa-Africa</v>
      </c>
      <c r="AD2192" s="14" t="str">
        <f>IFERROR(__xludf.DUMMYFUNCTION("""COMPUTED_VALUE"""),"2012")</f>
        <v>2012</v>
      </c>
      <c r="AE2192" s="14">
        <f>IFERROR(__xludf.DUMMYFUNCTION("""COMPUTED_VALUE"""),127255.0)</f>
        <v>127255</v>
      </c>
      <c r="AF2192" s="14">
        <f>IFERROR(__xludf.DUMMYFUNCTION("""COMPUTED_VALUE"""),424844.0)</f>
        <v>424844</v>
      </c>
    </row>
    <row r="2193">
      <c r="A2193" s="12">
        <v>2192.0</v>
      </c>
      <c r="B2193" s="12" t="s">
        <v>247</v>
      </c>
      <c r="C2193" s="5" t="s">
        <v>77</v>
      </c>
      <c r="D2193" s="11">
        <v>0.365</v>
      </c>
      <c r="E2193" s="11">
        <v>31.0</v>
      </c>
      <c r="F2193" s="8"/>
      <c r="G2193" s="11">
        <v>350.0</v>
      </c>
      <c r="H2193" s="11">
        <v>0.081</v>
      </c>
      <c r="I2193" s="11">
        <v>0.853</v>
      </c>
      <c r="J2193" s="9" t="s">
        <v>68</v>
      </c>
      <c r="K2193" s="14" t="str">
        <f>IFERROR(__xludf.DUMMYFUNCTION("ARRAYFORMULA(VLOOKUP(A2193,IMPORTRANGE(""https://docs.google.com/spreadsheets/d/1BuTWp7qHGjWhqrnf-OmePP568O4A5Am9ttzvVdP67zw/edit#gid=1603210130"", ""TOURISM!$A$2:$F$2692""), {2,3,4,5,6},0))"),"Africa")</f>
        <v>Africa</v>
      </c>
      <c r="L2193" s="14">
        <f>IFERROR(__xludf.DUMMYFUNCTION("""COMPUTED_VALUE"""),1.0226E10)</f>
        <v>10226000000</v>
      </c>
      <c r="M2193" s="14" t="str">
        <f>IFERROR(__xludf.DUMMYFUNCTION("""COMPUTED_VALUE"""),"South Africa-Africa")</f>
        <v>South Africa-Africa</v>
      </c>
      <c r="N2193" s="14" t="str">
        <f>IFERROR(__xludf.DUMMYFUNCTION("""COMPUTED_VALUE"""),"2007")</f>
        <v>2007</v>
      </c>
      <c r="O2193" s="14">
        <f>IFERROR(__xludf.DUMMYFUNCTION("""COMPUTED_VALUE"""),6.103E9)</f>
        <v>6103000000</v>
      </c>
      <c r="P2193" s="15">
        <f>IFERROR(__xludf.DUMMYFUNCTION("ARRAYFORMULA(VLOOKUP(A2193,IMPORTRANGE(""https://docs.google.com/spreadsheets/d/1BuTWp7qHGjWhqrnf-OmePP568O4A5Am9ttzvVdP67zw/edit#gid=771602874"" ,""HUMAN RESOURCES!$A$2:$M$2692""), {2,3,4,5,6,7,8,9,10,11,12,13},0))"),0.022)</f>
        <v>0.022</v>
      </c>
      <c r="Q2193" s="14">
        <f>IFERROR(__xludf.DUMMYFUNCTION("""COMPUTED_VALUE"""),0.047)</f>
        <v>0.047</v>
      </c>
      <c r="R2193" s="14">
        <f>IFERROR(__xludf.DUMMYFUNCTION("""COMPUTED_VALUE"""),53.0)</f>
        <v>53</v>
      </c>
      <c r="S2193" s="14">
        <f>IFERROR(__xludf.DUMMYFUNCTION("""COMPUTED_VALUE"""),51.0)</f>
        <v>51</v>
      </c>
      <c r="T2193" s="14">
        <f>IFERROR(__xludf.DUMMYFUNCTION("""COMPUTED_VALUE"""),0.303)</f>
        <v>0.303</v>
      </c>
      <c r="U2193" s="14">
        <f>IFERROR(__xludf.DUMMYFUNCTION("""COMPUTED_VALUE"""),0.65)</f>
        <v>0.65</v>
      </c>
      <c r="V2193" s="14">
        <f>IFERROR(__xludf.DUMMYFUNCTION("""COMPUTED_VALUE"""),0.048)</f>
        <v>0.048</v>
      </c>
      <c r="W2193" s="14">
        <f>IFERROR(__xludf.DUMMYFUNCTION("""COMPUTED_VALUE"""),4.8910248E7)</f>
        <v>48910248</v>
      </c>
      <c r="X2193" s="14">
        <f>IFERROR(__xludf.DUMMYFUNCTION("""COMPUTED_VALUE"""),0.606)</f>
        <v>0.606</v>
      </c>
      <c r="Y2193" s="14" t="str">
        <f>IFERROR(__xludf.DUMMYFUNCTION("""COMPUTED_VALUE"""),"South Africa-Africa")</f>
        <v>South Africa-Africa</v>
      </c>
      <c r="Z2193" s="14" t="str">
        <f>IFERROR(__xludf.DUMMYFUNCTION("""COMPUTED_VALUE"""),"Africa")</f>
        <v>Africa</v>
      </c>
      <c r="AA2193" s="14" t="str">
        <f>IFERROR(__xludf.DUMMYFUNCTION("""COMPUTED_VALUE"""),"2007")</f>
        <v>2007</v>
      </c>
      <c r="AB2193" s="15" t="str">
        <f>IFERROR(__xludf.DUMMYFUNCTION("ARRAYFORMULA(VLOOKUP(A2193,IMPORTRANGE(""https://docs.google.com/spreadsheets/d/1BuTWp7qHGjWhqrnf-OmePP568O4A5Am9ttzvVdP67zw/edit#gid=1931367683"" ,""ENERGY!$A$2:$F$2692""), {2,3,4,5,6},0))"),"Africa")</f>
        <v>Africa</v>
      </c>
      <c r="AC2193" s="14" t="str">
        <f>IFERROR(__xludf.DUMMYFUNCTION("""COMPUTED_VALUE"""),"South Africa-Africa")</f>
        <v>South Africa-Africa</v>
      </c>
      <c r="AD2193" s="14" t="str">
        <f>IFERROR(__xludf.DUMMYFUNCTION("""COMPUTED_VALUE"""),"2010")</f>
        <v>2010</v>
      </c>
      <c r="AE2193" s="14">
        <f>IFERROR(__xludf.DUMMYFUNCTION("""COMPUTED_VALUE"""),128214.0)</f>
        <v>128214</v>
      </c>
      <c r="AF2193" s="14">
        <f>IFERROR(__xludf.DUMMYFUNCTION("""COMPUTED_VALUE"""),396117.0)</f>
        <v>396117</v>
      </c>
    </row>
    <row r="2194">
      <c r="A2194" s="12">
        <v>2193.0</v>
      </c>
      <c r="B2194" s="12" t="s">
        <v>247</v>
      </c>
      <c r="C2194" s="5" t="s">
        <v>77</v>
      </c>
      <c r="D2194" s="11">
        <v>0.337</v>
      </c>
      <c r="E2194" s="11">
        <v>22.0</v>
      </c>
      <c r="F2194" s="8"/>
      <c r="G2194" s="11">
        <v>200.0</v>
      </c>
      <c r="H2194" s="11">
        <v>0.084</v>
      </c>
      <c r="I2194" s="11">
        <v>0.895</v>
      </c>
      <c r="J2194" s="9" t="s">
        <v>69</v>
      </c>
      <c r="K2194" s="14" t="str">
        <f>IFERROR(__xludf.DUMMYFUNCTION("ARRAYFORMULA(VLOOKUP(A2194,IMPORTRANGE(""https://docs.google.com/spreadsheets/d/1BuTWp7qHGjWhqrnf-OmePP568O4A5Am9ttzvVdP67zw/edit#gid=1603210130"", ""TOURISM!$A$2:$F$2692""), {2,3,4,5,6},0))"),"Africa")</f>
        <v>Africa</v>
      </c>
      <c r="L2194" s="14">
        <f>IFERROR(__xludf.DUMMYFUNCTION("""COMPUTED_VALUE"""),9.178E9)</f>
        <v>9178000000</v>
      </c>
      <c r="M2194" s="14" t="str">
        <f>IFERROR(__xludf.DUMMYFUNCTION("""COMPUTED_VALUE"""),"South Africa-Africa")</f>
        <v>South Africa-Africa</v>
      </c>
      <c r="N2194" s="14" t="str">
        <f>IFERROR(__xludf.DUMMYFUNCTION("""COMPUTED_VALUE"""),"2008")</f>
        <v>2008</v>
      </c>
      <c r="O2194" s="14">
        <f>IFERROR(__xludf.DUMMYFUNCTION("""COMPUTED_VALUE"""),6.905E9)</f>
        <v>6905000000</v>
      </c>
      <c r="P2194" s="15">
        <f>IFERROR(__xludf.DUMMYFUNCTION("ARRAYFORMULA(VLOOKUP(A2194,IMPORTRANGE(""https://docs.google.com/spreadsheets/d/1BuTWp7qHGjWhqrnf-OmePP568O4A5Am9ttzvVdP67zw/edit#gid=771602874"" ,""HUMAN RESOURCES!$A$2:$M$2692""), {2,3,4,5,6,7,8,9,10,11,12,13},0))"),0.022)</f>
        <v>0.022</v>
      </c>
      <c r="Q2194" s="14">
        <f>IFERROR(__xludf.DUMMYFUNCTION("""COMPUTED_VALUE"""),0.046)</f>
        <v>0.046</v>
      </c>
      <c r="R2194" s="14">
        <f>IFERROR(__xludf.DUMMYFUNCTION("""COMPUTED_VALUE"""),54.0)</f>
        <v>54</v>
      </c>
      <c r="S2194" s="14">
        <f>IFERROR(__xludf.DUMMYFUNCTION("""COMPUTED_VALUE"""),51.0)</f>
        <v>51</v>
      </c>
      <c r="T2194" s="14">
        <f>IFERROR(__xludf.DUMMYFUNCTION("""COMPUTED_VALUE"""),0.3)</f>
        <v>0.3</v>
      </c>
      <c r="U2194" s="14">
        <f>IFERROR(__xludf.DUMMYFUNCTION("""COMPUTED_VALUE"""),0.65)</f>
        <v>0.65</v>
      </c>
      <c r="V2194" s="14">
        <f>IFERROR(__xludf.DUMMYFUNCTION("""COMPUTED_VALUE"""),0.049)</f>
        <v>0.049</v>
      </c>
      <c r="W2194" s="14">
        <f>IFERROR(__xludf.DUMMYFUNCTION("""COMPUTED_VALUE"""),4.9561256E7)</f>
        <v>49561256</v>
      </c>
      <c r="X2194" s="14">
        <f>IFERROR(__xludf.DUMMYFUNCTION("""COMPUTED_VALUE"""),0.612)</f>
        <v>0.612</v>
      </c>
      <c r="Y2194" s="14" t="str">
        <f>IFERROR(__xludf.DUMMYFUNCTION("""COMPUTED_VALUE"""),"South Africa-Africa")</f>
        <v>South Africa-Africa</v>
      </c>
      <c r="Z2194" s="14" t="str">
        <f>IFERROR(__xludf.DUMMYFUNCTION("""COMPUTED_VALUE"""),"Africa")</f>
        <v>Africa</v>
      </c>
      <c r="AA2194" s="14" t="str">
        <f>IFERROR(__xludf.DUMMYFUNCTION("""COMPUTED_VALUE"""),"2008")</f>
        <v>2008</v>
      </c>
      <c r="AB2194" s="15" t="str">
        <f>IFERROR(__xludf.DUMMYFUNCTION("ARRAYFORMULA(VLOOKUP(A2194,IMPORTRANGE(""https://docs.google.com/spreadsheets/d/1BuTWp7qHGjWhqrnf-OmePP568O4A5Am9ttzvVdP67zw/edit#gid=1931367683"" ,""ENERGY!$A$2:$F$2692""), {2,3,4,5,6},0))"),"Africa")</f>
        <v>Africa</v>
      </c>
      <c r="AC2194" s="14" t="str">
        <f>IFERROR(__xludf.DUMMYFUNCTION("""COMPUTED_VALUE"""),"South Africa-Africa")</f>
        <v>South Africa-Africa</v>
      </c>
      <c r="AD2194" s="14" t="str">
        <f>IFERROR(__xludf.DUMMYFUNCTION("""COMPUTED_VALUE"""),"2007")</f>
        <v>2007</v>
      </c>
      <c r="AE2194" s="14">
        <f>IFERROR(__xludf.DUMMYFUNCTION("""COMPUTED_VALUE"""),128722.0)</f>
        <v>128722</v>
      </c>
      <c r="AF2194" s="14">
        <f>IFERROR(__xludf.DUMMYFUNCTION("""COMPUTED_VALUE"""),427132.0)</f>
        <v>427132</v>
      </c>
    </row>
    <row r="2195">
      <c r="A2195" s="12">
        <v>2194.0</v>
      </c>
      <c r="B2195" s="12" t="s">
        <v>247</v>
      </c>
      <c r="C2195" s="5" t="s">
        <v>77</v>
      </c>
      <c r="D2195" s="11">
        <v>0.298</v>
      </c>
      <c r="E2195" s="11">
        <v>22.0</v>
      </c>
      <c r="F2195" s="8"/>
      <c r="G2195" s="11">
        <v>200.0</v>
      </c>
      <c r="H2195" s="11">
        <v>0.1</v>
      </c>
      <c r="I2195" s="11">
        <v>0.912</v>
      </c>
      <c r="J2195" s="9" t="s">
        <v>70</v>
      </c>
      <c r="K2195" s="14" t="str">
        <f>IFERROR(__xludf.DUMMYFUNCTION("ARRAYFORMULA(VLOOKUP(A2195,IMPORTRANGE(""https://docs.google.com/spreadsheets/d/1BuTWp7qHGjWhqrnf-OmePP568O4A5Am9ttzvVdP67zw/edit#gid=1603210130"", ""TOURISM!$A$2:$F$2692""), {2,3,4,5,6},0))"),"Africa")</f>
        <v>Africa</v>
      </c>
      <c r="L2195" s="14">
        <f>IFERROR(__xludf.DUMMYFUNCTION("""COMPUTED_VALUE"""),8.684E9)</f>
        <v>8684000000</v>
      </c>
      <c r="M2195" s="14" t="str">
        <f>IFERROR(__xludf.DUMMYFUNCTION("""COMPUTED_VALUE"""),"South Africa-Africa")</f>
        <v>South Africa-Africa</v>
      </c>
      <c r="N2195" s="14" t="str">
        <f>IFERROR(__xludf.DUMMYFUNCTION("""COMPUTED_VALUE"""),"2009")</f>
        <v>2009</v>
      </c>
      <c r="O2195" s="14">
        <f>IFERROR(__xludf.DUMMYFUNCTION("""COMPUTED_VALUE"""),6.42E9)</f>
        <v>6420000000</v>
      </c>
      <c r="P2195" s="15">
        <f>IFERROR(__xludf.DUMMYFUNCTION("ARRAYFORMULA(VLOOKUP(A2195,IMPORTRANGE(""https://docs.google.com/spreadsheets/d/1BuTWp7qHGjWhqrnf-OmePP568O4A5Am9ttzvVdP67zw/edit#gid=771602874"" ,""HUMAN RESOURCES!$A$2:$M$2692""), {2,3,4,5,6,7,8,9,10,11,12,13},0))"),0.022)</f>
        <v>0.022</v>
      </c>
      <c r="Q2195" s="14">
        <f>IFERROR(__xludf.DUMMYFUNCTION("""COMPUTED_VALUE"""),0.04)</f>
        <v>0.04</v>
      </c>
      <c r="R2195" s="14">
        <f>IFERROR(__xludf.DUMMYFUNCTION("""COMPUTED_VALUE"""),55.0)</f>
        <v>55</v>
      </c>
      <c r="S2195" s="14">
        <f>IFERROR(__xludf.DUMMYFUNCTION("""COMPUTED_VALUE"""),52.0)</f>
        <v>52</v>
      </c>
      <c r="T2195" s="14">
        <f>IFERROR(__xludf.DUMMYFUNCTION("""COMPUTED_VALUE"""),0.299)</f>
        <v>0.299</v>
      </c>
      <c r="U2195" s="14">
        <f>IFERROR(__xludf.DUMMYFUNCTION("""COMPUTED_VALUE"""),0.651)</f>
        <v>0.651</v>
      </c>
      <c r="V2195" s="14">
        <f>IFERROR(__xludf.DUMMYFUNCTION("""COMPUTED_VALUE"""),0.051)</f>
        <v>0.051</v>
      </c>
      <c r="W2195" s="14">
        <f>IFERROR(__xludf.DUMMYFUNCTION("""COMPUTED_VALUE"""),5.0222996E7)</f>
        <v>50222996</v>
      </c>
      <c r="X2195" s="14">
        <f>IFERROR(__xludf.DUMMYFUNCTION("""COMPUTED_VALUE"""),0.617)</f>
        <v>0.617</v>
      </c>
      <c r="Y2195" s="14" t="str">
        <f>IFERROR(__xludf.DUMMYFUNCTION("""COMPUTED_VALUE"""),"South Africa-Africa")</f>
        <v>South Africa-Africa</v>
      </c>
      <c r="Z2195" s="14" t="str">
        <f>IFERROR(__xludf.DUMMYFUNCTION("""COMPUTED_VALUE"""),"Africa")</f>
        <v>Africa</v>
      </c>
      <c r="AA2195" s="14" t="str">
        <f>IFERROR(__xludf.DUMMYFUNCTION("""COMPUTED_VALUE"""),"2009")</f>
        <v>2009</v>
      </c>
      <c r="AB2195" s="15" t="str">
        <f>IFERROR(__xludf.DUMMYFUNCTION("ARRAYFORMULA(VLOOKUP(A2195,IMPORTRANGE(""https://docs.google.com/spreadsheets/d/1BuTWp7qHGjWhqrnf-OmePP568O4A5Am9ttzvVdP67zw/edit#gid=1931367683"" ,""ENERGY!$A$2:$F$2692""), {2,3,4,5,6},0))"),"Africa")</f>
        <v>Africa</v>
      </c>
      <c r="AC2195" s="14" t="str">
        <f>IFERROR(__xludf.DUMMYFUNCTION("""COMPUTED_VALUE"""),"South Africa-Africa")</f>
        <v>South Africa-Africa</v>
      </c>
      <c r="AD2195" s="14" t="str">
        <f>IFERROR(__xludf.DUMMYFUNCTION("""COMPUTED_VALUE"""),"2011")</f>
        <v>2011</v>
      </c>
      <c r="AE2195" s="14">
        <f>IFERROR(__xludf.DUMMYFUNCTION("""COMPUTED_VALUE"""),117374.0)</f>
        <v>117374</v>
      </c>
      <c r="AF2195" s="14">
        <f>IFERROR(__xludf.DUMMYFUNCTION("""COMPUTED_VALUE"""),380811.0)</f>
        <v>380811</v>
      </c>
    </row>
    <row r="2196">
      <c r="A2196" s="12">
        <v>2195.0</v>
      </c>
      <c r="B2196" s="12" t="s">
        <v>247</v>
      </c>
      <c r="C2196" s="5" t="s">
        <v>77</v>
      </c>
      <c r="D2196" s="11">
        <v>0.3</v>
      </c>
      <c r="E2196" s="11">
        <v>22.0</v>
      </c>
      <c r="F2196" s="8"/>
      <c r="G2196" s="11">
        <v>200.0</v>
      </c>
      <c r="H2196" s="11">
        <v>0.24</v>
      </c>
      <c r="I2196" s="11">
        <v>0.979</v>
      </c>
      <c r="J2196" s="9" t="s">
        <v>71</v>
      </c>
      <c r="K2196" s="14" t="str">
        <f>IFERROR(__xludf.DUMMYFUNCTION("ARRAYFORMULA(VLOOKUP(A2196,IMPORTRANGE(""https://docs.google.com/spreadsheets/d/1BuTWp7qHGjWhqrnf-OmePP568O4A5Am9ttzvVdP67zw/edit#gid=1603210130"", ""TOURISM!$A$2:$F$2692""), {2,3,4,5,6},0))"),"Africa")</f>
        <v>Africa</v>
      </c>
      <c r="L2196" s="14">
        <f>IFERROR(__xludf.DUMMYFUNCTION("""COMPUTED_VALUE"""),1.0308E10)</f>
        <v>10308000000</v>
      </c>
      <c r="M2196" s="14" t="str">
        <f>IFERROR(__xludf.DUMMYFUNCTION("""COMPUTED_VALUE"""),"South Africa-Africa")</f>
        <v>South Africa-Africa</v>
      </c>
      <c r="N2196" s="14" t="str">
        <f>IFERROR(__xludf.DUMMYFUNCTION("""COMPUTED_VALUE"""),"2010")</f>
        <v>2010</v>
      </c>
      <c r="O2196" s="14">
        <f>IFERROR(__xludf.DUMMYFUNCTION("""COMPUTED_VALUE"""),8.139E9)</f>
        <v>8139000000</v>
      </c>
      <c r="P2196" s="15">
        <f>IFERROR(__xludf.DUMMYFUNCTION("ARRAYFORMULA(VLOOKUP(A2196,IMPORTRANGE(""https://docs.google.com/spreadsheets/d/1BuTWp7qHGjWhqrnf-OmePP568O4A5Am9ttzvVdP67zw/edit#gid=771602874"" ,""HUMAN RESOURCES!$A$2:$M$2692""), {2,3,4,5,6,7,8,9,10,11,12,13},0))"),0.022)</f>
        <v>0.022</v>
      </c>
      <c r="Q2196" s="14">
        <f>IFERROR(__xludf.DUMMYFUNCTION("""COMPUTED_VALUE"""),0.035)</f>
        <v>0.035</v>
      </c>
      <c r="R2196" s="14">
        <f>IFERROR(__xludf.DUMMYFUNCTION("""COMPUTED_VALUE"""),56.0)</f>
        <v>56</v>
      </c>
      <c r="S2196" s="14">
        <f>IFERROR(__xludf.DUMMYFUNCTION("""COMPUTED_VALUE"""),53.0)</f>
        <v>53</v>
      </c>
      <c r="T2196" s="14">
        <f>IFERROR(__xludf.DUMMYFUNCTION("""COMPUTED_VALUE"""),0.297)</f>
        <v>0.297</v>
      </c>
      <c r="U2196" s="14">
        <f>IFERROR(__xludf.DUMMYFUNCTION("""COMPUTED_VALUE"""),0.651)</f>
        <v>0.651</v>
      </c>
      <c r="V2196" s="14">
        <f>IFERROR(__xludf.DUMMYFUNCTION("""COMPUTED_VALUE"""),0.052)</f>
        <v>0.052</v>
      </c>
      <c r="W2196" s="14">
        <f>IFERROR(__xludf.DUMMYFUNCTION("""COMPUTED_VALUE"""),5.0895698E7)</f>
        <v>50895698</v>
      </c>
      <c r="X2196" s="14">
        <f>IFERROR(__xludf.DUMMYFUNCTION("""COMPUTED_VALUE"""),0.622)</f>
        <v>0.622</v>
      </c>
      <c r="Y2196" s="14" t="str">
        <f>IFERROR(__xludf.DUMMYFUNCTION("""COMPUTED_VALUE"""),"South Africa-Africa")</f>
        <v>South Africa-Africa</v>
      </c>
      <c r="Z2196" s="14" t="str">
        <f>IFERROR(__xludf.DUMMYFUNCTION("""COMPUTED_VALUE"""),"Africa")</f>
        <v>Africa</v>
      </c>
      <c r="AA2196" s="14" t="str">
        <f>IFERROR(__xludf.DUMMYFUNCTION("""COMPUTED_VALUE"""),"2010")</f>
        <v>2010</v>
      </c>
      <c r="AB2196" s="15" t="str">
        <f>IFERROR(__xludf.DUMMYFUNCTION("ARRAYFORMULA(VLOOKUP(A2196,IMPORTRANGE(""https://docs.google.com/spreadsheets/d/1BuTWp7qHGjWhqrnf-OmePP568O4A5Am9ttzvVdP67zw/edit#gid=1931367683"" ,""ENERGY!$A$2:$F$2692""), {2,3,4,5,6},0))"),"Africa")</f>
        <v>Africa</v>
      </c>
      <c r="AC2196" s="14" t="str">
        <f>IFERROR(__xludf.DUMMYFUNCTION("""COMPUTED_VALUE"""),"South Africa-Africa")</f>
        <v>South Africa-Africa</v>
      </c>
      <c r="AD2196" s="14" t="str">
        <f>IFERROR(__xludf.DUMMYFUNCTION("""COMPUTED_VALUE"""),"2008")</f>
        <v>2008</v>
      </c>
      <c r="AE2196" s="14">
        <f>IFERROR(__xludf.DUMMYFUNCTION("""COMPUTED_VALUE"""),109908.0)</f>
        <v>109908</v>
      </c>
      <c r="AF2196" s="14">
        <f>IFERROR(__xludf.DUMMYFUNCTION("""COMPUTED_VALUE"""),347687.0)</f>
        <v>347687</v>
      </c>
    </row>
    <row r="2197">
      <c r="A2197" s="12">
        <v>2196.0</v>
      </c>
      <c r="B2197" s="12" t="s">
        <v>247</v>
      </c>
      <c r="C2197" s="5" t="s">
        <v>77</v>
      </c>
      <c r="D2197" s="11">
        <v>0.324</v>
      </c>
      <c r="E2197" s="11">
        <v>19.0</v>
      </c>
      <c r="F2197" s="8"/>
      <c r="G2197" s="11">
        <v>200.0</v>
      </c>
      <c r="H2197" s="11">
        <v>0.34</v>
      </c>
      <c r="I2197" s="11">
        <v>1.232</v>
      </c>
      <c r="J2197" s="9" t="s">
        <v>72</v>
      </c>
      <c r="K2197" s="14" t="str">
        <f>IFERROR(__xludf.DUMMYFUNCTION("ARRAYFORMULA(VLOOKUP(A2197,IMPORTRANGE(""https://docs.google.com/spreadsheets/d/1BuTWp7qHGjWhqrnf-OmePP568O4A5Am9ttzvVdP67zw/edit#gid=1603210130"", ""TOURISM!$A$2:$F$2692""), {2,3,4,5,6},0))"),"Africa")</f>
        <v>Africa</v>
      </c>
      <c r="L2197" s="14">
        <f>IFERROR(__xludf.DUMMYFUNCTION("""COMPUTED_VALUE"""),1.0707E10)</f>
        <v>10707000000</v>
      </c>
      <c r="M2197" s="14" t="str">
        <f>IFERROR(__xludf.DUMMYFUNCTION("""COMPUTED_VALUE"""),"South Africa-Africa")</f>
        <v>South Africa-Africa</v>
      </c>
      <c r="N2197" s="14" t="str">
        <f>IFERROR(__xludf.DUMMYFUNCTION("""COMPUTED_VALUE"""),"2011")</f>
        <v>2011</v>
      </c>
      <c r="O2197" s="14">
        <f>IFERROR(__xludf.DUMMYFUNCTION("""COMPUTED_VALUE"""),8.397E9)</f>
        <v>8397000000</v>
      </c>
      <c r="P2197" s="15">
        <f>IFERROR(__xludf.DUMMYFUNCTION("ARRAYFORMULA(VLOOKUP(A2197,IMPORTRANGE(""https://docs.google.com/spreadsheets/d/1BuTWp7qHGjWhqrnf-OmePP568O4A5Am9ttzvVdP67zw/edit#gid=771602874"" ,""HUMAN RESOURCES!$A$2:$M$2692""), {2,3,4,5,6,7,8,9,10,11,12,13},0))"),0.021)</f>
        <v>0.021</v>
      </c>
      <c r="Q2197" s="14">
        <f>IFERROR(__xludf.DUMMYFUNCTION("""COMPUTED_VALUE"""),0.034)</f>
        <v>0.034</v>
      </c>
      <c r="R2197" s="14">
        <f>IFERROR(__xludf.DUMMYFUNCTION("""COMPUTED_VALUE"""),57.0)</f>
        <v>57</v>
      </c>
      <c r="S2197" s="14">
        <f>IFERROR(__xludf.DUMMYFUNCTION("""COMPUTED_VALUE"""),53.0)</f>
        <v>53</v>
      </c>
      <c r="T2197" s="14">
        <f>IFERROR(__xludf.DUMMYFUNCTION("""COMPUTED_VALUE"""),0.296)</f>
        <v>0.296</v>
      </c>
      <c r="U2197" s="14">
        <f>IFERROR(__xludf.DUMMYFUNCTION("""COMPUTED_VALUE"""),0.651)</f>
        <v>0.651</v>
      </c>
      <c r="V2197" s="14">
        <f>IFERROR(__xludf.DUMMYFUNCTION("""COMPUTED_VALUE"""),0.053)</f>
        <v>0.053</v>
      </c>
      <c r="W2197" s="14">
        <f>IFERROR(__xludf.DUMMYFUNCTION("""COMPUTED_VALUE"""),5.1579599E7)</f>
        <v>51579599</v>
      </c>
      <c r="X2197" s="14">
        <f>IFERROR(__xludf.DUMMYFUNCTION("""COMPUTED_VALUE"""),0.627)</f>
        <v>0.627</v>
      </c>
      <c r="Y2197" s="14" t="str">
        <f>IFERROR(__xludf.DUMMYFUNCTION("""COMPUTED_VALUE"""),"South Africa-Africa")</f>
        <v>South Africa-Africa</v>
      </c>
      <c r="Z2197" s="14" t="str">
        <f>IFERROR(__xludf.DUMMYFUNCTION("""COMPUTED_VALUE"""),"Africa")</f>
        <v>Africa</v>
      </c>
      <c r="AA2197" s="14" t="str">
        <f>IFERROR(__xludf.DUMMYFUNCTION("""COMPUTED_VALUE"""),"2011")</f>
        <v>2011</v>
      </c>
      <c r="AB2197" s="15" t="str">
        <f>IFERROR(__xludf.DUMMYFUNCTION("ARRAYFORMULA(VLOOKUP(A2197,IMPORTRANGE(""https://docs.google.com/spreadsheets/d/1BuTWp7qHGjWhqrnf-OmePP568O4A5Am9ttzvVdP67zw/edit#gid=1931367683"" ,""ENERGY!$A$2:$F$2692""), {2,3,4,5,6},0))"),"Africa")</f>
        <v>Africa</v>
      </c>
      <c r="AC2197" s="14" t="str">
        <f>IFERROR(__xludf.DUMMYFUNCTION("""COMPUTED_VALUE"""),"South Africa-Africa")</f>
        <v>South Africa-Africa</v>
      </c>
      <c r="AD2197" s="14" t="str">
        <f>IFERROR(__xludf.DUMMYFUNCTION("""COMPUTED_VALUE"""),"2007")</f>
        <v>2007</v>
      </c>
      <c r="AE2197" s="14">
        <f>IFERROR(__xludf.DUMMYFUNCTION("""COMPUTED_VALUE"""),112399.0)</f>
        <v>112399</v>
      </c>
      <c r="AF2197" s="14">
        <f>IFERROR(__xludf.DUMMYFUNCTION("""COMPUTED_VALUE"""),362743.0)</f>
        <v>362743</v>
      </c>
    </row>
    <row r="2198">
      <c r="A2198" s="12">
        <v>2197.0</v>
      </c>
      <c r="B2198" s="12" t="s">
        <v>247</v>
      </c>
      <c r="C2198" s="5" t="s">
        <v>77</v>
      </c>
      <c r="D2198" s="11">
        <v>0.327</v>
      </c>
      <c r="E2198" s="11">
        <v>19.0</v>
      </c>
      <c r="F2198" s="11">
        <v>41.0</v>
      </c>
      <c r="G2198" s="11">
        <v>200.0</v>
      </c>
      <c r="H2198" s="11">
        <v>0.41</v>
      </c>
      <c r="I2198" s="11">
        <v>1.306</v>
      </c>
      <c r="J2198" s="9" t="s">
        <v>73</v>
      </c>
      <c r="K2198" s="14" t="str">
        <f>IFERROR(__xludf.DUMMYFUNCTION("ARRAYFORMULA(VLOOKUP(A2198,IMPORTRANGE(""https://docs.google.com/spreadsheets/d/1BuTWp7qHGjWhqrnf-OmePP568O4A5Am9ttzvVdP67zw/edit#gid=1603210130"", ""TOURISM!$A$2:$F$2692""), {2,3,4,5,6},0))"),"Africa")</f>
        <v>Africa</v>
      </c>
      <c r="L2198" s="14">
        <f>IFERROR(__xludf.DUMMYFUNCTION("""COMPUTED_VALUE"""),1.1201E10)</f>
        <v>11201000000</v>
      </c>
      <c r="M2198" s="14" t="str">
        <f>IFERROR(__xludf.DUMMYFUNCTION("""COMPUTED_VALUE"""),"South Africa-Africa")</f>
        <v>South Africa-Africa</v>
      </c>
      <c r="N2198" s="14" t="str">
        <f>IFERROR(__xludf.DUMMYFUNCTION("""COMPUTED_VALUE"""),"2012")</f>
        <v>2012</v>
      </c>
      <c r="O2198" s="14">
        <f>IFERROR(__xludf.DUMMYFUNCTION("""COMPUTED_VALUE"""),7.144E9)</f>
        <v>7144000000</v>
      </c>
      <c r="P2198" s="15">
        <f>IFERROR(__xludf.DUMMYFUNCTION("ARRAYFORMULA(VLOOKUP(A2198,IMPORTRANGE(""https://docs.google.com/spreadsheets/d/1BuTWp7qHGjWhqrnf-OmePP568O4A5Am9ttzvVdP67zw/edit#gid=771602874"" ,""HUMAN RESOURCES!$A$2:$M$2692""), {2,3,4,5,6,7,8,9,10,11,12,13},0))"),0.021)</f>
        <v>0.021</v>
      </c>
      <c r="Q2198" s="14">
        <f>IFERROR(__xludf.DUMMYFUNCTION("""COMPUTED_VALUE"""),0.034)</f>
        <v>0.034</v>
      </c>
      <c r="R2198" s="14">
        <f>IFERROR(__xludf.DUMMYFUNCTION("""COMPUTED_VALUE"""),58.0)</f>
        <v>58</v>
      </c>
      <c r="S2198" s="14">
        <f>IFERROR(__xludf.DUMMYFUNCTION("""COMPUTED_VALUE"""),54.0)</f>
        <v>54</v>
      </c>
      <c r="T2198" s="14">
        <f>IFERROR(__xludf.DUMMYFUNCTION("""COMPUTED_VALUE"""),0.295)</f>
        <v>0.295</v>
      </c>
      <c r="U2198" s="14">
        <f>IFERROR(__xludf.DUMMYFUNCTION("""COMPUTED_VALUE"""),0.65)</f>
        <v>0.65</v>
      </c>
      <c r="V2198" s="14">
        <f>IFERROR(__xludf.DUMMYFUNCTION("""COMPUTED_VALUE"""),0.054)</f>
        <v>0.054</v>
      </c>
      <c r="W2198" s="14">
        <f>IFERROR(__xludf.DUMMYFUNCTION("""COMPUTED_VALUE"""),5.2274945E7)</f>
        <v>52274945</v>
      </c>
      <c r="X2198" s="14">
        <f>IFERROR(__xludf.DUMMYFUNCTION("""COMPUTED_VALUE"""),0.633)</f>
        <v>0.633</v>
      </c>
      <c r="Y2198" s="14" t="str">
        <f>IFERROR(__xludf.DUMMYFUNCTION("""COMPUTED_VALUE"""),"South Africa-Africa")</f>
        <v>South Africa-Africa</v>
      </c>
      <c r="Z2198" s="14" t="str">
        <f>IFERROR(__xludf.DUMMYFUNCTION("""COMPUTED_VALUE"""),"Africa")</f>
        <v>Africa</v>
      </c>
      <c r="AA2198" s="14" t="str">
        <f>IFERROR(__xludf.DUMMYFUNCTION("""COMPUTED_VALUE"""),"2012")</f>
        <v>2012</v>
      </c>
      <c r="AB2198" s="15" t="str">
        <f>IFERROR(__xludf.DUMMYFUNCTION("ARRAYFORMULA(VLOOKUP(A2198,IMPORTRANGE(""https://docs.google.com/spreadsheets/d/1BuTWp7qHGjWhqrnf-OmePP568O4A5Am9ttzvVdP67zw/edit#gid=1931367683"" ,""ENERGY!$A$2:$F$2692""), {2,3,4,5,6},0))"),"Africa")</f>
        <v>Africa</v>
      </c>
      <c r="AC2198" s="14" t="str">
        <f>IFERROR(__xludf.DUMMYFUNCTION("""COMPUTED_VALUE"""),"South Africa-Africa")</f>
        <v>South Africa-Africa</v>
      </c>
      <c r="AD2198" s="14" t="str">
        <f>IFERROR(__xludf.DUMMYFUNCTION("""COMPUTED_VALUE"""),"2012")</f>
        <v>2012</v>
      </c>
      <c r="AE2198" s="14">
        <f>IFERROR(__xludf.DUMMYFUNCTION("""COMPUTED_VALUE"""),109264.0)</f>
        <v>109264</v>
      </c>
      <c r="AF2198" s="14">
        <f>IFERROR(__xludf.DUMMYFUNCTION("""COMPUTED_VALUE"""),368611.0)</f>
        <v>368611</v>
      </c>
    </row>
    <row r="2199">
      <c r="A2199" s="12">
        <v>2198.0</v>
      </c>
      <c r="B2199" s="12" t="s">
        <v>248</v>
      </c>
      <c r="C2199" s="5" t="s">
        <v>61</v>
      </c>
      <c r="D2199" s="8"/>
      <c r="E2199" s="8"/>
      <c r="F2199" s="8"/>
      <c r="G2199" s="8"/>
      <c r="H2199" s="11">
        <v>0.447</v>
      </c>
      <c r="I2199" s="11">
        <v>0.583</v>
      </c>
      <c r="J2199" s="9" t="s">
        <v>60</v>
      </c>
      <c r="K2199" s="14" t="str">
        <f>IFERROR(__xludf.DUMMYFUNCTION("ARRAYFORMULA(VLOOKUP(A2199,IMPORTRANGE(""https://docs.google.com/spreadsheets/d/1BuTWp7qHGjWhqrnf-OmePP568O4A5Am9ttzvVdP67zw/edit#gid=1603210130"", ""TOURISM!$A$2:$F$2692""), {2,3,4,5,6},0))"),"Asia")</f>
        <v>Asia</v>
      </c>
      <c r="L2199" s="14">
        <f>IFERROR(__xludf.DUMMYFUNCTION("""COMPUTED_VALUE"""),8.527E9)</f>
        <v>8527000000</v>
      </c>
      <c r="M2199" s="14" t="str">
        <f>IFERROR(__xludf.DUMMYFUNCTION("""COMPUTED_VALUE"""),"South Korea-Asia")</f>
        <v>South Korea-Asia</v>
      </c>
      <c r="N2199" s="14" t="str">
        <f>IFERROR(__xludf.DUMMYFUNCTION("""COMPUTED_VALUE"""),"2000")</f>
        <v>2000</v>
      </c>
      <c r="O2199" s="14">
        <f>IFERROR(__xludf.DUMMYFUNCTION("""COMPUTED_VALUE"""),7.945E9)</f>
        <v>7945000000</v>
      </c>
      <c r="P2199" s="15">
        <f>IFERROR(__xludf.DUMMYFUNCTION("ARRAYFORMULA(VLOOKUP(A2199,IMPORTRANGE(""https://docs.google.com/spreadsheets/d/1BuTWp7qHGjWhqrnf-OmePP568O4A5Am9ttzvVdP67zw/edit#gid=771602874"" ,""HUMAN RESOURCES!$A$2:$M$2692""), {2,3,4,5,6,7,8,9,10,11,12,13},0))"),0.013)</f>
        <v>0.013</v>
      </c>
      <c r="Q2199" s="14">
        <f>IFERROR(__xludf.DUMMYFUNCTION("""COMPUTED_VALUE"""),0.005)</f>
        <v>0.005</v>
      </c>
      <c r="R2199" s="14">
        <f>IFERROR(__xludf.DUMMYFUNCTION("""COMPUTED_VALUE"""),80.0)</f>
        <v>80</v>
      </c>
      <c r="S2199" s="14">
        <f>IFERROR(__xludf.DUMMYFUNCTION("""COMPUTED_VALUE"""),72.0)</f>
        <v>72</v>
      </c>
      <c r="T2199" s="14">
        <f>IFERROR(__xludf.DUMMYFUNCTION("""COMPUTED_VALUE"""),0.21)</f>
        <v>0.21</v>
      </c>
      <c r="U2199" s="14">
        <f>IFERROR(__xludf.DUMMYFUNCTION("""COMPUTED_VALUE"""),0.717)</f>
        <v>0.717</v>
      </c>
      <c r="V2199" s="14">
        <f>IFERROR(__xludf.DUMMYFUNCTION("""COMPUTED_VALUE"""),0.073)</f>
        <v>0.073</v>
      </c>
      <c r="W2199" s="14">
        <f>IFERROR(__xludf.DUMMYFUNCTION("""COMPUTED_VALUE"""),4.7008111E7)</f>
        <v>47008111</v>
      </c>
      <c r="X2199" s="14">
        <f>IFERROR(__xludf.DUMMYFUNCTION("""COMPUTED_VALUE"""),0.796)</f>
        <v>0.796</v>
      </c>
      <c r="Y2199" s="14" t="str">
        <f>IFERROR(__xludf.DUMMYFUNCTION("""COMPUTED_VALUE"""),"South Korea-Asia")</f>
        <v>South Korea-Asia</v>
      </c>
      <c r="Z2199" s="14" t="str">
        <f>IFERROR(__xludf.DUMMYFUNCTION("""COMPUTED_VALUE"""),"Asia")</f>
        <v>Asia</v>
      </c>
      <c r="AA2199" s="14" t="str">
        <f>IFERROR(__xludf.DUMMYFUNCTION("""COMPUTED_VALUE"""),"2000")</f>
        <v>2000</v>
      </c>
      <c r="AB2199" s="15" t="str">
        <f>IFERROR(__xludf.DUMMYFUNCTION("ARRAYFORMULA(VLOOKUP(A2199,IMPORTRANGE(""https://docs.google.com/spreadsheets/d/1BuTWp7qHGjWhqrnf-OmePP568O4A5Am9ttzvVdP67zw/edit#gid=1931367683"" ,""ENERGY!$A$2:$F$2692""), {2,3,4,5,6},0))"),"Asia")</f>
        <v>Asia</v>
      </c>
      <c r="AC2199" s="14" t="str">
        <f>IFERROR(__xludf.DUMMYFUNCTION("""COMPUTED_VALUE"""),"South Korea-Asia")</f>
        <v>South Korea-Asia</v>
      </c>
      <c r="AD2199" s="14" t="str">
        <f>IFERROR(__xludf.DUMMYFUNCTION("""COMPUTED_VALUE"""),"2000")</f>
        <v>2000</v>
      </c>
      <c r="AE2199" s="14">
        <f>IFERROR(__xludf.DUMMYFUNCTION("""COMPUTED_VALUE"""),263002.0)</f>
        <v>263002</v>
      </c>
      <c r="AF2199" s="14"/>
    </row>
    <row r="2200">
      <c r="A2200" s="12">
        <v>2199.0</v>
      </c>
      <c r="B2200" s="12" t="s">
        <v>248</v>
      </c>
      <c r="C2200" s="5" t="s">
        <v>61</v>
      </c>
      <c r="D2200" s="8"/>
      <c r="E2200" s="8"/>
      <c r="F2200" s="8"/>
      <c r="G2200" s="8"/>
      <c r="H2200" s="11">
        <v>0.566</v>
      </c>
      <c r="I2200" s="11">
        <v>0.629</v>
      </c>
      <c r="J2200" s="9" t="s">
        <v>62</v>
      </c>
      <c r="K2200" s="14" t="str">
        <f>IFERROR(__xludf.DUMMYFUNCTION("ARRAYFORMULA(VLOOKUP(A2200,IMPORTRANGE(""https://docs.google.com/spreadsheets/d/1BuTWp7qHGjWhqrnf-OmePP568O4A5Am9ttzvVdP67zw/edit#gid=1603210130"", ""TOURISM!$A$2:$F$2692""), {2,3,4,5,6},0))"),"Asia")</f>
        <v>Asia</v>
      </c>
      <c r="L2200" s="14">
        <f>IFERROR(__xludf.DUMMYFUNCTION("""COMPUTED_VALUE"""),7.919E9)</f>
        <v>7919000000</v>
      </c>
      <c r="M2200" s="14" t="str">
        <f>IFERROR(__xludf.DUMMYFUNCTION("""COMPUTED_VALUE"""),"South Korea-Asia")</f>
        <v>South Korea-Asia</v>
      </c>
      <c r="N2200" s="14" t="str">
        <f>IFERROR(__xludf.DUMMYFUNCTION("""COMPUTED_VALUE"""),"2001")</f>
        <v>2001</v>
      </c>
      <c r="O2200" s="14">
        <f>IFERROR(__xludf.DUMMYFUNCTION("""COMPUTED_VALUE"""),8.349E9)</f>
        <v>8349000000</v>
      </c>
      <c r="P2200" s="15">
        <f>IFERROR(__xludf.DUMMYFUNCTION("ARRAYFORMULA(VLOOKUP(A2200,IMPORTRANGE(""https://docs.google.com/spreadsheets/d/1BuTWp7qHGjWhqrnf-OmePP568O4A5Am9ttzvVdP67zw/edit#gid=771602874"" ,""HUMAN RESOURCES!$A$2:$M$2692""), {2,3,4,5,6,7,8,9,10,11,12,13},0))"),0.012)</f>
        <v>0.012</v>
      </c>
      <c r="Q2200" s="14">
        <f>IFERROR(__xludf.DUMMYFUNCTION("""COMPUTED_VALUE"""),0.006)</f>
        <v>0.006</v>
      </c>
      <c r="R2200" s="14">
        <f>IFERROR(__xludf.DUMMYFUNCTION("""COMPUTED_VALUE"""),80.0)</f>
        <v>80</v>
      </c>
      <c r="S2200" s="14">
        <f>IFERROR(__xludf.DUMMYFUNCTION("""COMPUTED_VALUE"""),73.0)</f>
        <v>73</v>
      </c>
      <c r="T2200" s="14">
        <f>IFERROR(__xludf.DUMMYFUNCTION("""COMPUTED_VALUE"""),0.206)</f>
        <v>0.206</v>
      </c>
      <c r="U2200" s="14">
        <f>IFERROR(__xludf.DUMMYFUNCTION("""COMPUTED_VALUE"""),0.717)</f>
        <v>0.717</v>
      </c>
      <c r="V2200" s="14">
        <f>IFERROR(__xludf.DUMMYFUNCTION("""COMPUTED_VALUE"""),0.077)</f>
        <v>0.077</v>
      </c>
      <c r="W2200" s="14">
        <f>IFERROR(__xludf.DUMMYFUNCTION("""COMPUTED_VALUE"""),4.7357362E7)</f>
        <v>47357362</v>
      </c>
      <c r="X2200" s="14">
        <f>IFERROR(__xludf.DUMMYFUNCTION("""COMPUTED_VALUE"""),0.799)</f>
        <v>0.799</v>
      </c>
      <c r="Y2200" s="14" t="str">
        <f>IFERROR(__xludf.DUMMYFUNCTION("""COMPUTED_VALUE"""),"South Korea-Asia")</f>
        <v>South Korea-Asia</v>
      </c>
      <c r="Z2200" s="14" t="str">
        <f>IFERROR(__xludf.DUMMYFUNCTION("""COMPUTED_VALUE"""),"Asia")</f>
        <v>Asia</v>
      </c>
      <c r="AA2200" s="14" t="str">
        <f>IFERROR(__xludf.DUMMYFUNCTION("""COMPUTED_VALUE"""),"2001")</f>
        <v>2001</v>
      </c>
      <c r="AB2200" s="15" t="str">
        <f>IFERROR(__xludf.DUMMYFUNCTION("ARRAYFORMULA(VLOOKUP(A2200,IMPORTRANGE(""https://docs.google.com/spreadsheets/d/1BuTWp7qHGjWhqrnf-OmePP568O4A5Am9ttzvVdP67zw/edit#gid=1931367683"" ,""ENERGY!$A$2:$F$2692""), {2,3,4,5,6},0))"),"Asia")</f>
        <v>Asia</v>
      </c>
      <c r="AC2200" s="14" t="str">
        <f>IFERROR(__xludf.DUMMYFUNCTION("""COMPUTED_VALUE"""),"South Korea-Asia")</f>
        <v>South Korea-Asia</v>
      </c>
      <c r="AD2200" s="14" t="str">
        <f>IFERROR(__xludf.DUMMYFUNCTION("""COMPUTED_VALUE"""),"2001")</f>
        <v>2001</v>
      </c>
      <c r="AE2200" s="14">
        <f>IFERROR(__xludf.DUMMYFUNCTION("""COMPUTED_VALUE"""),260440.0)</f>
        <v>260440</v>
      </c>
      <c r="AF2200" s="14"/>
    </row>
    <row r="2201">
      <c r="A2201" s="12">
        <v>2200.0</v>
      </c>
      <c r="B2201" s="12" t="s">
        <v>248</v>
      </c>
      <c r="C2201" s="5" t="s">
        <v>61</v>
      </c>
      <c r="D2201" s="8"/>
      <c r="E2201" s="8"/>
      <c r="F2201" s="8"/>
      <c r="G2201" s="8"/>
      <c r="H2201" s="11">
        <v>0.594</v>
      </c>
      <c r="I2201" s="11">
        <v>0.697</v>
      </c>
      <c r="J2201" s="9" t="s">
        <v>63</v>
      </c>
      <c r="K2201" s="14" t="str">
        <f>IFERROR(__xludf.DUMMYFUNCTION("ARRAYFORMULA(VLOOKUP(A2201,IMPORTRANGE(""https://docs.google.com/spreadsheets/d/1BuTWp7qHGjWhqrnf-OmePP568O4A5Am9ttzvVdP67zw/edit#gid=1603210130"", ""TOURISM!$A$2:$F$2692""), {2,3,4,5,6},0))"),"Asia")</f>
        <v>Asia</v>
      </c>
      <c r="L2201" s="14">
        <f>IFERROR(__xludf.DUMMYFUNCTION("""COMPUTED_VALUE"""),7.621E9)</f>
        <v>7621000000</v>
      </c>
      <c r="M2201" s="14" t="str">
        <f>IFERROR(__xludf.DUMMYFUNCTION("""COMPUTED_VALUE"""),"South Korea-Asia")</f>
        <v>South Korea-Asia</v>
      </c>
      <c r="N2201" s="14" t="str">
        <f>IFERROR(__xludf.DUMMYFUNCTION("""COMPUTED_VALUE"""),"2002")</f>
        <v>2002</v>
      </c>
      <c r="O2201" s="14">
        <f>IFERROR(__xludf.DUMMYFUNCTION("""COMPUTED_VALUE"""),1.144E10)</f>
        <v>11440000000</v>
      </c>
      <c r="P2201" s="15">
        <f>IFERROR(__xludf.DUMMYFUNCTION("ARRAYFORMULA(VLOOKUP(A2201,IMPORTRANGE(""https://docs.google.com/spreadsheets/d/1BuTWp7qHGjWhqrnf-OmePP568O4A5Am9ttzvVdP67zw/edit#gid=771602874"" ,""HUMAN RESOURCES!$A$2:$M$2692""), {2,3,4,5,6,7,8,9,10,11,12,13},0))"),0.01)</f>
        <v>0.01</v>
      </c>
      <c r="Q2201" s="14">
        <f>IFERROR(__xludf.DUMMYFUNCTION("""COMPUTED_VALUE"""),0.006)</f>
        <v>0.006</v>
      </c>
      <c r="R2201" s="14">
        <f>IFERROR(__xludf.DUMMYFUNCTION("""COMPUTED_VALUE"""),80.0)</f>
        <v>80</v>
      </c>
      <c r="S2201" s="14">
        <f>IFERROR(__xludf.DUMMYFUNCTION("""COMPUTED_VALUE"""),73.0)</f>
        <v>73</v>
      </c>
      <c r="T2201" s="14">
        <f>IFERROR(__xludf.DUMMYFUNCTION("""COMPUTED_VALUE"""),0.203)</f>
        <v>0.203</v>
      </c>
      <c r="U2201" s="14">
        <f>IFERROR(__xludf.DUMMYFUNCTION("""COMPUTED_VALUE"""),0.716)</f>
        <v>0.716</v>
      </c>
      <c r="V2201" s="14">
        <f>IFERROR(__xludf.DUMMYFUNCTION("""COMPUTED_VALUE"""),0.081)</f>
        <v>0.081</v>
      </c>
      <c r="W2201" s="14">
        <f>IFERROR(__xludf.DUMMYFUNCTION("""COMPUTED_VALUE"""),4.7622179E7)</f>
        <v>47622179</v>
      </c>
      <c r="X2201" s="14">
        <f>IFERROR(__xludf.DUMMYFUNCTION("""COMPUTED_VALUE"""),0.803)</f>
        <v>0.803</v>
      </c>
      <c r="Y2201" s="14" t="str">
        <f>IFERROR(__xludf.DUMMYFUNCTION("""COMPUTED_VALUE"""),"South Korea-Asia")</f>
        <v>South Korea-Asia</v>
      </c>
      <c r="Z2201" s="14" t="str">
        <f>IFERROR(__xludf.DUMMYFUNCTION("""COMPUTED_VALUE"""),"Asia")</f>
        <v>Asia</v>
      </c>
      <c r="AA2201" s="14" t="str">
        <f>IFERROR(__xludf.DUMMYFUNCTION("""COMPUTED_VALUE"""),"2002")</f>
        <v>2002</v>
      </c>
      <c r="AB2201" s="15" t="str">
        <f>IFERROR(__xludf.DUMMYFUNCTION("ARRAYFORMULA(VLOOKUP(A2201,IMPORTRANGE(""https://docs.google.com/spreadsheets/d/1BuTWp7qHGjWhqrnf-OmePP568O4A5Am9ttzvVdP67zw/edit#gid=1931367683"" ,""ENERGY!$A$2:$F$2692""), {2,3,4,5,6},0))"),"Asia")</f>
        <v>Asia</v>
      </c>
      <c r="AC2201" s="14" t="str">
        <f>IFERROR(__xludf.DUMMYFUNCTION("""COMPUTED_VALUE"""),"South Korea-Asia")</f>
        <v>South Korea-Asia</v>
      </c>
      <c r="AD2201" s="14" t="str">
        <f>IFERROR(__xludf.DUMMYFUNCTION("""COMPUTED_VALUE"""),"2002")</f>
        <v>2002</v>
      </c>
      <c r="AE2201" s="14">
        <f>IFERROR(__xludf.DUMMYFUNCTION("""COMPUTED_VALUE"""),249964.0)</f>
        <v>249964</v>
      </c>
      <c r="AF2201" s="14">
        <f>IFERROR(__xludf.DUMMYFUNCTION("""COMPUTED_VALUE"""),567567.0)</f>
        <v>567567</v>
      </c>
    </row>
    <row r="2202">
      <c r="A2202" s="12">
        <v>2201.0</v>
      </c>
      <c r="B2202" s="12" t="s">
        <v>248</v>
      </c>
      <c r="C2202" s="5" t="s">
        <v>61</v>
      </c>
      <c r="D2202" s="8"/>
      <c r="E2202" s="11">
        <v>17.0</v>
      </c>
      <c r="F2202" s="8"/>
      <c r="G2202" s="8"/>
      <c r="H2202" s="11">
        <v>0.655</v>
      </c>
      <c r="I2202" s="11">
        <v>0.721</v>
      </c>
      <c r="J2202" s="9" t="s">
        <v>64</v>
      </c>
      <c r="K2202" s="14" t="str">
        <f>IFERROR(__xludf.DUMMYFUNCTION("ARRAYFORMULA(VLOOKUP(A2202,IMPORTRANGE(""https://docs.google.com/spreadsheets/d/1BuTWp7qHGjWhqrnf-OmePP568O4A5Am9ttzvVdP67zw/edit#gid=1603210130"", ""TOURISM!$A$2:$F$2692""), {2,3,4,5,6},0))"),"Asia")</f>
        <v>Asia</v>
      </c>
      <c r="L2202" s="14">
        <f>IFERROR(__xludf.DUMMYFUNCTION("""COMPUTED_VALUE"""),7.005E9)</f>
        <v>7005000000</v>
      </c>
      <c r="M2202" s="14" t="str">
        <f>IFERROR(__xludf.DUMMYFUNCTION("""COMPUTED_VALUE"""),"South Korea-Asia")</f>
        <v>South Korea-Asia</v>
      </c>
      <c r="N2202" s="14" t="str">
        <f>IFERROR(__xludf.DUMMYFUNCTION("""COMPUTED_VALUE"""),"2003")</f>
        <v>2003</v>
      </c>
      <c r="O2202" s="14">
        <f>IFERROR(__xludf.DUMMYFUNCTION("""COMPUTED_VALUE"""),1.1063E10)</f>
        <v>11063000000</v>
      </c>
      <c r="P2202" s="15">
        <f>IFERROR(__xludf.DUMMYFUNCTION("ARRAYFORMULA(VLOOKUP(A2202,IMPORTRANGE(""https://docs.google.com/spreadsheets/d/1BuTWp7qHGjWhqrnf-OmePP568O4A5Am9ttzvVdP67zw/edit#gid=771602874"" ,""HUMAN RESOURCES!$A$2:$M$2692""), {2,3,4,5,6,7,8,9,10,11,12,13},0))"),0.01)</f>
        <v>0.01</v>
      </c>
      <c r="Q2202" s="14">
        <f>IFERROR(__xludf.DUMMYFUNCTION("""COMPUTED_VALUE"""),0.005)</f>
        <v>0.005</v>
      </c>
      <c r="R2202" s="14">
        <f>IFERROR(__xludf.DUMMYFUNCTION("""COMPUTED_VALUE"""),81.0)</f>
        <v>81</v>
      </c>
      <c r="S2202" s="14">
        <f>IFERROR(__xludf.DUMMYFUNCTION("""COMPUTED_VALUE"""),74.0)</f>
        <v>74</v>
      </c>
      <c r="T2202" s="14">
        <f>IFERROR(__xludf.DUMMYFUNCTION("""COMPUTED_VALUE"""),0.199)</f>
        <v>0.199</v>
      </c>
      <c r="U2202" s="14">
        <f>IFERROR(__xludf.DUMMYFUNCTION("""COMPUTED_VALUE"""),0.716)</f>
        <v>0.716</v>
      </c>
      <c r="V2202" s="14">
        <f>IFERROR(__xludf.DUMMYFUNCTION("""COMPUTED_VALUE"""),0.085)</f>
        <v>0.085</v>
      </c>
      <c r="W2202" s="14">
        <f>IFERROR(__xludf.DUMMYFUNCTION("""COMPUTED_VALUE"""),4.7859311E7)</f>
        <v>47859311</v>
      </c>
      <c r="X2202" s="14">
        <f>IFERROR(__xludf.DUMMYFUNCTION("""COMPUTED_VALUE"""),0.807)</f>
        <v>0.807</v>
      </c>
      <c r="Y2202" s="14" t="str">
        <f>IFERROR(__xludf.DUMMYFUNCTION("""COMPUTED_VALUE"""),"South Korea-Asia")</f>
        <v>South Korea-Asia</v>
      </c>
      <c r="Z2202" s="14" t="str">
        <f>IFERROR(__xludf.DUMMYFUNCTION("""COMPUTED_VALUE"""),"Asia")</f>
        <v>Asia</v>
      </c>
      <c r="AA2202" s="14" t="str">
        <f>IFERROR(__xludf.DUMMYFUNCTION("""COMPUTED_VALUE"""),"2003")</f>
        <v>2003</v>
      </c>
      <c r="AB2202" s="15" t="str">
        <f>IFERROR(__xludf.DUMMYFUNCTION("ARRAYFORMULA(VLOOKUP(A2202,IMPORTRANGE(""https://docs.google.com/spreadsheets/d/1BuTWp7qHGjWhqrnf-OmePP568O4A5Am9ttzvVdP67zw/edit#gid=1931367683"" ,""ENERGY!$A$2:$F$2692""), {2,3,4,5,6},0))"),"Asia")</f>
        <v>Asia</v>
      </c>
      <c r="AC2202" s="14" t="str">
        <f>IFERROR(__xludf.DUMMYFUNCTION("""COMPUTED_VALUE"""),"South Korea-Asia")</f>
        <v>South Korea-Asia</v>
      </c>
      <c r="AD2202" s="14" t="str">
        <f>IFERROR(__xludf.DUMMYFUNCTION("""COMPUTED_VALUE"""),"2003")</f>
        <v>2003</v>
      </c>
      <c r="AE2202" s="14">
        <f>IFERROR(__xludf.DUMMYFUNCTION("""COMPUTED_VALUE"""),229178.0)</f>
        <v>229178</v>
      </c>
      <c r="AF2202" s="14">
        <f>IFERROR(__xludf.DUMMYFUNCTION("""COMPUTED_VALUE"""),509376.0)</f>
        <v>509376</v>
      </c>
    </row>
    <row r="2203">
      <c r="A2203" s="12">
        <v>2202.0</v>
      </c>
      <c r="B2203" s="12" t="s">
        <v>248</v>
      </c>
      <c r="C2203" s="5" t="s">
        <v>61</v>
      </c>
      <c r="D2203" s="8"/>
      <c r="E2203" s="11">
        <v>17.0</v>
      </c>
      <c r="F2203" s="8"/>
      <c r="G2203" s="8"/>
      <c r="H2203" s="11">
        <v>0.727</v>
      </c>
      <c r="I2203" s="11">
        <v>0.782</v>
      </c>
      <c r="J2203" s="9" t="s">
        <v>65</v>
      </c>
      <c r="K2203" s="14" t="str">
        <f>IFERROR(__xludf.DUMMYFUNCTION("ARRAYFORMULA(VLOOKUP(A2203,IMPORTRANGE(""https://docs.google.com/spreadsheets/d/1BuTWp7qHGjWhqrnf-OmePP568O4A5Am9ttzvVdP67zw/edit#gid=1603210130"", ""TOURISM!$A$2:$F$2692""), {2,3,4,5,6},0))"),"Asia")</f>
        <v>Asia</v>
      </c>
      <c r="L2203" s="14">
        <f>IFERROR(__xludf.DUMMYFUNCTION("""COMPUTED_VALUE"""),8.226E9)</f>
        <v>8226000000</v>
      </c>
      <c r="M2203" s="14" t="str">
        <f>IFERROR(__xludf.DUMMYFUNCTION("""COMPUTED_VALUE"""),"South Korea-Asia")</f>
        <v>South Korea-Asia</v>
      </c>
      <c r="N2203" s="14" t="str">
        <f>IFERROR(__xludf.DUMMYFUNCTION("""COMPUTED_VALUE"""),"2004")</f>
        <v>2004</v>
      </c>
      <c r="O2203" s="14">
        <f>IFERROR(__xludf.DUMMYFUNCTION("""COMPUTED_VALUE"""),1.3507E10)</f>
        <v>13507000000</v>
      </c>
      <c r="P2203" s="15">
        <f>IFERROR(__xludf.DUMMYFUNCTION("ARRAYFORMULA(VLOOKUP(A2203,IMPORTRANGE(""https://docs.google.com/spreadsheets/d/1BuTWp7qHGjWhqrnf-OmePP568O4A5Am9ttzvVdP67zw/edit#gid=771602874"" ,""HUMAN RESOURCES!$A$2:$M$2692""), {2,3,4,5,6,7,8,9,10,11,12,13},0))"),0.01)</f>
        <v>0.01</v>
      </c>
      <c r="Q2203" s="14">
        <f>IFERROR(__xludf.DUMMYFUNCTION("""COMPUTED_VALUE"""),0.005)</f>
        <v>0.005</v>
      </c>
      <c r="R2203" s="14">
        <f>IFERROR(__xludf.DUMMYFUNCTION("""COMPUTED_VALUE"""),81.0)</f>
        <v>81</v>
      </c>
      <c r="S2203" s="14">
        <f>IFERROR(__xludf.DUMMYFUNCTION("""COMPUTED_VALUE"""),75.0)</f>
        <v>75</v>
      </c>
      <c r="T2203" s="14">
        <f>IFERROR(__xludf.DUMMYFUNCTION("""COMPUTED_VALUE"""),0.196)</f>
        <v>0.196</v>
      </c>
      <c r="U2203" s="14">
        <f>IFERROR(__xludf.DUMMYFUNCTION("""COMPUTED_VALUE"""),0.716)</f>
        <v>0.716</v>
      </c>
      <c r="V2203" s="14">
        <f>IFERROR(__xludf.DUMMYFUNCTION("""COMPUTED_VALUE"""),0.089)</f>
        <v>0.089</v>
      </c>
      <c r="W2203" s="14">
        <f>IFERROR(__xludf.DUMMYFUNCTION("""COMPUTED_VALUE"""),4.8039415E7)</f>
        <v>48039415</v>
      </c>
      <c r="X2203" s="14">
        <f>IFERROR(__xludf.DUMMYFUNCTION("""COMPUTED_VALUE"""),0.81)</f>
        <v>0.81</v>
      </c>
      <c r="Y2203" s="14" t="str">
        <f>IFERROR(__xludf.DUMMYFUNCTION("""COMPUTED_VALUE"""),"South Korea-Asia")</f>
        <v>South Korea-Asia</v>
      </c>
      <c r="Z2203" s="14" t="str">
        <f>IFERROR(__xludf.DUMMYFUNCTION("""COMPUTED_VALUE"""),"Asia")</f>
        <v>Asia</v>
      </c>
      <c r="AA2203" s="14" t="str">
        <f>IFERROR(__xludf.DUMMYFUNCTION("""COMPUTED_VALUE"""),"2004")</f>
        <v>2004</v>
      </c>
      <c r="AB2203" s="15" t="str">
        <f>IFERROR(__xludf.DUMMYFUNCTION("ARRAYFORMULA(VLOOKUP(A2203,IMPORTRANGE(""https://docs.google.com/spreadsheets/d/1BuTWp7qHGjWhqrnf-OmePP568O4A5Am9ttzvVdP67zw/edit#gid=1931367683"" ,""ENERGY!$A$2:$F$2692""), {2,3,4,5,6},0))"),"Asia")</f>
        <v>Asia</v>
      </c>
      <c r="AC2203" s="14" t="str">
        <f>IFERROR(__xludf.DUMMYFUNCTION("""COMPUTED_VALUE"""),"South Korea-Asia")</f>
        <v>South Korea-Asia</v>
      </c>
      <c r="AD2203" s="14" t="str">
        <f>IFERROR(__xludf.DUMMYFUNCTION("""COMPUTED_VALUE"""),"2004")</f>
        <v>2004</v>
      </c>
      <c r="AE2203" s="14">
        <f>IFERROR(__xludf.DUMMYFUNCTION("""COMPUTED_VALUE"""),226946.0)</f>
        <v>226946</v>
      </c>
      <c r="AF2203" s="14">
        <f>IFERROR(__xludf.DUMMYFUNCTION("""COMPUTED_VALUE"""),508052.0)</f>
        <v>508052</v>
      </c>
    </row>
    <row r="2204">
      <c r="A2204" s="12">
        <v>2203.0</v>
      </c>
      <c r="B2204" s="12" t="s">
        <v>248</v>
      </c>
      <c r="C2204" s="5" t="s">
        <v>61</v>
      </c>
      <c r="D2204" s="11">
        <v>0.354</v>
      </c>
      <c r="E2204" s="11">
        <v>17.0</v>
      </c>
      <c r="F2204" s="8"/>
      <c r="G2204" s="11">
        <v>290.0</v>
      </c>
      <c r="H2204" s="11">
        <v>0.735</v>
      </c>
      <c r="I2204" s="11">
        <v>0.815</v>
      </c>
      <c r="J2204" s="9" t="s">
        <v>66</v>
      </c>
      <c r="K2204" s="14" t="str">
        <f>IFERROR(__xludf.DUMMYFUNCTION("ARRAYFORMULA(VLOOKUP(A2204,IMPORTRANGE(""https://docs.google.com/spreadsheets/d/1BuTWp7qHGjWhqrnf-OmePP568O4A5Am9ttzvVdP67zw/edit#gid=1603210130"", ""TOURISM!$A$2:$F$2692""), {2,3,4,5,6},0))"),"Asia")</f>
        <v>Asia</v>
      </c>
      <c r="L2204" s="14">
        <f>IFERROR(__xludf.DUMMYFUNCTION("""COMPUTED_VALUE"""),8.29E9)</f>
        <v>8290000000</v>
      </c>
      <c r="M2204" s="14" t="str">
        <f>IFERROR(__xludf.DUMMYFUNCTION("""COMPUTED_VALUE"""),"South Korea-Asia")</f>
        <v>South Korea-Asia</v>
      </c>
      <c r="N2204" s="14" t="str">
        <f>IFERROR(__xludf.DUMMYFUNCTION("""COMPUTED_VALUE"""),"2005")</f>
        <v>2005</v>
      </c>
      <c r="O2204" s="14">
        <f>IFERROR(__xludf.DUMMYFUNCTION("""COMPUTED_VALUE"""),1.6924E10)</f>
        <v>16924000000</v>
      </c>
      <c r="P2204" s="15">
        <f>IFERROR(__xludf.DUMMYFUNCTION("ARRAYFORMULA(VLOOKUP(A2204,IMPORTRANGE(""https://docs.google.com/spreadsheets/d/1BuTWp7qHGjWhqrnf-OmePP568O4A5Am9ttzvVdP67zw/edit#gid=771602874"" ,""HUMAN RESOURCES!$A$2:$M$2692""), {2,3,4,5,6,7,8,9,10,11,12,13},0))"),0.009)</f>
        <v>0.009</v>
      </c>
      <c r="Q2204" s="14">
        <f>IFERROR(__xludf.DUMMYFUNCTION("""COMPUTED_VALUE"""),0.005)</f>
        <v>0.005</v>
      </c>
      <c r="R2204" s="14">
        <f>IFERROR(__xludf.DUMMYFUNCTION("""COMPUTED_VALUE"""),82.0)</f>
        <v>82</v>
      </c>
      <c r="S2204" s="14">
        <f>IFERROR(__xludf.DUMMYFUNCTION("""COMPUTED_VALUE"""),75.0)</f>
        <v>75</v>
      </c>
      <c r="T2204" s="14">
        <f>IFERROR(__xludf.DUMMYFUNCTION("""COMPUTED_VALUE"""),0.191)</f>
        <v>0.191</v>
      </c>
      <c r="U2204" s="14">
        <f>IFERROR(__xludf.DUMMYFUNCTION("""COMPUTED_VALUE"""),0.716)</f>
        <v>0.716</v>
      </c>
      <c r="V2204" s="14">
        <f>IFERROR(__xludf.DUMMYFUNCTION("""COMPUTED_VALUE"""),0.093)</f>
        <v>0.093</v>
      </c>
      <c r="W2204" s="14">
        <f>IFERROR(__xludf.DUMMYFUNCTION("""COMPUTED_VALUE"""),4.8138077E7)</f>
        <v>48138077</v>
      </c>
      <c r="X2204" s="14">
        <f>IFERROR(__xludf.DUMMYFUNCTION("""COMPUTED_VALUE"""),0.813)</f>
        <v>0.813</v>
      </c>
      <c r="Y2204" s="14" t="str">
        <f>IFERROR(__xludf.DUMMYFUNCTION("""COMPUTED_VALUE"""),"South Korea-Asia")</f>
        <v>South Korea-Asia</v>
      </c>
      <c r="Z2204" s="14" t="str">
        <f>IFERROR(__xludf.DUMMYFUNCTION("""COMPUTED_VALUE"""),"Asia")</f>
        <v>Asia</v>
      </c>
      <c r="AA2204" s="14" t="str">
        <f>IFERROR(__xludf.DUMMYFUNCTION("""COMPUTED_VALUE"""),"2005")</f>
        <v>2005</v>
      </c>
      <c r="AB2204" s="15" t="str">
        <f>IFERROR(__xludf.DUMMYFUNCTION("ARRAYFORMULA(VLOOKUP(A2204,IMPORTRANGE(""https://docs.google.com/spreadsheets/d/1BuTWp7qHGjWhqrnf-OmePP568O4A5Am9ttzvVdP67zw/edit#gid=1931367683"" ,""ENERGY!$A$2:$F$2692""), {2,3,4,5,6},0))"),"Asia")</f>
        <v>Asia</v>
      </c>
      <c r="AC2204" s="14" t="str">
        <f>IFERROR(__xludf.DUMMYFUNCTION("""COMPUTED_VALUE"""),"South Korea-Asia")</f>
        <v>South Korea-Asia</v>
      </c>
      <c r="AD2204" s="14" t="str">
        <f>IFERROR(__xludf.DUMMYFUNCTION("""COMPUTED_VALUE"""),"2008")</f>
        <v>2008</v>
      </c>
      <c r="AE2204" s="14">
        <f>IFERROR(__xludf.DUMMYFUNCTION("""COMPUTED_VALUE"""),222147.0)</f>
        <v>222147</v>
      </c>
      <c r="AF2204" s="14">
        <f>IFERROR(__xludf.DUMMYFUNCTION("""COMPUTED_VALUE"""),495837.0)</f>
        <v>495837</v>
      </c>
    </row>
    <row r="2205">
      <c r="A2205" s="12">
        <v>2204.0</v>
      </c>
      <c r="B2205" s="12" t="s">
        <v>248</v>
      </c>
      <c r="C2205" s="5" t="s">
        <v>61</v>
      </c>
      <c r="D2205" s="11">
        <v>0.311</v>
      </c>
      <c r="E2205" s="11">
        <v>17.0</v>
      </c>
      <c r="F2205" s="8"/>
      <c r="G2205" s="11">
        <v>290.0</v>
      </c>
      <c r="H2205" s="11">
        <v>0.781</v>
      </c>
      <c r="I2205" s="11">
        <v>0.85</v>
      </c>
      <c r="J2205" s="9" t="s">
        <v>67</v>
      </c>
      <c r="K2205" s="14" t="str">
        <f>IFERROR(__xludf.DUMMYFUNCTION("ARRAYFORMULA(VLOOKUP(A2205,IMPORTRANGE(""https://docs.google.com/spreadsheets/d/1BuTWp7qHGjWhqrnf-OmePP568O4A5Am9ttzvVdP67zw/edit#gid=1603210130"", ""TOURISM!$A$2:$F$2692""), {2,3,4,5,6},0))"),"Asia")</f>
        <v>Asia</v>
      </c>
      <c r="L2205" s="14">
        <f>IFERROR(__xludf.DUMMYFUNCTION("""COMPUTED_VALUE"""),8.508E9)</f>
        <v>8508000000</v>
      </c>
      <c r="M2205" s="14" t="str">
        <f>IFERROR(__xludf.DUMMYFUNCTION("""COMPUTED_VALUE"""),"South Korea-Asia")</f>
        <v>South Korea-Asia</v>
      </c>
      <c r="N2205" s="14" t="str">
        <f>IFERROR(__xludf.DUMMYFUNCTION("""COMPUTED_VALUE"""),"2006")</f>
        <v>2006</v>
      </c>
      <c r="O2205" s="14">
        <f>IFERROR(__xludf.DUMMYFUNCTION("""COMPUTED_VALUE"""),2.0989E10)</f>
        <v>20989000000</v>
      </c>
      <c r="P2205" s="15">
        <f>IFERROR(__xludf.DUMMYFUNCTION("ARRAYFORMULA(VLOOKUP(A2205,IMPORTRANGE(""https://docs.google.com/spreadsheets/d/1BuTWp7qHGjWhqrnf-OmePP568O4A5Am9ttzvVdP67zw/edit#gid=771602874"" ,""HUMAN RESOURCES!$A$2:$M$2692""), {2,3,4,5,6,7,8,9,10,11,12,13},0))"),0.009)</f>
        <v>0.009</v>
      </c>
      <c r="Q2205" s="14">
        <f>IFERROR(__xludf.DUMMYFUNCTION("""COMPUTED_VALUE"""),0.005)</f>
        <v>0.005</v>
      </c>
      <c r="R2205" s="14">
        <f>IFERROR(__xludf.DUMMYFUNCTION("""COMPUTED_VALUE"""),82.0)</f>
        <v>82</v>
      </c>
      <c r="S2205" s="14">
        <f>IFERROR(__xludf.DUMMYFUNCTION("""COMPUTED_VALUE"""),76.0)</f>
        <v>76</v>
      </c>
      <c r="T2205" s="14">
        <f>IFERROR(__xludf.DUMMYFUNCTION("""COMPUTED_VALUE"""),0.186)</f>
        <v>0.186</v>
      </c>
      <c r="U2205" s="14">
        <f>IFERROR(__xludf.DUMMYFUNCTION("""COMPUTED_VALUE"""),0.718)</f>
        <v>0.718</v>
      </c>
      <c r="V2205" s="14">
        <f>IFERROR(__xludf.DUMMYFUNCTION("""COMPUTED_VALUE"""),0.097)</f>
        <v>0.097</v>
      </c>
      <c r="W2205" s="14">
        <f>IFERROR(__xludf.DUMMYFUNCTION("""COMPUTED_VALUE"""),4.8371946E7)</f>
        <v>48371946</v>
      </c>
      <c r="X2205" s="14">
        <f>IFERROR(__xludf.DUMMYFUNCTION("""COMPUTED_VALUE"""),0.815)</f>
        <v>0.815</v>
      </c>
      <c r="Y2205" s="14" t="str">
        <f>IFERROR(__xludf.DUMMYFUNCTION("""COMPUTED_VALUE"""),"South Korea-Asia")</f>
        <v>South Korea-Asia</v>
      </c>
      <c r="Z2205" s="14" t="str">
        <f>IFERROR(__xludf.DUMMYFUNCTION("""COMPUTED_VALUE"""),"Asia")</f>
        <v>Asia</v>
      </c>
      <c r="AA2205" s="14" t="str">
        <f>IFERROR(__xludf.DUMMYFUNCTION("""COMPUTED_VALUE"""),"2006")</f>
        <v>2006</v>
      </c>
      <c r="AB2205" s="15" t="str">
        <f>IFERROR(__xludf.DUMMYFUNCTION("ARRAYFORMULA(VLOOKUP(A2205,IMPORTRANGE(""https://docs.google.com/spreadsheets/d/1BuTWp7qHGjWhqrnf-OmePP568O4A5Am9ttzvVdP67zw/edit#gid=1931367683"" ,""ENERGY!$A$2:$F$2692""), {2,3,4,5,6},0))"),"Asia")</f>
        <v>Asia</v>
      </c>
      <c r="AC2205" s="14" t="str">
        <f>IFERROR(__xludf.DUMMYFUNCTION("""COMPUTED_VALUE"""),"South Korea-Asia")</f>
        <v>South Korea-Asia</v>
      </c>
      <c r="AD2205" s="14" t="str">
        <f>IFERROR(__xludf.DUMMYFUNCTION("""COMPUTED_VALUE"""),"2012")</f>
        <v>2012</v>
      </c>
      <c r="AE2205" s="14">
        <f>IFERROR(__xludf.DUMMYFUNCTION("""COMPUTED_VALUE"""),213600.0)</f>
        <v>213600</v>
      </c>
      <c r="AF2205" s="14">
        <f>IFERROR(__xludf.DUMMYFUNCTION("""COMPUTED_VALUE"""),470806.0)</f>
        <v>470806</v>
      </c>
    </row>
    <row r="2206">
      <c r="A2206" s="12">
        <v>2205.0</v>
      </c>
      <c r="B2206" s="12" t="s">
        <v>248</v>
      </c>
      <c r="C2206" s="5" t="s">
        <v>61</v>
      </c>
      <c r="D2206" s="11">
        <v>0.302</v>
      </c>
      <c r="E2206" s="11">
        <v>17.0</v>
      </c>
      <c r="F2206" s="8"/>
      <c r="G2206" s="11">
        <v>290.0</v>
      </c>
      <c r="H2206" s="11">
        <v>0.788</v>
      </c>
      <c r="I2206" s="11">
        <v>0.933</v>
      </c>
      <c r="J2206" s="9" t="s">
        <v>68</v>
      </c>
      <c r="K2206" s="14" t="str">
        <f>IFERROR(__xludf.DUMMYFUNCTION("ARRAYFORMULA(VLOOKUP(A2206,IMPORTRANGE(""https://docs.google.com/spreadsheets/d/1BuTWp7qHGjWhqrnf-OmePP568O4A5Am9ttzvVdP67zw/edit#gid=1603210130"", ""TOURISM!$A$2:$F$2692""), {2,3,4,5,6},0))"),"Asia")</f>
        <v>Asia</v>
      </c>
      <c r="L2206" s="14">
        <f>IFERROR(__xludf.DUMMYFUNCTION("""COMPUTED_VALUE"""),9.288E9)</f>
        <v>9288000000</v>
      </c>
      <c r="M2206" s="14" t="str">
        <f>IFERROR(__xludf.DUMMYFUNCTION("""COMPUTED_VALUE"""),"South Korea-Asia")</f>
        <v>South Korea-Asia</v>
      </c>
      <c r="N2206" s="14" t="str">
        <f>IFERROR(__xludf.DUMMYFUNCTION("""COMPUTED_VALUE"""),"2007")</f>
        <v>2007</v>
      </c>
      <c r="O2206" s="14">
        <f>IFERROR(__xludf.DUMMYFUNCTION("""COMPUTED_VALUE"""),2.4449E10)</f>
        <v>24449000000</v>
      </c>
      <c r="P2206" s="15">
        <f>IFERROR(__xludf.DUMMYFUNCTION("ARRAYFORMULA(VLOOKUP(A2206,IMPORTRANGE(""https://docs.google.com/spreadsheets/d/1BuTWp7qHGjWhqrnf-OmePP568O4A5Am9ttzvVdP67zw/edit#gid=771602874"" ,""HUMAN RESOURCES!$A$2:$M$2692""), {2,3,4,5,6,7,8,9,10,11,12,13},0))"),0.01)</f>
        <v>0.01</v>
      </c>
      <c r="Q2206" s="14">
        <f>IFERROR(__xludf.DUMMYFUNCTION("""COMPUTED_VALUE"""),0.004)</f>
        <v>0.004</v>
      </c>
      <c r="R2206" s="14">
        <f>IFERROR(__xludf.DUMMYFUNCTION("""COMPUTED_VALUE"""),83.0)</f>
        <v>83</v>
      </c>
      <c r="S2206" s="14">
        <f>IFERROR(__xludf.DUMMYFUNCTION("""COMPUTED_VALUE"""),76.0)</f>
        <v>76</v>
      </c>
      <c r="T2206" s="14">
        <f>IFERROR(__xludf.DUMMYFUNCTION("""COMPUTED_VALUE"""),0.18)</f>
        <v>0.18</v>
      </c>
      <c r="U2206" s="14">
        <f>IFERROR(__xludf.DUMMYFUNCTION("""COMPUTED_VALUE"""),0.72)</f>
        <v>0.72</v>
      </c>
      <c r="V2206" s="14">
        <f>IFERROR(__xludf.DUMMYFUNCTION("""COMPUTED_VALUE"""),0.1)</f>
        <v>0.1</v>
      </c>
      <c r="W2206" s="14">
        <f>IFERROR(__xludf.DUMMYFUNCTION("""COMPUTED_VALUE"""),4.8597652E7)</f>
        <v>48597652</v>
      </c>
      <c r="X2206" s="14">
        <f>IFERROR(__xludf.DUMMYFUNCTION("""COMPUTED_VALUE"""),0.816)</f>
        <v>0.816</v>
      </c>
      <c r="Y2206" s="14" t="str">
        <f>IFERROR(__xludf.DUMMYFUNCTION("""COMPUTED_VALUE"""),"South Korea-Asia")</f>
        <v>South Korea-Asia</v>
      </c>
      <c r="Z2206" s="14" t="str">
        <f>IFERROR(__xludf.DUMMYFUNCTION("""COMPUTED_VALUE"""),"Asia")</f>
        <v>Asia</v>
      </c>
      <c r="AA2206" s="14" t="str">
        <f>IFERROR(__xludf.DUMMYFUNCTION("""COMPUTED_VALUE"""),"2007")</f>
        <v>2007</v>
      </c>
      <c r="AB2206" s="15" t="str">
        <f>IFERROR(__xludf.DUMMYFUNCTION("ARRAYFORMULA(VLOOKUP(A2206,IMPORTRANGE(""https://docs.google.com/spreadsheets/d/1BuTWp7qHGjWhqrnf-OmePP568O4A5Am9ttzvVdP67zw/edit#gid=1931367683"" ,""ENERGY!$A$2:$F$2692""), {2,3,4,5,6},0))"),"Asia")</f>
        <v>Asia</v>
      </c>
      <c r="AC2206" s="14" t="str">
        <f>IFERROR(__xludf.DUMMYFUNCTION("""COMPUTED_VALUE"""),"South Korea-Asia")</f>
        <v>South Korea-Asia</v>
      </c>
      <c r="AD2206" s="14" t="str">
        <f>IFERROR(__xludf.DUMMYFUNCTION("""COMPUTED_VALUE"""),"2010")</f>
        <v>2010</v>
      </c>
      <c r="AE2206" s="14">
        <f>IFERROR(__xludf.DUMMYFUNCTION("""COMPUTED_VALUE"""),210176.0)</f>
        <v>210176</v>
      </c>
      <c r="AF2206" s="14">
        <f>IFERROR(__xludf.DUMMYFUNCTION("""COMPUTED_VALUE"""),462918.0)</f>
        <v>462918</v>
      </c>
    </row>
    <row r="2207">
      <c r="A2207" s="12">
        <v>2206.0</v>
      </c>
      <c r="B2207" s="12" t="s">
        <v>248</v>
      </c>
      <c r="C2207" s="5" t="s">
        <v>61</v>
      </c>
      <c r="D2207" s="11">
        <v>0.325</v>
      </c>
      <c r="E2207" s="11">
        <v>17.0</v>
      </c>
      <c r="F2207" s="8"/>
      <c r="G2207" s="11">
        <v>250.0</v>
      </c>
      <c r="H2207" s="11">
        <v>0.81</v>
      </c>
      <c r="I2207" s="11">
        <v>0.953</v>
      </c>
      <c r="J2207" s="9" t="s">
        <v>69</v>
      </c>
      <c r="K2207" s="14" t="str">
        <f>IFERROR(__xludf.DUMMYFUNCTION("ARRAYFORMULA(VLOOKUP(A2207,IMPORTRANGE(""https://docs.google.com/spreadsheets/d/1BuTWp7qHGjWhqrnf-OmePP568O4A5Am9ttzvVdP67zw/edit#gid=1603210130"", ""TOURISM!$A$2:$F$2692""), {2,3,4,5,6},0))"),"Asia")</f>
        <v>Asia</v>
      </c>
      <c r="L2207" s="14">
        <f>IFERROR(__xludf.DUMMYFUNCTION("""COMPUTED_VALUE"""),1.3479E10)</f>
        <v>13479000000</v>
      </c>
      <c r="M2207" s="14" t="str">
        <f>IFERROR(__xludf.DUMMYFUNCTION("""COMPUTED_VALUE"""),"South Korea-Asia")</f>
        <v>South Korea-Asia</v>
      </c>
      <c r="N2207" s="14" t="str">
        <f>IFERROR(__xludf.DUMMYFUNCTION("""COMPUTED_VALUE"""),"2008")</f>
        <v>2008</v>
      </c>
      <c r="O2207" s="14">
        <f>IFERROR(__xludf.DUMMYFUNCTION("""COMPUTED_VALUE"""),2.1456E10)</f>
        <v>21456000000</v>
      </c>
      <c r="P2207" s="15">
        <f>IFERROR(__xludf.DUMMYFUNCTION("ARRAYFORMULA(VLOOKUP(A2207,IMPORTRANGE(""https://docs.google.com/spreadsheets/d/1BuTWp7qHGjWhqrnf-OmePP568O4A5Am9ttzvVdP67zw/edit#gid=771602874"" ,""HUMAN RESOURCES!$A$2:$M$2692""), {2,3,4,5,6,7,8,9,10,11,12,13},0))"),0.009)</f>
        <v>0.009</v>
      </c>
      <c r="Q2207" s="14">
        <f>IFERROR(__xludf.DUMMYFUNCTION("""COMPUTED_VALUE"""),0.004)</f>
        <v>0.004</v>
      </c>
      <c r="R2207" s="14">
        <f>IFERROR(__xludf.DUMMYFUNCTION("""COMPUTED_VALUE"""),83.0)</f>
        <v>83</v>
      </c>
      <c r="S2207" s="14">
        <f>IFERROR(__xludf.DUMMYFUNCTION("""COMPUTED_VALUE"""),77.0)</f>
        <v>77</v>
      </c>
      <c r="T2207" s="14">
        <f>IFERROR(__xludf.DUMMYFUNCTION("""COMPUTED_VALUE"""),0.174)</f>
        <v>0.174</v>
      </c>
      <c r="U2207" s="14">
        <f>IFERROR(__xludf.DUMMYFUNCTION("""COMPUTED_VALUE"""),0.722)</f>
        <v>0.722</v>
      </c>
      <c r="V2207" s="14">
        <f>IFERROR(__xludf.DUMMYFUNCTION("""COMPUTED_VALUE"""),0.104)</f>
        <v>0.104</v>
      </c>
      <c r="W2207" s="14">
        <f>IFERROR(__xludf.DUMMYFUNCTION("""COMPUTED_VALUE"""),4.8948698E7)</f>
        <v>48948698</v>
      </c>
      <c r="X2207" s="14">
        <f>IFERROR(__xludf.DUMMYFUNCTION("""COMPUTED_VALUE"""),0.817)</f>
        <v>0.817</v>
      </c>
      <c r="Y2207" s="14" t="str">
        <f>IFERROR(__xludf.DUMMYFUNCTION("""COMPUTED_VALUE"""),"South Korea-Asia")</f>
        <v>South Korea-Asia</v>
      </c>
      <c r="Z2207" s="14" t="str">
        <f>IFERROR(__xludf.DUMMYFUNCTION("""COMPUTED_VALUE"""),"Asia")</f>
        <v>Asia</v>
      </c>
      <c r="AA2207" s="14" t="str">
        <f>IFERROR(__xludf.DUMMYFUNCTION("""COMPUTED_VALUE"""),"2008")</f>
        <v>2008</v>
      </c>
      <c r="AB2207" s="15" t="str">
        <f>IFERROR(__xludf.DUMMYFUNCTION("ARRAYFORMULA(VLOOKUP(A2207,IMPORTRANGE(""https://docs.google.com/spreadsheets/d/1BuTWp7qHGjWhqrnf-OmePP568O4A5Am9ttzvVdP67zw/edit#gid=1931367683"" ,""ENERGY!$A$2:$F$2692""), {2,3,4,5,6},0))"),"Asia")</f>
        <v>Asia</v>
      </c>
      <c r="AC2207" s="14" t="str">
        <f>IFERROR(__xludf.DUMMYFUNCTION("""COMPUTED_VALUE"""),"South Korea-Asia")</f>
        <v>South Korea-Asia</v>
      </c>
      <c r="AD2207" s="14" t="str">
        <f>IFERROR(__xludf.DUMMYFUNCTION("""COMPUTED_VALUE"""),"2007")</f>
        <v>2007</v>
      </c>
      <c r="AE2207" s="14">
        <f>IFERROR(__xludf.DUMMYFUNCTION("""COMPUTED_VALUE"""),208284.0)</f>
        <v>208284</v>
      </c>
      <c r="AF2207" s="14">
        <f>IFERROR(__xludf.DUMMYFUNCTION("""COMPUTED_VALUE"""),482277.0)</f>
        <v>482277</v>
      </c>
    </row>
    <row r="2208">
      <c r="A2208" s="12">
        <v>2207.0</v>
      </c>
      <c r="B2208" s="12" t="s">
        <v>248</v>
      </c>
      <c r="C2208" s="5" t="s">
        <v>61</v>
      </c>
      <c r="D2208" s="11">
        <v>0.31</v>
      </c>
      <c r="E2208" s="11">
        <v>14.0</v>
      </c>
      <c r="F2208" s="8"/>
      <c r="G2208" s="11">
        <v>250.0</v>
      </c>
      <c r="H2208" s="11">
        <v>0.816</v>
      </c>
      <c r="I2208" s="11">
        <v>0.995</v>
      </c>
      <c r="J2208" s="9" t="s">
        <v>70</v>
      </c>
      <c r="K2208" s="14" t="str">
        <f>IFERROR(__xludf.DUMMYFUNCTION("ARRAYFORMULA(VLOOKUP(A2208,IMPORTRANGE(""https://docs.google.com/spreadsheets/d/1BuTWp7qHGjWhqrnf-OmePP568O4A5Am9ttzvVdP67zw/edit#gid=1603210130"", ""TOURISM!$A$2:$F$2692""), {2,3,4,5,6},0))"),"Asia")</f>
        <v>Asia</v>
      </c>
      <c r="L2208" s="14">
        <f>IFERROR(__xludf.DUMMYFUNCTION("""COMPUTED_VALUE"""),1.3304E10)</f>
        <v>13304000000</v>
      </c>
      <c r="M2208" s="14" t="str">
        <f>IFERROR(__xludf.DUMMYFUNCTION("""COMPUTED_VALUE"""),"South Korea-Asia")</f>
        <v>South Korea-Asia</v>
      </c>
      <c r="N2208" s="14" t="str">
        <f>IFERROR(__xludf.DUMMYFUNCTION("""COMPUTED_VALUE"""),"2009")</f>
        <v>2009</v>
      </c>
      <c r="O2208" s="14">
        <f>IFERROR(__xludf.DUMMYFUNCTION("""COMPUTED_VALUE"""),1.636E10)</f>
        <v>16360000000</v>
      </c>
      <c r="P2208" s="15">
        <f>IFERROR(__xludf.DUMMYFUNCTION("ARRAYFORMULA(VLOOKUP(A2208,IMPORTRANGE(""https://docs.google.com/spreadsheets/d/1BuTWp7qHGjWhqrnf-OmePP568O4A5Am9ttzvVdP67zw/edit#gid=771602874"" ,""HUMAN RESOURCES!$A$2:$M$2692""), {2,3,4,5,6,7,8,9,10,11,12,13},0))"),0.009)</f>
        <v>0.009</v>
      </c>
      <c r="Q2208" s="14">
        <f>IFERROR(__xludf.DUMMYFUNCTION("""COMPUTED_VALUE"""),0.004)</f>
        <v>0.004</v>
      </c>
      <c r="R2208" s="14">
        <f>IFERROR(__xludf.DUMMYFUNCTION("""COMPUTED_VALUE"""),84.0)</f>
        <v>84</v>
      </c>
      <c r="S2208" s="14">
        <f>IFERROR(__xludf.DUMMYFUNCTION("""COMPUTED_VALUE"""),77.0)</f>
        <v>77</v>
      </c>
      <c r="T2208" s="14">
        <f>IFERROR(__xludf.DUMMYFUNCTION("""COMPUTED_VALUE"""),0.168)</f>
        <v>0.168</v>
      </c>
      <c r="U2208" s="14">
        <f>IFERROR(__xludf.DUMMYFUNCTION("""COMPUTED_VALUE"""),0.725)</f>
        <v>0.725</v>
      </c>
      <c r="V2208" s="14">
        <f>IFERROR(__xludf.DUMMYFUNCTION("""COMPUTED_VALUE"""),0.107)</f>
        <v>0.107</v>
      </c>
      <c r="W2208" s="14">
        <f>IFERROR(__xludf.DUMMYFUNCTION("""COMPUTED_VALUE"""),4.9182038E7)</f>
        <v>49182038</v>
      </c>
      <c r="X2208" s="14">
        <f>IFERROR(__xludf.DUMMYFUNCTION("""COMPUTED_VALUE"""),0.818)</f>
        <v>0.818</v>
      </c>
      <c r="Y2208" s="14" t="str">
        <f>IFERROR(__xludf.DUMMYFUNCTION("""COMPUTED_VALUE"""),"South Korea-Asia")</f>
        <v>South Korea-Asia</v>
      </c>
      <c r="Z2208" s="14" t="str">
        <f>IFERROR(__xludf.DUMMYFUNCTION("""COMPUTED_VALUE"""),"Asia")</f>
        <v>Asia</v>
      </c>
      <c r="AA2208" s="14" t="str">
        <f>IFERROR(__xludf.DUMMYFUNCTION("""COMPUTED_VALUE"""),"2009")</f>
        <v>2009</v>
      </c>
      <c r="AB2208" s="15" t="str">
        <f>IFERROR(__xludf.DUMMYFUNCTION("ARRAYFORMULA(VLOOKUP(A2208,IMPORTRANGE(""https://docs.google.com/spreadsheets/d/1BuTWp7qHGjWhqrnf-OmePP568O4A5Am9ttzvVdP67zw/edit#gid=1931367683"" ,""ENERGY!$A$2:$F$2692""), {2,3,4,5,6},0))"),"Asia")</f>
        <v>Asia</v>
      </c>
      <c r="AC2208" s="14" t="str">
        <f>IFERROR(__xludf.DUMMYFUNCTION("""COMPUTED_VALUE"""),"South Korea-Asia")</f>
        <v>South Korea-Asia</v>
      </c>
      <c r="AD2208" s="14" t="str">
        <f>IFERROR(__xludf.DUMMYFUNCTION("""COMPUTED_VALUE"""),"2012")</f>
        <v>2012</v>
      </c>
      <c r="AE2208" s="14">
        <f>IFERROR(__xludf.DUMMYFUNCTION("""COMPUTED_VALUE"""),202717.0)</f>
        <v>202717</v>
      </c>
      <c r="AF2208" s="14">
        <f>IFERROR(__xludf.DUMMYFUNCTION("""COMPUTED_VALUE"""),466215.0)</f>
        <v>466215</v>
      </c>
    </row>
    <row r="2209">
      <c r="A2209" s="12">
        <v>2208.0</v>
      </c>
      <c r="B2209" s="12" t="s">
        <v>248</v>
      </c>
      <c r="C2209" s="5" t="s">
        <v>61</v>
      </c>
      <c r="D2209" s="11">
        <v>0.288</v>
      </c>
      <c r="E2209" s="11">
        <v>14.0</v>
      </c>
      <c r="F2209" s="8"/>
      <c r="G2209" s="11">
        <v>250.0</v>
      </c>
      <c r="H2209" s="11">
        <v>0.837</v>
      </c>
      <c r="I2209" s="11">
        <v>1.048</v>
      </c>
      <c r="J2209" s="9" t="s">
        <v>71</v>
      </c>
      <c r="K2209" s="14" t="str">
        <f>IFERROR(__xludf.DUMMYFUNCTION("ARRAYFORMULA(VLOOKUP(A2209,IMPORTRANGE(""https://docs.google.com/spreadsheets/d/1BuTWp7qHGjWhqrnf-OmePP568O4A5Am9ttzvVdP67zw/edit#gid=1603210130"", ""TOURISM!$A$2:$F$2692""), {2,3,4,5,6},0))"),"Asia")</f>
        <v>Asia</v>
      </c>
      <c r="L2209" s="14">
        <f>IFERROR(__xludf.DUMMYFUNCTION("""COMPUTED_VALUE"""),1.4398E10)</f>
        <v>14398000000</v>
      </c>
      <c r="M2209" s="14" t="str">
        <f>IFERROR(__xludf.DUMMYFUNCTION("""COMPUTED_VALUE"""),"South Korea-Asia")</f>
        <v>South Korea-Asia</v>
      </c>
      <c r="N2209" s="14" t="str">
        <f>IFERROR(__xludf.DUMMYFUNCTION("""COMPUTED_VALUE"""),"2010")</f>
        <v>2010</v>
      </c>
      <c r="O2209" s="14">
        <f>IFERROR(__xludf.DUMMYFUNCTION("""COMPUTED_VALUE"""),2.0802E10)</f>
        <v>20802000000</v>
      </c>
      <c r="P2209" s="15">
        <f>IFERROR(__xludf.DUMMYFUNCTION("ARRAYFORMULA(VLOOKUP(A2209,IMPORTRANGE(""https://docs.google.com/spreadsheets/d/1BuTWp7qHGjWhqrnf-OmePP568O4A5Am9ttzvVdP67zw/edit#gid=771602874"" ,""HUMAN RESOURCES!$A$2:$M$2692""), {2,3,4,5,6,7,8,9,10,11,12,13},0))"),0.009)</f>
        <v>0.009</v>
      </c>
      <c r="Q2209" s="14">
        <f>IFERROR(__xludf.DUMMYFUNCTION("""COMPUTED_VALUE"""),0.004)</f>
        <v>0.004</v>
      </c>
      <c r="R2209" s="14">
        <f>IFERROR(__xludf.DUMMYFUNCTION("""COMPUTED_VALUE"""),84.0)</f>
        <v>84</v>
      </c>
      <c r="S2209" s="14">
        <f>IFERROR(__xludf.DUMMYFUNCTION("""COMPUTED_VALUE"""),77.0)</f>
        <v>77</v>
      </c>
      <c r="T2209" s="14">
        <f>IFERROR(__xludf.DUMMYFUNCTION("""COMPUTED_VALUE"""),0.162)</f>
        <v>0.162</v>
      </c>
      <c r="U2209" s="14">
        <f>IFERROR(__xludf.DUMMYFUNCTION("""COMPUTED_VALUE"""),0.727)</f>
        <v>0.727</v>
      </c>
      <c r="V2209" s="14">
        <f>IFERROR(__xludf.DUMMYFUNCTION("""COMPUTED_VALUE"""),0.111)</f>
        <v>0.111</v>
      </c>
      <c r="W2209" s="14">
        <f>IFERROR(__xludf.DUMMYFUNCTION("""COMPUTED_VALUE"""),4.9410366E7)</f>
        <v>49410366</v>
      </c>
      <c r="X2209" s="14">
        <f>IFERROR(__xludf.DUMMYFUNCTION("""COMPUTED_VALUE"""),0.819)</f>
        <v>0.819</v>
      </c>
      <c r="Y2209" s="14" t="str">
        <f>IFERROR(__xludf.DUMMYFUNCTION("""COMPUTED_VALUE"""),"South Korea-Asia")</f>
        <v>South Korea-Asia</v>
      </c>
      <c r="Z2209" s="14" t="str">
        <f>IFERROR(__xludf.DUMMYFUNCTION("""COMPUTED_VALUE"""),"Asia")</f>
        <v>Asia</v>
      </c>
      <c r="AA2209" s="14" t="str">
        <f>IFERROR(__xludf.DUMMYFUNCTION("""COMPUTED_VALUE"""),"2010")</f>
        <v>2010</v>
      </c>
      <c r="AB2209" s="15" t="str">
        <f>IFERROR(__xludf.DUMMYFUNCTION("ARRAYFORMULA(VLOOKUP(A2209,IMPORTRANGE(""https://docs.google.com/spreadsheets/d/1BuTWp7qHGjWhqrnf-OmePP568O4A5Am9ttzvVdP67zw/edit#gid=1931367683"" ,""ENERGY!$A$2:$F$2692""), {2,3,4,5,6},0))"),"Asia")</f>
        <v>Asia</v>
      </c>
      <c r="AC2209" s="14" t="str">
        <f>IFERROR(__xludf.DUMMYFUNCTION("""COMPUTED_VALUE"""),"South Korea-Asia")</f>
        <v>South Korea-Asia</v>
      </c>
      <c r="AD2209" s="14" t="str">
        <f>IFERROR(__xludf.DUMMYFUNCTION("""COMPUTED_VALUE"""),"2008")</f>
        <v>2008</v>
      </c>
      <c r="AE2209" s="14">
        <f>IFERROR(__xludf.DUMMYFUNCTION("""COMPUTED_VALUE"""),198667.0)</f>
        <v>198667</v>
      </c>
      <c r="AF2209" s="14">
        <f>IFERROR(__xludf.DUMMYFUNCTION("""COMPUTED_VALUE"""),465632.0)</f>
        <v>465632</v>
      </c>
    </row>
    <row r="2210">
      <c r="A2210" s="12">
        <v>2209.0</v>
      </c>
      <c r="B2210" s="12" t="s">
        <v>248</v>
      </c>
      <c r="C2210" s="5" t="s">
        <v>61</v>
      </c>
      <c r="D2210" s="11">
        <v>0.287</v>
      </c>
      <c r="E2210" s="11">
        <v>6.0</v>
      </c>
      <c r="F2210" s="8"/>
      <c r="G2210" s="11">
        <v>225.0</v>
      </c>
      <c r="H2210" s="11">
        <v>0.838</v>
      </c>
      <c r="I2210" s="11">
        <v>1.077</v>
      </c>
      <c r="J2210" s="9" t="s">
        <v>72</v>
      </c>
      <c r="K2210" s="14" t="str">
        <f>IFERROR(__xludf.DUMMYFUNCTION("ARRAYFORMULA(VLOOKUP(A2210,IMPORTRANGE(""https://docs.google.com/spreadsheets/d/1BuTWp7qHGjWhqrnf-OmePP568O4A5Am9ttzvVdP67zw/edit#gid=1603210130"", ""TOURISM!$A$2:$F$2692""), {2,3,4,5,6},0))"),"Asia")</f>
        <v>Asia</v>
      </c>
      <c r="L2210" s="14">
        <f>IFERROR(__xludf.DUMMYFUNCTION("""COMPUTED_VALUE"""),1.7467E10)</f>
        <v>17467000000</v>
      </c>
      <c r="M2210" s="14" t="str">
        <f>IFERROR(__xludf.DUMMYFUNCTION("""COMPUTED_VALUE"""),"South Korea-Asia")</f>
        <v>South Korea-Asia</v>
      </c>
      <c r="N2210" s="14" t="str">
        <f>IFERROR(__xludf.DUMMYFUNCTION("""COMPUTED_VALUE"""),"2011")</f>
        <v>2011</v>
      </c>
      <c r="O2210" s="14">
        <f>IFERROR(__xludf.DUMMYFUNCTION("""COMPUTED_VALUE"""),2.2209E10)</f>
        <v>22209000000</v>
      </c>
      <c r="P2210" s="15">
        <f>IFERROR(__xludf.DUMMYFUNCTION("ARRAYFORMULA(VLOOKUP(A2210,IMPORTRANGE(""https://docs.google.com/spreadsheets/d/1BuTWp7qHGjWhqrnf-OmePP568O4A5Am9ttzvVdP67zw/edit#gid=771602874"" ,""HUMAN RESOURCES!$A$2:$M$2692""), {2,3,4,5,6,7,8,9,10,11,12,13},0))"),0.009)</f>
        <v>0.009</v>
      </c>
      <c r="Q2210" s="14">
        <f>IFERROR(__xludf.DUMMYFUNCTION("""COMPUTED_VALUE"""),0.003)</f>
        <v>0.003</v>
      </c>
      <c r="R2210" s="14">
        <f>IFERROR(__xludf.DUMMYFUNCTION("""COMPUTED_VALUE"""),84.0)</f>
        <v>84</v>
      </c>
      <c r="S2210" s="14">
        <f>IFERROR(__xludf.DUMMYFUNCTION("""COMPUTED_VALUE"""),78.0)</f>
        <v>78</v>
      </c>
      <c r="T2210" s="14">
        <f>IFERROR(__xludf.DUMMYFUNCTION("""COMPUTED_VALUE"""),0.157)</f>
        <v>0.157</v>
      </c>
      <c r="U2210" s="14">
        <f>IFERROR(__xludf.DUMMYFUNCTION("""COMPUTED_VALUE"""),0.728)</f>
        <v>0.728</v>
      </c>
      <c r="V2210" s="14">
        <f>IFERROR(__xludf.DUMMYFUNCTION("""COMPUTED_VALUE"""),0.114)</f>
        <v>0.114</v>
      </c>
      <c r="W2210" s="14">
        <f>IFERROR(__xludf.DUMMYFUNCTION("""COMPUTED_VALUE"""),4.977944E7)</f>
        <v>49779440</v>
      </c>
      <c r="X2210" s="14">
        <f>IFERROR(__xludf.DUMMYFUNCTION("""COMPUTED_VALUE"""),0.82)</f>
        <v>0.82</v>
      </c>
      <c r="Y2210" s="14" t="str">
        <f>IFERROR(__xludf.DUMMYFUNCTION("""COMPUTED_VALUE"""),"South Korea-Asia")</f>
        <v>South Korea-Asia</v>
      </c>
      <c r="Z2210" s="14" t="str">
        <f>IFERROR(__xludf.DUMMYFUNCTION("""COMPUTED_VALUE"""),"Asia")</f>
        <v>Asia</v>
      </c>
      <c r="AA2210" s="14" t="str">
        <f>IFERROR(__xludf.DUMMYFUNCTION("""COMPUTED_VALUE"""),"2011")</f>
        <v>2011</v>
      </c>
      <c r="AB2210" s="15" t="str">
        <f>IFERROR(__xludf.DUMMYFUNCTION("ARRAYFORMULA(VLOOKUP(A2210,IMPORTRANGE(""https://docs.google.com/spreadsheets/d/1BuTWp7qHGjWhqrnf-OmePP568O4A5Am9ttzvVdP67zw/edit#gid=1931367683"" ,""ENERGY!$A$2:$F$2692""), {2,3,4,5,6},0))"),"Asia")</f>
        <v>Asia</v>
      </c>
      <c r="AC2210" s="14" t="str">
        <f>IFERROR(__xludf.DUMMYFUNCTION("""COMPUTED_VALUE"""),"South Korea-Asia")</f>
        <v>South Korea-Asia</v>
      </c>
      <c r="AD2210" s="14" t="str">
        <f>IFERROR(__xludf.DUMMYFUNCTION("""COMPUTED_VALUE"""),"2007")</f>
        <v>2007</v>
      </c>
      <c r="AE2210" s="14">
        <f>IFERROR(__xludf.DUMMYFUNCTION("""COMPUTED_VALUE"""),191046.0)</f>
        <v>191046</v>
      </c>
      <c r="AF2210" s="14">
        <f>IFERROR(__xludf.DUMMYFUNCTION("""COMPUTED_VALUE"""),450194.0)</f>
        <v>450194</v>
      </c>
    </row>
    <row r="2211">
      <c r="A2211" s="12">
        <v>2210.0</v>
      </c>
      <c r="B2211" s="12" t="s">
        <v>248</v>
      </c>
      <c r="C2211" s="5" t="s">
        <v>61</v>
      </c>
      <c r="D2211" s="11">
        <v>0.29</v>
      </c>
      <c r="E2211" s="11">
        <v>6.0</v>
      </c>
      <c r="F2211" s="11">
        <v>6.0</v>
      </c>
      <c r="G2211" s="11">
        <v>207.0</v>
      </c>
      <c r="H2211" s="11">
        <v>0.841</v>
      </c>
      <c r="I2211" s="11">
        <v>1.094</v>
      </c>
      <c r="J2211" s="9" t="s">
        <v>73</v>
      </c>
      <c r="K2211" s="14" t="str">
        <f>IFERROR(__xludf.DUMMYFUNCTION("ARRAYFORMULA(VLOOKUP(A2211,IMPORTRANGE(""https://docs.google.com/spreadsheets/d/1BuTWp7qHGjWhqrnf-OmePP568O4A5Am9ttzvVdP67zw/edit#gid=1603210130"", ""TOURISM!$A$2:$F$2692""), {2,3,4,5,6},0))"),"Asia")</f>
        <v>Asia</v>
      </c>
      <c r="L2211" s="14">
        <f>IFERROR(__xludf.DUMMYFUNCTION("""COMPUTED_VALUE"""),1.9653E10)</f>
        <v>19653000000</v>
      </c>
      <c r="M2211" s="14" t="str">
        <f>IFERROR(__xludf.DUMMYFUNCTION("""COMPUTED_VALUE"""),"South Korea-Asia")</f>
        <v>South Korea-Asia</v>
      </c>
      <c r="N2211" s="14" t="str">
        <f>IFERROR(__xludf.DUMMYFUNCTION("""COMPUTED_VALUE"""),"2012")</f>
        <v>2012</v>
      </c>
      <c r="O2211" s="14">
        <f>IFERROR(__xludf.DUMMYFUNCTION("""COMPUTED_VALUE"""),2.2386E10)</f>
        <v>22386000000</v>
      </c>
      <c r="P2211" s="15">
        <f>IFERROR(__xludf.DUMMYFUNCTION("ARRAYFORMULA(VLOOKUP(A2211,IMPORTRANGE(""https://docs.google.com/spreadsheets/d/1BuTWp7qHGjWhqrnf-OmePP568O4A5Am9ttzvVdP67zw/edit#gid=771602874"" ,""HUMAN RESOURCES!$A$2:$M$2692""), {2,3,4,5,6,7,8,9,10,11,12,13},0))"),0.01)</f>
        <v>0.01</v>
      </c>
      <c r="Q2211" s="14">
        <f>IFERROR(__xludf.DUMMYFUNCTION("""COMPUTED_VALUE"""),0.003)</f>
        <v>0.003</v>
      </c>
      <c r="R2211" s="14">
        <f>IFERROR(__xludf.DUMMYFUNCTION("""COMPUTED_VALUE"""),85.0)</f>
        <v>85</v>
      </c>
      <c r="S2211" s="14">
        <f>IFERROR(__xludf.DUMMYFUNCTION("""COMPUTED_VALUE"""),78.0)</f>
        <v>78</v>
      </c>
      <c r="T2211" s="14">
        <f>IFERROR(__xludf.DUMMYFUNCTION("""COMPUTED_VALUE"""),0.153)</f>
        <v>0.153</v>
      </c>
      <c r="U2211" s="14">
        <f>IFERROR(__xludf.DUMMYFUNCTION("""COMPUTED_VALUE"""),0.729)</f>
        <v>0.729</v>
      </c>
      <c r="V2211" s="14">
        <f>IFERROR(__xludf.DUMMYFUNCTION("""COMPUTED_VALUE"""),0.118)</f>
        <v>0.118</v>
      </c>
      <c r="W2211" s="14">
        <f>IFERROR(__xludf.DUMMYFUNCTION("""COMPUTED_VALUE"""),5.0004441E7)</f>
        <v>50004441</v>
      </c>
      <c r="X2211" s="14">
        <f>IFERROR(__xludf.DUMMYFUNCTION("""COMPUTED_VALUE"""),0.821)</f>
        <v>0.821</v>
      </c>
      <c r="Y2211" s="14" t="str">
        <f>IFERROR(__xludf.DUMMYFUNCTION("""COMPUTED_VALUE"""),"South Korea-Asia")</f>
        <v>South Korea-Asia</v>
      </c>
      <c r="Z2211" s="14" t="str">
        <f>IFERROR(__xludf.DUMMYFUNCTION("""COMPUTED_VALUE"""),"Asia")</f>
        <v>Asia</v>
      </c>
      <c r="AA2211" s="14" t="str">
        <f>IFERROR(__xludf.DUMMYFUNCTION("""COMPUTED_VALUE"""),"2012")</f>
        <v>2012</v>
      </c>
      <c r="AB2211" s="15" t="str">
        <f>IFERROR(__xludf.DUMMYFUNCTION("ARRAYFORMULA(VLOOKUP(A2211,IMPORTRANGE(""https://docs.google.com/spreadsheets/d/1BuTWp7qHGjWhqrnf-OmePP568O4A5Am9ttzvVdP67zw/edit#gid=1931367683"" ,""ENERGY!$A$2:$F$2692""), {2,3,4,5,6},0))"),"Asia")</f>
        <v>Asia</v>
      </c>
      <c r="AC2211" s="14" t="str">
        <f>IFERROR(__xludf.DUMMYFUNCTION("""COMPUTED_VALUE"""),"South Korea-Asia")</f>
        <v>South Korea-Asia</v>
      </c>
      <c r="AD2211" s="14" t="str">
        <f>IFERROR(__xludf.DUMMYFUNCTION("""COMPUTED_VALUE"""),"2012")</f>
        <v>2012</v>
      </c>
      <c r="AE2211" s="14">
        <f>IFERROR(__xludf.DUMMYFUNCTION("""COMPUTED_VALUE"""),188161.0)</f>
        <v>188161</v>
      </c>
      <c r="AF2211" s="14">
        <f>IFERROR(__xludf.DUMMYFUNCTION("""COMPUTED_VALUE"""),447561.0)</f>
        <v>447561</v>
      </c>
    </row>
    <row r="2212">
      <c r="A2212" s="12">
        <v>2211.0</v>
      </c>
      <c r="B2212" s="12" t="s">
        <v>249</v>
      </c>
      <c r="C2212" s="5" t="s">
        <v>77</v>
      </c>
      <c r="D2212" s="8"/>
      <c r="E2212" s="8"/>
      <c r="F2212" s="8"/>
      <c r="G2212" s="8"/>
      <c r="H2212" s="8"/>
      <c r="I2212" s="8"/>
      <c r="J2212" s="9" t="s">
        <v>60</v>
      </c>
      <c r="K2212" s="14" t="str">
        <f>IFERROR(__xludf.DUMMYFUNCTION("ARRAYFORMULA(VLOOKUP(A2212,IMPORTRANGE(""https://docs.google.com/spreadsheets/d/1BuTWp7qHGjWhqrnf-OmePP568O4A5Am9ttzvVdP67zw/edit#gid=1603210130"", ""TOURISM!$A$2:$F$2692""), {2,3,4,5,6},0))"),"Africa")</f>
        <v>Africa</v>
      </c>
      <c r="L2212" s="14"/>
      <c r="M2212" s="14" t="str">
        <f>IFERROR(__xludf.DUMMYFUNCTION("""COMPUTED_VALUE"""),"South Sudan-Africa")</f>
        <v>South Sudan-Africa</v>
      </c>
      <c r="N2212" s="14" t="str">
        <f>IFERROR(__xludf.DUMMYFUNCTION("""COMPUTED_VALUE"""),"2000")</f>
        <v>2000</v>
      </c>
      <c r="O2212" s="14"/>
      <c r="P2212" s="15">
        <f>IFERROR(__xludf.DUMMYFUNCTION("ARRAYFORMULA(VLOOKUP(A2212,IMPORTRANGE(""https://docs.google.com/spreadsheets/d/1BuTWp7qHGjWhqrnf-OmePP568O4A5Am9ttzvVdP67zw/edit#gid=771602874"" ,""HUMAN RESOURCES!$A$2:$M$2692""), {2,3,4,5,6,7,8,9,10,11,12,13},0))"),0.043)</f>
        <v>0.043</v>
      </c>
      <c r="Q2212" s="14">
        <f>IFERROR(__xludf.DUMMYFUNCTION("""COMPUTED_VALUE"""),0.11)</f>
        <v>0.11</v>
      </c>
      <c r="R2212" s="14">
        <f>IFERROR(__xludf.DUMMYFUNCTION("""COMPUTED_VALUE"""),50.0)</f>
        <v>50</v>
      </c>
      <c r="S2212" s="14">
        <f>IFERROR(__xludf.DUMMYFUNCTION("""COMPUTED_VALUE"""),48.0)</f>
        <v>48</v>
      </c>
      <c r="T2212" s="14">
        <f>IFERROR(__xludf.DUMMYFUNCTION("""COMPUTED_VALUE"""),0.447)</f>
        <v>0.447</v>
      </c>
      <c r="U2212" s="14">
        <f>IFERROR(__xludf.DUMMYFUNCTION("""COMPUTED_VALUE"""),0.523)</f>
        <v>0.523</v>
      </c>
      <c r="V2212" s="14">
        <f>IFERROR(__xludf.DUMMYFUNCTION("""COMPUTED_VALUE"""),0.03)</f>
        <v>0.03</v>
      </c>
      <c r="W2212" s="14">
        <f>IFERROR(__xludf.DUMMYFUNCTION("""COMPUTED_VALUE"""),6652984.0)</f>
        <v>6652984</v>
      </c>
      <c r="X2212" s="14">
        <f>IFERROR(__xludf.DUMMYFUNCTION("""COMPUTED_VALUE"""),0.165)</f>
        <v>0.165</v>
      </c>
      <c r="Y2212" s="14" t="str">
        <f>IFERROR(__xludf.DUMMYFUNCTION("""COMPUTED_VALUE"""),"South Sudan-Africa")</f>
        <v>South Sudan-Africa</v>
      </c>
      <c r="Z2212" s="14" t="str">
        <f>IFERROR(__xludf.DUMMYFUNCTION("""COMPUTED_VALUE"""),"Africa")</f>
        <v>Africa</v>
      </c>
      <c r="AA2212" s="14" t="str">
        <f>IFERROR(__xludf.DUMMYFUNCTION("""COMPUTED_VALUE"""),"2000")</f>
        <v>2000</v>
      </c>
      <c r="AB2212" s="15" t="str">
        <f>IFERROR(__xludf.DUMMYFUNCTION("ARRAYFORMULA(VLOOKUP(A2212,IMPORTRANGE(""https://docs.google.com/spreadsheets/d/1BuTWp7qHGjWhqrnf-OmePP568O4A5Am9ttzvVdP67zw/edit#gid=1931367683"" ,""ENERGY!$A$2:$F$2692""), {2,3,4,5,6},0))"),"Africa")</f>
        <v>Africa</v>
      </c>
      <c r="AC2212" s="14" t="str">
        <f>IFERROR(__xludf.DUMMYFUNCTION("""COMPUTED_VALUE"""),"South Sudan-Africa")</f>
        <v>South Sudan-Africa</v>
      </c>
      <c r="AD2212" s="14" t="str">
        <f>IFERROR(__xludf.DUMMYFUNCTION("""COMPUTED_VALUE"""),"2000")</f>
        <v>2000</v>
      </c>
      <c r="AE2212" s="14"/>
      <c r="AF2212" s="14"/>
    </row>
    <row r="2213">
      <c r="A2213" s="12">
        <v>2212.0</v>
      </c>
      <c r="B2213" s="12" t="s">
        <v>249</v>
      </c>
      <c r="C2213" s="5" t="s">
        <v>77</v>
      </c>
      <c r="D2213" s="8"/>
      <c r="E2213" s="8"/>
      <c r="F2213" s="8"/>
      <c r="G2213" s="8"/>
      <c r="H2213" s="8"/>
      <c r="I2213" s="8"/>
      <c r="J2213" s="9" t="s">
        <v>62</v>
      </c>
      <c r="K2213" s="14" t="str">
        <f>IFERROR(__xludf.DUMMYFUNCTION("ARRAYFORMULA(VLOOKUP(A2213,IMPORTRANGE(""https://docs.google.com/spreadsheets/d/1BuTWp7qHGjWhqrnf-OmePP568O4A5Am9ttzvVdP67zw/edit#gid=1603210130"", ""TOURISM!$A$2:$F$2692""), {2,3,4,5,6},0))"),"Africa")</f>
        <v>Africa</v>
      </c>
      <c r="L2213" s="14"/>
      <c r="M2213" s="14" t="str">
        <f>IFERROR(__xludf.DUMMYFUNCTION("""COMPUTED_VALUE"""),"South Sudan-Africa")</f>
        <v>South Sudan-Africa</v>
      </c>
      <c r="N2213" s="14" t="str">
        <f>IFERROR(__xludf.DUMMYFUNCTION("""COMPUTED_VALUE"""),"2001")</f>
        <v>2001</v>
      </c>
      <c r="O2213" s="14"/>
      <c r="P2213" s="15">
        <f>IFERROR(__xludf.DUMMYFUNCTION("ARRAYFORMULA(VLOOKUP(A2213,IMPORTRANGE(""https://docs.google.com/spreadsheets/d/1BuTWp7qHGjWhqrnf-OmePP568O4A5Am9ttzvVdP67zw/edit#gid=771602874"" ,""HUMAN RESOURCES!$A$2:$M$2692""), {2,3,4,5,6,7,8,9,10,11,12,13},0))"),0.042)</f>
        <v>0.042</v>
      </c>
      <c r="Q2213" s="14">
        <f>IFERROR(__xludf.DUMMYFUNCTION("""COMPUTED_VALUE"""),0.105)</f>
        <v>0.105</v>
      </c>
      <c r="R2213" s="14">
        <f>IFERROR(__xludf.DUMMYFUNCTION("""COMPUTED_VALUE"""),51.0)</f>
        <v>51</v>
      </c>
      <c r="S2213" s="14">
        <f>IFERROR(__xludf.DUMMYFUNCTION("""COMPUTED_VALUE"""),48.0)</f>
        <v>48</v>
      </c>
      <c r="T2213" s="14">
        <f>IFERROR(__xludf.DUMMYFUNCTION("""COMPUTED_VALUE"""),0.446)</f>
        <v>0.446</v>
      </c>
      <c r="U2213" s="14">
        <f>IFERROR(__xludf.DUMMYFUNCTION("""COMPUTED_VALUE"""),0.523)</f>
        <v>0.523</v>
      </c>
      <c r="V2213" s="14">
        <f>IFERROR(__xludf.DUMMYFUNCTION("""COMPUTED_VALUE"""),0.031)</f>
        <v>0.031</v>
      </c>
      <c r="W2213" s="14">
        <f>IFERROR(__xludf.DUMMYFUNCTION("""COMPUTED_VALUE"""),6924455.0)</f>
        <v>6924455</v>
      </c>
      <c r="X2213" s="14">
        <f>IFERROR(__xludf.DUMMYFUNCTION("""COMPUTED_VALUE"""),0.166)</f>
        <v>0.166</v>
      </c>
      <c r="Y2213" s="14" t="str">
        <f>IFERROR(__xludf.DUMMYFUNCTION("""COMPUTED_VALUE"""),"South Sudan-Africa")</f>
        <v>South Sudan-Africa</v>
      </c>
      <c r="Z2213" s="14" t="str">
        <f>IFERROR(__xludf.DUMMYFUNCTION("""COMPUTED_VALUE"""),"Africa")</f>
        <v>Africa</v>
      </c>
      <c r="AA2213" s="14" t="str">
        <f>IFERROR(__xludf.DUMMYFUNCTION("""COMPUTED_VALUE"""),"2001")</f>
        <v>2001</v>
      </c>
      <c r="AB2213" s="15" t="str">
        <f>IFERROR(__xludf.DUMMYFUNCTION("ARRAYFORMULA(VLOOKUP(A2213,IMPORTRANGE(""https://docs.google.com/spreadsheets/d/1BuTWp7qHGjWhqrnf-OmePP568O4A5Am9ttzvVdP67zw/edit#gid=1931367683"" ,""ENERGY!$A$2:$F$2692""), {2,3,4,5,6},0))"),"Africa")</f>
        <v>Africa</v>
      </c>
      <c r="AC2213" s="14" t="str">
        <f>IFERROR(__xludf.DUMMYFUNCTION("""COMPUTED_VALUE"""),"South Sudan-Africa")</f>
        <v>South Sudan-Africa</v>
      </c>
      <c r="AD2213" s="14" t="str">
        <f>IFERROR(__xludf.DUMMYFUNCTION("""COMPUTED_VALUE"""),"2001")</f>
        <v>2001</v>
      </c>
      <c r="AE2213" s="14"/>
      <c r="AF2213" s="14"/>
    </row>
    <row r="2214">
      <c r="A2214" s="12">
        <v>2213.0</v>
      </c>
      <c r="B2214" s="12" t="s">
        <v>249</v>
      </c>
      <c r="C2214" s="5" t="s">
        <v>77</v>
      </c>
      <c r="D2214" s="8"/>
      <c r="E2214" s="8"/>
      <c r="F2214" s="8"/>
      <c r="G2214" s="8"/>
      <c r="H2214" s="8"/>
      <c r="I2214" s="8"/>
      <c r="J2214" s="9" t="s">
        <v>63</v>
      </c>
      <c r="K2214" s="14" t="str">
        <f>IFERROR(__xludf.DUMMYFUNCTION("ARRAYFORMULA(VLOOKUP(A2214,IMPORTRANGE(""https://docs.google.com/spreadsheets/d/1BuTWp7qHGjWhqrnf-OmePP568O4A5Am9ttzvVdP67zw/edit#gid=1603210130"", ""TOURISM!$A$2:$F$2692""), {2,3,4,5,6},0))"),"Africa")</f>
        <v>Africa</v>
      </c>
      <c r="L2214" s="14"/>
      <c r="M2214" s="14" t="str">
        <f>IFERROR(__xludf.DUMMYFUNCTION("""COMPUTED_VALUE"""),"South Sudan-Africa")</f>
        <v>South Sudan-Africa</v>
      </c>
      <c r="N2214" s="14" t="str">
        <f>IFERROR(__xludf.DUMMYFUNCTION("""COMPUTED_VALUE"""),"2002")</f>
        <v>2002</v>
      </c>
      <c r="O2214" s="14"/>
      <c r="P2214" s="15">
        <f>IFERROR(__xludf.DUMMYFUNCTION("ARRAYFORMULA(VLOOKUP(A2214,IMPORTRANGE(""https://docs.google.com/spreadsheets/d/1BuTWp7qHGjWhqrnf-OmePP568O4A5Am9ttzvVdP67zw/edit#gid=771602874"" ,""HUMAN RESOURCES!$A$2:$M$2692""), {2,3,4,5,6,7,8,9,10,11,12,13},0))"),0.041)</f>
        <v>0.041</v>
      </c>
      <c r="Q2214" s="14">
        <f>IFERROR(__xludf.DUMMYFUNCTION("""COMPUTED_VALUE"""),0.1)</f>
        <v>0.1</v>
      </c>
      <c r="R2214" s="14">
        <f>IFERROR(__xludf.DUMMYFUNCTION("""COMPUTED_VALUE"""),51.0)</f>
        <v>51</v>
      </c>
      <c r="S2214" s="14">
        <f>IFERROR(__xludf.DUMMYFUNCTION("""COMPUTED_VALUE"""),49.0)</f>
        <v>49</v>
      </c>
      <c r="T2214" s="14">
        <f>IFERROR(__xludf.DUMMYFUNCTION("""COMPUTED_VALUE"""),0.445)</f>
        <v>0.445</v>
      </c>
      <c r="U2214" s="14">
        <f>IFERROR(__xludf.DUMMYFUNCTION("""COMPUTED_VALUE"""),0.524)</f>
        <v>0.524</v>
      </c>
      <c r="V2214" s="14">
        <f>IFERROR(__xludf.DUMMYFUNCTION("""COMPUTED_VALUE"""),0.031)</f>
        <v>0.031</v>
      </c>
      <c r="W2214" s="14">
        <f>IFERROR(__xludf.DUMMYFUNCTION("""COMPUTED_VALUE"""),7186820.0)</f>
        <v>7186820</v>
      </c>
      <c r="X2214" s="14">
        <f>IFERROR(__xludf.DUMMYFUNCTION("""COMPUTED_VALUE"""),0.168)</f>
        <v>0.168</v>
      </c>
      <c r="Y2214" s="14" t="str">
        <f>IFERROR(__xludf.DUMMYFUNCTION("""COMPUTED_VALUE"""),"South Sudan-Africa")</f>
        <v>South Sudan-Africa</v>
      </c>
      <c r="Z2214" s="14" t="str">
        <f>IFERROR(__xludf.DUMMYFUNCTION("""COMPUTED_VALUE"""),"Africa")</f>
        <v>Africa</v>
      </c>
      <c r="AA2214" s="14" t="str">
        <f>IFERROR(__xludf.DUMMYFUNCTION("""COMPUTED_VALUE"""),"2002")</f>
        <v>2002</v>
      </c>
      <c r="AB2214" s="15" t="str">
        <f>IFERROR(__xludf.DUMMYFUNCTION("ARRAYFORMULA(VLOOKUP(A2214,IMPORTRANGE(""https://docs.google.com/spreadsheets/d/1BuTWp7qHGjWhqrnf-OmePP568O4A5Am9ttzvVdP67zw/edit#gid=1931367683"" ,""ENERGY!$A$2:$F$2692""), {2,3,4,5,6},0))"),"Africa")</f>
        <v>Africa</v>
      </c>
      <c r="AC2214" s="14" t="str">
        <f>IFERROR(__xludf.DUMMYFUNCTION("""COMPUTED_VALUE"""),"South Sudan-Africa")</f>
        <v>South Sudan-Africa</v>
      </c>
      <c r="AD2214" s="14" t="str">
        <f>IFERROR(__xludf.DUMMYFUNCTION("""COMPUTED_VALUE"""),"2002")</f>
        <v>2002</v>
      </c>
      <c r="AE2214" s="14"/>
      <c r="AF2214" s="14"/>
    </row>
    <row r="2215">
      <c r="A2215" s="12">
        <v>2214.0</v>
      </c>
      <c r="B2215" s="12" t="s">
        <v>249</v>
      </c>
      <c r="C2215" s="5" t="s">
        <v>77</v>
      </c>
      <c r="D2215" s="8"/>
      <c r="E2215" s="8"/>
      <c r="F2215" s="8"/>
      <c r="G2215" s="8"/>
      <c r="H2215" s="8"/>
      <c r="I2215" s="8"/>
      <c r="J2215" s="9" t="s">
        <v>64</v>
      </c>
      <c r="K2215" s="14" t="str">
        <f>IFERROR(__xludf.DUMMYFUNCTION("ARRAYFORMULA(VLOOKUP(A2215,IMPORTRANGE(""https://docs.google.com/spreadsheets/d/1BuTWp7qHGjWhqrnf-OmePP568O4A5Am9ttzvVdP67zw/edit#gid=1603210130"", ""TOURISM!$A$2:$F$2692""), {2,3,4,5,6},0))"),"Africa")</f>
        <v>Africa</v>
      </c>
      <c r="L2215" s="14"/>
      <c r="M2215" s="14" t="str">
        <f>IFERROR(__xludf.DUMMYFUNCTION("""COMPUTED_VALUE"""),"South Sudan-Africa")</f>
        <v>South Sudan-Africa</v>
      </c>
      <c r="N2215" s="14" t="str">
        <f>IFERROR(__xludf.DUMMYFUNCTION("""COMPUTED_VALUE"""),"2003")</f>
        <v>2003</v>
      </c>
      <c r="O2215" s="14"/>
      <c r="P2215" s="15">
        <f>IFERROR(__xludf.DUMMYFUNCTION("ARRAYFORMULA(VLOOKUP(A2215,IMPORTRANGE(""https://docs.google.com/spreadsheets/d/1BuTWp7qHGjWhqrnf-OmePP568O4A5Am9ttzvVdP67zw/edit#gid=771602874"" ,""HUMAN RESOURCES!$A$2:$M$2692""), {2,3,4,5,6,7,8,9,10,11,12,13},0))"),0.041)</f>
        <v>0.041</v>
      </c>
      <c r="Q2215" s="14">
        <f>IFERROR(__xludf.DUMMYFUNCTION("""COMPUTED_VALUE"""),0.095)</f>
        <v>0.095</v>
      </c>
      <c r="R2215" s="14">
        <f>IFERROR(__xludf.DUMMYFUNCTION("""COMPUTED_VALUE"""),51.0)</f>
        <v>51</v>
      </c>
      <c r="S2215" s="14">
        <f>IFERROR(__xludf.DUMMYFUNCTION("""COMPUTED_VALUE"""),49.0)</f>
        <v>49</v>
      </c>
      <c r="T2215" s="14">
        <f>IFERROR(__xludf.DUMMYFUNCTION("""COMPUTED_VALUE"""),0.444)</f>
        <v>0.444</v>
      </c>
      <c r="U2215" s="14">
        <f>IFERROR(__xludf.DUMMYFUNCTION("""COMPUTED_VALUE"""),0.525)</f>
        <v>0.525</v>
      </c>
      <c r="V2215" s="14">
        <f>IFERROR(__xludf.DUMMYFUNCTION("""COMPUTED_VALUE"""),0.031)</f>
        <v>0.031</v>
      </c>
      <c r="W2215" s="14">
        <f>IFERROR(__xludf.DUMMYFUNCTION("""COMPUTED_VALUE"""),7449905.0)</f>
        <v>7449905</v>
      </c>
      <c r="X2215" s="14">
        <f>IFERROR(__xludf.DUMMYFUNCTION("""COMPUTED_VALUE"""),0.169)</f>
        <v>0.169</v>
      </c>
      <c r="Y2215" s="14" t="str">
        <f>IFERROR(__xludf.DUMMYFUNCTION("""COMPUTED_VALUE"""),"South Sudan-Africa")</f>
        <v>South Sudan-Africa</v>
      </c>
      <c r="Z2215" s="14" t="str">
        <f>IFERROR(__xludf.DUMMYFUNCTION("""COMPUTED_VALUE"""),"Africa")</f>
        <v>Africa</v>
      </c>
      <c r="AA2215" s="14" t="str">
        <f>IFERROR(__xludf.DUMMYFUNCTION("""COMPUTED_VALUE"""),"2003")</f>
        <v>2003</v>
      </c>
      <c r="AB2215" s="15" t="str">
        <f>IFERROR(__xludf.DUMMYFUNCTION("ARRAYFORMULA(VLOOKUP(A2215,IMPORTRANGE(""https://docs.google.com/spreadsheets/d/1BuTWp7qHGjWhqrnf-OmePP568O4A5Am9ttzvVdP67zw/edit#gid=1931367683"" ,""ENERGY!$A$2:$F$2692""), {2,3,4,5,6},0))"),"Africa")</f>
        <v>Africa</v>
      </c>
      <c r="AC2215" s="14" t="str">
        <f>IFERROR(__xludf.DUMMYFUNCTION("""COMPUTED_VALUE"""),"South Sudan-Africa")</f>
        <v>South Sudan-Africa</v>
      </c>
      <c r="AD2215" s="14" t="str">
        <f>IFERROR(__xludf.DUMMYFUNCTION("""COMPUTED_VALUE"""),"2003")</f>
        <v>2003</v>
      </c>
      <c r="AE2215" s="14"/>
      <c r="AF2215" s="14"/>
    </row>
    <row r="2216">
      <c r="A2216" s="12">
        <v>2215.0</v>
      </c>
      <c r="B2216" s="12" t="s">
        <v>249</v>
      </c>
      <c r="C2216" s="5" t="s">
        <v>77</v>
      </c>
      <c r="D2216" s="8"/>
      <c r="E2216" s="8"/>
      <c r="F2216" s="8"/>
      <c r="G2216" s="8"/>
      <c r="H2216" s="8"/>
      <c r="I2216" s="8"/>
      <c r="J2216" s="9" t="s">
        <v>65</v>
      </c>
      <c r="K2216" s="14" t="str">
        <f>IFERROR(__xludf.DUMMYFUNCTION("ARRAYFORMULA(VLOOKUP(A2216,IMPORTRANGE(""https://docs.google.com/spreadsheets/d/1BuTWp7qHGjWhqrnf-OmePP568O4A5Am9ttzvVdP67zw/edit#gid=1603210130"", ""TOURISM!$A$2:$F$2692""), {2,3,4,5,6},0))"),"Africa")</f>
        <v>Africa</v>
      </c>
      <c r="L2216" s="14"/>
      <c r="M2216" s="14" t="str">
        <f>IFERROR(__xludf.DUMMYFUNCTION("""COMPUTED_VALUE"""),"South Sudan-Africa")</f>
        <v>South Sudan-Africa</v>
      </c>
      <c r="N2216" s="14" t="str">
        <f>IFERROR(__xludf.DUMMYFUNCTION("""COMPUTED_VALUE"""),"2004")</f>
        <v>2004</v>
      </c>
      <c r="O2216" s="14"/>
      <c r="P2216" s="15">
        <f>IFERROR(__xludf.DUMMYFUNCTION("ARRAYFORMULA(VLOOKUP(A2216,IMPORTRANGE(""https://docs.google.com/spreadsheets/d/1BuTWp7qHGjWhqrnf-OmePP568O4A5Am9ttzvVdP67zw/edit#gid=771602874"" ,""HUMAN RESOURCES!$A$2:$M$2692""), {2,3,4,5,6,7,8,9,10,11,12,13},0))"),0.04)</f>
        <v>0.04</v>
      </c>
      <c r="Q2216" s="14">
        <f>IFERROR(__xludf.DUMMYFUNCTION("""COMPUTED_VALUE"""),0.091)</f>
        <v>0.091</v>
      </c>
      <c r="R2216" s="14">
        <f>IFERROR(__xludf.DUMMYFUNCTION("""COMPUTED_VALUE"""),52.0)</f>
        <v>52</v>
      </c>
      <c r="S2216" s="14">
        <f>IFERROR(__xludf.DUMMYFUNCTION("""COMPUTED_VALUE"""),50.0)</f>
        <v>50</v>
      </c>
      <c r="T2216" s="14">
        <f>IFERROR(__xludf.DUMMYFUNCTION("""COMPUTED_VALUE"""),0.442)</f>
        <v>0.442</v>
      </c>
      <c r="U2216" s="14">
        <f>IFERROR(__xludf.DUMMYFUNCTION("""COMPUTED_VALUE"""),0.526)</f>
        <v>0.526</v>
      </c>
      <c r="V2216" s="14">
        <f>IFERROR(__xludf.DUMMYFUNCTION("""COMPUTED_VALUE"""),0.032)</f>
        <v>0.032</v>
      </c>
      <c r="W2216" s="14">
        <f>IFERROR(__xludf.DUMMYFUNCTION("""COMPUTED_VALUE"""),7730180.0)</f>
        <v>7730180</v>
      </c>
      <c r="X2216" s="14">
        <f>IFERROR(__xludf.DUMMYFUNCTION("""COMPUTED_VALUE"""),0.17)</f>
        <v>0.17</v>
      </c>
      <c r="Y2216" s="14" t="str">
        <f>IFERROR(__xludf.DUMMYFUNCTION("""COMPUTED_VALUE"""),"South Sudan-Africa")</f>
        <v>South Sudan-Africa</v>
      </c>
      <c r="Z2216" s="14" t="str">
        <f>IFERROR(__xludf.DUMMYFUNCTION("""COMPUTED_VALUE"""),"Africa")</f>
        <v>Africa</v>
      </c>
      <c r="AA2216" s="14" t="str">
        <f>IFERROR(__xludf.DUMMYFUNCTION("""COMPUTED_VALUE"""),"2004")</f>
        <v>2004</v>
      </c>
      <c r="AB2216" s="15" t="str">
        <f>IFERROR(__xludf.DUMMYFUNCTION("ARRAYFORMULA(VLOOKUP(A2216,IMPORTRANGE(""https://docs.google.com/spreadsheets/d/1BuTWp7qHGjWhqrnf-OmePP568O4A5Am9ttzvVdP67zw/edit#gid=1931367683"" ,""ENERGY!$A$2:$F$2692""), {2,3,4,5,6},0))"),"Africa")</f>
        <v>Africa</v>
      </c>
      <c r="AC2216" s="14" t="str">
        <f>IFERROR(__xludf.DUMMYFUNCTION("""COMPUTED_VALUE"""),"South Sudan-Africa")</f>
        <v>South Sudan-Africa</v>
      </c>
      <c r="AD2216" s="14" t="str">
        <f>IFERROR(__xludf.DUMMYFUNCTION("""COMPUTED_VALUE"""),"2004")</f>
        <v>2004</v>
      </c>
      <c r="AE2216" s="14"/>
      <c r="AF2216" s="14"/>
    </row>
    <row r="2217">
      <c r="A2217" s="12">
        <v>2216.0</v>
      </c>
      <c r="B2217" s="12" t="s">
        <v>249</v>
      </c>
      <c r="C2217" s="5" t="s">
        <v>77</v>
      </c>
      <c r="D2217" s="8"/>
      <c r="E2217" s="8"/>
      <c r="F2217" s="8"/>
      <c r="G2217" s="8"/>
      <c r="H2217" s="8"/>
      <c r="I2217" s="8"/>
      <c r="J2217" s="9" t="s">
        <v>66</v>
      </c>
      <c r="K2217" s="14" t="str">
        <f>IFERROR(__xludf.DUMMYFUNCTION("ARRAYFORMULA(VLOOKUP(A2217,IMPORTRANGE(""https://docs.google.com/spreadsheets/d/1BuTWp7qHGjWhqrnf-OmePP568O4A5Am9ttzvVdP67zw/edit#gid=1603210130"", ""TOURISM!$A$2:$F$2692""), {2,3,4,5,6},0))"),"Africa")</f>
        <v>Africa</v>
      </c>
      <c r="L2217" s="14"/>
      <c r="M2217" s="14" t="str">
        <f>IFERROR(__xludf.DUMMYFUNCTION("""COMPUTED_VALUE"""),"South Sudan-Africa")</f>
        <v>South Sudan-Africa</v>
      </c>
      <c r="N2217" s="14" t="str">
        <f>IFERROR(__xludf.DUMMYFUNCTION("""COMPUTED_VALUE"""),"2005")</f>
        <v>2005</v>
      </c>
      <c r="O2217" s="14"/>
      <c r="P2217" s="15">
        <f>IFERROR(__xludf.DUMMYFUNCTION("ARRAYFORMULA(VLOOKUP(A2217,IMPORTRANGE(""https://docs.google.com/spreadsheets/d/1BuTWp7qHGjWhqrnf-OmePP568O4A5Am9ttzvVdP67zw/edit#gid=771602874"" ,""HUMAN RESOURCES!$A$2:$M$2692""), {2,3,4,5,6,7,8,9,10,11,12,13},0))"),0.04)</f>
        <v>0.04</v>
      </c>
      <c r="Q2217" s="14">
        <f>IFERROR(__xludf.DUMMYFUNCTION("""COMPUTED_VALUE"""),0.087)</f>
        <v>0.087</v>
      </c>
      <c r="R2217" s="14">
        <f>IFERROR(__xludf.DUMMYFUNCTION("""COMPUTED_VALUE"""),52.0)</f>
        <v>52</v>
      </c>
      <c r="S2217" s="14">
        <f>IFERROR(__xludf.DUMMYFUNCTION("""COMPUTED_VALUE"""),50.0)</f>
        <v>50</v>
      </c>
      <c r="T2217" s="14">
        <f>IFERROR(__xludf.DUMMYFUNCTION("""COMPUTED_VALUE"""),0.44)</f>
        <v>0.44</v>
      </c>
      <c r="U2217" s="14">
        <f>IFERROR(__xludf.DUMMYFUNCTION("""COMPUTED_VALUE"""),0.527)</f>
        <v>0.527</v>
      </c>
      <c r="V2217" s="14">
        <f>IFERROR(__xludf.DUMMYFUNCTION("""COMPUTED_VALUE"""),0.032)</f>
        <v>0.032</v>
      </c>
      <c r="W2217" s="14">
        <f>IFERROR(__xludf.DUMMYFUNCTION("""COMPUTED_VALUE"""),8039351.0)</f>
        <v>8039351</v>
      </c>
      <c r="X2217" s="14">
        <f>IFERROR(__xludf.DUMMYFUNCTION("""COMPUTED_VALUE"""),0.172)</f>
        <v>0.172</v>
      </c>
      <c r="Y2217" s="14" t="str">
        <f>IFERROR(__xludf.DUMMYFUNCTION("""COMPUTED_VALUE"""),"South Sudan-Africa")</f>
        <v>South Sudan-Africa</v>
      </c>
      <c r="Z2217" s="14" t="str">
        <f>IFERROR(__xludf.DUMMYFUNCTION("""COMPUTED_VALUE"""),"Africa")</f>
        <v>Africa</v>
      </c>
      <c r="AA2217" s="14" t="str">
        <f>IFERROR(__xludf.DUMMYFUNCTION("""COMPUTED_VALUE"""),"2005")</f>
        <v>2005</v>
      </c>
      <c r="AB2217" s="15" t="str">
        <f>IFERROR(__xludf.DUMMYFUNCTION("ARRAYFORMULA(VLOOKUP(A2217,IMPORTRANGE(""https://docs.google.com/spreadsheets/d/1BuTWp7qHGjWhqrnf-OmePP568O4A5Am9ttzvVdP67zw/edit#gid=1931367683"" ,""ENERGY!$A$2:$F$2692""), {2,3,4,5,6},0))"),"Africa")</f>
        <v>Africa</v>
      </c>
      <c r="AC2217" s="14" t="str">
        <f>IFERROR(__xludf.DUMMYFUNCTION("""COMPUTED_VALUE"""),"South Sudan-Africa")</f>
        <v>South Sudan-Africa</v>
      </c>
      <c r="AD2217" s="14" t="str">
        <f>IFERROR(__xludf.DUMMYFUNCTION("""COMPUTED_VALUE"""),"2008")</f>
        <v>2008</v>
      </c>
      <c r="AE2217" s="14"/>
      <c r="AF2217" s="14"/>
    </row>
    <row r="2218">
      <c r="A2218" s="12">
        <v>2217.0</v>
      </c>
      <c r="B2218" s="12" t="s">
        <v>249</v>
      </c>
      <c r="C2218" s="5" t="s">
        <v>77</v>
      </c>
      <c r="D2218" s="8"/>
      <c r="E2218" s="8"/>
      <c r="F2218" s="8"/>
      <c r="G2218" s="8"/>
      <c r="H2218" s="8"/>
      <c r="I2218" s="8"/>
      <c r="J2218" s="9" t="s">
        <v>67</v>
      </c>
      <c r="K2218" s="14" t="str">
        <f>IFERROR(__xludf.DUMMYFUNCTION("ARRAYFORMULA(VLOOKUP(A2218,IMPORTRANGE(""https://docs.google.com/spreadsheets/d/1BuTWp7qHGjWhqrnf-OmePP568O4A5Am9ttzvVdP67zw/edit#gid=1603210130"", ""TOURISM!$A$2:$F$2692""), {2,3,4,5,6},0))"),"Africa")</f>
        <v>Africa</v>
      </c>
      <c r="L2218" s="14"/>
      <c r="M2218" s="14" t="str">
        <f>IFERROR(__xludf.DUMMYFUNCTION("""COMPUTED_VALUE"""),"South Sudan-Africa")</f>
        <v>South Sudan-Africa</v>
      </c>
      <c r="N2218" s="14" t="str">
        <f>IFERROR(__xludf.DUMMYFUNCTION("""COMPUTED_VALUE"""),"2006")</f>
        <v>2006</v>
      </c>
      <c r="O2218" s="14"/>
      <c r="P2218" s="15">
        <f>IFERROR(__xludf.DUMMYFUNCTION("ARRAYFORMULA(VLOOKUP(A2218,IMPORTRANGE(""https://docs.google.com/spreadsheets/d/1BuTWp7qHGjWhqrnf-OmePP568O4A5Am9ttzvVdP67zw/edit#gid=771602874"" ,""HUMAN RESOURCES!$A$2:$M$2692""), {2,3,4,5,6,7,8,9,10,11,12,13},0))"),0.039)</f>
        <v>0.039</v>
      </c>
      <c r="Q2218" s="14">
        <f>IFERROR(__xludf.DUMMYFUNCTION("""COMPUTED_VALUE"""),0.083)</f>
        <v>0.083</v>
      </c>
      <c r="R2218" s="14">
        <f>IFERROR(__xludf.DUMMYFUNCTION("""COMPUTED_VALUE"""),53.0)</f>
        <v>53</v>
      </c>
      <c r="S2218" s="14">
        <f>IFERROR(__xludf.DUMMYFUNCTION("""COMPUTED_VALUE"""),50.0)</f>
        <v>50</v>
      </c>
      <c r="T2218" s="14">
        <f>IFERROR(__xludf.DUMMYFUNCTION("""COMPUTED_VALUE"""),0.438)</f>
        <v>0.438</v>
      </c>
      <c r="U2218" s="14">
        <f>IFERROR(__xludf.DUMMYFUNCTION("""COMPUTED_VALUE"""),0.529)</f>
        <v>0.529</v>
      </c>
      <c r="V2218" s="14">
        <f>IFERROR(__xludf.DUMMYFUNCTION("""COMPUTED_VALUE"""),0.033)</f>
        <v>0.033</v>
      </c>
      <c r="W2218" s="14">
        <f>IFERROR(__xludf.DUMMYFUNCTION("""COMPUTED_VALUE"""),8376893.0)</f>
        <v>8376893</v>
      </c>
      <c r="X2218" s="14">
        <f>IFERROR(__xludf.DUMMYFUNCTION("""COMPUTED_VALUE"""),0.173)</f>
        <v>0.173</v>
      </c>
      <c r="Y2218" s="14" t="str">
        <f>IFERROR(__xludf.DUMMYFUNCTION("""COMPUTED_VALUE"""),"South Sudan-Africa")</f>
        <v>South Sudan-Africa</v>
      </c>
      <c r="Z2218" s="14" t="str">
        <f>IFERROR(__xludf.DUMMYFUNCTION("""COMPUTED_VALUE"""),"Africa")</f>
        <v>Africa</v>
      </c>
      <c r="AA2218" s="14" t="str">
        <f>IFERROR(__xludf.DUMMYFUNCTION("""COMPUTED_VALUE"""),"2006")</f>
        <v>2006</v>
      </c>
      <c r="AB2218" s="15" t="str">
        <f>IFERROR(__xludf.DUMMYFUNCTION("ARRAYFORMULA(VLOOKUP(A2218,IMPORTRANGE(""https://docs.google.com/spreadsheets/d/1BuTWp7qHGjWhqrnf-OmePP568O4A5Am9ttzvVdP67zw/edit#gid=1931367683"" ,""ENERGY!$A$2:$F$2692""), {2,3,4,5,6},0))"),"Africa")</f>
        <v>Africa</v>
      </c>
      <c r="AC2218" s="14" t="str">
        <f>IFERROR(__xludf.DUMMYFUNCTION("""COMPUTED_VALUE"""),"South Sudan-Africa")</f>
        <v>South Sudan-Africa</v>
      </c>
      <c r="AD2218" s="14" t="str">
        <f>IFERROR(__xludf.DUMMYFUNCTION("""COMPUTED_VALUE"""),"2012")</f>
        <v>2012</v>
      </c>
      <c r="AE2218" s="14"/>
      <c r="AF2218" s="14"/>
    </row>
    <row r="2219">
      <c r="A2219" s="12">
        <v>2218.0</v>
      </c>
      <c r="B2219" s="12" t="s">
        <v>249</v>
      </c>
      <c r="C2219" s="5" t="s">
        <v>77</v>
      </c>
      <c r="D2219" s="8"/>
      <c r="E2219" s="8"/>
      <c r="F2219" s="8"/>
      <c r="G2219" s="8"/>
      <c r="H2219" s="8"/>
      <c r="I2219" s="8"/>
      <c r="J2219" s="9" t="s">
        <v>68</v>
      </c>
      <c r="K2219" s="14" t="str">
        <f>IFERROR(__xludf.DUMMYFUNCTION("ARRAYFORMULA(VLOOKUP(A2219,IMPORTRANGE(""https://docs.google.com/spreadsheets/d/1BuTWp7qHGjWhqrnf-OmePP568O4A5Am9ttzvVdP67zw/edit#gid=1603210130"", ""TOURISM!$A$2:$F$2692""), {2,3,4,5,6},0))"),"Africa")</f>
        <v>Africa</v>
      </c>
      <c r="L2219" s="14"/>
      <c r="M2219" s="14" t="str">
        <f>IFERROR(__xludf.DUMMYFUNCTION("""COMPUTED_VALUE"""),"South Sudan-Africa")</f>
        <v>South Sudan-Africa</v>
      </c>
      <c r="N2219" s="14" t="str">
        <f>IFERROR(__xludf.DUMMYFUNCTION("""COMPUTED_VALUE"""),"2007")</f>
        <v>2007</v>
      </c>
      <c r="O2219" s="14"/>
      <c r="P2219" s="15">
        <f>IFERROR(__xludf.DUMMYFUNCTION("ARRAYFORMULA(VLOOKUP(A2219,IMPORTRANGE(""https://docs.google.com/spreadsheets/d/1BuTWp7qHGjWhqrnf-OmePP568O4A5Am9ttzvVdP67zw/edit#gid=771602874"" ,""HUMAN RESOURCES!$A$2:$M$2692""), {2,3,4,5,6,7,8,9,10,11,12,13},0))"),0.039)</f>
        <v>0.039</v>
      </c>
      <c r="Q2219" s="14">
        <f>IFERROR(__xludf.DUMMYFUNCTION("""COMPUTED_VALUE"""),0.079)</f>
        <v>0.079</v>
      </c>
      <c r="R2219" s="14">
        <f>IFERROR(__xludf.DUMMYFUNCTION("""COMPUTED_VALUE"""),53.0)</f>
        <v>53</v>
      </c>
      <c r="S2219" s="14">
        <f>IFERROR(__xludf.DUMMYFUNCTION("""COMPUTED_VALUE"""),51.0)</f>
        <v>51</v>
      </c>
      <c r="T2219" s="14">
        <f>IFERROR(__xludf.DUMMYFUNCTION("""COMPUTED_VALUE"""),0.436)</f>
        <v>0.436</v>
      </c>
      <c r="U2219" s="14">
        <f>IFERROR(__xludf.DUMMYFUNCTION("""COMPUTED_VALUE"""),0.531)</f>
        <v>0.531</v>
      </c>
      <c r="V2219" s="14">
        <f>IFERROR(__xludf.DUMMYFUNCTION("""COMPUTED_VALUE"""),0.033)</f>
        <v>0.033</v>
      </c>
      <c r="W2219" s="14">
        <f>IFERROR(__xludf.DUMMYFUNCTION("""COMPUTED_VALUE"""),8736736.0)</f>
        <v>8736736</v>
      </c>
      <c r="X2219" s="14">
        <f>IFERROR(__xludf.DUMMYFUNCTION("""COMPUTED_VALUE"""),0.174)</f>
        <v>0.174</v>
      </c>
      <c r="Y2219" s="14" t="str">
        <f>IFERROR(__xludf.DUMMYFUNCTION("""COMPUTED_VALUE"""),"South Sudan-Africa")</f>
        <v>South Sudan-Africa</v>
      </c>
      <c r="Z2219" s="14" t="str">
        <f>IFERROR(__xludf.DUMMYFUNCTION("""COMPUTED_VALUE"""),"Africa")</f>
        <v>Africa</v>
      </c>
      <c r="AA2219" s="14" t="str">
        <f>IFERROR(__xludf.DUMMYFUNCTION("""COMPUTED_VALUE"""),"2007")</f>
        <v>2007</v>
      </c>
      <c r="AB2219" s="15" t="str">
        <f>IFERROR(__xludf.DUMMYFUNCTION("ARRAYFORMULA(VLOOKUP(A2219,IMPORTRANGE(""https://docs.google.com/spreadsheets/d/1BuTWp7qHGjWhqrnf-OmePP568O4A5Am9ttzvVdP67zw/edit#gid=1931367683"" ,""ENERGY!$A$2:$F$2692""), {2,3,4,5,6},0))"),"Africa")</f>
        <v>Africa</v>
      </c>
      <c r="AC2219" s="14" t="str">
        <f>IFERROR(__xludf.DUMMYFUNCTION("""COMPUTED_VALUE"""),"South Sudan-Africa")</f>
        <v>South Sudan-Africa</v>
      </c>
      <c r="AD2219" s="14" t="str">
        <f>IFERROR(__xludf.DUMMYFUNCTION("""COMPUTED_VALUE"""),"2010")</f>
        <v>2010</v>
      </c>
      <c r="AE2219" s="14"/>
      <c r="AF2219" s="14"/>
    </row>
    <row r="2220">
      <c r="A2220" s="12">
        <v>2219.0</v>
      </c>
      <c r="B2220" s="12" t="s">
        <v>249</v>
      </c>
      <c r="C2220" s="5" t="s">
        <v>77</v>
      </c>
      <c r="D2220" s="8"/>
      <c r="E2220" s="8"/>
      <c r="F2220" s="8"/>
      <c r="G2220" s="8"/>
      <c r="H2220" s="8"/>
      <c r="I2220" s="8"/>
      <c r="J2220" s="9" t="s">
        <v>69</v>
      </c>
      <c r="K2220" s="14" t="str">
        <f>IFERROR(__xludf.DUMMYFUNCTION("ARRAYFORMULA(VLOOKUP(A2220,IMPORTRANGE(""https://docs.google.com/spreadsheets/d/1BuTWp7qHGjWhqrnf-OmePP568O4A5Am9ttzvVdP67zw/edit#gid=1603210130"", ""TOURISM!$A$2:$F$2692""), {2,3,4,5,6},0))"),"Africa")</f>
        <v>Africa</v>
      </c>
      <c r="L2220" s="14"/>
      <c r="M2220" s="14" t="str">
        <f>IFERROR(__xludf.DUMMYFUNCTION("""COMPUTED_VALUE"""),"South Sudan-Africa")</f>
        <v>South Sudan-Africa</v>
      </c>
      <c r="N2220" s="14" t="str">
        <f>IFERROR(__xludf.DUMMYFUNCTION("""COMPUTED_VALUE"""),"2008")</f>
        <v>2008</v>
      </c>
      <c r="O2220" s="14"/>
      <c r="P2220" s="15">
        <f>IFERROR(__xludf.DUMMYFUNCTION("ARRAYFORMULA(VLOOKUP(A2220,IMPORTRANGE(""https://docs.google.com/spreadsheets/d/1BuTWp7qHGjWhqrnf-OmePP568O4A5Am9ttzvVdP67zw/edit#gid=771602874"" ,""HUMAN RESOURCES!$A$2:$M$2692""), {2,3,4,5,6,7,8,9,10,11,12,13},0))"),0.038)</f>
        <v>0.038</v>
      </c>
      <c r="Q2220" s="14">
        <f>IFERROR(__xludf.DUMMYFUNCTION("""COMPUTED_VALUE"""),0.076)</f>
        <v>0.076</v>
      </c>
      <c r="R2220" s="14">
        <f>IFERROR(__xludf.DUMMYFUNCTION("""COMPUTED_VALUE"""),53.0)</f>
        <v>53</v>
      </c>
      <c r="S2220" s="14">
        <f>IFERROR(__xludf.DUMMYFUNCTION("""COMPUTED_VALUE"""),51.0)</f>
        <v>51</v>
      </c>
      <c r="T2220" s="14">
        <f>IFERROR(__xludf.DUMMYFUNCTION("""COMPUTED_VALUE"""),0.434)</f>
        <v>0.434</v>
      </c>
      <c r="U2220" s="14">
        <f>IFERROR(__xludf.DUMMYFUNCTION("""COMPUTED_VALUE"""),0.533)</f>
        <v>0.533</v>
      </c>
      <c r="V2220" s="14">
        <f>IFERROR(__xludf.DUMMYFUNCTION("""COMPUTED_VALUE"""),0.033)</f>
        <v>0.033</v>
      </c>
      <c r="W2220" s="14">
        <f>IFERROR(__xludf.DUMMYFUNCTION("""COMPUTED_VALUE"""),9118386.0)</f>
        <v>9118386</v>
      </c>
      <c r="X2220" s="14">
        <f>IFERROR(__xludf.DUMMYFUNCTION("""COMPUTED_VALUE"""),0.176)</f>
        <v>0.176</v>
      </c>
      <c r="Y2220" s="14" t="str">
        <f>IFERROR(__xludf.DUMMYFUNCTION("""COMPUTED_VALUE"""),"South Sudan-Africa")</f>
        <v>South Sudan-Africa</v>
      </c>
      <c r="Z2220" s="14" t="str">
        <f>IFERROR(__xludf.DUMMYFUNCTION("""COMPUTED_VALUE"""),"Africa")</f>
        <v>Africa</v>
      </c>
      <c r="AA2220" s="14" t="str">
        <f>IFERROR(__xludf.DUMMYFUNCTION("""COMPUTED_VALUE"""),"2008")</f>
        <v>2008</v>
      </c>
      <c r="AB2220" s="15" t="str">
        <f>IFERROR(__xludf.DUMMYFUNCTION("ARRAYFORMULA(VLOOKUP(A2220,IMPORTRANGE(""https://docs.google.com/spreadsheets/d/1BuTWp7qHGjWhqrnf-OmePP568O4A5Am9ttzvVdP67zw/edit#gid=1931367683"" ,""ENERGY!$A$2:$F$2692""), {2,3,4,5,6},0))"),"Africa")</f>
        <v>Africa</v>
      </c>
      <c r="AC2220" s="14" t="str">
        <f>IFERROR(__xludf.DUMMYFUNCTION("""COMPUTED_VALUE"""),"South Sudan-Africa")</f>
        <v>South Sudan-Africa</v>
      </c>
      <c r="AD2220" s="14" t="str">
        <f>IFERROR(__xludf.DUMMYFUNCTION("""COMPUTED_VALUE"""),"2007")</f>
        <v>2007</v>
      </c>
      <c r="AE2220" s="14"/>
      <c r="AF2220" s="14"/>
    </row>
    <row r="2221">
      <c r="A2221" s="12">
        <v>2220.0</v>
      </c>
      <c r="B2221" s="12" t="s">
        <v>249</v>
      </c>
      <c r="C2221" s="5" t="s">
        <v>77</v>
      </c>
      <c r="D2221" s="8"/>
      <c r="E2221" s="8"/>
      <c r="F2221" s="8"/>
      <c r="G2221" s="8"/>
      <c r="H2221" s="8"/>
      <c r="I2221" s="8"/>
      <c r="J2221" s="9" t="s">
        <v>70</v>
      </c>
      <c r="K2221" s="14" t="str">
        <f>IFERROR(__xludf.DUMMYFUNCTION("ARRAYFORMULA(VLOOKUP(A2221,IMPORTRANGE(""https://docs.google.com/spreadsheets/d/1BuTWp7qHGjWhqrnf-OmePP568O4A5Am9ttzvVdP67zw/edit#gid=1603210130"", ""TOURISM!$A$2:$F$2692""), {2,3,4,5,6},0))"),"Africa")</f>
        <v>Africa</v>
      </c>
      <c r="L2221" s="14"/>
      <c r="M2221" s="14" t="str">
        <f>IFERROR(__xludf.DUMMYFUNCTION("""COMPUTED_VALUE"""),"South Sudan-Africa")</f>
        <v>South Sudan-Africa</v>
      </c>
      <c r="N2221" s="14" t="str">
        <f>IFERROR(__xludf.DUMMYFUNCTION("""COMPUTED_VALUE"""),"2009")</f>
        <v>2009</v>
      </c>
      <c r="O2221" s="14"/>
      <c r="P2221" s="15">
        <f>IFERROR(__xludf.DUMMYFUNCTION("ARRAYFORMULA(VLOOKUP(A2221,IMPORTRANGE(""https://docs.google.com/spreadsheets/d/1BuTWp7qHGjWhqrnf-OmePP568O4A5Am9ttzvVdP67zw/edit#gid=771602874"" ,""HUMAN RESOURCES!$A$2:$M$2692""), {2,3,4,5,6,7,8,9,10,11,12,13},0))"),0.038)</f>
        <v>0.038</v>
      </c>
      <c r="Q2221" s="14">
        <f>IFERROR(__xludf.DUMMYFUNCTION("""COMPUTED_VALUE"""),0.073)</f>
        <v>0.073</v>
      </c>
      <c r="R2221" s="14">
        <f>IFERROR(__xludf.DUMMYFUNCTION("""COMPUTED_VALUE"""),54.0)</f>
        <v>54</v>
      </c>
      <c r="S2221" s="14">
        <f>IFERROR(__xludf.DUMMYFUNCTION("""COMPUTED_VALUE"""),52.0)</f>
        <v>52</v>
      </c>
      <c r="T2221" s="14">
        <f>IFERROR(__xludf.DUMMYFUNCTION("""COMPUTED_VALUE"""),0.431)</f>
        <v>0.431</v>
      </c>
      <c r="U2221" s="14">
        <f>IFERROR(__xludf.DUMMYFUNCTION("""COMPUTED_VALUE"""),0.535)</f>
        <v>0.535</v>
      </c>
      <c r="V2221" s="14">
        <f>IFERROR(__xludf.DUMMYFUNCTION("""COMPUTED_VALUE"""),0.034)</f>
        <v>0.034</v>
      </c>
      <c r="W2221" s="14">
        <f>IFERROR(__xludf.DUMMYFUNCTION("""COMPUTED_VALUE"""),9520571.0)</f>
        <v>9520571</v>
      </c>
      <c r="X2221" s="14">
        <f>IFERROR(__xludf.DUMMYFUNCTION("""COMPUTED_VALUE"""),0.177)</f>
        <v>0.177</v>
      </c>
      <c r="Y2221" s="14" t="str">
        <f>IFERROR(__xludf.DUMMYFUNCTION("""COMPUTED_VALUE"""),"South Sudan-Africa")</f>
        <v>South Sudan-Africa</v>
      </c>
      <c r="Z2221" s="14" t="str">
        <f>IFERROR(__xludf.DUMMYFUNCTION("""COMPUTED_VALUE"""),"Africa")</f>
        <v>Africa</v>
      </c>
      <c r="AA2221" s="14" t="str">
        <f>IFERROR(__xludf.DUMMYFUNCTION("""COMPUTED_VALUE"""),"2009")</f>
        <v>2009</v>
      </c>
      <c r="AB2221" s="15" t="str">
        <f>IFERROR(__xludf.DUMMYFUNCTION("ARRAYFORMULA(VLOOKUP(A2221,IMPORTRANGE(""https://docs.google.com/spreadsheets/d/1BuTWp7qHGjWhqrnf-OmePP568O4A5Am9ttzvVdP67zw/edit#gid=1931367683"" ,""ENERGY!$A$2:$F$2692""), {2,3,4,5,6},0))"),"Africa")</f>
        <v>Africa</v>
      </c>
      <c r="AC2221" s="14" t="str">
        <f>IFERROR(__xludf.DUMMYFUNCTION("""COMPUTED_VALUE"""),"South Sudan-Africa")</f>
        <v>South Sudan-Africa</v>
      </c>
      <c r="AD2221" s="14" t="str">
        <f>IFERROR(__xludf.DUMMYFUNCTION("""COMPUTED_VALUE"""),"2012")</f>
        <v>2012</v>
      </c>
      <c r="AE2221" s="14"/>
      <c r="AF2221" s="14"/>
    </row>
    <row r="2222">
      <c r="A2222" s="12">
        <v>2221.0</v>
      </c>
      <c r="B2222" s="12" t="s">
        <v>249</v>
      </c>
      <c r="C2222" s="5" t="s">
        <v>77</v>
      </c>
      <c r="D2222" s="8"/>
      <c r="E2222" s="8"/>
      <c r="F2222" s="8"/>
      <c r="G2222" s="8"/>
      <c r="H2222" s="8"/>
      <c r="I2222" s="8"/>
      <c r="J2222" s="9" t="s">
        <v>71</v>
      </c>
      <c r="K2222" s="14" t="str">
        <f>IFERROR(__xludf.DUMMYFUNCTION("ARRAYFORMULA(VLOOKUP(A2222,IMPORTRANGE(""https://docs.google.com/spreadsheets/d/1BuTWp7qHGjWhqrnf-OmePP568O4A5Am9ttzvVdP67zw/edit#gid=1603210130"", ""TOURISM!$A$2:$F$2692""), {2,3,4,5,6},0))"),"Africa")</f>
        <v>Africa</v>
      </c>
      <c r="L2222" s="14"/>
      <c r="M2222" s="14" t="str">
        <f>IFERROR(__xludf.DUMMYFUNCTION("""COMPUTED_VALUE"""),"South Sudan-Africa")</f>
        <v>South Sudan-Africa</v>
      </c>
      <c r="N2222" s="14" t="str">
        <f>IFERROR(__xludf.DUMMYFUNCTION("""COMPUTED_VALUE"""),"2010")</f>
        <v>2010</v>
      </c>
      <c r="O2222" s="14"/>
      <c r="P2222" s="15">
        <f>IFERROR(__xludf.DUMMYFUNCTION("ARRAYFORMULA(VLOOKUP(A2222,IMPORTRANGE(""https://docs.google.com/spreadsheets/d/1BuTWp7qHGjWhqrnf-OmePP568O4A5Am9ttzvVdP67zw/edit#gid=771602874"" ,""HUMAN RESOURCES!$A$2:$M$2692""), {2,3,4,5,6,7,8,9,10,11,12,13},0))"),0.037)</f>
        <v>0.037</v>
      </c>
      <c r="Q2222" s="14">
        <f>IFERROR(__xludf.DUMMYFUNCTION("""COMPUTED_VALUE"""),0.071)</f>
        <v>0.071</v>
      </c>
      <c r="R2222" s="14">
        <f>IFERROR(__xludf.DUMMYFUNCTION("""COMPUTED_VALUE"""),54.0)</f>
        <v>54</v>
      </c>
      <c r="S2222" s="14">
        <f>IFERROR(__xludf.DUMMYFUNCTION("""COMPUTED_VALUE"""),52.0)</f>
        <v>52</v>
      </c>
      <c r="T2222" s="14">
        <f>IFERROR(__xludf.DUMMYFUNCTION("""COMPUTED_VALUE"""),0.428)</f>
        <v>0.428</v>
      </c>
      <c r="U2222" s="14">
        <f>IFERROR(__xludf.DUMMYFUNCTION("""COMPUTED_VALUE"""),0.538)</f>
        <v>0.538</v>
      </c>
      <c r="V2222" s="14">
        <f>IFERROR(__xludf.DUMMYFUNCTION("""COMPUTED_VALUE"""),0.034)</f>
        <v>0.034</v>
      </c>
      <c r="W2222" s="14">
        <f>IFERROR(__xludf.DUMMYFUNCTION("""COMPUTED_VALUE"""),9940929.0)</f>
        <v>9940929</v>
      </c>
      <c r="X2222" s="14">
        <f>IFERROR(__xludf.DUMMYFUNCTION("""COMPUTED_VALUE"""),0.179)</f>
        <v>0.179</v>
      </c>
      <c r="Y2222" s="14" t="str">
        <f>IFERROR(__xludf.DUMMYFUNCTION("""COMPUTED_VALUE"""),"South Sudan-Africa")</f>
        <v>South Sudan-Africa</v>
      </c>
      <c r="Z2222" s="14" t="str">
        <f>IFERROR(__xludf.DUMMYFUNCTION("""COMPUTED_VALUE"""),"Africa")</f>
        <v>Africa</v>
      </c>
      <c r="AA2222" s="14" t="str">
        <f>IFERROR(__xludf.DUMMYFUNCTION("""COMPUTED_VALUE"""),"2010")</f>
        <v>2010</v>
      </c>
      <c r="AB2222" s="15" t="str">
        <f>IFERROR(__xludf.DUMMYFUNCTION("ARRAYFORMULA(VLOOKUP(A2222,IMPORTRANGE(""https://docs.google.com/spreadsheets/d/1BuTWp7qHGjWhqrnf-OmePP568O4A5Am9ttzvVdP67zw/edit#gid=1931367683"" ,""ENERGY!$A$2:$F$2692""), {2,3,4,5,6},0))"),"Africa")</f>
        <v>Africa</v>
      </c>
      <c r="AC2222" s="14" t="str">
        <f>IFERROR(__xludf.DUMMYFUNCTION("""COMPUTED_VALUE"""),"South Sudan-Africa")</f>
        <v>South Sudan-Africa</v>
      </c>
      <c r="AD2222" s="14" t="str">
        <f>IFERROR(__xludf.DUMMYFUNCTION("""COMPUTED_VALUE"""),"2008")</f>
        <v>2008</v>
      </c>
      <c r="AE2222" s="14"/>
      <c r="AF2222" s="14"/>
    </row>
    <row r="2223">
      <c r="A2223" s="12">
        <v>2222.0</v>
      </c>
      <c r="B2223" s="12" t="s">
        <v>249</v>
      </c>
      <c r="C2223" s="5" t="s">
        <v>77</v>
      </c>
      <c r="D2223" s="8"/>
      <c r="E2223" s="8"/>
      <c r="F2223" s="8"/>
      <c r="G2223" s="8"/>
      <c r="H2223" s="8"/>
      <c r="I2223" s="11">
        <v>0.173</v>
      </c>
      <c r="J2223" s="9" t="s">
        <v>72</v>
      </c>
      <c r="K2223" s="14" t="str">
        <f>IFERROR(__xludf.DUMMYFUNCTION("ARRAYFORMULA(VLOOKUP(A2223,IMPORTRANGE(""https://docs.google.com/spreadsheets/d/1BuTWp7qHGjWhqrnf-OmePP568O4A5Am9ttzvVdP67zw/edit#gid=1603210130"", ""TOURISM!$A$2:$F$2692""), {2,3,4,5,6},0))"),"Africa")</f>
        <v>Africa</v>
      </c>
      <c r="L2223" s="14"/>
      <c r="M2223" s="14" t="str">
        <f>IFERROR(__xludf.DUMMYFUNCTION("""COMPUTED_VALUE"""),"South Sudan-Africa")</f>
        <v>South Sudan-Africa</v>
      </c>
      <c r="N2223" s="14" t="str">
        <f>IFERROR(__xludf.DUMMYFUNCTION("""COMPUTED_VALUE"""),"2011")</f>
        <v>2011</v>
      </c>
      <c r="O2223" s="14"/>
      <c r="P2223" s="15">
        <f>IFERROR(__xludf.DUMMYFUNCTION("ARRAYFORMULA(VLOOKUP(A2223,IMPORTRANGE(""https://docs.google.com/spreadsheets/d/1BuTWp7qHGjWhqrnf-OmePP568O4A5Am9ttzvVdP67zw/edit#gid=771602874"" ,""HUMAN RESOURCES!$A$2:$M$2692""), {2,3,4,5,6,7,8,9,10,11,12,13},0))"),0.037)</f>
        <v>0.037</v>
      </c>
      <c r="Q2223" s="14">
        <f>IFERROR(__xludf.DUMMYFUNCTION("""COMPUTED_VALUE"""),0.068)</f>
        <v>0.068</v>
      </c>
      <c r="R2223" s="14">
        <f>IFERROR(__xludf.DUMMYFUNCTION("""COMPUTED_VALUE"""),55.0)</f>
        <v>55</v>
      </c>
      <c r="S2223" s="14">
        <f>IFERROR(__xludf.DUMMYFUNCTION("""COMPUTED_VALUE"""),53.0)</f>
        <v>53</v>
      </c>
      <c r="T2223" s="14">
        <f>IFERROR(__xludf.DUMMYFUNCTION("""COMPUTED_VALUE"""),0.426)</f>
        <v>0.426</v>
      </c>
      <c r="U2223" s="14">
        <f>IFERROR(__xludf.DUMMYFUNCTION("""COMPUTED_VALUE"""),0.54)</f>
        <v>0.54</v>
      </c>
      <c r="V2223" s="14">
        <f>IFERROR(__xludf.DUMMYFUNCTION("""COMPUTED_VALUE"""),0.034)</f>
        <v>0.034</v>
      </c>
      <c r="W2223" s="14">
        <f>IFERROR(__xludf.DUMMYFUNCTION("""COMPUTED_VALUE"""),1.038111E7)</f>
        <v>10381110</v>
      </c>
      <c r="X2223" s="14">
        <f>IFERROR(__xludf.DUMMYFUNCTION("""COMPUTED_VALUE"""),0.18)</f>
        <v>0.18</v>
      </c>
      <c r="Y2223" s="14" t="str">
        <f>IFERROR(__xludf.DUMMYFUNCTION("""COMPUTED_VALUE"""),"South Sudan-Africa")</f>
        <v>South Sudan-Africa</v>
      </c>
      <c r="Z2223" s="14" t="str">
        <f>IFERROR(__xludf.DUMMYFUNCTION("""COMPUTED_VALUE"""),"Africa")</f>
        <v>Africa</v>
      </c>
      <c r="AA2223" s="14" t="str">
        <f>IFERROR(__xludf.DUMMYFUNCTION("""COMPUTED_VALUE"""),"2011")</f>
        <v>2011</v>
      </c>
      <c r="AB2223" s="15" t="str">
        <f>IFERROR(__xludf.DUMMYFUNCTION("ARRAYFORMULA(VLOOKUP(A2223,IMPORTRANGE(""https://docs.google.com/spreadsheets/d/1BuTWp7qHGjWhqrnf-OmePP568O4A5Am9ttzvVdP67zw/edit#gid=1931367683"" ,""ENERGY!$A$2:$F$2692""), {2,3,4,5,6},0))"),"Africa")</f>
        <v>Africa</v>
      </c>
      <c r="AC2223" s="14" t="str">
        <f>IFERROR(__xludf.DUMMYFUNCTION("""COMPUTED_VALUE"""),"South Sudan-Africa")</f>
        <v>South Sudan-Africa</v>
      </c>
      <c r="AD2223" s="14" t="str">
        <f>IFERROR(__xludf.DUMMYFUNCTION("""COMPUTED_VALUE"""),"2007")</f>
        <v>2007</v>
      </c>
      <c r="AE2223" s="14"/>
      <c r="AF2223" s="14"/>
    </row>
    <row r="2224">
      <c r="A2224" s="12">
        <v>2223.0</v>
      </c>
      <c r="B2224" s="12" t="s">
        <v>249</v>
      </c>
      <c r="C2224" s="5" t="s">
        <v>77</v>
      </c>
      <c r="D2224" s="11">
        <v>0.263</v>
      </c>
      <c r="E2224" s="11">
        <v>17.0</v>
      </c>
      <c r="F2224" s="11">
        <v>184.0</v>
      </c>
      <c r="G2224" s="11">
        <v>218.0</v>
      </c>
      <c r="H2224" s="8"/>
      <c r="I2224" s="11">
        <v>0.212</v>
      </c>
      <c r="J2224" s="9" t="s">
        <v>73</v>
      </c>
      <c r="K2224" s="14" t="str">
        <f>IFERROR(__xludf.DUMMYFUNCTION("ARRAYFORMULA(VLOOKUP(A2224,IMPORTRANGE(""https://docs.google.com/spreadsheets/d/1BuTWp7qHGjWhqrnf-OmePP568O4A5Am9ttzvVdP67zw/edit#gid=1603210130"", ""TOURISM!$A$2:$F$2692""), {2,3,4,5,6},0))"),"Africa")</f>
        <v>Africa</v>
      </c>
      <c r="L2224" s="14"/>
      <c r="M2224" s="14" t="str">
        <f>IFERROR(__xludf.DUMMYFUNCTION("""COMPUTED_VALUE"""),"South Sudan-Africa")</f>
        <v>South Sudan-Africa</v>
      </c>
      <c r="N2224" s="14" t="str">
        <f>IFERROR(__xludf.DUMMYFUNCTION("""COMPUTED_VALUE"""),"2012")</f>
        <v>2012</v>
      </c>
      <c r="O2224" s="14"/>
      <c r="P2224" s="15">
        <f>IFERROR(__xludf.DUMMYFUNCTION("ARRAYFORMULA(VLOOKUP(A2224,IMPORTRANGE(""https://docs.google.com/spreadsheets/d/1BuTWp7qHGjWhqrnf-OmePP568O4A5Am9ttzvVdP67zw/edit#gid=771602874"" ,""HUMAN RESOURCES!$A$2:$M$2692""), {2,3,4,5,6,7,8,9,10,11,12,13},0))"),0.037)</f>
        <v>0.037</v>
      </c>
      <c r="Q2224" s="14">
        <f>IFERROR(__xludf.DUMMYFUNCTION("""COMPUTED_VALUE"""),0.066)</f>
        <v>0.066</v>
      </c>
      <c r="R2224" s="14">
        <f>IFERROR(__xludf.DUMMYFUNCTION("""COMPUTED_VALUE"""),56.0)</f>
        <v>56</v>
      </c>
      <c r="S2224" s="14">
        <f>IFERROR(__xludf.DUMMYFUNCTION("""COMPUTED_VALUE"""),54.0)</f>
        <v>54</v>
      </c>
      <c r="T2224" s="14">
        <f>IFERROR(__xludf.DUMMYFUNCTION("""COMPUTED_VALUE"""),0.423)</f>
        <v>0.423</v>
      </c>
      <c r="U2224" s="14">
        <f>IFERROR(__xludf.DUMMYFUNCTION("""COMPUTED_VALUE"""),0.543)</f>
        <v>0.543</v>
      </c>
      <c r="V2224" s="14">
        <f>IFERROR(__xludf.DUMMYFUNCTION("""COMPUTED_VALUE"""),0.035)</f>
        <v>0.035</v>
      </c>
      <c r="W2224" s="14">
        <f>IFERROR(__xludf.DUMMYFUNCTION("""COMPUTED_VALUE"""),1.0837527E7)</f>
        <v>10837527</v>
      </c>
      <c r="X2224" s="14">
        <f>IFERROR(__xludf.DUMMYFUNCTION("""COMPUTED_VALUE"""),0.182)</f>
        <v>0.182</v>
      </c>
      <c r="Y2224" s="14" t="str">
        <f>IFERROR(__xludf.DUMMYFUNCTION("""COMPUTED_VALUE"""),"South Sudan-Africa")</f>
        <v>South Sudan-Africa</v>
      </c>
      <c r="Z2224" s="14" t="str">
        <f>IFERROR(__xludf.DUMMYFUNCTION("""COMPUTED_VALUE"""),"Africa")</f>
        <v>Africa</v>
      </c>
      <c r="AA2224" s="14" t="str">
        <f>IFERROR(__xludf.DUMMYFUNCTION("""COMPUTED_VALUE"""),"2012")</f>
        <v>2012</v>
      </c>
      <c r="AB2224" s="15" t="str">
        <f>IFERROR(__xludf.DUMMYFUNCTION("ARRAYFORMULA(VLOOKUP(A2224,IMPORTRANGE(""https://docs.google.com/spreadsheets/d/1BuTWp7qHGjWhqrnf-OmePP568O4A5Am9ttzvVdP67zw/edit#gid=1931367683"" ,""ENERGY!$A$2:$F$2692""), {2,3,4,5,6},0))"),"Africa")</f>
        <v>Africa</v>
      </c>
      <c r="AC2224" s="14" t="str">
        <f>IFERROR(__xludf.DUMMYFUNCTION("""COMPUTED_VALUE"""),"South Sudan-Africa")</f>
        <v>South Sudan-Africa</v>
      </c>
      <c r="AD2224" s="14" t="str">
        <f>IFERROR(__xludf.DUMMYFUNCTION("""COMPUTED_VALUE"""),"2012")</f>
        <v>2012</v>
      </c>
      <c r="AE2224" s="14"/>
      <c r="AF2224" s="14"/>
    </row>
    <row r="2225">
      <c r="A2225" s="12">
        <v>2224.0</v>
      </c>
      <c r="B2225" s="12" t="s">
        <v>250</v>
      </c>
      <c r="C2225" s="5" t="s">
        <v>75</v>
      </c>
      <c r="D2225" s="8"/>
      <c r="E2225" s="8"/>
      <c r="F2225" s="8"/>
      <c r="G2225" s="8"/>
      <c r="H2225" s="11">
        <v>0.136</v>
      </c>
      <c r="I2225" s="11">
        <v>0.602</v>
      </c>
      <c r="J2225" s="9" t="s">
        <v>60</v>
      </c>
      <c r="K2225" s="14" t="str">
        <f>IFERROR(__xludf.DUMMYFUNCTION("ARRAYFORMULA(VLOOKUP(A2225,IMPORTRANGE(""https://docs.google.com/spreadsheets/d/1BuTWp7qHGjWhqrnf-OmePP568O4A5Am9ttzvVdP67zw/edit#gid=1603210130"", ""TOURISM!$A$2:$F$2692""), {2,3,4,5,6},0))"),"Europe")</f>
        <v>Europe</v>
      </c>
      <c r="L2225" s="14">
        <f>IFERROR(__xludf.DUMMYFUNCTION("""COMPUTED_VALUE"""),3.2656E10)</f>
        <v>32656000000</v>
      </c>
      <c r="M2225" s="14" t="str">
        <f>IFERROR(__xludf.DUMMYFUNCTION("""COMPUTED_VALUE"""),"Spain-Europe")</f>
        <v>Spain-Europe</v>
      </c>
      <c r="N2225" s="14" t="str">
        <f>IFERROR(__xludf.DUMMYFUNCTION("""COMPUTED_VALUE"""),"2000")</f>
        <v>2000</v>
      </c>
      <c r="O2225" s="14">
        <f>IFERROR(__xludf.DUMMYFUNCTION("""COMPUTED_VALUE"""),7.71E9)</f>
        <v>7710000000</v>
      </c>
      <c r="P2225" s="15">
        <f>IFERROR(__xludf.DUMMYFUNCTION("ARRAYFORMULA(VLOOKUP(A2225,IMPORTRANGE(""https://docs.google.com/spreadsheets/d/1BuTWp7qHGjWhqrnf-OmePP568O4A5Am9ttzvVdP67zw/edit#gid=771602874"" ,""HUMAN RESOURCES!$A$2:$M$2692""), {2,3,4,5,6,7,8,9,10,11,12,13},0))"),0.01)</f>
        <v>0.01</v>
      </c>
      <c r="Q2225" s="14">
        <f>IFERROR(__xludf.DUMMYFUNCTION("""COMPUTED_VALUE"""),0.005)</f>
        <v>0.005</v>
      </c>
      <c r="R2225" s="14">
        <f>IFERROR(__xludf.DUMMYFUNCTION("""COMPUTED_VALUE"""),83.0)</f>
        <v>83</v>
      </c>
      <c r="S2225" s="14">
        <f>IFERROR(__xludf.DUMMYFUNCTION("""COMPUTED_VALUE"""),76.0)</f>
        <v>76</v>
      </c>
      <c r="T2225" s="14">
        <f>IFERROR(__xludf.DUMMYFUNCTION("""COMPUTED_VALUE"""),0.148)</f>
        <v>0.148</v>
      </c>
      <c r="U2225" s="14">
        <f>IFERROR(__xludf.DUMMYFUNCTION("""COMPUTED_VALUE"""),0.684)</f>
        <v>0.684</v>
      </c>
      <c r="V2225" s="14">
        <f>IFERROR(__xludf.DUMMYFUNCTION("""COMPUTED_VALUE"""),0.169)</f>
        <v>0.169</v>
      </c>
      <c r="W2225" s="14">
        <f>IFERROR(__xludf.DUMMYFUNCTION("""COMPUTED_VALUE"""),4.0263216E7)</f>
        <v>40263216</v>
      </c>
      <c r="X2225" s="14">
        <f>IFERROR(__xludf.DUMMYFUNCTION("""COMPUTED_VALUE"""),0.763)</f>
        <v>0.763</v>
      </c>
      <c r="Y2225" s="14" t="str">
        <f>IFERROR(__xludf.DUMMYFUNCTION("""COMPUTED_VALUE"""),"Spain-Europe")</f>
        <v>Spain-Europe</v>
      </c>
      <c r="Z2225" s="14" t="str">
        <f>IFERROR(__xludf.DUMMYFUNCTION("""COMPUTED_VALUE"""),"Europe")</f>
        <v>Europe</v>
      </c>
      <c r="AA2225" s="14" t="str">
        <f>IFERROR(__xludf.DUMMYFUNCTION("""COMPUTED_VALUE"""),"2000")</f>
        <v>2000</v>
      </c>
      <c r="AB2225" s="15" t="str">
        <f>IFERROR(__xludf.DUMMYFUNCTION("ARRAYFORMULA(VLOOKUP(A2225,IMPORTRANGE(""https://docs.google.com/spreadsheets/d/1BuTWp7qHGjWhqrnf-OmePP568O4A5Am9ttzvVdP67zw/edit#gid=1931367683"" ,""ENERGY!$A$2:$F$2692""), {2,3,4,5,6},0))"),"Europe")</f>
        <v>Europe</v>
      </c>
      <c r="AC2225" s="14" t="str">
        <f>IFERROR(__xludf.DUMMYFUNCTION("""COMPUTED_VALUE"""),"Spain-Europe")</f>
        <v>Spain-Europe</v>
      </c>
      <c r="AD2225" s="14" t="str">
        <f>IFERROR(__xludf.DUMMYFUNCTION("""COMPUTED_VALUE"""),"2000")</f>
        <v>2000</v>
      </c>
      <c r="AE2225" s="14">
        <f>IFERROR(__xludf.DUMMYFUNCTION("""COMPUTED_VALUE"""),124679.0)</f>
        <v>124679</v>
      </c>
      <c r="AF2225" s="14"/>
    </row>
    <row r="2226">
      <c r="A2226" s="12">
        <v>2225.0</v>
      </c>
      <c r="B2226" s="12" t="s">
        <v>250</v>
      </c>
      <c r="C2226" s="5" t="s">
        <v>75</v>
      </c>
      <c r="D2226" s="8"/>
      <c r="E2226" s="8"/>
      <c r="F2226" s="8"/>
      <c r="G2226" s="8"/>
      <c r="H2226" s="11">
        <v>0.181</v>
      </c>
      <c r="I2226" s="11">
        <v>0.728</v>
      </c>
      <c r="J2226" s="9" t="s">
        <v>62</v>
      </c>
      <c r="K2226" s="14" t="str">
        <f>IFERROR(__xludf.DUMMYFUNCTION("ARRAYFORMULA(VLOOKUP(A2226,IMPORTRANGE(""https://docs.google.com/spreadsheets/d/1BuTWp7qHGjWhqrnf-OmePP568O4A5Am9ttzvVdP67zw/edit#gid=1603210130"", ""TOURISM!$A$2:$F$2692""), {2,3,4,5,6},0))"),"Europe")</f>
        <v>Europe</v>
      </c>
      <c r="L2226" s="14">
        <f>IFERROR(__xludf.DUMMYFUNCTION("""COMPUTED_VALUE"""),3.3829E10)</f>
        <v>33829000000</v>
      </c>
      <c r="M2226" s="14" t="str">
        <f>IFERROR(__xludf.DUMMYFUNCTION("""COMPUTED_VALUE"""),"Spain-Europe")</f>
        <v>Spain-Europe</v>
      </c>
      <c r="N2226" s="14" t="str">
        <f>IFERROR(__xludf.DUMMYFUNCTION("""COMPUTED_VALUE"""),"2001")</f>
        <v>2001</v>
      </c>
      <c r="O2226" s="14">
        <f>IFERROR(__xludf.DUMMYFUNCTION("""COMPUTED_VALUE"""),8.466E9)</f>
        <v>8466000000</v>
      </c>
      <c r="P2226" s="15">
        <f>IFERROR(__xludf.DUMMYFUNCTION("ARRAYFORMULA(VLOOKUP(A2226,IMPORTRANGE(""https://docs.google.com/spreadsheets/d/1BuTWp7qHGjWhqrnf-OmePP568O4A5Am9ttzvVdP67zw/edit#gid=771602874"" ,""HUMAN RESOURCES!$A$2:$M$2692""), {2,3,4,5,6,7,8,9,10,11,12,13},0))"),0.01)</f>
        <v>0.01</v>
      </c>
      <c r="Q2226" s="14">
        <f>IFERROR(__xludf.DUMMYFUNCTION("""COMPUTED_VALUE"""),0.005)</f>
        <v>0.005</v>
      </c>
      <c r="R2226" s="14">
        <f>IFERROR(__xludf.DUMMYFUNCTION("""COMPUTED_VALUE"""),83.0)</f>
        <v>83</v>
      </c>
      <c r="S2226" s="14">
        <f>IFERROR(__xludf.DUMMYFUNCTION("""COMPUTED_VALUE"""),76.0)</f>
        <v>76</v>
      </c>
      <c r="T2226" s="14">
        <f>IFERROR(__xludf.DUMMYFUNCTION("""COMPUTED_VALUE"""),0.146)</f>
        <v>0.146</v>
      </c>
      <c r="U2226" s="14">
        <f>IFERROR(__xludf.DUMMYFUNCTION("""COMPUTED_VALUE"""),0.685)</f>
        <v>0.685</v>
      </c>
      <c r="V2226" s="14">
        <f>IFERROR(__xludf.DUMMYFUNCTION("""COMPUTED_VALUE"""),0.169)</f>
        <v>0.169</v>
      </c>
      <c r="W2226" s="14">
        <f>IFERROR(__xludf.DUMMYFUNCTION("""COMPUTED_VALUE"""),4.0756001E7)</f>
        <v>40756001</v>
      </c>
      <c r="X2226" s="14">
        <f>IFERROR(__xludf.DUMMYFUNCTION("""COMPUTED_VALUE"""),0.763)</f>
        <v>0.763</v>
      </c>
      <c r="Y2226" s="14" t="str">
        <f>IFERROR(__xludf.DUMMYFUNCTION("""COMPUTED_VALUE"""),"Spain-Europe")</f>
        <v>Spain-Europe</v>
      </c>
      <c r="Z2226" s="14" t="str">
        <f>IFERROR(__xludf.DUMMYFUNCTION("""COMPUTED_VALUE"""),"Europe")</f>
        <v>Europe</v>
      </c>
      <c r="AA2226" s="14" t="str">
        <f>IFERROR(__xludf.DUMMYFUNCTION("""COMPUTED_VALUE"""),"2001")</f>
        <v>2001</v>
      </c>
      <c r="AB2226" s="15" t="str">
        <f>IFERROR(__xludf.DUMMYFUNCTION("ARRAYFORMULA(VLOOKUP(A2226,IMPORTRANGE(""https://docs.google.com/spreadsheets/d/1BuTWp7qHGjWhqrnf-OmePP568O4A5Am9ttzvVdP67zw/edit#gid=1931367683"" ,""ENERGY!$A$2:$F$2692""), {2,3,4,5,6},0))"),"Europe")</f>
        <v>Europe</v>
      </c>
      <c r="AC2226" s="14" t="str">
        <f>IFERROR(__xludf.DUMMYFUNCTION("""COMPUTED_VALUE"""),"Spain-Europe")</f>
        <v>Spain-Europe</v>
      </c>
      <c r="AD2226" s="14" t="str">
        <f>IFERROR(__xludf.DUMMYFUNCTION("""COMPUTED_VALUE"""),"2001")</f>
        <v>2001</v>
      </c>
      <c r="AE2226" s="14">
        <f>IFERROR(__xludf.DUMMYFUNCTION("""COMPUTED_VALUE"""),125570.0)</f>
        <v>125570</v>
      </c>
      <c r="AF2226" s="14"/>
    </row>
    <row r="2227">
      <c r="A2227" s="12">
        <v>2226.0</v>
      </c>
      <c r="B2227" s="12" t="s">
        <v>250</v>
      </c>
      <c r="C2227" s="5" t="s">
        <v>75</v>
      </c>
      <c r="D2227" s="8"/>
      <c r="E2227" s="8"/>
      <c r="F2227" s="8"/>
      <c r="G2227" s="8"/>
      <c r="H2227" s="11">
        <v>0.204</v>
      </c>
      <c r="I2227" s="11">
        <v>0.811</v>
      </c>
      <c r="J2227" s="9" t="s">
        <v>63</v>
      </c>
      <c r="K2227" s="14" t="str">
        <f>IFERROR(__xludf.DUMMYFUNCTION("ARRAYFORMULA(VLOOKUP(A2227,IMPORTRANGE(""https://docs.google.com/spreadsheets/d/1BuTWp7qHGjWhqrnf-OmePP568O4A5Am9ttzvVdP67zw/edit#gid=1603210130"", ""TOURISM!$A$2:$F$2692""), {2,3,4,5,6},0))"),"Europe")</f>
        <v>Europe</v>
      </c>
      <c r="L2227" s="14">
        <f>IFERROR(__xludf.DUMMYFUNCTION("""COMPUTED_VALUE"""),3.5468E10)</f>
        <v>35468000000</v>
      </c>
      <c r="M2227" s="14" t="str">
        <f>IFERROR(__xludf.DUMMYFUNCTION("""COMPUTED_VALUE"""),"Spain-Europe")</f>
        <v>Spain-Europe</v>
      </c>
      <c r="N2227" s="14" t="str">
        <f>IFERROR(__xludf.DUMMYFUNCTION("""COMPUTED_VALUE"""),"2002")</f>
        <v>2002</v>
      </c>
      <c r="O2227" s="14">
        <f>IFERROR(__xludf.DUMMYFUNCTION("""COMPUTED_VALUE"""),9.366E9)</f>
        <v>9366000000</v>
      </c>
      <c r="P2227" s="15">
        <f>IFERROR(__xludf.DUMMYFUNCTION("ARRAYFORMULA(VLOOKUP(A2227,IMPORTRANGE(""https://docs.google.com/spreadsheets/d/1BuTWp7qHGjWhqrnf-OmePP568O4A5Am9ttzvVdP67zw/edit#gid=771602874"" ,""HUMAN RESOURCES!$A$2:$M$2692""), {2,3,4,5,6,7,8,9,10,11,12,13},0))"),0.01)</f>
        <v>0.01</v>
      </c>
      <c r="Q2227" s="14">
        <f>IFERROR(__xludf.DUMMYFUNCTION("""COMPUTED_VALUE"""),0.005)</f>
        <v>0.005</v>
      </c>
      <c r="R2227" s="14">
        <f>IFERROR(__xludf.DUMMYFUNCTION("""COMPUTED_VALUE"""),83.0)</f>
        <v>83</v>
      </c>
      <c r="S2227" s="14">
        <f>IFERROR(__xludf.DUMMYFUNCTION("""COMPUTED_VALUE"""),76.0)</f>
        <v>76</v>
      </c>
      <c r="T2227" s="14">
        <f>IFERROR(__xludf.DUMMYFUNCTION("""COMPUTED_VALUE"""),0.145)</f>
        <v>0.145</v>
      </c>
      <c r="U2227" s="14">
        <f>IFERROR(__xludf.DUMMYFUNCTION("""COMPUTED_VALUE"""),0.686)</f>
        <v>0.686</v>
      </c>
      <c r="V2227" s="14">
        <f>IFERROR(__xludf.DUMMYFUNCTION("""COMPUTED_VALUE"""),0.169)</f>
        <v>0.169</v>
      </c>
      <c r="W2227" s="14">
        <f>IFERROR(__xludf.DUMMYFUNCTION("""COMPUTED_VALUE"""),4.1431558E7)</f>
        <v>41431558</v>
      </c>
      <c r="X2227" s="14">
        <f>IFERROR(__xludf.DUMMYFUNCTION("""COMPUTED_VALUE"""),0.765)</f>
        <v>0.765</v>
      </c>
      <c r="Y2227" s="14" t="str">
        <f>IFERROR(__xludf.DUMMYFUNCTION("""COMPUTED_VALUE"""),"Spain-Europe")</f>
        <v>Spain-Europe</v>
      </c>
      <c r="Z2227" s="14" t="str">
        <f>IFERROR(__xludf.DUMMYFUNCTION("""COMPUTED_VALUE"""),"Europe")</f>
        <v>Europe</v>
      </c>
      <c r="AA2227" s="14" t="str">
        <f>IFERROR(__xludf.DUMMYFUNCTION("""COMPUTED_VALUE"""),"2002")</f>
        <v>2002</v>
      </c>
      <c r="AB2227" s="15" t="str">
        <f>IFERROR(__xludf.DUMMYFUNCTION("ARRAYFORMULA(VLOOKUP(A2227,IMPORTRANGE(""https://docs.google.com/spreadsheets/d/1BuTWp7qHGjWhqrnf-OmePP568O4A5Am9ttzvVdP67zw/edit#gid=1931367683"" ,""ENERGY!$A$2:$F$2692""), {2,3,4,5,6},0))"),"Europe")</f>
        <v>Europe</v>
      </c>
      <c r="AC2227" s="14" t="str">
        <f>IFERROR(__xludf.DUMMYFUNCTION("""COMPUTED_VALUE"""),"Spain-Europe")</f>
        <v>Spain-Europe</v>
      </c>
      <c r="AD2227" s="14" t="str">
        <f>IFERROR(__xludf.DUMMYFUNCTION("""COMPUTED_VALUE"""),"2002")</f>
        <v>2002</v>
      </c>
      <c r="AE2227" s="14">
        <f>IFERROR(__xludf.DUMMYFUNCTION("""COMPUTED_VALUE"""),127749.0)</f>
        <v>127749</v>
      </c>
      <c r="AF2227" s="14">
        <f>IFERROR(__xludf.DUMMYFUNCTION("""COMPUTED_VALUE"""),269675.0)</f>
        <v>269675</v>
      </c>
    </row>
    <row r="2228">
      <c r="A2228" s="12">
        <v>2227.0</v>
      </c>
      <c r="B2228" s="12" t="s">
        <v>250</v>
      </c>
      <c r="C2228" s="5" t="s">
        <v>75</v>
      </c>
      <c r="D2228" s="8"/>
      <c r="E2228" s="11">
        <v>114.0</v>
      </c>
      <c r="F2228" s="8"/>
      <c r="G2228" s="8"/>
      <c r="H2228" s="11">
        <v>0.399</v>
      </c>
      <c r="I2228" s="11">
        <v>0.886</v>
      </c>
      <c r="J2228" s="9" t="s">
        <v>64</v>
      </c>
      <c r="K2228" s="14" t="str">
        <f>IFERROR(__xludf.DUMMYFUNCTION("ARRAYFORMULA(VLOOKUP(A2228,IMPORTRANGE(""https://docs.google.com/spreadsheets/d/1BuTWp7qHGjWhqrnf-OmePP568O4A5Am9ttzvVdP67zw/edit#gid=1603210130"", ""TOURISM!$A$2:$F$2692""), {2,3,4,5,6},0))"),"Europe")</f>
        <v>Europe</v>
      </c>
      <c r="L2228" s="14">
        <f>IFERROR(__xludf.DUMMYFUNCTION("""COMPUTED_VALUE"""),4.3863E10)</f>
        <v>43863000000</v>
      </c>
      <c r="M2228" s="14" t="str">
        <f>IFERROR(__xludf.DUMMYFUNCTION("""COMPUTED_VALUE"""),"Spain-Europe")</f>
        <v>Spain-Europe</v>
      </c>
      <c r="N2228" s="14" t="str">
        <f>IFERROR(__xludf.DUMMYFUNCTION("""COMPUTED_VALUE"""),"2003")</f>
        <v>2003</v>
      </c>
      <c r="O2228" s="14">
        <f>IFERROR(__xludf.DUMMYFUNCTION("""COMPUTED_VALUE"""),1.133E10)</f>
        <v>11330000000</v>
      </c>
      <c r="P2228" s="15">
        <f>IFERROR(__xludf.DUMMYFUNCTION("ARRAYFORMULA(VLOOKUP(A2228,IMPORTRANGE(""https://docs.google.com/spreadsheets/d/1BuTWp7qHGjWhqrnf-OmePP568O4A5Am9ttzvVdP67zw/edit#gid=771602874"" ,""HUMAN RESOURCES!$A$2:$M$2692""), {2,3,4,5,6,7,8,9,10,11,12,13},0))"),0.01)</f>
        <v>0.01</v>
      </c>
      <c r="Q2228" s="14">
        <f>IFERROR(__xludf.DUMMYFUNCTION("""COMPUTED_VALUE"""),0.005)</f>
        <v>0.005</v>
      </c>
      <c r="R2228" s="14">
        <f>IFERROR(__xludf.DUMMYFUNCTION("""COMPUTED_VALUE"""),83.0)</f>
        <v>83</v>
      </c>
      <c r="S2228" s="14">
        <f>IFERROR(__xludf.DUMMYFUNCTION("""COMPUTED_VALUE"""),76.0)</f>
        <v>76</v>
      </c>
      <c r="T2228" s="14">
        <f>IFERROR(__xludf.DUMMYFUNCTION("""COMPUTED_VALUE"""),0.145)</f>
        <v>0.145</v>
      </c>
      <c r="U2228" s="14">
        <f>IFERROR(__xludf.DUMMYFUNCTION("""COMPUTED_VALUE"""),0.687)</f>
        <v>0.687</v>
      </c>
      <c r="V2228" s="14">
        <f>IFERROR(__xludf.DUMMYFUNCTION("""COMPUTED_VALUE"""),0.169)</f>
        <v>0.169</v>
      </c>
      <c r="W2228" s="14">
        <f>IFERROR(__xludf.DUMMYFUNCTION("""COMPUTED_VALUE"""),4.2187645E7)</f>
        <v>42187645</v>
      </c>
      <c r="X2228" s="14">
        <f>IFERROR(__xludf.DUMMYFUNCTION("""COMPUTED_VALUE"""),0.768)</f>
        <v>0.768</v>
      </c>
      <c r="Y2228" s="14" t="str">
        <f>IFERROR(__xludf.DUMMYFUNCTION("""COMPUTED_VALUE"""),"Spain-Europe")</f>
        <v>Spain-Europe</v>
      </c>
      <c r="Z2228" s="14" t="str">
        <f>IFERROR(__xludf.DUMMYFUNCTION("""COMPUTED_VALUE"""),"Europe")</f>
        <v>Europe</v>
      </c>
      <c r="AA2228" s="14" t="str">
        <f>IFERROR(__xludf.DUMMYFUNCTION("""COMPUTED_VALUE"""),"2003")</f>
        <v>2003</v>
      </c>
      <c r="AB2228" s="15" t="str">
        <f>IFERROR(__xludf.DUMMYFUNCTION("ARRAYFORMULA(VLOOKUP(A2228,IMPORTRANGE(""https://docs.google.com/spreadsheets/d/1BuTWp7qHGjWhqrnf-OmePP568O4A5Am9ttzvVdP67zw/edit#gid=1931367683"" ,""ENERGY!$A$2:$F$2692""), {2,3,4,5,6},0))"),"Europe")</f>
        <v>Europe</v>
      </c>
      <c r="AC2228" s="14" t="str">
        <f>IFERROR(__xludf.DUMMYFUNCTION("""COMPUTED_VALUE"""),"Spain-Europe")</f>
        <v>Spain-Europe</v>
      </c>
      <c r="AD2228" s="14" t="str">
        <f>IFERROR(__xludf.DUMMYFUNCTION("""COMPUTED_VALUE"""),"2003")</f>
        <v>2003</v>
      </c>
      <c r="AE2228" s="14">
        <f>IFERROR(__xludf.DUMMYFUNCTION("""COMPUTED_VALUE"""),127732.0)</f>
        <v>127732</v>
      </c>
      <c r="AF2228" s="14">
        <f>IFERROR(__xludf.DUMMYFUNCTION("""COMPUTED_VALUE"""),288237.0)</f>
        <v>288237</v>
      </c>
    </row>
    <row r="2229">
      <c r="A2229" s="12">
        <v>2228.0</v>
      </c>
      <c r="B2229" s="12" t="s">
        <v>250</v>
      </c>
      <c r="C2229" s="5" t="s">
        <v>75</v>
      </c>
      <c r="D2229" s="8"/>
      <c r="E2229" s="11">
        <v>114.0</v>
      </c>
      <c r="F2229" s="8"/>
      <c r="G2229" s="8"/>
      <c r="H2229" s="11">
        <v>0.44</v>
      </c>
      <c r="I2229" s="11">
        <v>0.904</v>
      </c>
      <c r="J2229" s="9" t="s">
        <v>65</v>
      </c>
      <c r="K2229" s="14" t="str">
        <f>IFERROR(__xludf.DUMMYFUNCTION("ARRAYFORMULA(VLOOKUP(A2229,IMPORTRANGE(""https://docs.google.com/spreadsheets/d/1BuTWp7qHGjWhqrnf-OmePP568O4A5Am9ttzvVdP67zw/edit#gid=1603210130"", ""TOURISM!$A$2:$F$2692""), {2,3,4,5,6},0))"),"Europe")</f>
        <v>Europe</v>
      </c>
      <c r="L2229" s="14">
        <f>IFERROR(__xludf.DUMMYFUNCTION("""COMPUTED_VALUE"""),4.9996E10)</f>
        <v>49996000000</v>
      </c>
      <c r="M2229" s="14" t="str">
        <f>IFERROR(__xludf.DUMMYFUNCTION("""COMPUTED_VALUE"""),"Spain-Europe")</f>
        <v>Spain-Europe</v>
      </c>
      <c r="N2229" s="14" t="str">
        <f>IFERROR(__xludf.DUMMYFUNCTION("""COMPUTED_VALUE"""),"2004")</f>
        <v>2004</v>
      </c>
      <c r="O2229" s="14">
        <f>IFERROR(__xludf.DUMMYFUNCTION("""COMPUTED_VALUE"""),1.4864E10)</f>
        <v>14864000000</v>
      </c>
      <c r="P2229" s="15">
        <f>IFERROR(__xludf.DUMMYFUNCTION("ARRAYFORMULA(VLOOKUP(A2229,IMPORTRANGE(""https://docs.google.com/spreadsheets/d/1BuTWp7qHGjWhqrnf-OmePP568O4A5Am9ttzvVdP67zw/edit#gid=771602874"" ,""HUMAN RESOURCES!$A$2:$M$2692""), {2,3,4,5,6,7,8,9,10,11,12,13},0))"),0.011)</f>
        <v>0.011</v>
      </c>
      <c r="Q2229" s="14">
        <f>IFERROR(__xludf.DUMMYFUNCTION("""COMPUTED_VALUE"""),0.005)</f>
        <v>0.005</v>
      </c>
      <c r="R2229" s="14">
        <f>IFERROR(__xludf.DUMMYFUNCTION("""COMPUTED_VALUE"""),83.0)</f>
        <v>83</v>
      </c>
      <c r="S2229" s="14">
        <f>IFERROR(__xludf.DUMMYFUNCTION("""COMPUTED_VALUE"""),77.0)</f>
        <v>77</v>
      </c>
      <c r="T2229" s="14">
        <f>IFERROR(__xludf.DUMMYFUNCTION("""COMPUTED_VALUE"""),0.145)</f>
        <v>0.145</v>
      </c>
      <c r="U2229" s="14">
        <f>IFERROR(__xludf.DUMMYFUNCTION("""COMPUTED_VALUE"""),0.687)</f>
        <v>0.687</v>
      </c>
      <c r="V2229" s="14">
        <f>IFERROR(__xludf.DUMMYFUNCTION("""COMPUTED_VALUE"""),0.168)</f>
        <v>0.168</v>
      </c>
      <c r="W2229" s="14">
        <f>IFERROR(__xludf.DUMMYFUNCTION("""COMPUTED_VALUE"""),4.2921895E7)</f>
        <v>42921895</v>
      </c>
      <c r="X2229" s="14">
        <f>IFERROR(__xludf.DUMMYFUNCTION("""COMPUTED_VALUE"""),0.77)</f>
        <v>0.77</v>
      </c>
      <c r="Y2229" s="14" t="str">
        <f>IFERROR(__xludf.DUMMYFUNCTION("""COMPUTED_VALUE"""),"Spain-Europe")</f>
        <v>Spain-Europe</v>
      </c>
      <c r="Z2229" s="14" t="str">
        <f>IFERROR(__xludf.DUMMYFUNCTION("""COMPUTED_VALUE"""),"Europe")</f>
        <v>Europe</v>
      </c>
      <c r="AA2229" s="14" t="str">
        <f>IFERROR(__xludf.DUMMYFUNCTION("""COMPUTED_VALUE"""),"2004")</f>
        <v>2004</v>
      </c>
      <c r="AB2229" s="15" t="str">
        <f>IFERROR(__xludf.DUMMYFUNCTION("ARRAYFORMULA(VLOOKUP(A2229,IMPORTRANGE(""https://docs.google.com/spreadsheets/d/1BuTWp7qHGjWhqrnf-OmePP568O4A5Am9ttzvVdP67zw/edit#gid=1931367683"" ,""ENERGY!$A$2:$F$2692""), {2,3,4,5,6},0))"),"Europe")</f>
        <v>Europe</v>
      </c>
      <c r="AC2229" s="14" t="str">
        <f>IFERROR(__xludf.DUMMYFUNCTION("""COMPUTED_VALUE"""),"Spain-Europe")</f>
        <v>Spain-Europe</v>
      </c>
      <c r="AD2229" s="14" t="str">
        <f>IFERROR(__xludf.DUMMYFUNCTION("""COMPUTED_VALUE"""),"2004")</f>
        <v>2004</v>
      </c>
      <c r="AE2229" s="14">
        <f>IFERROR(__xludf.DUMMYFUNCTION("""COMPUTED_VALUE"""),139013.0)</f>
        <v>139013</v>
      </c>
      <c r="AF2229" s="14">
        <f>IFERROR(__xludf.DUMMYFUNCTION("""COMPUTED_VALUE"""),329286.0)</f>
        <v>329286</v>
      </c>
    </row>
    <row r="2230">
      <c r="A2230" s="12">
        <v>2229.0</v>
      </c>
      <c r="B2230" s="12" t="s">
        <v>250</v>
      </c>
      <c r="C2230" s="5" t="s">
        <v>75</v>
      </c>
      <c r="D2230" s="11">
        <v>0.619</v>
      </c>
      <c r="E2230" s="11">
        <v>47.0</v>
      </c>
      <c r="F2230" s="8"/>
      <c r="G2230" s="11">
        <v>298.0</v>
      </c>
      <c r="H2230" s="11">
        <v>0.479</v>
      </c>
      <c r="I2230" s="11">
        <v>0.984</v>
      </c>
      <c r="J2230" s="9" t="s">
        <v>66</v>
      </c>
      <c r="K2230" s="14" t="str">
        <f>IFERROR(__xludf.DUMMYFUNCTION("ARRAYFORMULA(VLOOKUP(A2230,IMPORTRANGE(""https://docs.google.com/spreadsheets/d/1BuTWp7qHGjWhqrnf-OmePP568O4A5Am9ttzvVdP67zw/edit#gid=1603210130"", ""TOURISM!$A$2:$F$2692""), {2,3,4,5,6},0))"),"Europe")</f>
        <v>Europe</v>
      </c>
      <c r="L2230" s="14">
        <f>IFERROR(__xludf.DUMMYFUNCTION("""COMPUTED_VALUE"""),5.3066E10)</f>
        <v>53066000000</v>
      </c>
      <c r="M2230" s="14" t="str">
        <f>IFERROR(__xludf.DUMMYFUNCTION("""COMPUTED_VALUE"""),"Spain-Europe")</f>
        <v>Spain-Europe</v>
      </c>
      <c r="N2230" s="14" t="str">
        <f>IFERROR(__xludf.DUMMYFUNCTION("""COMPUTED_VALUE"""),"2005")</f>
        <v>2005</v>
      </c>
      <c r="O2230" s="14">
        <f>IFERROR(__xludf.DUMMYFUNCTION("""COMPUTED_VALUE"""),1.8441E10)</f>
        <v>18441000000</v>
      </c>
      <c r="P2230" s="15">
        <f>IFERROR(__xludf.DUMMYFUNCTION("ARRAYFORMULA(VLOOKUP(A2230,IMPORTRANGE(""https://docs.google.com/spreadsheets/d/1BuTWp7qHGjWhqrnf-OmePP568O4A5Am9ttzvVdP67zw/edit#gid=771602874"" ,""HUMAN RESOURCES!$A$2:$M$2692""), {2,3,4,5,6,7,8,9,10,11,12,13},0))"),0.011)</f>
        <v>0.011</v>
      </c>
      <c r="Q2230" s="14">
        <f>IFERROR(__xludf.DUMMYFUNCTION("""COMPUTED_VALUE"""),0.005)</f>
        <v>0.005</v>
      </c>
      <c r="R2230" s="14">
        <f>IFERROR(__xludf.DUMMYFUNCTION("""COMPUTED_VALUE"""),84.0)</f>
        <v>84</v>
      </c>
      <c r="S2230" s="14">
        <f>IFERROR(__xludf.DUMMYFUNCTION("""COMPUTED_VALUE"""),77.0)</f>
        <v>77</v>
      </c>
      <c r="T2230" s="14">
        <f>IFERROR(__xludf.DUMMYFUNCTION("""COMPUTED_VALUE"""),0.145)</f>
        <v>0.145</v>
      </c>
      <c r="U2230" s="14">
        <f>IFERROR(__xludf.DUMMYFUNCTION("""COMPUTED_VALUE"""),0.688)</f>
        <v>0.688</v>
      </c>
      <c r="V2230" s="14">
        <f>IFERROR(__xludf.DUMMYFUNCTION("""COMPUTED_VALUE"""),0.168)</f>
        <v>0.168</v>
      </c>
      <c r="W2230" s="14">
        <f>IFERROR(__xludf.DUMMYFUNCTION("""COMPUTED_VALUE"""),4.3653155E7)</f>
        <v>43653155</v>
      </c>
      <c r="X2230" s="14">
        <f>IFERROR(__xludf.DUMMYFUNCTION("""COMPUTED_VALUE"""),0.773)</f>
        <v>0.773</v>
      </c>
      <c r="Y2230" s="14" t="str">
        <f>IFERROR(__xludf.DUMMYFUNCTION("""COMPUTED_VALUE"""),"Spain-Europe")</f>
        <v>Spain-Europe</v>
      </c>
      <c r="Z2230" s="14" t="str">
        <f>IFERROR(__xludf.DUMMYFUNCTION("""COMPUTED_VALUE"""),"Europe")</f>
        <v>Europe</v>
      </c>
      <c r="AA2230" s="14" t="str">
        <f>IFERROR(__xludf.DUMMYFUNCTION("""COMPUTED_VALUE"""),"2005")</f>
        <v>2005</v>
      </c>
      <c r="AB2230" s="15" t="str">
        <f>IFERROR(__xludf.DUMMYFUNCTION("ARRAYFORMULA(VLOOKUP(A2230,IMPORTRANGE(""https://docs.google.com/spreadsheets/d/1BuTWp7qHGjWhqrnf-OmePP568O4A5Am9ttzvVdP67zw/edit#gid=1931367683"" ,""ENERGY!$A$2:$F$2692""), {2,3,4,5,6},0))"),"Europe")</f>
        <v>Europe</v>
      </c>
      <c r="AC2230" s="14" t="str">
        <f>IFERROR(__xludf.DUMMYFUNCTION("""COMPUTED_VALUE"""),"Spain-Europe")</f>
        <v>Spain-Europe</v>
      </c>
      <c r="AD2230" s="14" t="str">
        <f>IFERROR(__xludf.DUMMYFUNCTION("""COMPUTED_VALUE"""),"2008")</f>
        <v>2008</v>
      </c>
      <c r="AE2230" s="14">
        <f>IFERROR(__xludf.DUMMYFUNCTION("""COMPUTED_VALUE"""),143836.0)</f>
        <v>143836</v>
      </c>
      <c r="AF2230" s="14">
        <f>IFERROR(__xludf.DUMMYFUNCTION("""COMPUTED_VALUE"""),358237.0)</f>
        <v>358237</v>
      </c>
    </row>
    <row r="2231">
      <c r="A2231" s="12">
        <v>2230.0</v>
      </c>
      <c r="B2231" s="12" t="s">
        <v>250</v>
      </c>
      <c r="C2231" s="5" t="s">
        <v>75</v>
      </c>
      <c r="D2231" s="11">
        <v>0.619</v>
      </c>
      <c r="E2231" s="11">
        <v>47.0</v>
      </c>
      <c r="F2231" s="8"/>
      <c r="G2231" s="11">
        <v>298.0</v>
      </c>
      <c r="H2231" s="11">
        <v>0.504</v>
      </c>
      <c r="I2231" s="11">
        <v>1.038</v>
      </c>
      <c r="J2231" s="9" t="s">
        <v>67</v>
      </c>
      <c r="K2231" s="14" t="str">
        <f>IFERROR(__xludf.DUMMYFUNCTION("ARRAYFORMULA(VLOOKUP(A2231,IMPORTRANGE(""https://docs.google.com/spreadsheets/d/1BuTWp7qHGjWhqrnf-OmePP568O4A5Am9ttzvVdP67zw/edit#gid=1603210130"", ""TOURISM!$A$2:$F$2692""), {2,3,4,5,6},0))"),"Europe")</f>
        <v>Europe</v>
      </c>
      <c r="L2231" s="14">
        <f>IFERROR(__xludf.DUMMYFUNCTION("""COMPUTED_VALUE"""),5.7543E10)</f>
        <v>57543000000</v>
      </c>
      <c r="M2231" s="14" t="str">
        <f>IFERROR(__xludf.DUMMYFUNCTION("""COMPUTED_VALUE"""),"Spain-Europe")</f>
        <v>Spain-Europe</v>
      </c>
      <c r="N2231" s="14" t="str">
        <f>IFERROR(__xludf.DUMMYFUNCTION("""COMPUTED_VALUE"""),"2006")</f>
        <v>2006</v>
      </c>
      <c r="O2231" s="14">
        <f>IFERROR(__xludf.DUMMYFUNCTION("""COMPUTED_VALUE"""),2.0348E10)</f>
        <v>20348000000</v>
      </c>
      <c r="P2231" s="15">
        <f>IFERROR(__xludf.DUMMYFUNCTION("ARRAYFORMULA(VLOOKUP(A2231,IMPORTRANGE(""https://docs.google.com/spreadsheets/d/1BuTWp7qHGjWhqrnf-OmePP568O4A5Am9ttzvVdP67zw/edit#gid=771602874"" ,""HUMAN RESOURCES!$A$2:$M$2692""), {2,3,4,5,6,7,8,9,10,11,12,13},0))"),0.011)</f>
        <v>0.011</v>
      </c>
      <c r="Q2231" s="14">
        <f>IFERROR(__xludf.DUMMYFUNCTION("""COMPUTED_VALUE"""),0.005)</f>
        <v>0.005</v>
      </c>
      <c r="R2231" s="14">
        <f>IFERROR(__xludf.DUMMYFUNCTION("""COMPUTED_VALUE"""),84.0)</f>
        <v>84</v>
      </c>
      <c r="S2231" s="14">
        <f>IFERROR(__xludf.DUMMYFUNCTION("""COMPUTED_VALUE"""),78.0)</f>
        <v>78</v>
      </c>
      <c r="T2231" s="14">
        <f>IFERROR(__xludf.DUMMYFUNCTION("""COMPUTED_VALUE"""),0.145)</f>
        <v>0.145</v>
      </c>
      <c r="U2231" s="14">
        <f>IFERROR(__xludf.DUMMYFUNCTION("""COMPUTED_VALUE"""),0.687)</f>
        <v>0.687</v>
      </c>
      <c r="V2231" s="14">
        <f>IFERROR(__xludf.DUMMYFUNCTION("""COMPUTED_VALUE"""),0.168)</f>
        <v>0.168</v>
      </c>
      <c r="W2231" s="14">
        <f>IFERROR(__xludf.DUMMYFUNCTION("""COMPUTED_VALUE"""),4.4397319E7)</f>
        <v>44397319</v>
      </c>
      <c r="X2231" s="14">
        <f>IFERROR(__xludf.DUMMYFUNCTION("""COMPUTED_VALUE"""),0.775)</f>
        <v>0.775</v>
      </c>
      <c r="Y2231" s="14" t="str">
        <f>IFERROR(__xludf.DUMMYFUNCTION("""COMPUTED_VALUE"""),"Spain-Europe")</f>
        <v>Spain-Europe</v>
      </c>
      <c r="Z2231" s="14" t="str">
        <f>IFERROR(__xludf.DUMMYFUNCTION("""COMPUTED_VALUE"""),"Europe")</f>
        <v>Europe</v>
      </c>
      <c r="AA2231" s="14" t="str">
        <f>IFERROR(__xludf.DUMMYFUNCTION("""COMPUTED_VALUE"""),"2006")</f>
        <v>2006</v>
      </c>
      <c r="AB2231" s="15" t="str">
        <f>IFERROR(__xludf.DUMMYFUNCTION("ARRAYFORMULA(VLOOKUP(A2231,IMPORTRANGE(""https://docs.google.com/spreadsheets/d/1BuTWp7qHGjWhqrnf-OmePP568O4A5Am9ttzvVdP67zw/edit#gid=1931367683"" ,""ENERGY!$A$2:$F$2692""), {2,3,4,5,6},0))"),"Europe")</f>
        <v>Europe</v>
      </c>
      <c r="AC2231" s="14" t="str">
        <f>IFERROR(__xludf.DUMMYFUNCTION("""COMPUTED_VALUE"""),"Spain-Europe")</f>
        <v>Spain-Europe</v>
      </c>
      <c r="AD2231" s="14" t="str">
        <f>IFERROR(__xludf.DUMMYFUNCTION("""COMPUTED_VALUE"""),"2012")</f>
        <v>2012</v>
      </c>
      <c r="AE2231" s="14">
        <f>IFERROR(__xludf.DUMMYFUNCTION("""COMPUTED_VALUE"""),141748.0)</f>
        <v>141748</v>
      </c>
      <c r="AF2231" s="14">
        <f>IFERROR(__xludf.DUMMYFUNCTION("""COMPUTED_VALUE"""),350037.0)</f>
        <v>350037</v>
      </c>
    </row>
    <row r="2232">
      <c r="A2232" s="12">
        <v>2231.0</v>
      </c>
      <c r="B2232" s="12" t="s">
        <v>250</v>
      </c>
      <c r="C2232" s="5" t="s">
        <v>75</v>
      </c>
      <c r="D2232" s="11">
        <v>0.621</v>
      </c>
      <c r="E2232" s="11">
        <v>47.0</v>
      </c>
      <c r="F2232" s="8"/>
      <c r="G2232" s="11">
        <v>298.0</v>
      </c>
      <c r="H2232" s="11">
        <v>0.551</v>
      </c>
      <c r="I2232" s="11">
        <v>1.084</v>
      </c>
      <c r="J2232" s="9" t="s">
        <v>68</v>
      </c>
      <c r="K2232" s="14" t="str">
        <f>IFERROR(__xludf.DUMMYFUNCTION("ARRAYFORMULA(VLOOKUP(A2232,IMPORTRANGE(""https://docs.google.com/spreadsheets/d/1BuTWp7qHGjWhqrnf-OmePP568O4A5Am9ttzvVdP67zw/edit#gid=1603210130"", ""TOURISM!$A$2:$F$2692""), {2,3,4,5,6},0))"),"Europe")</f>
        <v>Europe</v>
      </c>
      <c r="L2232" s="14">
        <f>IFERROR(__xludf.DUMMYFUNCTION("""COMPUTED_VALUE"""),6.502E10)</f>
        <v>65020000000</v>
      </c>
      <c r="M2232" s="14" t="str">
        <f>IFERROR(__xludf.DUMMYFUNCTION("""COMPUTED_VALUE"""),"Spain-Europe")</f>
        <v>Spain-Europe</v>
      </c>
      <c r="N2232" s="14" t="str">
        <f>IFERROR(__xludf.DUMMYFUNCTION("""COMPUTED_VALUE"""),"2007")</f>
        <v>2007</v>
      </c>
      <c r="O2232" s="14">
        <f>IFERROR(__xludf.DUMMYFUNCTION("""COMPUTED_VALUE"""),2.4355E10)</f>
        <v>24355000000</v>
      </c>
      <c r="P2232" s="15">
        <f>IFERROR(__xludf.DUMMYFUNCTION("ARRAYFORMULA(VLOOKUP(A2232,IMPORTRANGE(""https://docs.google.com/spreadsheets/d/1BuTWp7qHGjWhqrnf-OmePP568O4A5Am9ttzvVdP67zw/edit#gid=771602874"" ,""HUMAN RESOURCES!$A$2:$M$2692""), {2,3,4,5,6,7,8,9,10,11,12,13},0))"),0.011)</f>
        <v>0.011</v>
      </c>
      <c r="Q2232" s="14">
        <f>IFERROR(__xludf.DUMMYFUNCTION("""COMPUTED_VALUE"""),0.004)</f>
        <v>0.004</v>
      </c>
      <c r="R2232" s="14">
        <f>IFERROR(__xludf.DUMMYFUNCTION("""COMPUTED_VALUE"""),84.0)</f>
        <v>84</v>
      </c>
      <c r="S2232" s="14">
        <f>IFERROR(__xludf.DUMMYFUNCTION("""COMPUTED_VALUE"""),78.0)</f>
        <v>78</v>
      </c>
      <c r="T2232" s="14">
        <f>IFERROR(__xludf.DUMMYFUNCTION("""COMPUTED_VALUE"""),0.146)</f>
        <v>0.146</v>
      </c>
      <c r="U2232" s="14">
        <f>IFERROR(__xludf.DUMMYFUNCTION("""COMPUTED_VALUE"""),0.686)</f>
        <v>0.686</v>
      </c>
      <c r="V2232" s="14">
        <f>IFERROR(__xludf.DUMMYFUNCTION("""COMPUTED_VALUE"""),0.168)</f>
        <v>0.168</v>
      </c>
      <c r="W2232" s="14">
        <f>IFERROR(__xludf.DUMMYFUNCTION("""COMPUTED_VALUE"""),4.5226803E7)</f>
        <v>45226803</v>
      </c>
      <c r="X2232" s="14">
        <f>IFERROR(__xludf.DUMMYFUNCTION("""COMPUTED_VALUE"""),0.777)</f>
        <v>0.777</v>
      </c>
      <c r="Y2232" s="14" t="str">
        <f>IFERROR(__xludf.DUMMYFUNCTION("""COMPUTED_VALUE"""),"Spain-Europe")</f>
        <v>Spain-Europe</v>
      </c>
      <c r="Z2232" s="14" t="str">
        <f>IFERROR(__xludf.DUMMYFUNCTION("""COMPUTED_VALUE"""),"Europe")</f>
        <v>Europe</v>
      </c>
      <c r="AA2232" s="14" t="str">
        <f>IFERROR(__xludf.DUMMYFUNCTION("""COMPUTED_VALUE"""),"2007")</f>
        <v>2007</v>
      </c>
      <c r="AB2232" s="15" t="str">
        <f>IFERROR(__xludf.DUMMYFUNCTION("ARRAYFORMULA(VLOOKUP(A2232,IMPORTRANGE(""https://docs.google.com/spreadsheets/d/1BuTWp7qHGjWhqrnf-OmePP568O4A5Am9ttzvVdP67zw/edit#gid=1931367683"" ,""ENERGY!$A$2:$F$2692""), {2,3,4,5,6},0))"),"Europe")</f>
        <v>Europe</v>
      </c>
      <c r="AC2232" s="14" t="str">
        <f>IFERROR(__xludf.DUMMYFUNCTION("""COMPUTED_VALUE"""),"Spain-Europe")</f>
        <v>Spain-Europe</v>
      </c>
      <c r="AD2232" s="14" t="str">
        <f>IFERROR(__xludf.DUMMYFUNCTION("""COMPUTED_VALUE"""),"2010")</f>
        <v>2010</v>
      </c>
      <c r="AE2232" s="14">
        <f>IFERROR(__xludf.DUMMYFUNCTION("""COMPUTED_VALUE"""),141914.0)</f>
        <v>141914</v>
      </c>
      <c r="AF2232" s="14">
        <f>IFERROR(__xludf.DUMMYFUNCTION("""COMPUTED_VALUE"""),353462.0)</f>
        <v>353462</v>
      </c>
    </row>
    <row r="2233">
      <c r="A2233" s="12">
        <v>2232.0</v>
      </c>
      <c r="B2233" s="12" t="s">
        <v>250</v>
      </c>
      <c r="C2233" s="5" t="s">
        <v>75</v>
      </c>
      <c r="D2233" s="11">
        <v>0.603</v>
      </c>
      <c r="E2233" s="11">
        <v>47.0</v>
      </c>
      <c r="F2233" s="8"/>
      <c r="G2233" s="11">
        <v>234.0</v>
      </c>
      <c r="H2233" s="11">
        <v>0.596</v>
      </c>
      <c r="I2233" s="11">
        <v>1.097</v>
      </c>
      <c r="J2233" s="9" t="s">
        <v>69</v>
      </c>
      <c r="K2233" s="14" t="str">
        <f>IFERROR(__xludf.DUMMYFUNCTION("ARRAYFORMULA(VLOOKUP(A2233,IMPORTRANGE(""https://docs.google.com/spreadsheets/d/1BuTWp7qHGjWhqrnf-OmePP568O4A5Am9ttzvVdP67zw/edit#gid=1603210130"", ""TOURISM!$A$2:$F$2692""), {2,3,4,5,6},0))"),"Europe")</f>
        <v>Europe</v>
      </c>
      <c r="L2233" s="14">
        <f>IFERROR(__xludf.DUMMYFUNCTION("""COMPUTED_VALUE"""),7.0434E10)</f>
        <v>70434000000</v>
      </c>
      <c r="M2233" s="14" t="str">
        <f>IFERROR(__xludf.DUMMYFUNCTION("""COMPUTED_VALUE"""),"Spain-Europe")</f>
        <v>Spain-Europe</v>
      </c>
      <c r="N2233" s="14" t="str">
        <f>IFERROR(__xludf.DUMMYFUNCTION("""COMPUTED_VALUE"""),"2008")</f>
        <v>2008</v>
      </c>
      <c r="O2233" s="14">
        <f>IFERROR(__xludf.DUMMYFUNCTION("""COMPUTED_VALUE"""),2.7157E10)</f>
        <v>27157000000</v>
      </c>
      <c r="P2233" s="15">
        <f>IFERROR(__xludf.DUMMYFUNCTION("ARRAYFORMULA(VLOOKUP(A2233,IMPORTRANGE(""https://docs.google.com/spreadsheets/d/1BuTWp7qHGjWhqrnf-OmePP568O4A5Am9ttzvVdP67zw/edit#gid=771602874"" ,""HUMAN RESOURCES!$A$2:$M$2692""), {2,3,4,5,6,7,8,9,10,11,12,13},0))"),0.011)</f>
        <v>0.011</v>
      </c>
      <c r="Q2233" s="14">
        <f>IFERROR(__xludf.DUMMYFUNCTION("""COMPUTED_VALUE"""),0.004)</f>
        <v>0.004</v>
      </c>
      <c r="R2233" s="14">
        <f>IFERROR(__xludf.DUMMYFUNCTION("""COMPUTED_VALUE"""),84.0)</f>
        <v>84</v>
      </c>
      <c r="S2233" s="14">
        <f>IFERROR(__xludf.DUMMYFUNCTION("""COMPUTED_VALUE"""),78.0)</f>
        <v>78</v>
      </c>
      <c r="T2233" s="14">
        <f>IFERROR(__xludf.DUMMYFUNCTION("""COMPUTED_VALUE"""),0.147)</f>
        <v>0.147</v>
      </c>
      <c r="U2233" s="14">
        <f>IFERROR(__xludf.DUMMYFUNCTION("""COMPUTED_VALUE"""),0.684)</f>
        <v>0.684</v>
      </c>
      <c r="V2233" s="14">
        <f>IFERROR(__xludf.DUMMYFUNCTION("""COMPUTED_VALUE"""),0.169)</f>
        <v>0.169</v>
      </c>
      <c r="W2233" s="14">
        <f>IFERROR(__xludf.DUMMYFUNCTION("""COMPUTED_VALUE"""),4.5954106E7)</f>
        <v>45954106</v>
      </c>
      <c r="X2233" s="14">
        <f>IFERROR(__xludf.DUMMYFUNCTION("""COMPUTED_VALUE"""),0.78)</f>
        <v>0.78</v>
      </c>
      <c r="Y2233" s="14" t="str">
        <f>IFERROR(__xludf.DUMMYFUNCTION("""COMPUTED_VALUE"""),"Spain-Europe")</f>
        <v>Spain-Europe</v>
      </c>
      <c r="Z2233" s="14" t="str">
        <f>IFERROR(__xludf.DUMMYFUNCTION("""COMPUTED_VALUE"""),"Europe")</f>
        <v>Europe</v>
      </c>
      <c r="AA2233" s="14" t="str">
        <f>IFERROR(__xludf.DUMMYFUNCTION("""COMPUTED_VALUE"""),"2008")</f>
        <v>2008</v>
      </c>
      <c r="AB2233" s="15" t="str">
        <f>IFERROR(__xludf.DUMMYFUNCTION("ARRAYFORMULA(VLOOKUP(A2233,IMPORTRANGE(""https://docs.google.com/spreadsheets/d/1BuTWp7qHGjWhqrnf-OmePP568O4A5Am9ttzvVdP67zw/edit#gid=1931367683"" ,""ENERGY!$A$2:$F$2692""), {2,3,4,5,6},0))"),"Europe")</f>
        <v>Europe</v>
      </c>
      <c r="AC2233" s="14" t="str">
        <f>IFERROR(__xludf.DUMMYFUNCTION("""COMPUTED_VALUE"""),"Spain-Europe")</f>
        <v>Spain-Europe</v>
      </c>
      <c r="AD2233" s="14" t="str">
        <f>IFERROR(__xludf.DUMMYFUNCTION("""COMPUTED_VALUE"""),"2007")</f>
        <v>2007</v>
      </c>
      <c r="AE2233" s="14">
        <f>IFERROR(__xludf.DUMMYFUNCTION("""COMPUTED_VALUE"""),139030.0)</f>
        <v>139030</v>
      </c>
      <c r="AF2233" s="14">
        <f>IFERROR(__xludf.DUMMYFUNCTION("""COMPUTED_VALUE"""),339429.0)</f>
        <v>339429</v>
      </c>
    </row>
    <row r="2234">
      <c r="A2234" s="12">
        <v>2233.0</v>
      </c>
      <c r="B2234" s="12" t="s">
        <v>250</v>
      </c>
      <c r="C2234" s="5" t="s">
        <v>75</v>
      </c>
      <c r="D2234" s="11">
        <v>0.571</v>
      </c>
      <c r="E2234" s="11">
        <v>47.0</v>
      </c>
      <c r="F2234" s="8"/>
      <c r="G2234" s="11">
        <v>213.0</v>
      </c>
      <c r="H2234" s="11">
        <v>0.624</v>
      </c>
      <c r="I2234" s="11">
        <v>1.116</v>
      </c>
      <c r="J2234" s="9" t="s">
        <v>70</v>
      </c>
      <c r="K2234" s="14" t="str">
        <f>IFERROR(__xludf.DUMMYFUNCTION("ARRAYFORMULA(VLOOKUP(A2234,IMPORTRANGE(""https://docs.google.com/spreadsheets/d/1BuTWp7qHGjWhqrnf-OmePP568O4A5Am9ttzvVdP67zw/edit#gid=1603210130"", ""TOURISM!$A$2:$F$2692""), {2,3,4,5,6},0))"),"Europe")</f>
        <v>Europe</v>
      </c>
      <c r="L2234" s="14">
        <f>IFERROR(__xludf.DUMMYFUNCTION("""COMPUTED_VALUE"""),5.9743E10)</f>
        <v>59743000000</v>
      </c>
      <c r="M2234" s="14" t="str">
        <f>IFERROR(__xludf.DUMMYFUNCTION("""COMPUTED_VALUE"""),"Spain-Europe")</f>
        <v>Spain-Europe</v>
      </c>
      <c r="N2234" s="14" t="str">
        <f>IFERROR(__xludf.DUMMYFUNCTION("""COMPUTED_VALUE"""),"2009")</f>
        <v>2009</v>
      </c>
      <c r="O2234" s="14">
        <f>IFERROR(__xludf.DUMMYFUNCTION("""COMPUTED_VALUE"""),2.2787E10)</f>
        <v>22787000000</v>
      </c>
      <c r="P2234" s="15">
        <f>IFERROR(__xludf.DUMMYFUNCTION("ARRAYFORMULA(VLOOKUP(A2234,IMPORTRANGE(""https://docs.google.com/spreadsheets/d/1BuTWp7qHGjWhqrnf-OmePP568O4A5Am9ttzvVdP67zw/edit#gid=771602874"" ,""HUMAN RESOURCES!$A$2:$M$2692""), {2,3,4,5,6,7,8,9,10,11,12,13},0))"),0.011)</f>
        <v>0.011</v>
      </c>
      <c r="Q2234" s="14">
        <f>IFERROR(__xludf.DUMMYFUNCTION("""COMPUTED_VALUE"""),0.004)</f>
        <v>0.004</v>
      </c>
      <c r="R2234" s="14">
        <f>IFERROR(__xludf.DUMMYFUNCTION("""COMPUTED_VALUE"""),85.0)</f>
        <v>85</v>
      </c>
      <c r="S2234" s="14">
        <f>IFERROR(__xludf.DUMMYFUNCTION("""COMPUTED_VALUE"""),79.0)</f>
        <v>79</v>
      </c>
      <c r="T2234" s="14">
        <f>IFERROR(__xludf.DUMMYFUNCTION("""COMPUTED_VALUE"""),0.148)</f>
        <v>0.148</v>
      </c>
      <c r="U2234" s="14">
        <f>IFERROR(__xludf.DUMMYFUNCTION("""COMPUTED_VALUE"""),0.682)</f>
        <v>0.682</v>
      </c>
      <c r="V2234" s="14">
        <f>IFERROR(__xludf.DUMMYFUNCTION("""COMPUTED_VALUE"""),0.17)</f>
        <v>0.17</v>
      </c>
      <c r="W2234" s="14">
        <f>IFERROR(__xludf.DUMMYFUNCTION("""COMPUTED_VALUE"""),4.6362946E7)</f>
        <v>46362946</v>
      </c>
      <c r="X2234" s="14">
        <f>IFERROR(__xludf.DUMMYFUNCTION("""COMPUTED_VALUE"""),0.782)</f>
        <v>0.782</v>
      </c>
      <c r="Y2234" s="14" t="str">
        <f>IFERROR(__xludf.DUMMYFUNCTION("""COMPUTED_VALUE"""),"Spain-Europe")</f>
        <v>Spain-Europe</v>
      </c>
      <c r="Z2234" s="14" t="str">
        <f>IFERROR(__xludf.DUMMYFUNCTION("""COMPUTED_VALUE"""),"Europe")</f>
        <v>Europe</v>
      </c>
      <c r="AA2234" s="14" t="str">
        <f>IFERROR(__xludf.DUMMYFUNCTION("""COMPUTED_VALUE"""),"2009")</f>
        <v>2009</v>
      </c>
      <c r="AB2234" s="15" t="str">
        <f>IFERROR(__xludf.DUMMYFUNCTION("ARRAYFORMULA(VLOOKUP(A2234,IMPORTRANGE(""https://docs.google.com/spreadsheets/d/1BuTWp7qHGjWhqrnf-OmePP568O4A5Am9ttzvVdP67zw/edit#gid=1931367683"" ,""ENERGY!$A$2:$F$2692""), {2,3,4,5,6},0))"),"Europe")</f>
        <v>Europe</v>
      </c>
      <c r="AC2234" s="14" t="str">
        <f>IFERROR(__xludf.DUMMYFUNCTION("""COMPUTED_VALUE"""),"Spain-Europe")</f>
        <v>Spain-Europe</v>
      </c>
      <c r="AD2234" s="14" t="str">
        <f>IFERROR(__xludf.DUMMYFUNCTION("""COMPUTED_VALUE"""),"2012")</f>
        <v>2012</v>
      </c>
      <c r="AE2234" s="14">
        <f>IFERROR(__xludf.DUMMYFUNCTION("""COMPUTED_VALUE"""),133196.0)</f>
        <v>133196</v>
      </c>
      <c r="AF2234" s="14">
        <f>IFERROR(__xludf.DUMMYFUNCTION("""COMPUTED_VALUE"""),321097.0)</f>
        <v>321097</v>
      </c>
    </row>
    <row r="2235">
      <c r="A2235" s="12">
        <v>2234.0</v>
      </c>
      <c r="B2235" s="12" t="s">
        <v>250</v>
      </c>
      <c r="C2235" s="5" t="s">
        <v>75</v>
      </c>
      <c r="D2235" s="11">
        <v>0.568</v>
      </c>
      <c r="E2235" s="11">
        <v>47.0</v>
      </c>
      <c r="F2235" s="8"/>
      <c r="G2235" s="11">
        <v>197.0</v>
      </c>
      <c r="H2235" s="11">
        <v>0.658</v>
      </c>
      <c r="I2235" s="11">
        <v>1.113</v>
      </c>
      <c r="J2235" s="9" t="s">
        <v>71</v>
      </c>
      <c r="K2235" s="14" t="str">
        <f>IFERROR(__xludf.DUMMYFUNCTION("ARRAYFORMULA(VLOOKUP(A2235,IMPORTRANGE(""https://docs.google.com/spreadsheets/d/1BuTWp7qHGjWhqrnf-OmePP568O4A5Am9ttzvVdP67zw/edit#gid=1603210130"", ""TOURISM!$A$2:$F$2692""), {2,3,4,5,6},0))"),"Europe")</f>
        <v>Europe</v>
      </c>
      <c r="L2235" s="14">
        <f>IFERROR(__xludf.DUMMYFUNCTION("""COMPUTED_VALUE"""),5.9042E10)</f>
        <v>59042000000</v>
      </c>
      <c r="M2235" s="14" t="str">
        <f>IFERROR(__xludf.DUMMYFUNCTION("""COMPUTED_VALUE"""),"Spain-Europe")</f>
        <v>Spain-Europe</v>
      </c>
      <c r="N2235" s="14" t="str">
        <f>IFERROR(__xludf.DUMMYFUNCTION("""COMPUTED_VALUE"""),"2010")</f>
        <v>2010</v>
      </c>
      <c r="O2235" s="14">
        <f>IFERROR(__xludf.DUMMYFUNCTION("""COMPUTED_VALUE"""),2.2733E10)</f>
        <v>22733000000</v>
      </c>
      <c r="P2235" s="15">
        <f>IFERROR(__xludf.DUMMYFUNCTION("ARRAYFORMULA(VLOOKUP(A2235,IMPORTRANGE(""https://docs.google.com/spreadsheets/d/1BuTWp7qHGjWhqrnf-OmePP568O4A5Am9ttzvVdP67zw/edit#gid=771602874"" ,""HUMAN RESOURCES!$A$2:$M$2692""), {2,3,4,5,6,7,8,9,10,11,12,13},0))"),0.01)</f>
        <v>0.01</v>
      </c>
      <c r="Q2235" s="14">
        <f>IFERROR(__xludf.DUMMYFUNCTION("""COMPUTED_VALUE"""),0.004)</f>
        <v>0.004</v>
      </c>
      <c r="R2235" s="14">
        <f>IFERROR(__xludf.DUMMYFUNCTION("""COMPUTED_VALUE"""),85.0)</f>
        <v>85</v>
      </c>
      <c r="S2235" s="14">
        <f>IFERROR(__xludf.DUMMYFUNCTION("""COMPUTED_VALUE"""),79.0)</f>
        <v>79</v>
      </c>
      <c r="T2235" s="14">
        <f>IFERROR(__xludf.DUMMYFUNCTION("""COMPUTED_VALUE"""),0.149)</f>
        <v>0.149</v>
      </c>
      <c r="U2235" s="14">
        <f>IFERROR(__xludf.DUMMYFUNCTION("""COMPUTED_VALUE"""),0.68)</f>
        <v>0.68</v>
      </c>
      <c r="V2235" s="14">
        <f>IFERROR(__xludf.DUMMYFUNCTION("""COMPUTED_VALUE"""),0.171)</f>
        <v>0.171</v>
      </c>
      <c r="W2235" s="14">
        <f>IFERROR(__xludf.DUMMYFUNCTION("""COMPUTED_VALUE"""),4.6576897E7)</f>
        <v>46576897</v>
      </c>
      <c r="X2235" s="14">
        <f>IFERROR(__xludf.DUMMYFUNCTION("""COMPUTED_VALUE"""),0.784)</f>
        <v>0.784</v>
      </c>
      <c r="Y2235" s="14" t="str">
        <f>IFERROR(__xludf.DUMMYFUNCTION("""COMPUTED_VALUE"""),"Spain-Europe")</f>
        <v>Spain-Europe</v>
      </c>
      <c r="Z2235" s="14" t="str">
        <f>IFERROR(__xludf.DUMMYFUNCTION("""COMPUTED_VALUE"""),"Europe")</f>
        <v>Europe</v>
      </c>
      <c r="AA2235" s="14" t="str">
        <f>IFERROR(__xludf.DUMMYFUNCTION("""COMPUTED_VALUE"""),"2010")</f>
        <v>2010</v>
      </c>
      <c r="AB2235" s="15" t="str">
        <f>IFERROR(__xludf.DUMMYFUNCTION("ARRAYFORMULA(VLOOKUP(A2235,IMPORTRANGE(""https://docs.google.com/spreadsheets/d/1BuTWp7qHGjWhqrnf-OmePP568O4A5Am9ttzvVdP67zw/edit#gid=1931367683"" ,""ENERGY!$A$2:$F$2692""), {2,3,4,5,6},0))"),"Europe")</f>
        <v>Europe</v>
      </c>
      <c r="AC2235" s="14" t="str">
        <f>IFERROR(__xludf.DUMMYFUNCTION("""COMPUTED_VALUE"""),"Spain-Europe")</f>
        <v>Spain-Europe</v>
      </c>
      <c r="AD2235" s="14" t="str">
        <f>IFERROR(__xludf.DUMMYFUNCTION("""COMPUTED_VALUE"""),"2008")</f>
        <v>2008</v>
      </c>
      <c r="AE2235" s="14">
        <f>IFERROR(__xludf.DUMMYFUNCTION("""COMPUTED_VALUE"""),128757.0)</f>
        <v>128757</v>
      </c>
      <c r="AF2235" s="14">
        <f>IFERROR(__xludf.DUMMYFUNCTION("""COMPUTED_VALUE"""),314519.0)</f>
        <v>314519</v>
      </c>
    </row>
    <row r="2236">
      <c r="A2236" s="12">
        <v>2235.0</v>
      </c>
      <c r="B2236" s="12" t="s">
        <v>250</v>
      </c>
      <c r="C2236" s="5" t="s">
        <v>75</v>
      </c>
      <c r="D2236" s="11">
        <v>0.387</v>
      </c>
      <c r="E2236" s="11">
        <v>28.0</v>
      </c>
      <c r="F2236" s="8"/>
      <c r="G2236" s="11">
        <v>187.0</v>
      </c>
      <c r="H2236" s="11">
        <v>0.676</v>
      </c>
      <c r="I2236" s="11">
        <v>1.131</v>
      </c>
      <c r="J2236" s="9" t="s">
        <v>72</v>
      </c>
      <c r="K2236" s="14" t="str">
        <f>IFERROR(__xludf.DUMMYFUNCTION("ARRAYFORMULA(VLOOKUP(A2236,IMPORTRANGE(""https://docs.google.com/spreadsheets/d/1BuTWp7qHGjWhqrnf-OmePP568O4A5Am9ttzvVdP67zw/edit#gid=1603210130"", ""TOURISM!$A$2:$F$2692""), {2,3,4,5,6},0))"),"Europe")</f>
        <v>Europe</v>
      </c>
      <c r="L2236" s="14">
        <f>IFERROR(__xludf.DUMMYFUNCTION("""COMPUTED_VALUE"""),6.7698E10)</f>
        <v>67698000000</v>
      </c>
      <c r="M2236" s="14" t="str">
        <f>IFERROR(__xludf.DUMMYFUNCTION("""COMPUTED_VALUE"""),"Spain-Europe")</f>
        <v>Spain-Europe</v>
      </c>
      <c r="N2236" s="14" t="str">
        <f>IFERROR(__xludf.DUMMYFUNCTION("""COMPUTED_VALUE"""),"2011")</f>
        <v>2011</v>
      </c>
      <c r="O2236" s="14">
        <f>IFERROR(__xludf.DUMMYFUNCTION("""COMPUTED_VALUE"""),2.3583E10)</f>
        <v>23583000000</v>
      </c>
      <c r="P2236" s="15">
        <f>IFERROR(__xludf.DUMMYFUNCTION("ARRAYFORMULA(VLOOKUP(A2236,IMPORTRANGE(""https://docs.google.com/spreadsheets/d/1BuTWp7qHGjWhqrnf-OmePP568O4A5Am9ttzvVdP67zw/edit#gid=771602874"" ,""HUMAN RESOURCES!$A$2:$M$2692""), {2,3,4,5,6,7,8,9,10,11,12,13},0))"),0.01)</f>
        <v>0.01</v>
      </c>
      <c r="Q2236" s="14">
        <f>IFERROR(__xludf.DUMMYFUNCTION("""COMPUTED_VALUE"""),0.004)</f>
        <v>0.004</v>
      </c>
      <c r="R2236" s="14">
        <f>IFERROR(__xludf.DUMMYFUNCTION("""COMPUTED_VALUE"""),86.0)</f>
        <v>86</v>
      </c>
      <c r="S2236" s="14">
        <f>IFERROR(__xludf.DUMMYFUNCTION("""COMPUTED_VALUE"""),80.0)</f>
        <v>80</v>
      </c>
      <c r="T2236" s="14">
        <f>IFERROR(__xludf.DUMMYFUNCTION("""COMPUTED_VALUE"""),0.151)</f>
        <v>0.151</v>
      </c>
      <c r="U2236" s="14">
        <f>IFERROR(__xludf.DUMMYFUNCTION("""COMPUTED_VALUE"""),0.677)</f>
        <v>0.677</v>
      </c>
      <c r="V2236" s="14">
        <f>IFERROR(__xludf.DUMMYFUNCTION("""COMPUTED_VALUE"""),0.173)</f>
        <v>0.173</v>
      </c>
      <c r="W2236" s="14">
        <f>IFERROR(__xludf.DUMMYFUNCTION("""COMPUTED_VALUE"""),4.6742697E7)</f>
        <v>46742697</v>
      </c>
      <c r="X2236" s="14">
        <f>IFERROR(__xludf.DUMMYFUNCTION("""COMPUTED_VALUE"""),0.787)</f>
        <v>0.787</v>
      </c>
      <c r="Y2236" s="14" t="str">
        <f>IFERROR(__xludf.DUMMYFUNCTION("""COMPUTED_VALUE"""),"Spain-Europe")</f>
        <v>Spain-Europe</v>
      </c>
      <c r="Z2236" s="14" t="str">
        <f>IFERROR(__xludf.DUMMYFUNCTION("""COMPUTED_VALUE"""),"Europe")</f>
        <v>Europe</v>
      </c>
      <c r="AA2236" s="14" t="str">
        <f>IFERROR(__xludf.DUMMYFUNCTION("""COMPUTED_VALUE"""),"2011")</f>
        <v>2011</v>
      </c>
      <c r="AB2236" s="15" t="str">
        <f>IFERROR(__xludf.DUMMYFUNCTION("ARRAYFORMULA(VLOOKUP(A2236,IMPORTRANGE(""https://docs.google.com/spreadsheets/d/1BuTWp7qHGjWhqrnf-OmePP568O4A5Am9ttzvVdP67zw/edit#gid=1931367683"" ,""ENERGY!$A$2:$F$2692""), {2,3,4,5,6},0))"),"Europe")</f>
        <v>Europe</v>
      </c>
      <c r="AC2236" s="14" t="str">
        <f>IFERROR(__xludf.DUMMYFUNCTION("""COMPUTED_VALUE"""),"Spain-Europe")</f>
        <v>Spain-Europe</v>
      </c>
      <c r="AD2236" s="14" t="str">
        <f>IFERROR(__xludf.DUMMYFUNCTION("""COMPUTED_VALUE"""),"2007")</f>
        <v>2007</v>
      </c>
      <c r="AE2236" s="14">
        <f>IFERROR(__xludf.DUMMYFUNCTION("""COMPUTED_VALUE"""),125038.0)</f>
        <v>125038</v>
      </c>
      <c r="AF2236" s="14">
        <f>IFERROR(__xludf.DUMMYFUNCTION("""COMPUTED_VALUE"""),297830.0)</f>
        <v>297830</v>
      </c>
    </row>
    <row r="2237">
      <c r="A2237" s="12">
        <v>2236.0</v>
      </c>
      <c r="B2237" s="12" t="s">
        <v>250</v>
      </c>
      <c r="C2237" s="5" t="s">
        <v>75</v>
      </c>
      <c r="D2237" s="11">
        <v>0.387</v>
      </c>
      <c r="E2237" s="11">
        <v>28.0</v>
      </c>
      <c r="F2237" s="11">
        <v>46.0</v>
      </c>
      <c r="G2237" s="11">
        <v>167.0</v>
      </c>
      <c r="H2237" s="11">
        <v>0.698</v>
      </c>
      <c r="I2237" s="11">
        <v>1.084</v>
      </c>
      <c r="J2237" s="9" t="s">
        <v>73</v>
      </c>
      <c r="K2237" s="14" t="str">
        <f>IFERROR(__xludf.DUMMYFUNCTION("ARRAYFORMULA(VLOOKUP(A2237,IMPORTRANGE(""https://docs.google.com/spreadsheets/d/1BuTWp7qHGjWhqrnf-OmePP568O4A5Am9ttzvVdP67zw/edit#gid=1603210130"", ""TOURISM!$A$2:$F$2692""), {2,3,4,5,6},0))"),"Europe")</f>
        <v>Europe</v>
      </c>
      <c r="L2237" s="14">
        <f>IFERROR(__xludf.DUMMYFUNCTION("""COMPUTED_VALUE"""),6.3198E10)</f>
        <v>63198000000</v>
      </c>
      <c r="M2237" s="14" t="str">
        <f>IFERROR(__xludf.DUMMYFUNCTION("""COMPUTED_VALUE"""),"Spain-Europe")</f>
        <v>Spain-Europe</v>
      </c>
      <c r="N2237" s="14" t="str">
        <f>IFERROR(__xludf.DUMMYFUNCTION("""COMPUTED_VALUE"""),"2012")</f>
        <v>2012</v>
      </c>
      <c r="O2237" s="14">
        <f>IFERROR(__xludf.DUMMYFUNCTION("""COMPUTED_VALUE"""),2.1749E10)</f>
        <v>21749000000</v>
      </c>
      <c r="P2237" s="15">
        <f>IFERROR(__xludf.DUMMYFUNCTION("ARRAYFORMULA(VLOOKUP(A2237,IMPORTRANGE(""https://docs.google.com/spreadsheets/d/1BuTWp7qHGjWhqrnf-OmePP568O4A5Am9ttzvVdP67zw/edit#gid=771602874"" ,""HUMAN RESOURCES!$A$2:$M$2692""), {2,3,4,5,6,7,8,9,10,11,12,13},0))"),0.01)</f>
        <v>0.01</v>
      </c>
      <c r="Q2237" s="14">
        <f>IFERROR(__xludf.DUMMYFUNCTION("""COMPUTED_VALUE"""),0.004)</f>
        <v>0.004</v>
      </c>
      <c r="R2237" s="14">
        <f>IFERROR(__xludf.DUMMYFUNCTION("""COMPUTED_VALUE"""),85.0)</f>
        <v>85</v>
      </c>
      <c r="S2237" s="14">
        <f>IFERROR(__xludf.DUMMYFUNCTION("""COMPUTED_VALUE"""),80.0)</f>
        <v>80</v>
      </c>
      <c r="T2237" s="14">
        <f>IFERROR(__xludf.DUMMYFUNCTION("""COMPUTED_VALUE"""),0.152)</f>
        <v>0.152</v>
      </c>
      <c r="U2237" s="14">
        <f>IFERROR(__xludf.DUMMYFUNCTION("""COMPUTED_VALUE"""),0.673)</f>
        <v>0.673</v>
      </c>
      <c r="V2237" s="14">
        <f>IFERROR(__xludf.DUMMYFUNCTION("""COMPUTED_VALUE"""),0.175)</f>
        <v>0.175</v>
      </c>
      <c r="W2237" s="14">
        <f>IFERROR(__xludf.DUMMYFUNCTION("""COMPUTED_VALUE"""),4.6761264E7)</f>
        <v>46761264</v>
      </c>
      <c r="X2237" s="14">
        <f>IFERROR(__xludf.DUMMYFUNCTION("""COMPUTED_VALUE"""),0.789)</f>
        <v>0.789</v>
      </c>
      <c r="Y2237" s="14" t="str">
        <f>IFERROR(__xludf.DUMMYFUNCTION("""COMPUTED_VALUE"""),"Spain-Europe")</f>
        <v>Spain-Europe</v>
      </c>
      <c r="Z2237" s="14" t="str">
        <f>IFERROR(__xludf.DUMMYFUNCTION("""COMPUTED_VALUE"""),"Europe")</f>
        <v>Europe</v>
      </c>
      <c r="AA2237" s="14" t="str">
        <f>IFERROR(__xludf.DUMMYFUNCTION("""COMPUTED_VALUE"""),"2012")</f>
        <v>2012</v>
      </c>
      <c r="AB2237" s="15" t="str">
        <f>IFERROR(__xludf.DUMMYFUNCTION("ARRAYFORMULA(VLOOKUP(A2237,IMPORTRANGE(""https://docs.google.com/spreadsheets/d/1BuTWp7qHGjWhqrnf-OmePP568O4A5Am9ttzvVdP67zw/edit#gid=1931367683"" ,""ENERGY!$A$2:$F$2692""), {2,3,4,5,6},0))"),"Europe")</f>
        <v>Europe</v>
      </c>
      <c r="AC2237" s="14" t="str">
        <f>IFERROR(__xludf.DUMMYFUNCTION("""COMPUTED_VALUE"""),"Spain-Europe")</f>
        <v>Spain-Europe</v>
      </c>
      <c r="AD2237" s="14" t="str">
        <f>IFERROR(__xludf.DUMMYFUNCTION("""COMPUTED_VALUE"""),"2012")</f>
        <v>2012</v>
      </c>
      <c r="AE2237" s="14">
        <f>IFERROR(__xludf.DUMMYFUNCTION("""COMPUTED_VALUE"""),121856.0)</f>
        <v>121856</v>
      </c>
      <c r="AF2237" s="14">
        <f>IFERROR(__xludf.DUMMYFUNCTION("""COMPUTED_VALUE"""),294434.0)</f>
        <v>294434</v>
      </c>
    </row>
    <row r="2238">
      <c r="A2238" s="12">
        <v>2237.0</v>
      </c>
      <c r="B2238" s="12" t="s">
        <v>251</v>
      </c>
      <c r="C2238" s="5" t="s">
        <v>61</v>
      </c>
      <c r="D2238" s="8"/>
      <c r="E2238" s="8"/>
      <c r="F2238" s="8"/>
      <c r="G2238" s="8"/>
      <c r="H2238" s="11">
        <v>0.006</v>
      </c>
      <c r="I2238" s="11">
        <v>0.023</v>
      </c>
      <c r="J2238" s="9" t="s">
        <v>60</v>
      </c>
      <c r="K2238" s="14" t="str">
        <f>IFERROR(__xludf.DUMMYFUNCTION("ARRAYFORMULA(VLOOKUP(A2238,IMPORTRANGE(""https://docs.google.com/spreadsheets/d/1BuTWp7qHGjWhqrnf-OmePP568O4A5Am9ttzvVdP67zw/edit#gid=1603210130"", ""TOURISM!$A$2:$F$2692""), {2,3,4,5,6},0))"),"Asia")</f>
        <v>Asia</v>
      </c>
      <c r="L2238" s="14">
        <f>IFERROR(__xludf.DUMMYFUNCTION("""COMPUTED_VALUE"""),3.88E8)</f>
        <v>388000000</v>
      </c>
      <c r="M2238" s="14" t="str">
        <f>IFERROR(__xludf.DUMMYFUNCTION("""COMPUTED_VALUE"""),"Sri Lanka-Asia")</f>
        <v>Sri Lanka-Asia</v>
      </c>
      <c r="N2238" s="14" t="str">
        <f>IFERROR(__xludf.DUMMYFUNCTION("""COMPUTED_VALUE"""),"2000")</f>
        <v>2000</v>
      </c>
      <c r="O2238" s="14">
        <f>IFERROR(__xludf.DUMMYFUNCTION("""COMPUTED_VALUE"""),3.83E8)</f>
        <v>383000000</v>
      </c>
      <c r="P2238" s="15">
        <f>IFERROR(__xludf.DUMMYFUNCTION("ARRAYFORMULA(VLOOKUP(A2238,IMPORTRANGE(""https://docs.google.com/spreadsheets/d/1BuTWp7qHGjWhqrnf-OmePP568O4A5Am9ttzvVdP67zw/edit#gid=771602874"" ,""HUMAN RESOURCES!$A$2:$M$2692""), {2,3,4,5,6,7,8,9,10,11,12,13},0))"),0.018)</f>
        <v>0.018</v>
      </c>
      <c r="Q2238" s="14">
        <f>IFERROR(__xludf.DUMMYFUNCTION("""COMPUTED_VALUE"""),0.014)</f>
        <v>0.014</v>
      </c>
      <c r="R2238" s="14">
        <f>IFERROR(__xludf.DUMMYFUNCTION("""COMPUTED_VALUE"""),75.0)</f>
        <v>75</v>
      </c>
      <c r="S2238" s="14">
        <f>IFERROR(__xludf.DUMMYFUNCTION("""COMPUTED_VALUE"""),68.0)</f>
        <v>68</v>
      </c>
      <c r="T2238" s="14">
        <f>IFERROR(__xludf.DUMMYFUNCTION("""COMPUTED_VALUE"""),0.269)</f>
        <v>0.269</v>
      </c>
      <c r="U2238" s="14">
        <f>IFERROR(__xludf.DUMMYFUNCTION("""COMPUTED_VALUE"""),0.669)</f>
        <v>0.669</v>
      </c>
      <c r="V2238" s="14">
        <f>IFERROR(__xludf.DUMMYFUNCTION("""COMPUTED_VALUE"""),0.063)</f>
        <v>0.063</v>
      </c>
      <c r="W2238" s="14">
        <f>IFERROR(__xludf.DUMMYFUNCTION("""COMPUTED_VALUE"""),1.9102E7)</f>
        <v>19102000</v>
      </c>
      <c r="X2238" s="14">
        <f>IFERROR(__xludf.DUMMYFUNCTION("""COMPUTED_VALUE"""),0.184)</f>
        <v>0.184</v>
      </c>
      <c r="Y2238" s="14" t="str">
        <f>IFERROR(__xludf.DUMMYFUNCTION("""COMPUTED_VALUE"""),"Sri Lanka-Asia")</f>
        <v>Sri Lanka-Asia</v>
      </c>
      <c r="Z2238" s="14" t="str">
        <f>IFERROR(__xludf.DUMMYFUNCTION("""COMPUTED_VALUE"""),"Asia")</f>
        <v>Asia</v>
      </c>
      <c r="AA2238" s="14" t="str">
        <f>IFERROR(__xludf.DUMMYFUNCTION("""COMPUTED_VALUE"""),"2000")</f>
        <v>2000</v>
      </c>
      <c r="AB2238" s="15" t="str">
        <f>IFERROR(__xludf.DUMMYFUNCTION("ARRAYFORMULA(VLOOKUP(A2238,IMPORTRANGE(""https://docs.google.com/spreadsheets/d/1BuTWp7qHGjWhqrnf-OmePP568O4A5Am9ttzvVdP67zw/edit#gid=1931367683"" ,""ENERGY!$A$2:$F$2692""), {2,3,4,5,6},0))"),"Asia")</f>
        <v>Asia</v>
      </c>
      <c r="AC2238" s="14" t="str">
        <f>IFERROR(__xludf.DUMMYFUNCTION("""COMPUTED_VALUE"""),"Sri Lanka-Asia")</f>
        <v>Sri Lanka-Asia</v>
      </c>
      <c r="AD2238" s="14" t="str">
        <f>IFERROR(__xludf.DUMMYFUNCTION("""COMPUTED_VALUE"""),"2000")</f>
        <v>2000</v>
      </c>
      <c r="AE2238" s="14"/>
      <c r="AF2238" s="14"/>
    </row>
    <row r="2239">
      <c r="A2239" s="12">
        <v>2238.0</v>
      </c>
      <c r="B2239" s="12" t="s">
        <v>251</v>
      </c>
      <c r="C2239" s="5" t="s">
        <v>61</v>
      </c>
      <c r="D2239" s="8"/>
      <c r="E2239" s="8"/>
      <c r="F2239" s="8"/>
      <c r="G2239" s="8"/>
      <c r="H2239" s="11">
        <v>0.008</v>
      </c>
      <c r="I2239" s="11">
        <v>0.035</v>
      </c>
      <c r="J2239" s="9" t="s">
        <v>62</v>
      </c>
      <c r="K2239" s="14" t="str">
        <f>IFERROR(__xludf.DUMMYFUNCTION("ARRAYFORMULA(VLOOKUP(A2239,IMPORTRANGE(""https://docs.google.com/spreadsheets/d/1BuTWp7qHGjWhqrnf-OmePP568O4A5Am9ttzvVdP67zw/edit#gid=1603210130"", ""TOURISM!$A$2:$F$2692""), {2,3,4,5,6},0))"),"Asia")</f>
        <v>Asia</v>
      </c>
      <c r="L2239" s="14">
        <f>IFERROR(__xludf.DUMMYFUNCTION("""COMPUTED_VALUE"""),3.47E8)</f>
        <v>347000000</v>
      </c>
      <c r="M2239" s="14" t="str">
        <f>IFERROR(__xludf.DUMMYFUNCTION("""COMPUTED_VALUE"""),"Sri Lanka-Asia")</f>
        <v>Sri Lanka-Asia</v>
      </c>
      <c r="N2239" s="14" t="str">
        <f>IFERROR(__xludf.DUMMYFUNCTION("""COMPUTED_VALUE"""),"2001")</f>
        <v>2001</v>
      </c>
      <c r="O2239" s="14">
        <f>IFERROR(__xludf.DUMMYFUNCTION("""COMPUTED_VALUE"""),4.02E8)</f>
        <v>402000000</v>
      </c>
      <c r="P2239" s="15">
        <f>IFERROR(__xludf.DUMMYFUNCTION("ARRAYFORMULA(VLOOKUP(A2239,IMPORTRANGE(""https://docs.google.com/spreadsheets/d/1BuTWp7qHGjWhqrnf-OmePP568O4A5Am9ttzvVdP67zw/edit#gid=771602874"" ,""HUMAN RESOURCES!$A$2:$M$2692""), {2,3,4,5,6,7,8,9,10,11,12,13},0))"),0.018)</f>
        <v>0.018</v>
      </c>
      <c r="Q2239" s="14">
        <f>IFERROR(__xludf.DUMMYFUNCTION("""COMPUTED_VALUE"""),0.013)</f>
        <v>0.013</v>
      </c>
      <c r="R2239" s="14">
        <f>IFERROR(__xludf.DUMMYFUNCTION("""COMPUTED_VALUE"""),76.0)</f>
        <v>76</v>
      </c>
      <c r="S2239" s="14">
        <f>IFERROR(__xludf.DUMMYFUNCTION("""COMPUTED_VALUE"""),68.0)</f>
        <v>68</v>
      </c>
      <c r="T2239" s="14">
        <f>IFERROR(__xludf.DUMMYFUNCTION("""COMPUTED_VALUE"""),0.265)</f>
        <v>0.265</v>
      </c>
      <c r="U2239" s="14">
        <f>IFERROR(__xludf.DUMMYFUNCTION("""COMPUTED_VALUE"""),0.672)</f>
        <v>0.672</v>
      </c>
      <c r="V2239" s="14">
        <f>IFERROR(__xludf.DUMMYFUNCTION("""COMPUTED_VALUE"""),0.064)</f>
        <v>0.064</v>
      </c>
      <c r="W2239" s="14">
        <f>IFERROR(__xludf.DUMMYFUNCTION("""COMPUTED_VALUE"""),1.8797E7)</f>
        <v>18797000</v>
      </c>
      <c r="X2239" s="14">
        <f>IFERROR(__xludf.DUMMYFUNCTION("""COMPUTED_VALUE"""),0.184)</f>
        <v>0.184</v>
      </c>
      <c r="Y2239" s="14" t="str">
        <f>IFERROR(__xludf.DUMMYFUNCTION("""COMPUTED_VALUE"""),"Sri Lanka-Asia")</f>
        <v>Sri Lanka-Asia</v>
      </c>
      <c r="Z2239" s="14" t="str">
        <f>IFERROR(__xludf.DUMMYFUNCTION("""COMPUTED_VALUE"""),"Asia")</f>
        <v>Asia</v>
      </c>
      <c r="AA2239" s="14" t="str">
        <f>IFERROR(__xludf.DUMMYFUNCTION("""COMPUTED_VALUE"""),"2001")</f>
        <v>2001</v>
      </c>
      <c r="AB2239" s="15" t="str">
        <f>IFERROR(__xludf.DUMMYFUNCTION("ARRAYFORMULA(VLOOKUP(A2239,IMPORTRANGE(""https://docs.google.com/spreadsheets/d/1BuTWp7qHGjWhqrnf-OmePP568O4A5Am9ttzvVdP67zw/edit#gid=1931367683"" ,""ENERGY!$A$2:$F$2692""), {2,3,4,5,6},0))"),"Asia")</f>
        <v>Asia</v>
      </c>
      <c r="AC2239" s="14" t="str">
        <f>IFERROR(__xludf.DUMMYFUNCTION("""COMPUTED_VALUE"""),"Sri Lanka-Asia")</f>
        <v>Sri Lanka-Asia</v>
      </c>
      <c r="AD2239" s="14" t="str">
        <f>IFERROR(__xludf.DUMMYFUNCTION("""COMPUTED_VALUE"""),"2001")</f>
        <v>2001</v>
      </c>
      <c r="AE2239" s="14">
        <f>IFERROR(__xludf.DUMMYFUNCTION("""COMPUTED_VALUE"""),10421.0)</f>
        <v>10421</v>
      </c>
      <c r="AF2239" s="14"/>
    </row>
    <row r="2240">
      <c r="A2240" s="12">
        <v>2239.0</v>
      </c>
      <c r="B2240" s="12" t="s">
        <v>251</v>
      </c>
      <c r="C2240" s="5" t="s">
        <v>61</v>
      </c>
      <c r="D2240" s="8"/>
      <c r="E2240" s="8"/>
      <c r="F2240" s="8"/>
      <c r="G2240" s="8"/>
      <c r="H2240" s="11">
        <v>0.011</v>
      </c>
      <c r="I2240" s="11">
        <v>0.048</v>
      </c>
      <c r="J2240" s="9" t="s">
        <v>63</v>
      </c>
      <c r="K2240" s="14" t="str">
        <f>IFERROR(__xludf.DUMMYFUNCTION("ARRAYFORMULA(VLOOKUP(A2240,IMPORTRANGE(""https://docs.google.com/spreadsheets/d/1BuTWp7qHGjWhqrnf-OmePP568O4A5Am9ttzvVdP67zw/edit#gid=1603210130"", ""TOURISM!$A$2:$F$2692""), {2,3,4,5,6},0))"),"Asia")</f>
        <v>Asia</v>
      </c>
      <c r="L2240" s="14">
        <f>IFERROR(__xludf.DUMMYFUNCTION("""COMPUTED_VALUE"""),5.94E8)</f>
        <v>594000000</v>
      </c>
      <c r="M2240" s="14" t="str">
        <f>IFERROR(__xludf.DUMMYFUNCTION("""COMPUTED_VALUE"""),"Sri Lanka-Asia")</f>
        <v>Sri Lanka-Asia</v>
      </c>
      <c r="N2240" s="14" t="str">
        <f>IFERROR(__xludf.DUMMYFUNCTION("""COMPUTED_VALUE"""),"2002")</f>
        <v>2002</v>
      </c>
      <c r="O2240" s="14">
        <f>IFERROR(__xludf.DUMMYFUNCTION("""COMPUTED_VALUE"""),4.38E8)</f>
        <v>438000000</v>
      </c>
      <c r="P2240" s="15">
        <f>IFERROR(__xludf.DUMMYFUNCTION("ARRAYFORMULA(VLOOKUP(A2240,IMPORTRANGE(""https://docs.google.com/spreadsheets/d/1BuTWp7qHGjWhqrnf-OmePP568O4A5Am9ttzvVdP67zw/edit#gid=771602874"" ,""HUMAN RESOURCES!$A$2:$M$2692""), {2,3,4,5,6,7,8,9,10,11,12,13},0))"),0.019)</f>
        <v>0.019</v>
      </c>
      <c r="Q2240" s="14">
        <f>IFERROR(__xludf.DUMMYFUNCTION("""COMPUTED_VALUE"""),0.013)</f>
        <v>0.013</v>
      </c>
      <c r="R2240" s="14">
        <f>IFERROR(__xludf.DUMMYFUNCTION("""COMPUTED_VALUE"""),76.0)</f>
        <v>76</v>
      </c>
      <c r="S2240" s="14">
        <f>IFERROR(__xludf.DUMMYFUNCTION("""COMPUTED_VALUE"""),69.0)</f>
        <v>69</v>
      </c>
      <c r="T2240" s="14">
        <f>IFERROR(__xludf.DUMMYFUNCTION("""COMPUTED_VALUE"""),0.261)</f>
        <v>0.261</v>
      </c>
      <c r="U2240" s="14">
        <f>IFERROR(__xludf.DUMMYFUNCTION("""COMPUTED_VALUE"""),0.673)</f>
        <v>0.673</v>
      </c>
      <c r="V2240" s="14">
        <f>IFERROR(__xludf.DUMMYFUNCTION("""COMPUTED_VALUE"""),0.065)</f>
        <v>0.065</v>
      </c>
      <c r="W2240" s="14">
        <f>IFERROR(__xludf.DUMMYFUNCTION("""COMPUTED_VALUE"""),1.8921E7)</f>
        <v>18921000</v>
      </c>
      <c r="X2240" s="14">
        <f>IFERROR(__xludf.DUMMYFUNCTION("""COMPUTED_VALUE"""),0.184)</f>
        <v>0.184</v>
      </c>
      <c r="Y2240" s="14" t="str">
        <f>IFERROR(__xludf.DUMMYFUNCTION("""COMPUTED_VALUE"""),"Sri Lanka-Asia")</f>
        <v>Sri Lanka-Asia</v>
      </c>
      <c r="Z2240" s="14" t="str">
        <f>IFERROR(__xludf.DUMMYFUNCTION("""COMPUTED_VALUE"""),"Asia")</f>
        <v>Asia</v>
      </c>
      <c r="AA2240" s="14" t="str">
        <f>IFERROR(__xludf.DUMMYFUNCTION("""COMPUTED_VALUE"""),"2002")</f>
        <v>2002</v>
      </c>
      <c r="AB2240" s="15" t="str">
        <f>IFERROR(__xludf.DUMMYFUNCTION("ARRAYFORMULA(VLOOKUP(A2240,IMPORTRANGE(""https://docs.google.com/spreadsheets/d/1BuTWp7qHGjWhqrnf-OmePP568O4A5Am9ttzvVdP67zw/edit#gid=1931367683"" ,""ENERGY!$A$2:$F$2692""), {2,3,4,5,6},0))"),"Asia")</f>
        <v>Asia</v>
      </c>
      <c r="AC2240" s="14" t="str">
        <f>IFERROR(__xludf.DUMMYFUNCTION("""COMPUTED_VALUE"""),"Sri Lanka-Asia")</f>
        <v>Sri Lanka-Asia</v>
      </c>
      <c r="AD2240" s="14" t="str">
        <f>IFERROR(__xludf.DUMMYFUNCTION("""COMPUTED_VALUE"""),"2002")</f>
        <v>2002</v>
      </c>
      <c r="AE2240" s="14">
        <f>IFERROR(__xludf.DUMMYFUNCTION("""COMPUTED_VALUE"""),9844.0)</f>
        <v>9844</v>
      </c>
      <c r="AF2240" s="14">
        <f>IFERROR(__xludf.DUMMYFUNCTION("""COMPUTED_VALUE"""),12710.0)</f>
        <v>12710</v>
      </c>
    </row>
    <row r="2241">
      <c r="A2241" s="12">
        <v>2240.0</v>
      </c>
      <c r="B2241" s="12" t="s">
        <v>251</v>
      </c>
      <c r="C2241" s="5" t="s">
        <v>61</v>
      </c>
      <c r="D2241" s="8"/>
      <c r="E2241" s="11">
        <v>58.0</v>
      </c>
      <c r="F2241" s="8"/>
      <c r="G2241" s="8"/>
      <c r="H2241" s="11">
        <v>0.015</v>
      </c>
      <c r="I2241" s="11">
        <v>0.071</v>
      </c>
      <c r="J2241" s="9" t="s">
        <v>64</v>
      </c>
      <c r="K2241" s="14" t="str">
        <f>IFERROR(__xludf.DUMMYFUNCTION("ARRAYFORMULA(VLOOKUP(A2241,IMPORTRANGE(""https://docs.google.com/spreadsheets/d/1BuTWp7qHGjWhqrnf-OmePP568O4A5Am9ttzvVdP67zw/edit#gid=1603210130"", ""TOURISM!$A$2:$F$2692""), {2,3,4,5,6},0))"),"Asia")</f>
        <v>Asia</v>
      </c>
      <c r="L2241" s="14">
        <f>IFERROR(__xludf.DUMMYFUNCTION("""COMPUTED_VALUE"""),7.09E8)</f>
        <v>709000000</v>
      </c>
      <c r="M2241" s="14" t="str">
        <f>IFERROR(__xludf.DUMMYFUNCTION("""COMPUTED_VALUE"""),"Sri Lanka-Asia")</f>
        <v>Sri Lanka-Asia</v>
      </c>
      <c r="N2241" s="14" t="str">
        <f>IFERROR(__xludf.DUMMYFUNCTION("""COMPUTED_VALUE"""),"2003")</f>
        <v>2003</v>
      </c>
      <c r="O2241" s="14">
        <f>IFERROR(__xludf.DUMMYFUNCTION("""COMPUTED_VALUE"""),4.62E8)</f>
        <v>462000000</v>
      </c>
      <c r="P2241" s="15">
        <f>IFERROR(__xludf.DUMMYFUNCTION("ARRAYFORMULA(VLOOKUP(A2241,IMPORTRANGE(""https://docs.google.com/spreadsheets/d/1BuTWp7qHGjWhqrnf-OmePP568O4A5Am9ttzvVdP67zw/edit#gid=771602874"" ,""HUMAN RESOURCES!$A$2:$M$2692""), {2,3,4,5,6,7,8,9,10,11,12,13},0))"),0.019)</f>
        <v>0.019</v>
      </c>
      <c r="Q2241" s="14">
        <f>IFERROR(__xludf.DUMMYFUNCTION("""COMPUTED_VALUE"""),0.013)</f>
        <v>0.013</v>
      </c>
      <c r="R2241" s="14">
        <f>IFERROR(__xludf.DUMMYFUNCTION("""COMPUTED_VALUE"""),77.0)</f>
        <v>77</v>
      </c>
      <c r="S2241" s="14">
        <f>IFERROR(__xludf.DUMMYFUNCTION("""COMPUTED_VALUE"""),70.0)</f>
        <v>70</v>
      </c>
      <c r="T2241" s="14">
        <f>IFERROR(__xludf.DUMMYFUNCTION("""COMPUTED_VALUE"""),0.258)</f>
        <v>0.258</v>
      </c>
      <c r="U2241" s="14">
        <f>IFERROR(__xludf.DUMMYFUNCTION("""COMPUTED_VALUE"""),0.675)</f>
        <v>0.675</v>
      </c>
      <c r="V2241" s="14">
        <f>IFERROR(__xludf.DUMMYFUNCTION("""COMPUTED_VALUE"""),0.067)</f>
        <v>0.067</v>
      </c>
      <c r="W2241" s="14">
        <f>IFERROR(__xludf.DUMMYFUNCTION("""COMPUTED_VALUE"""),1.9173E7)</f>
        <v>19173000</v>
      </c>
      <c r="X2241" s="14">
        <f>IFERROR(__xludf.DUMMYFUNCTION("""COMPUTED_VALUE"""),0.184)</f>
        <v>0.184</v>
      </c>
      <c r="Y2241" s="14" t="str">
        <f>IFERROR(__xludf.DUMMYFUNCTION("""COMPUTED_VALUE"""),"Sri Lanka-Asia")</f>
        <v>Sri Lanka-Asia</v>
      </c>
      <c r="Z2241" s="14" t="str">
        <f>IFERROR(__xludf.DUMMYFUNCTION("""COMPUTED_VALUE"""),"Asia")</f>
        <v>Asia</v>
      </c>
      <c r="AA2241" s="14" t="str">
        <f>IFERROR(__xludf.DUMMYFUNCTION("""COMPUTED_VALUE"""),"2003")</f>
        <v>2003</v>
      </c>
      <c r="AB2241" s="15" t="str">
        <f>IFERROR(__xludf.DUMMYFUNCTION("ARRAYFORMULA(VLOOKUP(A2241,IMPORTRANGE(""https://docs.google.com/spreadsheets/d/1BuTWp7qHGjWhqrnf-OmePP568O4A5Am9ttzvVdP67zw/edit#gid=1931367683"" ,""ENERGY!$A$2:$F$2692""), {2,3,4,5,6},0))"),"Asia")</f>
        <v>Asia</v>
      </c>
      <c r="AC2241" s="14" t="str">
        <f>IFERROR(__xludf.DUMMYFUNCTION("""COMPUTED_VALUE"""),"Sri Lanka-Asia")</f>
        <v>Sri Lanka-Asia</v>
      </c>
      <c r="AD2241" s="14" t="str">
        <f>IFERROR(__xludf.DUMMYFUNCTION("""COMPUTED_VALUE"""),"2003")</f>
        <v>2003</v>
      </c>
      <c r="AE2241" s="14">
        <f>IFERROR(__xludf.DUMMYFUNCTION("""COMPUTED_VALUE"""),9082.0)</f>
        <v>9082</v>
      </c>
      <c r="AF2241" s="14">
        <f>IFERROR(__xludf.DUMMYFUNCTION("""COMPUTED_VALUE"""),12831.0)</f>
        <v>12831</v>
      </c>
    </row>
    <row r="2242">
      <c r="A2242" s="12">
        <v>2241.0</v>
      </c>
      <c r="B2242" s="12" t="s">
        <v>251</v>
      </c>
      <c r="C2242" s="5" t="s">
        <v>61</v>
      </c>
      <c r="D2242" s="8"/>
      <c r="E2242" s="11">
        <v>48.0</v>
      </c>
      <c r="F2242" s="8"/>
      <c r="G2242" s="8"/>
      <c r="H2242" s="11">
        <v>0.014</v>
      </c>
      <c r="I2242" s="11">
        <v>0.112</v>
      </c>
      <c r="J2242" s="9" t="s">
        <v>65</v>
      </c>
      <c r="K2242" s="14" t="str">
        <f>IFERROR(__xludf.DUMMYFUNCTION("ARRAYFORMULA(VLOOKUP(A2242,IMPORTRANGE(""https://docs.google.com/spreadsheets/d/1BuTWp7qHGjWhqrnf-OmePP568O4A5Am9ttzvVdP67zw/edit#gid=1603210130"", ""TOURISM!$A$2:$F$2692""), {2,3,4,5,6},0))"),"Asia")</f>
        <v>Asia</v>
      </c>
      <c r="L2242" s="14">
        <f>IFERROR(__xludf.DUMMYFUNCTION("""COMPUTED_VALUE"""),8.08E8)</f>
        <v>808000000</v>
      </c>
      <c r="M2242" s="14" t="str">
        <f>IFERROR(__xludf.DUMMYFUNCTION("""COMPUTED_VALUE"""),"Sri Lanka-Asia")</f>
        <v>Sri Lanka-Asia</v>
      </c>
      <c r="N2242" s="14" t="str">
        <f>IFERROR(__xludf.DUMMYFUNCTION("""COMPUTED_VALUE"""),"2004")</f>
        <v>2004</v>
      </c>
      <c r="O2242" s="14">
        <f>IFERROR(__xludf.DUMMYFUNCTION("""COMPUTED_VALUE"""),4.99E8)</f>
        <v>499000000</v>
      </c>
      <c r="P2242" s="15">
        <f>IFERROR(__xludf.DUMMYFUNCTION("ARRAYFORMULA(VLOOKUP(A2242,IMPORTRANGE(""https://docs.google.com/spreadsheets/d/1BuTWp7qHGjWhqrnf-OmePP568O4A5Am9ttzvVdP67zw/edit#gid=771602874"" ,""HUMAN RESOURCES!$A$2:$M$2692""), {2,3,4,5,6,7,8,9,10,11,12,13},0))"),0.019)</f>
        <v>0.019</v>
      </c>
      <c r="Q2242" s="14">
        <f>IFERROR(__xludf.DUMMYFUNCTION("""COMPUTED_VALUE"""),0.012)</f>
        <v>0.012</v>
      </c>
      <c r="R2242" s="14">
        <f>IFERROR(__xludf.DUMMYFUNCTION("""COMPUTED_VALUE"""),77.0)</f>
        <v>77</v>
      </c>
      <c r="S2242" s="14">
        <f>IFERROR(__xludf.DUMMYFUNCTION("""COMPUTED_VALUE"""),70.0)</f>
        <v>70</v>
      </c>
      <c r="T2242" s="14">
        <f>IFERROR(__xludf.DUMMYFUNCTION("""COMPUTED_VALUE"""),0.256)</f>
        <v>0.256</v>
      </c>
      <c r="U2242" s="14">
        <f>IFERROR(__xludf.DUMMYFUNCTION("""COMPUTED_VALUE"""),0.675)</f>
        <v>0.675</v>
      </c>
      <c r="V2242" s="14">
        <f>IFERROR(__xludf.DUMMYFUNCTION("""COMPUTED_VALUE"""),0.069)</f>
        <v>0.069</v>
      </c>
      <c r="W2242" s="14">
        <f>IFERROR(__xludf.DUMMYFUNCTION("""COMPUTED_VALUE"""),1.9435E7)</f>
        <v>19435000</v>
      </c>
      <c r="X2242" s="14">
        <f>IFERROR(__xludf.DUMMYFUNCTION("""COMPUTED_VALUE"""),0.184)</f>
        <v>0.184</v>
      </c>
      <c r="Y2242" s="14" t="str">
        <f>IFERROR(__xludf.DUMMYFUNCTION("""COMPUTED_VALUE"""),"Sri Lanka-Asia")</f>
        <v>Sri Lanka-Asia</v>
      </c>
      <c r="Z2242" s="14" t="str">
        <f>IFERROR(__xludf.DUMMYFUNCTION("""COMPUTED_VALUE"""),"Asia")</f>
        <v>Asia</v>
      </c>
      <c r="AA2242" s="14" t="str">
        <f>IFERROR(__xludf.DUMMYFUNCTION("""COMPUTED_VALUE"""),"2004")</f>
        <v>2004</v>
      </c>
      <c r="AB2242" s="15" t="str">
        <f>IFERROR(__xludf.DUMMYFUNCTION("ARRAYFORMULA(VLOOKUP(A2242,IMPORTRANGE(""https://docs.google.com/spreadsheets/d/1BuTWp7qHGjWhqrnf-OmePP568O4A5Am9ttzvVdP67zw/edit#gid=1931367683"" ,""ENERGY!$A$2:$F$2692""), {2,3,4,5,6},0))"),"Asia")</f>
        <v>Asia</v>
      </c>
      <c r="AC2242" s="14" t="str">
        <f>IFERROR(__xludf.DUMMYFUNCTION("""COMPUTED_VALUE"""),"Sri Lanka-Asia")</f>
        <v>Sri Lanka-Asia</v>
      </c>
      <c r="AD2242" s="14" t="str">
        <f>IFERROR(__xludf.DUMMYFUNCTION("""COMPUTED_VALUE"""),"2005")</f>
        <v>2005</v>
      </c>
      <c r="AE2242" s="14">
        <f>IFERROR(__xludf.DUMMYFUNCTION("""COMPUTED_VALUE"""),8942.0)</f>
        <v>8942</v>
      </c>
      <c r="AF2242" s="14">
        <f>IFERROR(__xludf.DUMMYFUNCTION("""COMPUTED_VALUE"""),11892.0)</f>
        <v>11892</v>
      </c>
    </row>
    <row r="2243">
      <c r="A2243" s="12">
        <v>2242.0</v>
      </c>
      <c r="B2243" s="12" t="s">
        <v>251</v>
      </c>
      <c r="C2243" s="5" t="s">
        <v>61</v>
      </c>
      <c r="D2243" s="11">
        <v>0.567</v>
      </c>
      <c r="E2243" s="11">
        <v>48.0</v>
      </c>
      <c r="F2243" s="8"/>
      <c r="G2243" s="11">
        <v>256.0</v>
      </c>
      <c r="H2243" s="11">
        <v>0.018</v>
      </c>
      <c r="I2243" s="11">
        <v>0.168</v>
      </c>
      <c r="J2243" s="9" t="s">
        <v>66</v>
      </c>
      <c r="K2243" s="14" t="str">
        <f>IFERROR(__xludf.DUMMYFUNCTION("ARRAYFORMULA(VLOOKUP(A2243,IMPORTRANGE(""https://docs.google.com/spreadsheets/d/1BuTWp7qHGjWhqrnf-OmePP568O4A5Am9ttzvVdP67zw/edit#gid=1603210130"", ""TOURISM!$A$2:$F$2692""), {2,3,4,5,6},0))"),"Asia")</f>
        <v>Asia</v>
      </c>
      <c r="L2243" s="14">
        <f>IFERROR(__xludf.DUMMYFUNCTION("""COMPUTED_VALUE"""),7.29E8)</f>
        <v>729000000</v>
      </c>
      <c r="M2243" s="14" t="str">
        <f>IFERROR(__xludf.DUMMYFUNCTION("""COMPUTED_VALUE"""),"Sri Lanka-Asia")</f>
        <v>Sri Lanka-Asia</v>
      </c>
      <c r="N2243" s="14" t="str">
        <f>IFERROR(__xludf.DUMMYFUNCTION("""COMPUTED_VALUE"""),"2005")</f>
        <v>2005</v>
      </c>
      <c r="O2243" s="14">
        <f>IFERROR(__xludf.DUMMYFUNCTION("""COMPUTED_VALUE"""),5.52E8)</f>
        <v>552000000</v>
      </c>
      <c r="P2243" s="15">
        <f>IFERROR(__xludf.DUMMYFUNCTION("ARRAYFORMULA(VLOOKUP(A2243,IMPORTRANGE(""https://docs.google.com/spreadsheets/d/1BuTWp7qHGjWhqrnf-OmePP568O4A5Am9ttzvVdP67zw/edit#gid=771602874"" ,""HUMAN RESOURCES!$A$2:$M$2692""), {2,3,4,5,6,7,8,9,10,11,12,13},0))"),0.019)</f>
        <v>0.019</v>
      </c>
      <c r="Q2243" s="14">
        <f>IFERROR(__xludf.DUMMYFUNCTION("""COMPUTED_VALUE"""),0.012)</f>
        <v>0.012</v>
      </c>
      <c r="R2243" s="14">
        <f>IFERROR(__xludf.DUMMYFUNCTION("""COMPUTED_VALUE"""),77.0)</f>
        <v>77</v>
      </c>
      <c r="S2243" s="14">
        <f>IFERROR(__xludf.DUMMYFUNCTION("""COMPUTED_VALUE"""),70.0)</f>
        <v>70</v>
      </c>
      <c r="T2243" s="14">
        <f>IFERROR(__xludf.DUMMYFUNCTION("""COMPUTED_VALUE"""),0.254)</f>
        <v>0.254</v>
      </c>
      <c r="U2243" s="14">
        <f>IFERROR(__xludf.DUMMYFUNCTION("""COMPUTED_VALUE"""),0.675)</f>
        <v>0.675</v>
      </c>
      <c r="V2243" s="14">
        <f>IFERROR(__xludf.DUMMYFUNCTION("""COMPUTED_VALUE"""),0.07)</f>
        <v>0.07</v>
      </c>
      <c r="W2243" s="14">
        <f>IFERROR(__xludf.DUMMYFUNCTION("""COMPUTED_VALUE"""),1.9644E7)</f>
        <v>19644000</v>
      </c>
      <c r="X2243" s="14">
        <f>IFERROR(__xludf.DUMMYFUNCTION("""COMPUTED_VALUE"""),0.184)</f>
        <v>0.184</v>
      </c>
      <c r="Y2243" s="14" t="str">
        <f>IFERROR(__xludf.DUMMYFUNCTION("""COMPUTED_VALUE"""),"Sri Lanka-Asia")</f>
        <v>Sri Lanka-Asia</v>
      </c>
      <c r="Z2243" s="14" t="str">
        <f>IFERROR(__xludf.DUMMYFUNCTION("""COMPUTED_VALUE"""),"Asia")</f>
        <v>Asia</v>
      </c>
      <c r="AA2243" s="14" t="str">
        <f>IFERROR(__xludf.DUMMYFUNCTION("""COMPUTED_VALUE"""),"2005")</f>
        <v>2005</v>
      </c>
      <c r="AB2243" s="15" t="str">
        <f>IFERROR(__xludf.DUMMYFUNCTION("ARRAYFORMULA(VLOOKUP(A2243,IMPORTRANGE(""https://docs.google.com/spreadsheets/d/1BuTWp7qHGjWhqrnf-OmePP568O4A5Am9ttzvVdP67zw/edit#gid=1931367683"" ,""ENERGY!$A$2:$F$2692""), {2,3,4,5,6},0))"),"Asia")</f>
        <v>Asia</v>
      </c>
      <c r="AC2243" s="14" t="str">
        <f>IFERROR(__xludf.DUMMYFUNCTION("""COMPUTED_VALUE"""),"Sri Lanka-Asia")</f>
        <v>Sri Lanka-Asia</v>
      </c>
      <c r="AD2243" s="14" t="str">
        <f>IFERROR(__xludf.DUMMYFUNCTION("""COMPUTED_VALUE"""),"2008")</f>
        <v>2008</v>
      </c>
      <c r="AE2243" s="14">
        <f>IFERROR(__xludf.DUMMYFUNCTION("""COMPUTED_VALUE"""),9261.0)</f>
        <v>9261</v>
      </c>
      <c r="AF2243" s="14">
        <f>IFERROR(__xludf.DUMMYFUNCTION("""COMPUTED_VALUE"""),12457.0)</f>
        <v>12457</v>
      </c>
    </row>
    <row r="2244">
      <c r="A2244" s="12">
        <v>2243.0</v>
      </c>
      <c r="B2244" s="12" t="s">
        <v>251</v>
      </c>
      <c r="C2244" s="5" t="s">
        <v>61</v>
      </c>
      <c r="D2244" s="11">
        <v>0.598</v>
      </c>
      <c r="E2244" s="11">
        <v>48.0</v>
      </c>
      <c r="F2244" s="8"/>
      <c r="G2244" s="11">
        <v>256.0</v>
      </c>
      <c r="H2244" s="11">
        <v>0.025</v>
      </c>
      <c r="I2244" s="11">
        <v>0.269</v>
      </c>
      <c r="J2244" s="9" t="s">
        <v>67</v>
      </c>
      <c r="K2244" s="14" t="str">
        <f>IFERROR(__xludf.DUMMYFUNCTION("ARRAYFORMULA(VLOOKUP(A2244,IMPORTRANGE(""https://docs.google.com/spreadsheets/d/1BuTWp7qHGjWhqrnf-OmePP568O4A5Am9ttzvVdP67zw/edit#gid=1603210130"", ""TOURISM!$A$2:$F$2692""), {2,3,4,5,6},0))"),"Asia")</f>
        <v>Asia</v>
      </c>
      <c r="L2244" s="14">
        <f>IFERROR(__xludf.DUMMYFUNCTION("""COMPUTED_VALUE"""),7.33E8)</f>
        <v>733000000</v>
      </c>
      <c r="M2244" s="14" t="str">
        <f>IFERROR(__xludf.DUMMYFUNCTION("""COMPUTED_VALUE"""),"Sri Lanka-Asia")</f>
        <v>Sri Lanka-Asia</v>
      </c>
      <c r="N2244" s="14" t="str">
        <f>IFERROR(__xludf.DUMMYFUNCTION("""COMPUTED_VALUE"""),"2006")</f>
        <v>2006</v>
      </c>
      <c r="O2244" s="14">
        <f>IFERROR(__xludf.DUMMYFUNCTION("""COMPUTED_VALUE"""),6.66E8)</f>
        <v>666000000</v>
      </c>
      <c r="P2244" s="15">
        <f>IFERROR(__xludf.DUMMYFUNCTION("ARRAYFORMULA(VLOOKUP(A2244,IMPORTRANGE(""https://docs.google.com/spreadsheets/d/1BuTWp7qHGjWhqrnf-OmePP568O4A5Am9ttzvVdP67zw/edit#gid=771602874"" ,""HUMAN RESOURCES!$A$2:$M$2692""), {2,3,4,5,6,7,8,9,10,11,12,13},0))"),0.019)</f>
        <v>0.019</v>
      </c>
      <c r="Q2244" s="14">
        <f>IFERROR(__xludf.DUMMYFUNCTION("""COMPUTED_VALUE"""),0.011)</f>
        <v>0.011</v>
      </c>
      <c r="R2244" s="14">
        <f>IFERROR(__xludf.DUMMYFUNCTION("""COMPUTED_VALUE"""),77.0)</f>
        <v>77</v>
      </c>
      <c r="S2244" s="14">
        <f>IFERROR(__xludf.DUMMYFUNCTION("""COMPUTED_VALUE"""),70.0)</f>
        <v>70</v>
      </c>
      <c r="T2244" s="14">
        <f>IFERROR(__xludf.DUMMYFUNCTION("""COMPUTED_VALUE"""),0.253)</f>
        <v>0.253</v>
      </c>
      <c r="U2244" s="14">
        <f>IFERROR(__xludf.DUMMYFUNCTION("""COMPUTED_VALUE"""),0.675)</f>
        <v>0.675</v>
      </c>
      <c r="V2244" s="14">
        <f>IFERROR(__xludf.DUMMYFUNCTION("""COMPUTED_VALUE"""),0.072)</f>
        <v>0.072</v>
      </c>
      <c r="W2244" s="14">
        <f>IFERROR(__xludf.DUMMYFUNCTION("""COMPUTED_VALUE"""),1.9858E7)</f>
        <v>19858000</v>
      </c>
      <c r="X2244" s="14">
        <f>IFERROR(__xludf.DUMMYFUNCTION("""COMPUTED_VALUE"""),0.184)</f>
        <v>0.184</v>
      </c>
      <c r="Y2244" s="14" t="str">
        <f>IFERROR(__xludf.DUMMYFUNCTION("""COMPUTED_VALUE"""),"Sri Lanka-Asia")</f>
        <v>Sri Lanka-Asia</v>
      </c>
      <c r="Z2244" s="14" t="str">
        <f>IFERROR(__xludf.DUMMYFUNCTION("""COMPUTED_VALUE"""),"Asia")</f>
        <v>Asia</v>
      </c>
      <c r="AA2244" s="14" t="str">
        <f>IFERROR(__xludf.DUMMYFUNCTION("""COMPUTED_VALUE"""),"2006")</f>
        <v>2006</v>
      </c>
      <c r="AB2244" s="15" t="str">
        <f>IFERROR(__xludf.DUMMYFUNCTION("ARRAYFORMULA(VLOOKUP(A2244,IMPORTRANGE(""https://docs.google.com/spreadsheets/d/1BuTWp7qHGjWhqrnf-OmePP568O4A5Am9ttzvVdP67zw/edit#gid=1931367683"" ,""ENERGY!$A$2:$F$2692""), {2,3,4,5,6},0))"),"Asia")</f>
        <v>Asia</v>
      </c>
      <c r="AC2244" s="14" t="str">
        <f>IFERROR(__xludf.DUMMYFUNCTION("""COMPUTED_VALUE"""),"Sri Lanka-Asia")</f>
        <v>Sri Lanka-Asia</v>
      </c>
      <c r="AD2244" s="14" t="str">
        <f>IFERROR(__xludf.DUMMYFUNCTION("""COMPUTED_VALUE"""),"2012")</f>
        <v>2012</v>
      </c>
      <c r="AE2244" s="14">
        <f>IFERROR(__xludf.DUMMYFUNCTION("""COMPUTED_VALUE"""),9083.0)</f>
        <v>9083</v>
      </c>
      <c r="AF2244" s="14">
        <f>IFERROR(__xludf.DUMMYFUNCTION("""COMPUTED_VALUE"""),11738.0)</f>
        <v>11738</v>
      </c>
    </row>
    <row r="2245">
      <c r="A2245" s="12">
        <v>2244.0</v>
      </c>
      <c r="B2245" s="12" t="s">
        <v>251</v>
      </c>
      <c r="C2245" s="5" t="s">
        <v>61</v>
      </c>
      <c r="D2245" s="11">
        <v>0.617</v>
      </c>
      <c r="E2245" s="11">
        <v>40.0</v>
      </c>
      <c r="F2245" s="8"/>
      <c r="G2245" s="11">
        <v>256.0</v>
      </c>
      <c r="H2245" s="11">
        <v>0.039</v>
      </c>
      <c r="I2245" s="11">
        <v>0.393</v>
      </c>
      <c r="J2245" s="9" t="s">
        <v>68</v>
      </c>
      <c r="K2245" s="14" t="str">
        <f>IFERROR(__xludf.DUMMYFUNCTION("ARRAYFORMULA(VLOOKUP(A2245,IMPORTRANGE(""https://docs.google.com/spreadsheets/d/1BuTWp7qHGjWhqrnf-OmePP568O4A5Am9ttzvVdP67zw/edit#gid=1603210130"", ""TOURISM!$A$2:$F$2692""), {2,3,4,5,6},0))"),"Asia")</f>
        <v>Asia</v>
      </c>
      <c r="L2245" s="14">
        <f>IFERROR(__xludf.DUMMYFUNCTION("""COMPUTED_VALUE"""),7.5E8)</f>
        <v>750000000</v>
      </c>
      <c r="M2245" s="14" t="str">
        <f>IFERROR(__xludf.DUMMYFUNCTION("""COMPUTED_VALUE"""),"Sri Lanka-Asia")</f>
        <v>Sri Lanka-Asia</v>
      </c>
      <c r="N2245" s="14" t="str">
        <f>IFERROR(__xludf.DUMMYFUNCTION("""COMPUTED_VALUE"""),"2007")</f>
        <v>2007</v>
      </c>
      <c r="O2245" s="14">
        <f>IFERROR(__xludf.DUMMYFUNCTION("""COMPUTED_VALUE"""),7.09E8)</f>
        <v>709000000</v>
      </c>
      <c r="P2245" s="15">
        <f>IFERROR(__xludf.DUMMYFUNCTION("ARRAYFORMULA(VLOOKUP(A2245,IMPORTRANGE(""https://docs.google.com/spreadsheets/d/1BuTWp7qHGjWhqrnf-OmePP568O4A5Am9ttzvVdP67zw/edit#gid=771602874"" ,""HUMAN RESOURCES!$A$2:$M$2692""), {2,3,4,5,6,7,8,9,10,11,12,13},0))"),0.019)</f>
        <v>0.019</v>
      </c>
      <c r="Q2245" s="14">
        <f>IFERROR(__xludf.DUMMYFUNCTION("""COMPUTED_VALUE"""),0.011)</f>
        <v>0.011</v>
      </c>
      <c r="R2245" s="14">
        <f>IFERROR(__xludf.DUMMYFUNCTION("""COMPUTED_VALUE"""),77.0)</f>
        <v>77</v>
      </c>
      <c r="S2245" s="14">
        <f>IFERROR(__xludf.DUMMYFUNCTION("""COMPUTED_VALUE"""),70.0)</f>
        <v>70</v>
      </c>
      <c r="T2245" s="14">
        <f>IFERROR(__xludf.DUMMYFUNCTION("""COMPUTED_VALUE"""),0.252)</f>
        <v>0.252</v>
      </c>
      <c r="U2245" s="14">
        <f>IFERROR(__xludf.DUMMYFUNCTION("""COMPUTED_VALUE"""),0.675)</f>
        <v>0.675</v>
      </c>
      <c r="V2245" s="14">
        <f>IFERROR(__xludf.DUMMYFUNCTION("""COMPUTED_VALUE"""),0.073)</f>
        <v>0.073</v>
      </c>
      <c r="W2245" s="14">
        <f>IFERROR(__xludf.DUMMYFUNCTION("""COMPUTED_VALUE"""),2.0039E7)</f>
        <v>20039000</v>
      </c>
      <c r="X2245" s="14">
        <f>IFERROR(__xludf.DUMMYFUNCTION("""COMPUTED_VALUE"""),0.184)</f>
        <v>0.184</v>
      </c>
      <c r="Y2245" s="14" t="str">
        <f>IFERROR(__xludf.DUMMYFUNCTION("""COMPUTED_VALUE"""),"Sri Lanka-Asia")</f>
        <v>Sri Lanka-Asia</v>
      </c>
      <c r="Z2245" s="14" t="str">
        <f>IFERROR(__xludf.DUMMYFUNCTION("""COMPUTED_VALUE"""),"Asia")</f>
        <v>Asia</v>
      </c>
      <c r="AA2245" s="14" t="str">
        <f>IFERROR(__xludf.DUMMYFUNCTION("""COMPUTED_VALUE"""),"2007")</f>
        <v>2007</v>
      </c>
      <c r="AB2245" s="15" t="str">
        <f>IFERROR(__xludf.DUMMYFUNCTION("ARRAYFORMULA(VLOOKUP(A2245,IMPORTRANGE(""https://docs.google.com/spreadsheets/d/1BuTWp7qHGjWhqrnf-OmePP568O4A5Am9ttzvVdP67zw/edit#gid=1931367683"" ,""ENERGY!$A$2:$F$2692""), {2,3,4,5,6},0))"),"Asia")</f>
        <v>Asia</v>
      </c>
      <c r="AC2245" s="14" t="str">
        <f>IFERROR(__xludf.DUMMYFUNCTION("""COMPUTED_VALUE"""),"Sri Lanka-Asia")</f>
        <v>Sri Lanka-Asia</v>
      </c>
      <c r="AD2245" s="14" t="str">
        <f>IFERROR(__xludf.DUMMYFUNCTION("""COMPUTED_VALUE"""),"2010")</f>
        <v>2010</v>
      </c>
      <c r="AE2245" s="14">
        <f>IFERROR(__xludf.DUMMYFUNCTION("""COMPUTED_VALUE"""),9001.0)</f>
        <v>9001</v>
      </c>
      <c r="AF2245" s="14">
        <f>IFERROR(__xludf.DUMMYFUNCTION("""COMPUTED_VALUE"""),11643.0)</f>
        <v>11643</v>
      </c>
    </row>
    <row r="2246">
      <c r="A2246" s="12">
        <v>2245.0</v>
      </c>
      <c r="B2246" s="12" t="s">
        <v>251</v>
      </c>
      <c r="C2246" s="5" t="s">
        <v>61</v>
      </c>
      <c r="D2246" s="11">
        <v>0.617</v>
      </c>
      <c r="E2246" s="11">
        <v>40.0</v>
      </c>
      <c r="F2246" s="8"/>
      <c r="G2246" s="11">
        <v>256.0</v>
      </c>
      <c r="H2246" s="11">
        <v>0.058</v>
      </c>
      <c r="I2246" s="11">
        <v>0.542</v>
      </c>
      <c r="J2246" s="9" t="s">
        <v>69</v>
      </c>
      <c r="K2246" s="14" t="str">
        <f>IFERROR(__xludf.DUMMYFUNCTION("ARRAYFORMULA(VLOOKUP(A2246,IMPORTRANGE(""https://docs.google.com/spreadsheets/d/1BuTWp7qHGjWhqrnf-OmePP568O4A5Am9ttzvVdP67zw/edit#gid=1603210130"", ""TOURISM!$A$2:$F$2692""), {2,3,4,5,6},0))"),"Asia")</f>
        <v>Asia</v>
      </c>
      <c r="L2246" s="14">
        <f>IFERROR(__xludf.DUMMYFUNCTION("""COMPUTED_VALUE"""),8.03E8)</f>
        <v>803000000</v>
      </c>
      <c r="M2246" s="14" t="str">
        <f>IFERROR(__xludf.DUMMYFUNCTION("""COMPUTED_VALUE"""),"Sri Lanka-Asia")</f>
        <v>Sri Lanka-Asia</v>
      </c>
      <c r="N2246" s="14" t="str">
        <f>IFERROR(__xludf.DUMMYFUNCTION("""COMPUTED_VALUE"""),"2008")</f>
        <v>2008</v>
      </c>
      <c r="O2246" s="14">
        <f>IFERROR(__xludf.DUMMYFUNCTION("""COMPUTED_VALUE"""),7.77E8)</f>
        <v>777000000</v>
      </c>
      <c r="P2246" s="15">
        <f>IFERROR(__xludf.DUMMYFUNCTION("ARRAYFORMULA(VLOOKUP(A2246,IMPORTRANGE(""https://docs.google.com/spreadsheets/d/1BuTWp7qHGjWhqrnf-OmePP568O4A5Am9ttzvVdP67zw/edit#gid=771602874"" ,""HUMAN RESOURCES!$A$2:$M$2692""), {2,3,4,5,6,7,8,9,10,11,12,13},0))"),0.019)</f>
        <v>0.019</v>
      </c>
      <c r="Q2246" s="14">
        <f>IFERROR(__xludf.DUMMYFUNCTION("""COMPUTED_VALUE"""),0.01)</f>
        <v>0.01</v>
      </c>
      <c r="R2246" s="14">
        <f>IFERROR(__xludf.DUMMYFUNCTION("""COMPUTED_VALUE"""),77.0)</f>
        <v>77</v>
      </c>
      <c r="S2246" s="14">
        <f>IFERROR(__xludf.DUMMYFUNCTION("""COMPUTED_VALUE"""),71.0)</f>
        <v>71</v>
      </c>
      <c r="T2246" s="14">
        <f>IFERROR(__xludf.DUMMYFUNCTION("""COMPUTED_VALUE"""),0.252)</f>
        <v>0.252</v>
      </c>
      <c r="U2246" s="14">
        <f>IFERROR(__xludf.DUMMYFUNCTION("""COMPUTED_VALUE"""),0.674)</f>
        <v>0.674</v>
      </c>
      <c r="V2246" s="14">
        <f>IFERROR(__xludf.DUMMYFUNCTION("""COMPUTED_VALUE"""),0.074)</f>
        <v>0.074</v>
      </c>
      <c r="W2246" s="14">
        <f>IFERROR(__xludf.DUMMYFUNCTION("""COMPUTED_VALUE"""),2.0217E7)</f>
        <v>20217000</v>
      </c>
      <c r="X2246" s="14">
        <f>IFERROR(__xludf.DUMMYFUNCTION("""COMPUTED_VALUE"""),0.183)</f>
        <v>0.183</v>
      </c>
      <c r="Y2246" s="14" t="str">
        <f>IFERROR(__xludf.DUMMYFUNCTION("""COMPUTED_VALUE"""),"Sri Lanka-Asia")</f>
        <v>Sri Lanka-Asia</v>
      </c>
      <c r="Z2246" s="14" t="str">
        <f>IFERROR(__xludf.DUMMYFUNCTION("""COMPUTED_VALUE"""),"Asia")</f>
        <v>Asia</v>
      </c>
      <c r="AA2246" s="14" t="str">
        <f>IFERROR(__xludf.DUMMYFUNCTION("""COMPUTED_VALUE"""),"2008")</f>
        <v>2008</v>
      </c>
      <c r="AB2246" s="15" t="str">
        <f>IFERROR(__xludf.DUMMYFUNCTION("ARRAYFORMULA(VLOOKUP(A2246,IMPORTRANGE(""https://docs.google.com/spreadsheets/d/1BuTWp7qHGjWhqrnf-OmePP568O4A5Am9ttzvVdP67zw/edit#gid=1931367683"" ,""ENERGY!$A$2:$F$2692""), {2,3,4,5,6},0))"),"Asia")</f>
        <v>Asia</v>
      </c>
      <c r="AC2246" s="14" t="str">
        <f>IFERROR(__xludf.DUMMYFUNCTION("""COMPUTED_VALUE"""),"Sri Lanka-Asia")</f>
        <v>Sri Lanka-Asia</v>
      </c>
      <c r="AD2246" s="14" t="str">
        <f>IFERROR(__xludf.DUMMYFUNCTION("""COMPUTED_VALUE"""),"2007")</f>
        <v>2007</v>
      </c>
      <c r="AE2246" s="14">
        <f>IFERROR(__xludf.DUMMYFUNCTION("""COMPUTED_VALUE"""),8798.0)</f>
        <v>8798</v>
      </c>
      <c r="AF2246" s="14">
        <f>IFERROR(__xludf.DUMMYFUNCTION("""COMPUTED_VALUE"""),11965.0)</f>
        <v>11965</v>
      </c>
    </row>
    <row r="2247">
      <c r="A2247" s="12">
        <v>2246.0</v>
      </c>
      <c r="B2247" s="12" t="s">
        <v>251</v>
      </c>
      <c r="C2247" s="5" t="s">
        <v>61</v>
      </c>
      <c r="D2247" s="11">
        <v>0.617</v>
      </c>
      <c r="E2247" s="11">
        <v>40.0</v>
      </c>
      <c r="F2247" s="8"/>
      <c r="G2247" s="11">
        <v>256.0</v>
      </c>
      <c r="H2247" s="11">
        <v>0.088</v>
      </c>
      <c r="I2247" s="11">
        <v>0.791</v>
      </c>
      <c r="J2247" s="9" t="s">
        <v>70</v>
      </c>
      <c r="K2247" s="14" t="str">
        <f>IFERROR(__xludf.DUMMYFUNCTION("ARRAYFORMULA(VLOOKUP(A2247,IMPORTRANGE(""https://docs.google.com/spreadsheets/d/1BuTWp7qHGjWhqrnf-OmePP568O4A5Am9ttzvVdP67zw/edit#gid=1603210130"", ""TOURISM!$A$2:$F$2692""), {2,3,4,5,6},0))"),"Asia")</f>
        <v>Asia</v>
      </c>
      <c r="L2247" s="14">
        <f>IFERROR(__xludf.DUMMYFUNCTION("""COMPUTED_VALUE"""),7.54E8)</f>
        <v>754000000</v>
      </c>
      <c r="M2247" s="14" t="str">
        <f>IFERROR(__xludf.DUMMYFUNCTION("""COMPUTED_VALUE"""),"Sri Lanka-Asia")</f>
        <v>Sri Lanka-Asia</v>
      </c>
      <c r="N2247" s="14" t="str">
        <f>IFERROR(__xludf.DUMMYFUNCTION("""COMPUTED_VALUE"""),"2009")</f>
        <v>2009</v>
      </c>
      <c r="O2247" s="14">
        <f>IFERROR(__xludf.DUMMYFUNCTION("""COMPUTED_VALUE"""),7.35E8)</f>
        <v>735000000</v>
      </c>
      <c r="P2247" s="15">
        <f>IFERROR(__xludf.DUMMYFUNCTION("ARRAYFORMULA(VLOOKUP(A2247,IMPORTRANGE(""https://docs.google.com/spreadsheets/d/1BuTWp7qHGjWhqrnf-OmePP568O4A5Am9ttzvVdP67zw/edit#gid=771602874"" ,""HUMAN RESOURCES!$A$2:$M$2692""), {2,3,4,5,6,7,8,9,10,11,12,13},0))"),0.019)</f>
        <v>0.019</v>
      </c>
      <c r="Q2247" s="14">
        <f>IFERROR(__xludf.DUMMYFUNCTION("""COMPUTED_VALUE"""),0.01)</f>
        <v>0.01</v>
      </c>
      <c r="R2247" s="14">
        <f>IFERROR(__xludf.DUMMYFUNCTION("""COMPUTED_VALUE"""),77.0)</f>
        <v>77</v>
      </c>
      <c r="S2247" s="14">
        <f>IFERROR(__xludf.DUMMYFUNCTION("""COMPUTED_VALUE"""),71.0)</f>
        <v>71</v>
      </c>
      <c r="T2247" s="14">
        <f>IFERROR(__xludf.DUMMYFUNCTION("""COMPUTED_VALUE"""),0.251)</f>
        <v>0.251</v>
      </c>
      <c r="U2247" s="14">
        <f>IFERROR(__xludf.DUMMYFUNCTION("""COMPUTED_VALUE"""),0.673)</f>
        <v>0.673</v>
      </c>
      <c r="V2247" s="14">
        <f>IFERROR(__xludf.DUMMYFUNCTION("""COMPUTED_VALUE"""),0.076)</f>
        <v>0.076</v>
      </c>
      <c r="W2247" s="14">
        <f>IFERROR(__xludf.DUMMYFUNCTION("""COMPUTED_VALUE"""),2.045E7)</f>
        <v>20450000</v>
      </c>
      <c r="X2247" s="14">
        <f>IFERROR(__xludf.DUMMYFUNCTION("""COMPUTED_VALUE"""),0.183)</f>
        <v>0.183</v>
      </c>
      <c r="Y2247" s="14" t="str">
        <f>IFERROR(__xludf.DUMMYFUNCTION("""COMPUTED_VALUE"""),"Sri Lanka-Asia")</f>
        <v>Sri Lanka-Asia</v>
      </c>
      <c r="Z2247" s="14" t="str">
        <f>IFERROR(__xludf.DUMMYFUNCTION("""COMPUTED_VALUE"""),"Asia")</f>
        <v>Asia</v>
      </c>
      <c r="AA2247" s="14" t="str">
        <f>IFERROR(__xludf.DUMMYFUNCTION("""COMPUTED_VALUE"""),"2009")</f>
        <v>2009</v>
      </c>
      <c r="AB2247" s="15" t="str">
        <f>IFERROR(__xludf.DUMMYFUNCTION("ARRAYFORMULA(VLOOKUP(A2247,IMPORTRANGE(""https://docs.google.com/spreadsheets/d/1BuTWp7qHGjWhqrnf-OmePP568O4A5Am9ttzvVdP67zw/edit#gid=1931367683"" ,""ENERGY!$A$2:$F$2692""), {2,3,4,5,6},0))"),"Asia")</f>
        <v>Asia</v>
      </c>
      <c r="AC2247" s="14" t="str">
        <f>IFERROR(__xludf.DUMMYFUNCTION("""COMPUTED_VALUE"""),"Sri Lanka-Asia")</f>
        <v>Sri Lanka-Asia</v>
      </c>
      <c r="AD2247" s="14" t="str">
        <f>IFERROR(__xludf.DUMMYFUNCTION("""COMPUTED_VALUE"""),"2012")</f>
        <v>2012</v>
      </c>
      <c r="AE2247" s="14">
        <f>IFERROR(__xludf.DUMMYFUNCTION("""COMPUTED_VALUE"""),8682.0)</f>
        <v>8682</v>
      </c>
      <c r="AF2247" s="14">
        <f>IFERROR(__xludf.DUMMYFUNCTION("""COMPUTED_VALUE"""),10660.0)</f>
        <v>10660</v>
      </c>
    </row>
    <row r="2248">
      <c r="A2248" s="12">
        <v>2247.0</v>
      </c>
      <c r="B2248" s="12" t="s">
        <v>251</v>
      </c>
      <c r="C2248" s="5" t="s">
        <v>61</v>
      </c>
      <c r="D2248" s="11">
        <v>0.966</v>
      </c>
      <c r="E2248" s="11">
        <v>37.0</v>
      </c>
      <c r="F2248" s="8"/>
      <c r="G2248" s="11">
        <v>256.0</v>
      </c>
      <c r="H2248" s="11">
        <v>0.12</v>
      </c>
      <c r="I2248" s="11">
        <v>0.836</v>
      </c>
      <c r="J2248" s="9" t="s">
        <v>71</v>
      </c>
      <c r="K2248" s="14" t="str">
        <f>IFERROR(__xludf.DUMMYFUNCTION("ARRAYFORMULA(VLOOKUP(A2248,IMPORTRANGE(""https://docs.google.com/spreadsheets/d/1BuTWp7qHGjWhqrnf-OmePP568O4A5Am9ttzvVdP67zw/edit#gid=1603210130"", ""TOURISM!$A$2:$F$2692""), {2,3,4,5,6},0))"),"Asia")</f>
        <v>Asia</v>
      </c>
      <c r="L2248" s="14">
        <f>IFERROR(__xludf.DUMMYFUNCTION("""COMPUTED_VALUE"""),1.044E9)</f>
        <v>1044000000</v>
      </c>
      <c r="M2248" s="14" t="str">
        <f>IFERROR(__xludf.DUMMYFUNCTION("""COMPUTED_VALUE"""),"Sri Lanka-Asia")</f>
        <v>Sri Lanka-Asia</v>
      </c>
      <c r="N2248" s="14" t="str">
        <f>IFERROR(__xludf.DUMMYFUNCTION("""COMPUTED_VALUE"""),"2010")</f>
        <v>2010</v>
      </c>
      <c r="O2248" s="14">
        <f>IFERROR(__xludf.DUMMYFUNCTION("""COMPUTED_VALUE"""),8.28E8)</f>
        <v>828000000</v>
      </c>
      <c r="P2248" s="15">
        <f>IFERROR(__xludf.DUMMYFUNCTION("ARRAYFORMULA(VLOOKUP(A2248,IMPORTRANGE(""https://docs.google.com/spreadsheets/d/1BuTWp7qHGjWhqrnf-OmePP568O4A5Am9ttzvVdP67zw/edit#gid=771602874"" ,""HUMAN RESOURCES!$A$2:$M$2692""), {2,3,4,5,6,7,8,9,10,11,12,13},0))"),0.018)</f>
        <v>0.018</v>
      </c>
      <c r="Q2248" s="14">
        <f>IFERROR(__xludf.DUMMYFUNCTION("""COMPUTED_VALUE"""),0.009)</f>
        <v>0.009</v>
      </c>
      <c r="R2248" s="14">
        <f>IFERROR(__xludf.DUMMYFUNCTION("""COMPUTED_VALUE"""),77.0)</f>
        <v>77</v>
      </c>
      <c r="S2248" s="14">
        <f>IFERROR(__xludf.DUMMYFUNCTION("""COMPUTED_VALUE"""),71.0)</f>
        <v>71</v>
      </c>
      <c r="T2248" s="14">
        <f>IFERROR(__xludf.DUMMYFUNCTION("""COMPUTED_VALUE"""),0.251)</f>
        <v>0.251</v>
      </c>
      <c r="U2248" s="14">
        <f>IFERROR(__xludf.DUMMYFUNCTION("""COMPUTED_VALUE"""),0.671)</f>
        <v>0.671</v>
      </c>
      <c r="V2248" s="14">
        <f>IFERROR(__xludf.DUMMYFUNCTION("""COMPUTED_VALUE"""),0.078)</f>
        <v>0.078</v>
      </c>
      <c r="W2248" s="14">
        <f>IFERROR(__xludf.DUMMYFUNCTION("""COMPUTED_VALUE"""),2.0653E7)</f>
        <v>20653000</v>
      </c>
      <c r="X2248" s="14">
        <f>IFERROR(__xludf.DUMMYFUNCTION("""COMPUTED_VALUE"""),0.183)</f>
        <v>0.183</v>
      </c>
      <c r="Y2248" s="14" t="str">
        <f>IFERROR(__xludf.DUMMYFUNCTION("""COMPUTED_VALUE"""),"Sri Lanka-Asia")</f>
        <v>Sri Lanka-Asia</v>
      </c>
      <c r="Z2248" s="14" t="str">
        <f>IFERROR(__xludf.DUMMYFUNCTION("""COMPUTED_VALUE"""),"Asia")</f>
        <v>Asia</v>
      </c>
      <c r="AA2248" s="14" t="str">
        <f>IFERROR(__xludf.DUMMYFUNCTION("""COMPUTED_VALUE"""),"2010")</f>
        <v>2010</v>
      </c>
      <c r="AB2248" s="15" t="str">
        <f>IFERROR(__xludf.DUMMYFUNCTION("ARRAYFORMULA(VLOOKUP(A2248,IMPORTRANGE(""https://docs.google.com/spreadsheets/d/1BuTWp7qHGjWhqrnf-OmePP568O4A5Am9ttzvVdP67zw/edit#gid=1931367683"" ,""ENERGY!$A$2:$F$2692""), {2,3,4,5,6},0))"),"Asia")</f>
        <v>Asia</v>
      </c>
      <c r="AC2248" s="14" t="str">
        <f>IFERROR(__xludf.DUMMYFUNCTION("""COMPUTED_VALUE"""),"Sri Lanka-Asia")</f>
        <v>Sri Lanka-Asia</v>
      </c>
      <c r="AD2248" s="14" t="str">
        <f>IFERROR(__xludf.DUMMYFUNCTION("""COMPUTED_VALUE"""),"2008")</f>
        <v>2008</v>
      </c>
      <c r="AE2248" s="14">
        <f>IFERROR(__xludf.DUMMYFUNCTION("""COMPUTED_VALUE"""),8199.0)</f>
        <v>8199</v>
      </c>
      <c r="AF2248" s="14">
        <f>IFERROR(__xludf.DUMMYFUNCTION("""COMPUTED_VALUE"""),11008.0)</f>
        <v>11008</v>
      </c>
    </row>
    <row r="2249">
      <c r="A2249" s="12">
        <v>2248.0</v>
      </c>
      <c r="B2249" s="12" t="s">
        <v>251</v>
      </c>
      <c r="C2249" s="5" t="s">
        <v>61</v>
      </c>
      <c r="D2249" s="11">
        <v>1.129</v>
      </c>
      <c r="E2249" s="11">
        <v>37.0</v>
      </c>
      <c r="F2249" s="8"/>
      <c r="G2249" s="11">
        <v>256.0</v>
      </c>
      <c r="H2249" s="11">
        <v>0.15</v>
      </c>
      <c r="I2249" s="11">
        <v>0.875</v>
      </c>
      <c r="J2249" s="9" t="s">
        <v>72</v>
      </c>
      <c r="K2249" s="14" t="str">
        <f>IFERROR(__xludf.DUMMYFUNCTION("ARRAYFORMULA(VLOOKUP(A2249,IMPORTRANGE(""https://docs.google.com/spreadsheets/d/1BuTWp7qHGjWhqrnf-OmePP568O4A5Am9ttzvVdP67zw/edit#gid=1603210130"", ""TOURISM!$A$2:$F$2692""), {2,3,4,5,6},0))"),"Asia")</f>
        <v>Asia</v>
      </c>
      <c r="L2249" s="14">
        <f>IFERROR(__xludf.DUMMYFUNCTION("""COMPUTED_VALUE"""),1.421E9)</f>
        <v>1421000000</v>
      </c>
      <c r="M2249" s="14" t="str">
        <f>IFERROR(__xludf.DUMMYFUNCTION("""COMPUTED_VALUE"""),"Sri Lanka-Asia")</f>
        <v>Sri Lanka-Asia</v>
      </c>
      <c r="N2249" s="14" t="str">
        <f>IFERROR(__xludf.DUMMYFUNCTION("""COMPUTED_VALUE"""),"2011")</f>
        <v>2011</v>
      </c>
      <c r="O2249" s="14">
        <f>IFERROR(__xludf.DUMMYFUNCTION("""COMPUTED_VALUE"""),9.26E8)</f>
        <v>926000000</v>
      </c>
      <c r="P2249" s="15">
        <f>IFERROR(__xludf.DUMMYFUNCTION("ARRAYFORMULA(VLOOKUP(A2249,IMPORTRANGE(""https://docs.google.com/spreadsheets/d/1BuTWp7qHGjWhqrnf-OmePP568O4A5Am9ttzvVdP67zw/edit#gid=771602874"" ,""HUMAN RESOURCES!$A$2:$M$2692""), {2,3,4,5,6,7,8,9,10,11,12,13},0))"),0.018)</f>
        <v>0.018</v>
      </c>
      <c r="Q2249" s="14">
        <f>IFERROR(__xludf.DUMMYFUNCTION("""COMPUTED_VALUE"""),0.009)</f>
        <v>0.009</v>
      </c>
      <c r="R2249" s="14">
        <f>IFERROR(__xludf.DUMMYFUNCTION("""COMPUTED_VALUE"""),77.0)</f>
        <v>77</v>
      </c>
      <c r="S2249" s="14">
        <f>IFERROR(__xludf.DUMMYFUNCTION("""COMPUTED_VALUE"""),71.0)</f>
        <v>71</v>
      </c>
      <c r="T2249" s="14">
        <f>IFERROR(__xludf.DUMMYFUNCTION("""COMPUTED_VALUE"""),0.251)</f>
        <v>0.251</v>
      </c>
      <c r="U2249" s="14">
        <f>IFERROR(__xludf.DUMMYFUNCTION("""COMPUTED_VALUE"""),0.669)</f>
        <v>0.669</v>
      </c>
      <c r="V2249" s="14">
        <f>IFERROR(__xludf.DUMMYFUNCTION("""COMPUTED_VALUE"""),0.08)</f>
        <v>0.08</v>
      </c>
      <c r="W2249" s="14">
        <f>IFERROR(__xludf.DUMMYFUNCTION("""COMPUTED_VALUE"""),2.0869E7)</f>
        <v>20869000</v>
      </c>
      <c r="X2249" s="14">
        <f>IFERROR(__xludf.DUMMYFUNCTION("""COMPUTED_VALUE"""),0.183)</f>
        <v>0.183</v>
      </c>
      <c r="Y2249" s="14" t="str">
        <f>IFERROR(__xludf.DUMMYFUNCTION("""COMPUTED_VALUE"""),"Sri Lanka-Asia")</f>
        <v>Sri Lanka-Asia</v>
      </c>
      <c r="Z2249" s="14" t="str">
        <f>IFERROR(__xludf.DUMMYFUNCTION("""COMPUTED_VALUE"""),"Asia")</f>
        <v>Asia</v>
      </c>
      <c r="AA2249" s="14" t="str">
        <f>IFERROR(__xludf.DUMMYFUNCTION("""COMPUTED_VALUE"""),"2011")</f>
        <v>2011</v>
      </c>
      <c r="AB2249" s="15" t="str">
        <f>IFERROR(__xludf.DUMMYFUNCTION("ARRAYFORMULA(VLOOKUP(A2249,IMPORTRANGE(""https://docs.google.com/spreadsheets/d/1BuTWp7qHGjWhqrnf-OmePP568O4A5Am9ttzvVdP67zw/edit#gid=1931367683"" ,""ENERGY!$A$2:$F$2692""), {2,3,4,5,6},0))"),"Asia")</f>
        <v>Asia</v>
      </c>
      <c r="AC2249" s="14" t="str">
        <f>IFERROR(__xludf.DUMMYFUNCTION("""COMPUTED_VALUE"""),"Sri Lanka-Asia")</f>
        <v>Sri Lanka-Asia</v>
      </c>
      <c r="AD2249" s="14" t="str">
        <f>IFERROR(__xludf.DUMMYFUNCTION("""COMPUTED_VALUE"""),"2007")</f>
        <v>2007</v>
      </c>
      <c r="AE2249" s="14">
        <f>IFERROR(__xludf.DUMMYFUNCTION("""COMPUTED_VALUE"""),8050.0)</f>
        <v>8050</v>
      </c>
      <c r="AF2249" s="14">
        <f>IFERROR(__xludf.DUMMYFUNCTION("""COMPUTED_VALUE"""),10246.0)</f>
        <v>10246</v>
      </c>
    </row>
    <row r="2250">
      <c r="A2250" s="12">
        <v>2249.0</v>
      </c>
      <c r="B2250" s="12" t="s">
        <v>251</v>
      </c>
      <c r="C2250" s="5" t="s">
        <v>61</v>
      </c>
      <c r="D2250" s="11">
        <v>0.553</v>
      </c>
      <c r="E2250" s="11">
        <v>8.0</v>
      </c>
      <c r="F2250" s="11">
        <v>83.0</v>
      </c>
      <c r="G2250" s="11">
        <v>254.0</v>
      </c>
      <c r="H2250" s="11">
        <v>0.183</v>
      </c>
      <c r="I2250" s="11">
        <v>0.916</v>
      </c>
      <c r="J2250" s="9" t="s">
        <v>73</v>
      </c>
      <c r="K2250" s="14" t="str">
        <f>IFERROR(__xludf.DUMMYFUNCTION("ARRAYFORMULA(VLOOKUP(A2250,IMPORTRANGE(""https://docs.google.com/spreadsheets/d/1BuTWp7qHGjWhqrnf-OmePP568O4A5Am9ttzvVdP67zw/edit#gid=1603210130"", ""TOURISM!$A$2:$F$2692""), {2,3,4,5,6},0))"),"Asia")</f>
        <v>Asia</v>
      </c>
      <c r="L2250" s="14">
        <f>IFERROR(__xludf.DUMMYFUNCTION("""COMPUTED_VALUE"""),1.756E9)</f>
        <v>1756000000</v>
      </c>
      <c r="M2250" s="14" t="str">
        <f>IFERROR(__xludf.DUMMYFUNCTION("""COMPUTED_VALUE"""),"Sri Lanka-Asia")</f>
        <v>Sri Lanka-Asia</v>
      </c>
      <c r="N2250" s="14" t="str">
        <f>IFERROR(__xludf.DUMMYFUNCTION("""COMPUTED_VALUE"""),"2012")</f>
        <v>2012</v>
      </c>
      <c r="O2250" s="14">
        <f>IFERROR(__xludf.DUMMYFUNCTION("""COMPUTED_VALUE"""),1.219E9)</f>
        <v>1219000000</v>
      </c>
      <c r="P2250" s="15">
        <f>IFERROR(__xludf.DUMMYFUNCTION("ARRAYFORMULA(VLOOKUP(A2250,IMPORTRANGE(""https://docs.google.com/spreadsheets/d/1BuTWp7qHGjWhqrnf-OmePP568O4A5Am9ttzvVdP67zw/edit#gid=771602874"" ,""HUMAN RESOURCES!$A$2:$M$2692""), {2,3,4,5,6,7,8,9,10,11,12,13},0))"),0.018)</f>
        <v>0.018</v>
      </c>
      <c r="Q2250" s="14">
        <f>IFERROR(__xludf.DUMMYFUNCTION("""COMPUTED_VALUE"""),0.009)</f>
        <v>0.009</v>
      </c>
      <c r="R2250" s="14">
        <f>IFERROR(__xludf.DUMMYFUNCTION("""COMPUTED_VALUE"""),77.0)</f>
        <v>77</v>
      </c>
      <c r="S2250" s="14">
        <f>IFERROR(__xludf.DUMMYFUNCTION("""COMPUTED_VALUE"""),71.0)</f>
        <v>71</v>
      </c>
      <c r="T2250" s="14">
        <f>IFERROR(__xludf.DUMMYFUNCTION("""COMPUTED_VALUE"""),0.252)</f>
        <v>0.252</v>
      </c>
      <c r="U2250" s="14">
        <f>IFERROR(__xludf.DUMMYFUNCTION("""COMPUTED_VALUE"""),0.666)</f>
        <v>0.666</v>
      </c>
      <c r="V2250" s="14">
        <f>IFERROR(__xludf.DUMMYFUNCTION("""COMPUTED_VALUE"""),0.082)</f>
        <v>0.082</v>
      </c>
      <c r="W2250" s="14">
        <f>IFERROR(__xludf.DUMMYFUNCTION("""COMPUTED_VALUE"""),2.0328E7)</f>
        <v>20328000</v>
      </c>
      <c r="X2250" s="14">
        <f>IFERROR(__xludf.DUMMYFUNCTION("""COMPUTED_VALUE"""),0.183)</f>
        <v>0.183</v>
      </c>
      <c r="Y2250" s="14" t="str">
        <f>IFERROR(__xludf.DUMMYFUNCTION("""COMPUTED_VALUE"""),"Sri Lanka-Asia")</f>
        <v>Sri Lanka-Asia</v>
      </c>
      <c r="Z2250" s="14" t="str">
        <f>IFERROR(__xludf.DUMMYFUNCTION("""COMPUTED_VALUE"""),"Asia")</f>
        <v>Asia</v>
      </c>
      <c r="AA2250" s="14" t="str">
        <f>IFERROR(__xludf.DUMMYFUNCTION("""COMPUTED_VALUE"""),"2012")</f>
        <v>2012</v>
      </c>
      <c r="AB2250" s="15" t="str">
        <f>IFERROR(__xludf.DUMMYFUNCTION("ARRAYFORMULA(VLOOKUP(A2250,IMPORTRANGE(""https://docs.google.com/spreadsheets/d/1BuTWp7qHGjWhqrnf-OmePP568O4A5Am9ttzvVdP67zw/edit#gid=1931367683"" ,""ENERGY!$A$2:$F$2692""), {2,3,4,5,6},0))"),"Asia")</f>
        <v>Asia</v>
      </c>
      <c r="AC2250" s="14" t="str">
        <f>IFERROR(__xludf.DUMMYFUNCTION("""COMPUTED_VALUE"""),"Sri Lanka-Asia")</f>
        <v>Sri Lanka-Asia</v>
      </c>
      <c r="AD2250" s="14" t="str">
        <f>IFERROR(__xludf.DUMMYFUNCTION("""COMPUTED_VALUE"""),"2012")</f>
        <v>2012</v>
      </c>
      <c r="AE2250" s="14">
        <f>IFERROR(__xludf.DUMMYFUNCTION("""COMPUTED_VALUE"""),8327.0)</f>
        <v>8327</v>
      </c>
      <c r="AF2250" s="14">
        <f>IFERROR(__xludf.DUMMYFUNCTION("""COMPUTED_VALUE"""),10161.0)</f>
        <v>10161</v>
      </c>
    </row>
    <row r="2251">
      <c r="A2251" s="12">
        <v>2250.0</v>
      </c>
      <c r="B2251" s="12" t="s">
        <v>252</v>
      </c>
      <c r="C2251" s="5" t="s">
        <v>84</v>
      </c>
      <c r="D2251" s="8"/>
      <c r="E2251" s="8"/>
      <c r="F2251" s="8"/>
      <c r="G2251" s="8"/>
      <c r="H2251" s="11">
        <v>0.059</v>
      </c>
      <c r="I2251" s="11">
        <v>0.026</v>
      </c>
      <c r="J2251" s="9" t="s">
        <v>60</v>
      </c>
      <c r="K2251" s="14" t="str">
        <f>IFERROR(__xludf.DUMMYFUNCTION("ARRAYFORMULA(VLOOKUP(A2251,IMPORTRANGE(""https://docs.google.com/spreadsheets/d/1BuTWp7qHGjWhqrnf-OmePP568O4A5Am9ttzvVdP67zw/edit#gid=1603210130"", ""TOURISM!$A$2:$F$2692""), {2,3,4,5,6},0))"),"The Americas")</f>
        <v>The Americas</v>
      </c>
      <c r="L2251" s="14">
        <f>IFERROR(__xludf.DUMMYFUNCTION("""COMPUTED_VALUE"""),5.8E7)</f>
        <v>58000000</v>
      </c>
      <c r="M2251" s="14" t="str">
        <f>IFERROR(__xludf.DUMMYFUNCTION("""COMPUTED_VALUE"""),"St. Kitts and Nevis-The Americas")</f>
        <v>St. Kitts and Nevis-The Americas</v>
      </c>
      <c r="N2251" s="14" t="str">
        <f>IFERROR(__xludf.DUMMYFUNCTION("""COMPUTED_VALUE"""),"2000")</f>
        <v>2000</v>
      </c>
      <c r="O2251" s="14">
        <f>IFERROR(__xludf.DUMMYFUNCTION("""COMPUTED_VALUE"""),9000000.0)</f>
        <v>9000000</v>
      </c>
      <c r="P2251" s="15" t="str">
        <f>IFERROR(__xludf.DUMMYFUNCTION("ARRAYFORMULA(VLOOKUP(A2251,IMPORTRANGE(""https://docs.google.com/spreadsheets/d/1BuTWp7qHGjWhqrnf-OmePP568O4A5Am9ttzvVdP67zw/edit#gid=771602874"" ,""HUMAN RESOURCES!$A$2:$M$2692""), {2,3,4,5,6,7,8,9,10,11,12,13},0))"),"")</f>
        <v/>
      </c>
      <c r="Q2251" s="14">
        <f>IFERROR(__xludf.DUMMYFUNCTION("""COMPUTED_VALUE"""),0.014)</f>
        <v>0.014</v>
      </c>
      <c r="R2251" s="14"/>
      <c r="S2251" s="14"/>
      <c r="T2251" s="14"/>
      <c r="U2251" s="14"/>
      <c r="V2251" s="14"/>
      <c r="W2251" s="14">
        <f>IFERROR(__xludf.DUMMYFUNCTION("""COMPUTED_VALUE"""),45544.0)</f>
        <v>45544</v>
      </c>
      <c r="X2251" s="14">
        <f>IFERROR(__xludf.DUMMYFUNCTION("""COMPUTED_VALUE"""),0.328)</f>
        <v>0.328</v>
      </c>
      <c r="Y2251" s="14" t="str">
        <f>IFERROR(__xludf.DUMMYFUNCTION("""COMPUTED_VALUE"""),"St. Kitts and Nevis-The Americas")</f>
        <v>St. Kitts and Nevis-The Americas</v>
      </c>
      <c r="Z2251" s="14" t="str">
        <f>IFERROR(__xludf.DUMMYFUNCTION("""COMPUTED_VALUE"""),"The Americas")</f>
        <v>The Americas</v>
      </c>
      <c r="AA2251" s="14" t="str">
        <f>IFERROR(__xludf.DUMMYFUNCTION("""COMPUTED_VALUE"""),"2000")</f>
        <v>2000</v>
      </c>
      <c r="AB2251" s="15" t="str">
        <f>IFERROR(__xludf.DUMMYFUNCTION("ARRAYFORMULA(VLOOKUP(A2251,IMPORTRANGE(""https://docs.google.com/spreadsheets/d/1BuTWp7qHGjWhqrnf-OmePP568O4A5Am9ttzvVdP67zw/edit#gid=1931367683"" ,""ENERGY!$A$2:$F$2692""), {2,3,4,5,6},0))"),"The Americas")</f>
        <v>The Americas</v>
      </c>
      <c r="AC2251" s="14" t="str">
        <f>IFERROR(__xludf.DUMMYFUNCTION("""COMPUTED_VALUE"""),"St. Kitts and Nevis-The Americas")</f>
        <v>St. Kitts and Nevis-The Americas</v>
      </c>
      <c r="AD2251" s="14" t="str">
        <f>IFERROR(__xludf.DUMMYFUNCTION("""COMPUTED_VALUE"""),"2000")</f>
        <v>2000</v>
      </c>
      <c r="AE2251" s="14"/>
      <c r="AF2251" s="14"/>
    </row>
    <row r="2252">
      <c r="A2252" s="12">
        <v>2251.0</v>
      </c>
      <c r="B2252" s="12" t="s">
        <v>252</v>
      </c>
      <c r="C2252" s="5" t="s">
        <v>84</v>
      </c>
      <c r="D2252" s="8"/>
      <c r="E2252" s="8"/>
      <c r="F2252" s="8"/>
      <c r="G2252" s="8"/>
      <c r="H2252" s="11">
        <v>0.077</v>
      </c>
      <c r="I2252" s="11">
        <v>0.045</v>
      </c>
      <c r="J2252" s="9" t="s">
        <v>62</v>
      </c>
      <c r="K2252" s="14" t="str">
        <f>IFERROR(__xludf.DUMMYFUNCTION("ARRAYFORMULA(VLOOKUP(A2252,IMPORTRANGE(""https://docs.google.com/spreadsheets/d/1BuTWp7qHGjWhqrnf-OmePP568O4A5Am9ttzvVdP67zw/edit#gid=1603210130"", ""TOURISM!$A$2:$F$2692""), {2,3,4,5,6},0))"),"The Americas")</f>
        <v>The Americas</v>
      </c>
      <c r="L2252" s="14">
        <f>IFERROR(__xludf.DUMMYFUNCTION("""COMPUTED_VALUE"""),6.2E7)</f>
        <v>62000000</v>
      </c>
      <c r="M2252" s="14" t="str">
        <f>IFERROR(__xludf.DUMMYFUNCTION("""COMPUTED_VALUE"""),"St. Kitts and Nevis-The Americas")</f>
        <v>St. Kitts and Nevis-The Americas</v>
      </c>
      <c r="N2252" s="14" t="str">
        <f>IFERROR(__xludf.DUMMYFUNCTION("""COMPUTED_VALUE"""),"2001")</f>
        <v>2001</v>
      </c>
      <c r="O2252" s="14">
        <f>IFERROR(__xludf.DUMMYFUNCTION("""COMPUTED_VALUE"""),8000000.0)</f>
        <v>8000000</v>
      </c>
      <c r="P2252" s="15">
        <f>IFERROR(__xludf.DUMMYFUNCTION("ARRAYFORMULA(VLOOKUP(A2252,IMPORTRANGE(""https://docs.google.com/spreadsheets/d/1BuTWp7qHGjWhqrnf-OmePP568O4A5Am9ttzvVdP67zw/edit#gid=771602874"" ,""HUMAN RESOURCES!$A$2:$M$2692""), {2,3,4,5,6,7,8,9,10,11,12,13},0))"),0.017)</f>
        <v>0.017</v>
      </c>
      <c r="Q2252" s="14">
        <f>IFERROR(__xludf.DUMMYFUNCTION("""COMPUTED_VALUE"""),0.013)</f>
        <v>0.013</v>
      </c>
      <c r="R2252" s="14"/>
      <c r="S2252" s="14"/>
      <c r="T2252" s="14"/>
      <c r="U2252" s="14"/>
      <c r="V2252" s="14"/>
      <c r="W2252" s="14">
        <f>IFERROR(__xludf.DUMMYFUNCTION("""COMPUTED_VALUE"""),46214.0)</f>
        <v>46214</v>
      </c>
      <c r="X2252" s="14">
        <f>IFERROR(__xludf.DUMMYFUNCTION("""COMPUTED_VALUE"""),0.326)</f>
        <v>0.326</v>
      </c>
      <c r="Y2252" s="14" t="str">
        <f>IFERROR(__xludf.DUMMYFUNCTION("""COMPUTED_VALUE"""),"St. Kitts and Nevis-The Americas")</f>
        <v>St. Kitts and Nevis-The Americas</v>
      </c>
      <c r="Z2252" s="14" t="str">
        <f>IFERROR(__xludf.DUMMYFUNCTION("""COMPUTED_VALUE"""),"The Americas")</f>
        <v>The Americas</v>
      </c>
      <c r="AA2252" s="14" t="str">
        <f>IFERROR(__xludf.DUMMYFUNCTION("""COMPUTED_VALUE"""),"2001")</f>
        <v>2001</v>
      </c>
      <c r="AB2252" s="15" t="str">
        <f>IFERROR(__xludf.DUMMYFUNCTION("ARRAYFORMULA(VLOOKUP(A2252,IMPORTRANGE(""https://docs.google.com/spreadsheets/d/1BuTWp7qHGjWhqrnf-OmePP568O4A5Am9ttzvVdP67zw/edit#gid=1931367683"" ,""ENERGY!$A$2:$F$2692""), {2,3,4,5,6},0))"),"The Americas")</f>
        <v>The Americas</v>
      </c>
      <c r="AC2252" s="14" t="str">
        <f>IFERROR(__xludf.DUMMYFUNCTION("""COMPUTED_VALUE"""),"St. Kitts and Nevis-The Americas")</f>
        <v>St. Kitts and Nevis-The Americas</v>
      </c>
      <c r="AD2252" s="14" t="str">
        <f>IFERROR(__xludf.DUMMYFUNCTION("""COMPUTED_VALUE"""),"2001")</f>
        <v>2001</v>
      </c>
      <c r="AE2252" s="14"/>
      <c r="AF2252" s="14"/>
    </row>
    <row r="2253">
      <c r="A2253" s="12">
        <v>2252.0</v>
      </c>
      <c r="B2253" s="12" t="s">
        <v>252</v>
      </c>
      <c r="C2253" s="5" t="s">
        <v>84</v>
      </c>
      <c r="D2253" s="8"/>
      <c r="E2253" s="8"/>
      <c r="F2253" s="8"/>
      <c r="G2253" s="8"/>
      <c r="H2253" s="11">
        <v>0.212</v>
      </c>
      <c r="I2253" s="11">
        <v>0.107</v>
      </c>
      <c r="J2253" s="9" t="s">
        <v>63</v>
      </c>
      <c r="K2253" s="14" t="str">
        <f>IFERROR(__xludf.DUMMYFUNCTION("ARRAYFORMULA(VLOOKUP(A2253,IMPORTRANGE(""https://docs.google.com/spreadsheets/d/1BuTWp7qHGjWhqrnf-OmePP568O4A5Am9ttzvVdP67zw/edit#gid=1603210130"", ""TOURISM!$A$2:$F$2692""), {2,3,4,5,6},0))"),"The Americas")</f>
        <v>The Americas</v>
      </c>
      <c r="L2253" s="14">
        <f>IFERROR(__xludf.DUMMYFUNCTION("""COMPUTED_VALUE"""),5.7E7)</f>
        <v>57000000</v>
      </c>
      <c r="M2253" s="14" t="str">
        <f>IFERROR(__xludf.DUMMYFUNCTION("""COMPUTED_VALUE"""),"St. Kitts and Nevis-The Americas")</f>
        <v>St. Kitts and Nevis-The Americas</v>
      </c>
      <c r="N2253" s="14" t="str">
        <f>IFERROR(__xludf.DUMMYFUNCTION("""COMPUTED_VALUE"""),"2002")</f>
        <v>2002</v>
      </c>
      <c r="O2253" s="14">
        <f>IFERROR(__xludf.DUMMYFUNCTION("""COMPUTED_VALUE"""),8000000.0)</f>
        <v>8000000</v>
      </c>
      <c r="P2253" s="15">
        <f>IFERROR(__xludf.DUMMYFUNCTION("ARRAYFORMULA(VLOOKUP(A2253,IMPORTRANGE(""https://docs.google.com/spreadsheets/d/1BuTWp7qHGjWhqrnf-OmePP568O4A5Am9ttzvVdP67zw/edit#gid=771602874"" ,""HUMAN RESOURCES!$A$2:$M$2692""), {2,3,4,5,6,7,8,9,10,11,12,13},0))"),0.017)</f>
        <v>0.017</v>
      </c>
      <c r="Q2253" s="14">
        <f>IFERROR(__xludf.DUMMYFUNCTION("""COMPUTED_VALUE"""),0.012)</f>
        <v>0.012</v>
      </c>
      <c r="R2253" s="14">
        <f>IFERROR(__xludf.DUMMYFUNCTION("""COMPUTED_VALUE"""),74.0)</f>
        <v>74</v>
      </c>
      <c r="S2253" s="14">
        <f>IFERROR(__xludf.DUMMYFUNCTION("""COMPUTED_VALUE"""),69.0)</f>
        <v>69</v>
      </c>
      <c r="T2253" s="14"/>
      <c r="U2253" s="14"/>
      <c r="V2253" s="14"/>
      <c r="W2253" s="14">
        <f>IFERROR(__xludf.DUMMYFUNCTION("""COMPUTED_VALUE"""),46934.0)</f>
        <v>46934</v>
      </c>
      <c r="X2253" s="14">
        <f>IFERROR(__xludf.DUMMYFUNCTION("""COMPUTED_VALUE"""),0.324)</f>
        <v>0.324</v>
      </c>
      <c r="Y2253" s="14" t="str">
        <f>IFERROR(__xludf.DUMMYFUNCTION("""COMPUTED_VALUE"""),"St. Kitts and Nevis-The Americas")</f>
        <v>St. Kitts and Nevis-The Americas</v>
      </c>
      <c r="Z2253" s="14" t="str">
        <f>IFERROR(__xludf.DUMMYFUNCTION("""COMPUTED_VALUE"""),"The Americas")</f>
        <v>The Americas</v>
      </c>
      <c r="AA2253" s="14" t="str">
        <f>IFERROR(__xludf.DUMMYFUNCTION("""COMPUTED_VALUE"""),"2002")</f>
        <v>2002</v>
      </c>
      <c r="AB2253" s="15" t="str">
        <f>IFERROR(__xludf.DUMMYFUNCTION("ARRAYFORMULA(VLOOKUP(A2253,IMPORTRANGE(""https://docs.google.com/spreadsheets/d/1BuTWp7qHGjWhqrnf-OmePP568O4A5Am9ttzvVdP67zw/edit#gid=1931367683"" ,""ENERGY!$A$2:$F$2692""), {2,3,4,5,6},0))"),"The Americas")</f>
        <v>The Americas</v>
      </c>
      <c r="AC2253" s="14" t="str">
        <f>IFERROR(__xludf.DUMMYFUNCTION("""COMPUTED_VALUE"""),"St. Kitts and Nevis-The Americas")</f>
        <v>St. Kitts and Nevis-The Americas</v>
      </c>
      <c r="AD2253" s="14" t="str">
        <f>IFERROR(__xludf.DUMMYFUNCTION("""COMPUTED_VALUE"""),"2002")</f>
        <v>2002</v>
      </c>
      <c r="AE2253" s="14"/>
      <c r="AF2253" s="14">
        <f>IFERROR(__xludf.DUMMYFUNCTION("""COMPUTED_VALUE"""),249.0)</f>
        <v>249</v>
      </c>
    </row>
    <row r="2254">
      <c r="A2254" s="12">
        <v>2253.0</v>
      </c>
      <c r="B2254" s="12" t="s">
        <v>252</v>
      </c>
      <c r="C2254" s="5" t="s">
        <v>84</v>
      </c>
      <c r="D2254" s="8"/>
      <c r="E2254" s="8"/>
      <c r="F2254" s="8"/>
      <c r="G2254" s="8"/>
      <c r="H2254" s="11">
        <v>0.23</v>
      </c>
      <c r="I2254" s="11">
        <v>0.461</v>
      </c>
      <c r="J2254" s="9" t="s">
        <v>64</v>
      </c>
      <c r="K2254" s="14" t="str">
        <f>IFERROR(__xludf.DUMMYFUNCTION("ARRAYFORMULA(VLOOKUP(A2254,IMPORTRANGE(""https://docs.google.com/spreadsheets/d/1BuTWp7qHGjWhqrnf-OmePP568O4A5Am9ttzvVdP67zw/edit#gid=1603210130"", ""TOURISM!$A$2:$F$2692""), {2,3,4,5,6},0))"),"The Americas")</f>
        <v>The Americas</v>
      </c>
      <c r="L2254" s="14">
        <f>IFERROR(__xludf.DUMMYFUNCTION("""COMPUTED_VALUE"""),7.5E7)</f>
        <v>75000000</v>
      </c>
      <c r="M2254" s="14" t="str">
        <f>IFERROR(__xludf.DUMMYFUNCTION("""COMPUTED_VALUE"""),"St. Kitts and Nevis-The Americas")</f>
        <v>St. Kitts and Nevis-The Americas</v>
      </c>
      <c r="N2254" s="14" t="str">
        <f>IFERROR(__xludf.DUMMYFUNCTION("""COMPUTED_VALUE"""),"2003")</f>
        <v>2003</v>
      </c>
      <c r="O2254" s="14">
        <f>IFERROR(__xludf.DUMMYFUNCTION("""COMPUTED_VALUE"""),8000000.0)</f>
        <v>8000000</v>
      </c>
      <c r="P2254" s="15" t="str">
        <f>IFERROR(__xludf.DUMMYFUNCTION("ARRAYFORMULA(VLOOKUP(A2254,IMPORTRANGE(""https://docs.google.com/spreadsheets/d/1BuTWp7qHGjWhqrnf-OmePP568O4A5Am9ttzvVdP67zw/edit#gid=771602874"" ,""HUMAN RESOURCES!$A$2:$M$2692""), {2,3,4,5,6,7,8,9,10,11,12,13},0))"),"")</f>
        <v/>
      </c>
      <c r="Q2254" s="14">
        <f>IFERROR(__xludf.DUMMYFUNCTION("""COMPUTED_VALUE"""),0.012)</f>
        <v>0.012</v>
      </c>
      <c r="R2254" s="14"/>
      <c r="S2254" s="14"/>
      <c r="T2254" s="14"/>
      <c r="U2254" s="14"/>
      <c r="V2254" s="14"/>
      <c r="W2254" s="14">
        <f>IFERROR(__xludf.DUMMYFUNCTION("""COMPUTED_VALUE"""),47679.0)</f>
        <v>47679</v>
      </c>
      <c r="X2254" s="14">
        <f>IFERROR(__xludf.DUMMYFUNCTION("""COMPUTED_VALUE"""),0.323)</f>
        <v>0.323</v>
      </c>
      <c r="Y2254" s="14" t="str">
        <f>IFERROR(__xludf.DUMMYFUNCTION("""COMPUTED_VALUE"""),"St. Kitts and Nevis-The Americas")</f>
        <v>St. Kitts and Nevis-The Americas</v>
      </c>
      <c r="Z2254" s="14" t="str">
        <f>IFERROR(__xludf.DUMMYFUNCTION("""COMPUTED_VALUE"""),"The Americas")</f>
        <v>The Americas</v>
      </c>
      <c r="AA2254" s="14" t="str">
        <f>IFERROR(__xludf.DUMMYFUNCTION("""COMPUTED_VALUE"""),"2003")</f>
        <v>2003</v>
      </c>
      <c r="AB2254" s="15" t="str">
        <f>IFERROR(__xludf.DUMMYFUNCTION("ARRAYFORMULA(VLOOKUP(A2254,IMPORTRANGE(""https://docs.google.com/spreadsheets/d/1BuTWp7qHGjWhqrnf-OmePP568O4A5Am9ttzvVdP67zw/edit#gid=1931367683"" ,""ENERGY!$A$2:$F$2692""), {2,3,4,5,6},0))"),"The Americas")</f>
        <v>The Americas</v>
      </c>
      <c r="AC2254" s="14" t="str">
        <f>IFERROR(__xludf.DUMMYFUNCTION("""COMPUTED_VALUE"""),"St. Kitts and Nevis-The Americas")</f>
        <v>St. Kitts and Nevis-The Americas</v>
      </c>
      <c r="AD2254" s="14" t="str">
        <f>IFERROR(__xludf.DUMMYFUNCTION("""COMPUTED_VALUE"""),"2003")</f>
        <v>2003</v>
      </c>
      <c r="AE2254" s="14"/>
      <c r="AF2254" s="14">
        <f>IFERROR(__xludf.DUMMYFUNCTION("""COMPUTED_VALUE"""),260.0)</f>
        <v>260</v>
      </c>
    </row>
    <row r="2255">
      <c r="A2255" s="12">
        <v>2254.0</v>
      </c>
      <c r="B2255" s="12" t="s">
        <v>252</v>
      </c>
      <c r="C2255" s="5" t="s">
        <v>84</v>
      </c>
      <c r="D2255" s="8"/>
      <c r="E2255" s="8"/>
      <c r="F2255" s="8"/>
      <c r="G2255" s="8"/>
      <c r="H2255" s="11">
        <v>0.247</v>
      </c>
      <c r="I2255" s="11">
        <v>0.599</v>
      </c>
      <c r="J2255" s="9" t="s">
        <v>65</v>
      </c>
      <c r="K2255" s="14" t="str">
        <f>IFERROR(__xludf.DUMMYFUNCTION("ARRAYFORMULA(VLOOKUP(A2255,IMPORTRANGE(""https://docs.google.com/spreadsheets/d/1BuTWp7qHGjWhqrnf-OmePP568O4A5Am9ttzvVdP67zw/edit#gid=1603210130"", ""TOURISM!$A$2:$F$2692""), {2,3,4,5,6},0))"),"The Americas")</f>
        <v>The Americas</v>
      </c>
      <c r="L2255" s="14">
        <f>IFERROR(__xludf.DUMMYFUNCTION("""COMPUTED_VALUE"""),1.03E8)</f>
        <v>103000000</v>
      </c>
      <c r="M2255" s="14" t="str">
        <f>IFERROR(__xludf.DUMMYFUNCTION("""COMPUTED_VALUE"""),"St. Kitts and Nevis-The Americas")</f>
        <v>St. Kitts and Nevis-The Americas</v>
      </c>
      <c r="N2255" s="14" t="str">
        <f>IFERROR(__xludf.DUMMYFUNCTION("""COMPUTED_VALUE"""),"2004")</f>
        <v>2004</v>
      </c>
      <c r="O2255" s="14">
        <f>IFERROR(__xludf.DUMMYFUNCTION("""COMPUTED_VALUE"""),1.0E7)</f>
        <v>10000000</v>
      </c>
      <c r="P2255" s="15" t="str">
        <f>IFERROR(__xludf.DUMMYFUNCTION("ARRAYFORMULA(VLOOKUP(A2255,IMPORTRANGE(""https://docs.google.com/spreadsheets/d/1BuTWp7qHGjWhqrnf-OmePP568O4A5Am9ttzvVdP67zw/edit#gid=771602874"" ,""HUMAN RESOURCES!$A$2:$M$2692""), {2,3,4,5,6,7,8,9,10,11,12,13},0))"),"")</f>
        <v/>
      </c>
      <c r="Q2255" s="14">
        <f>IFERROR(__xludf.DUMMYFUNCTION("""COMPUTED_VALUE"""),0.011)</f>
        <v>0.011</v>
      </c>
      <c r="R2255" s="14"/>
      <c r="S2255" s="14"/>
      <c r="T2255" s="14"/>
      <c r="U2255" s="14"/>
      <c r="V2255" s="14"/>
      <c r="W2255" s="14">
        <f>IFERROR(__xludf.DUMMYFUNCTION("""COMPUTED_VALUE"""),48421.0)</f>
        <v>48421</v>
      </c>
      <c r="X2255" s="14">
        <f>IFERROR(__xludf.DUMMYFUNCTION("""COMPUTED_VALUE"""),0.322)</f>
        <v>0.322</v>
      </c>
      <c r="Y2255" s="14" t="str">
        <f>IFERROR(__xludf.DUMMYFUNCTION("""COMPUTED_VALUE"""),"St. Kitts and Nevis-The Americas")</f>
        <v>St. Kitts and Nevis-The Americas</v>
      </c>
      <c r="Z2255" s="14" t="str">
        <f>IFERROR(__xludf.DUMMYFUNCTION("""COMPUTED_VALUE"""),"The Americas")</f>
        <v>The Americas</v>
      </c>
      <c r="AA2255" s="14" t="str">
        <f>IFERROR(__xludf.DUMMYFUNCTION("""COMPUTED_VALUE"""),"2004")</f>
        <v>2004</v>
      </c>
      <c r="AB2255" s="15" t="str">
        <f>IFERROR(__xludf.DUMMYFUNCTION("ARRAYFORMULA(VLOOKUP(A2255,IMPORTRANGE(""https://docs.google.com/spreadsheets/d/1BuTWp7qHGjWhqrnf-OmePP568O4A5Am9ttzvVdP67zw/edit#gid=1931367683"" ,""ENERGY!$A$2:$F$2692""), {2,3,4,5,6},0))"),"The Americas")</f>
        <v>The Americas</v>
      </c>
      <c r="AC2255" s="14" t="str">
        <f>IFERROR(__xludf.DUMMYFUNCTION("""COMPUTED_VALUE"""),"St. Kitts and Nevis-The Americas")</f>
        <v>St. Kitts and Nevis-The Americas</v>
      </c>
      <c r="AD2255" s="14" t="str">
        <f>IFERROR(__xludf.DUMMYFUNCTION("""COMPUTED_VALUE"""),"2005")</f>
        <v>2005</v>
      </c>
      <c r="AE2255" s="14"/>
      <c r="AF2255" s="14">
        <f>IFERROR(__xludf.DUMMYFUNCTION("""COMPUTED_VALUE"""),249.0)</f>
        <v>249</v>
      </c>
    </row>
    <row r="2256">
      <c r="A2256" s="12">
        <v>2255.0</v>
      </c>
      <c r="B2256" s="12" t="s">
        <v>252</v>
      </c>
      <c r="C2256" s="5" t="s">
        <v>84</v>
      </c>
      <c r="D2256" s="11">
        <v>0.523</v>
      </c>
      <c r="E2256" s="11">
        <v>19.0</v>
      </c>
      <c r="F2256" s="8"/>
      <c r="G2256" s="11">
        <v>172.0</v>
      </c>
      <c r="H2256" s="11">
        <v>0.34</v>
      </c>
      <c r="I2256" s="11">
        <v>1.038</v>
      </c>
      <c r="J2256" s="9" t="s">
        <v>66</v>
      </c>
      <c r="K2256" s="14" t="str">
        <f>IFERROR(__xludf.DUMMYFUNCTION("ARRAYFORMULA(VLOOKUP(A2256,IMPORTRANGE(""https://docs.google.com/spreadsheets/d/1BuTWp7qHGjWhqrnf-OmePP568O4A5Am9ttzvVdP67zw/edit#gid=1603210130"", ""TOURISM!$A$2:$F$2692""), {2,3,4,5,6},0))"),"The Americas")</f>
        <v>The Americas</v>
      </c>
      <c r="L2256" s="14">
        <f>IFERROR(__xludf.DUMMYFUNCTION("""COMPUTED_VALUE"""),1.21E8)</f>
        <v>121000000</v>
      </c>
      <c r="M2256" s="14" t="str">
        <f>IFERROR(__xludf.DUMMYFUNCTION("""COMPUTED_VALUE"""),"St. Kitts and Nevis-The Americas")</f>
        <v>St. Kitts and Nevis-The Americas</v>
      </c>
      <c r="N2256" s="14" t="str">
        <f>IFERROR(__xludf.DUMMYFUNCTION("""COMPUTED_VALUE"""),"2005")</f>
        <v>2005</v>
      </c>
      <c r="O2256" s="14">
        <f>IFERROR(__xludf.DUMMYFUNCTION("""COMPUTED_VALUE"""),1.1E7)</f>
        <v>11000000</v>
      </c>
      <c r="P2256" s="15" t="str">
        <f>IFERROR(__xludf.DUMMYFUNCTION("ARRAYFORMULA(VLOOKUP(A2256,IMPORTRANGE(""https://docs.google.com/spreadsheets/d/1BuTWp7qHGjWhqrnf-OmePP568O4A5Am9ttzvVdP67zw/edit#gid=771602874"" ,""HUMAN RESOURCES!$A$2:$M$2692""), {2,3,4,5,6,7,8,9,10,11,12,13},0))"),"")</f>
        <v/>
      </c>
      <c r="Q2256" s="14">
        <f>IFERROR(__xludf.DUMMYFUNCTION("""COMPUTED_VALUE"""),0.011)</f>
        <v>0.011</v>
      </c>
      <c r="R2256" s="14"/>
      <c r="S2256" s="14"/>
      <c r="T2256" s="14"/>
      <c r="U2256" s="14"/>
      <c r="V2256" s="14"/>
      <c r="W2256" s="14">
        <f>IFERROR(__xludf.DUMMYFUNCTION("""COMPUTED_VALUE"""),49139.0)</f>
        <v>49139</v>
      </c>
      <c r="X2256" s="14">
        <f>IFERROR(__xludf.DUMMYFUNCTION("""COMPUTED_VALUE"""),0.32)</f>
        <v>0.32</v>
      </c>
      <c r="Y2256" s="14" t="str">
        <f>IFERROR(__xludf.DUMMYFUNCTION("""COMPUTED_VALUE"""),"St. Kitts and Nevis-The Americas")</f>
        <v>St. Kitts and Nevis-The Americas</v>
      </c>
      <c r="Z2256" s="14" t="str">
        <f>IFERROR(__xludf.DUMMYFUNCTION("""COMPUTED_VALUE"""),"The Americas")</f>
        <v>The Americas</v>
      </c>
      <c r="AA2256" s="14" t="str">
        <f>IFERROR(__xludf.DUMMYFUNCTION("""COMPUTED_VALUE"""),"2005")</f>
        <v>2005</v>
      </c>
      <c r="AB2256" s="15" t="str">
        <f>IFERROR(__xludf.DUMMYFUNCTION("ARRAYFORMULA(VLOOKUP(A2256,IMPORTRANGE(""https://docs.google.com/spreadsheets/d/1BuTWp7qHGjWhqrnf-OmePP568O4A5Am9ttzvVdP67zw/edit#gid=1931367683"" ,""ENERGY!$A$2:$F$2692""), {2,3,4,5,6},0))"),"The Americas")</f>
        <v>The Americas</v>
      </c>
      <c r="AC2256" s="14" t="str">
        <f>IFERROR(__xludf.DUMMYFUNCTION("""COMPUTED_VALUE"""),"St. Kitts and Nevis-The Americas")</f>
        <v>St. Kitts and Nevis-The Americas</v>
      </c>
      <c r="AD2256" s="14" t="str">
        <f>IFERROR(__xludf.DUMMYFUNCTION("""COMPUTED_VALUE"""),"2008")</f>
        <v>2008</v>
      </c>
      <c r="AE2256" s="14">
        <f>IFERROR(__xludf.DUMMYFUNCTION("""COMPUTED_VALUE"""),83.0)</f>
        <v>83</v>
      </c>
      <c r="AF2256" s="14">
        <f>IFERROR(__xludf.DUMMYFUNCTION("""COMPUTED_VALUE"""),249.0)</f>
        <v>249</v>
      </c>
    </row>
    <row r="2257">
      <c r="A2257" s="12">
        <v>2256.0</v>
      </c>
      <c r="B2257" s="12" t="s">
        <v>252</v>
      </c>
      <c r="C2257" s="5" t="s">
        <v>84</v>
      </c>
      <c r="D2257" s="11">
        <v>0.523</v>
      </c>
      <c r="E2257" s="11">
        <v>19.0</v>
      </c>
      <c r="F2257" s="8"/>
      <c r="G2257" s="11">
        <v>172.0</v>
      </c>
      <c r="H2257" s="11">
        <v>0.49</v>
      </c>
      <c r="I2257" s="11">
        <v>1.024</v>
      </c>
      <c r="J2257" s="9" t="s">
        <v>67</v>
      </c>
      <c r="K2257" s="14" t="str">
        <f>IFERROR(__xludf.DUMMYFUNCTION("ARRAYFORMULA(VLOOKUP(A2257,IMPORTRANGE(""https://docs.google.com/spreadsheets/d/1BuTWp7qHGjWhqrnf-OmePP568O4A5Am9ttzvVdP67zw/edit#gid=1603210130"", ""TOURISM!$A$2:$F$2692""), {2,3,4,5,6},0))"),"The Americas")</f>
        <v>The Americas</v>
      </c>
      <c r="L2257" s="14">
        <f>IFERROR(__xludf.DUMMYFUNCTION("""COMPUTED_VALUE"""),1.32E8)</f>
        <v>132000000</v>
      </c>
      <c r="M2257" s="14" t="str">
        <f>IFERROR(__xludf.DUMMYFUNCTION("""COMPUTED_VALUE"""),"St. Kitts and Nevis-The Americas")</f>
        <v>St. Kitts and Nevis-The Americas</v>
      </c>
      <c r="N2257" s="14" t="str">
        <f>IFERROR(__xludf.DUMMYFUNCTION("""COMPUTED_VALUE"""),"2006")</f>
        <v>2006</v>
      </c>
      <c r="O2257" s="14">
        <f>IFERROR(__xludf.DUMMYFUNCTION("""COMPUTED_VALUE"""),1.4E7)</f>
        <v>14000000</v>
      </c>
      <c r="P2257" s="15" t="str">
        <f>IFERROR(__xludf.DUMMYFUNCTION("ARRAYFORMULA(VLOOKUP(A2257,IMPORTRANGE(""https://docs.google.com/spreadsheets/d/1BuTWp7qHGjWhqrnf-OmePP568O4A5Am9ttzvVdP67zw/edit#gid=771602874"" ,""HUMAN RESOURCES!$A$2:$M$2692""), {2,3,4,5,6,7,8,9,10,11,12,13},0))"),"")</f>
        <v/>
      </c>
      <c r="Q2257" s="14">
        <f>IFERROR(__xludf.DUMMYFUNCTION("""COMPUTED_VALUE"""),0.01)</f>
        <v>0.01</v>
      </c>
      <c r="R2257" s="14"/>
      <c r="S2257" s="14"/>
      <c r="T2257" s="14"/>
      <c r="U2257" s="14"/>
      <c r="V2257" s="14"/>
      <c r="W2257" s="14">
        <f>IFERROR(__xludf.DUMMYFUNCTION("""COMPUTED_VALUE"""),49823.0)</f>
        <v>49823</v>
      </c>
      <c r="X2257" s="14">
        <f>IFERROR(__xludf.DUMMYFUNCTION("""COMPUTED_VALUE"""),0.32)</f>
        <v>0.32</v>
      </c>
      <c r="Y2257" s="14" t="str">
        <f>IFERROR(__xludf.DUMMYFUNCTION("""COMPUTED_VALUE"""),"St. Kitts and Nevis-The Americas")</f>
        <v>St. Kitts and Nevis-The Americas</v>
      </c>
      <c r="Z2257" s="14" t="str">
        <f>IFERROR(__xludf.DUMMYFUNCTION("""COMPUTED_VALUE"""),"The Americas")</f>
        <v>The Americas</v>
      </c>
      <c r="AA2257" s="14" t="str">
        <f>IFERROR(__xludf.DUMMYFUNCTION("""COMPUTED_VALUE"""),"2006")</f>
        <v>2006</v>
      </c>
      <c r="AB2257" s="15" t="str">
        <f>IFERROR(__xludf.DUMMYFUNCTION("ARRAYFORMULA(VLOOKUP(A2257,IMPORTRANGE(""https://docs.google.com/spreadsheets/d/1BuTWp7qHGjWhqrnf-OmePP568O4A5Am9ttzvVdP67zw/edit#gid=1931367683"" ,""ENERGY!$A$2:$F$2692""), {2,3,4,5,6},0))"),"The Americas")</f>
        <v>The Americas</v>
      </c>
      <c r="AC2257" s="14" t="str">
        <f>IFERROR(__xludf.DUMMYFUNCTION("""COMPUTED_VALUE"""),"St. Kitts and Nevis-The Americas")</f>
        <v>St. Kitts and Nevis-The Americas</v>
      </c>
      <c r="AD2257" s="14" t="str">
        <f>IFERROR(__xludf.DUMMYFUNCTION("""COMPUTED_VALUE"""),"2012")</f>
        <v>2012</v>
      </c>
      <c r="AE2257" s="14">
        <f>IFERROR(__xludf.DUMMYFUNCTION("""COMPUTED_VALUE"""),79.0)</f>
        <v>79</v>
      </c>
      <c r="AF2257" s="14">
        <f>IFERROR(__xludf.DUMMYFUNCTION("""COMPUTED_VALUE"""),235.0)</f>
        <v>235</v>
      </c>
    </row>
    <row r="2258">
      <c r="A2258" s="12">
        <v>2257.0</v>
      </c>
      <c r="B2258" s="12" t="s">
        <v>252</v>
      </c>
      <c r="C2258" s="5" t="s">
        <v>84</v>
      </c>
      <c r="D2258" s="11">
        <v>0.523</v>
      </c>
      <c r="E2258" s="11">
        <v>19.0</v>
      </c>
      <c r="F2258" s="8"/>
      <c r="G2258" s="11">
        <v>172.0</v>
      </c>
      <c r="H2258" s="11">
        <v>0.52</v>
      </c>
      <c r="I2258" s="11">
        <v>1.278</v>
      </c>
      <c r="J2258" s="9" t="s">
        <v>68</v>
      </c>
      <c r="K2258" s="14" t="str">
        <f>IFERROR(__xludf.DUMMYFUNCTION("ARRAYFORMULA(VLOOKUP(A2258,IMPORTRANGE(""https://docs.google.com/spreadsheets/d/1BuTWp7qHGjWhqrnf-OmePP568O4A5Am9ttzvVdP67zw/edit#gid=1603210130"", ""TOURISM!$A$2:$F$2692""), {2,3,4,5,6},0))"),"The Americas")</f>
        <v>The Americas</v>
      </c>
      <c r="L2258" s="14">
        <f>IFERROR(__xludf.DUMMYFUNCTION("""COMPUTED_VALUE"""),1.25E8)</f>
        <v>125000000</v>
      </c>
      <c r="M2258" s="14" t="str">
        <f>IFERROR(__xludf.DUMMYFUNCTION("""COMPUTED_VALUE"""),"St. Kitts and Nevis-The Americas")</f>
        <v>St. Kitts and Nevis-The Americas</v>
      </c>
      <c r="N2258" s="14" t="str">
        <f>IFERROR(__xludf.DUMMYFUNCTION("""COMPUTED_VALUE"""),"2007")</f>
        <v>2007</v>
      </c>
      <c r="O2258" s="14">
        <f>IFERROR(__xludf.DUMMYFUNCTION("""COMPUTED_VALUE"""),1.2E7)</f>
        <v>12000000</v>
      </c>
      <c r="P2258" s="15" t="str">
        <f>IFERROR(__xludf.DUMMYFUNCTION("ARRAYFORMULA(VLOOKUP(A2258,IMPORTRANGE(""https://docs.google.com/spreadsheets/d/1BuTWp7qHGjWhqrnf-OmePP568O4A5Am9ttzvVdP67zw/edit#gid=771602874"" ,""HUMAN RESOURCES!$A$2:$M$2692""), {2,3,4,5,6,7,8,9,10,11,12,13},0))"),"")</f>
        <v/>
      </c>
      <c r="Q2258" s="14">
        <f>IFERROR(__xludf.DUMMYFUNCTION("""COMPUTED_VALUE"""),0.01)</f>
        <v>0.01</v>
      </c>
      <c r="R2258" s="14"/>
      <c r="S2258" s="14"/>
      <c r="T2258" s="14"/>
      <c r="U2258" s="14"/>
      <c r="V2258" s="14"/>
      <c r="W2258" s="14">
        <f>IFERROR(__xludf.DUMMYFUNCTION("""COMPUTED_VALUE"""),50478.0)</f>
        <v>50478</v>
      </c>
      <c r="X2258" s="14">
        <f>IFERROR(__xludf.DUMMYFUNCTION("""COMPUTED_VALUE"""),0.319)</f>
        <v>0.319</v>
      </c>
      <c r="Y2258" s="14" t="str">
        <f>IFERROR(__xludf.DUMMYFUNCTION("""COMPUTED_VALUE"""),"St. Kitts and Nevis-The Americas")</f>
        <v>St. Kitts and Nevis-The Americas</v>
      </c>
      <c r="Z2258" s="14" t="str">
        <f>IFERROR(__xludf.DUMMYFUNCTION("""COMPUTED_VALUE"""),"The Americas")</f>
        <v>The Americas</v>
      </c>
      <c r="AA2258" s="14" t="str">
        <f>IFERROR(__xludf.DUMMYFUNCTION("""COMPUTED_VALUE"""),"2007")</f>
        <v>2007</v>
      </c>
      <c r="AB2258" s="15" t="str">
        <f>IFERROR(__xludf.DUMMYFUNCTION("ARRAYFORMULA(VLOOKUP(A2258,IMPORTRANGE(""https://docs.google.com/spreadsheets/d/1BuTWp7qHGjWhqrnf-OmePP568O4A5Am9ttzvVdP67zw/edit#gid=1931367683"" ,""ENERGY!$A$2:$F$2692""), {2,3,4,5,6},0))"),"The Americas")</f>
        <v>The Americas</v>
      </c>
      <c r="AC2258" s="14" t="str">
        <f>IFERROR(__xludf.DUMMYFUNCTION("""COMPUTED_VALUE"""),"St. Kitts and Nevis-The Americas")</f>
        <v>St. Kitts and Nevis-The Americas</v>
      </c>
      <c r="AD2258" s="14" t="str">
        <f>IFERROR(__xludf.DUMMYFUNCTION("""COMPUTED_VALUE"""),"2010")</f>
        <v>2010</v>
      </c>
      <c r="AE2258" s="14">
        <f>IFERROR(__xludf.DUMMYFUNCTION("""COMPUTED_VALUE"""),79.0)</f>
        <v>79</v>
      </c>
      <c r="AF2258" s="14">
        <f>IFERROR(__xludf.DUMMYFUNCTION("""COMPUTED_VALUE"""),235.0)</f>
        <v>235</v>
      </c>
    </row>
    <row r="2259">
      <c r="A2259" s="12">
        <v>2258.0</v>
      </c>
      <c r="B2259" s="12" t="s">
        <v>252</v>
      </c>
      <c r="C2259" s="5" t="s">
        <v>84</v>
      </c>
      <c r="D2259" s="11">
        <v>0.525</v>
      </c>
      <c r="E2259" s="11">
        <v>19.0</v>
      </c>
      <c r="F2259" s="8"/>
      <c r="G2259" s="11">
        <v>172.0</v>
      </c>
      <c r="H2259" s="11">
        <v>0.6</v>
      </c>
      <c r="I2259" s="11">
        <v>1.458</v>
      </c>
      <c r="J2259" s="9" t="s">
        <v>69</v>
      </c>
      <c r="K2259" s="14" t="str">
        <f>IFERROR(__xludf.DUMMYFUNCTION("ARRAYFORMULA(VLOOKUP(A2259,IMPORTRANGE(""https://docs.google.com/spreadsheets/d/1BuTWp7qHGjWhqrnf-OmePP568O4A5Am9ttzvVdP67zw/edit#gid=1603210130"", ""TOURISM!$A$2:$F$2692""), {2,3,4,5,6},0))"),"The Americas")</f>
        <v>The Americas</v>
      </c>
      <c r="L2259" s="14">
        <f>IFERROR(__xludf.DUMMYFUNCTION("""COMPUTED_VALUE"""),1.1E8)</f>
        <v>110000000</v>
      </c>
      <c r="M2259" s="14" t="str">
        <f>IFERROR(__xludf.DUMMYFUNCTION("""COMPUTED_VALUE"""),"St. Kitts and Nevis-The Americas")</f>
        <v>St. Kitts and Nevis-The Americas</v>
      </c>
      <c r="N2259" s="14" t="str">
        <f>IFERROR(__xludf.DUMMYFUNCTION("""COMPUTED_VALUE"""),"2008")</f>
        <v>2008</v>
      </c>
      <c r="O2259" s="14">
        <f>IFERROR(__xludf.DUMMYFUNCTION("""COMPUTED_VALUE"""),1.5E7)</f>
        <v>15000000</v>
      </c>
      <c r="P2259" s="15" t="str">
        <f>IFERROR(__xludf.DUMMYFUNCTION("ARRAYFORMULA(VLOOKUP(A2259,IMPORTRANGE(""https://docs.google.com/spreadsheets/d/1BuTWp7qHGjWhqrnf-OmePP568O4A5Am9ttzvVdP67zw/edit#gid=771602874"" ,""HUMAN RESOURCES!$A$2:$M$2692""), {2,3,4,5,6,7,8,9,10,11,12,13},0))"),"")</f>
        <v/>
      </c>
      <c r="Q2259" s="14">
        <f>IFERROR(__xludf.DUMMYFUNCTION("""COMPUTED_VALUE"""),0.009)</f>
        <v>0.009</v>
      </c>
      <c r="R2259" s="14"/>
      <c r="S2259" s="14"/>
      <c r="T2259" s="14"/>
      <c r="U2259" s="14"/>
      <c r="V2259" s="14"/>
      <c r="W2259" s="14">
        <f>IFERROR(__xludf.DUMMYFUNCTION("""COMPUTED_VALUE"""),51110.0)</f>
        <v>51110</v>
      </c>
      <c r="X2259" s="14">
        <f>IFERROR(__xludf.DUMMYFUNCTION("""COMPUTED_VALUE"""),0.318)</f>
        <v>0.318</v>
      </c>
      <c r="Y2259" s="14" t="str">
        <f>IFERROR(__xludf.DUMMYFUNCTION("""COMPUTED_VALUE"""),"St. Kitts and Nevis-The Americas")</f>
        <v>St. Kitts and Nevis-The Americas</v>
      </c>
      <c r="Z2259" s="14" t="str">
        <f>IFERROR(__xludf.DUMMYFUNCTION("""COMPUTED_VALUE"""),"The Americas")</f>
        <v>The Americas</v>
      </c>
      <c r="AA2259" s="14" t="str">
        <f>IFERROR(__xludf.DUMMYFUNCTION("""COMPUTED_VALUE"""),"2008")</f>
        <v>2008</v>
      </c>
      <c r="AB2259" s="15" t="str">
        <f>IFERROR(__xludf.DUMMYFUNCTION("ARRAYFORMULA(VLOOKUP(A2259,IMPORTRANGE(""https://docs.google.com/spreadsheets/d/1BuTWp7qHGjWhqrnf-OmePP568O4A5Am9ttzvVdP67zw/edit#gid=1931367683"" ,""ENERGY!$A$2:$F$2692""), {2,3,4,5,6},0))"),"The Americas")</f>
        <v>The Americas</v>
      </c>
      <c r="AC2259" s="14" t="str">
        <f>IFERROR(__xludf.DUMMYFUNCTION("""COMPUTED_VALUE"""),"St. Kitts and Nevis-The Americas")</f>
        <v>St. Kitts and Nevis-The Americas</v>
      </c>
      <c r="AD2259" s="14" t="str">
        <f>IFERROR(__xludf.DUMMYFUNCTION("""COMPUTED_VALUE"""),"2007")</f>
        <v>2007</v>
      </c>
      <c r="AE2259" s="14">
        <f>IFERROR(__xludf.DUMMYFUNCTION("""COMPUTED_VALUE"""),76.0)</f>
        <v>76</v>
      </c>
      <c r="AF2259" s="14">
        <f>IFERROR(__xludf.DUMMYFUNCTION("""COMPUTED_VALUE"""),227.0)</f>
        <v>227</v>
      </c>
    </row>
    <row r="2260">
      <c r="A2260" s="12">
        <v>2259.0</v>
      </c>
      <c r="B2260" s="12" t="s">
        <v>252</v>
      </c>
      <c r="C2260" s="5" t="s">
        <v>84</v>
      </c>
      <c r="D2260" s="11">
        <v>0.525</v>
      </c>
      <c r="E2260" s="11">
        <v>19.0</v>
      </c>
      <c r="F2260" s="8"/>
      <c r="G2260" s="11">
        <v>155.0</v>
      </c>
      <c r="H2260" s="11">
        <v>0.69</v>
      </c>
      <c r="I2260" s="11">
        <v>1.459</v>
      </c>
      <c r="J2260" s="9" t="s">
        <v>70</v>
      </c>
      <c r="K2260" s="14" t="str">
        <f>IFERROR(__xludf.DUMMYFUNCTION("ARRAYFORMULA(VLOOKUP(A2260,IMPORTRANGE(""https://docs.google.com/spreadsheets/d/1BuTWp7qHGjWhqrnf-OmePP568O4A5Am9ttzvVdP67zw/edit#gid=1603210130"", ""TOURISM!$A$2:$F$2692""), {2,3,4,5,6},0))"),"The Americas")</f>
        <v>The Americas</v>
      </c>
      <c r="L2260" s="14">
        <f>IFERROR(__xludf.DUMMYFUNCTION("""COMPUTED_VALUE"""),8.3E7)</f>
        <v>83000000</v>
      </c>
      <c r="M2260" s="14" t="str">
        <f>IFERROR(__xludf.DUMMYFUNCTION("""COMPUTED_VALUE"""),"St. Kitts and Nevis-The Americas")</f>
        <v>St. Kitts and Nevis-The Americas</v>
      </c>
      <c r="N2260" s="14" t="str">
        <f>IFERROR(__xludf.DUMMYFUNCTION("""COMPUTED_VALUE"""),"2009")</f>
        <v>2009</v>
      </c>
      <c r="O2260" s="14">
        <f>IFERROR(__xludf.DUMMYFUNCTION("""COMPUTED_VALUE"""),1.1E7)</f>
        <v>11000000</v>
      </c>
      <c r="P2260" s="15" t="str">
        <f>IFERROR(__xludf.DUMMYFUNCTION("ARRAYFORMULA(VLOOKUP(A2260,IMPORTRANGE(""https://docs.google.com/spreadsheets/d/1BuTWp7qHGjWhqrnf-OmePP568O4A5Am9ttzvVdP67zw/edit#gid=771602874"" ,""HUMAN RESOURCES!$A$2:$M$2692""), {2,3,4,5,6,7,8,9,10,11,12,13},0))"),"")</f>
        <v/>
      </c>
      <c r="Q2260" s="14">
        <f>IFERROR(__xludf.DUMMYFUNCTION("""COMPUTED_VALUE"""),0.009)</f>
        <v>0.009</v>
      </c>
      <c r="R2260" s="14"/>
      <c r="S2260" s="14"/>
      <c r="T2260" s="14"/>
      <c r="U2260" s="14"/>
      <c r="V2260" s="14"/>
      <c r="W2260" s="14">
        <f>IFERROR(__xludf.DUMMYFUNCTION("""COMPUTED_VALUE"""),51731.0)</f>
        <v>51731</v>
      </c>
      <c r="X2260" s="14">
        <f>IFERROR(__xludf.DUMMYFUNCTION("""COMPUTED_VALUE"""),0.318)</f>
        <v>0.318</v>
      </c>
      <c r="Y2260" s="14" t="str">
        <f>IFERROR(__xludf.DUMMYFUNCTION("""COMPUTED_VALUE"""),"St. Kitts and Nevis-The Americas")</f>
        <v>St. Kitts and Nevis-The Americas</v>
      </c>
      <c r="Z2260" s="14" t="str">
        <f>IFERROR(__xludf.DUMMYFUNCTION("""COMPUTED_VALUE"""),"The Americas")</f>
        <v>The Americas</v>
      </c>
      <c r="AA2260" s="14" t="str">
        <f>IFERROR(__xludf.DUMMYFUNCTION("""COMPUTED_VALUE"""),"2009")</f>
        <v>2009</v>
      </c>
      <c r="AB2260" s="15" t="str">
        <f>IFERROR(__xludf.DUMMYFUNCTION("ARRAYFORMULA(VLOOKUP(A2260,IMPORTRANGE(""https://docs.google.com/spreadsheets/d/1BuTWp7qHGjWhqrnf-OmePP568O4A5Am9ttzvVdP67zw/edit#gid=1931367683"" ,""ENERGY!$A$2:$F$2692""), {2,3,4,5,6},0))"),"The Americas")</f>
        <v>The Americas</v>
      </c>
      <c r="AC2260" s="14" t="str">
        <f>IFERROR(__xludf.DUMMYFUNCTION("""COMPUTED_VALUE"""),"St. Kitts and Nevis-The Americas")</f>
        <v>St. Kitts and Nevis-The Americas</v>
      </c>
      <c r="AD2260" s="14" t="str">
        <f>IFERROR(__xludf.DUMMYFUNCTION("""COMPUTED_VALUE"""),"2012")</f>
        <v>2012</v>
      </c>
      <c r="AE2260" s="14"/>
      <c r="AF2260" s="14">
        <f>IFERROR(__xludf.DUMMYFUNCTION("""COMPUTED_VALUE"""),220.0)</f>
        <v>220</v>
      </c>
    </row>
    <row r="2261">
      <c r="A2261" s="12">
        <v>2260.0</v>
      </c>
      <c r="B2261" s="12" t="s">
        <v>252</v>
      </c>
      <c r="C2261" s="5" t="s">
        <v>84</v>
      </c>
      <c r="D2261" s="11">
        <v>0.525</v>
      </c>
      <c r="E2261" s="11">
        <v>19.0</v>
      </c>
      <c r="F2261" s="8"/>
      <c r="G2261" s="11">
        <v>155.0</v>
      </c>
      <c r="H2261" s="11">
        <v>0.76</v>
      </c>
      <c r="I2261" s="11">
        <v>1.528</v>
      </c>
      <c r="J2261" s="9" t="s">
        <v>71</v>
      </c>
      <c r="K2261" s="14" t="str">
        <f>IFERROR(__xludf.DUMMYFUNCTION("ARRAYFORMULA(VLOOKUP(A2261,IMPORTRANGE(""https://docs.google.com/spreadsheets/d/1BuTWp7qHGjWhqrnf-OmePP568O4A5Am9ttzvVdP67zw/edit#gid=1603210130"", ""TOURISM!$A$2:$F$2692""), {2,3,4,5,6},0))"),"The Americas")</f>
        <v>The Americas</v>
      </c>
      <c r="L2261" s="14">
        <f>IFERROR(__xludf.DUMMYFUNCTION("""COMPUTED_VALUE"""),9.0E7)</f>
        <v>90000000</v>
      </c>
      <c r="M2261" s="14" t="str">
        <f>IFERROR(__xludf.DUMMYFUNCTION("""COMPUTED_VALUE"""),"St. Kitts and Nevis-The Americas")</f>
        <v>St. Kitts and Nevis-The Americas</v>
      </c>
      <c r="N2261" s="14" t="str">
        <f>IFERROR(__xludf.DUMMYFUNCTION("""COMPUTED_VALUE"""),"2010")</f>
        <v>2010</v>
      </c>
      <c r="O2261" s="14">
        <f>IFERROR(__xludf.DUMMYFUNCTION("""COMPUTED_VALUE"""),1.3E7)</f>
        <v>13000000</v>
      </c>
      <c r="P2261" s="15" t="str">
        <f>IFERROR(__xludf.DUMMYFUNCTION("ARRAYFORMULA(VLOOKUP(A2261,IMPORTRANGE(""https://docs.google.com/spreadsheets/d/1BuTWp7qHGjWhqrnf-OmePP568O4A5Am9ttzvVdP67zw/edit#gid=771602874"" ,""HUMAN RESOURCES!$A$2:$M$2692""), {2,3,4,5,6,7,8,9,10,11,12,13},0))"),"")</f>
        <v/>
      </c>
      <c r="Q2261" s="14">
        <f>IFERROR(__xludf.DUMMYFUNCTION("""COMPUTED_VALUE"""),0.009)</f>
        <v>0.009</v>
      </c>
      <c r="R2261" s="14"/>
      <c r="S2261" s="14"/>
      <c r="T2261" s="14"/>
      <c r="U2261" s="14"/>
      <c r="V2261" s="14"/>
      <c r="W2261" s="14">
        <f>IFERROR(__xludf.DUMMYFUNCTION("""COMPUTED_VALUE"""),52352.0)</f>
        <v>52352</v>
      </c>
      <c r="X2261" s="14">
        <f>IFERROR(__xludf.DUMMYFUNCTION("""COMPUTED_VALUE"""),0.318)</f>
        <v>0.318</v>
      </c>
      <c r="Y2261" s="14" t="str">
        <f>IFERROR(__xludf.DUMMYFUNCTION("""COMPUTED_VALUE"""),"St. Kitts and Nevis-The Americas")</f>
        <v>St. Kitts and Nevis-The Americas</v>
      </c>
      <c r="Z2261" s="14" t="str">
        <f>IFERROR(__xludf.DUMMYFUNCTION("""COMPUTED_VALUE"""),"The Americas")</f>
        <v>The Americas</v>
      </c>
      <c r="AA2261" s="14" t="str">
        <f>IFERROR(__xludf.DUMMYFUNCTION("""COMPUTED_VALUE"""),"2010")</f>
        <v>2010</v>
      </c>
      <c r="AB2261" s="15" t="str">
        <f>IFERROR(__xludf.DUMMYFUNCTION("ARRAYFORMULA(VLOOKUP(A2261,IMPORTRANGE(""https://docs.google.com/spreadsheets/d/1BuTWp7qHGjWhqrnf-OmePP568O4A5Am9ttzvVdP67zw/edit#gid=1931367683"" ,""ENERGY!$A$2:$F$2692""), {2,3,4,5,6},0))"),"The Americas")</f>
        <v>The Americas</v>
      </c>
      <c r="AC2261" s="14" t="str">
        <f>IFERROR(__xludf.DUMMYFUNCTION("""COMPUTED_VALUE"""),"St. Kitts and Nevis-The Americas")</f>
        <v>St. Kitts and Nevis-The Americas</v>
      </c>
      <c r="AD2261" s="14" t="str">
        <f>IFERROR(__xludf.DUMMYFUNCTION("""COMPUTED_VALUE"""),"2008")</f>
        <v>2008</v>
      </c>
      <c r="AE2261" s="14"/>
      <c r="AF2261" s="14">
        <f>IFERROR(__xludf.DUMMYFUNCTION("""COMPUTED_VALUE"""),198.0)</f>
        <v>198</v>
      </c>
    </row>
    <row r="2262">
      <c r="A2262" s="12">
        <v>2261.0</v>
      </c>
      <c r="B2262" s="12" t="s">
        <v>252</v>
      </c>
      <c r="C2262" s="5" t="s">
        <v>84</v>
      </c>
      <c r="D2262" s="11">
        <v>0.525</v>
      </c>
      <c r="E2262" s="11">
        <v>19.0</v>
      </c>
      <c r="F2262" s="8"/>
      <c r="G2262" s="11">
        <v>203.0</v>
      </c>
      <c r="H2262" s="11">
        <v>0.776</v>
      </c>
      <c r="I2262" s="11">
        <v>1.454</v>
      </c>
      <c r="J2262" s="9" t="s">
        <v>72</v>
      </c>
      <c r="K2262" s="14" t="str">
        <f>IFERROR(__xludf.DUMMYFUNCTION("ARRAYFORMULA(VLOOKUP(A2262,IMPORTRANGE(""https://docs.google.com/spreadsheets/d/1BuTWp7qHGjWhqrnf-OmePP568O4A5Am9ttzvVdP67zw/edit#gid=1603210130"", ""TOURISM!$A$2:$F$2692""), {2,3,4,5,6},0))"),"The Americas")</f>
        <v>The Americas</v>
      </c>
      <c r="L2262" s="14">
        <f>IFERROR(__xludf.DUMMYFUNCTION("""COMPUTED_VALUE"""),9.4E7)</f>
        <v>94000000</v>
      </c>
      <c r="M2262" s="14" t="str">
        <f>IFERROR(__xludf.DUMMYFUNCTION("""COMPUTED_VALUE"""),"St. Kitts and Nevis-The Americas")</f>
        <v>St. Kitts and Nevis-The Americas</v>
      </c>
      <c r="N2262" s="14" t="str">
        <f>IFERROR(__xludf.DUMMYFUNCTION("""COMPUTED_VALUE"""),"2011")</f>
        <v>2011</v>
      </c>
      <c r="O2262" s="14">
        <f>IFERROR(__xludf.DUMMYFUNCTION("""COMPUTED_VALUE"""),1.4E7)</f>
        <v>14000000</v>
      </c>
      <c r="P2262" s="15" t="str">
        <f>IFERROR(__xludf.DUMMYFUNCTION("ARRAYFORMULA(VLOOKUP(A2262,IMPORTRANGE(""https://docs.google.com/spreadsheets/d/1BuTWp7qHGjWhqrnf-OmePP568O4A5Am9ttzvVdP67zw/edit#gid=771602874"" ,""HUMAN RESOURCES!$A$2:$M$2692""), {2,3,4,5,6,7,8,9,10,11,12,13},0))"),"")</f>
        <v/>
      </c>
      <c r="Q2262" s="14">
        <f>IFERROR(__xludf.DUMMYFUNCTION("""COMPUTED_VALUE"""),0.008)</f>
        <v>0.008</v>
      </c>
      <c r="R2262" s="14"/>
      <c r="S2262" s="14"/>
      <c r="T2262" s="14"/>
      <c r="U2262" s="14"/>
      <c r="V2262" s="14"/>
      <c r="W2262" s="14">
        <f>IFERROR(__xludf.DUMMYFUNCTION("""COMPUTED_VALUE"""),52971.0)</f>
        <v>52971</v>
      </c>
      <c r="X2262" s="14">
        <f>IFERROR(__xludf.DUMMYFUNCTION("""COMPUTED_VALUE"""),0.318)</f>
        <v>0.318</v>
      </c>
      <c r="Y2262" s="14" t="str">
        <f>IFERROR(__xludf.DUMMYFUNCTION("""COMPUTED_VALUE"""),"St. Kitts and Nevis-The Americas")</f>
        <v>St. Kitts and Nevis-The Americas</v>
      </c>
      <c r="Z2262" s="14" t="str">
        <f>IFERROR(__xludf.DUMMYFUNCTION("""COMPUTED_VALUE"""),"The Americas")</f>
        <v>The Americas</v>
      </c>
      <c r="AA2262" s="14" t="str">
        <f>IFERROR(__xludf.DUMMYFUNCTION("""COMPUTED_VALUE"""),"2011")</f>
        <v>2011</v>
      </c>
      <c r="AB2262" s="15" t="str">
        <f>IFERROR(__xludf.DUMMYFUNCTION("ARRAYFORMULA(VLOOKUP(A2262,IMPORTRANGE(""https://docs.google.com/spreadsheets/d/1BuTWp7qHGjWhqrnf-OmePP568O4A5Am9ttzvVdP67zw/edit#gid=1931367683"" ,""ENERGY!$A$2:$F$2692""), {2,3,4,5,6},0))"),"The Americas")</f>
        <v>The Americas</v>
      </c>
      <c r="AC2262" s="14" t="str">
        <f>IFERROR(__xludf.DUMMYFUNCTION("""COMPUTED_VALUE"""),"St. Kitts and Nevis-The Americas")</f>
        <v>St. Kitts and Nevis-The Americas</v>
      </c>
      <c r="AD2262" s="14" t="str">
        <f>IFERROR(__xludf.DUMMYFUNCTION("""COMPUTED_VALUE"""),"2007")</f>
        <v>2007</v>
      </c>
      <c r="AE2262" s="14"/>
      <c r="AF2262" s="14">
        <f>IFERROR(__xludf.DUMMYFUNCTION("""COMPUTED_VALUE"""),183.0)</f>
        <v>183</v>
      </c>
    </row>
    <row r="2263">
      <c r="A2263" s="12">
        <v>2262.0</v>
      </c>
      <c r="B2263" s="12" t="s">
        <v>252</v>
      </c>
      <c r="C2263" s="5" t="s">
        <v>84</v>
      </c>
      <c r="D2263" s="11">
        <v>0.519</v>
      </c>
      <c r="E2263" s="11">
        <v>19.0</v>
      </c>
      <c r="F2263" s="11">
        <v>97.0</v>
      </c>
      <c r="G2263" s="11">
        <v>203.0</v>
      </c>
      <c r="H2263" s="11">
        <v>0.793</v>
      </c>
      <c r="I2263" s="11">
        <v>1.418</v>
      </c>
      <c r="J2263" s="9" t="s">
        <v>73</v>
      </c>
      <c r="K2263" s="14" t="str">
        <f>IFERROR(__xludf.DUMMYFUNCTION("ARRAYFORMULA(VLOOKUP(A2263,IMPORTRANGE(""https://docs.google.com/spreadsheets/d/1BuTWp7qHGjWhqrnf-OmePP568O4A5Am9ttzvVdP67zw/edit#gid=1603210130"", ""TOURISM!$A$2:$F$2692""), {2,3,4,5,6},0))"),"The Americas")</f>
        <v>The Americas</v>
      </c>
      <c r="L2263" s="14">
        <f>IFERROR(__xludf.DUMMYFUNCTION("""COMPUTED_VALUE"""),9.4E7)</f>
        <v>94000000</v>
      </c>
      <c r="M2263" s="14" t="str">
        <f>IFERROR(__xludf.DUMMYFUNCTION("""COMPUTED_VALUE"""),"St. Kitts and Nevis-The Americas")</f>
        <v>St. Kitts and Nevis-The Americas</v>
      </c>
      <c r="N2263" s="14" t="str">
        <f>IFERROR(__xludf.DUMMYFUNCTION("""COMPUTED_VALUE"""),"2012")</f>
        <v>2012</v>
      </c>
      <c r="O2263" s="14">
        <f>IFERROR(__xludf.DUMMYFUNCTION("""COMPUTED_VALUE"""),1.4E7)</f>
        <v>14000000</v>
      </c>
      <c r="P2263" s="15" t="str">
        <f>IFERROR(__xludf.DUMMYFUNCTION("ARRAYFORMULA(VLOOKUP(A2263,IMPORTRANGE(""https://docs.google.com/spreadsheets/d/1BuTWp7qHGjWhqrnf-OmePP568O4A5Am9ttzvVdP67zw/edit#gid=771602874"" ,""HUMAN RESOURCES!$A$2:$M$2692""), {2,3,4,5,6,7,8,9,10,11,12,13},0))"),"")</f>
        <v/>
      </c>
      <c r="Q2263" s="14">
        <f>IFERROR(__xludf.DUMMYFUNCTION("""COMPUTED_VALUE"""),0.008)</f>
        <v>0.008</v>
      </c>
      <c r="R2263" s="14"/>
      <c r="S2263" s="14"/>
      <c r="T2263" s="14"/>
      <c r="U2263" s="14"/>
      <c r="V2263" s="14"/>
      <c r="W2263" s="14">
        <f>IFERROR(__xludf.DUMMYFUNCTION("""COMPUTED_VALUE"""),53584.0)</f>
        <v>53584</v>
      </c>
      <c r="X2263" s="14">
        <f>IFERROR(__xludf.DUMMYFUNCTION("""COMPUTED_VALUE"""),0.318)</f>
        <v>0.318</v>
      </c>
      <c r="Y2263" s="14" t="str">
        <f>IFERROR(__xludf.DUMMYFUNCTION("""COMPUTED_VALUE"""),"St. Kitts and Nevis-The Americas")</f>
        <v>St. Kitts and Nevis-The Americas</v>
      </c>
      <c r="Z2263" s="14" t="str">
        <f>IFERROR(__xludf.DUMMYFUNCTION("""COMPUTED_VALUE"""),"The Americas")</f>
        <v>The Americas</v>
      </c>
      <c r="AA2263" s="14" t="str">
        <f>IFERROR(__xludf.DUMMYFUNCTION("""COMPUTED_VALUE"""),"2012")</f>
        <v>2012</v>
      </c>
      <c r="AB2263" s="15" t="str">
        <f>IFERROR(__xludf.DUMMYFUNCTION("ARRAYFORMULA(VLOOKUP(A2263,IMPORTRANGE(""https://docs.google.com/spreadsheets/d/1BuTWp7qHGjWhqrnf-OmePP568O4A5Am9ttzvVdP67zw/edit#gid=1931367683"" ,""ENERGY!$A$2:$F$2692""), {2,3,4,5,6},0))"),"The Americas")</f>
        <v>The Americas</v>
      </c>
      <c r="AC2263" s="14" t="str">
        <f>IFERROR(__xludf.DUMMYFUNCTION("""COMPUTED_VALUE"""),"St. Kitts and Nevis-The Americas")</f>
        <v>St. Kitts and Nevis-The Americas</v>
      </c>
      <c r="AD2263" s="14" t="str">
        <f>IFERROR(__xludf.DUMMYFUNCTION("""COMPUTED_VALUE"""),"2012")</f>
        <v>2012</v>
      </c>
      <c r="AE2263" s="14"/>
      <c r="AF2263" s="14">
        <f>IFERROR(__xludf.DUMMYFUNCTION("""COMPUTED_VALUE"""),103.0)</f>
        <v>103</v>
      </c>
    </row>
    <row r="2264">
      <c r="A2264" s="12">
        <v>2263.0</v>
      </c>
      <c r="B2264" s="12" t="s">
        <v>253</v>
      </c>
      <c r="C2264" s="5" t="s">
        <v>84</v>
      </c>
      <c r="D2264" s="8"/>
      <c r="E2264" s="8"/>
      <c r="F2264" s="8"/>
      <c r="G2264" s="8"/>
      <c r="H2264" s="11">
        <v>0.051</v>
      </c>
      <c r="I2264" s="11">
        <v>0.016</v>
      </c>
      <c r="J2264" s="9" t="s">
        <v>60</v>
      </c>
      <c r="K2264" s="14" t="str">
        <f>IFERROR(__xludf.DUMMYFUNCTION("ARRAYFORMULA(VLOOKUP(A2264,IMPORTRANGE(""https://docs.google.com/spreadsheets/d/1BuTWp7qHGjWhqrnf-OmePP568O4A5Am9ttzvVdP67zw/edit#gid=1603210130"", ""TOURISM!$A$2:$F$2692""), {2,3,4,5,6},0))"),"The Americas")</f>
        <v>The Americas</v>
      </c>
      <c r="L2264" s="14">
        <f>IFERROR(__xludf.DUMMYFUNCTION("""COMPUTED_VALUE"""),2.81E8)</f>
        <v>281000000</v>
      </c>
      <c r="M2264" s="14" t="str">
        <f>IFERROR(__xludf.DUMMYFUNCTION("""COMPUTED_VALUE"""),"St. Lucia-The Americas")</f>
        <v>St. Lucia-The Americas</v>
      </c>
      <c r="N2264" s="14" t="str">
        <f>IFERROR(__xludf.DUMMYFUNCTION("""COMPUTED_VALUE"""),"2000")</f>
        <v>2000</v>
      </c>
      <c r="O2264" s="14">
        <f>IFERROR(__xludf.DUMMYFUNCTION("""COMPUTED_VALUE"""),3.3E7)</f>
        <v>33000000</v>
      </c>
      <c r="P2264" s="15">
        <f>IFERROR(__xludf.DUMMYFUNCTION("ARRAYFORMULA(VLOOKUP(A2264,IMPORTRANGE(""https://docs.google.com/spreadsheets/d/1BuTWp7qHGjWhqrnf-OmePP568O4A5Am9ttzvVdP67zw/edit#gid=771602874"" ,""HUMAN RESOURCES!$A$2:$M$2692""), {2,3,4,5,6,7,8,9,10,11,12,13},0))"),0.02)</f>
        <v>0.02</v>
      </c>
      <c r="Q2264" s="14">
        <f>IFERROR(__xludf.DUMMYFUNCTION("""COMPUTED_VALUE"""),0.015)</f>
        <v>0.015</v>
      </c>
      <c r="R2264" s="14">
        <f>IFERROR(__xludf.DUMMYFUNCTION("""COMPUTED_VALUE"""),73.0)</f>
        <v>73</v>
      </c>
      <c r="S2264" s="14">
        <f>IFERROR(__xludf.DUMMYFUNCTION("""COMPUTED_VALUE"""),70.0)</f>
        <v>70</v>
      </c>
      <c r="T2264" s="14">
        <f>IFERROR(__xludf.DUMMYFUNCTION("""COMPUTED_VALUE"""),0.322)</f>
        <v>0.322</v>
      </c>
      <c r="U2264" s="14">
        <f>IFERROR(__xludf.DUMMYFUNCTION("""COMPUTED_VALUE"""),0.602)</f>
        <v>0.602</v>
      </c>
      <c r="V2264" s="14">
        <f>IFERROR(__xludf.DUMMYFUNCTION("""COMPUTED_VALUE"""),0.076)</f>
        <v>0.076</v>
      </c>
      <c r="W2264" s="14">
        <f>IFERROR(__xludf.DUMMYFUNCTION("""COMPUTED_VALUE"""),156949.0)</f>
        <v>156949</v>
      </c>
      <c r="X2264" s="14">
        <f>IFERROR(__xludf.DUMMYFUNCTION("""COMPUTED_VALUE"""),0.278)</f>
        <v>0.278</v>
      </c>
      <c r="Y2264" s="14" t="str">
        <f>IFERROR(__xludf.DUMMYFUNCTION("""COMPUTED_VALUE"""),"St. Lucia-The Americas")</f>
        <v>St. Lucia-The Americas</v>
      </c>
      <c r="Z2264" s="14" t="str">
        <f>IFERROR(__xludf.DUMMYFUNCTION("""COMPUTED_VALUE"""),"The Americas")</f>
        <v>The Americas</v>
      </c>
      <c r="AA2264" s="14" t="str">
        <f>IFERROR(__xludf.DUMMYFUNCTION("""COMPUTED_VALUE"""),"2000")</f>
        <v>2000</v>
      </c>
      <c r="AB2264" s="15" t="str">
        <f>IFERROR(__xludf.DUMMYFUNCTION("ARRAYFORMULA(VLOOKUP(A2264,IMPORTRANGE(""https://docs.google.com/spreadsheets/d/1BuTWp7qHGjWhqrnf-OmePP568O4A5Am9ttzvVdP67zw/edit#gid=1931367683"" ,""ENERGY!$A$2:$F$2692""), {2,3,4,5,6},0))"),"The Americas")</f>
        <v>The Americas</v>
      </c>
      <c r="AC2264" s="14" t="str">
        <f>IFERROR(__xludf.DUMMYFUNCTION("""COMPUTED_VALUE"""),"St. Lucia-The Americas")</f>
        <v>St. Lucia-The Americas</v>
      </c>
      <c r="AD2264" s="14" t="str">
        <f>IFERROR(__xludf.DUMMYFUNCTION("""COMPUTED_VALUE"""),"2000")</f>
        <v>2000</v>
      </c>
      <c r="AE2264" s="14"/>
      <c r="AF2264" s="14"/>
    </row>
    <row r="2265">
      <c r="A2265" s="12">
        <v>2264.0</v>
      </c>
      <c r="B2265" s="12" t="s">
        <v>253</v>
      </c>
      <c r="C2265" s="5" t="s">
        <v>84</v>
      </c>
      <c r="D2265" s="8"/>
      <c r="E2265" s="8"/>
      <c r="F2265" s="8"/>
      <c r="G2265" s="8"/>
      <c r="H2265" s="11">
        <v>0.082</v>
      </c>
      <c r="I2265" s="11">
        <v>0.017</v>
      </c>
      <c r="J2265" s="9" t="s">
        <v>62</v>
      </c>
      <c r="K2265" s="14" t="str">
        <f>IFERROR(__xludf.DUMMYFUNCTION("ARRAYFORMULA(VLOOKUP(A2265,IMPORTRANGE(""https://docs.google.com/spreadsheets/d/1BuTWp7qHGjWhqrnf-OmePP568O4A5Am9ttzvVdP67zw/edit#gid=1603210130"", ""TOURISM!$A$2:$F$2692""), {2,3,4,5,6},0))"),"The Americas")</f>
        <v>The Americas</v>
      </c>
      <c r="L2265" s="14">
        <f>IFERROR(__xludf.DUMMYFUNCTION("""COMPUTED_VALUE"""),2.33E8)</f>
        <v>233000000</v>
      </c>
      <c r="M2265" s="14" t="str">
        <f>IFERROR(__xludf.DUMMYFUNCTION("""COMPUTED_VALUE"""),"St. Lucia-The Americas")</f>
        <v>St. Lucia-The Americas</v>
      </c>
      <c r="N2265" s="14" t="str">
        <f>IFERROR(__xludf.DUMMYFUNCTION("""COMPUTED_VALUE"""),"2001")</f>
        <v>2001</v>
      </c>
      <c r="O2265" s="14">
        <f>IFERROR(__xludf.DUMMYFUNCTION("""COMPUTED_VALUE"""),3.2E7)</f>
        <v>32000000</v>
      </c>
      <c r="P2265" s="15">
        <f>IFERROR(__xludf.DUMMYFUNCTION("ARRAYFORMULA(VLOOKUP(A2265,IMPORTRANGE(""https://docs.google.com/spreadsheets/d/1BuTWp7qHGjWhqrnf-OmePP568O4A5Am9ttzvVdP67zw/edit#gid=771602874"" ,""HUMAN RESOURCES!$A$2:$M$2692""), {2,3,4,5,6,7,8,9,10,11,12,13},0))"),0.019)</f>
        <v>0.019</v>
      </c>
      <c r="Q2265" s="14">
        <f>IFERROR(__xludf.DUMMYFUNCTION("""COMPUTED_VALUE"""),0.015)</f>
        <v>0.015</v>
      </c>
      <c r="R2265" s="14">
        <f>IFERROR(__xludf.DUMMYFUNCTION("""COMPUTED_VALUE"""),74.0)</f>
        <v>74</v>
      </c>
      <c r="S2265" s="14">
        <f>IFERROR(__xludf.DUMMYFUNCTION("""COMPUTED_VALUE"""),70.0)</f>
        <v>70</v>
      </c>
      <c r="T2265" s="14">
        <f>IFERROR(__xludf.DUMMYFUNCTION("""COMPUTED_VALUE"""),0.315)</f>
        <v>0.315</v>
      </c>
      <c r="U2265" s="14">
        <f>IFERROR(__xludf.DUMMYFUNCTION("""COMPUTED_VALUE"""),0.61)</f>
        <v>0.61</v>
      </c>
      <c r="V2265" s="14">
        <f>IFERROR(__xludf.DUMMYFUNCTION("""COMPUTED_VALUE"""),0.075)</f>
        <v>0.075</v>
      </c>
      <c r="W2265" s="14">
        <f>IFERROR(__xludf.DUMMYFUNCTION("""COMPUTED_VALUE"""),158650.0)</f>
        <v>158650</v>
      </c>
      <c r="X2265" s="14">
        <f>IFERROR(__xludf.DUMMYFUNCTION("""COMPUTED_VALUE"""),0.275)</f>
        <v>0.275</v>
      </c>
      <c r="Y2265" s="14" t="str">
        <f>IFERROR(__xludf.DUMMYFUNCTION("""COMPUTED_VALUE"""),"St. Lucia-The Americas")</f>
        <v>St. Lucia-The Americas</v>
      </c>
      <c r="Z2265" s="14" t="str">
        <f>IFERROR(__xludf.DUMMYFUNCTION("""COMPUTED_VALUE"""),"The Americas")</f>
        <v>The Americas</v>
      </c>
      <c r="AA2265" s="14" t="str">
        <f>IFERROR(__xludf.DUMMYFUNCTION("""COMPUTED_VALUE"""),"2001")</f>
        <v>2001</v>
      </c>
      <c r="AB2265" s="15" t="str">
        <f>IFERROR(__xludf.DUMMYFUNCTION("ARRAYFORMULA(VLOOKUP(A2265,IMPORTRANGE(""https://docs.google.com/spreadsheets/d/1BuTWp7qHGjWhqrnf-OmePP568O4A5Am9ttzvVdP67zw/edit#gid=1931367683"" ,""ENERGY!$A$2:$F$2692""), {2,3,4,5,6},0))"),"The Americas")</f>
        <v>The Americas</v>
      </c>
      <c r="AC2265" s="14" t="str">
        <f>IFERROR(__xludf.DUMMYFUNCTION("""COMPUTED_VALUE"""),"St. Lucia-The Americas")</f>
        <v>St. Lucia-The Americas</v>
      </c>
      <c r="AD2265" s="14" t="str">
        <f>IFERROR(__xludf.DUMMYFUNCTION("""COMPUTED_VALUE"""),"2001")</f>
        <v>2001</v>
      </c>
      <c r="AE2265" s="14"/>
      <c r="AF2265" s="14"/>
    </row>
    <row r="2266">
      <c r="A2266" s="12">
        <v>2265.0</v>
      </c>
      <c r="B2266" s="12" t="s">
        <v>253</v>
      </c>
      <c r="C2266" s="5" t="s">
        <v>84</v>
      </c>
      <c r="D2266" s="8"/>
      <c r="E2266" s="8"/>
      <c r="F2266" s="8"/>
      <c r="G2266" s="8"/>
      <c r="H2266" s="11">
        <v>0.146</v>
      </c>
      <c r="I2266" s="11">
        <v>0.089</v>
      </c>
      <c r="J2266" s="9" t="s">
        <v>63</v>
      </c>
      <c r="K2266" s="14" t="str">
        <f>IFERROR(__xludf.DUMMYFUNCTION("ARRAYFORMULA(VLOOKUP(A2266,IMPORTRANGE(""https://docs.google.com/spreadsheets/d/1BuTWp7qHGjWhqrnf-OmePP568O4A5Am9ttzvVdP67zw/edit#gid=1603210130"", ""TOURISM!$A$2:$F$2692""), {2,3,4,5,6},0))"),"The Americas")</f>
        <v>The Americas</v>
      </c>
      <c r="L2266" s="14">
        <f>IFERROR(__xludf.DUMMYFUNCTION("""COMPUTED_VALUE"""),2.1E8)</f>
        <v>210000000</v>
      </c>
      <c r="M2266" s="14" t="str">
        <f>IFERROR(__xludf.DUMMYFUNCTION("""COMPUTED_VALUE"""),"St. Lucia-The Americas")</f>
        <v>St. Lucia-The Americas</v>
      </c>
      <c r="N2266" s="14" t="str">
        <f>IFERROR(__xludf.DUMMYFUNCTION("""COMPUTED_VALUE"""),"2002")</f>
        <v>2002</v>
      </c>
      <c r="O2266" s="14">
        <f>IFERROR(__xludf.DUMMYFUNCTION("""COMPUTED_VALUE"""),3.4E7)</f>
        <v>34000000</v>
      </c>
      <c r="P2266" s="15">
        <f>IFERROR(__xludf.DUMMYFUNCTION("ARRAYFORMULA(VLOOKUP(A2266,IMPORTRANGE(""https://docs.google.com/spreadsheets/d/1BuTWp7qHGjWhqrnf-OmePP568O4A5Am9ttzvVdP67zw/edit#gid=771602874"" ,""HUMAN RESOURCES!$A$2:$M$2692""), {2,3,4,5,6,7,8,9,10,11,12,13},0))"),0.018)</f>
        <v>0.018</v>
      </c>
      <c r="Q2266" s="14">
        <f>IFERROR(__xludf.DUMMYFUNCTION("""COMPUTED_VALUE"""),0.015)</f>
        <v>0.015</v>
      </c>
      <c r="R2266" s="14">
        <f>IFERROR(__xludf.DUMMYFUNCTION("""COMPUTED_VALUE"""),74.0)</f>
        <v>74</v>
      </c>
      <c r="S2266" s="14">
        <f>IFERROR(__xludf.DUMMYFUNCTION("""COMPUTED_VALUE"""),70.0)</f>
        <v>70</v>
      </c>
      <c r="T2266" s="14">
        <f>IFERROR(__xludf.DUMMYFUNCTION("""COMPUTED_VALUE"""),0.308)</f>
        <v>0.308</v>
      </c>
      <c r="U2266" s="14">
        <f>IFERROR(__xludf.DUMMYFUNCTION("""COMPUTED_VALUE"""),0.619)</f>
        <v>0.619</v>
      </c>
      <c r="V2266" s="14">
        <f>IFERROR(__xludf.DUMMYFUNCTION("""COMPUTED_VALUE"""),0.073)</f>
        <v>0.073</v>
      </c>
      <c r="W2266" s="14">
        <f>IFERROR(__xludf.DUMMYFUNCTION("""COMPUTED_VALUE"""),160217.0)</f>
        <v>160217</v>
      </c>
      <c r="X2266" s="14">
        <f>IFERROR(__xludf.DUMMYFUNCTION("""COMPUTED_VALUE"""),0.263)</f>
        <v>0.263</v>
      </c>
      <c r="Y2266" s="14" t="str">
        <f>IFERROR(__xludf.DUMMYFUNCTION("""COMPUTED_VALUE"""),"St. Lucia-The Americas")</f>
        <v>St. Lucia-The Americas</v>
      </c>
      <c r="Z2266" s="14" t="str">
        <f>IFERROR(__xludf.DUMMYFUNCTION("""COMPUTED_VALUE"""),"The Americas")</f>
        <v>The Americas</v>
      </c>
      <c r="AA2266" s="14" t="str">
        <f>IFERROR(__xludf.DUMMYFUNCTION("""COMPUTED_VALUE"""),"2002")</f>
        <v>2002</v>
      </c>
      <c r="AB2266" s="15" t="str">
        <f>IFERROR(__xludf.DUMMYFUNCTION("ARRAYFORMULA(VLOOKUP(A2266,IMPORTRANGE(""https://docs.google.com/spreadsheets/d/1BuTWp7qHGjWhqrnf-OmePP568O4A5Am9ttzvVdP67zw/edit#gid=1931367683"" ,""ENERGY!$A$2:$F$2692""), {2,3,4,5,6},0))"),"The Americas")</f>
        <v>The Americas</v>
      </c>
      <c r="AC2266" s="14" t="str">
        <f>IFERROR(__xludf.DUMMYFUNCTION("""COMPUTED_VALUE"""),"St. Lucia-The Americas")</f>
        <v>St. Lucia-The Americas</v>
      </c>
      <c r="AD2266" s="14" t="str">
        <f>IFERROR(__xludf.DUMMYFUNCTION("""COMPUTED_VALUE"""),"2002")</f>
        <v>2002</v>
      </c>
      <c r="AE2266" s="14"/>
      <c r="AF2266" s="14">
        <f>IFERROR(__xludf.DUMMYFUNCTION("""COMPUTED_VALUE"""),403.0)</f>
        <v>403</v>
      </c>
    </row>
    <row r="2267">
      <c r="A2267" s="12">
        <v>2266.0</v>
      </c>
      <c r="B2267" s="12" t="s">
        <v>253</v>
      </c>
      <c r="C2267" s="5" t="s">
        <v>84</v>
      </c>
      <c r="D2267" s="8"/>
      <c r="E2267" s="8"/>
      <c r="F2267" s="8"/>
      <c r="G2267" s="8"/>
      <c r="H2267" s="11">
        <v>0.21</v>
      </c>
      <c r="I2267" s="11">
        <v>0.612</v>
      </c>
      <c r="J2267" s="9" t="s">
        <v>64</v>
      </c>
      <c r="K2267" s="14" t="str">
        <f>IFERROR(__xludf.DUMMYFUNCTION("ARRAYFORMULA(VLOOKUP(A2267,IMPORTRANGE(""https://docs.google.com/spreadsheets/d/1BuTWp7qHGjWhqrnf-OmePP568O4A5Am9ttzvVdP67zw/edit#gid=1603210130"", ""TOURISM!$A$2:$F$2692""), {2,3,4,5,6},0))"),"The Americas")</f>
        <v>The Americas</v>
      </c>
      <c r="L2267" s="14">
        <f>IFERROR(__xludf.DUMMYFUNCTION("""COMPUTED_VALUE"""),2.82E8)</f>
        <v>282000000</v>
      </c>
      <c r="M2267" s="14" t="str">
        <f>IFERROR(__xludf.DUMMYFUNCTION("""COMPUTED_VALUE"""),"St. Lucia-The Americas")</f>
        <v>St. Lucia-The Americas</v>
      </c>
      <c r="N2267" s="14" t="str">
        <f>IFERROR(__xludf.DUMMYFUNCTION("""COMPUTED_VALUE"""),"2003")</f>
        <v>2003</v>
      </c>
      <c r="O2267" s="14">
        <f>IFERROR(__xludf.DUMMYFUNCTION("""COMPUTED_VALUE"""),3.6E7)</f>
        <v>36000000</v>
      </c>
      <c r="P2267" s="15">
        <f>IFERROR(__xludf.DUMMYFUNCTION("ARRAYFORMULA(VLOOKUP(A2267,IMPORTRANGE(""https://docs.google.com/spreadsheets/d/1BuTWp7qHGjWhqrnf-OmePP568O4A5Am9ttzvVdP67zw/edit#gid=771602874"" ,""HUMAN RESOURCES!$A$2:$M$2692""), {2,3,4,5,6,7,8,9,10,11,12,13},0))"),0.018)</f>
        <v>0.018</v>
      </c>
      <c r="Q2267" s="14">
        <f>IFERROR(__xludf.DUMMYFUNCTION("""COMPUTED_VALUE"""),0.015)</f>
        <v>0.015</v>
      </c>
      <c r="R2267" s="14">
        <f>IFERROR(__xludf.DUMMYFUNCTION("""COMPUTED_VALUE"""),74.0)</f>
        <v>74</v>
      </c>
      <c r="S2267" s="14">
        <f>IFERROR(__xludf.DUMMYFUNCTION("""COMPUTED_VALUE"""),70.0)</f>
        <v>70</v>
      </c>
      <c r="T2267" s="14">
        <f>IFERROR(__xludf.DUMMYFUNCTION("""COMPUTED_VALUE"""),0.3)</f>
        <v>0.3</v>
      </c>
      <c r="U2267" s="14">
        <f>IFERROR(__xludf.DUMMYFUNCTION("""COMPUTED_VALUE"""),0.628)</f>
        <v>0.628</v>
      </c>
      <c r="V2267" s="14">
        <f>IFERROR(__xludf.DUMMYFUNCTION("""COMPUTED_VALUE"""),0.072)</f>
        <v>0.072</v>
      </c>
      <c r="W2267" s="14">
        <f>IFERROR(__xludf.DUMMYFUNCTION("""COMPUTED_VALUE"""),161766.0)</f>
        <v>161766</v>
      </c>
      <c r="X2267" s="14">
        <f>IFERROR(__xludf.DUMMYFUNCTION("""COMPUTED_VALUE"""),0.252)</f>
        <v>0.252</v>
      </c>
      <c r="Y2267" s="14" t="str">
        <f>IFERROR(__xludf.DUMMYFUNCTION("""COMPUTED_VALUE"""),"St. Lucia-The Americas")</f>
        <v>St. Lucia-The Americas</v>
      </c>
      <c r="Z2267" s="14" t="str">
        <f>IFERROR(__xludf.DUMMYFUNCTION("""COMPUTED_VALUE"""),"The Americas")</f>
        <v>The Americas</v>
      </c>
      <c r="AA2267" s="14" t="str">
        <f>IFERROR(__xludf.DUMMYFUNCTION("""COMPUTED_VALUE"""),"2003")</f>
        <v>2003</v>
      </c>
      <c r="AB2267" s="15" t="str">
        <f>IFERROR(__xludf.DUMMYFUNCTION("ARRAYFORMULA(VLOOKUP(A2267,IMPORTRANGE(""https://docs.google.com/spreadsheets/d/1BuTWp7qHGjWhqrnf-OmePP568O4A5Am9ttzvVdP67zw/edit#gid=1931367683"" ,""ENERGY!$A$2:$F$2692""), {2,3,4,5,6},0))"),"The Americas")</f>
        <v>The Americas</v>
      </c>
      <c r="AC2267" s="14" t="str">
        <f>IFERROR(__xludf.DUMMYFUNCTION("""COMPUTED_VALUE"""),"St. Lucia-The Americas")</f>
        <v>St. Lucia-The Americas</v>
      </c>
      <c r="AD2267" s="14" t="str">
        <f>IFERROR(__xludf.DUMMYFUNCTION("""COMPUTED_VALUE"""),"2003")</f>
        <v>2003</v>
      </c>
      <c r="AE2267" s="14"/>
      <c r="AF2267" s="14">
        <f>IFERROR(__xludf.DUMMYFUNCTION("""COMPUTED_VALUE"""),385.0)</f>
        <v>385</v>
      </c>
    </row>
    <row r="2268">
      <c r="A2268" s="12">
        <v>2267.0</v>
      </c>
      <c r="B2268" s="12" t="s">
        <v>253</v>
      </c>
      <c r="C2268" s="5" t="s">
        <v>84</v>
      </c>
      <c r="D2268" s="8"/>
      <c r="E2268" s="8"/>
      <c r="F2268" s="8"/>
      <c r="G2268" s="8"/>
      <c r="H2268" s="11">
        <v>0.214</v>
      </c>
      <c r="I2268" s="11">
        <v>0.618</v>
      </c>
      <c r="J2268" s="9" t="s">
        <v>65</v>
      </c>
      <c r="K2268" s="14" t="str">
        <f>IFERROR(__xludf.DUMMYFUNCTION("ARRAYFORMULA(VLOOKUP(A2268,IMPORTRANGE(""https://docs.google.com/spreadsheets/d/1BuTWp7qHGjWhqrnf-OmePP568O4A5Am9ttzvVdP67zw/edit#gid=1603210130"", ""TOURISM!$A$2:$F$2692""), {2,3,4,5,6},0))"),"The Americas")</f>
        <v>The Americas</v>
      </c>
      <c r="L2268" s="14">
        <f>IFERROR(__xludf.DUMMYFUNCTION("""COMPUTED_VALUE"""),3.26E8)</f>
        <v>326000000</v>
      </c>
      <c r="M2268" s="14" t="str">
        <f>IFERROR(__xludf.DUMMYFUNCTION("""COMPUTED_VALUE"""),"St. Lucia-The Americas")</f>
        <v>St. Lucia-The Americas</v>
      </c>
      <c r="N2268" s="14" t="str">
        <f>IFERROR(__xludf.DUMMYFUNCTION("""COMPUTED_VALUE"""),"2004")</f>
        <v>2004</v>
      </c>
      <c r="O2268" s="14">
        <f>IFERROR(__xludf.DUMMYFUNCTION("""COMPUTED_VALUE"""),3.7E7)</f>
        <v>37000000</v>
      </c>
      <c r="P2268" s="15">
        <f>IFERROR(__xludf.DUMMYFUNCTION("ARRAYFORMULA(VLOOKUP(A2268,IMPORTRANGE(""https://docs.google.com/spreadsheets/d/1BuTWp7qHGjWhqrnf-OmePP568O4A5Am9ttzvVdP67zw/edit#gid=771602874"" ,""HUMAN RESOURCES!$A$2:$M$2692""), {2,3,4,5,6,7,8,9,10,11,12,13},0))"),0.018)</f>
        <v>0.018</v>
      </c>
      <c r="Q2268" s="14">
        <f>IFERROR(__xludf.DUMMYFUNCTION("""COMPUTED_VALUE"""),0.015)</f>
        <v>0.015</v>
      </c>
      <c r="R2268" s="14">
        <f>IFERROR(__xludf.DUMMYFUNCTION("""COMPUTED_VALUE"""),75.0)</f>
        <v>75</v>
      </c>
      <c r="S2268" s="14">
        <f>IFERROR(__xludf.DUMMYFUNCTION("""COMPUTED_VALUE"""),71.0)</f>
        <v>71</v>
      </c>
      <c r="T2268" s="14">
        <f>IFERROR(__xludf.DUMMYFUNCTION("""COMPUTED_VALUE"""),0.292)</f>
        <v>0.292</v>
      </c>
      <c r="U2268" s="14">
        <f>IFERROR(__xludf.DUMMYFUNCTION("""COMPUTED_VALUE"""),0.636)</f>
        <v>0.636</v>
      </c>
      <c r="V2268" s="14">
        <f>IFERROR(__xludf.DUMMYFUNCTION("""COMPUTED_VALUE"""),0.072)</f>
        <v>0.072</v>
      </c>
      <c r="W2268" s="14">
        <f>IFERROR(__xludf.DUMMYFUNCTION("""COMPUTED_VALUE"""),163460.0)</f>
        <v>163460</v>
      </c>
      <c r="X2268" s="14">
        <f>IFERROR(__xludf.DUMMYFUNCTION("""COMPUTED_VALUE"""),0.241)</f>
        <v>0.241</v>
      </c>
      <c r="Y2268" s="14" t="str">
        <f>IFERROR(__xludf.DUMMYFUNCTION("""COMPUTED_VALUE"""),"St. Lucia-The Americas")</f>
        <v>St. Lucia-The Americas</v>
      </c>
      <c r="Z2268" s="14" t="str">
        <f>IFERROR(__xludf.DUMMYFUNCTION("""COMPUTED_VALUE"""),"The Americas")</f>
        <v>The Americas</v>
      </c>
      <c r="AA2268" s="14" t="str">
        <f>IFERROR(__xludf.DUMMYFUNCTION("""COMPUTED_VALUE"""),"2004")</f>
        <v>2004</v>
      </c>
      <c r="AB2268" s="15" t="str">
        <f>IFERROR(__xludf.DUMMYFUNCTION("ARRAYFORMULA(VLOOKUP(A2268,IMPORTRANGE(""https://docs.google.com/spreadsheets/d/1BuTWp7qHGjWhqrnf-OmePP568O4A5Am9ttzvVdP67zw/edit#gid=1931367683"" ,""ENERGY!$A$2:$F$2692""), {2,3,4,5,6},0))"),"The Americas")</f>
        <v>The Americas</v>
      </c>
      <c r="AC2268" s="14" t="str">
        <f>IFERROR(__xludf.DUMMYFUNCTION("""COMPUTED_VALUE"""),"St. Lucia-The Americas")</f>
        <v>St. Lucia-The Americas</v>
      </c>
      <c r="AD2268" s="14" t="str">
        <f>IFERROR(__xludf.DUMMYFUNCTION("""COMPUTED_VALUE"""),"2005")</f>
        <v>2005</v>
      </c>
      <c r="AE2268" s="14"/>
      <c r="AF2268" s="14">
        <f>IFERROR(__xludf.DUMMYFUNCTION("""COMPUTED_VALUE"""),396.0)</f>
        <v>396</v>
      </c>
    </row>
    <row r="2269">
      <c r="A2269" s="12">
        <v>2268.0</v>
      </c>
      <c r="B2269" s="12" t="s">
        <v>253</v>
      </c>
      <c r="C2269" s="5" t="s">
        <v>84</v>
      </c>
      <c r="D2269" s="11">
        <v>0.357</v>
      </c>
      <c r="E2269" s="11">
        <v>20.0</v>
      </c>
      <c r="F2269" s="8"/>
      <c r="G2269" s="11">
        <v>71.0</v>
      </c>
      <c r="H2269" s="11">
        <v>0.216</v>
      </c>
      <c r="I2269" s="11">
        <v>0.639</v>
      </c>
      <c r="J2269" s="9" t="s">
        <v>66</v>
      </c>
      <c r="K2269" s="14" t="str">
        <f>IFERROR(__xludf.DUMMYFUNCTION("ARRAYFORMULA(VLOOKUP(A2269,IMPORTRANGE(""https://docs.google.com/spreadsheets/d/1BuTWp7qHGjWhqrnf-OmePP568O4A5Am9ttzvVdP67zw/edit#gid=1603210130"", ""TOURISM!$A$2:$F$2692""), {2,3,4,5,6},0))"),"The Americas")</f>
        <v>The Americas</v>
      </c>
      <c r="L2269" s="14">
        <f>IFERROR(__xludf.DUMMYFUNCTION("""COMPUTED_VALUE"""),3.82E8)</f>
        <v>382000000</v>
      </c>
      <c r="M2269" s="14" t="str">
        <f>IFERROR(__xludf.DUMMYFUNCTION("""COMPUTED_VALUE"""),"St. Lucia-The Americas")</f>
        <v>St. Lucia-The Americas</v>
      </c>
      <c r="N2269" s="14" t="str">
        <f>IFERROR(__xludf.DUMMYFUNCTION("""COMPUTED_VALUE"""),"2005")</f>
        <v>2005</v>
      </c>
      <c r="O2269" s="14">
        <f>IFERROR(__xludf.DUMMYFUNCTION("""COMPUTED_VALUE"""),3.9E7)</f>
        <v>39000000</v>
      </c>
      <c r="P2269" s="15">
        <f>IFERROR(__xludf.DUMMYFUNCTION("ARRAYFORMULA(VLOOKUP(A2269,IMPORTRANGE(""https://docs.google.com/spreadsheets/d/1BuTWp7qHGjWhqrnf-OmePP568O4A5Am9ttzvVdP67zw/edit#gid=771602874"" ,""HUMAN RESOURCES!$A$2:$M$2692""), {2,3,4,5,6,7,8,9,10,11,12,13},0))"),0.017)</f>
        <v>0.017</v>
      </c>
      <c r="Q2269" s="14">
        <f>IFERROR(__xludf.DUMMYFUNCTION("""COMPUTED_VALUE"""),0.015)</f>
        <v>0.015</v>
      </c>
      <c r="R2269" s="14">
        <f>IFERROR(__xludf.DUMMYFUNCTION("""COMPUTED_VALUE"""),75.0)</f>
        <v>75</v>
      </c>
      <c r="S2269" s="14">
        <f>IFERROR(__xludf.DUMMYFUNCTION("""COMPUTED_VALUE"""),71.0)</f>
        <v>71</v>
      </c>
      <c r="T2269" s="14">
        <f>IFERROR(__xludf.DUMMYFUNCTION("""COMPUTED_VALUE"""),0.285)</f>
        <v>0.285</v>
      </c>
      <c r="U2269" s="14">
        <f>IFERROR(__xludf.DUMMYFUNCTION("""COMPUTED_VALUE"""),0.643)</f>
        <v>0.643</v>
      </c>
      <c r="V2269" s="14">
        <f>IFERROR(__xludf.DUMMYFUNCTION("""COMPUTED_VALUE"""),0.072)</f>
        <v>0.072</v>
      </c>
      <c r="W2269" s="14">
        <f>IFERROR(__xludf.DUMMYFUNCTION("""COMPUTED_VALUE"""),165407.0)</f>
        <v>165407</v>
      </c>
      <c r="X2269" s="14">
        <f>IFERROR(__xludf.DUMMYFUNCTION("""COMPUTED_VALUE"""),0.231)</f>
        <v>0.231</v>
      </c>
      <c r="Y2269" s="14" t="str">
        <f>IFERROR(__xludf.DUMMYFUNCTION("""COMPUTED_VALUE"""),"St. Lucia-The Americas")</f>
        <v>St. Lucia-The Americas</v>
      </c>
      <c r="Z2269" s="14" t="str">
        <f>IFERROR(__xludf.DUMMYFUNCTION("""COMPUTED_VALUE"""),"The Americas")</f>
        <v>The Americas</v>
      </c>
      <c r="AA2269" s="14" t="str">
        <f>IFERROR(__xludf.DUMMYFUNCTION("""COMPUTED_VALUE"""),"2005")</f>
        <v>2005</v>
      </c>
      <c r="AB2269" s="15" t="str">
        <f>IFERROR(__xludf.DUMMYFUNCTION("ARRAYFORMULA(VLOOKUP(A2269,IMPORTRANGE(""https://docs.google.com/spreadsheets/d/1BuTWp7qHGjWhqrnf-OmePP568O4A5Am9ttzvVdP67zw/edit#gid=1931367683"" ,""ENERGY!$A$2:$F$2692""), {2,3,4,5,6},0))"),"The Americas")</f>
        <v>The Americas</v>
      </c>
      <c r="AC2269" s="14" t="str">
        <f>IFERROR(__xludf.DUMMYFUNCTION("""COMPUTED_VALUE"""),"St. Lucia-The Americas")</f>
        <v>St. Lucia-The Americas</v>
      </c>
      <c r="AD2269" s="14" t="str">
        <f>IFERROR(__xludf.DUMMYFUNCTION("""COMPUTED_VALUE"""),"2008")</f>
        <v>2008</v>
      </c>
      <c r="AE2269" s="14">
        <f>IFERROR(__xludf.DUMMYFUNCTION("""COMPUTED_VALUE"""),128.0)</f>
        <v>128</v>
      </c>
      <c r="AF2269" s="14">
        <f>IFERROR(__xludf.DUMMYFUNCTION("""COMPUTED_VALUE"""),385.0)</f>
        <v>385</v>
      </c>
    </row>
    <row r="2270">
      <c r="A2270" s="12">
        <v>2269.0</v>
      </c>
      <c r="B2270" s="12" t="s">
        <v>253</v>
      </c>
      <c r="C2270" s="5" t="s">
        <v>84</v>
      </c>
      <c r="D2270" s="11">
        <v>0.34</v>
      </c>
      <c r="E2270" s="11">
        <v>20.0</v>
      </c>
      <c r="F2270" s="8"/>
      <c r="G2270" s="11">
        <v>71.0</v>
      </c>
      <c r="H2270" s="11">
        <v>0.245</v>
      </c>
      <c r="I2270" s="11">
        <v>0.63</v>
      </c>
      <c r="J2270" s="9" t="s">
        <v>67</v>
      </c>
      <c r="K2270" s="14" t="str">
        <f>IFERROR(__xludf.DUMMYFUNCTION("ARRAYFORMULA(VLOOKUP(A2270,IMPORTRANGE(""https://docs.google.com/spreadsheets/d/1BuTWp7qHGjWhqrnf-OmePP568O4A5Am9ttzvVdP67zw/edit#gid=1603210130"", ""TOURISM!$A$2:$F$2692""), {2,3,4,5,6},0))"),"The Americas")</f>
        <v>The Americas</v>
      </c>
      <c r="L2270" s="14">
        <f>IFERROR(__xludf.DUMMYFUNCTION("""COMPUTED_VALUE"""),2.94E8)</f>
        <v>294000000</v>
      </c>
      <c r="M2270" s="14" t="str">
        <f>IFERROR(__xludf.DUMMYFUNCTION("""COMPUTED_VALUE"""),"St. Lucia-The Americas")</f>
        <v>St. Lucia-The Americas</v>
      </c>
      <c r="N2270" s="14" t="str">
        <f>IFERROR(__xludf.DUMMYFUNCTION("""COMPUTED_VALUE"""),"2006")</f>
        <v>2006</v>
      </c>
      <c r="O2270" s="14">
        <f>IFERROR(__xludf.DUMMYFUNCTION("""COMPUTED_VALUE"""),3.9E7)</f>
        <v>39000000</v>
      </c>
      <c r="P2270" s="15">
        <f>IFERROR(__xludf.DUMMYFUNCTION("ARRAYFORMULA(VLOOKUP(A2270,IMPORTRANGE(""https://docs.google.com/spreadsheets/d/1BuTWp7qHGjWhqrnf-OmePP568O4A5Am9ttzvVdP67zw/edit#gid=771602874"" ,""HUMAN RESOURCES!$A$2:$M$2692""), {2,3,4,5,6,7,8,9,10,11,12,13},0))"),0.017)</f>
        <v>0.017</v>
      </c>
      <c r="Q2270" s="14">
        <f>IFERROR(__xludf.DUMMYFUNCTION("""COMPUTED_VALUE"""),0.015)</f>
        <v>0.015</v>
      </c>
      <c r="R2270" s="14">
        <f>IFERROR(__xludf.DUMMYFUNCTION("""COMPUTED_VALUE"""),76.0)</f>
        <v>76</v>
      </c>
      <c r="S2270" s="14">
        <f>IFERROR(__xludf.DUMMYFUNCTION("""COMPUTED_VALUE"""),71.0)</f>
        <v>71</v>
      </c>
      <c r="T2270" s="14">
        <f>IFERROR(__xludf.DUMMYFUNCTION("""COMPUTED_VALUE"""),0.277)</f>
        <v>0.277</v>
      </c>
      <c r="U2270" s="14">
        <f>IFERROR(__xludf.DUMMYFUNCTION("""COMPUTED_VALUE"""),0.649)</f>
        <v>0.649</v>
      </c>
      <c r="V2270" s="14">
        <f>IFERROR(__xludf.DUMMYFUNCTION("""COMPUTED_VALUE"""),0.074)</f>
        <v>0.074</v>
      </c>
      <c r="W2270" s="14">
        <f>IFERROR(__xludf.DUMMYFUNCTION("""COMPUTED_VALUE"""),167658.0)</f>
        <v>167658</v>
      </c>
      <c r="X2270" s="14">
        <f>IFERROR(__xludf.DUMMYFUNCTION("""COMPUTED_VALUE"""),0.221)</f>
        <v>0.221</v>
      </c>
      <c r="Y2270" s="14" t="str">
        <f>IFERROR(__xludf.DUMMYFUNCTION("""COMPUTED_VALUE"""),"St. Lucia-The Americas")</f>
        <v>St. Lucia-The Americas</v>
      </c>
      <c r="Z2270" s="14" t="str">
        <f>IFERROR(__xludf.DUMMYFUNCTION("""COMPUTED_VALUE"""),"The Americas")</f>
        <v>The Americas</v>
      </c>
      <c r="AA2270" s="14" t="str">
        <f>IFERROR(__xludf.DUMMYFUNCTION("""COMPUTED_VALUE"""),"2006")</f>
        <v>2006</v>
      </c>
      <c r="AB2270" s="15" t="str">
        <f>IFERROR(__xludf.DUMMYFUNCTION("ARRAYFORMULA(VLOOKUP(A2270,IMPORTRANGE(""https://docs.google.com/spreadsheets/d/1BuTWp7qHGjWhqrnf-OmePP568O4A5Am9ttzvVdP67zw/edit#gid=1931367683"" ,""ENERGY!$A$2:$F$2692""), {2,3,4,5,6},0))"),"The Americas")</f>
        <v>The Americas</v>
      </c>
      <c r="AC2270" s="14" t="str">
        <f>IFERROR(__xludf.DUMMYFUNCTION("""COMPUTED_VALUE"""),"St. Lucia-The Americas")</f>
        <v>St. Lucia-The Americas</v>
      </c>
      <c r="AD2270" s="14" t="str">
        <f>IFERROR(__xludf.DUMMYFUNCTION("""COMPUTED_VALUE"""),"2012")</f>
        <v>2012</v>
      </c>
      <c r="AE2270" s="14">
        <f>IFERROR(__xludf.DUMMYFUNCTION("""COMPUTED_VALUE"""),119.0)</f>
        <v>119</v>
      </c>
      <c r="AF2270" s="14">
        <f>IFERROR(__xludf.DUMMYFUNCTION("""COMPUTED_VALUE"""),367.0)</f>
        <v>367</v>
      </c>
    </row>
    <row r="2271">
      <c r="A2271" s="12">
        <v>2270.0</v>
      </c>
      <c r="B2271" s="12" t="s">
        <v>253</v>
      </c>
      <c r="C2271" s="5" t="s">
        <v>84</v>
      </c>
      <c r="D2271" s="11">
        <v>0.34</v>
      </c>
      <c r="E2271" s="11">
        <v>20.0</v>
      </c>
      <c r="F2271" s="8"/>
      <c r="G2271" s="11">
        <v>71.0</v>
      </c>
      <c r="H2271" s="11">
        <v>0.279</v>
      </c>
      <c r="I2271" s="11">
        <v>0.864</v>
      </c>
      <c r="J2271" s="9" t="s">
        <v>68</v>
      </c>
      <c r="K2271" s="14" t="str">
        <f>IFERROR(__xludf.DUMMYFUNCTION("ARRAYFORMULA(VLOOKUP(A2271,IMPORTRANGE(""https://docs.google.com/spreadsheets/d/1BuTWp7qHGjWhqrnf-OmePP568O4A5Am9ttzvVdP67zw/edit#gid=1603210130"", ""TOURISM!$A$2:$F$2692""), {2,3,4,5,6},0))"),"The Americas")</f>
        <v>The Americas</v>
      </c>
      <c r="L2271" s="14">
        <f>IFERROR(__xludf.DUMMYFUNCTION("""COMPUTED_VALUE"""),3.02E8)</f>
        <v>302000000</v>
      </c>
      <c r="M2271" s="14" t="str">
        <f>IFERROR(__xludf.DUMMYFUNCTION("""COMPUTED_VALUE"""),"St. Lucia-The Americas")</f>
        <v>St. Lucia-The Americas</v>
      </c>
      <c r="N2271" s="14" t="str">
        <f>IFERROR(__xludf.DUMMYFUNCTION("""COMPUTED_VALUE"""),"2007")</f>
        <v>2007</v>
      </c>
      <c r="O2271" s="14">
        <f>IFERROR(__xludf.DUMMYFUNCTION("""COMPUTED_VALUE"""),4.2E7)</f>
        <v>42000000</v>
      </c>
      <c r="P2271" s="15">
        <f>IFERROR(__xludf.DUMMYFUNCTION("ARRAYFORMULA(VLOOKUP(A2271,IMPORTRANGE(""https://docs.google.com/spreadsheets/d/1BuTWp7qHGjWhqrnf-OmePP568O4A5Am9ttzvVdP67zw/edit#gid=771602874"" ,""HUMAN RESOURCES!$A$2:$M$2692""), {2,3,4,5,6,7,8,9,10,11,12,13},0))"),0.017)</f>
        <v>0.017</v>
      </c>
      <c r="Q2271" s="14">
        <f>IFERROR(__xludf.DUMMYFUNCTION("""COMPUTED_VALUE"""),0.014)</f>
        <v>0.014</v>
      </c>
      <c r="R2271" s="14">
        <f>IFERROR(__xludf.DUMMYFUNCTION("""COMPUTED_VALUE"""),76.0)</f>
        <v>76</v>
      </c>
      <c r="S2271" s="14">
        <f>IFERROR(__xludf.DUMMYFUNCTION("""COMPUTED_VALUE"""),71.0)</f>
        <v>71</v>
      </c>
      <c r="T2271" s="14">
        <f>IFERROR(__xludf.DUMMYFUNCTION("""COMPUTED_VALUE"""),0.27)</f>
        <v>0.27</v>
      </c>
      <c r="U2271" s="14">
        <f>IFERROR(__xludf.DUMMYFUNCTION("""COMPUTED_VALUE"""),0.653)</f>
        <v>0.653</v>
      </c>
      <c r="V2271" s="14">
        <f>IFERROR(__xludf.DUMMYFUNCTION("""COMPUTED_VALUE"""),0.077)</f>
        <v>0.077</v>
      </c>
      <c r="W2271" s="14">
        <f>IFERROR(__xludf.DUMMYFUNCTION("""COMPUTED_VALUE"""),170149.0)</f>
        <v>170149</v>
      </c>
      <c r="X2271" s="14">
        <f>IFERROR(__xludf.DUMMYFUNCTION("""COMPUTED_VALUE"""),0.211)</f>
        <v>0.211</v>
      </c>
      <c r="Y2271" s="14" t="str">
        <f>IFERROR(__xludf.DUMMYFUNCTION("""COMPUTED_VALUE"""),"St. Lucia-The Americas")</f>
        <v>St. Lucia-The Americas</v>
      </c>
      <c r="Z2271" s="14" t="str">
        <f>IFERROR(__xludf.DUMMYFUNCTION("""COMPUTED_VALUE"""),"The Americas")</f>
        <v>The Americas</v>
      </c>
      <c r="AA2271" s="14" t="str">
        <f>IFERROR(__xludf.DUMMYFUNCTION("""COMPUTED_VALUE"""),"2007")</f>
        <v>2007</v>
      </c>
      <c r="AB2271" s="15" t="str">
        <f>IFERROR(__xludf.DUMMYFUNCTION("ARRAYFORMULA(VLOOKUP(A2271,IMPORTRANGE(""https://docs.google.com/spreadsheets/d/1BuTWp7qHGjWhqrnf-OmePP568O4A5Am9ttzvVdP67zw/edit#gid=1931367683"" ,""ENERGY!$A$2:$F$2692""), {2,3,4,5,6},0))"),"The Americas")</f>
        <v>The Americas</v>
      </c>
      <c r="AC2271" s="14" t="str">
        <f>IFERROR(__xludf.DUMMYFUNCTION("""COMPUTED_VALUE"""),"St. Lucia-The Americas")</f>
        <v>St. Lucia-The Americas</v>
      </c>
      <c r="AD2271" s="14" t="str">
        <f>IFERROR(__xludf.DUMMYFUNCTION("""COMPUTED_VALUE"""),"2010")</f>
        <v>2010</v>
      </c>
      <c r="AE2271" s="14">
        <f>IFERROR(__xludf.DUMMYFUNCTION("""COMPUTED_VALUE"""),123.0)</f>
        <v>123</v>
      </c>
      <c r="AF2271" s="14">
        <f>IFERROR(__xludf.DUMMYFUNCTION("""COMPUTED_VALUE"""),367.0)</f>
        <v>367</v>
      </c>
    </row>
    <row r="2272">
      <c r="A2272" s="12">
        <v>2271.0</v>
      </c>
      <c r="B2272" s="12" t="s">
        <v>253</v>
      </c>
      <c r="C2272" s="5" t="s">
        <v>84</v>
      </c>
      <c r="D2272" s="11">
        <v>0.34</v>
      </c>
      <c r="E2272" s="11">
        <v>20.0</v>
      </c>
      <c r="F2272" s="8"/>
      <c r="G2272" s="11">
        <v>61.0</v>
      </c>
      <c r="H2272" s="11">
        <v>0.32</v>
      </c>
      <c r="I2272" s="11">
        <v>1.013</v>
      </c>
      <c r="J2272" s="9" t="s">
        <v>69</v>
      </c>
      <c r="K2272" s="14" t="str">
        <f>IFERROR(__xludf.DUMMYFUNCTION("ARRAYFORMULA(VLOOKUP(A2272,IMPORTRANGE(""https://docs.google.com/spreadsheets/d/1BuTWp7qHGjWhqrnf-OmePP568O4A5Am9ttzvVdP67zw/edit#gid=1603210130"", ""TOURISM!$A$2:$F$2692""), {2,3,4,5,6},0))"),"The Americas")</f>
        <v>The Americas</v>
      </c>
      <c r="L2272" s="14">
        <f>IFERROR(__xludf.DUMMYFUNCTION("""COMPUTED_VALUE"""),3.11E8)</f>
        <v>311000000</v>
      </c>
      <c r="M2272" s="14" t="str">
        <f>IFERROR(__xludf.DUMMYFUNCTION("""COMPUTED_VALUE"""),"St. Lucia-The Americas")</f>
        <v>St. Lucia-The Americas</v>
      </c>
      <c r="N2272" s="14" t="str">
        <f>IFERROR(__xludf.DUMMYFUNCTION("""COMPUTED_VALUE"""),"2008")</f>
        <v>2008</v>
      </c>
      <c r="O2272" s="14">
        <f>IFERROR(__xludf.DUMMYFUNCTION("""COMPUTED_VALUE"""),4.5E7)</f>
        <v>45000000</v>
      </c>
      <c r="P2272" s="15">
        <f>IFERROR(__xludf.DUMMYFUNCTION("ARRAYFORMULA(VLOOKUP(A2272,IMPORTRANGE(""https://docs.google.com/spreadsheets/d/1BuTWp7qHGjWhqrnf-OmePP568O4A5Am9ttzvVdP67zw/edit#gid=771602874"" ,""HUMAN RESOURCES!$A$2:$M$2692""), {2,3,4,5,6,7,8,9,10,11,12,13},0))"),0.017)</f>
        <v>0.017</v>
      </c>
      <c r="Q2272" s="14">
        <f>IFERROR(__xludf.DUMMYFUNCTION("""COMPUTED_VALUE"""),0.014)</f>
        <v>0.014</v>
      </c>
      <c r="R2272" s="14">
        <f>IFERROR(__xludf.DUMMYFUNCTION("""COMPUTED_VALUE"""),77.0)</f>
        <v>77</v>
      </c>
      <c r="S2272" s="14">
        <f>IFERROR(__xludf.DUMMYFUNCTION("""COMPUTED_VALUE"""),71.0)</f>
        <v>71</v>
      </c>
      <c r="T2272" s="14">
        <f>IFERROR(__xludf.DUMMYFUNCTION("""COMPUTED_VALUE"""),0.264)</f>
        <v>0.264</v>
      </c>
      <c r="U2272" s="14">
        <f>IFERROR(__xludf.DUMMYFUNCTION("""COMPUTED_VALUE"""),0.656)</f>
        <v>0.656</v>
      </c>
      <c r="V2272" s="14">
        <f>IFERROR(__xludf.DUMMYFUNCTION("""COMPUTED_VALUE"""),0.08)</f>
        <v>0.08</v>
      </c>
      <c r="W2272" s="14">
        <f>IFERROR(__xludf.DUMMYFUNCTION("""COMPUTED_VALUE"""),172734.0)</f>
        <v>172734</v>
      </c>
      <c r="X2272" s="14">
        <f>IFERROR(__xludf.DUMMYFUNCTION("""COMPUTED_VALUE"""),0.201)</f>
        <v>0.201</v>
      </c>
      <c r="Y2272" s="14" t="str">
        <f>IFERROR(__xludf.DUMMYFUNCTION("""COMPUTED_VALUE"""),"St. Lucia-The Americas")</f>
        <v>St. Lucia-The Americas</v>
      </c>
      <c r="Z2272" s="14" t="str">
        <f>IFERROR(__xludf.DUMMYFUNCTION("""COMPUTED_VALUE"""),"The Americas")</f>
        <v>The Americas</v>
      </c>
      <c r="AA2272" s="14" t="str">
        <f>IFERROR(__xludf.DUMMYFUNCTION("""COMPUTED_VALUE"""),"2008")</f>
        <v>2008</v>
      </c>
      <c r="AB2272" s="15" t="str">
        <f>IFERROR(__xludf.DUMMYFUNCTION("ARRAYFORMULA(VLOOKUP(A2272,IMPORTRANGE(""https://docs.google.com/spreadsheets/d/1BuTWp7qHGjWhqrnf-OmePP568O4A5Am9ttzvVdP67zw/edit#gid=1931367683"" ,""ENERGY!$A$2:$F$2692""), {2,3,4,5,6},0))"),"The Americas")</f>
        <v>The Americas</v>
      </c>
      <c r="AC2272" s="14" t="str">
        <f>IFERROR(__xludf.DUMMYFUNCTION("""COMPUTED_VALUE"""),"St. Lucia-The Americas")</f>
        <v>St. Lucia-The Americas</v>
      </c>
      <c r="AD2272" s="14" t="str">
        <f>IFERROR(__xludf.DUMMYFUNCTION("""COMPUTED_VALUE"""),"2007")</f>
        <v>2007</v>
      </c>
      <c r="AE2272" s="14">
        <f>IFERROR(__xludf.DUMMYFUNCTION("""COMPUTED_VALUE"""),120.0)</f>
        <v>120</v>
      </c>
      <c r="AF2272" s="14">
        <f>IFERROR(__xludf.DUMMYFUNCTION("""COMPUTED_VALUE"""),356.0)</f>
        <v>356</v>
      </c>
    </row>
    <row r="2273">
      <c r="A2273" s="12">
        <v>2272.0</v>
      </c>
      <c r="B2273" s="12" t="s">
        <v>253</v>
      </c>
      <c r="C2273" s="5" t="s">
        <v>84</v>
      </c>
      <c r="D2273" s="11">
        <v>0.344</v>
      </c>
      <c r="E2273" s="11">
        <v>14.0</v>
      </c>
      <c r="F2273" s="8"/>
      <c r="G2273" s="11">
        <v>92.0</v>
      </c>
      <c r="H2273" s="11">
        <v>0.36</v>
      </c>
      <c r="I2273" s="11">
        <v>1.083</v>
      </c>
      <c r="J2273" s="9" t="s">
        <v>70</v>
      </c>
      <c r="K2273" s="14" t="str">
        <f>IFERROR(__xludf.DUMMYFUNCTION("ARRAYFORMULA(VLOOKUP(A2273,IMPORTRANGE(""https://docs.google.com/spreadsheets/d/1BuTWp7qHGjWhqrnf-OmePP568O4A5Am9ttzvVdP67zw/edit#gid=1603210130"", ""TOURISM!$A$2:$F$2692""), {2,3,4,5,6},0))"),"The Americas")</f>
        <v>The Americas</v>
      </c>
      <c r="L2273" s="14">
        <f>IFERROR(__xludf.DUMMYFUNCTION("""COMPUTED_VALUE"""),2.96E8)</f>
        <v>296000000</v>
      </c>
      <c r="M2273" s="14" t="str">
        <f>IFERROR(__xludf.DUMMYFUNCTION("""COMPUTED_VALUE"""),"St. Lucia-The Americas")</f>
        <v>St. Lucia-The Americas</v>
      </c>
      <c r="N2273" s="14" t="str">
        <f>IFERROR(__xludf.DUMMYFUNCTION("""COMPUTED_VALUE"""),"2009")</f>
        <v>2009</v>
      </c>
      <c r="O2273" s="14">
        <f>IFERROR(__xludf.DUMMYFUNCTION("""COMPUTED_VALUE"""),4.7E7)</f>
        <v>47000000</v>
      </c>
      <c r="P2273" s="15">
        <f>IFERROR(__xludf.DUMMYFUNCTION("ARRAYFORMULA(VLOOKUP(A2273,IMPORTRANGE(""https://docs.google.com/spreadsheets/d/1BuTWp7qHGjWhqrnf-OmePP568O4A5Am9ttzvVdP67zw/edit#gid=771602874"" ,""HUMAN RESOURCES!$A$2:$M$2692""), {2,3,4,5,6,7,8,9,10,11,12,13},0))"),0.017)</f>
        <v>0.017</v>
      </c>
      <c r="Q2273" s="14">
        <f>IFERROR(__xludf.DUMMYFUNCTION("""COMPUTED_VALUE"""),0.014)</f>
        <v>0.014</v>
      </c>
      <c r="R2273" s="14">
        <f>IFERROR(__xludf.DUMMYFUNCTION("""COMPUTED_VALUE"""),77.0)</f>
        <v>77</v>
      </c>
      <c r="S2273" s="14">
        <f>IFERROR(__xludf.DUMMYFUNCTION("""COMPUTED_VALUE"""),72.0)</f>
        <v>72</v>
      </c>
      <c r="T2273" s="14">
        <f>IFERROR(__xludf.DUMMYFUNCTION("""COMPUTED_VALUE"""),0.258)</f>
        <v>0.258</v>
      </c>
      <c r="U2273" s="14">
        <f>IFERROR(__xludf.DUMMYFUNCTION("""COMPUTED_VALUE"""),0.66)</f>
        <v>0.66</v>
      </c>
      <c r="V2273" s="14">
        <f>IFERROR(__xludf.DUMMYFUNCTION("""COMPUTED_VALUE"""),0.083)</f>
        <v>0.083</v>
      </c>
      <c r="W2273" s="14">
        <f>IFERROR(__xludf.DUMMYFUNCTION("""COMPUTED_VALUE"""),175200.0)</f>
        <v>175200</v>
      </c>
      <c r="X2273" s="14">
        <f>IFERROR(__xludf.DUMMYFUNCTION("""COMPUTED_VALUE"""),0.192)</f>
        <v>0.192</v>
      </c>
      <c r="Y2273" s="14" t="str">
        <f>IFERROR(__xludf.DUMMYFUNCTION("""COMPUTED_VALUE"""),"St. Lucia-The Americas")</f>
        <v>St. Lucia-The Americas</v>
      </c>
      <c r="Z2273" s="14" t="str">
        <f>IFERROR(__xludf.DUMMYFUNCTION("""COMPUTED_VALUE"""),"The Americas")</f>
        <v>The Americas</v>
      </c>
      <c r="AA2273" s="14" t="str">
        <f>IFERROR(__xludf.DUMMYFUNCTION("""COMPUTED_VALUE"""),"2009")</f>
        <v>2009</v>
      </c>
      <c r="AB2273" s="15" t="str">
        <f>IFERROR(__xludf.DUMMYFUNCTION("ARRAYFORMULA(VLOOKUP(A2273,IMPORTRANGE(""https://docs.google.com/spreadsheets/d/1BuTWp7qHGjWhqrnf-OmePP568O4A5Am9ttzvVdP67zw/edit#gid=1931367683"" ,""ENERGY!$A$2:$F$2692""), {2,3,4,5,6},0))"),"The Americas")</f>
        <v>The Americas</v>
      </c>
      <c r="AC2273" s="14" t="str">
        <f>IFERROR(__xludf.DUMMYFUNCTION("""COMPUTED_VALUE"""),"St. Lucia-The Americas")</f>
        <v>St. Lucia-The Americas</v>
      </c>
      <c r="AD2273" s="14" t="str">
        <f>IFERROR(__xludf.DUMMYFUNCTION("""COMPUTED_VALUE"""),"2012")</f>
        <v>2012</v>
      </c>
      <c r="AE2273" s="14"/>
      <c r="AF2273" s="14">
        <f>IFERROR(__xludf.DUMMYFUNCTION("""COMPUTED_VALUE"""),359.0)</f>
        <v>359</v>
      </c>
    </row>
    <row r="2274">
      <c r="A2274" s="12">
        <v>2273.0</v>
      </c>
      <c r="B2274" s="12" t="s">
        <v>253</v>
      </c>
      <c r="C2274" s="5" t="s">
        <v>84</v>
      </c>
      <c r="D2274" s="11">
        <v>0.34</v>
      </c>
      <c r="E2274" s="11">
        <v>14.0</v>
      </c>
      <c r="F2274" s="8"/>
      <c r="G2274" s="11">
        <v>92.0</v>
      </c>
      <c r="H2274" s="11">
        <v>0.433</v>
      </c>
      <c r="I2274" s="11">
        <v>1.117</v>
      </c>
      <c r="J2274" s="9" t="s">
        <v>71</v>
      </c>
      <c r="K2274" s="14" t="str">
        <f>IFERROR(__xludf.DUMMYFUNCTION("ARRAYFORMULA(VLOOKUP(A2274,IMPORTRANGE(""https://docs.google.com/spreadsheets/d/1BuTWp7qHGjWhqrnf-OmePP568O4A5Am9ttzvVdP67zw/edit#gid=1603210130"", ""TOURISM!$A$2:$F$2692""), {2,3,4,5,6},0))"),"The Americas")</f>
        <v>The Americas</v>
      </c>
      <c r="L2274" s="14">
        <f>IFERROR(__xludf.DUMMYFUNCTION("""COMPUTED_VALUE"""),3.09E8)</f>
        <v>309000000</v>
      </c>
      <c r="M2274" s="14" t="str">
        <f>IFERROR(__xludf.DUMMYFUNCTION("""COMPUTED_VALUE"""),"St. Lucia-The Americas")</f>
        <v>St. Lucia-The Americas</v>
      </c>
      <c r="N2274" s="14" t="str">
        <f>IFERROR(__xludf.DUMMYFUNCTION("""COMPUTED_VALUE"""),"2010")</f>
        <v>2010</v>
      </c>
      <c r="O2274" s="14">
        <f>IFERROR(__xludf.DUMMYFUNCTION("""COMPUTED_VALUE"""),4.8E7)</f>
        <v>48000000</v>
      </c>
      <c r="P2274" s="15">
        <f>IFERROR(__xludf.DUMMYFUNCTION("ARRAYFORMULA(VLOOKUP(A2274,IMPORTRANGE(""https://docs.google.com/spreadsheets/d/1BuTWp7qHGjWhqrnf-OmePP568O4A5Am9ttzvVdP67zw/edit#gid=771602874"" ,""HUMAN RESOURCES!$A$2:$M$2692""), {2,3,4,5,6,7,8,9,10,11,12,13},0))"),0.016)</f>
        <v>0.016</v>
      </c>
      <c r="Q2274" s="14">
        <f>IFERROR(__xludf.DUMMYFUNCTION("""COMPUTED_VALUE"""),0.014)</f>
        <v>0.014</v>
      </c>
      <c r="R2274" s="14">
        <f>IFERROR(__xludf.DUMMYFUNCTION("""COMPUTED_VALUE"""),77.0)</f>
        <v>77</v>
      </c>
      <c r="S2274" s="14">
        <f>IFERROR(__xludf.DUMMYFUNCTION("""COMPUTED_VALUE"""),72.0)</f>
        <v>72</v>
      </c>
      <c r="T2274" s="14">
        <f>IFERROR(__xludf.DUMMYFUNCTION("""COMPUTED_VALUE"""),0.253)</f>
        <v>0.253</v>
      </c>
      <c r="U2274" s="14">
        <f>IFERROR(__xludf.DUMMYFUNCTION("""COMPUTED_VALUE"""),0.663)</f>
        <v>0.663</v>
      </c>
      <c r="V2274" s="14">
        <f>IFERROR(__xludf.DUMMYFUNCTION("""COMPUTED_VALUE"""),0.085)</f>
        <v>0.085</v>
      </c>
      <c r="W2274" s="14">
        <f>IFERROR(__xludf.DUMMYFUNCTION("""COMPUTED_VALUE"""),177397.0)</f>
        <v>177397</v>
      </c>
      <c r="X2274" s="14">
        <f>IFERROR(__xludf.DUMMYFUNCTION("""COMPUTED_VALUE"""),0.185)</f>
        <v>0.185</v>
      </c>
      <c r="Y2274" s="14" t="str">
        <f>IFERROR(__xludf.DUMMYFUNCTION("""COMPUTED_VALUE"""),"St. Lucia-The Americas")</f>
        <v>St. Lucia-The Americas</v>
      </c>
      <c r="Z2274" s="14" t="str">
        <f>IFERROR(__xludf.DUMMYFUNCTION("""COMPUTED_VALUE"""),"The Americas")</f>
        <v>The Americas</v>
      </c>
      <c r="AA2274" s="14" t="str">
        <f>IFERROR(__xludf.DUMMYFUNCTION("""COMPUTED_VALUE"""),"2010")</f>
        <v>2010</v>
      </c>
      <c r="AB2274" s="15" t="str">
        <f>IFERROR(__xludf.DUMMYFUNCTION("ARRAYFORMULA(VLOOKUP(A2274,IMPORTRANGE(""https://docs.google.com/spreadsheets/d/1BuTWp7qHGjWhqrnf-OmePP568O4A5Am9ttzvVdP67zw/edit#gid=1931367683"" ,""ENERGY!$A$2:$F$2692""), {2,3,4,5,6},0))"),"The Americas")</f>
        <v>The Americas</v>
      </c>
      <c r="AC2274" s="14" t="str">
        <f>IFERROR(__xludf.DUMMYFUNCTION("""COMPUTED_VALUE"""),"St. Lucia-The Americas")</f>
        <v>St. Lucia-The Americas</v>
      </c>
      <c r="AD2274" s="14" t="str">
        <f>IFERROR(__xludf.DUMMYFUNCTION("""COMPUTED_VALUE"""),"2009")</f>
        <v>2009</v>
      </c>
      <c r="AE2274" s="14"/>
      <c r="AF2274" s="14">
        <f>IFERROR(__xludf.DUMMYFUNCTION("""COMPUTED_VALUE"""),326.0)</f>
        <v>326</v>
      </c>
    </row>
    <row r="2275">
      <c r="A2275" s="12">
        <v>2274.0</v>
      </c>
      <c r="B2275" s="12" t="s">
        <v>253</v>
      </c>
      <c r="C2275" s="5" t="s">
        <v>84</v>
      </c>
      <c r="D2275" s="11">
        <v>0.344</v>
      </c>
      <c r="E2275" s="11">
        <v>15.0</v>
      </c>
      <c r="F2275" s="8"/>
      <c r="G2275" s="11">
        <v>92.0</v>
      </c>
      <c r="H2275" s="11">
        <v>0.45</v>
      </c>
      <c r="I2275" s="11">
        <v>1.208</v>
      </c>
      <c r="J2275" s="9" t="s">
        <v>72</v>
      </c>
      <c r="K2275" s="14" t="str">
        <f>IFERROR(__xludf.DUMMYFUNCTION("ARRAYFORMULA(VLOOKUP(A2275,IMPORTRANGE(""https://docs.google.com/spreadsheets/d/1BuTWp7qHGjWhqrnf-OmePP568O4A5Am9ttzvVdP67zw/edit#gid=1603210130"", ""TOURISM!$A$2:$F$2692""), {2,3,4,5,6},0))"),"The Americas")</f>
        <v>The Americas</v>
      </c>
      <c r="L2275" s="14">
        <f>IFERROR(__xludf.DUMMYFUNCTION("""COMPUTED_VALUE"""),3.21E8)</f>
        <v>321000000</v>
      </c>
      <c r="M2275" s="14" t="str">
        <f>IFERROR(__xludf.DUMMYFUNCTION("""COMPUTED_VALUE"""),"St. Lucia-The Americas")</f>
        <v>St. Lucia-The Americas</v>
      </c>
      <c r="N2275" s="14" t="str">
        <f>IFERROR(__xludf.DUMMYFUNCTION("""COMPUTED_VALUE"""),"2011")</f>
        <v>2011</v>
      </c>
      <c r="O2275" s="14">
        <f>IFERROR(__xludf.DUMMYFUNCTION("""COMPUTED_VALUE"""),4.8E7)</f>
        <v>48000000</v>
      </c>
      <c r="P2275" s="15">
        <f>IFERROR(__xludf.DUMMYFUNCTION("ARRAYFORMULA(VLOOKUP(A2275,IMPORTRANGE(""https://docs.google.com/spreadsheets/d/1BuTWp7qHGjWhqrnf-OmePP568O4A5Am9ttzvVdP67zw/edit#gid=771602874"" ,""HUMAN RESOURCES!$A$2:$M$2692""), {2,3,4,5,6,7,8,9,10,11,12,13},0))"),0.016)</f>
        <v>0.016</v>
      </c>
      <c r="Q2275" s="14">
        <f>IFERROR(__xludf.DUMMYFUNCTION("""COMPUTED_VALUE"""),0.013)</f>
        <v>0.013</v>
      </c>
      <c r="R2275" s="14">
        <f>IFERROR(__xludf.DUMMYFUNCTION("""COMPUTED_VALUE"""),77.0)</f>
        <v>77</v>
      </c>
      <c r="S2275" s="14">
        <f>IFERROR(__xludf.DUMMYFUNCTION("""COMPUTED_VALUE"""),72.0)</f>
        <v>72</v>
      </c>
      <c r="T2275" s="14">
        <f>IFERROR(__xludf.DUMMYFUNCTION("""COMPUTED_VALUE"""),0.248)</f>
        <v>0.248</v>
      </c>
      <c r="U2275" s="14">
        <f>IFERROR(__xludf.DUMMYFUNCTION("""COMPUTED_VALUE"""),0.666)</f>
        <v>0.666</v>
      </c>
      <c r="V2275" s="14">
        <f>IFERROR(__xludf.DUMMYFUNCTION("""COMPUTED_VALUE"""),0.086)</f>
        <v>0.086</v>
      </c>
      <c r="W2275" s="14">
        <f>IFERROR(__xludf.DUMMYFUNCTION("""COMPUTED_VALUE"""),179271.0)</f>
        <v>179271</v>
      </c>
      <c r="X2275" s="14">
        <f>IFERROR(__xludf.DUMMYFUNCTION("""COMPUTED_VALUE"""),0.185)</f>
        <v>0.185</v>
      </c>
      <c r="Y2275" s="14" t="str">
        <f>IFERROR(__xludf.DUMMYFUNCTION("""COMPUTED_VALUE"""),"St. Lucia-The Americas")</f>
        <v>St. Lucia-The Americas</v>
      </c>
      <c r="Z2275" s="14" t="str">
        <f>IFERROR(__xludf.DUMMYFUNCTION("""COMPUTED_VALUE"""),"The Americas")</f>
        <v>The Americas</v>
      </c>
      <c r="AA2275" s="14" t="str">
        <f>IFERROR(__xludf.DUMMYFUNCTION("""COMPUTED_VALUE"""),"2011")</f>
        <v>2011</v>
      </c>
      <c r="AB2275" s="15" t="str">
        <f>IFERROR(__xludf.DUMMYFUNCTION("ARRAYFORMULA(VLOOKUP(A2275,IMPORTRANGE(""https://docs.google.com/spreadsheets/d/1BuTWp7qHGjWhqrnf-OmePP568O4A5Am9ttzvVdP67zw/edit#gid=1931367683"" ,""ENERGY!$A$2:$F$2692""), {2,3,4,5,6},0))"),"The Americas")</f>
        <v>The Americas</v>
      </c>
      <c r="AC2275" s="14" t="str">
        <f>IFERROR(__xludf.DUMMYFUNCTION("""COMPUTED_VALUE"""),"St. Lucia-The Americas")</f>
        <v>St. Lucia-The Americas</v>
      </c>
      <c r="AD2275" s="14" t="str">
        <f>IFERROR(__xludf.DUMMYFUNCTION("""COMPUTED_VALUE"""),"2007")</f>
        <v>2007</v>
      </c>
      <c r="AE2275" s="14"/>
      <c r="AF2275" s="14">
        <f>IFERROR(__xludf.DUMMYFUNCTION("""COMPUTED_VALUE"""),363.0)</f>
        <v>363</v>
      </c>
    </row>
    <row r="2276">
      <c r="A2276" s="12">
        <v>2275.0</v>
      </c>
      <c r="B2276" s="12" t="s">
        <v>253</v>
      </c>
      <c r="C2276" s="5" t="s">
        <v>84</v>
      </c>
      <c r="D2276" s="11">
        <v>0.346</v>
      </c>
      <c r="E2276" s="11">
        <v>15.0</v>
      </c>
      <c r="F2276" s="11">
        <v>59.0</v>
      </c>
      <c r="G2276" s="11">
        <v>92.0</v>
      </c>
      <c r="H2276" s="11">
        <v>0.348</v>
      </c>
      <c r="I2276" s="11">
        <v>1.194</v>
      </c>
      <c r="J2276" s="9" t="s">
        <v>73</v>
      </c>
      <c r="K2276" s="14" t="str">
        <f>IFERROR(__xludf.DUMMYFUNCTION("ARRAYFORMULA(VLOOKUP(A2276,IMPORTRANGE(""https://docs.google.com/spreadsheets/d/1BuTWp7qHGjWhqrnf-OmePP568O4A5Am9ttzvVdP67zw/edit#gid=1603210130"", ""TOURISM!$A$2:$F$2692""), {2,3,4,5,6},0))"),"The Americas")</f>
        <v>The Americas</v>
      </c>
      <c r="L2276" s="14">
        <f>IFERROR(__xludf.DUMMYFUNCTION("""COMPUTED_VALUE"""),3.35E8)</f>
        <v>335000000</v>
      </c>
      <c r="M2276" s="14" t="str">
        <f>IFERROR(__xludf.DUMMYFUNCTION("""COMPUTED_VALUE"""),"St. Lucia-The Americas")</f>
        <v>St. Lucia-The Americas</v>
      </c>
      <c r="N2276" s="14" t="str">
        <f>IFERROR(__xludf.DUMMYFUNCTION("""COMPUTED_VALUE"""),"2012")</f>
        <v>2012</v>
      </c>
      <c r="O2276" s="14">
        <f>IFERROR(__xludf.DUMMYFUNCTION("""COMPUTED_VALUE"""),4.9E7)</f>
        <v>49000000</v>
      </c>
      <c r="P2276" s="15">
        <f>IFERROR(__xludf.DUMMYFUNCTION("ARRAYFORMULA(VLOOKUP(A2276,IMPORTRANGE(""https://docs.google.com/spreadsheets/d/1BuTWp7qHGjWhqrnf-OmePP568O4A5Am9ttzvVdP67zw/edit#gid=771602874"" ,""HUMAN RESOURCES!$A$2:$M$2692""), {2,3,4,5,6,7,8,9,10,11,12,13},0))"),0.016)</f>
        <v>0.016</v>
      </c>
      <c r="Q2276" s="14">
        <f>IFERROR(__xludf.DUMMYFUNCTION("""COMPUTED_VALUE"""),0.013)</f>
        <v>0.013</v>
      </c>
      <c r="R2276" s="14">
        <f>IFERROR(__xludf.DUMMYFUNCTION("""COMPUTED_VALUE"""),77.0)</f>
        <v>77</v>
      </c>
      <c r="S2276" s="14">
        <f>IFERROR(__xludf.DUMMYFUNCTION("""COMPUTED_VALUE"""),72.0)</f>
        <v>72</v>
      </c>
      <c r="T2276" s="14">
        <f>IFERROR(__xludf.DUMMYFUNCTION("""COMPUTED_VALUE"""),0.243)</f>
        <v>0.243</v>
      </c>
      <c r="U2276" s="14">
        <f>IFERROR(__xludf.DUMMYFUNCTION("""COMPUTED_VALUE"""),0.67)</f>
        <v>0.67</v>
      </c>
      <c r="V2276" s="14">
        <f>IFERROR(__xludf.DUMMYFUNCTION("""COMPUTED_VALUE"""),0.087)</f>
        <v>0.087</v>
      </c>
      <c r="W2276" s="14">
        <f>IFERROR(__xludf.DUMMYFUNCTION("""COMPUTED_VALUE"""),180870.0)</f>
        <v>180870</v>
      </c>
      <c r="X2276" s="14">
        <f>IFERROR(__xludf.DUMMYFUNCTION("""COMPUTED_VALUE"""),0.185)</f>
        <v>0.185</v>
      </c>
      <c r="Y2276" s="14" t="str">
        <f>IFERROR(__xludf.DUMMYFUNCTION("""COMPUTED_VALUE"""),"St. Lucia-The Americas")</f>
        <v>St. Lucia-The Americas</v>
      </c>
      <c r="Z2276" s="14" t="str">
        <f>IFERROR(__xludf.DUMMYFUNCTION("""COMPUTED_VALUE"""),"The Americas")</f>
        <v>The Americas</v>
      </c>
      <c r="AA2276" s="14" t="str">
        <f>IFERROR(__xludf.DUMMYFUNCTION("""COMPUTED_VALUE"""),"2012")</f>
        <v>2012</v>
      </c>
      <c r="AB2276" s="15" t="str">
        <f>IFERROR(__xludf.DUMMYFUNCTION("ARRAYFORMULA(VLOOKUP(A2276,IMPORTRANGE(""https://docs.google.com/spreadsheets/d/1BuTWp7qHGjWhqrnf-OmePP568O4A5Am9ttzvVdP67zw/edit#gid=1931367683"" ,""ENERGY!$A$2:$F$2692""), {2,3,4,5,6},0))"),"The Americas")</f>
        <v>The Americas</v>
      </c>
      <c r="AC2276" s="14" t="str">
        <f>IFERROR(__xludf.DUMMYFUNCTION("""COMPUTED_VALUE"""),"St. Lucia-The Americas")</f>
        <v>St. Lucia-The Americas</v>
      </c>
      <c r="AD2276" s="14" t="str">
        <f>IFERROR(__xludf.DUMMYFUNCTION("""COMPUTED_VALUE"""),"2012")</f>
        <v>2012</v>
      </c>
      <c r="AE2276" s="14"/>
      <c r="AF2276" s="14">
        <f>IFERROR(__xludf.DUMMYFUNCTION("""COMPUTED_VALUE"""),330.0)</f>
        <v>330</v>
      </c>
    </row>
    <row r="2277">
      <c r="A2277" s="12">
        <v>2276.0</v>
      </c>
      <c r="B2277" s="12" t="s">
        <v>254</v>
      </c>
      <c r="C2277" s="5" t="s">
        <v>84</v>
      </c>
      <c r="D2277" s="8"/>
      <c r="E2277" s="8"/>
      <c r="F2277" s="8"/>
      <c r="G2277" s="8"/>
      <c r="H2277" s="8"/>
      <c r="I2277" s="8"/>
      <c r="J2277" s="9" t="s">
        <v>60</v>
      </c>
      <c r="K2277" s="14" t="str">
        <f>IFERROR(__xludf.DUMMYFUNCTION("ARRAYFORMULA(VLOOKUP(A2277,IMPORTRANGE(""https://docs.google.com/spreadsheets/d/1BuTWp7qHGjWhqrnf-OmePP568O4A5Am9ttzvVdP67zw/edit#gid=1603210130"", ""TOURISM!$A$2:$F$2692""), {2,3,4,5,6},0))"),"The Americas")</f>
        <v>The Americas</v>
      </c>
      <c r="L2277" s="14"/>
      <c r="M2277" s="14" t="str">
        <f>IFERROR(__xludf.DUMMYFUNCTION("""COMPUTED_VALUE"""),"St. Martin (French part)-The Americas")</f>
        <v>St. Martin (French part)-The Americas</v>
      </c>
      <c r="N2277" s="14" t="str">
        <f>IFERROR(__xludf.DUMMYFUNCTION("""COMPUTED_VALUE"""),"2000")</f>
        <v>2000</v>
      </c>
      <c r="O2277" s="14"/>
      <c r="P2277" s="15">
        <f>IFERROR(__xludf.DUMMYFUNCTION("ARRAYFORMULA(VLOOKUP(A2277,IMPORTRANGE(""https://docs.google.com/spreadsheets/d/1BuTWp7qHGjWhqrnf-OmePP568O4A5Am9ttzvVdP67zw/edit#gid=771602874"" ,""HUMAN RESOURCES!$A$2:$M$2692""), {2,3,4,5,6,7,8,9,10,11,12,13},0))"),0.017)</f>
        <v>0.017</v>
      </c>
      <c r="Q2277" s="14"/>
      <c r="R2277" s="14">
        <f>IFERROR(__xludf.DUMMYFUNCTION("""COMPUTED_VALUE"""),80.0)</f>
        <v>80</v>
      </c>
      <c r="S2277" s="14">
        <f>IFERROR(__xludf.DUMMYFUNCTION("""COMPUTED_VALUE"""),74.0)</f>
        <v>74</v>
      </c>
      <c r="T2277" s="14"/>
      <c r="U2277" s="14"/>
      <c r="V2277" s="14"/>
      <c r="W2277" s="14">
        <f>IFERROR(__xludf.DUMMYFUNCTION("""COMPUTED_VALUE"""),28384.0)</f>
        <v>28384</v>
      </c>
      <c r="X2277" s="14"/>
      <c r="Y2277" s="14" t="str">
        <f>IFERROR(__xludf.DUMMYFUNCTION("""COMPUTED_VALUE"""),"St. Martin (French part)-The Americas")</f>
        <v>St. Martin (French part)-The Americas</v>
      </c>
      <c r="Z2277" s="14" t="str">
        <f>IFERROR(__xludf.DUMMYFUNCTION("""COMPUTED_VALUE"""),"The Americas")</f>
        <v>The Americas</v>
      </c>
      <c r="AA2277" s="14" t="str">
        <f>IFERROR(__xludf.DUMMYFUNCTION("""COMPUTED_VALUE"""),"2000")</f>
        <v>2000</v>
      </c>
      <c r="AB2277" s="15" t="str">
        <f>IFERROR(__xludf.DUMMYFUNCTION("ARRAYFORMULA(VLOOKUP(A2277,IMPORTRANGE(""https://docs.google.com/spreadsheets/d/1BuTWp7qHGjWhqrnf-OmePP568O4A5Am9ttzvVdP67zw/edit#gid=1931367683"" ,""ENERGY!$A$2:$F$2692""), {2,3,4,5,6},0))"),"The Americas")</f>
        <v>The Americas</v>
      </c>
      <c r="AC2277" s="14" t="str">
        <f>IFERROR(__xludf.DUMMYFUNCTION("""COMPUTED_VALUE"""),"St. Martin (French part)-The Americas")</f>
        <v>St. Martin (French part)-The Americas</v>
      </c>
      <c r="AD2277" s="14" t="str">
        <f>IFERROR(__xludf.DUMMYFUNCTION("""COMPUTED_VALUE"""),"2000")</f>
        <v>2000</v>
      </c>
      <c r="AE2277" s="14"/>
      <c r="AF2277" s="14"/>
    </row>
    <row r="2278">
      <c r="A2278" s="12">
        <v>2277.0</v>
      </c>
      <c r="B2278" s="12" t="s">
        <v>254</v>
      </c>
      <c r="C2278" s="5" t="s">
        <v>84</v>
      </c>
      <c r="D2278" s="8"/>
      <c r="E2278" s="8"/>
      <c r="F2278" s="8"/>
      <c r="G2278" s="8"/>
      <c r="H2278" s="8"/>
      <c r="I2278" s="8"/>
      <c r="J2278" s="9" t="s">
        <v>62</v>
      </c>
      <c r="K2278" s="14" t="str">
        <f>IFERROR(__xludf.DUMMYFUNCTION("ARRAYFORMULA(VLOOKUP(A2278,IMPORTRANGE(""https://docs.google.com/spreadsheets/d/1BuTWp7qHGjWhqrnf-OmePP568O4A5Am9ttzvVdP67zw/edit#gid=1603210130"", ""TOURISM!$A$2:$F$2692""), {2,3,4,5,6},0))"),"The Americas")</f>
        <v>The Americas</v>
      </c>
      <c r="L2278" s="14"/>
      <c r="M2278" s="14" t="str">
        <f>IFERROR(__xludf.DUMMYFUNCTION("""COMPUTED_VALUE"""),"St. Martin (French part)-The Americas")</f>
        <v>St. Martin (French part)-The Americas</v>
      </c>
      <c r="N2278" s="14" t="str">
        <f>IFERROR(__xludf.DUMMYFUNCTION("""COMPUTED_VALUE"""),"2001")</f>
        <v>2001</v>
      </c>
      <c r="O2278" s="14"/>
      <c r="P2278" s="15">
        <f>IFERROR(__xludf.DUMMYFUNCTION("ARRAYFORMULA(VLOOKUP(A2278,IMPORTRANGE(""https://docs.google.com/spreadsheets/d/1BuTWp7qHGjWhqrnf-OmePP568O4A5Am9ttzvVdP67zw/edit#gid=771602874"" ,""HUMAN RESOURCES!$A$2:$M$2692""), {2,3,4,5,6,7,8,9,10,11,12,13},0))"),0.017)</f>
        <v>0.017</v>
      </c>
      <c r="Q2278" s="14"/>
      <c r="R2278" s="14">
        <f>IFERROR(__xludf.DUMMYFUNCTION("""COMPUTED_VALUE"""),81.0)</f>
        <v>81</v>
      </c>
      <c r="S2278" s="14">
        <f>IFERROR(__xludf.DUMMYFUNCTION("""COMPUTED_VALUE"""),74.0)</f>
        <v>74</v>
      </c>
      <c r="T2278" s="14"/>
      <c r="U2278" s="14"/>
      <c r="V2278" s="14"/>
      <c r="W2278" s="14">
        <f>IFERROR(__xludf.DUMMYFUNCTION("""COMPUTED_VALUE"""),27782.0)</f>
        <v>27782</v>
      </c>
      <c r="X2278" s="14"/>
      <c r="Y2278" s="14" t="str">
        <f>IFERROR(__xludf.DUMMYFUNCTION("""COMPUTED_VALUE"""),"St. Martin (French part)-The Americas")</f>
        <v>St. Martin (French part)-The Americas</v>
      </c>
      <c r="Z2278" s="14" t="str">
        <f>IFERROR(__xludf.DUMMYFUNCTION("""COMPUTED_VALUE"""),"The Americas")</f>
        <v>The Americas</v>
      </c>
      <c r="AA2278" s="14" t="str">
        <f>IFERROR(__xludf.DUMMYFUNCTION("""COMPUTED_VALUE"""),"2001")</f>
        <v>2001</v>
      </c>
      <c r="AB2278" s="15" t="str">
        <f>IFERROR(__xludf.DUMMYFUNCTION("ARRAYFORMULA(VLOOKUP(A2278,IMPORTRANGE(""https://docs.google.com/spreadsheets/d/1BuTWp7qHGjWhqrnf-OmePP568O4A5Am9ttzvVdP67zw/edit#gid=1931367683"" ,""ENERGY!$A$2:$F$2692""), {2,3,4,5,6},0))"),"The Americas")</f>
        <v>The Americas</v>
      </c>
      <c r="AC2278" s="14" t="str">
        <f>IFERROR(__xludf.DUMMYFUNCTION("""COMPUTED_VALUE"""),"St. Martin (French part)-The Americas")</f>
        <v>St. Martin (French part)-The Americas</v>
      </c>
      <c r="AD2278" s="14" t="str">
        <f>IFERROR(__xludf.DUMMYFUNCTION("""COMPUTED_VALUE"""),"2001")</f>
        <v>2001</v>
      </c>
      <c r="AE2278" s="14"/>
      <c r="AF2278" s="14"/>
    </row>
    <row r="2279">
      <c r="A2279" s="12">
        <v>2278.0</v>
      </c>
      <c r="B2279" s="12" t="s">
        <v>254</v>
      </c>
      <c r="C2279" s="5" t="s">
        <v>84</v>
      </c>
      <c r="D2279" s="8"/>
      <c r="E2279" s="8"/>
      <c r="F2279" s="8"/>
      <c r="G2279" s="8"/>
      <c r="H2279" s="8"/>
      <c r="I2279" s="8"/>
      <c r="J2279" s="9" t="s">
        <v>63</v>
      </c>
      <c r="K2279" s="14" t="str">
        <f>IFERROR(__xludf.DUMMYFUNCTION("ARRAYFORMULA(VLOOKUP(A2279,IMPORTRANGE(""https://docs.google.com/spreadsheets/d/1BuTWp7qHGjWhqrnf-OmePP568O4A5Am9ttzvVdP67zw/edit#gid=1603210130"", ""TOURISM!$A$2:$F$2692""), {2,3,4,5,6},0))"),"The Americas")</f>
        <v>The Americas</v>
      </c>
      <c r="L2279" s="14"/>
      <c r="M2279" s="14" t="str">
        <f>IFERROR(__xludf.DUMMYFUNCTION("""COMPUTED_VALUE"""),"St. Martin (French part)-The Americas")</f>
        <v>St. Martin (French part)-The Americas</v>
      </c>
      <c r="N2279" s="14" t="str">
        <f>IFERROR(__xludf.DUMMYFUNCTION("""COMPUTED_VALUE"""),"2002")</f>
        <v>2002</v>
      </c>
      <c r="O2279" s="14"/>
      <c r="P2279" s="15">
        <f>IFERROR(__xludf.DUMMYFUNCTION("ARRAYFORMULA(VLOOKUP(A2279,IMPORTRANGE(""https://docs.google.com/spreadsheets/d/1BuTWp7qHGjWhqrnf-OmePP568O4A5Am9ttzvVdP67zw/edit#gid=771602874"" ,""HUMAN RESOURCES!$A$2:$M$2692""), {2,3,4,5,6,7,8,9,10,11,12,13},0))"),0.017)</f>
        <v>0.017</v>
      </c>
      <c r="Q2279" s="14"/>
      <c r="R2279" s="14">
        <f>IFERROR(__xludf.DUMMYFUNCTION("""COMPUTED_VALUE"""),81.0)</f>
        <v>81</v>
      </c>
      <c r="S2279" s="14">
        <f>IFERROR(__xludf.DUMMYFUNCTION("""COMPUTED_VALUE"""),74.0)</f>
        <v>74</v>
      </c>
      <c r="T2279" s="14"/>
      <c r="U2279" s="14"/>
      <c r="V2279" s="14"/>
      <c r="W2279" s="14">
        <f>IFERROR(__xludf.DUMMYFUNCTION("""COMPUTED_VALUE"""),27450.0)</f>
        <v>27450</v>
      </c>
      <c r="X2279" s="14"/>
      <c r="Y2279" s="14" t="str">
        <f>IFERROR(__xludf.DUMMYFUNCTION("""COMPUTED_VALUE"""),"St. Martin (French part)-The Americas")</f>
        <v>St. Martin (French part)-The Americas</v>
      </c>
      <c r="Z2279" s="14" t="str">
        <f>IFERROR(__xludf.DUMMYFUNCTION("""COMPUTED_VALUE"""),"The Americas")</f>
        <v>The Americas</v>
      </c>
      <c r="AA2279" s="14" t="str">
        <f>IFERROR(__xludf.DUMMYFUNCTION("""COMPUTED_VALUE"""),"2002")</f>
        <v>2002</v>
      </c>
      <c r="AB2279" s="15" t="str">
        <f>IFERROR(__xludf.DUMMYFUNCTION("ARRAYFORMULA(VLOOKUP(A2279,IMPORTRANGE(""https://docs.google.com/spreadsheets/d/1BuTWp7qHGjWhqrnf-OmePP568O4A5Am9ttzvVdP67zw/edit#gid=1931367683"" ,""ENERGY!$A$2:$F$2692""), {2,3,4,5,6},0))"),"The Americas")</f>
        <v>The Americas</v>
      </c>
      <c r="AC2279" s="14" t="str">
        <f>IFERROR(__xludf.DUMMYFUNCTION("""COMPUTED_VALUE"""),"St. Martin (French part)-The Americas")</f>
        <v>St. Martin (French part)-The Americas</v>
      </c>
      <c r="AD2279" s="14" t="str">
        <f>IFERROR(__xludf.DUMMYFUNCTION("""COMPUTED_VALUE"""),"2002")</f>
        <v>2002</v>
      </c>
      <c r="AE2279" s="14"/>
      <c r="AF2279" s="14"/>
    </row>
    <row r="2280">
      <c r="A2280" s="12">
        <v>2279.0</v>
      </c>
      <c r="B2280" s="12" t="s">
        <v>254</v>
      </c>
      <c r="C2280" s="5" t="s">
        <v>84</v>
      </c>
      <c r="D2280" s="8"/>
      <c r="E2280" s="8"/>
      <c r="F2280" s="8"/>
      <c r="G2280" s="8"/>
      <c r="H2280" s="8"/>
      <c r="I2280" s="8"/>
      <c r="J2280" s="9" t="s">
        <v>64</v>
      </c>
      <c r="K2280" s="14" t="str">
        <f>IFERROR(__xludf.DUMMYFUNCTION("ARRAYFORMULA(VLOOKUP(A2280,IMPORTRANGE(""https://docs.google.com/spreadsheets/d/1BuTWp7qHGjWhqrnf-OmePP568O4A5Am9ttzvVdP67zw/edit#gid=1603210130"", ""TOURISM!$A$2:$F$2692""), {2,3,4,5,6},0))"),"The Americas")</f>
        <v>The Americas</v>
      </c>
      <c r="L2280" s="14"/>
      <c r="M2280" s="14" t="str">
        <f>IFERROR(__xludf.DUMMYFUNCTION("""COMPUTED_VALUE"""),"St. Martin (French part)-The Americas")</f>
        <v>St. Martin (French part)-The Americas</v>
      </c>
      <c r="N2280" s="14" t="str">
        <f>IFERROR(__xludf.DUMMYFUNCTION("""COMPUTED_VALUE"""),"2003")</f>
        <v>2003</v>
      </c>
      <c r="O2280" s="14"/>
      <c r="P2280" s="15">
        <f>IFERROR(__xludf.DUMMYFUNCTION("ARRAYFORMULA(VLOOKUP(A2280,IMPORTRANGE(""https://docs.google.com/spreadsheets/d/1BuTWp7qHGjWhqrnf-OmePP568O4A5Am9ttzvVdP67zw/edit#gid=771602874"" ,""HUMAN RESOURCES!$A$2:$M$2692""), {2,3,4,5,6,7,8,9,10,11,12,13},0))"),0.017)</f>
        <v>0.017</v>
      </c>
      <c r="Q2280" s="14"/>
      <c r="R2280" s="14">
        <f>IFERROR(__xludf.DUMMYFUNCTION("""COMPUTED_VALUE"""),81.0)</f>
        <v>81</v>
      </c>
      <c r="S2280" s="14">
        <f>IFERROR(__xludf.DUMMYFUNCTION("""COMPUTED_VALUE"""),74.0)</f>
        <v>74</v>
      </c>
      <c r="T2280" s="14"/>
      <c r="U2280" s="14"/>
      <c r="V2280" s="14"/>
      <c r="W2280" s="14">
        <f>IFERROR(__xludf.DUMMYFUNCTION("""COMPUTED_VALUE"""),27363.0)</f>
        <v>27363</v>
      </c>
      <c r="X2280" s="14"/>
      <c r="Y2280" s="14" t="str">
        <f>IFERROR(__xludf.DUMMYFUNCTION("""COMPUTED_VALUE"""),"St. Martin (French part)-The Americas")</f>
        <v>St. Martin (French part)-The Americas</v>
      </c>
      <c r="Z2280" s="14" t="str">
        <f>IFERROR(__xludf.DUMMYFUNCTION("""COMPUTED_VALUE"""),"The Americas")</f>
        <v>The Americas</v>
      </c>
      <c r="AA2280" s="14" t="str">
        <f>IFERROR(__xludf.DUMMYFUNCTION("""COMPUTED_VALUE"""),"2003")</f>
        <v>2003</v>
      </c>
      <c r="AB2280" s="15" t="str">
        <f>IFERROR(__xludf.DUMMYFUNCTION("ARRAYFORMULA(VLOOKUP(A2280,IMPORTRANGE(""https://docs.google.com/spreadsheets/d/1BuTWp7qHGjWhqrnf-OmePP568O4A5Am9ttzvVdP67zw/edit#gid=1931367683"" ,""ENERGY!$A$2:$F$2692""), {2,3,4,5,6},0))"),"The Americas")</f>
        <v>The Americas</v>
      </c>
      <c r="AC2280" s="14" t="str">
        <f>IFERROR(__xludf.DUMMYFUNCTION("""COMPUTED_VALUE"""),"St. Martin (French part)-The Americas")</f>
        <v>St. Martin (French part)-The Americas</v>
      </c>
      <c r="AD2280" s="14" t="str">
        <f>IFERROR(__xludf.DUMMYFUNCTION("""COMPUTED_VALUE"""),"2003")</f>
        <v>2003</v>
      </c>
      <c r="AE2280" s="14"/>
      <c r="AF2280" s="14"/>
    </row>
    <row r="2281">
      <c r="A2281" s="12">
        <v>2280.0</v>
      </c>
      <c r="B2281" s="12" t="s">
        <v>254</v>
      </c>
      <c r="C2281" s="5" t="s">
        <v>84</v>
      </c>
      <c r="D2281" s="8"/>
      <c r="E2281" s="8"/>
      <c r="F2281" s="8"/>
      <c r="G2281" s="8"/>
      <c r="H2281" s="8"/>
      <c r="I2281" s="8"/>
      <c r="J2281" s="9" t="s">
        <v>65</v>
      </c>
      <c r="K2281" s="14" t="str">
        <f>IFERROR(__xludf.DUMMYFUNCTION("ARRAYFORMULA(VLOOKUP(A2281,IMPORTRANGE(""https://docs.google.com/spreadsheets/d/1BuTWp7qHGjWhqrnf-OmePP568O4A5Am9ttzvVdP67zw/edit#gid=1603210130"", ""TOURISM!$A$2:$F$2692""), {2,3,4,5,6},0))"),"The Americas")</f>
        <v>The Americas</v>
      </c>
      <c r="L2281" s="14"/>
      <c r="M2281" s="14" t="str">
        <f>IFERROR(__xludf.DUMMYFUNCTION("""COMPUTED_VALUE"""),"St. Martin (French part)-The Americas")</f>
        <v>St. Martin (French part)-The Americas</v>
      </c>
      <c r="N2281" s="14" t="str">
        <f>IFERROR(__xludf.DUMMYFUNCTION("""COMPUTED_VALUE"""),"2004")</f>
        <v>2004</v>
      </c>
      <c r="O2281" s="14"/>
      <c r="P2281" s="15">
        <f>IFERROR(__xludf.DUMMYFUNCTION("ARRAYFORMULA(VLOOKUP(A2281,IMPORTRANGE(""https://docs.google.com/spreadsheets/d/1BuTWp7qHGjWhqrnf-OmePP568O4A5Am9ttzvVdP67zw/edit#gid=771602874"" ,""HUMAN RESOURCES!$A$2:$M$2692""), {2,3,4,5,6,7,8,9,10,11,12,13},0))"),0.017)</f>
        <v>0.017</v>
      </c>
      <c r="Q2281" s="14"/>
      <c r="R2281" s="14">
        <f>IFERROR(__xludf.DUMMYFUNCTION("""COMPUTED_VALUE"""),81.0)</f>
        <v>81</v>
      </c>
      <c r="S2281" s="14">
        <f>IFERROR(__xludf.DUMMYFUNCTION("""COMPUTED_VALUE"""),75.0)</f>
        <v>75</v>
      </c>
      <c r="T2281" s="14"/>
      <c r="U2281" s="14"/>
      <c r="V2281" s="14"/>
      <c r="W2281" s="14">
        <f>IFERROR(__xludf.DUMMYFUNCTION("""COMPUTED_VALUE"""),27514.0)</f>
        <v>27514</v>
      </c>
      <c r="X2281" s="14"/>
      <c r="Y2281" s="14" t="str">
        <f>IFERROR(__xludf.DUMMYFUNCTION("""COMPUTED_VALUE"""),"St. Martin (French part)-The Americas")</f>
        <v>St. Martin (French part)-The Americas</v>
      </c>
      <c r="Z2281" s="14" t="str">
        <f>IFERROR(__xludf.DUMMYFUNCTION("""COMPUTED_VALUE"""),"The Americas")</f>
        <v>The Americas</v>
      </c>
      <c r="AA2281" s="14" t="str">
        <f>IFERROR(__xludf.DUMMYFUNCTION("""COMPUTED_VALUE"""),"2004")</f>
        <v>2004</v>
      </c>
      <c r="AB2281" s="15" t="str">
        <f>IFERROR(__xludf.DUMMYFUNCTION("ARRAYFORMULA(VLOOKUP(A2281,IMPORTRANGE(""https://docs.google.com/spreadsheets/d/1BuTWp7qHGjWhqrnf-OmePP568O4A5Am9ttzvVdP67zw/edit#gid=1931367683"" ,""ENERGY!$A$2:$F$2692""), {2,3,4,5,6},0))"),"The Americas")</f>
        <v>The Americas</v>
      </c>
      <c r="AC2281" s="14" t="str">
        <f>IFERROR(__xludf.DUMMYFUNCTION("""COMPUTED_VALUE"""),"St. Martin (French part)-The Americas")</f>
        <v>St. Martin (French part)-The Americas</v>
      </c>
      <c r="AD2281" s="14" t="str">
        <f>IFERROR(__xludf.DUMMYFUNCTION("""COMPUTED_VALUE"""),"2005")</f>
        <v>2005</v>
      </c>
      <c r="AE2281" s="14"/>
      <c r="AF2281" s="14"/>
    </row>
    <row r="2282">
      <c r="A2282" s="12">
        <v>2281.0</v>
      </c>
      <c r="B2282" s="12" t="s">
        <v>254</v>
      </c>
      <c r="C2282" s="5" t="s">
        <v>84</v>
      </c>
      <c r="D2282" s="8"/>
      <c r="E2282" s="8"/>
      <c r="F2282" s="8"/>
      <c r="G2282" s="8"/>
      <c r="H2282" s="8"/>
      <c r="I2282" s="8"/>
      <c r="J2282" s="9" t="s">
        <v>66</v>
      </c>
      <c r="K2282" s="14" t="str">
        <f>IFERROR(__xludf.DUMMYFUNCTION("ARRAYFORMULA(VLOOKUP(A2282,IMPORTRANGE(""https://docs.google.com/spreadsheets/d/1BuTWp7qHGjWhqrnf-OmePP568O4A5Am9ttzvVdP67zw/edit#gid=1603210130"", ""TOURISM!$A$2:$F$2692""), {2,3,4,5,6},0))"),"The Americas")</f>
        <v>The Americas</v>
      </c>
      <c r="L2282" s="14"/>
      <c r="M2282" s="14" t="str">
        <f>IFERROR(__xludf.DUMMYFUNCTION("""COMPUTED_VALUE"""),"St. Martin (French part)-The Americas")</f>
        <v>St. Martin (French part)-The Americas</v>
      </c>
      <c r="N2282" s="14" t="str">
        <f>IFERROR(__xludf.DUMMYFUNCTION("""COMPUTED_VALUE"""),"2005")</f>
        <v>2005</v>
      </c>
      <c r="O2282" s="14"/>
      <c r="P2282" s="15">
        <f>IFERROR(__xludf.DUMMYFUNCTION("ARRAYFORMULA(VLOOKUP(A2282,IMPORTRANGE(""https://docs.google.com/spreadsheets/d/1BuTWp7qHGjWhqrnf-OmePP568O4A5Am9ttzvVdP67zw/edit#gid=771602874"" ,""HUMAN RESOURCES!$A$2:$M$2692""), {2,3,4,5,6,7,8,9,10,11,12,13},0))"),0.018)</f>
        <v>0.018</v>
      </c>
      <c r="Q2282" s="14"/>
      <c r="R2282" s="14">
        <f>IFERROR(__xludf.DUMMYFUNCTION("""COMPUTED_VALUE"""),81.0)</f>
        <v>81</v>
      </c>
      <c r="S2282" s="14">
        <f>IFERROR(__xludf.DUMMYFUNCTION("""COMPUTED_VALUE"""),75.0)</f>
        <v>75</v>
      </c>
      <c r="T2282" s="14"/>
      <c r="U2282" s="14"/>
      <c r="V2282" s="14"/>
      <c r="W2282" s="14">
        <f>IFERROR(__xludf.DUMMYFUNCTION("""COMPUTED_VALUE"""),27906.0)</f>
        <v>27906</v>
      </c>
      <c r="X2282" s="14"/>
      <c r="Y2282" s="14" t="str">
        <f>IFERROR(__xludf.DUMMYFUNCTION("""COMPUTED_VALUE"""),"St. Martin (French part)-The Americas")</f>
        <v>St. Martin (French part)-The Americas</v>
      </c>
      <c r="Z2282" s="14" t="str">
        <f>IFERROR(__xludf.DUMMYFUNCTION("""COMPUTED_VALUE"""),"The Americas")</f>
        <v>The Americas</v>
      </c>
      <c r="AA2282" s="14" t="str">
        <f>IFERROR(__xludf.DUMMYFUNCTION("""COMPUTED_VALUE"""),"2005")</f>
        <v>2005</v>
      </c>
      <c r="AB2282" s="15" t="str">
        <f>IFERROR(__xludf.DUMMYFUNCTION("ARRAYFORMULA(VLOOKUP(A2282,IMPORTRANGE(""https://docs.google.com/spreadsheets/d/1BuTWp7qHGjWhqrnf-OmePP568O4A5Am9ttzvVdP67zw/edit#gid=1931367683"" ,""ENERGY!$A$2:$F$2692""), {2,3,4,5,6},0))"),"The Americas")</f>
        <v>The Americas</v>
      </c>
      <c r="AC2282" s="14" t="str">
        <f>IFERROR(__xludf.DUMMYFUNCTION("""COMPUTED_VALUE"""),"St. Martin (French part)-The Americas")</f>
        <v>St. Martin (French part)-The Americas</v>
      </c>
      <c r="AD2282" s="14" t="str">
        <f>IFERROR(__xludf.DUMMYFUNCTION("""COMPUTED_VALUE"""),"2008")</f>
        <v>2008</v>
      </c>
      <c r="AE2282" s="14"/>
      <c r="AF2282" s="14"/>
    </row>
    <row r="2283">
      <c r="A2283" s="12">
        <v>2282.0</v>
      </c>
      <c r="B2283" s="12" t="s">
        <v>254</v>
      </c>
      <c r="C2283" s="5" t="s">
        <v>84</v>
      </c>
      <c r="D2283" s="8"/>
      <c r="E2283" s="8"/>
      <c r="F2283" s="8"/>
      <c r="G2283" s="8"/>
      <c r="H2283" s="8"/>
      <c r="I2283" s="8"/>
      <c r="J2283" s="9" t="s">
        <v>67</v>
      </c>
      <c r="K2283" s="14" t="str">
        <f>IFERROR(__xludf.DUMMYFUNCTION("ARRAYFORMULA(VLOOKUP(A2283,IMPORTRANGE(""https://docs.google.com/spreadsheets/d/1BuTWp7qHGjWhqrnf-OmePP568O4A5Am9ttzvVdP67zw/edit#gid=1603210130"", ""TOURISM!$A$2:$F$2692""), {2,3,4,5,6},0))"),"The Americas")</f>
        <v>The Americas</v>
      </c>
      <c r="L2283" s="14"/>
      <c r="M2283" s="14" t="str">
        <f>IFERROR(__xludf.DUMMYFUNCTION("""COMPUTED_VALUE"""),"St. Martin (French part)-The Americas")</f>
        <v>St. Martin (French part)-The Americas</v>
      </c>
      <c r="N2283" s="14" t="str">
        <f>IFERROR(__xludf.DUMMYFUNCTION("""COMPUTED_VALUE"""),"2006")</f>
        <v>2006</v>
      </c>
      <c r="O2283" s="14"/>
      <c r="P2283" s="15">
        <f>IFERROR(__xludf.DUMMYFUNCTION("ARRAYFORMULA(VLOOKUP(A2283,IMPORTRANGE(""https://docs.google.com/spreadsheets/d/1BuTWp7qHGjWhqrnf-OmePP568O4A5Am9ttzvVdP67zw/edit#gid=771602874"" ,""HUMAN RESOURCES!$A$2:$M$2692""), {2,3,4,5,6,7,8,9,10,11,12,13},0))"),0.018)</f>
        <v>0.018</v>
      </c>
      <c r="Q2283" s="14"/>
      <c r="R2283" s="14">
        <f>IFERROR(__xludf.DUMMYFUNCTION("""COMPUTED_VALUE"""),81.0)</f>
        <v>81</v>
      </c>
      <c r="S2283" s="14">
        <f>IFERROR(__xludf.DUMMYFUNCTION("""COMPUTED_VALUE"""),75.0)</f>
        <v>75</v>
      </c>
      <c r="T2283" s="14"/>
      <c r="U2283" s="14"/>
      <c r="V2283" s="14"/>
      <c r="W2283" s="14">
        <f>IFERROR(__xludf.DUMMYFUNCTION("""COMPUTED_VALUE"""),28414.0)</f>
        <v>28414</v>
      </c>
      <c r="X2283" s="14"/>
      <c r="Y2283" s="14" t="str">
        <f>IFERROR(__xludf.DUMMYFUNCTION("""COMPUTED_VALUE"""),"St. Martin (French part)-The Americas")</f>
        <v>St. Martin (French part)-The Americas</v>
      </c>
      <c r="Z2283" s="14" t="str">
        <f>IFERROR(__xludf.DUMMYFUNCTION("""COMPUTED_VALUE"""),"The Americas")</f>
        <v>The Americas</v>
      </c>
      <c r="AA2283" s="14" t="str">
        <f>IFERROR(__xludf.DUMMYFUNCTION("""COMPUTED_VALUE"""),"2006")</f>
        <v>2006</v>
      </c>
      <c r="AB2283" s="15" t="str">
        <f>IFERROR(__xludf.DUMMYFUNCTION("ARRAYFORMULA(VLOOKUP(A2283,IMPORTRANGE(""https://docs.google.com/spreadsheets/d/1BuTWp7qHGjWhqrnf-OmePP568O4A5Am9ttzvVdP67zw/edit#gid=1931367683"" ,""ENERGY!$A$2:$F$2692""), {2,3,4,5,6},0))"),"The Americas")</f>
        <v>The Americas</v>
      </c>
      <c r="AC2283" s="14" t="str">
        <f>IFERROR(__xludf.DUMMYFUNCTION("""COMPUTED_VALUE"""),"St. Martin (French part)-The Americas")</f>
        <v>St. Martin (French part)-The Americas</v>
      </c>
      <c r="AD2283" s="14" t="str">
        <f>IFERROR(__xludf.DUMMYFUNCTION("""COMPUTED_VALUE"""),"2012")</f>
        <v>2012</v>
      </c>
      <c r="AE2283" s="14"/>
      <c r="AF2283" s="14"/>
    </row>
    <row r="2284">
      <c r="A2284" s="12">
        <v>2283.0</v>
      </c>
      <c r="B2284" s="12" t="s">
        <v>254</v>
      </c>
      <c r="C2284" s="5" t="s">
        <v>84</v>
      </c>
      <c r="D2284" s="8"/>
      <c r="E2284" s="8"/>
      <c r="F2284" s="8"/>
      <c r="G2284" s="8"/>
      <c r="H2284" s="8"/>
      <c r="I2284" s="8"/>
      <c r="J2284" s="9" t="s">
        <v>68</v>
      </c>
      <c r="K2284" s="14" t="str">
        <f>IFERROR(__xludf.DUMMYFUNCTION("ARRAYFORMULA(VLOOKUP(A2284,IMPORTRANGE(""https://docs.google.com/spreadsheets/d/1BuTWp7qHGjWhqrnf-OmePP568O4A5Am9ttzvVdP67zw/edit#gid=1603210130"", ""TOURISM!$A$2:$F$2692""), {2,3,4,5,6},0))"),"The Americas")</f>
        <v>The Americas</v>
      </c>
      <c r="L2284" s="14"/>
      <c r="M2284" s="14" t="str">
        <f>IFERROR(__xludf.DUMMYFUNCTION("""COMPUTED_VALUE"""),"St. Martin (French part)-The Americas")</f>
        <v>St. Martin (French part)-The Americas</v>
      </c>
      <c r="N2284" s="14" t="str">
        <f>IFERROR(__xludf.DUMMYFUNCTION("""COMPUTED_VALUE"""),"2007")</f>
        <v>2007</v>
      </c>
      <c r="O2284" s="14"/>
      <c r="P2284" s="15">
        <f>IFERROR(__xludf.DUMMYFUNCTION("ARRAYFORMULA(VLOOKUP(A2284,IMPORTRANGE(""https://docs.google.com/spreadsheets/d/1BuTWp7qHGjWhqrnf-OmePP568O4A5Am9ttzvVdP67zw/edit#gid=771602874"" ,""HUMAN RESOURCES!$A$2:$M$2692""), {2,3,4,5,6,7,8,9,10,11,12,13},0))"),0.017)</f>
        <v>0.017</v>
      </c>
      <c r="Q2284" s="14"/>
      <c r="R2284" s="14">
        <f>IFERROR(__xludf.DUMMYFUNCTION("""COMPUTED_VALUE"""),82.0)</f>
        <v>82</v>
      </c>
      <c r="S2284" s="14">
        <f>IFERROR(__xludf.DUMMYFUNCTION("""COMPUTED_VALUE"""),75.0)</f>
        <v>75</v>
      </c>
      <c r="T2284" s="14"/>
      <c r="U2284" s="14"/>
      <c r="V2284" s="14"/>
      <c r="W2284" s="14">
        <f>IFERROR(__xludf.DUMMYFUNCTION("""COMPUTED_VALUE"""),28905.0)</f>
        <v>28905</v>
      </c>
      <c r="X2284" s="14"/>
      <c r="Y2284" s="14" t="str">
        <f>IFERROR(__xludf.DUMMYFUNCTION("""COMPUTED_VALUE"""),"St. Martin (French part)-The Americas")</f>
        <v>St. Martin (French part)-The Americas</v>
      </c>
      <c r="Z2284" s="14" t="str">
        <f>IFERROR(__xludf.DUMMYFUNCTION("""COMPUTED_VALUE"""),"The Americas")</f>
        <v>The Americas</v>
      </c>
      <c r="AA2284" s="14" t="str">
        <f>IFERROR(__xludf.DUMMYFUNCTION("""COMPUTED_VALUE"""),"2007")</f>
        <v>2007</v>
      </c>
      <c r="AB2284" s="15" t="str">
        <f>IFERROR(__xludf.DUMMYFUNCTION("ARRAYFORMULA(VLOOKUP(A2284,IMPORTRANGE(""https://docs.google.com/spreadsheets/d/1BuTWp7qHGjWhqrnf-OmePP568O4A5Am9ttzvVdP67zw/edit#gid=1931367683"" ,""ENERGY!$A$2:$F$2692""), {2,3,4,5,6},0))"),"The Americas")</f>
        <v>The Americas</v>
      </c>
      <c r="AC2284" s="14" t="str">
        <f>IFERROR(__xludf.DUMMYFUNCTION("""COMPUTED_VALUE"""),"St. Martin (French part)-The Americas")</f>
        <v>St. Martin (French part)-The Americas</v>
      </c>
      <c r="AD2284" s="14" t="str">
        <f>IFERROR(__xludf.DUMMYFUNCTION("""COMPUTED_VALUE"""),"2010")</f>
        <v>2010</v>
      </c>
      <c r="AE2284" s="14"/>
      <c r="AF2284" s="14"/>
    </row>
    <row r="2285">
      <c r="A2285" s="12">
        <v>2284.0</v>
      </c>
      <c r="B2285" s="12" t="s">
        <v>254</v>
      </c>
      <c r="C2285" s="5" t="s">
        <v>84</v>
      </c>
      <c r="D2285" s="8"/>
      <c r="E2285" s="8"/>
      <c r="F2285" s="8"/>
      <c r="G2285" s="8"/>
      <c r="H2285" s="8"/>
      <c r="I2285" s="8"/>
      <c r="J2285" s="9" t="s">
        <v>69</v>
      </c>
      <c r="K2285" s="14" t="str">
        <f>IFERROR(__xludf.DUMMYFUNCTION("ARRAYFORMULA(VLOOKUP(A2285,IMPORTRANGE(""https://docs.google.com/spreadsheets/d/1BuTWp7qHGjWhqrnf-OmePP568O4A5Am9ttzvVdP67zw/edit#gid=1603210130"", ""TOURISM!$A$2:$F$2692""), {2,3,4,5,6},0))"),"The Americas")</f>
        <v>The Americas</v>
      </c>
      <c r="L2285" s="14"/>
      <c r="M2285" s="14" t="str">
        <f>IFERROR(__xludf.DUMMYFUNCTION("""COMPUTED_VALUE"""),"St. Martin (French part)-The Americas")</f>
        <v>St. Martin (French part)-The Americas</v>
      </c>
      <c r="N2285" s="14" t="str">
        <f>IFERROR(__xludf.DUMMYFUNCTION("""COMPUTED_VALUE"""),"2008")</f>
        <v>2008</v>
      </c>
      <c r="O2285" s="14"/>
      <c r="P2285" s="15">
        <f>IFERROR(__xludf.DUMMYFUNCTION("ARRAYFORMULA(VLOOKUP(A2285,IMPORTRANGE(""https://docs.google.com/spreadsheets/d/1BuTWp7qHGjWhqrnf-OmePP568O4A5Am9ttzvVdP67zw/edit#gid=771602874"" ,""HUMAN RESOURCES!$A$2:$M$2692""), {2,3,4,5,6,7,8,9,10,11,12,13},0))"),0.017)</f>
        <v>0.017</v>
      </c>
      <c r="Q2285" s="14"/>
      <c r="R2285" s="14">
        <f>IFERROR(__xludf.DUMMYFUNCTION("""COMPUTED_VALUE"""),82.0)</f>
        <v>82</v>
      </c>
      <c r="S2285" s="14">
        <f>IFERROR(__xludf.DUMMYFUNCTION("""COMPUTED_VALUE"""),75.0)</f>
        <v>75</v>
      </c>
      <c r="T2285" s="14"/>
      <c r="U2285" s="14"/>
      <c r="V2285" s="14"/>
      <c r="W2285" s="14">
        <f>IFERROR(__xludf.DUMMYFUNCTION("""COMPUTED_VALUE"""),29376.0)</f>
        <v>29376</v>
      </c>
      <c r="X2285" s="14"/>
      <c r="Y2285" s="14" t="str">
        <f>IFERROR(__xludf.DUMMYFUNCTION("""COMPUTED_VALUE"""),"St. Martin (French part)-The Americas")</f>
        <v>St. Martin (French part)-The Americas</v>
      </c>
      <c r="Z2285" s="14" t="str">
        <f>IFERROR(__xludf.DUMMYFUNCTION("""COMPUTED_VALUE"""),"The Americas")</f>
        <v>The Americas</v>
      </c>
      <c r="AA2285" s="14" t="str">
        <f>IFERROR(__xludf.DUMMYFUNCTION("""COMPUTED_VALUE"""),"2008")</f>
        <v>2008</v>
      </c>
      <c r="AB2285" s="15" t="str">
        <f>IFERROR(__xludf.DUMMYFUNCTION("ARRAYFORMULA(VLOOKUP(A2285,IMPORTRANGE(""https://docs.google.com/spreadsheets/d/1BuTWp7qHGjWhqrnf-OmePP568O4A5Am9ttzvVdP67zw/edit#gid=1931367683"" ,""ENERGY!$A$2:$F$2692""), {2,3,4,5,6},0))"),"The Americas")</f>
        <v>The Americas</v>
      </c>
      <c r="AC2285" s="14" t="str">
        <f>IFERROR(__xludf.DUMMYFUNCTION("""COMPUTED_VALUE"""),"St. Martin (French part)-The Americas")</f>
        <v>St. Martin (French part)-The Americas</v>
      </c>
      <c r="AD2285" s="14" t="str">
        <f>IFERROR(__xludf.DUMMYFUNCTION("""COMPUTED_VALUE"""),"2007")</f>
        <v>2007</v>
      </c>
      <c r="AE2285" s="14"/>
      <c r="AF2285" s="14"/>
    </row>
    <row r="2286">
      <c r="A2286" s="12">
        <v>2285.0</v>
      </c>
      <c r="B2286" s="12" t="s">
        <v>254</v>
      </c>
      <c r="C2286" s="5" t="s">
        <v>84</v>
      </c>
      <c r="D2286" s="8"/>
      <c r="E2286" s="8"/>
      <c r="F2286" s="8"/>
      <c r="G2286" s="8"/>
      <c r="H2286" s="8"/>
      <c r="I2286" s="8"/>
      <c r="J2286" s="9" t="s">
        <v>70</v>
      </c>
      <c r="K2286" s="14" t="str">
        <f>IFERROR(__xludf.DUMMYFUNCTION("ARRAYFORMULA(VLOOKUP(A2286,IMPORTRANGE(""https://docs.google.com/spreadsheets/d/1BuTWp7qHGjWhqrnf-OmePP568O4A5Am9ttzvVdP67zw/edit#gid=1603210130"", ""TOURISM!$A$2:$F$2692""), {2,3,4,5,6},0))"),"The Americas")</f>
        <v>The Americas</v>
      </c>
      <c r="L2286" s="14"/>
      <c r="M2286" s="14" t="str">
        <f>IFERROR(__xludf.DUMMYFUNCTION("""COMPUTED_VALUE"""),"St. Martin (French part)-The Americas")</f>
        <v>St. Martin (French part)-The Americas</v>
      </c>
      <c r="N2286" s="14" t="str">
        <f>IFERROR(__xludf.DUMMYFUNCTION("""COMPUTED_VALUE"""),"2009")</f>
        <v>2009</v>
      </c>
      <c r="O2286" s="14"/>
      <c r="P2286" s="15">
        <f>IFERROR(__xludf.DUMMYFUNCTION("ARRAYFORMULA(VLOOKUP(A2286,IMPORTRANGE(""https://docs.google.com/spreadsheets/d/1BuTWp7qHGjWhqrnf-OmePP568O4A5Am9ttzvVdP67zw/edit#gid=771602874"" ,""HUMAN RESOURCES!$A$2:$M$2692""), {2,3,4,5,6,7,8,9,10,11,12,13},0))"),0.017)</f>
        <v>0.017</v>
      </c>
      <c r="Q2286" s="14"/>
      <c r="R2286" s="14">
        <f>IFERROR(__xludf.DUMMYFUNCTION("""COMPUTED_VALUE"""),82.0)</f>
        <v>82</v>
      </c>
      <c r="S2286" s="14">
        <f>IFERROR(__xludf.DUMMYFUNCTION("""COMPUTED_VALUE"""),75.0)</f>
        <v>75</v>
      </c>
      <c r="T2286" s="14"/>
      <c r="U2286" s="14"/>
      <c r="V2286" s="14"/>
      <c r="W2286" s="14">
        <f>IFERROR(__xludf.DUMMYFUNCTION("""COMPUTED_VALUE"""),29820.0)</f>
        <v>29820</v>
      </c>
      <c r="X2286" s="14"/>
      <c r="Y2286" s="14" t="str">
        <f>IFERROR(__xludf.DUMMYFUNCTION("""COMPUTED_VALUE"""),"St. Martin (French part)-The Americas")</f>
        <v>St. Martin (French part)-The Americas</v>
      </c>
      <c r="Z2286" s="14" t="str">
        <f>IFERROR(__xludf.DUMMYFUNCTION("""COMPUTED_VALUE"""),"The Americas")</f>
        <v>The Americas</v>
      </c>
      <c r="AA2286" s="14" t="str">
        <f>IFERROR(__xludf.DUMMYFUNCTION("""COMPUTED_VALUE"""),"2009")</f>
        <v>2009</v>
      </c>
      <c r="AB2286" s="15" t="str">
        <f>IFERROR(__xludf.DUMMYFUNCTION("ARRAYFORMULA(VLOOKUP(A2286,IMPORTRANGE(""https://docs.google.com/spreadsheets/d/1BuTWp7qHGjWhqrnf-OmePP568O4A5Am9ttzvVdP67zw/edit#gid=1931367683"" ,""ENERGY!$A$2:$F$2692""), {2,3,4,5,6},0))"),"The Americas")</f>
        <v>The Americas</v>
      </c>
      <c r="AC2286" s="14" t="str">
        <f>IFERROR(__xludf.DUMMYFUNCTION("""COMPUTED_VALUE"""),"St. Martin (French part)-The Americas")</f>
        <v>St. Martin (French part)-The Americas</v>
      </c>
      <c r="AD2286" s="14" t="str">
        <f>IFERROR(__xludf.DUMMYFUNCTION("""COMPUTED_VALUE"""),"2012")</f>
        <v>2012</v>
      </c>
      <c r="AE2286" s="14"/>
      <c r="AF2286" s="14"/>
    </row>
    <row r="2287">
      <c r="A2287" s="12">
        <v>2286.0</v>
      </c>
      <c r="B2287" s="12" t="s">
        <v>254</v>
      </c>
      <c r="C2287" s="5" t="s">
        <v>84</v>
      </c>
      <c r="D2287" s="8"/>
      <c r="E2287" s="8"/>
      <c r="F2287" s="8"/>
      <c r="G2287" s="8"/>
      <c r="H2287" s="8"/>
      <c r="I2287" s="8"/>
      <c r="J2287" s="9" t="s">
        <v>71</v>
      </c>
      <c r="K2287" s="14" t="str">
        <f>IFERROR(__xludf.DUMMYFUNCTION("ARRAYFORMULA(VLOOKUP(A2287,IMPORTRANGE(""https://docs.google.com/spreadsheets/d/1BuTWp7qHGjWhqrnf-OmePP568O4A5Am9ttzvVdP67zw/edit#gid=1603210130"", ""TOURISM!$A$2:$F$2692""), {2,3,4,5,6},0))"),"The Americas")</f>
        <v>The Americas</v>
      </c>
      <c r="L2287" s="14"/>
      <c r="M2287" s="14" t="str">
        <f>IFERROR(__xludf.DUMMYFUNCTION("""COMPUTED_VALUE"""),"St. Martin (French part)-The Americas")</f>
        <v>St. Martin (French part)-The Americas</v>
      </c>
      <c r="N2287" s="14" t="str">
        <f>IFERROR(__xludf.DUMMYFUNCTION("""COMPUTED_VALUE"""),"2010")</f>
        <v>2010</v>
      </c>
      <c r="O2287" s="14"/>
      <c r="P2287" s="15">
        <f>IFERROR(__xludf.DUMMYFUNCTION("ARRAYFORMULA(VLOOKUP(A2287,IMPORTRANGE(""https://docs.google.com/spreadsheets/d/1BuTWp7qHGjWhqrnf-OmePP568O4A5Am9ttzvVdP67zw/edit#gid=771602874"" ,""HUMAN RESOURCES!$A$2:$M$2692""), {2,3,4,5,6,7,8,9,10,11,12,13},0))"),0.017)</f>
        <v>0.017</v>
      </c>
      <c r="Q2287" s="14"/>
      <c r="R2287" s="14">
        <f>IFERROR(__xludf.DUMMYFUNCTION("""COMPUTED_VALUE"""),82.0)</f>
        <v>82</v>
      </c>
      <c r="S2287" s="14">
        <f>IFERROR(__xludf.DUMMYFUNCTION("""COMPUTED_VALUE"""),76.0)</f>
        <v>76</v>
      </c>
      <c r="T2287" s="14"/>
      <c r="U2287" s="14"/>
      <c r="V2287" s="14"/>
      <c r="W2287" s="14">
        <f>IFERROR(__xludf.DUMMYFUNCTION("""COMPUTED_VALUE"""),30235.0)</f>
        <v>30235</v>
      </c>
      <c r="X2287" s="14"/>
      <c r="Y2287" s="14" t="str">
        <f>IFERROR(__xludf.DUMMYFUNCTION("""COMPUTED_VALUE"""),"St. Martin (French part)-The Americas")</f>
        <v>St. Martin (French part)-The Americas</v>
      </c>
      <c r="Z2287" s="14" t="str">
        <f>IFERROR(__xludf.DUMMYFUNCTION("""COMPUTED_VALUE"""),"The Americas")</f>
        <v>The Americas</v>
      </c>
      <c r="AA2287" s="14" t="str">
        <f>IFERROR(__xludf.DUMMYFUNCTION("""COMPUTED_VALUE"""),"2010")</f>
        <v>2010</v>
      </c>
      <c r="AB2287" s="15" t="str">
        <f>IFERROR(__xludf.DUMMYFUNCTION("ARRAYFORMULA(VLOOKUP(A2287,IMPORTRANGE(""https://docs.google.com/spreadsheets/d/1BuTWp7qHGjWhqrnf-OmePP568O4A5Am9ttzvVdP67zw/edit#gid=1931367683"" ,""ENERGY!$A$2:$F$2692""), {2,3,4,5,6},0))"),"The Americas")</f>
        <v>The Americas</v>
      </c>
      <c r="AC2287" s="14" t="str">
        <f>IFERROR(__xludf.DUMMYFUNCTION("""COMPUTED_VALUE"""),"St. Martin (French part)-The Americas")</f>
        <v>St. Martin (French part)-The Americas</v>
      </c>
      <c r="AD2287" s="14" t="str">
        <f>IFERROR(__xludf.DUMMYFUNCTION("""COMPUTED_VALUE"""),"2009")</f>
        <v>2009</v>
      </c>
      <c r="AE2287" s="14"/>
      <c r="AF2287" s="14"/>
    </row>
    <row r="2288">
      <c r="A2288" s="12">
        <v>2287.0</v>
      </c>
      <c r="B2288" s="12" t="s">
        <v>254</v>
      </c>
      <c r="C2288" s="5" t="s">
        <v>84</v>
      </c>
      <c r="D2288" s="8"/>
      <c r="E2288" s="8"/>
      <c r="F2288" s="8"/>
      <c r="G2288" s="8"/>
      <c r="H2288" s="8"/>
      <c r="I2288" s="8"/>
      <c r="J2288" s="9" t="s">
        <v>72</v>
      </c>
      <c r="K2288" s="14" t="str">
        <f>IFERROR(__xludf.DUMMYFUNCTION("ARRAYFORMULA(VLOOKUP(A2288,IMPORTRANGE(""https://docs.google.com/spreadsheets/d/1BuTWp7qHGjWhqrnf-OmePP568O4A5Am9ttzvVdP67zw/edit#gid=1603210130"", ""TOURISM!$A$2:$F$2692""), {2,3,4,5,6},0))"),"The Americas")</f>
        <v>The Americas</v>
      </c>
      <c r="L2288" s="14"/>
      <c r="M2288" s="14" t="str">
        <f>IFERROR(__xludf.DUMMYFUNCTION("""COMPUTED_VALUE"""),"St. Martin (French part)-The Americas")</f>
        <v>St. Martin (French part)-The Americas</v>
      </c>
      <c r="N2288" s="14" t="str">
        <f>IFERROR(__xludf.DUMMYFUNCTION("""COMPUTED_VALUE"""),"2011")</f>
        <v>2011</v>
      </c>
      <c r="O2288" s="14"/>
      <c r="P2288" s="15">
        <f>IFERROR(__xludf.DUMMYFUNCTION("ARRAYFORMULA(VLOOKUP(A2288,IMPORTRANGE(""https://docs.google.com/spreadsheets/d/1BuTWp7qHGjWhqrnf-OmePP568O4A5Am9ttzvVdP67zw/edit#gid=771602874"" ,""HUMAN RESOURCES!$A$2:$M$2692""), {2,3,4,5,6,7,8,9,10,11,12,13},0))"),0.017)</f>
        <v>0.017</v>
      </c>
      <c r="Q2288" s="14"/>
      <c r="R2288" s="14">
        <f>IFERROR(__xludf.DUMMYFUNCTION("""COMPUTED_VALUE"""),82.0)</f>
        <v>82</v>
      </c>
      <c r="S2288" s="14">
        <f>IFERROR(__xludf.DUMMYFUNCTION("""COMPUTED_VALUE"""),76.0)</f>
        <v>76</v>
      </c>
      <c r="T2288" s="14"/>
      <c r="U2288" s="14"/>
      <c r="V2288" s="14"/>
      <c r="W2288" s="14">
        <f>IFERROR(__xludf.DUMMYFUNCTION("""COMPUTED_VALUE"""),30615.0)</f>
        <v>30615</v>
      </c>
      <c r="X2288" s="14"/>
      <c r="Y2288" s="14" t="str">
        <f>IFERROR(__xludf.DUMMYFUNCTION("""COMPUTED_VALUE"""),"St. Martin (French part)-The Americas")</f>
        <v>St. Martin (French part)-The Americas</v>
      </c>
      <c r="Z2288" s="14" t="str">
        <f>IFERROR(__xludf.DUMMYFUNCTION("""COMPUTED_VALUE"""),"The Americas")</f>
        <v>The Americas</v>
      </c>
      <c r="AA2288" s="14" t="str">
        <f>IFERROR(__xludf.DUMMYFUNCTION("""COMPUTED_VALUE"""),"2011")</f>
        <v>2011</v>
      </c>
      <c r="AB2288" s="15" t="str">
        <f>IFERROR(__xludf.DUMMYFUNCTION("ARRAYFORMULA(VLOOKUP(A2288,IMPORTRANGE(""https://docs.google.com/spreadsheets/d/1BuTWp7qHGjWhqrnf-OmePP568O4A5Am9ttzvVdP67zw/edit#gid=1931367683"" ,""ENERGY!$A$2:$F$2692""), {2,3,4,5,6},0))"),"The Americas")</f>
        <v>The Americas</v>
      </c>
      <c r="AC2288" s="14" t="str">
        <f>IFERROR(__xludf.DUMMYFUNCTION("""COMPUTED_VALUE"""),"St. Martin (French part)-The Americas")</f>
        <v>St. Martin (French part)-The Americas</v>
      </c>
      <c r="AD2288" s="14" t="str">
        <f>IFERROR(__xludf.DUMMYFUNCTION("""COMPUTED_VALUE"""),"2007")</f>
        <v>2007</v>
      </c>
      <c r="AE2288" s="14"/>
      <c r="AF2288" s="14"/>
    </row>
    <row r="2289">
      <c r="A2289" s="12">
        <v>2288.0</v>
      </c>
      <c r="B2289" s="12" t="s">
        <v>254</v>
      </c>
      <c r="C2289" s="5" t="s">
        <v>84</v>
      </c>
      <c r="D2289" s="8"/>
      <c r="E2289" s="8"/>
      <c r="F2289" s="8"/>
      <c r="G2289" s="8"/>
      <c r="H2289" s="8"/>
      <c r="I2289" s="8"/>
      <c r="J2289" s="9" t="s">
        <v>73</v>
      </c>
      <c r="K2289" s="14" t="str">
        <f>IFERROR(__xludf.DUMMYFUNCTION("ARRAYFORMULA(VLOOKUP(A2289,IMPORTRANGE(""https://docs.google.com/spreadsheets/d/1BuTWp7qHGjWhqrnf-OmePP568O4A5Am9ttzvVdP67zw/edit#gid=1603210130"", ""TOURISM!$A$2:$F$2692""), {2,3,4,5,6},0))"),"The Americas")</f>
        <v>The Americas</v>
      </c>
      <c r="L2289" s="14"/>
      <c r="M2289" s="14" t="str">
        <f>IFERROR(__xludf.DUMMYFUNCTION("""COMPUTED_VALUE"""),"St. Martin (French part)-The Americas")</f>
        <v>St. Martin (French part)-The Americas</v>
      </c>
      <c r="N2289" s="14" t="str">
        <f>IFERROR(__xludf.DUMMYFUNCTION("""COMPUTED_VALUE"""),"2012")</f>
        <v>2012</v>
      </c>
      <c r="O2289" s="14"/>
      <c r="P2289" s="15">
        <f>IFERROR(__xludf.DUMMYFUNCTION("ARRAYFORMULA(VLOOKUP(A2289,IMPORTRANGE(""https://docs.google.com/spreadsheets/d/1BuTWp7qHGjWhqrnf-OmePP568O4A5Am9ttzvVdP67zw/edit#gid=771602874"" ,""HUMAN RESOURCES!$A$2:$M$2692""), {2,3,4,5,6,7,8,9,10,11,12,13},0))"),0.016)</f>
        <v>0.016</v>
      </c>
      <c r="Q2289" s="14"/>
      <c r="R2289" s="14">
        <f>IFERROR(__xludf.DUMMYFUNCTION("""COMPUTED_VALUE"""),82.0)</f>
        <v>82</v>
      </c>
      <c r="S2289" s="14">
        <f>IFERROR(__xludf.DUMMYFUNCTION("""COMPUTED_VALUE"""),76.0)</f>
        <v>76</v>
      </c>
      <c r="T2289" s="14"/>
      <c r="U2289" s="14"/>
      <c r="V2289" s="14"/>
      <c r="W2289" s="14">
        <f>IFERROR(__xludf.DUMMYFUNCTION("""COMPUTED_VALUE"""),30959.0)</f>
        <v>30959</v>
      </c>
      <c r="X2289" s="14"/>
      <c r="Y2289" s="14" t="str">
        <f>IFERROR(__xludf.DUMMYFUNCTION("""COMPUTED_VALUE"""),"St. Martin (French part)-The Americas")</f>
        <v>St. Martin (French part)-The Americas</v>
      </c>
      <c r="Z2289" s="14" t="str">
        <f>IFERROR(__xludf.DUMMYFUNCTION("""COMPUTED_VALUE"""),"The Americas")</f>
        <v>The Americas</v>
      </c>
      <c r="AA2289" s="14" t="str">
        <f>IFERROR(__xludf.DUMMYFUNCTION("""COMPUTED_VALUE"""),"2012")</f>
        <v>2012</v>
      </c>
      <c r="AB2289" s="15" t="str">
        <f>IFERROR(__xludf.DUMMYFUNCTION("ARRAYFORMULA(VLOOKUP(A2289,IMPORTRANGE(""https://docs.google.com/spreadsheets/d/1BuTWp7qHGjWhqrnf-OmePP568O4A5Am9ttzvVdP67zw/edit#gid=1931367683"" ,""ENERGY!$A$2:$F$2692""), {2,3,4,5,6},0))"),"The Americas")</f>
        <v>The Americas</v>
      </c>
      <c r="AC2289" s="14" t="str">
        <f>IFERROR(__xludf.DUMMYFUNCTION("""COMPUTED_VALUE"""),"St. Martin (French part)-The Americas")</f>
        <v>St. Martin (French part)-The Americas</v>
      </c>
      <c r="AD2289" s="14" t="str">
        <f>IFERROR(__xludf.DUMMYFUNCTION("""COMPUTED_VALUE"""),"2012")</f>
        <v>2012</v>
      </c>
      <c r="AE2289" s="14"/>
      <c r="AF2289" s="14"/>
    </row>
    <row r="2290">
      <c r="A2290" s="12">
        <v>2289.0</v>
      </c>
      <c r="B2290" s="12" t="s">
        <v>255</v>
      </c>
      <c r="C2290" s="5" t="s">
        <v>84</v>
      </c>
      <c r="D2290" s="8"/>
      <c r="E2290" s="8"/>
      <c r="F2290" s="8"/>
      <c r="G2290" s="8"/>
      <c r="H2290" s="11">
        <v>0.032</v>
      </c>
      <c r="I2290" s="11">
        <v>0.022</v>
      </c>
      <c r="J2290" s="9" t="s">
        <v>60</v>
      </c>
      <c r="K2290" s="14" t="str">
        <f>IFERROR(__xludf.DUMMYFUNCTION("ARRAYFORMULA(VLOOKUP(A2290,IMPORTRANGE(""https://docs.google.com/spreadsheets/d/1BuTWp7qHGjWhqrnf-OmePP568O4A5Am9ttzvVdP67zw/edit#gid=1603210130"", ""TOURISM!$A$2:$F$2692""), {2,3,4,5,6},0))"),"The Americas")</f>
        <v>The Americas</v>
      </c>
      <c r="L2290" s="14">
        <f>IFERROR(__xludf.DUMMYFUNCTION("""COMPUTED_VALUE"""),8.2E7)</f>
        <v>82000000</v>
      </c>
      <c r="M2290" s="14" t="str">
        <f>IFERROR(__xludf.DUMMYFUNCTION("""COMPUTED_VALUE"""),"St. Vincent and the Grenadines-The Americas")</f>
        <v>St. Vincent and the Grenadines-The Americas</v>
      </c>
      <c r="N2290" s="14" t="str">
        <f>IFERROR(__xludf.DUMMYFUNCTION("""COMPUTED_VALUE"""),"2000")</f>
        <v>2000</v>
      </c>
      <c r="O2290" s="14">
        <f>IFERROR(__xludf.DUMMYFUNCTION("""COMPUTED_VALUE"""),1.0E7)</f>
        <v>10000000</v>
      </c>
      <c r="P2290" s="15">
        <f>IFERROR(__xludf.DUMMYFUNCTION("ARRAYFORMULA(VLOOKUP(A2290,IMPORTRANGE(""https://docs.google.com/spreadsheets/d/1BuTWp7qHGjWhqrnf-OmePP568O4A5Am9ttzvVdP67zw/edit#gid=771602874"" ,""HUMAN RESOURCES!$A$2:$M$2692""), {2,3,4,5,6,7,8,9,10,11,12,13},0))"),0.02)</f>
        <v>0.02</v>
      </c>
      <c r="Q2290" s="14">
        <f>IFERROR(__xludf.DUMMYFUNCTION("""COMPUTED_VALUE"""),0.019)</f>
        <v>0.019</v>
      </c>
      <c r="R2290" s="14">
        <f>IFERROR(__xludf.DUMMYFUNCTION("""COMPUTED_VALUE"""),73.0)</f>
        <v>73</v>
      </c>
      <c r="S2290" s="14">
        <f>IFERROR(__xludf.DUMMYFUNCTION("""COMPUTED_VALUE"""),68.0)</f>
        <v>68</v>
      </c>
      <c r="T2290" s="14">
        <f>IFERROR(__xludf.DUMMYFUNCTION("""COMPUTED_VALUE"""),0.314)</f>
        <v>0.314</v>
      </c>
      <c r="U2290" s="14">
        <f>IFERROR(__xludf.DUMMYFUNCTION("""COMPUTED_VALUE"""),0.616)</f>
        <v>0.616</v>
      </c>
      <c r="V2290" s="14">
        <f>IFERROR(__xludf.DUMMYFUNCTION("""COMPUTED_VALUE"""),0.069)</f>
        <v>0.069</v>
      </c>
      <c r="W2290" s="14">
        <f>IFERROR(__xludf.DUMMYFUNCTION("""COMPUTED_VALUE"""),107897.0)</f>
        <v>107897</v>
      </c>
      <c r="X2290" s="14">
        <f>IFERROR(__xludf.DUMMYFUNCTION("""COMPUTED_VALUE"""),0.452)</f>
        <v>0.452</v>
      </c>
      <c r="Y2290" s="14" t="str">
        <f>IFERROR(__xludf.DUMMYFUNCTION("""COMPUTED_VALUE"""),"St. Vincent and the Grenadines-The Americas")</f>
        <v>St. Vincent and the Grenadines-The Americas</v>
      </c>
      <c r="Z2290" s="14" t="str">
        <f>IFERROR(__xludf.DUMMYFUNCTION("""COMPUTED_VALUE"""),"The Americas")</f>
        <v>The Americas</v>
      </c>
      <c r="AA2290" s="14" t="str">
        <f>IFERROR(__xludf.DUMMYFUNCTION("""COMPUTED_VALUE"""),"2000")</f>
        <v>2000</v>
      </c>
      <c r="AB2290" s="15" t="str">
        <f>IFERROR(__xludf.DUMMYFUNCTION("ARRAYFORMULA(VLOOKUP(A2290,IMPORTRANGE(""https://docs.google.com/spreadsheets/d/1BuTWp7qHGjWhqrnf-OmePP568O4A5Am9ttzvVdP67zw/edit#gid=1931367683"" ,""ENERGY!$A$2:$F$2692""), {2,3,4,5,6},0))"),"The Americas")</f>
        <v>The Americas</v>
      </c>
      <c r="AC2290" s="14" t="str">
        <f>IFERROR(__xludf.DUMMYFUNCTION("""COMPUTED_VALUE"""),"St. Vincent and the Grenadines-The Americas")</f>
        <v>St. Vincent and the Grenadines-The Americas</v>
      </c>
      <c r="AD2290" s="14" t="str">
        <f>IFERROR(__xludf.DUMMYFUNCTION("""COMPUTED_VALUE"""),"2000")</f>
        <v>2000</v>
      </c>
      <c r="AE2290" s="14"/>
      <c r="AF2290" s="14"/>
    </row>
    <row r="2291">
      <c r="A2291" s="12">
        <v>2290.0</v>
      </c>
      <c r="B2291" s="12" t="s">
        <v>255</v>
      </c>
      <c r="C2291" s="5" t="s">
        <v>84</v>
      </c>
      <c r="D2291" s="8"/>
      <c r="E2291" s="8"/>
      <c r="F2291" s="8"/>
      <c r="G2291" s="8"/>
      <c r="H2291" s="11">
        <v>0.051</v>
      </c>
      <c r="I2291" s="11">
        <v>0.069</v>
      </c>
      <c r="J2291" s="9" t="s">
        <v>62</v>
      </c>
      <c r="K2291" s="14" t="str">
        <f>IFERROR(__xludf.DUMMYFUNCTION("ARRAYFORMULA(VLOOKUP(A2291,IMPORTRANGE(""https://docs.google.com/spreadsheets/d/1BuTWp7qHGjWhqrnf-OmePP568O4A5Am9ttzvVdP67zw/edit#gid=1603210130"", ""TOURISM!$A$2:$F$2692""), {2,3,4,5,6},0))"),"The Americas")</f>
        <v>The Americas</v>
      </c>
      <c r="L2291" s="14">
        <f>IFERROR(__xludf.DUMMYFUNCTION("""COMPUTED_VALUE"""),8.9E7)</f>
        <v>89000000</v>
      </c>
      <c r="M2291" s="14" t="str">
        <f>IFERROR(__xludf.DUMMYFUNCTION("""COMPUTED_VALUE"""),"St. Vincent and the Grenadines-The Americas")</f>
        <v>St. Vincent and the Grenadines-The Americas</v>
      </c>
      <c r="N2291" s="14" t="str">
        <f>IFERROR(__xludf.DUMMYFUNCTION("""COMPUTED_VALUE"""),"2001")</f>
        <v>2001</v>
      </c>
      <c r="O2291" s="14">
        <f>IFERROR(__xludf.DUMMYFUNCTION("""COMPUTED_VALUE"""),1.2E7)</f>
        <v>12000000</v>
      </c>
      <c r="P2291" s="15">
        <f>IFERROR(__xludf.DUMMYFUNCTION("ARRAYFORMULA(VLOOKUP(A2291,IMPORTRANGE(""https://docs.google.com/spreadsheets/d/1BuTWp7qHGjWhqrnf-OmePP568O4A5Am9ttzvVdP67zw/edit#gid=771602874"" ,""HUMAN RESOURCES!$A$2:$M$2692""), {2,3,4,5,6,7,8,9,10,11,12,13},0))"),0.019)</f>
        <v>0.019</v>
      </c>
      <c r="Q2291" s="14">
        <f>IFERROR(__xludf.DUMMYFUNCTION("""COMPUTED_VALUE"""),0.019)</f>
        <v>0.019</v>
      </c>
      <c r="R2291" s="14">
        <f>IFERROR(__xludf.DUMMYFUNCTION("""COMPUTED_VALUE"""),73.0)</f>
        <v>73</v>
      </c>
      <c r="S2291" s="14">
        <f>IFERROR(__xludf.DUMMYFUNCTION("""COMPUTED_VALUE"""),68.0)</f>
        <v>68</v>
      </c>
      <c r="T2291" s="14">
        <f>IFERROR(__xludf.DUMMYFUNCTION("""COMPUTED_VALUE"""),0.308)</f>
        <v>0.308</v>
      </c>
      <c r="U2291" s="14">
        <f>IFERROR(__xludf.DUMMYFUNCTION("""COMPUTED_VALUE"""),0.622)</f>
        <v>0.622</v>
      </c>
      <c r="V2291" s="14">
        <f>IFERROR(__xludf.DUMMYFUNCTION("""COMPUTED_VALUE"""),0.07)</f>
        <v>0.07</v>
      </c>
      <c r="W2291" s="14">
        <f>IFERROR(__xludf.DUMMYFUNCTION("""COMPUTED_VALUE"""),107989.0)</f>
        <v>107989</v>
      </c>
      <c r="X2291" s="14">
        <f>IFERROR(__xludf.DUMMYFUNCTION("""COMPUTED_VALUE"""),0.455)</f>
        <v>0.455</v>
      </c>
      <c r="Y2291" s="14" t="str">
        <f>IFERROR(__xludf.DUMMYFUNCTION("""COMPUTED_VALUE"""),"St. Vincent and the Grenadines-The Americas")</f>
        <v>St. Vincent and the Grenadines-The Americas</v>
      </c>
      <c r="Z2291" s="14" t="str">
        <f>IFERROR(__xludf.DUMMYFUNCTION("""COMPUTED_VALUE"""),"The Americas")</f>
        <v>The Americas</v>
      </c>
      <c r="AA2291" s="14" t="str">
        <f>IFERROR(__xludf.DUMMYFUNCTION("""COMPUTED_VALUE"""),"2001")</f>
        <v>2001</v>
      </c>
      <c r="AB2291" s="15" t="str">
        <f>IFERROR(__xludf.DUMMYFUNCTION("ARRAYFORMULA(VLOOKUP(A2291,IMPORTRANGE(""https://docs.google.com/spreadsheets/d/1BuTWp7qHGjWhqrnf-OmePP568O4A5Am9ttzvVdP67zw/edit#gid=1931367683"" ,""ENERGY!$A$2:$F$2692""), {2,3,4,5,6},0))"),"The Americas")</f>
        <v>The Americas</v>
      </c>
      <c r="AC2291" s="14" t="str">
        <f>IFERROR(__xludf.DUMMYFUNCTION("""COMPUTED_VALUE"""),"St. Vincent and the Grenadines-The Americas")</f>
        <v>St. Vincent and the Grenadines-The Americas</v>
      </c>
      <c r="AD2291" s="14" t="str">
        <f>IFERROR(__xludf.DUMMYFUNCTION("""COMPUTED_VALUE"""),"2001")</f>
        <v>2001</v>
      </c>
      <c r="AE2291" s="14"/>
      <c r="AF2291" s="14"/>
    </row>
    <row r="2292">
      <c r="A2292" s="12">
        <v>2291.0</v>
      </c>
      <c r="B2292" s="12" t="s">
        <v>255</v>
      </c>
      <c r="C2292" s="5" t="s">
        <v>84</v>
      </c>
      <c r="D2292" s="8"/>
      <c r="E2292" s="8"/>
      <c r="F2292" s="8"/>
      <c r="G2292" s="8"/>
      <c r="H2292" s="11">
        <v>0.055</v>
      </c>
      <c r="I2292" s="11">
        <v>0.092</v>
      </c>
      <c r="J2292" s="9" t="s">
        <v>63</v>
      </c>
      <c r="K2292" s="14" t="str">
        <f>IFERROR(__xludf.DUMMYFUNCTION("ARRAYFORMULA(VLOOKUP(A2292,IMPORTRANGE(""https://docs.google.com/spreadsheets/d/1BuTWp7qHGjWhqrnf-OmePP568O4A5Am9ttzvVdP67zw/edit#gid=1603210130"", ""TOURISM!$A$2:$F$2692""), {2,3,4,5,6},0))"),"The Americas")</f>
        <v>The Americas</v>
      </c>
      <c r="L2292" s="14">
        <f>IFERROR(__xludf.DUMMYFUNCTION("""COMPUTED_VALUE"""),9.1E7)</f>
        <v>91000000</v>
      </c>
      <c r="M2292" s="14" t="str">
        <f>IFERROR(__xludf.DUMMYFUNCTION("""COMPUTED_VALUE"""),"St. Vincent and the Grenadines-The Americas")</f>
        <v>St. Vincent and the Grenadines-The Americas</v>
      </c>
      <c r="N2292" s="14" t="str">
        <f>IFERROR(__xludf.DUMMYFUNCTION("""COMPUTED_VALUE"""),"2002")</f>
        <v>2002</v>
      </c>
      <c r="O2292" s="14">
        <f>IFERROR(__xludf.DUMMYFUNCTION("""COMPUTED_VALUE"""),1.0E7)</f>
        <v>10000000</v>
      </c>
      <c r="P2292" s="15">
        <f>IFERROR(__xludf.DUMMYFUNCTION("ARRAYFORMULA(VLOOKUP(A2292,IMPORTRANGE(""https://docs.google.com/spreadsheets/d/1BuTWp7qHGjWhqrnf-OmePP568O4A5Am9ttzvVdP67zw/edit#gid=771602874"" ,""HUMAN RESOURCES!$A$2:$M$2692""), {2,3,4,5,6,7,8,9,10,11,12,13},0))"),0.019)</f>
        <v>0.019</v>
      </c>
      <c r="Q2292" s="14">
        <f>IFERROR(__xludf.DUMMYFUNCTION("""COMPUTED_VALUE"""),0.019)</f>
        <v>0.019</v>
      </c>
      <c r="R2292" s="14">
        <f>IFERROR(__xludf.DUMMYFUNCTION("""COMPUTED_VALUE"""),73.0)</f>
        <v>73</v>
      </c>
      <c r="S2292" s="14">
        <f>IFERROR(__xludf.DUMMYFUNCTION("""COMPUTED_VALUE"""),68.0)</f>
        <v>68</v>
      </c>
      <c r="T2292" s="14">
        <f>IFERROR(__xludf.DUMMYFUNCTION("""COMPUTED_VALUE"""),0.302)</f>
        <v>0.302</v>
      </c>
      <c r="U2292" s="14">
        <f>IFERROR(__xludf.DUMMYFUNCTION("""COMPUTED_VALUE"""),0.627)</f>
        <v>0.627</v>
      </c>
      <c r="V2292" s="14">
        <f>IFERROR(__xludf.DUMMYFUNCTION("""COMPUTED_VALUE"""),0.071)</f>
        <v>0.071</v>
      </c>
      <c r="W2292" s="14">
        <f>IFERROR(__xludf.DUMMYFUNCTION("""COMPUTED_VALUE"""),108150.0)</f>
        <v>108150</v>
      </c>
      <c r="X2292" s="14">
        <f>IFERROR(__xludf.DUMMYFUNCTION("""COMPUTED_VALUE"""),0.459)</f>
        <v>0.459</v>
      </c>
      <c r="Y2292" s="14" t="str">
        <f>IFERROR(__xludf.DUMMYFUNCTION("""COMPUTED_VALUE"""),"St. Vincent and the Grenadines-The Americas")</f>
        <v>St. Vincent and the Grenadines-The Americas</v>
      </c>
      <c r="Z2292" s="14" t="str">
        <f>IFERROR(__xludf.DUMMYFUNCTION("""COMPUTED_VALUE"""),"The Americas")</f>
        <v>The Americas</v>
      </c>
      <c r="AA2292" s="14" t="str">
        <f>IFERROR(__xludf.DUMMYFUNCTION("""COMPUTED_VALUE"""),"2002")</f>
        <v>2002</v>
      </c>
      <c r="AB2292" s="15" t="str">
        <f>IFERROR(__xludf.DUMMYFUNCTION("ARRAYFORMULA(VLOOKUP(A2292,IMPORTRANGE(""https://docs.google.com/spreadsheets/d/1BuTWp7qHGjWhqrnf-OmePP568O4A5Am9ttzvVdP67zw/edit#gid=1931367683"" ,""ENERGY!$A$2:$F$2692""), {2,3,4,5,6},0))"),"The Americas")</f>
        <v>The Americas</v>
      </c>
      <c r="AC2292" s="14" t="str">
        <f>IFERROR(__xludf.DUMMYFUNCTION("""COMPUTED_VALUE"""),"St. Vincent and the Grenadines-The Americas")</f>
        <v>St. Vincent and the Grenadines-The Americas</v>
      </c>
      <c r="AD2292" s="14" t="str">
        <f>IFERROR(__xludf.DUMMYFUNCTION("""COMPUTED_VALUE"""),"2002")</f>
        <v>2002</v>
      </c>
      <c r="AE2292" s="14"/>
      <c r="AF2292" s="14">
        <f>IFERROR(__xludf.DUMMYFUNCTION("""COMPUTED_VALUE"""),209.0)</f>
        <v>209</v>
      </c>
    </row>
    <row r="2293">
      <c r="A2293" s="12">
        <v>2292.0</v>
      </c>
      <c r="B2293" s="12" t="s">
        <v>255</v>
      </c>
      <c r="C2293" s="5" t="s">
        <v>84</v>
      </c>
      <c r="D2293" s="8"/>
      <c r="E2293" s="8"/>
      <c r="F2293" s="8"/>
      <c r="G2293" s="8"/>
      <c r="H2293" s="11">
        <v>0.065</v>
      </c>
      <c r="I2293" s="11">
        <v>0.581</v>
      </c>
      <c r="J2293" s="9" t="s">
        <v>64</v>
      </c>
      <c r="K2293" s="14" t="str">
        <f>IFERROR(__xludf.DUMMYFUNCTION("ARRAYFORMULA(VLOOKUP(A2293,IMPORTRANGE(""https://docs.google.com/spreadsheets/d/1BuTWp7qHGjWhqrnf-OmePP568O4A5Am9ttzvVdP67zw/edit#gid=1603210130"", ""TOURISM!$A$2:$F$2692""), {2,3,4,5,6},0))"),"The Americas")</f>
        <v>The Americas</v>
      </c>
      <c r="L2293" s="14">
        <f>IFERROR(__xludf.DUMMYFUNCTION("""COMPUTED_VALUE"""),9.1E7)</f>
        <v>91000000</v>
      </c>
      <c r="M2293" s="14" t="str">
        <f>IFERROR(__xludf.DUMMYFUNCTION("""COMPUTED_VALUE"""),"St. Vincent and the Grenadines-The Americas")</f>
        <v>St. Vincent and the Grenadines-The Americas</v>
      </c>
      <c r="N2293" s="14" t="str">
        <f>IFERROR(__xludf.DUMMYFUNCTION("""COMPUTED_VALUE"""),"2003")</f>
        <v>2003</v>
      </c>
      <c r="O2293" s="14">
        <f>IFERROR(__xludf.DUMMYFUNCTION("""COMPUTED_VALUE"""),1.3E7)</f>
        <v>13000000</v>
      </c>
      <c r="P2293" s="15">
        <f>IFERROR(__xludf.DUMMYFUNCTION("ARRAYFORMULA(VLOOKUP(A2293,IMPORTRANGE(""https://docs.google.com/spreadsheets/d/1BuTWp7qHGjWhqrnf-OmePP568O4A5Am9ttzvVdP67zw/edit#gid=771602874"" ,""HUMAN RESOURCES!$A$2:$M$2692""), {2,3,4,5,6,7,8,9,10,11,12,13},0))"),0.019)</f>
        <v>0.019</v>
      </c>
      <c r="Q2293" s="14">
        <f>IFERROR(__xludf.DUMMYFUNCTION("""COMPUTED_VALUE"""),0.019)</f>
        <v>0.019</v>
      </c>
      <c r="R2293" s="14">
        <f>IFERROR(__xludf.DUMMYFUNCTION("""COMPUTED_VALUE"""),73.0)</f>
        <v>73</v>
      </c>
      <c r="S2293" s="14">
        <f>IFERROR(__xludf.DUMMYFUNCTION("""COMPUTED_VALUE"""),69.0)</f>
        <v>69</v>
      </c>
      <c r="T2293" s="14">
        <f>IFERROR(__xludf.DUMMYFUNCTION("""COMPUTED_VALUE"""),0.296)</f>
        <v>0.296</v>
      </c>
      <c r="U2293" s="14">
        <f>IFERROR(__xludf.DUMMYFUNCTION("""COMPUTED_VALUE"""),0.632)</f>
        <v>0.632</v>
      </c>
      <c r="V2293" s="14">
        <f>IFERROR(__xludf.DUMMYFUNCTION("""COMPUTED_VALUE"""),0.072)</f>
        <v>0.072</v>
      </c>
      <c r="W2293" s="14">
        <f>IFERROR(__xludf.DUMMYFUNCTION("""COMPUTED_VALUE"""),108353.0)</f>
        <v>108353</v>
      </c>
      <c r="X2293" s="14">
        <f>IFERROR(__xludf.DUMMYFUNCTION("""COMPUTED_VALUE"""),0.463)</f>
        <v>0.463</v>
      </c>
      <c r="Y2293" s="14" t="str">
        <f>IFERROR(__xludf.DUMMYFUNCTION("""COMPUTED_VALUE"""),"St. Vincent and the Grenadines-The Americas")</f>
        <v>St. Vincent and the Grenadines-The Americas</v>
      </c>
      <c r="Z2293" s="14" t="str">
        <f>IFERROR(__xludf.DUMMYFUNCTION("""COMPUTED_VALUE"""),"The Americas")</f>
        <v>The Americas</v>
      </c>
      <c r="AA2293" s="14" t="str">
        <f>IFERROR(__xludf.DUMMYFUNCTION("""COMPUTED_VALUE"""),"2003")</f>
        <v>2003</v>
      </c>
      <c r="AB2293" s="15" t="str">
        <f>IFERROR(__xludf.DUMMYFUNCTION("ARRAYFORMULA(VLOOKUP(A2293,IMPORTRANGE(""https://docs.google.com/spreadsheets/d/1BuTWp7qHGjWhqrnf-OmePP568O4A5Am9ttzvVdP67zw/edit#gid=1931367683"" ,""ENERGY!$A$2:$F$2692""), {2,3,4,5,6},0))"),"The Americas")</f>
        <v>The Americas</v>
      </c>
      <c r="AC2293" s="14" t="str">
        <f>IFERROR(__xludf.DUMMYFUNCTION("""COMPUTED_VALUE"""),"St. Vincent and the Grenadines-The Americas")</f>
        <v>St. Vincent and the Grenadines-The Americas</v>
      </c>
      <c r="AD2293" s="14" t="str">
        <f>IFERROR(__xludf.DUMMYFUNCTION("""COMPUTED_VALUE"""),"2003")</f>
        <v>2003</v>
      </c>
      <c r="AE2293" s="14"/>
      <c r="AF2293" s="14">
        <f>IFERROR(__xludf.DUMMYFUNCTION("""COMPUTED_VALUE"""),202.0)</f>
        <v>202</v>
      </c>
    </row>
    <row r="2294">
      <c r="A2294" s="12">
        <v>2293.0</v>
      </c>
      <c r="B2294" s="12" t="s">
        <v>255</v>
      </c>
      <c r="C2294" s="5" t="s">
        <v>84</v>
      </c>
      <c r="D2294" s="8"/>
      <c r="E2294" s="8"/>
      <c r="F2294" s="8"/>
      <c r="G2294" s="8"/>
      <c r="H2294" s="11">
        <v>0.074</v>
      </c>
      <c r="I2294" s="11">
        <v>0.663</v>
      </c>
      <c r="J2294" s="9" t="s">
        <v>65</v>
      </c>
      <c r="K2294" s="14" t="str">
        <f>IFERROR(__xludf.DUMMYFUNCTION("ARRAYFORMULA(VLOOKUP(A2294,IMPORTRANGE(""https://docs.google.com/spreadsheets/d/1BuTWp7qHGjWhqrnf-OmePP568O4A5Am9ttzvVdP67zw/edit#gid=1603210130"", ""TOURISM!$A$2:$F$2692""), {2,3,4,5,6},0))"),"The Americas")</f>
        <v>The Americas</v>
      </c>
      <c r="L2294" s="14">
        <f>IFERROR(__xludf.DUMMYFUNCTION("""COMPUTED_VALUE"""),9.6E7)</f>
        <v>96000000</v>
      </c>
      <c r="M2294" s="14" t="str">
        <f>IFERROR(__xludf.DUMMYFUNCTION("""COMPUTED_VALUE"""),"St. Vincent and the Grenadines-The Americas")</f>
        <v>St. Vincent and the Grenadines-The Americas</v>
      </c>
      <c r="N2294" s="14" t="str">
        <f>IFERROR(__xludf.DUMMYFUNCTION("""COMPUTED_VALUE"""),"2004")</f>
        <v>2004</v>
      </c>
      <c r="O2294" s="14">
        <f>IFERROR(__xludf.DUMMYFUNCTION("""COMPUTED_VALUE"""),1.4E7)</f>
        <v>14000000</v>
      </c>
      <c r="P2294" s="15">
        <f>IFERROR(__xludf.DUMMYFUNCTION("ARRAYFORMULA(VLOOKUP(A2294,IMPORTRANGE(""https://docs.google.com/spreadsheets/d/1BuTWp7qHGjWhqrnf-OmePP568O4A5Am9ttzvVdP67zw/edit#gid=771602874"" ,""HUMAN RESOURCES!$A$2:$M$2692""), {2,3,4,5,6,7,8,9,10,11,12,13},0))"),0.018)</f>
        <v>0.018</v>
      </c>
      <c r="Q2294" s="14">
        <f>IFERROR(__xludf.DUMMYFUNCTION("""COMPUTED_VALUE"""),0.019)</f>
        <v>0.019</v>
      </c>
      <c r="R2294" s="14">
        <f>IFERROR(__xludf.DUMMYFUNCTION("""COMPUTED_VALUE"""),73.0)</f>
        <v>73</v>
      </c>
      <c r="S2294" s="14">
        <f>IFERROR(__xludf.DUMMYFUNCTION("""COMPUTED_VALUE"""),69.0)</f>
        <v>69</v>
      </c>
      <c r="T2294" s="14">
        <f>IFERROR(__xludf.DUMMYFUNCTION("""COMPUTED_VALUE"""),0.29)</f>
        <v>0.29</v>
      </c>
      <c r="U2294" s="14">
        <f>IFERROR(__xludf.DUMMYFUNCTION("""COMPUTED_VALUE"""),0.638)</f>
        <v>0.638</v>
      </c>
      <c r="V2294" s="14">
        <f>IFERROR(__xludf.DUMMYFUNCTION("""COMPUTED_VALUE"""),0.072)</f>
        <v>0.072</v>
      </c>
      <c r="W2294" s="14">
        <f>IFERROR(__xludf.DUMMYFUNCTION("""COMPUTED_VALUE"""),108562.0)</f>
        <v>108562</v>
      </c>
      <c r="X2294" s="14">
        <f>IFERROR(__xludf.DUMMYFUNCTION("""COMPUTED_VALUE"""),0.466)</f>
        <v>0.466</v>
      </c>
      <c r="Y2294" s="14" t="str">
        <f>IFERROR(__xludf.DUMMYFUNCTION("""COMPUTED_VALUE"""),"St. Vincent and the Grenadines-The Americas")</f>
        <v>St. Vincent and the Grenadines-The Americas</v>
      </c>
      <c r="Z2294" s="14" t="str">
        <f>IFERROR(__xludf.DUMMYFUNCTION("""COMPUTED_VALUE"""),"The Americas")</f>
        <v>The Americas</v>
      </c>
      <c r="AA2294" s="14" t="str">
        <f>IFERROR(__xludf.DUMMYFUNCTION("""COMPUTED_VALUE"""),"2004")</f>
        <v>2004</v>
      </c>
      <c r="AB2294" s="15" t="str">
        <f>IFERROR(__xludf.DUMMYFUNCTION("ARRAYFORMULA(VLOOKUP(A2294,IMPORTRANGE(""https://docs.google.com/spreadsheets/d/1BuTWp7qHGjWhqrnf-OmePP568O4A5Am9ttzvVdP67zw/edit#gid=1931367683"" ,""ENERGY!$A$2:$F$2692""), {2,3,4,5,6},0))"),"The Americas")</f>
        <v>The Americas</v>
      </c>
      <c r="AC2294" s="14" t="str">
        <f>IFERROR(__xludf.DUMMYFUNCTION("""COMPUTED_VALUE"""),"St. Vincent and the Grenadines-The Americas")</f>
        <v>St. Vincent and the Grenadines-The Americas</v>
      </c>
      <c r="AD2294" s="14" t="str">
        <f>IFERROR(__xludf.DUMMYFUNCTION("""COMPUTED_VALUE"""),"2005")</f>
        <v>2005</v>
      </c>
      <c r="AE2294" s="14"/>
      <c r="AF2294" s="14">
        <f>IFERROR(__xludf.DUMMYFUNCTION("""COMPUTED_VALUE"""),202.0)</f>
        <v>202</v>
      </c>
    </row>
    <row r="2295">
      <c r="A2295" s="12">
        <v>2294.0</v>
      </c>
      <c r="B2295" s="12" t="s">
        <v>255</v>
      </c>
      <c r="C2295" s="5" t="s">
        <v>84</v>
      </c>
      <c r="D2295" s="11">
        <v>0.45</v>
      </c>
      <c r="E2295" s="11">
        <v>12.0</v>
      </c>
      <c r="F2295" s="8"/>
      <c r="G2295" s="11">
        <v>76.0</v>
      </c>
      <c r="H2295" s="11">
        <v>0.092</v>
      </c>
      <c r="I2295" s="11">
        <v>0.649</v>
      </c>
      <c r="J2295" s="9" t="s">
        <v>66</v>
      </c>
      <c r="K2295" s="14" t="str">
        <f>IFERROR(__xludf.DUMMYFUNCTION("ARRAYFORMULA(VLOOKUP(A2295,IMPORTRANGE(""https://docs.google.com/spreadsheets/d/1BuTWp7qHGjWhqrnf-OmePP568O4A5Am9ttzvVdP67zw/edit#gid=1603210130"", ""TOURISM!$A$2:$F$2692""), {2,3,4,5,6},0))"),"The Americas")</f>
        <v>The Americas</v>
      </c>
      <c r="L2295" s="14">
        <f>IFERROR(__xludf.DUMMYFUNCTION("""COMPUTED_VALUE"""),1.04E8)</f>
        <v>104000000</v>
      </c>
      <c r="M2295" s="14" t="str">
        <f>IFERROR(__xludf.DUMMYFUNCTION("""COMPUTED_VALUE"""),"St. Vincent and the Grenadines-The Americas")</f>
        <v>St. Vincent and the Grenadines-The Americas</v>
      </c>
      <c r="N2295" s="14" t="str">
        <f>IFERROR(__xludf.DUMMYFUNCTION("""COMPUTED_VALUE"""),"2005")</f>
        <v>2005</v>
      </c>
      <c r="O2295" s="14">
        <f>IFERROR(__xludf.DUMMYFUNCTION("""COMPUTED_VALUE"""),1.5E7)</f>
        <v>15000000</v>
      </c>
      <c r="P2295" s="15">
        <f>IFERROR(__xludf.DUMMYFUNCTION("ARRAYFORMULA(VLOOKUP(A2295,IMPORTRANGE(""https://docs.google.com/spreadsheets/d/1BuTWp7qHGjWhqrnf-OmePP568O4A5Am9ttzvVdP67zw/edit#gid=771602874"" ,""HUMAN RESOURCES!$A$2:$M$2692""), {2,3,4,5,6,7,8,9,10,11,12,13},0))"),0.018)</f>
        <v>0.018</v>
      </c>
      <c r="Q2295" s="14">
        <f>IFERROR(__xludf.DUMMYFUNCTION("""COMPUTED_VALUE"""),0.019)</f>
        <v>0.019</v>
      </c>
      <c r="R2295" s="14">
        <f>IFERROR(__xludf.DUMMYFUNCTION("""COMPUTED_VALUE"""),74.0)</f>
        <v>74</v>
      </c>
      <c r="S2295" s="14">
        <f>IFERROR(__xludf.DUMMYFUNCTION("""COMPUTED_VALUE"""),69.0)</f>
        <v>69</v>
      </c>
      <c r="T2295" s="14">
        <f>IFERROR(__xludf.DUMMYFUNCTION("""COMPUTED_VALUE"""),0.285)</f>
        <v>0.285</v>
      </c>
      <c r="U2295" s="14">
        <f>IFERROR(__xludf.DUMMYFUNCTION("""COMPUTED_VALUE"""),0.643)</f>
        <v>0.643</v>
      </c>
      <c r="V2295" s="14">
        <f>IFERROR(__xludf.DUMMYFUNCTION("""COMPUTED_VALUE"""),0.072)</f>
        <v>0.072</v>
      </c>
      <c r="W2295" s="14">
        <f>IFERROR(__xludf.DUMMYFUNCTION("""COMPUTED_VALUE"""),108749.0)</f>
        <v>108749</v>
      </c>
      <c r="X2295" s="14">
        <f>IFERROR(__xludf.DUMMYFUNCTION("""COMPUTED_VALUE"""),0.47)</f>
        <v>0.47</v>
      </c>
      <c r="Y2295" s="14" t="str">
        <f>IFERROR(__xludf.DUMMYFUNCTION("""COMPUTED_VALUE"""),"St. Vincent and the Grenadines-The Americas")</f>
        <v>St. Vincent and the Grenadines-The Americas</v>
      </c>
      <c r="Z2295" s="14" t="str">
        <f>IFERROR(__xludf.DUMMYFUNCTION("""COMPUTED_VALUE"""),"The Americas")</f>
        <v>The Americas</v>
      </c>
      <c r="AA2295" s="14" t="str">
        <f>IFERROR(__xludf.DUMMYFUNCTION("""COMPUTED_VALUE"""),"2005")</f>
        <v>2005</v>
      </c>
      <c r="AB2295" s="15" t="str">
        <f>IFERROR(__xludf.DUMMYFUNCTION("ARRAYFORMULA(VLOOKUP(A2295,IMPORTRANGE(""https://docs.google.com/spreadsheets/d/1BuTWp7qHGjWhqrnf-OmePP568O4A5Am9ttzvVdP67zw/edit#gid=1931367683"" ,""ENERGY!$A$2:$F$2692""), {2,3,4,5,6},0))"),"The Americas")</f>
        <v>The Americas</v>
      </c>
      <c r="AC2295" s="14" t="str">
        <f>IFERROR(__xludf.DUMMYFUNCTION("""COMPUTED_VALUE"""),"St. Vincent and the Grenadines-The Americas")</f>
        <v>St. Vincent and the Grenadines-The Americas</v>
      </c>
      <c r="AD2295" s="14" t="str">
        <f>IFERROR(__xludf.DUMMYFUNCTION("""COMPUTED_VALUE"""),"2008")</f>
        <v>2008</v>
      </c>
      <c r="AE2295" s="14">
        <f>IFERROR(__xludf.DUMMYFUNCTION("""COMPUTED_VALUE"""),70.0)</f>
        <v>70</v>
      </c>
      <c r="AF2295" s="14">
        <f>IFERROR(__xludf.DUMMYFUNCTION("""COMPUTED_VALUE"""),202.0)</f>
        <v>202</v>
      </c>
    </row>
    <row r="2296">
      <c r="A2296" s="12">
        <v>2295.0</v>
      </c>
      <c r="B2296" s="12" t="s">
        <v>255</v>
      </c>
      <c r="C2296" s="5" t="s">
        <v>84</v>
      </c>
      <c r="D2296" s="11">
        <v>0.45</v>
      </c>
      <c r="E2296" s="11">
        <v>12.0</v>
      </c>
      <c r="F2296" s="8"/>
      <c r="G2296" s="11">
        <v>76.0</v>
      </c>
      <c r="H2296" s="11">
        <v>0.12</v>
      </c>
      <c r="I2296" s="11">
        <v>0.805</v>
      </c>
      <c r="J2296" s="9" t="s">
        <v>67</v>
      </c>
      <c r="K2296" s="14" t="str">
        <f>IFERROR(__xludf.DUMMYFUNCTION("ARRAYFORMULA(VLOOKUP(A2296,IMPORTRANGE(""https://docs.google.com/spreadsheets/d/1BuTWp7qHGjWhqrnf-OmePP568O4A5Am9ttzvVdP67zw/edit#gid=1603210130"", ""TOURISM!$A$2:$F$2692""), {2,3,4,5,6},0))"),"The Americas")</f>
        <v>The Americas</v>
      </c>
      <c r="L2296" s="14">
        <f>IFERROR(__xludf.DUMMYFUNCTION("""COMPUTED_VALUE"""),1.13E8)</f>
        <v>113000000</v>
      </c>
      <c r="M2296" s="14" t="str">
        <f>IFERROR(__xludf.DUMMYFUNCTION("""COMPUTED_VALUE"""),"St. Vincent and the Grenadines-The Americas")</f>
        <v>St. Vincent and the Grenadines-The Americas</v>
      </c>
      <c r="N2296" s="14" t="str">
        <f>IFERROR(__xludf.DUMMYFUNCTION("""COMPUTED_VALUE"""),"2006")</f>
        <v>2006</v>
      </c>
      <c r="O2296" s="14">
        <f>IFERROR(__xludf.DUMMYFUNCTION("""COMPUTED_VALUE"""),1.6E7)</f>
        <v>16000000</v>
      </c>
      <c r="P2296" s="15">
        <f>IFERROR(__xludf.DUMMYFUNCTION("ARRAYFORMULA(VLOOKUP(A2296,IMPORTRANGE(""https://docs.google.com/spreadsheets/d/1BuTWp7qHGjWhqrnf-OmePP568O4A5Am9ttzvVdP67zw/edit#gid=771602874"" ,""HUMAN RESOURCES!$A$2:$M$2692""), {2,3,4,5,6,7,8,9,10,11,12,13},0))"),0.018)</f>
        <v>0.018</v>
      </c>
      <c r="Q2296" s="14">
        <f>IFERROR(__xludf.DUMMYFUNCTION("""COMPUTED_VALUE"""),0.019)</f>
        <v>0.019</v>
      </c>
      <c r="R2296" s="14">
        <f>IFERROR(__xludf.DUMMYFUNCTION("""COMPUTED_VALUE"""),74.0)</f>
        <v>74</v>
      </c>
      <c r="S2296" s="14">
        <f>IFERROR(__xludf.DUMMYFUNCTION("""COMPUTED_VALUE"""),69.0)</f>
        <v>69</v>
      </c>
      <c r="T2296" s="14">
        <f>IFERROR(__xludf.DUMMYFUNCTION("""COMPUTED_VALUE"""),0.281)</f>
        <v>0.281</v>
      </c>
      <c r="U2296" s="14">
        <f>IFERROR(__xludf.DUMMYFUNCTION("""COMPUTED_VALUE"""),0.648)</f>
        <v>0.648</v>
      </c>
      <c r="V2296" s="14">
        <f>IFERROR(__xludf.DUMMYFUNCTION("""COMPUTED_VALUE"""),0.071)</f>
        <v>0.071</v>
      </c>
      <c r="W2296" s="14">
        <f>IFERROR(__xludf.DUMMYFUNCTION("""COMPUTED_VALUE"""),108908.0)</f>
        <v>108908</v>
      </c>
      <c r="X2296" s="14">
        <f>IFERROR(__xludf.DUMMYFUNCTION("""COMPUTED_VALUE"""),0.474)</f>
        <v>0.474</v>
      </c>
      <c r="Y2296" s="14" t="str">
        <f>IFERROR(__xludf.DUMMYFUNCTION("""COMPUTED_VALUE"""),"St. Vincent and the Grenadines-The Americas")</f>
        <v>St. Vincent and the Grenadines-The Americas</v>
      </c>
      <c r="Z2296" s="14" t="str">
        <f>IFERROR(__xludf.DUMMYFUNCTION("""COMPUTED_VALUE"""),"The Americas")</f>
        <v>The Americas</v>
      </c>
      <c r="AA2296" s="14" t="str">
        <f>IFERROR(__xludf.DUMMYFUNCTION("""COMPUTED_VALUE"""),"2006")</f>
        <v>2006</v>
      </c>
      <c r="AB2296" s="15" t="str">
        <f>IFERROR(__xludf.DUMMYFUNCTION("ARRAYFORMULA(VLOOKUP(A2296,IMPORTRANGE(""https://docs.google.com/spreadsheets/d/1BuTWp7qHGjWhqrnf-OmePP568O4A5Am9ttzvVdP67zw/edit#gid=1931367683"" ,""ENERGY!$A$2:$F$2692""), {2,3,4,5,6},0))"),"The Americas")</f>
        <v>The Americas</v>
      </c>
      <c r="AC2296" s="14" t="str">
        <f>IFERROR(__xludf.DUMMYFUNCTION("""COMPUTED_VALUE"""),"St. Vincent and the Grenadines-The Americas")</f>
        <v>St. Vincent and the Grenadines-The Americas</v>
      </c>
      <c r="AD2296" s="14" t="str">
        <f>IFERROR(__xludf.DUMMYFUNCTION("""COMPUTED_VALUE"""),"2012")</f>
        <v>2012</v>
      </c>
      <c r="AE2296" s="14">
        <f>IFERROR(__xludf.DUMMYFUNCTION("""COMPUTED_VALUE"""),70.0)</f>
        <v>70</v>
      </c>
      <c r="AF2296" s="14">
        <f>IFERROR(__xludf.DUMMYFUNCTION("""COMPUTED_VALUE"""),202.0)</f>
        <v>202</v>
      </c>
    </row>
    <row r="2297">
      <c r="A2297" s="12">
        <v>2296.0</v>
      </c>
      <c r="B2297" s="12" t="s">
        <v>255</v>
      </c>
      <c r="C2297" s="5" t="s">
        <v>84</v>
      </c>
      <c r="D2297" s="11">
        <v>0.45</v>
      </c>
      <c r="E2297" s="11">
        <v>12.0</v>
      </c>
      <c r="F2297" s="8"/>
      <c r="G2297" s="11">
        <v>76.0</v>
      </c>
      <c r="H2297" s="11">
        <v>0.16</v>
      </c>
      <c r="I2297" s="11">
        <v>1.013</v>
      </c>
      <c r="J2297" s="9" t="s">
        <v>68</v>
      </c>
      <c r="K2297" s="14" t="str">
        <f>IFERROR(__xludf.DUMMYFUNCTION("ARRAYFORMULA(VLOOKUP(A2297,IMPORTRANGE(""https://docs.google.com/spreadsheets/d/1BuTWp7qHGjWhqrnf-OmePP568O4A5Am9ttzvVdP67zw/edit#gid=1603210130"", ""TOURISM!$A$2:$F$2692""), {2,3,4,5,6},0))"),"The Americas")</f>
        <v>The Americas</v>
      </c>
      <c r="L2297" s="14">
        <f>IFERROR(__xludf.DUMMYFUNCTION("""COMPUTED_VALUE"""),1.1E8)</f>
        <v>110000000</v>
      </c>
      <c r="M2297" s="14" t="str">
        <f>IFERROR(__xludf.DUMMYFUNCTION("""COMPUTED_VALUE"""),"St. Vincent and the Grenadines-The Americas")</f>
        <v>St. Vincent and the Grenadines-The Americas</v>
      </c>
      <c r="N2297" s="14" t="str">
        <f>IFERROR(__xludf.DUMMYFUNCTION("""COMPUTED_VALUE"""),"2007")</f>
        <v>2007</v>
      </c>
      <c r="O2297" s="14">
        <f>IFERROR(__xludf.DUMMYFUNCTION("""COMPUTED_VALUE"""),2.0E7)</f>
        <v>20000000</v>
      </c>
      <c r="P2297" s="15">
        <f>IFERROR(__xludf.DUMMYFUNCTION("ARRAYFORMULA(VLOOKUP(A2297,IMPORTRANGE(""https://docs.google.com/spreadsheets/d/1BuTWp7qHGjWhqrnf-OmePP568O4A5Am9ttzvVdP67zw/edit#gid=771602874"" ,""HUMAN RESOURCES!$A$2:$M$2692""), {2,3,4,5,6,7,8,9,10,11,12,13},0))"),0.018)</f>
        <v>0.018</v>
      </c>
      <c r="Q2297" s="14">
        <f>IFERROR(__xludf.DUMMYFUNCTION("""COMPUTED_VALUE"""),0.019)</f>
        <v>0.019</v>
      </c>
      <c r="R2297" s="14">
        <f>IFERROR(__xludf.DUMMYFUNCTION("""COMPUTED_VALUE"""),74.0)</f>
        <v>74</v>
      </c>
      <c r="S2297" s="14">
        <f>IFERROR(__xludf.DUMMYFUNCTION("""COMPUTED_VALUE"""),70.0)</f>
        <v>70</v>
      </c>
      <c r="T2297" s="14">
        <f>IFERROR(__xludf.DUMMYFUNCTION("""COMPUTED_VALUE"""),0.276)</f>
        <v>0.276</v>
      </c>
      <c r="U2297" s="14">
        <f>IFERROR(__xludf.DUMMYFUNCTION("""COMPUTED_VALUE"""),0.653)</f>
        <v>0.653</v>
      </c>
      <c r="V2297" s="14">
        <f>IFERROR(__xludf.DUMMYFUNCTION("""COMPUTED_VALUE"""),0.07)</f>
        <v>0.07</v>
      </c>
      <c r="W2297" s="14">
        <f>IFERROR(__xludf.DUMMYFUNCTION("""COMPUTED_VALUE"""),109045.0)</f>
        <v>109045</v>
      </c>
      <c r="X2297" s="14">
        <f>IFERROR(__xludf.DUMMYFUNCTION("""COMPUTED_VALUE"""),0.477)</f>
        <v>0.477</v>
      </c>
      <c r="Y2297" s="14" t="str">
        <f>IFERROR(__xludf.DUMMYFUNCTION("""COMPUTED_VALUE"""),"St. Vincent and the Grenadines-The Americas")</f>
        <v>St. Vincent and the Grenadines-The Americas</v>
      </c>
      <c r="Z2297" s="14" t="str">
        <f>IFERROR(__xludf.DUMMYFUNCTION("""COMPUTED_VALUE"""),"The Americas")</f>
        <v>The Americas</v>
      </c>
      <c r="AA2297" s="14" t="str">
        <f>IFERROR(__xludf.DUMMYFUNCTION("""COMPUTED_VALUE"""),"2007")</f>
        <v>2007</v>
      </c>
      <c r="AB2297" s="15" t="str">
        <f>IFERROR(__xludf.DUMMYFUNCTION("ARRAYFORMULA(VLOOKUP(A2297,IMPORTRANGE(""https://docs.google.com/spreadsheets/d/1BuTWp7qHGjWhqrnf-OmePP568O4A5Am9ttzvVdP67zw/edit#gid=1931367683"" ,""ENERGY!$A$2:$F$2692""), {2,3,4,5,6},0))"),"The Americas")</f>
        <v>The Americas</v>
      </c>
      <c r="AC2297" s="14" t="str">
        <f>IFERROR(__xludf.DUMMYFUNCTION("""COMPUTED_VALUE"""),"St. Vincent and the Grenadines-The Americas")</f>
        <v>St. Vincent and the Grenadines-The Americas</v>
      </c>
      <c r="AD2297" s="14" t="str">
        <f>IFERROR(__xludf.DUMMYFUNCTION("""COMPUTED_VALUE"""),"2010")</f>
        <v>2010</v>
      </c>
      <c r="AE2297" s="14">
        <f>IFERROR(__xludf.DUMMYFUNCTION("""COMPUTED_VALUE"""),67.0)</f>
        <v>67</v>
      </c>
      <c r="AF2297" s="14">
        <f>IFERROR(__xludf.DUMMYFUNCTION("""COMPUTED_VALUE"""),198.0)</f>
        <v>198</v>
      </c>
    </row>
    <row r="2298">
      <c r="A2298" s="12">
        <v>2297.0</v>
      </c>
      <c r="B2298" s="12" t="s">
        <v>255</v>
      </c>
      <c r="C2298" s="5" t="s">
        <v>84</v>
      </c>
      <c r="D2298" s="11">
        <v>0.426</v>
      </c>
      <c r="E2298" s="11">
        <v>12.0</v>
      </c>
      <c r="F2298" s="8"/>
      <c r="G2298" s="11">
        <v>117.0</v>
      </c>
      <c r="H2298" s="11">
        <v>0.21</v>
      </c>
      <c r="I2298" s="11">
        <v>1.192</v>
      </c>
      <c r="J2298" s="9" t="s">
        <v>69</v>
      </c>
      <c r="K2298" s="14" t="str">
        <f>IFERROR(__xludf.DUMMYFUNCTION("ARRAYFORMULA(VLOOKUP(A2298,IMPORTRANGE(""https://docs.google.com/spreadsheets/d/1BuTWp7qHGjWhqrnf-OmePP568O4A5Am9ttzvVdP67zw/edit#gid=1603210130"", ""TOURISM!$A$2:$F$2692""), {2,3,4,5,6},0))"),"The Americas")</f>
        <v>The Americas</v>
      </c>
      <c r="L2298" s="14">
        <f>IFERROR(__xludf.DUMMYFUNCTION("""COMPUTED_VALUE"""),9.6E7)</f>
        <v>96000000</v>
      </c>
      <c r="M2298" s="14" t="str">
        <f>IFERROR(__xludf.DUMMYFUNCTION("""COMPUTED_VALUE"""),"St. Vincent and the Grenadines-The Americas")</f>
        <v>St. Vincent and the Grenadines-The Americas</v>
      </c>
      <c r="N2298" s="14" t="str">
        <f>IFERROR(__xludf.DUMMYFUNCTION("""COMPUTED_VALUE"""),"2008")</f>
        <v>2008</v>
      </c>
      <c r="O2298" s="14">
        <f>IFERROR(__xludf.DUMMYFUNCTION("""COMPUTED_VALUE"""),1.8E7)</f>
        <v>18000000</v>
      </c>
      <c r="P2298" s="15">
        <f>IFERROR(__xludf.DUMMYFUNCTION("ARRAYFORMULA(VLOOKUP(A2298,IMPORTRANGE(""https://docs.google.com/spreadsheets/d/1BuTWp7qHGjWhqrnf-OmePP568O4A5Am9ttzvVdP67zw/edit#gid=771602874"" ,""HUMAN RESOURCES!$A$2:$M$2692""), {2,3,4,5,6,7,8,9,10,11,12,13},0))"),0.018)</f>
        <v>0.018</v>
      </c>
      <c r="Q2298" s="14">
        <f>IFERROR(__xludf.DUMMYFUNCTION("""COMPUTED_VALUE"""),0.019)</f>
        <v>0.019</v>
      </c>
      <c r="R2298" s="14">
        <f>IFERROR(__xludf.DUMMYFUNCTION("""COMPUTED_VALUE"""),74.0)</f>
        <v>74</v>
      </c>
      <c r="S2298" s="14">
        <f>IFERROR(__xludf.DUMMYFUNCTION("""COMPUTED_VALUE"""),70.0)</f>
        <v>70</v>
      </c>
      <c r="T2298" s="14">
        <f>IFERROR(__xludf.DUMMYFUNCTION("""COMPUTED_VALUE"""),0.273)</f>
        <v>0.273</v>
      </c>
      <c r="U2298" s="14">
        <f>IFERROR(__xludf.DUMMYFUNCTION("""COMPUTED_VALUE"""),0.659)</f>
        <v>0.659</v>
      </c>
      <c r="V2298" s="14">
        <f>IFERROR(__xludf.DUMMYFUNCTION("""COMPUTED_VALUE"""),0.069)</f>
        <v>0.069</v>
      </c>
      <c r="W2298" s="14">
        <f>IFERROR(__xludf.DUMMYFUNCTION("""COMPUTED_VALUE"""),109158.0)</f>
        <v>109158</v>
      </c>
      <c r="X2298" s="14">
        <f>IFERROR(__xludf.DUMMYFUNCTION("""COMPUTED_VALUE"""),0.481)</f>
        <v>0.481</v>
      </c>
      <c r="Y2298" s="14" t="str">
        <f>IFERROR(__xludf.DUMMYFUNCTION("""COMPUTED_VALUE"""),"St. Vincent and the Grenadines-The Americas")</f>
        <v>St. Vincent and the Grenadines-The Americas</v>
      </c>
      <c r="Z2298" s="14" t="str">
        <f>IFERROR(__xludf.DUMMYFUNCTION("""COMPUTED_VALUE"""),"The Americas")</f>
        <v>The Americas</v>
      </c>
      <c r="AA2298" s="14" t="str">
        <f>IFERROR(__xludf.DUMMYFUNCTION("""COMPUTED_VALUE"""),"2008")</f>
        <v>2008</v>
      </c>
      <c r="AB2298" s="15" t="str">
        <f>IFERROR(__xludf.DUMMYFUNCTION("ARRAYFORMULA(VLOOKUP(A2298,IMPORTRANGE(""https://docs.google.com/spreadsheets/d/1BuTWp7qHGjWhqrnf-OmePP568O4A5Am9ttzvVdP67zw/edit#gid=1931367683"" ,""ENERGY!$A$2:$F$2692""), {2,3,4,5,6},0))"),"The Americas")</f>
        <v>The Americas</v>
      </c>
      <c r="AC2298" s="14" t="str">
        <f>IFERROR(__xludf.DUMMYFUNCTION("""COMPUTED_VALUE"""),"St. Vincent and the Grenadines-The Americas")</f>
        <v>St. Vincent and the Grenadines-The Americas</v>
      </c>
      <c r="AD2298" s="14" t="str">
        <f>IFERROR(__xludf.DUMMYFUNCTION("""COMPUTED_VALUE"""),"2007")</f>
        <v>2007</v>
      </c>
      <c r="AE2298" s="14">
        <f>IFERROR(__xludf.DUMMYFUNCTION("""COMPUTED_VALUE"""),66.0)</f>
        <v>66</v>
      </c>
      <c r="AF2298" s="14">
        <f>IFERROR(__xludf.DUMMYFUNCTION("""COMPUTED_VALUE"""),194.0)</f>
        <v>194</v>
      </c>
    </row>
    <row r="2299">
      <c r="A2299" s="12">
        <v>2298.0</v>
      </c>
      <c r="B2299" s="12" t="s">
        <v>255</v>
      </c>
      <c r="C2299" s="5" t="s">
        <v>84</v>
      </c>
      <c r="D2299" s="11">
        <v>0.41</v>
      </c>
      <c r="E2299" s="11">
        <v>11.0</v>
      </c>
      <c r="F2299" s="8"/>
      <c r="G2299" s="11">
        <v>111.0</v>
      </c>
      <c r="H2299" s="11">
        <v>0.31</v>
      </c>
      <c r="I2299" s="11">
        <v>1.109</v>
      </c>
      <c r="J2299" s="9" t="s">
        <v>70</v>
      </c>
      <c r="K2299" s="14" t="str">
        <f>IFERROR(__xludf.DUMMYFUNCTION("ARRAYFORMULA(VLOOKUP(A2299,IMPORTRANGE(""https://docs.google.com/spreadsheets/d/1BuTWp7qHGjWhqrnf-OmePP568O4A5Am9ttzvVdP67zw/edit#gid=1603210130"", ""TOURISM!$A$2:$F$2692""), {2,3,4,5,6},0))"),"The Americas")</f>
        <v>The Americas</v>
      </c>
      <c r="L2299" s="14">
        <f>IFERROR(__xludf.DUMMYFUNCTION("""COMPUTED_VALUE"""),8.8E7)</f>
        <v>88000000</v>
      </c>
      <c r="M2299" s="14" t="str">
        <f>IFERROR(__xludf.DUMMYFUNCTION("""COMPUTED_VALUE"""),"St. Vincent and the Grenadines-The Americas")</f>
        <v>St. Vincent and the Grenadines-The Americas</v>
      </c>
      <c r="N2299" s="14" t="str">
        <f>IFERROR(__xludf.DUMMYFUNCTION("""COMPUTED_VALUE"""),"2009")</f>
        <v>2009</v>
      </c>
      <c r="O2299" s="14">
        <f>IFERROR(__xludf.DUMMYFUNCTION("""COMPUTED_VALUE"""),1.4E7)</f>
        <v>14000000</v>
      </c>
      <c r="P2299" s="15">
        <f>IFERROR(__xludf.DUMMYFUNCTION("ARRAYFORMULA(VLOOKUP(A2299,IMPORTRANGE(""https://docs.google.com/spreadsheets/d/1BuTWp7qHGjWhqrnf-OmePP568O4A5Am9ttzvVdP67zw/edit#gid=771602874"" ,""HUMAN RESOURCES!$A$2:$M$2692""), {2,3,4,5,6,7,8,9,10,11,12,13},0))"),0.017)</f>
        <v>0.017</v>
      </c>
      <c r="Q2299" s="14">
        <f>IFERROR(__xludf.DUMMYFUNCTION("""COMPUTED_VALUE"""),0.019)</f>
        <v>0.019</v>
      </c>
      <c r="R2299" s="14">
        <f>IFERROR(__xludf.DUMMYFUNCTION("""COMPUTED_VALUE"""),74.0)</f>
        <v>74</v>
      </c>
      <c r="S2299" s="14">
        <f>IFERROR(__xludf.DUMMYFUNCTION("""COMPUTED_VALUE"""),70.0)</f>
        <v>70</v>
      </c>
      <c r="T2299" s="14">
        <f>IFERROR(__xludf.DUMMYFUNCTION("""COMPUTED_VALUE"""),0.269)</f>
        <v>0.269</v>
      </c>
      <c r="U2299" s="14">
        <f>IFERROR(__xludf.DUMMYFUNCTION("""COMPUTED_VALUE"""),0.663)</f>
        <v>0.663</v>
      </c>
      <c r="V2299" s="14">
        <f>IFERROR(__xludf.DUMMYFUNCTION("""COMPUTED_VALUE"""),0.068)</f>
        <v>0.068</v>
      </c>
      <c r="W2299" s="14">
        <f>IFERROR(__xludf.DUMMYFUNCTION("""COMPUTED_VALUE"""),109249.0)</f>
        <v>109249</v>
      </c>
      <c r="X2299" s="14">
        <f>IFERROR(__xludf.DUMMYFUNCTION("""COMPUTED_VALUE"""),0.484)</f>
        <v>0.484</v>
      </c>
      <c r="Y2299" s="14" t="str">
        <f>IFERROR(__xludf.DUMMYFUNCTION("""COMPUTED_VALUE"""),"St. Vincent and the Grenadines-The Americas")</f>
        <v>St. Vincent and the Grenadines-The Americas</v>
      </c>
      <c r="Z2299" s="14" t="str">
        <f>IFERROR(__xludf.DUMMYFUNCTION("""COMPUTED_VALUE"""),"The Americas")</f>
        <v>The Americas</v>
      </c>
      <c r="AA2299" s="14" t="str">
        <f>IFERROR(__xludf.DUMMYFUNCTION("""COMPUTED_VALUE"""),"2009")</f>
        <v>2009</v>
      </c>
      <c r="AB2299" s="15" t="str">
        <f>IFERROR(__xludf.DUMMYFUNCTION("ARRAYFORMULA(VLOOKUP(A2299,IMPORTRANGE(""https://docs.google.com/spreadsheets/d/1BuTWp7qHGjWhqrnf-OmePP568O4A5Am9ttzvVdP67zw/edit#gid=1931367683"" ,""ENERGY!$A$2:$F$2692""), {2,3,4,5,6},0))"),"The Americas")</f>
        <v>The Americas</v>
      </c>
      <c r="AC2299" s="14" t="str">
        <f>IFERROR(__xludf.DUMMYFUNCTION("""COMPUTED_VALUE"""),"St. Vincent and the Grenadines-The Americas")</f>
        <v>St. Vincent and the Grenadines-The Americas</v>
      </c>
      <c r="AD2299" s="14" t="str">
        <f>IFERROR(__xludf.DUMMYFUNCTION("""COMPUTED_VALUE"""),"2012")</f>
        <v>2012</v>
      </c>
      <c r="AE2299" s="14"/>
      <c r="AF2299" s="14">
        <f>IFERROR(__xludf.DUMMYFUNCTION("""COMPUTED_VALUE"""),194.0)</f>
        <v>194</v>
      </c>
    </row>
    <row r="2300">
      <c r="A2300" s="12">
        <v>2299.0</v>
      </c>
      <c r="B2300" s="12" t="s">
        <v>255</v>
      </c>
      <c r="C2300" s="5" t="s">
        <v>84</v>
      </c>
      <c r="D2300" s="11">
        <v>0.387</v>
      </c>
      <c r="E2300" s="11">
        <v>10.0</v>
      </c>
      <c r="F2300" s="8"/>
      <c r="G2300" s="11">
        <v>111.0</v>
      </c>
      <c r="H2300" s="11">
        <v>0.385</v>
      </c>
      <c r="I2300" s="11">
        <v>1.206</v>
      </c>
      <c r="J2300" s="9" t="s">
        <v>71</v>
      </c>
      <c r="K2300" s="14" t="str">
        <f>IFERROR(__xludf.DUMMYFUNCTION("ARRAYFORMULA(VLOOKUP(A2300,IMPORTRANGE(""https://docs.google.com/spreadsheets/d/1BuTWp7qHGjWhqrnf-OmePP568O4A5Am9ttzvVdP67zw/edit#gid=1603210130"", ""TOURISM!$A$2:$F$2692""), {2,3,4,5,6},0))"),"The Americas")</f>
        <v>The Americas</v>
      </c>
      <c r="L2300" s="14">
        <f>IFERROR(__xludf.DUMMYFUNCTION("""COMPUTED_VALUE"""),8.6E7)</f>
        <v>86000000</v>
      </c>
      <c r="M2300" s="14" t="str">
        <f>IFERROR(__xludf.DUMMYFUNCTION("""COMPUTED_VALUE"""),"St. Vincent and the Grenadines-The Americas")</f>
        <v>St. Vincent and the Grenadines-The Americas</v>
      </c>
      <c r="N2300" s="14" t="str">
        <f>IFERROR(__xludf.DUMMYFUNCTION("""COMPUTED_VALUE"""),"2010")</f>
        <v>2010</v>
      </c>
      <c r="O2300" s="14">
        <f>IFERROR(__xludf.DUMMYFUNCTION("""COMPUTED_VALUE"""),1.5E7)</f>
        <v>15000000</v>
      </c>
      <c r="P2300" s="15">
        <f>IFERROR(__xludf.DUMMYFUNCTION("ARRAYFORMULA(VLOOKUP(A2300,IMPORTRANGE(""https://docs.google.com/spreadsheets/d/1BuTWp7qHGjWhqrnf-OmePP568O4A5Am9ttzvVdP67zw/edit#gid=771602874"" ,""HUMAN RESOURCES!$A$2:$M$2692""), {2,3,4,5,6,7,8,9,10,11,12,13},0))"),0.017)</f>
        <v>0.017</v>
      </c>
      <c r="Q2300" s="14">
        <f>IFERROR(__xludf.DUMMYFUNCTION("""COMPUTED_VALUE"""),0.019)</f>
        <v>0.019</v>
      </c>
      <c r="R2300" s="14">
        <f>IFERROR(__xludf.DUMMYFUNCTION("""COMPUTED_VALUE"""),74.0)</f>
        <v>74</v>
      </c>
      <c r="S2300" s="14">
        <f>IFERROR(__xludf.DUMMYFUNCTION("""COMPUTED_VALUE"""),70.0)</f>
        <v>70</v>
      </c>
      <c r="T2300" s="14">
        <f>IFERROR(__xludf.DUMMYFUNCTION("""COMPUTED_VALUE"""),0.265)</f>
        <v>0.265</v>
      </c>
      <c r="U2300" s="14">
        <f>IFERROR(__xludf.DUMMYFUNCTION("""COMPUTED_VALUE"""),0.668)</f>
        <v>0.668</v>
      </c>
      <c r="V2300" s="14">
        <f>IFERROR(__xludf.DUMMYFUNCTION("""COMPUTED_VALUE"""),0.067)</f>
        <v>0.067</v>
      </c>
      <c r="W2300" s="14">
        <f>IFERROR(__xludf.DUMMYFUNCTION("""COMPUTED_VALUE"""),109316.0)</f>
        <v>109316</v>
      </c>
      <c r="X2300" s="14">
        <f>IFERROR(__xludf.DUMMYFUNCTION("""COMPUTED_VALUE"""),0.488)</f>
        <v>0.488</v>
      </c>
      <c r="Y2300" s="14" t="str">
        <f>IFERROR(__xludf.DUMMYFUNCTION("""COMPUTED_VALUE"""),"St. Vincent and the Grenadines-The Americas")</f>
        <v>St. Vincent and the Grenadines-The Americas</v>
      </c>
      <c r="Z2300" s="14" t="str">
        <f>IFERROR(__xludf.DUMMYFUNCTION("""COMPUTED_VALUE"""),"The Americas")</f>
        <v>The Americas</v>
      </c>
      <c r="AA2300" s="14" t="str">
        <f>IFERROR(__xludf.DUMMYFUNCTION("""COMPUTED_VALUE"""),"2010")</f>
        <v>2010</v>
      </c>
      <c r="AB2300" s="15" t="str">
        <f>IFERROR(__xludf.DUMMYFUNCTION("ARRAYFORMULA(VLOOKUP(A2300,IMPORTRANGE(""https://docs.google.com/spreadsheets/d/1BuTWp7qHGjWhqrnf-OmePP568O4A5Am9ttzvVdP67zw/edit#gid=1931367683"" ,""ENERGY!$A$2:$F$2692""), {2,3,4,5,6},0))"),"The Americas")</f>
        <v>The Americas</v>
      </c>
      <c r="AC2300" s="14" t="str">
        <f>IFERROR(__xludf.DUMMYFUNCTION("""COMPUTED_VALUE"""),"St. Vincent and the Grenadines-The Americas")</f>
        <v>St. Vincent and the Grenadines-The Americas</v>
      </c>
      <c r="AD2300" s="14" t="str">
        <f>IFERROR(__xludf.DUMMYFUNCTION("""COMPUTED_VALUE"""),"2009")</f>
        <v>2009</v>
      </c>
      <c r="AE2300" s="14"/>
      <c r="AF2300" s="14">
        <f>IFERROR(__xludf.DUMMYFUNCTION("""COMPUTED_VALUE"""),187.0)</f>
        <v>187</v>
      </c>
    </row>
    <row r="2301">
      <c r="A2301" s="12">
        <v>2300.0</v>
      </c>
      <c r="B2301" s="12" t="s">
        <v>255</v>
      </c>
      <c r="C2301" s="5" t="s">
        <v>84</v>
      </c>
      <c r="D2301" s="11">
        <v>0.387</v>
      </c>
      <c r="E2301" s="11">
        <v>10.0</v>
      </c>
      <c r="F2301" s="8"/>
      <c r="G2301" s="11">
        <v>111.0</v>
      </c>
      <c r="H2301" s="11">
        <v>0.43</v>
      </c>
      <c r="I2301" s="11">
        <v>1.205</v>
      </c>
      <c r="J2301" s="9" t="s">
        <v>72</v>
      </c>
      <c r="K2301" s="14" t="str">
        <f>IFERROR(__xludf.DUMMYFUNCTION("ARRAYFORMULA(VLOOKUP(A2301,IMPORTRANGE(""https://docs.google.com/spreadsheets/d/1BuTWp7qHGjWhqrnf-OmePP568O4A5Am9ttzvVdP67zw/edit#gid=1603210130"", ""TOURISM!$A$2:$F$2692""), {2,3,4,5,6},0))"),"The Americas")</f>
        <v>The Americas</v>
      </c>
      <c r="L2301" s="14">
        <f>IFERROR(__xludf.DUMMYFUNCTION("""COMPUTED_VALUE"""),9.2E7)</f>
        <v>92000000</v>
      </c>
      <c r="M2301" s="14" t="str">
        <f>IFERROR(__xludf.DUMMYFUNCTION("""COMPUTED_VALUE"""),"St. Vincent and the Grenadines-The Americas")</f>
        <v>St. Vincent and the Grenadines-The Americas</v>
      </c>
      <c r="N2301" s="14" t="str">
        <f>IFERROR(__xludf.DUMMYFUNCTION("""COMPUTED_VALUE"""),"2011")</f>
        <v>2011</v>
      </c>
      <c r="O2301" s="14">
        <f>IFERROR(__xludf.DUMMYFUNCTION("""COMPUTED_VALUE"""),1.3E7)</f>
        <v>13000000</v>
      </c>
      <c r="P2301" s="15">
        <f>IFERROR(__xludf.DUMMYFUNCTION("ARRAYFORMULA(VLOOKUP(A2301,IMPORTRANGE(""https://docs.google.com/spreadsheets/d/1BuTWp7qHGjWhqrnf-OmePP568O4A5Am9ttzvVdP67zw/edit#gid=771602874"" ,""HUMAN RESOURCES!$A$2:$M$2692""), {2,3,4,5,6,7,8,9,10,11,12,13},0))"),0.017)</f>
        <v>0.017</v>
      </c>
      <c r="Q2301" s="14">
        <f>IFERROR(__xludf.DUMMYFUNCTION("""COMPUTED_VALUE"""),0.018)</f>
        <v>0.018</v>
      </c>
      <c r="R2301" s="14">
        <f>IFERROR(__xludf.DUMMYFUNCTION("""COMPUTED_VALUE"""),74.0)</f>
        <v>74</v>
      </c>
      <c r="S2301" s="14">
        <f>IFERROR(__xludf.DUMMYFUNCTION("""COMPUTED_VALUE"""),70.0)</f>
        <v>70</v>
      </c>
      <c r="T2301" s="14">
        <f>IFERROR(__xludf.DUMMYFUNCTION("""COMPUTED_VALUE"""),0.261)</f>
        <v>0.261</v>
      </c>
      <c r="U2301" s="14">
        <f>IFERROR(__xludf.DUMMYFUNCTION("""COMPUTED_VALUE"""),0.671)</f>
        <v>0.671</v>
      </c>
      <c r="V2301" s="14">
        <f>IFERROR(__xludf.DUMMYFUNCTION("""COMPUTED_VALUE"""),0.068)</f>
        <v>0.068</v>
      </c>
      <c r="W2301" s="14">
        <f>IFERROR(__xludf.DUMMYFUNCTION("""COMPUTED_VALUE"""),109357.0)</f>
        <v>109357</v>
      </c>
      <c r="X2301" s="14">
        <f>IFERROR(__xludf.DUMMYFUNCTION("""COMPUTED_VALUE"""),0.491)</f>
        <v>0.491</v>
      </c>
      <c r="Y2301" s="14" t="str">
        <f>IFERROR(__xludf.DUMMYFUNCTION("""COMPUTED_VALUE"""),"St. Vincent and the Grenadines-The Americas")</f>
        <v>St. Vincent and the Grenadines-The Americas</v>
      </c>
      <c r="Z2301" s="14" t="str">
        <f>IFERROR(__xludf.DUMMYFUNCTION("""COMPUTED_VALUE"""),"The Americas")</f>
        <v>The Americas</v>
      </c>
      <c r="AA2301" s="14" t="str">
        <f>IFERROR(__xludf.DUMMYFUNCTION("""COMPUTED_VALUE"""),"2011")</f>
        <v>2011</v>
      </c>
      <c r="AB2301" s="15" t="str">
        <f>IFERROR(__xludf.DUMMYFUNCTION("ARRAYFORMULA(VLOOKUP(A2301,IMPORTRANGE(""https://docs.google.com/spreadsheets/d/1BuTWp7qHGjWhqrnf-OmePP568O4A5Am9ttzvVdP67zw/edit#gid=1931367683"" ,""ENERGY!$A$2:$F$2692""), {2,3,4,5,6},0))"),"The Americas")</f>
        <v>The Americas</v>
      </c>
      <c r="AC2301" s="14" t="str">
        <f>IFERROR(__xludf.DUMMYFUNCTION("""COMPUTED_VALUE"""),"St. Vincent and the Grenadines-The Americas")</f>
        <v>St. Vincent and the Grenadines-The Americas</v>
      </c>
      <c r="AD2301" s="14" t="str">
        <f>IFERROR(__xludf.DUMMYFUNCTION("""COMPUTED_VALUE"""),"2007")</f>
        <v>2007</v>
      </c>
      <c r="AE2301" s="14"/>
      <c r="AF2301" s="14">
        <f>IFERROR(__xludf.DUMMYFUNCTION("""COMPUTED_VALUE"""),180.0)</f>
        <v>180</v>
      </c>
    </row>
    <row r="2302">
      <c r="A2302" s="12">
        <v>2301.0</v>
      </c>
      <c r="B2302" s="12" t="s">
        <v>255</v>
      </c>
      <c r="C2302" s="5" t="s">
        <v>84</v>
      </c>
      <c r="D2302" s="11">
        <v>0.387</v>
      </c>
      <c r="E2302" s="11">
        <v>10.0</v>
      </c>
      <c r="F2302" s="11">
        <v>75.0</v>
      </c>
      <c r="G2302" s="11">
        <v>111.0</v>
      </c>
      <c r="H2302" s="11">
        <v>0.475</v>
      </c>
      <c r="I2302" s="11">
        <v>1.161</v>
      </c>
      <c r="J2302" s="9" t="s">
        <v>73</v>
      </c>
      <c r="K2302" s="14" t="str">
        <f>IFERROR(__xludf.DUMMYFUNCTION("ARRAYFORMULA(VLOOKUP(A2302,IMPORTRANGE(""https://docs.google.com/spreadsheets/d/1BuTWp7qHGjWhqrnf-OmePP568O4A5Am9ttzvVdP67zw/edit#gid=1603210130"", ""TOURISM!$A$2:$F$2692""), {2,3,4,5,6},0))"),"The Americas")</f>
        <v>The Americas</v>
      </c>
      <c r="L2302" s="14">
        <f>IFERROR(__xludf.DUMMYFUNCTION("""COMPUTED_VALUE"""),9.3E7)</f>
        <v>93000000</v>
      </c>
      <c r="M2302" s="14" t="str">
        <f>IFERROR(__xludf.DUMMYFUNCTION("""COMPUTED_VALUE"""),"St. Vincent and the Grenadines-The Americas")</f>
        <v>St. Vincent and the Grenadines-The Americas</v>
      </c>
      <c r="N2302" s="14" t="str">
        <f>IFERROR(__xludf.DUMMYFUNCTION("""COMPUTED_VALUE"""),"2012")</f>
        <v>2012</v>
      </c>
      <c r="O2302" s="14">
        <f>IFERROR(__xludf.DUMMYFUNCTION("""COMPUTED_VALUE"""),1.4E7)</f>
        <v>14000000</v>
      </c>
      <c r="P2302" s="15">
        <f>IFERROR(__xludf.DUMMYFUNCTION("ARRAYFORMULA(VLOOKUP(A2302,IMPORTRANGE(""https://docs.google.com/spreadsheets/d/1BuTWp7qHGjWhqrnf-OmePP568O4A5Am9ttzvVdP67zw/edit#gid=771602874"" ,""HUMAN RESOURCES!$A$2:$M$2692""), {2,3,4,5,6,7,8,9,10,11,12,13},0))"),0.017)</f>
        <v>0.017</v>
      </c>
      <c r="Q2302" s="14">
        <f>IFERROR(__xludf.DUMMYFUNCTION("""COMPUTED_VALUE"""),0.018)</f>
        <v>0.018</v>
      </c>
      <c r="R2302" s="14">
        <f>IFERROR(__xludf.DUMMYFUNCTION("""COMPUTED_VALUE"""),75.0)</f>
        <v>75</v>
      </c>
      <c r="S2302" s="14">
        <f>IFERROR(__xludf.DUMMYFUNCTION("""COMPUTED_VALUE"""),70.0)</f>
        <v>70</v>
      </c>
      <c r="T2302" s="14">
        <f>IFERROR(__xludf.DUMMYFUNCTION("""COMPUTED_VALUE"""),0.257)</f>
        <v>0.257</v>
      </c>
      <c r="U2302" s="14">
        <f>IFERROR(__xludf.DUMMYFUNCTION("""COMPUTED_VALUE"""),0.675)</f>
        <v>0.675</v>
      </c>
      <c r="V2302" s="14">
        <f>IFERROR(__xludf.DUMMYFUNCTION("""COMPUTED_VALUE"""),0.068)</f>
        <v>0.068</v>
      </c>
      <c r="W2302" s="14">
        <f>IFERROR(__xludf.DUMMYFUNCTION("""COMPUTED_VALUE"""),109373.0)</f>
        <v>109373</v>
      </c>
      <c r="X2302" s="14">
        <f>IFERROR(__xludf.DUMMYFUNCTION("""COMPUTED_VALUE"""),0.495)</f>
        <v>0.495</v>
      </c>
      <c r="Y2302" s="14" t="str">
        <f>IFERROR(__xludf.DUMMYFUNCTION("""COMPUTED_VALUE"""),"St. Vincent and the Grenadines-The Americas")</f>
        <v>St. Vincent and the Grenadines-The Americas</v>
      </c>
      <c r="Z2302" s="14" t="str">
        <f>IFERROR(__xludf.DUMMYFUNCTION("""COMPUTED_VALUE"""),"The Americas")</f>
        <v>The Americas</v>
      </c>
      <c r="AA2302" s="14" t="str">
        <f>IFERROR(__xludf.DUMMYFUNCTION("""COMPUTED_VALUE"""),"2012")</f>
        <v>2012</v>
      </c>
      <c r="AB2302" s="15" t="str">
        <f>IFERROR(__xludf.DUMMYFUNCTION("ARRAYFORMULA(VLOOKUP(A2302,IMPORTRANGE(""https://docs.google.com/spreadsheets/d/1BuTWp7qHGjWhqrnf-OmePP568O4A5Am9ttzvVdP67zw/edit#gid=1931367683"" ,""ENERGY!$A$2:$F$2692""), {2,3,4,5,6},0))"),"The Americas")</f>
        <v>The Americas</v>
      </c>
      <c r="AC2302" s="14" t="str">
        <f>IFERROR(__xludf.DUMMYFUNCTION("""COMPUTED_VALUE"""),"St. Vincent and the Grenadines-The Americas")</f>
        <v>St. Vincent and the Grenadines-The Americas</v>
      </c>
      <c r="AD2302" s="14" t="str">
        <f>IFERROR(__xludf.DUMMYFUNCTION("""COMPUTED_VALUE"""),"2012")</f>
        <v>2012</v>
      </c>
      <c r="AE2302" s="14"/>
      <c r="AF2302" s="14">
        <f>IFERROR(__xludf.DUMMYFUNCTION("""COMPUTED_VALUE"""),158.0)</f>
        <v>158</v>
      </c>
    </row>
    <row r="2303">
      <c r="A2303" s="12">
        <v>2302.0</v>
      </c>
      <c r="B2303" s="12" t="s">
        <v>256</v>
      </c>
      <c r="C2303" s="5" t="s">
        <v>77</v>
      </c>
      <c r="D2303" s="8"/>
      <c r="E2303" s="8"/>
      <c r="F2303" s="8"/>
      <c r="G2303" s="8"/>
      <c r="H2303" s="11">
        <v>0.0</v>
      </c>
      <c r="I2303" s="11">
        <v>0.001</v>
      </c>
      <c r="J2303" s="9" t="s">
        <v>60</v>
      </c>
      <c r="K2303" s="14" t="str">
        <f>IFERROR(__xludf.DUMMYFUNCTION("ARRAYFORMULA(VLOOKUP(A2303,IMPORTRANGE(""https://docs.google.com/spreadsheets/d/1BuTWp7qHGjWhqrnf-OmePP568O4A5Am9ttzvVdP67zw/edit#gid=1603210130"", ""TOURISM!$A$2:$F$2692""), {2,3,4,5,6},0))"),"Africa")</f>
        <v>Africa</v>
      </c>
      <c r="L2303" s="14">
        <f>IFERROR(__xludf.DUMMYFUNCTION("""COMPUTED_VALUE"""),5000000.0)</f>
        <v>5000000</v>
      </c>
      <c r="M2303" s="14" t="str">
        <f>IFERROR(__xludf.DUMMYFUNCTION("""COMPUTED_VALUE"""),"Sudan-Africa")</f>
        <v>Sudan-Africa</v>
      </c>
      <c r="N2303" s="14" t="str">
        <f>IFERROR(__xludf.DUMMYFUNCTION("""COMPUTED_VALUE"""),"2000")</f>
        <v>2000</v>
      </c>
      <c r="O2303" s="14">
        <f>IFERROR(__xludf.DUMMYFUNCTION("""COMPUTED_VALUE"""),5.5E7)</f>
        <v>55000000</v>
      </c>
      <c r="P2303" s="15">
        <f>IFERROR(__xludf.DUMMYFUNCTION("ARRAYFORMULA(VLOOKUP(A2303,IMPORTRANGE(""https://docs.google.com/spreadsheets/d/1BuTWp7qHGjWhqrnf-OmePP568O4A5Am9ttzvVdP67zw/edit#gid=771602874"" ,""HUMAN RESOURCES!$A$2:$M$2692""), {2,3,4,5,6,7,8,9,10,11,12,13},0))"),0.04)</f>
        <v>0.04</v>
      </c>
      <c r="Q2303" s="14">
        <f>IFERROR(__xludf.DUMMYFUNCTION("""COMPUTED_VALUE"""),0.069)</f>
        <v>0.069</v>
      </c>
      <c r="R2303" s="14">
        <f>IFERROR(__xludf.DUMMYFUNCTION("""COMPUTED_VALUE"""),60.0)</f>
        <v>60</v>
      </c>
      <c r="S2303" s="14">
        <f>IFERROR(__xludf.DUMMYFUNCTION("""COMPUTED_VALUE"""),56.0)</f>
        <v>56</v>
      </c>
      <c r="T2303" s="14">
        <f>IFERROR(__xludf.DUMMYFUNCTION("""COMPUTED_VALUE"""),0.437)</f>
        <v>0.437</v>
      </c>
      <c r="U2303" s="14">
        <f>IFERROR(__xludf.DUMMYFUNCTION("""COMPUTED_VALUE"""),0.533)</f>
        <v>0.533</v>
      </c>
      <c r="V2303" s="14">
        <f>IFERROR(__xludf.DUMMYFUNCTION("""COMPUTED_VALUE"""),0.03)</f>
        <v>0.03</v>
      </c>
      <c r="W2303" s="14">
        <f>IFERROR(__xludf.DUMMYFUNCTION("""COMPUTED_VALUE"""),2.7729798E7)</f>
        <v>27729798</v>
      </c>
      <c r="X2303" s="14">
        <f>IFERROR(__xludf.DUMMYFUNCTION("""COMPUTED_VALUE"""),0.325)</f>
        <v>0.325</v>
      </c>
      <c r="Y2303" s="14" t="str">
        <f>IFERROR(__xludf.DUMMYFUNCTION("""COMPUTED_VALUE"""),"Sudan-Africa")</f>
        <v>Sudan-Africa</v>
      </c>
      <c r="Z2303" s="14" t="str">
        <f>IFERROR(__xludf.DUMMYFUNCTION("""COMPUTED_VALUE"""),"Africa")</f>
        <v>Africa</v>
      </c>
      <c r="AA2303" s="14" t="str">
        <f>IFERROR(__xludf.DUMMYFUNCTION("""COMPUTED_VALUE"""),"2000")</f>
        <v>2000</v>
      </c>
      <c r="AB2303" s="15" t="str">
        <f>IFERROR(__xludf.DUMMYFUNCTION("ARRAYFORMULA(VLOOKUP(A2303,IMPORTRANGE(""https://docs.google.com/spreadsheets/d/1BuTWp7qHGjWhqrnf-OmePP568O4A5Am9ttzvVdP67zw/edit#gid=1931367683"" ,""ENERGY!$A$2:$F$2692""), {2,3,4,5,6},0))"),"Africa")</f>
        <v>Africa</v>
      </c>
      <c r="AC2303" s="14" t="str">
        <f>IFERROR(__xludf.DUMMYFUNCTION("""COMPUTED_VALUE"""),"Sudan-Africa")</f>
        <v>Sudan-Africa</v>
      </c>
      <c r="AD2303" s="14" t="str">
        <f>IFERROR(__xludf.DUMMYFUNCTION("""COMPUTED_VALUE"""),"2000")</f>
        <v>2000</v>
      </c>
      <c r="AE2303" s="14"/>
      <c r="AF2303" s="14"/>
    </row>
    <row r="2304">
      <c r="A2304" s="12">
        <v>2303.0</v>
      </c>
      <c r="B2304" s="12" t="s">
        <v>256</v>
      </c>
      <c r="C2304" s="5" t="s">
        <v>77</v>
      </c>
      <c r="D2304" s="8"/>
      <c r="E2304" s="8"/>
      <c r="F2304" s="8"/>
      <c r="G2304" s="8"/>
      <c r="H2304" s="11">
        <v>0.001</v>
      </c>
      <c r="I2304" s="11">
        <v>0.003</v>
      </c>
      <c r="J2304" s="9" t="s">
        <v>62</v>
      </c>
      <c r="K2304" s="14" t="str">
        <f>IFERROR(__xludf.DUMMYFUNCTION("ARRAYFORMULA(VLOOKUP(A2304,IMPORTRANGE(""https://docs.google.com/spreadsheets/d/1BuTWp7qHGjWhqrnf-OmePP568O4A5Am9ttzvVdP67zw/edit#gid=1603210130"", ""TOURISM!$A$2:$F$2692""), {2,3,4,5,6},0))"),"Africa")</f>
        <v>Africa</v>
      </c>
      <c r="L2304" s="14">
        <f>IFERROR(__xludf.DUMMYFUNCTION("""COMPUTED_VALUE"""),3000000.0)</f>
        <v>3000000</v>
      </c>
      <c r="M2304" s="14" t="str">
        <f>IFERROR(__xludf.DUMMYFUNCTION("""COMPUTED_VALUE"""),"Sudan-Africa")</f>
        <v>Sudan-Africa</v>
      </c>
      <c r="N2304" s="14" t="str">
        <f>IFERROR(__xludf.DUMMYFUNCTION("""COMPUTED_VALUE"""),"2001")</f>
        <v>2001</v>
      </c>
      <c r="O2304" s="14">
        <f>IFERROR(__xludf.DUMMYFUNCTION("""COMPUTED_VALUE"""),7.4E7)</f>
        <v>74000000</v>
      </c>
      <c r="P2304" s="15">
        <f>IFERROR(__xludf.DUMMYFUNCTION("ARRAYFORMULA(VLOOKUP(A2304,IMPORTRANGE(""https://docs.google.com/spreadsheets/d/1BuTWp7qHGjWhqrnf-OmePP568O4A5Am9ttzvVdP67zw/edit#gid=771602874"" ,""HUMAN RESOURCES!$A$2:$M$2692""), {2,3,4,5,6,7,8,9,10,11,12,13},0))"),0.039)</f>
        <v>0.039</v>
      </c>
      <c r="Q2304" s="14">
        <f>IFERROR(__xludf.DUMMYFUNCTION("""COMPUTED_VALUE"""),0.067)</f>
        <v>0.067</v>
      </c>
      <c r="R2304" s="14">
        <f>IFERROR(__xludf.DUMMYFUNCTION("""COMPUTED_VALUE"""),60.0)</f>
        <v>60</v>
      </c>
      <c r="S2304" s="14">
        <f>IFERROR(__xludf.DUMMYFUNCTION("""COMPUTED_VALUE"""),57.0)</f>
        <v>57</v>
      </c>
      <c r="T2304" s="14">
        <f>IFERROR(__xludf.DUMMYFUNCTION("""COMPUTED_VALUE"""),0.436)</f>
        <v>0.436</v>
      </c>
      <c r="U2304" s="14">
        <f>IFERROR(__xludf.DUMMYFUNCTION("""COMPUTED_VALUE"""),0.534)</f>
        <v>0.534</v>
      </c>
      <c r="V2304" s="14">
        <f>IFERROR(__xludf.DUMMYFUNCTION("""COMPUTED_VALUE"""),0.03)</f>
        <v>0.03</v>
      </c>
      <c r="W2304" s="14">
        <f>IFERROR(__xludf.DUMMYFUNCTION("""COMPUTED_VALUE"""),2.843481E7)</f>
        <v>28434810</v>
      </c>
      <c r="X2304" s="14">
        <f>IFERROR(__xludf.DUMMYFUNCTION("""COMPUTED_VALUE"""),0.325)</f>
        <v>0.325</v>
      </c>
      <c r="Y2304" s="14" t="str">
        <f>IFERROR(__xludf.DUMMYFUNCTION("""COMPUTED_VALUE"""),"Sudan-Africa")</f>
        <v>Sudan-Africa</v>
      </c>
      <c r="Z2304" s="14" t="str">
        <f>IFERROR(__xludf.DUMMYFUNCTION("""COMPUTED_VALUE"""),"Africa")</f>
        <v>Africa</v>
      </c>
      <c r="AA2304" s="14" t="str">
        <f>IFERROR(__xludf.DUMMYFUNCTION("""COMPUTED_VALUE"""),"2001")</f>
        <v>2001</v>
      </c>
      <c r="AB2304" s="15" t="str">
        <f>IFERROR(__xludf.DUMMYFUNCTION("ARRAYFORMULA(VLOOKUP(A2304,IMPORTRANGE(""https://docs.google.com/spreadsheets/d/1BuTWp7qHGjWhqrnf-OmePP568O4A5Am9ttzvVdP67zw/edit#gid=1931367683"" ,""ENERGY!$A$2:$F$2692""), {2,3,4,5,6},0))"),"Africa")</f>
        <v>Africa</v>
      </c>
      <c r="AC2304" s="14" t="str">
        <f>IFERROR(__xludf.DUMMYFUNCTION("""COMPUTED_VALUE"""),"Sudan-Africa")</f>
        <v>Sudan-Africa</v>
      </c>
      <c r="AD2304" s="14" t="str">
        <f>IFERROR(__xludf.DUMMYFUNCTION("""COMPUTED_VALUE"""),"2001")</f>
        <v>2001</v>
      </c>
      <c r="AE2304" s="14">
        <f>IFERROR(__xludf.DUMMYFUNCTION("""COMPUTED_VALUE"""),16622.0)</f>
        <v>16622</v>
      </c>
      <c r="AF2304" s="14"/>
    </row>
    <row r="2305">
      <c r="A2305" s="12">
        <v>2304.0</v>
      </c>
      <c r="B2305" s="12" t="s">
        <v>256</v>
      </c>
      <c r="C2305" s="5" t="s">
        <v>77</v>
      </c>
      <c r="D2305" s="8"/>
      <c r="E2305" s="8"/>
      <c r="F2305" s="8"/>
      <c r="G2305" s="8"/>
      <c r="H2305" s="11">
        <v>0.004</v>
      </c>
      <c r="I2305" s="11">
        <v>0.005</v>
      </c>
      <c r="J2305" s="9" t="s">
        <v>63</v>
      </c>
      <c r="K2305" s="14" t="str">
        <f>IFERROR(__xludf.DUMMYFUNCTION("ARRAYFORMULA(VLOOKUP(A2305,IMPORTRANGE(""https://docs.google.com/spreadsheets/d/1BuTWp7qHGjWhqrnf-OmePP568O4A5Am9ttzvVdP67zw/edit#gid=1603210130"", ""TOURISM!$A$2:$F$2692""), {2,3,4,5,6},0))"),"Africa")</f>
        <v>Africa</v>
      </c>
      <c r="L2305" s="14">
        <f>IFERROR(__xludf.DUMMYFUNCTION("""COMPUTED_VALUE"""),1.08E8)</f>
        <v>108000000</v>
      </c>
      <c r="M2305" s="14" t="str">
        <f>IFERROR(__xludf.DUMMYFUNCTION("""COMPUTED_VALUE"""),"Sudan-Africa")</f>
        <v>Sudan-Africa</v>
      </c>
      <c r="N2305" s="14" t="str">
        <f>IFERROR(__xludf.DUMMYFUNCTION("""COMPUTED_VALUE"""),"2002")</f>
        <v>2002</v>
      </c>
      <c r="O2305" s="14">
        <f>IFERROR(__xludf.DUMMYFUNCTION("""COMPUTED_VALUE"""),9.1E7)</f>
        <v>91000000</v>
      </c>
      <c r="P2305" s="15">
        <f>IFERROR(__xludf.DUMMYFUNCTION("ARRAYFORMULA(VLOOKUP(A2305,IMPORTRANGE(""https://docs.google.com/spreadsheets/d/1BuTWp7qHGjWhqrnf-OmePP568O4A5Am9ttzvVdP67zw/edit#gid=771602874"" ,""HUMAN RESOURCES!$A$2:$M$2692""), {2,3,4,5,6,7,8,9,10,11,12,13},0))"),0.039)</f>
        <v>0.039</v>
      </c>
      <c r="Q2305" s="14">
        <f>IFERROR(__xludf.DUMMYFUNCTION("""COMPUTED_VALUE"""),0.066)</f>
        <v>0.066</v>
      </c>
      <c r="R2305" s="14">
        <f>IFERROR(__xludf.DUMMYFUNCTION("""COMPUTED_VALUE"""),61.0)</f>
        <v>61</v>
      </c>
      <c r="S2305" s="14">
        <f>IFERROR(__xludf.DUMMYFUNCTION("""COMPUTED_VALUE"""),57.0)</f>
        <v>57</v>
      </c>
      <c r="T2305" s="14">
        <f>IFERROR(__xludf.DUMMYFUNCTION("""COMPUTED_VALUE"""),0.435)</f>
        <v>0.435</v>
      </c>
      <c r="U2305" s="14">
        <f>IFERROR(__xludf.DUMMYFUNCTION("""COMPUTED_VALUE"""),0.535)</f>
        <v>0.535</v>
      </c>
      <c r="V2305" s="14">
        <f>IFERROR(__xludf.DUMMYFUNCTION("""COMPUTED_VALUE"""),0.03)</f>
        <v>0.03</v>
      </c>
      <c r="W2305" s="14">
        <f>IFERROR(__xludf.DUMMYFUNCTION("""COMPUTED_VALUE"""),2.9186427E7)</f>
        <v>29186427</v>
      </c>
      <c r="X2305" s="14">
        <f>IFERROR(__xludf.DUMMYFUNCTION("""COMPUTED_VALUE"""),0.326)</f>
        <v>0.326</v>
      </c>
      <c r="Y2305" s="14" t="str">
        <f>IFERROR(__xludf.DUMMYFUNCTION("""COMPUTED_VALUE"""),"Sudan-Africa")</f>
        <v>Sudan-Africa</v>
      </c>
      <c r="Z2305" s="14" t="str">
        <f>IFERROR(__xludf.DUMMYFUNCTION("""COMPUTED_VALUE"""),"Africa")</f>
        <v>Africa</v>
      </c>
      <c r="AA2305" s="14" t="str">
        <f>IFERROR(__xludf.DUMMYFUNCTION("""COMPUTED_VALUE"""),"2002")</f>
        <v>2002</v>
      </c>
      <c r="AB2305" s="15" t="str">
        <f>IFERROR(__xludf.DUMMYFUNCTION("ARRAYFORMULA(VLOOKUP(A2305,IMPORTRANGE(""https://docs.google.com/spreadsheets/d/1BuTWp7qHGjWhqrnf-OmePP568O4A5Am9ttzvVdP67zw/edit#gid=1931367683"" ,""ENERGY!$A$2:$F$2692""), {2,3,4,5,6},0))"),"Africa")</f>
        <v>Africa</v>
      </c>
      <c r="AC2305" s="14" t="str">
        <f>IFERROR(__xludf.DUMMYFUNCTION("""COMPUTED_VALUE"""),"Sudan-Africa")</f>
        <v>Sudan-Africa</v>
      </c>
      <c r="AD2305" s="14" t="str">
        <f>IFERROR(__xludf.DUMMYFUNCTION("""COMPUTED_VALUE"""),"2002")</f>
        <v>2002</v>
      </c>
      <c r="AE2305" s="14">
        <f>IFERROR(__xludf.DUMMYFUNCTION("""COMPUTED_VALUE"""),16605.0)</f>
        <v>16605</v>
      </c>
      <c r="AF2305" s="14">
        <f>IFERROR(__xludf.DUMMYFUNCTION("""COMPUTED_VALUE"""),14173.0)</f>
        <v>14173</v>
      </c>
    </row>
    <row r="2306">
      <c r="A2306" s="12">
        <v>2305.0</v>
      </c>
      <c r="B2306" s="12" t="s">
        <v>256</v>
      </c>
      <c r="C2306" s="5" t="s">
        <v>77</v>
      </c>
      <c r="D2306" s="8"/>
      <c r="E2306" s="8"/>
      <c r="F2306" s="8"/>
      <c r="G2306" s="8"/>
      <c r="H2306" s="11">
        <v>0.005</v>
      </c>
      <c r="I2306" s="11">
        <v>0.014</v>
      </c>
      <c r="J2306" s="9" t="s">
        <v>64</v>
      </c>
      <c r="K2306" s="14" t="str">
        <f>IFERROR(__xludf.DUMMYFUNCTION("ARRAYFORMULA(VLOOKUP(A2306,IMPORTRANGE(""https://docs.google.com/spreadsheets/d/1BuTWp7qHGjWhqrnf-OmePP568O4A5Am9ttzvVdP67zw/edit#gid=1603210130"", ""TOURISM!$A$2:$F$2692""), {2,3,4,5,6},0))"),"Africa")</f>
        <v>Africa</v>
      </c>
      <c r="L2306" s="14">
        <f>IFERROR(__xludf.DUMMYFUNCTION("""COMPUTED_VALUE"""),1.7E7)</f>
        <v>17000000</v>
      </c>
      <c r="M2306" s="14" t="str">
        <f>IFERROR(__xludf.DUMMYFUNCTION("""COMPUTED_VALUE"""),"Sudan-Africa")</f>
        <v>Sudan-Africa</v>
      </c>
      <c r="N2306" s="14" t="str">
        <f>IFERROR(__xludf.DUMMYFUNCTION("""COMPUTED_VALUE"""),"2003")</f>
        <v>2003</v>
      </c>
      <c r="O2306" s="14">
        <f>IFERROR(__xludf.DUMMYFUNCTION("""COMPUTED_VALUE"""),1.19E8)</f>
        <v>119000000</v>
      </c>
      <c r="P2306" s="15">
        <f>IFERROR(__xludf.DUMMYFUNCTION("ARRAYFORMULA(VLOOKUP(A2306,IMPORTRANGE(""https://docs.google.com/spreadsheets/d/1BuTWp7qHGjWhqrnf-OmePP568O4A5Am9ttzvVdP67zw/edit#gid=771602874"" ,""HUMAN RESOURCES!$A$2:$M$2692""), {2,3,4,5,6,7,8,9,10,11,12,13},0))"),0.039)</f>
        <v>0.039</v>
      </c>
      <c r="Q2306" s="14">
        <f>IFERROR(__xludf.DUMMYFUNCTION("""COMPUTED_VALUE"""),0.064)</f>
        <v>0.064</v>
      </c>
      <c r="R2306" s="14">
        <f>IFERROR(__xludf.DUMMYFUNCTION("""COMPUTED_VALUE"""),61.0)</f>
        <v>61</v>
      </c>
      <c r="S2306" s="14">
        <f>IFERROR(__xludf.DUMMYFUNCTION("""COMPUTED_VALUE"""),57.0)</f>
        <v>57</v>
      </c>
      <c r="T2306" s="14">
        <f>IFERROR(__xludf.DUMMYFUNCTION("""COMPUTED_VALUE"""),0.435)</f>
        <v>0.435</v>
      </c>
      <c r="U2306" s="14">
        <f>IFERROR(__xludf.DUMMYFUNCTION("""COMPUTED_VALUE"""),0.535)</f>
        <v>0.535</v>
      </c>
      <c r="V2306" s="14">
        <f>IFERROR(__xludf.DUMMYFUNCTION("""COMPUTED_VALUE"""),0.03)</f>
        <v>0.03</v>
      </c>
      <c r="W2306" s="14">
        <f>IFERROR(__xludf.DUMMYFUNCTION("""COMPUTED_VALUE"""),2.9973979E7)</f>
        <v>29973979</v>
      </c>
      <c r="X2306" s="14">
        <f>IFERROR(__xludf.DUMMYFUNCTION("""COMPUTED_VALUE"""),0.327)</f>
        <v>0.327</v>
      </c>
      <c r="Y2306" s="14" t="str">
        <f>IFERROR(__xludf.DUMMYFUNCTION("""COMPUTED_VALUE"""),"Sudan-Africa")</f>
        <v>Sudan-Africa</v>
      </c>
      <c r="Z2306" s="14" t="str">
        <f>IFERROR(__xludf.DUMMYFUNCTION("""COMPUTED_VALUE"""),"Africa")</f>
        <v>Africa</v>
      </c>
      <c r="AA2306" s="14" t="str">
        <f>IFERROR(__xludf.DUMMYFUNCTION("""COMPUTED_VALUE"""),"2003")</f>
        <v>2003</v>
      </c>
      <c r="AB2306" s="15" t="str">
        <f>IFERROR(__xludf.DUMMYFUNCTION("ARRAYFORMULA(VLOOKUP(A2306,IMPORTRANGE(""https://docs.google.com/spreadsheets/d/1BuTWp7qHGjWhqrnf-OmePP568O4A5Am9ttzvVdP67zw/edit#gid=1931367683"" ,""ENERGY!$A$2:$F$2692""), {2,3,4,5,6},0))"),"Africa")</f>
        <v>Africa</v>
      </c>
      <c r="AC2306" s="14" t="str">
        <f>IFERROR(__xludf.DUMMYFUNCTION("""COMPUTED_VALUE"""),"Sudan-Africa")</f>
        <v>Sudan-Africa</v>
      </c>
      <c r="AD2306" s="14" t="str">
        <f>IFERROR(__xludf.DUMMYFUNCTION("""COMPUTED_VALUE"""),"2003")</f>
        <v>2003</v>
      </c>
      <c r="AE2306" s="14">
        <f>IFERROR(__xludf.DUMMYFUNCTION("""COMPUTED_VALUE"""),16297.0)</f>
        <v>16297</v>
      </c>
      <c r="AF2306" s="14">
        <f>IFERROR(__xludf.DUMMYFUNCTION("""COMPUTED_VALUE"""),14056.0)</f>
        <v>14056</v>
      </c>
    </row>
    <row r="2307">
      <c r="A2307" s="12">
        <v>2306.0</v>
      </c>
      <c r="B2307" s="12" t="s">
        <v>256</v>
      </c>
      <c r="C2307" s="5" t="s">
        <v>77</v>
      </c>
      <c r="D2307" s="8"/>
      <c r="E2307" s="11">
        <v>39.0</v>
      </c>
      <c r="F2307" s="8"/>
      <c r="G2307" s="8"/>
      <c r="H2307" s="11">
        <v>0.008</v>
      </c>
      <c r="I2307" s="11">
        <v>0.028</v>
      </c>
      <c r="J2307" s="9" t="s">
        <v>65</v>
      </c>
      <c r="K2307" s="14" t="str">
        <f>IFERROR(__xludf.DUMMYFUNCTION("ARRAYFORMULA(VLOOKUP(A2307,IMPORTRANGE(""https://docs.google.com/spreadsheets/d/1BuTWp7qHGjWhqrnf-OmePP568O4A5Am9ttzvVdP67zw/edit#gid=1603210130"", ""TOURISM!$A$2:$F$2692""), {2,3,4,5,6},0))"),"Africa")</f>
        <v>Africa</v>
      </c>
      <c r="L2307" s="14">
        <f>IFERROR(__xludf.DUMMYFUNCTION("""COMPUTED_VALUE"""),2.1E7)</f>
        <v>21000000</v>
      </c>
      <c r="M2307" s="14" t="str">
        <f>IFERROR(__xludf.DUMMYFUNCTION("""COMPUTED_VALUE"""),"Sudan-Africa")</f>
        <v>Sudan-Africa</v>
      </c>
      <c r="N2307" s="14" t="str">
        <f>IFERROR(__xludf.DUMMYFUNCTION("""COMPUTED_VALUE"""),"2004")</f>
        <v>2004</v>
      </c>
      <c r="O2307" s="14">
        <f>IFERROR(__xludf.DUMMYFUNCTION("""COMPUTED_VALUE"""),1.76E8)</f>
        <v>176000000</v>
      </c>
      <c r="P2307" s="15">
        <f>IFERROR(__xludf.DUMMYFUNCTION("ARRAYFORMULA(VLOOKUP(A2307,IMPORTRANGE(""https://docs.google.com/spreadsheets/d/1BuTWp7qHGjWhqrnf-OmePP568O4A5Am9ttzvVdP67zw/edit#gid=771602874"" ,""HUMAN RESOURCES!$A$2:$M$2692""), {2,3,4,5,6,7,8,9,10,11,12,13},0))"),0.038)</f>
        <v>0.038</v>
      </c>
      <c r="Q2307" s="14">
        <f>IFERROR(__xludf.DUMMYFUNCTION("""COMPUTED_VALUE"""),0.063)</f>
        <v>0.063</v>
      </c>
      <c r="R2307" s="14">
        <f>IFERROR(__xludf.DUMMYFUNCTION("""COMPUTED_VALUE"""),61.0)</f>
        <v>61</v>
      </c>
      <c r="S2307" s="14">
        <f>IFERROR(__xludf.DUMMYFUNCTION("""COMPUTED_VALUE"""),58.0)</f>
        <v>58</v>
      </c>
      <c r="T2307" s="14">
        <f>IFERROR(__xludf.DUMMYFUNCTION("""COMPUTED_VALUE"""),0.433)</f>
        <v>0.433</v>
      </c>
      <c r="U2307" s="14">
        <f>IFERROR(__xludf.DUMMYFUNCTION("""COMPUTED_VALUE"""),0.536)</f>
        <v>0.536</v>
      </c>
      <c r="V2307" s="14">
        <f>IFERROR(__xludf.DUMMYFUNCTION("""COMPUTED_VALUE"""),0.03)</f>
        <v>0.03</v>
      </c>
      <c r="W2307" s="14">
        <f>IFERROR(__xludf.DUMMYFUNCTION("""COMPUTED_VALUE"""),3.0778572E7)</f>
        <v>30778572</v>
      </c>
      <c r="X2307" s="14">
        <f>IFERROR(__xludf.DUMMYFUNCTION("""COMPUTED_VALUE"""),0.327)</f>
        <v>0.327</v>
      </c>
      <c r="Y2307" s="14" t="str">
        <f>IFERROR(__xludf.DUMMYFUNCTION("""COMPUTED_VALUE"""),"Sudan-Africa")</f>
        <v>Sudan-Africa</v>
      </c>
      <c r="Z2307" s="14" t="str">
        <f>IFERROR(__xludf.DUMMYFUNCTION("""COMPUTED_VALUE"""),"Africa")</f>
        <v>Africa</v>
      </c>
      <c r="AA2307" s="14" t="str">
        <f>IFERROR(__xludf.DUMMYFUNCTION("""COMPUTED_VALUE"""),"2004")</f>
        <v>2004</v>
      </c>
      <c r="AB2307" s="15" t="str">
        <f>IFERROR(__xludf.DUMMYFUNCTION("ARRAYFORMULA(VLOOKUP(A2307,IMPORTRANGE(""https://docs.google.com/spreadsheets/d/1BuTWp7qHGjWhqrnf-OmePP568O4A5Am9ttzvVdP67zw/edit#gid=1931367683"" ,""ENERGY!$A$2:$F$2692""), {2,3,4,5,6},0))"),"Africa")</f>
        <v>Africa</v>
      </c>
      <c r="AC2307" s="14" t="str">
        <f>IFERROR(__xludf.DUMMYFUNCTION("""COMPUTED_VALUE"""),"Sudan-Africa")</f>
        <v>Sudan-Africa</v>
      </c>
      <c r="AD2307" s="14" t="str">
        <f>IFERROR(__xludf.DUMMYFUNCTION("""COMPUTED_VALUE"""),"2005")</f>
        <v>2005</v>
      </c>
      <c r="AE2307" s="14">
        <f>IFERROR(__xludf.DUMMYFUNCTION("""COMPUTED_VALUE"""),15539.0)</f>
        <v>15539</v>
      </c>
      <c r="AF2307" s="14">
        <f>IFERROR(__xludf.DUMMYFUNCTION("""COMPUTED_VALUE"""),12589.0)</f>
        <v>12589</v>
      </c>
    </row>
    <row r="2308">
      <c r="A2308" s="12">
        <v>2307.0</v>
      </c>
      <c r="B2308" s="12" t="s">
        <v>256</v>
      </c>
      <c r="C2308" s="5" t="s">
        <v>77</v>
      </c>
      <c r="D2308" s="11">
        <v>0.497</v>
      </c>
      <c r="E2308" s="11">
        <v>39.0</v>
      </c>
      <c r="F2308" s="8"/>
      <c r="G2308" s="11">
        <v>180.0</v>
      </c>
      <c r="H2308" s="11">
        <v>0.013</v>
      </c>
      <c r="I2308" s="11">
        <v>0.048</v>
      </c>
      <c r="J2308" s="9" t="s">
        <v>66</v>
      </c>
      <c r="K2308" s="14" t="str">
        <f>IFERROR(__xludf.DUMMYFUNCTION("ARRAYFORMULA(VLOOKUP(A2308,IMPORTRANGE(""https://docs.google.com/spreadsheets/d/1BuTWp7qHGjWhqrnf-OmePP568O4A5Am9ttzvVdP67zw/edit#gid=1603210130"", ""TOURISM!$A$2:$F$2692""), {2,3,4,5,6},0))"),"Africa")</f>
        <v>Africa</v>
      </c>
      <c r="L2308" s="14">
        <f>IFERROR(__xludf.DUMMYFUNCTION("""COMPUTED_VALUE"""),1.5E8)</f>
        <v>150000000</v>
      </c>
      <c r="M2308" s="14" t="str">
        <f>IFERROR(__xludf.DUMMYFUNCTION("""COMPUTED_VALUE"""),"Sudan-Africa")</f>
        <v>Sudan-Africa</v>
      </c>
      <c r="N2308" s="14" t="str">
        <f>IFERROR(__xludf.DUMMYFUNCTION("""COMPUTED_VALUE"""),"2005")</f>
        <v>2005</v>
      </c>
      <c r="O2308" s="14">
        <f>IFERROR(__xludf.DUMMYFUNCTION("""COMPUTED_VALUE"""),6.67E8)</f>
        <v>667000000</v>
      </c>
      <c r="P2308" s="15">
        <f>IFERROR(__xludf.DUMMYFUNCTION("ARRAYFORMULA(VLOOKUP(A2308,IMPORTRANGE(""https://docs.google.com/spreadsheets/d/1BuTWp7qHGjWhqrnf-OmePP568O4A5Am9ttzvVdP67zw/edit#gid=771602874"" ,""HUMAN RESOURCES!$A$2:$M$2692""), {2,3,4,5,6,7,8,9,10,11,12,13},0))"),0.038)</f>
        <v>0.038</v>
      </c>
      <c r="Q2308" s="14">
        <f>IFERROR(__xludf.DUMMYFUNCTION("""COMPUTED_VALUE"""),0.061)</f>
        <v>0.061</v>
      </c>
      <c r="R2308" s="14">
        <f>IFERROR(__xludf.DUMMYFUNCTION("""COMPUTED_VALUE"""),62.0)</f>
        <v>62</v>
      </c>
      <c r="S2308" s="14">
        <f>IFERROR(__xludf.DUMMYFUNCTION("""COMPUTED_VALUE"""),58.0)</f>
        <v>58</v>
      </c>
      <c r="T2308" s="14">
        <f>IFERROR(__xludf.DUMMYFUNCTION("""COMPUTED_VALUE"""),0.432)</f>
        <v>0.432</v>
      </c>
      <c r="U2308" s="14">
        <f>IFERROR(__xludf.DUMMYFUNCTION("""COMPUTED_VALUE"""),0.538)</f>
        <v>0.538</v>
      </c>
      <c r="V2308" s="14">
        <f>IFERROR(__xludf.DUMMYFUNCTION("""COMPUTED_VALUE"""),0.03)</f>
        <v>0.03</v>
      </c>
      <c r="W2308" s="14">
        <f>IFERROR(__xludf.DUMMYFUNCTION("""COMPUTED_VALUE"""),3.1585871E7)</f>
        <v>31585871</v>
      </c>
      <c r="X2308" s="14">
        <f>IFERROR(__xludf.DUMMYFUNCTION("""COMPUTED_VALUE"""),0.328)</f>
        <v>0.328</v>
      </c>
      <c r="Y2308" s="14" t="str">
        <f>IFERROR(__xludf.DUMMYFUNCTION("""COMPUTED_VALUE"""),"Sudan-Africa")</f>
        <v>Sudan-Africa</v>
      </c>
      <c r="Z2308" s="14" t="str">
        <f>IFERROR(__xludf.DUMMYFUNCTION("""COMPUTED_VALUE"""),"Africa")</f>
        <v>Africa</v>
      </c>
      <c r="AA2308" s="14" t="str">
        <f>IFERROR(__xludf.DUMMYFUNCTION("""COMPUTED_VALUE"""),"2005")</f>
        <v>2005</v>
      </c>
      <c r="AB2308" s="15" t="str">
        <f>IFERROR(__xludf.DUMMYFUNCTION("ARRAYFORMULA(VLOOKUP(A2308,IMPORTRANGE(""https://docs.google.com/spreadsheets/d/1BuTWp7qHGjWhqrnf-OmePP568O4A5Am9ttzvVdP67zw/edit#gid=1931367683"" ,""ENERGY!$A$2:$F$2692""), {2,3,4,5,6},0))"),"Africa")</f>
        <v>Africa</v>
      </c>
      <c r="AC2308" s="14" t="str">
        <f>IFERROR(__xludf.DUMMYFUNCTION("""COMPUTED_VALUE"""),"Sudan-Africa")</f>
        <v>Sudan-Africa</v>
      </c>
      <c r="AD2308" s="14" t="str">
        <f>IFERROR(__xludf.DUMMYFUNCTION("""COMPUTED_VALUE"""),"2009")</f>
        <v>2009</v>
      </c>
      <c r="AE2308" s="14">
        <f>IFERROR(__xludf.DUMMYFUNCTION("""COMPUTED_VALUE"""),15294.0)</f>
        <v>15294</v>
      </c>
      <c r="AF2308" s="14">
        <f>IFERROR(__xludf.DUMMYFUNCTION("""COMPUTED_VALUE"""),12541.0)</f>
        <v>12541</v>
      </c>
    </row>
    <row r="2309">
      <c r="A2309" s="12">
        <v>2308.0</v>
      </c>
      <c r="B2309" s="12" t="s">
        <v>256</v>
      </c>
      <c r="C2309" s="5" t="s">
        <v>77</v>
      </c>
      <c r="D2309" s="11">
        <v>0.361</v>
      </c>
      <c r="E2309" s="11">
        <v>39.0</v>
      </c>
      <c r="F2309" s="8"/>
      <c r="G2309" s="11">
        <v>180.0</v>
      </c>
      <c r="H2309" s="8"/>
      <c r="I2309" s="11">
        <v>0.119</v>
      </c>
      <c r="J2309" s="9" t="s">
        <v>67</v>
      </c>
      <c r="K2309" s="14" t="str">
        <f>IFERROR(__xludf.DUMMYFUNCTION("ARRAYFORMULA(VLOOKUP(A2309,IMPORTRANGE(""https://docs.google.com/spreadsheets/d/1BuTWp7qHGjWhqrnf-OmePP568O4A5Am9ttzvVdP67zw/edit#gid=1603210130"", ""TOURISM!$A$2:$F$2692""), {2,3,4,5,6},0))"),"Africa")</f>
        <v>Africa</v>
      </c>
      <c r="L2309" s="14">
        <f>IFERROR(__xludf.DUMMYFUNCTION("""COMPUTED_VALUE"""),2.52E8)</f>
        <v>252000000</v>
      </c>
      <c r="M2309" s="14" t="str">
        <f>IFERROR(__xludf.DUMMYFUNCTION("""COMPUTED_VALUE"""),"Sudan-Africa")</f>
        <v>Sudan-Africa</v>
      </c>
      <c r="N2309" s="14" t="str">
        <f>IFERROR(__xludf.DUMMYFUNCTION("""COMPUTED_VALUE"""),"2006")</f>
        <v>2006</v>
      </c>
      <c r="O2309" s="14">
        <f>IFERROR(__xludf.DUMMYFUNCTION("""COMPUTED_VALUE"""),1.414E9)</f>
        <v>1414000000</v>
      </c>
      <c r="P2309" s="15">
        <f>IFERROR(__xludf.DUMMYFUNCTION("ARRAYFORMULA(VLOOKUP(A2309,IMPORTRANGE(""https://docs.google.com/spreadsheets/d/1BuTWp7qHGjWhqrnf-OmePP568O4A5Am9ttzvVdP67zw/edit#gid=771602874"" ,""HUMAN RESOURCES!$A$2:$M$2692""), {2,3,4,5,6,7,8,9,10,11,12,13},0))"),0.037)</f>
        <v>0.037</v>
      </c>
      <c r="Q2309" s="14">
        <f>IFERROR(__xludf.DUMMYFUNCTION("""COMPUTED_VALUE"""),0.06)</f>
        <v>0.06</v>
      </c>
      <c r="R2309" s="14">
        <f>IFERROR(__xludf.DUMMYFUNCTION("""COMPUTED_VALUE"""),62.0)</f>
        <v>62</v>
      </c>
      <c r="S2309" s="14">
        <f>IFERROR(__xludf.DUMMYFUNCTION("""COMPUTED_VALUE"""),59.0)</f>
        <v>59</v>
      </c>
      <c r="T2309" s="14">
        <f>IFERROR(__xludf.DUMMYFUNCTION("""COMPUTED_VALUE"""),0.43)</f>
        <v>0.43</v>
      </c>
      <c r="U2309" s="14">
        <f>IFERROR(__xludf.DUMMYFUNCTION("""COMPUTED_VALUE"""),0.539)</f>
        <v>0.539</v>
      </c>
      <c r="V2309" s="14">
        <f>IFERROR(__xludf.DUMMYFUNCTION("""COMPUTED_VALUE"""),0.031)</f>
        <v>0.031</v>
      </c>
      <c r="W2309" s="14">
        <f>IFERROR(__xludf.DUMMYFUNCTION("""COMPUTED_VALUE"""),3.2397535E7)</f>
        <v>32397535</v>
      </c>
      <c r="X2309" s="14">
        <f>IFERROR(__xludf.DUMMYFUNCTION("""COMPUTED_VALUE"""),0.328)</f>
        <v>0.328</v>
      </c>
      <c r="Y2309" s="14" t="str">
        <f>IFERROR(__xludf.DUMMYFUNCTION("""COMPUTED_VALUE"""),"Sudan-Africa")</f>
        <v>Sudan-Africa</v>
      </c>
      <c r="Z2309" s="14" t="str">
        <f>IFERROR(__xludf.DUMMYFUNCTION("""COMPUTED_VALUE"""),"Africa")</f>
        <v>Africa</v>
      </c>
      <c r="AA2309" s="14" t="str">
        <f>IFERROR(__xludf.DUMMYFUNCTION("""COMPUTED_VALUE"""),"2006")</f>
        <v>2006</v>
      </c>
      <c r="AB2309" s="15" t="str">
        <f>IFERROR(__xludf.DUMMYFUNCTION("ARRAYFORMULA(VLOOKUP(A2309,IMPORTRANGE(""https://docs.google.com/spreadsheets/d/1BuTWp7qHGjWhqrnf-OmePP568O4A5Am9ttzvVdP67zw/edit#gid=1931367683"" ,""ENERGY!$A$2:$F$2692""), {2,3,4,5,6},0))"),"Africa")</f>
        <v>Africa</v>
      </c>
      <c r="AC2309" s="14" t="str">
        <f>IFERROR(__xludf.DUMMYFUNCTION("""COMPUTED_VALUE"""),"Sudan-Africa")</f>
        <v>Sudan-Africa</v>
      </c>
      <c r="AD2309" s="14" t="str">
        <f>IFERROR(__xludf.DUMMYFUNCTION("""COMPUTED_VALUE"""),"2012")</f>
        <v>2012</v>
      </c>
      <c r="AE2309" s="14">
        <f>IFERROR(__xludf.DUMMYFUNCTION("""COMPUTED_VALUE"""),15917.0)</f>
        <v>15917</v>
      </c>
      <c r="AF2309" s="14">
        <f>IFERROR(__xludf.DUMMYFUNCTION("""COMPUTED_VALUE"""),11503.0)</f>
        <v>11503</v>
      </c>
    </row>
    <row r="2310">
      <c r="A2310" s="12">
        <v>2309.0</v>
      </c>
      <c r="B2310" s="12" t="s">
        <v>256</v>
      </c>
      <c r="C2310" s="5" t="s">
        <v>77</v>
      </c>
      <c r="D2310" s="11">
        <v>0.361</v>
      </c>
      <c r="E2310" s="11">
        <v>39.0</v>
      </c>
      <c r="F2310" s="8"/>
      <c r="G2310" s="11">
        <v>180.0</v>
      </c>
      <c r="H2310" s="11">
        <v>0.087</v>
      </c>
      <c r="I2310" s="11">
        <v>0.204</v>
      </c>
      <c r="J2310" s="9" t="s">
        <v>68</v>
      </c>
      <c r="K2310" s="14" t="str">
        <f>IFERROR(__xludf.DUMMYFUNCTION("ARRAYFORMULA(VLOOKUP(A2310,IMPORTRANGE(""https://docs.google.com/spreadsheets/d/1BuTWp7qHGjWhqrnf-OmePP568O4A5Am9ttzvVdP67zw/edit#gid=1603210130"", ""TOURISM!$A$2:$F$2692""), {2,3,4,5,6},0))"),"Africa")</f>
        <v>Africa</v>
      </c>
      <c r="L2310" s="14">
        <f>IFERROR(__xludf.DUMMYFUNCTION("""COMPUTED_VALUE"""),2.62E8)</f>
        <v>262000000</v>
      </c>
      <c r="M2310" s="14" t="str">
        <f>IFERROR(__xludf.DUMMYFUNCTION("""COMPUTED_VALUE"""),"Sudan-Africa")</f>
        <v>Sudan-Africa</v>
      </c>
      <c r="N2310" s="14" t="str">
        <f>IFERROR(__xludf.DUMMYFUNCTION("""COMPUTED_VALUE"""),"2007")</f>
        <v>2007</v>
      </c>
      <c r="O2310" s="14">
        <f>IFERROR(__xludf.DUMMYFUNCTION("""COMPUTED_VALUE"""),1.477E9)</f>
        <v>1477000000</v>
      </c>
      <c r="P2310" s="15">
        <f>IFERROR(__xludf.DUMMYFUNCTION("ARRAYFORMULA(VLOOKUP(A2310,IMPORTRANGE(""https://docs.google.com/spreadsheets/d/1BuTWp7qHGjWhqrnf-OmePP568O4A5Am9ttzvVdP67zw/edit#gid=771602874"" ,""HUMAN RESOURCES!$A$2:$M$2692""), {2,3,4,5,6,7,8,9,10,11,12,13},0))"),0.036)</f>
        <v>0.036</v>
      </c>
      <c r="Q2310" s="14">
        <f>IFERROR(__xludf.DUMMYFUNCTION("""COMPUTED_VALUE"""),0.059)</f>
        <v>0.059</v>
      </c>
      <c r="R2310" s="14">
        <f>IFERROR(__xludf.DUMMYFUNCTION("""COMPUTED_VALUE"""),62.0)</f>
        <v>62</v>
      </c>
      <c r="S2310" s="14">
        <f>IFERROR(__xludf.DUMMYFUNCTION("""COMPUTED_VALUE"""),59.0)</f>
        <v>59</v>
      </c>
      <c r="T2310" s="14">
        <f>IFERROR(__xludf.DUMMYFUNCTION("""COMPUTED_VALUE"""),0.428)</f>
        <v>0.428</v>
      </c>
      <c r="U2310" s="14">
        <f>IFERROR(__xludf.DUMMYFUNCTION("""COMPUTED_VALUE"""),0.541)</f>
        <v>0.541</v>
      </c>
      <c r="V2310" s="14">
        <f>IFERROR(__xludf.DUMMYFUNCTION("""COMPUTED_VALUE"""),0.031)</f>
        <v>0.031</v>
      </c>
      <c r="W2310" s="14">
        <f>IFERROR(__xludf.DUMMYFUNCTION("""COMPUTED_VALUE"""),3.321825E7)</f>
        <v>33218250</v>
      </c>
      <c r="X2310" s="14">
        <f>IFERROR(__xludf.DUMMYFUNCTION("""COMPUTED_VALUE"""),0.329)</f>
        <v>0.329</v>
      </c>
      <c r="Y2310" s="14" t="str">
        <f>IFERROR(__xludf.DUMMYFUNCTION("""COMPUTED_VALUE"""),"Sudan-Africa")</f>
        <v>Sudan-Africa</v>
      </c>
      <c r="Z2310" s="14" t="str">
        <f>IFERROR(__xludf.DUMMYFUNCTION("""COMPUTED_VALUE"""),"Africa")</f>
        <v>Africa</v>
      </c>
      <c r="AA2310" s="14" t="str">
        <f>IFERROR(__xludf.DUMMYFUNCTION("""COMPUTED_VALUE"""),"2007")</f>
        <v>2007</v>
      </c>
      <c r="AB2310" s="15" t="str">
        <f>IFERROR(__xludf.DUMMYFUNCTION("ARRAYFORMULA(VLOOKUP(A2310,IMPORTRANGE(""https://docs.google.com/spreadsheets/d/1BuTWp7qHGjWhqrnf-OmePP568O4A5Am9ttzvVdP67zw/edit#gid=1931367683"" ,""ENERGY!$A$2:$F$2692""), {2,3,4,5,6},0))"),"Africa")</f>
        <v>Africa</v>
      </c>
      <c r="AC2310" s="14" t="str">
        <f>IFERROR(__xludf.DUMMYFUNCTION("""COMPUTED_VALUE"""),"Sudan-Africa")</f>
        <v>Sudan-Africa</v>
      </c>
      <c r="AD2310" s="14" t="str">
        <f>IFERROR(__xludf.DUMMYFUNCTION("""COMPUTED_VALUE"""),"2010")</f>
        <v>2010</v>
      </c>
      <c r="AE2310" s="14">
        <f>IFERROR(__xludf.DUMMYFUNCTION("""COMPUTED_VALUE"""),14837.0)</f>
        <v>14837</v>
      </c>
      <c r="AF2310" s="14">
        <f>IFERROR(__xludf.DUMMYFUNCTION("""COMPUTED_VALUE"""),10708.0)</f>
        <v>10708</v>
      </c>
    </row>
    <row r="2311">
      <c r="A2311" s="12">
        <v>2310.0</v>
      </c>
      <c r="B2311" s="12" t="s">
        <v>256</v>
      </c>
      <c r="C2311" s="5" t="s">
        <v>77</v>
      </c>
      <c r="D2311" s="11">
        <v>0.361</v>
      </c>
      <c r="E2311" s="11">
        <v>39.0</v>
      </c>
      <c r="F2311" s="8"/>
      <c r="G2311" s="11">
        <v>180.0</v>
      </c>
      <c r="H2311" s="8"/>
      <c r="I2311" s="11">
        <v>0.29</v>
      </c>
      <c r="J2311" s="9" t="s">
        <v>69</v>
      </c>
      <c r="K2311" s="14" t="str">
        <f>IFERROR(__xludf.DUMMYFUNCTION("ARRAYFORMULA(VLOOKUP(A2311,IMPORTRANGE(""https://docs.google.com/spreadsheets/d/1BuTWp7qHGjWhqrnf-OmePP568O4A5Am9ttzvVdP67zw/edit#gid=1603210130"", ""TOURISM!$A$2:$F$2692""), {2,3,4,5,6},0))"),"Africa")</f>
        <v>Africa</v>
      </c>
      <c r="L2311" s="14">
        <f>IFERROR(__xludf.DUMMYFUNCTION("""COMPUTED_VALUE"""),3.31E8)</f>
        <v>331000000</v>
      </c>
      <c r="M2311" s="14" t="str">
        <f>IFERROR(__xludf.DUMMYFUNCTION("""COMPUTED_VALUE"""),"Sudan-Africa")</f>
        <v>Sudan-Africa</v>
      </c>
      <c r="N2311" s="14" t="str">
        <f>IFERROR(__xludf.DUMMYFUNCTION("""COMPUTED_VALUE"""),"2008")</f>
        <v>2008</v>
      </c>
      <c r="O2311" s="14">
        <f>IFERROR(__xludf.DUMMYFUNCTION("""COMPUTED_VALUE"""),1.188E9)</f>
        <v>1188000000</v>
      </c>
      <c r="P2311" s="15">
        <f>IFERROR(__xludf.DUMMYFUNCTION("ARRAYFORMULA(VLOOKUP(A2311,IMPORTRANGE(""https://docs.google.com/spreadsheets/d/1BuTWp7qHGjWhqrnf-OmePP568O4A5Am9ttzvVdP67zw/edit#gid=771602874"" ,""HUMAN RESOURCES!$A$2:$M$2692""), {2,3,4,5,6,7,8,9,10,11,12,13},0))"),0.036)</f>
        <v>0.036</v>
      </c>
      <c r="Q2311" s="14">
        <f>IFERROR(__xludf.DUMMYFUNCTION("""COMPUTED_VALUE"""),0.058)</f>
        <v>0.058</v>
      </c>
      <c r="R2311" s="14">
        <f>IFERROR(__xludf.DUMMYFUNCTION("""COMPUTED_VALUE"""),63.0)</f>
        <v>63</v>
      </c>
      <c r="S2311" s="14">
        <f>IFERROR(__xludf.DUMMYFUNCTION("""COMPUTED_VALUE"""),59.0)</f>
        <v>59</v>
      </c>
      <c r="T2311" s="14">
        <f>IFERROR(__xludf.DUMMYFUNCTION("""COMPUTED_VALUE"""),0.426)</f>
        <v>0.426</v>
      </c>
      <c r="U2311" s="14">
        <f>IFERROR(__xludf.DUMMYFUNCTION("""COMPUTED_VALUE"""),0.543)</f>
        <v>0.543</v>
      </c>
      <c r="V2311" s="14">
        <f>IFERROR(__xludf.DUMMYFUNCTION("""COMPUTED_VALUE"""),0.031)</f>
        <v>0.031</v>
      </c>
      <c r="W2311" s="14">
        <f>IFERROR(__xludf.DUMMYFUNCTION("""COMPUTED_VALUE"""),3.4040065E7)</f>
        <v>34040065</v>
      </c>
      <c r="X2311" s="14">
        <f>IFERROR(__xludf.DUMMYFUNCTION("""COMPUTED_VALUE"""),0.329)</f>
        <v>0.329</v>
      </c>
      <c r="Y2311" s="14" t="str">
        <f>IFERROR(__xludf.DUMMYFUNCTION("""COMPUTED_VALUE"""),"Sudan-Africa")</f>
        <v>Sudan-Africa</v>
      </c>
      <c r="Z2311" s="14" t="str">
        <f>IFERROR(__xludf.DUMMYFUNCTION("""COMPUTED_VALUE"""),"Africa")</f>
        <v>Africa</v>
      </c>
      <c r="AA2311" s="14" t="str">
        <f>IFERROR(__xludf.DUMMYFUNCTION("""COMPUTED_VALUE"""),"2008")</f>
        <v>2008</v>
      </c>
      <c r="AB2311" s="15" t="str">
        <f>IFERROR(__xludf.DUMMYFUNCTION("ARRAYFORMULA(VLOOKUP(A2311,IMPORTRANGE(""https://docs.google.com/spreadsheets/d/1BuTWp7qHGjWhqrnf-OmePP568O4A5Am9ttzvVdP67zw/edit#gid=1931367683"" ,""ENERGY!$A$2:$F$2692""), {2,3,4,5,6},0))"),"Africa")</f>
        <v>Africa</v>
      </c>
      <c r="AC2311" s="14" t="str">
        <f>IFERROR(__xludf.DUMMYFUNCTION("""COMPUTED_VALUE"""),"Sudan-Africa")</f>
        <v>Sudan-Africa</v>
      </c>
      <c r="AD2311" s="14" t="str">
        <f>IFERROR(__xludf.DUMMYFUNCTION("""COMPUTED_VALUE"""),"2007")</f>
        <v>2007</v>
      </c>
      <c r="AE2311" s="14">
        <f>IFERROR(__xludf.DUMMYFUNCTION("""COMPUTED_VALUE"""),14769.0)</f>
        <v>14769</v>
      </c>
      <c r="AF2311" s="14">
        <f>IFERROR(__xludf.DUMMYFUNCTION("""COMPUTED_VALUE"""),11382.0)</f>
        <v>11382</v>
      </c>
    </row>
    <row r="2312">
      <c r="A2312" s="12">
        <v>2311.0</v>
      </c>
      <c r="B2312" s="12" t="s">
        <v>256</v>
      </c>
      <c r="C2312" s="5" t="s">
        <v>77</v>
      </c>
      <c r="D2312" s="11">
        <v>0.361</v>
      </c>
      <c r="E2312" s="11">
        <v>36.0</v>
      </c>
      <c r="F2312" s="8"/>
      <c r="G2312" s="11">
        <v>180.0</v>
      </c>
      <c r="H2312" s="8"/>
      <c r="I2312" s="11">
        <v>0.361</v>
      </c>
      <c r="J2312" s="9" t="s">
        <v>70</v>
      </c>
      <c r="K2312" s="14" t="str">
        <f>IFERROR(__xludf.DUMMYFUNCTION("ARRAYFORMULA(VLOOKUP(A2312,IMPORTRANGE(""https://docs.google.com/spreadsheets/d/1BuTWp7qHGjWhqrnf-OmePP568O4A5Am9ttzvVdP67zw/edit#gid=1603210130"", ""TOURISM!$A$2:$F$2692""), {2,3,4,5,6},0))"),"Africa")</f>
        <v>Africa</v>
      </c>
      <c r="L2312" s="14">
        <f>IFERROR(__xludf.DUMMYFUNCTION("""COMPUTED_VALUE"""),2.99E8)</f>
        <v>299000000</v>
      </c>
      <c r="M2312" s="14" t="str">
        <f>IFERROR(__xludf.DUMMYFUNCTION("""COMPUTED_VALUE"""),"Sudan-Africa")</f>
        <v>Sudan-Africa</v>
      </c>
      <c r="N2312" s="14" t="str">
        <f>IFERROR(__xludf.DUMMYFUNCTION("""COMPUTED_VALUE"""),"2009")</f>
        <v>2009</v>
      </c>
      <c r="O2312" s="14">
        <f>IFERROR(__xludf.DUMMYFUNCTION("""COMPUTED_VALUE"""),8.68E8)</f>
        <v>868000000</v>
      </c>
      <c r="P2312" s="15">
        <f>IFERROR(__xludf.DUMMYFUNCTION("ARRAYFORMULA(VLOOKUP(A2312,IMPORTRANGE(""https://docs.google.com/spreadsheets/d/1BuTWp7qHGjWhqrnf-OmePP568O4A5Am9ttzvVdP67zw/edit#gid=771602874"" ,""HUMAN RESOURCES!$A$2:$M$2692""), {2,3,4,5,6,7,8,9,10,11,12,13},0))"),0.035)</f>
        <v>0.035</v>
      </c>
      <c r="Q2312" s="14">
        <f>IFERROR(__xludf.DUMMYFUNCTION("""COMPUTED_VALUE"""),0.056)</f>
        <v>0.056</v>
      </c>
      <c r="R2312" s="14">
        <f>IFERROR(__xludf.DUMMYFUNCTION("""COMPUTED_VALUE"""),63.0)</f>
        <v>63</v>
      </c>
      <c r="S2312" s="14">
        <f>IFERROR(__xludf.DUMMYFUNCTION("""COMPUTED_VALUE"""),60.0)</f>
        <v>60</v>
      </c>
      <c r="T2312" s="14">
        <f>IFERROR(__xludf.DUMMYFUNCTION("""COMPUTED_VALUE"""),0.423)</f>
        <v>0.423</v>
      </c>
      <c r="U2312" s="14">
        <f>IFERROR(__xludf.DUMMYFUNCTION("""COMPUTED_VALUE"""),0.546)</f>
        <v>0.546</v>
      </c>
      <c r="V2312" s="14">
        <f>IFERROR(__xludf.DUMMYFUNCTION("""COMPUTED_VALUE"""),0.031)</f>
        <v>0.031</v>
      </c>
      <c r="W2312" s="14">
        <f>IFERROR(__xludf.DUMMYFUNCTION("""COMPUTED_VALUE"""),3.4853178E7)</f>
        <v>34853178</v>
      </c>
      <c r="X2312" s="14">
        <f>IFERROR(__xludf.DUMMYFUNCTION("""COMPUTED_VALUE"""),0.33)</f>
        <v>0.33</v>
      </c>
      <c r="Y2312" s="14" t="str">
        <f>IFERROR(__xludf.DUMMYFUNCTION("""COMPUTED_VALUE"""),"Sudan-Africa")</f>
        <v>Sudan-Africa</v>
      </c>
      <c r="Z2312" s="14" t="str">
        <f>IFERROR(__xludf.DUMMYFUNCTION("""COMPUTED_VALUE"""),"Africa")</f>
        <v>Africa</v>
      </c>
      <c r="AA2312" s="14" t="str">
        <f>IFERROR(__xludf.DUMMYFUNCTION("""COMPUTED_VALUE"""),"2009")</f>
        <v>2009</v>
      </c>
      <c r="AB2312" s="15" t="str">
        <f>IFERROR(__xludf.DUMMYFUNCTION("ARRAYFORMULA(VLOOKUP(A2312,IMPORTRANGE(""https://docs.google.com/spreadsheets/d/1BuTWp7qHGjWhqrnf-OmePP568O4A5Am9ttzvVdP67zw/edit#gid=1931367683"" ,""ENERGY!$A$2:$F$2692""), {2,3,4,5,6},0))"),"Africa")</f>
        <v>Africa</v>
      </c>
      <c r="AC2312" s="14" t="str">
        <f>IFERROR(__xludf.DUMMYFUNCTION("""COMPUTED_VALUE"""),"Sudan-Africa")</f>
        <v>Sudan-Africa</v>
      </c>
      <c r="AD2312" s="14" t="str">
        <f>IFERROR(__xludf.DUMMYFUNCTION("""COMPUTED_VALUE"""),"2012")</f>
        <v>2012</v>
      </c>
      <c r="AE2312" s="14">
        <f>IFERROR(__xludf.DUMMYFUNCTION("""COMPUTED_VALUE"""),14725.0)</f>
        <v>14725</v>
      </c>
      <c r="AF2312" s="14">
        <f>IFERROR(__xludf.DUMMYFUNCTION("""COMPUTED_VALUE"""),9072.0)</f>
        <v>9072</v>
      </c>
    </row>
    <row r="2313">
      <c r="A2313" s="12">
        <v>2312.0</v>
      </c>
      <c r="B2313" s="12" t="s">
        <v>256</v>
      </c>
      <c r="C2313" s="5" t="s">
        <v>77</v>
      </c>
      <c r="D2313" s="11">
        <v>0.361</v>
      </c>
      <c r="E2313" s="11">
        <v>36.0</v>
      </c>
      <c r="F2313" s="8"/>
      <c r="G2313" s="11">
        <v>180.0</v>
      </c>
      <c r="H2313" s="11">
        <v>0.167</v>
      </c>
      <c r="I2313" s="11">
        <v>0.415</v>
      </c>
      <c r="J2313" s="9" t="s">
        <v>71</v>
      </c>
      <c r="K2313" s="14" t="str">
        <f>IFERROR(__xludf.DUMMYFUNCTION("ARRAYFORMULA(VLOOKUP(A2313,IMPORTRANGE(""https://docs.google.com/spreadsheets/d/1BuTWp7qHGjWhqrnf-OmePP568O4A5Am9ttzvVdP67zw/edit#gid=1603210130"", ""TOURISM!$A$2:$F$2692""), {2,3,4,5,6},0))"),"Africa")</f>
        <v>Africa</v>
      </c>
      <c r="L2313" s="14">
        <f>IFERROR(__xludf.DUMMYFUNCTION("""COMPUTED_VALUE"""),9.4E7)</f>
        <v>94000000</v>
      </c>
      <c r="M2313" s="14" t="str">
        <f>IFERROR(__xludf.DUMMYFUNCTION("""COMPUTED_VALUE"""),"Sudan-Africa")</f>
        <v>Sudan-Africa</v>
      </c>
      <c r="N2313" s="14" t="str">
        <f>IFERROR(__xludf.DUMMYFUNCTION("""COMPUTED_VALUE"""),"2010")</f>
        <v>2010</v>
      </c>
      <c r="O2313" s="14">
        <f>IFERROR(__xludf.DUMMYFUNCTION("""COMPUTED_VALUE"""),1.116E9)</f>
        <v>1116000000</v>
      </c>
      <c r="P2313" s="15">
        <f>IFERROR(__xludf.DUMMYFUNCTION("ARRAYFORMULA(VLOOKUP(A2313,IMPORTRANGE(""https://docs.google.com/spreadsheets/d/1BuTWp7qHGjWhqrnf-OmePP568O4A5Am9ttzvVdP67zw/edit#gid=771602874"" ,""HUMAN RESOURCES!$A$2:$M$2692""), {2,3,4,5,6,7,8,9,10,11,12,13},0))"),0.035)</f>
        <v>0.035</v>
      </c>
      <c r="Q2313" s="14">
        <f>IFERROR(__xludf.DUMMYFUNCTION("""COMPUTED_VALUE"""),0.055)</f>
        <v>0.055</v>
      </c>
      <c r="R2313" s="14">
        <f>IFERROR(__xludf.DUMMYFUNCTION("""COMPUTED_VALUE"""),63.0)</f>
        <v>63</v>
      </c>
      <c r="S2313" s="14">
        <f>IFERROR(__xludf.DUMMYFUNCTION("""COMPUTED_VALUE"""),60.0)</f>
        <v>60</v>
      </c>
      <c r="T2313" s="14">
        <f>IFERROR(__xludf.DUMMYFUNCTION("""COMPUTED_VALUE"""),0.421)</f>
        <v>0.421</v>
      </c>
      <c r="U2313" s="14">
        <f>IFERROR(__xludf.DUMMYFUNCTION("""COMPUTED_VALUE"""),0.548)</f>
        <v>0.548</v>
      </c>
      <c r="V2313" s="14">
        <f>IFERROR(__xludf.DUMMYFUNCTION("""COMPUTED_VALUE"""),0.031)</f>
        <v>0.031</v>
      </c>
      <c r="W2313" s="14">
        <f>IFERROR(__xludf.DUMMYFUNCTION("""COMPUTED_VALUE"""),3.5652002E7)</f>
        <v>35652002</v>
      </c>
      <c r="X2313" s="14">
        <f>IFERROR(__xludf.DUMMYFUNCTION("""COMPUTED_VALUE"""),0.331)</f>
        <v>0.331</v>
      </c>
      <c r="Y2313" s="14" t="str">
        <f>IFERROR(__xludf.DUMMYFUNCTION("""COMPUTED_VALUE"""),"Sudan-Africa")</f>
        <v>Sudan-Africa</v>
      </c>
      <c r="Z2313" s="14" t="str">
        <f>IFERROR(__xludf.DUMMYFUNCTION("""COMPUTED_VALUE"""),"Africa")</f>
        <v>Africa</v>
      </c>
      <c r="AA2313" s="14" t="str">
        <f>IFERROR(__xludf.DUMMYFUNCTION("""COMPUTED_VALUE"""),"2010")</f>
        <v>2010</v>
      </c>
      <c r="AB2313" s="15" t="str">
        <f>IFERROR(__xludf.DUMMYFUNCTION("ARRAYFORMULA(VLOOKUP(A2313,IMPORTRANGE(""https://docs.google.com/spreadsheets/d/1BuTWp7qHGjWhqrnf-OmePP568O4A5Am9ttzvVdP67zw/edit#gid=1931367683"" ,""ENERGY!$A$2:$F$2692""), {2,3,4,5,6},0))"),"Africa")</f>
        <v>Africa</v>
      </c>
      <c r="AC2313" s="14" t="str">
        <f>IFERROR(__xludf.DUMMYFUNCTION("""COMPUTED_VALUE"""),"Sudan-Africa")</f>
        <v>Sudan-Africa</v>
      </c>
      <c r="AD2313" s="14" t="str">
        <f>IFERROR(__xludf.DUMMYFUNCTION("""COMPUTED_VALUE"""),"2009")</f>
        <v>2009</v>
      </c>
      <c r="AE2313" s="14">
        <f>IFERROR(__xludf.DUMMYFUNCTION("""COMPUTED_VALUE"""),15205.0)</f>
        <v>15205</v>
      </c>
      <c r="AF2313" s="14">
        <f>IFERROR(__xludf.DUMMYFUNCTION("""COMPUTED_VALUE"""),8119.0)</f>
        <v>8119</v>
      </c>
    </row>
    <row r="2314">
      <c r="A2314" s="12">
        <v>2313.0</v>
      </c>
      <c r="B2314" s="12" t="s">
        <v>256</v>
      </c>
      <c r="C2314" s="5" t="s">
        <v>77</v>
      </c>
      <c r="D2314" s="11">
        <v>0.361</v>
      </c>
      <c r="E2314" s="11">
        <v>36.0</v>
      </c>
      <c r="F2314" s="8"/>
      <c r="G2314" s="11">
        <v>180.0</v>
      </c>
      <c r="H2314" s="11">
        <v>0.173</v>
      </c>
      <c r="I2314" s="11">
        <v>0.688</v>
      </c>
      <c r="J2314" s="9" t="s">
        <v>72</v>
      </c>
      <c r="K2314" s="14" t="str">
        <f>IFERROR(__xludf.DUMMYFUNCTION("ARRAYFORMULA(VLOOKUP(A2314,IMPORTRANGE(""https://docs.google.com/spreadsheets/d/1BuTWp7qHGjWhqrnf-OmePP568O4A5Am9ttzvVdP67zw/edit#gid=1603210130"", ""TOURISM!$A$2:$F$2692""), {2,3,4,5,6},0))"),"Africa")</f>
        <v>Africa</v>
      </c>
      <c r="L2314" s="14">
        <f>IFERROR(__xludf.DUMMYFUNCTION("""COMPUTED_VALUE"""),1.85E8)</f>
        <v>185000000</v>
      </c>
      <c r="M2314" s="14" t="str">
        <f>IFERROR(__xludf.DUMMYFUNCTION("""COMPUTED_VALUE"""),"Sudan-Africa")</f>
        <v>Sudan-Africa</v>
      </c>
      <c r="N2314" s="14" t="str">
        <f>IFERROR(__xludf.DUMMYFUNCTION("""COMPUTED_VALUE"""),"2011")</f>
        <v>2011</v>
      </c>
      <c r="O2314" s="14">
        <f>IFERROR(__xludf.DUMMYFUNCTION("""COMPUTED_VALUE"""),9.37E8)</f>
        <v>937000000</v>
      </c>
      <c r="P2314" s="15">
        <f>IFERROR(__xludf.DUMMYFUNCTION("ARRAYFORMULA(VLOOKUP(A2314,IMPORTRANGE(""https://docs.google.com/spreadsheets/d/1BuTWp7qHGjWhqrnf-OmePP568O4A5Am9ttzvVdP67zw/edit#gid=771602874"" ,""HUMAN RESOURCES!$A$2:$M$2692""), {2,3,4,5,6,7,8,9,10,11,12,13},0))"),0.034)</f>
        <v>0.034</v>
      </c>
      <c r="Q2314" s="14">
        <f>IFERROR(__xludf.DUMMYFUNCTION("""COMPUTED_VALUE"""),0.054)</f>
        <v>0.054</v>
      </c>
      <c r="R2314" s="14">
        <f>IFERROR(__xludf.DUMMYFUNCTION("""COMPUTED_VALUE"""),63.0)</f>
        <v>63</v>
      </c>
      <c r="S2314" s="14">
        <f>IFERROR(__xludf.DUMMYFUNCTION("""COMPUTED_VALUE"""),60.0)</f>
        <v>60</v>
      </c>
      <c r="T2314" s="14">
        <f>IFERROR(__xludf.DUMMYFUNCTION("""COMPUTED_VALUE"""),0.418)</f>
        <v>0.418</v>
      </c>
      <c r="U2314" s="14">
        <f>IFERROR(__xludf.DUMMYFUNCTION("""COMPUTED_VALUE"""),0.551)</f>
        <v>0.551</v>
      </c>
      <c r="V2314" s="14">
        <f>IFERROR(__xludf.DUMMYFUNCTION("""COMPUTED_VALUE"""),0.032)</f>
        <v>0.032</v>
      </c>
      <c r="W2314" s="14">
        <f>IFERROR(__xludf.DUMMYFUNCTION("""COMPUTED_VALUE"""),3.6430923E7)</f>
        <v>36430923</v>
      </c>
      <c r="X2314" s="14">
        <f>IFERROR(__xludf.DUMMYFUNCTION("""COMPUTED_VALUE"""),0.332)</f>
        <v>0.332</v>
      </c>
      <c r="Y2314" s="14" t="str">
        <f>IFERROR(__xludf.DUMMYFUNCTION("""COMPUTED_VALUE"""),"Sudan-Africa")</f>
        <v>Sudan-Africa</v>
      </c>
      <c r="Z2314" s="14" t="str">
        <f>IFERROR(__xludf.DUMMYFUNCTION("""COMPUTED_VALUE"""),"Africa")</f>
        <v>Africa</v>
      </c>
      <c r="AA2314" s="14" t="str">
        <f>IFERROR(__xludf.DUMMYFUNCTION("""COMPUTED_VALUE"""),"2011")</f>
        <v>2011</v>
      </c>
      <c r="AB2314" s="15" t="str">
        <f>IFERROR(__xludf.DUMMYFUNCTION("ARRAYFORMULA(VLOOKUP(A2314,IMPORTRANGE(""https://docs.google.com/spreadsheets/d/1BuTWp7qHGjWhqrnf-OmePP568O4A5Am9ttzvVdP67zw/edit#gid=1931367683"" ,""ENERGY!$A$2:$F$2692""), {2,3,4,5,6},0))"),"Africa")</f>
        <v>Africa</v>
      </c>
      <c r="AC2314" s="14" t="str">
        <f>IFERROR(__xludf.DUMMYFUNCTION("""COMPUTED_VALUE"""),"Sudan-Africa")</f>
        <v>Sudan-Africa</v>
      </c>
      <c r="AD2314" s="14" t="str">
        <f>IFERROR(__xludf.DUMMYFUNCTION("""COMPUTED_VALUE"""),"2007")</f>
        <v>2007</v>
      </c>
      <c r="AE2314" s="14">
        <f>IFERROR(__xludf.DUMMYFUNCTION("""COMPUTED_VALUE"""),13988.0)</f>
        <v>13988</v>
      </c>
      <c r="AF2314" s="14">
        <f>IFERROR(__xludf.DUMMYFUNCTION("""COMPUTED_VALUE"""),6370.0)</f>
        <v>6370</v>
      </c>
    </row>
    <row r="2315">
      <c r="A2315" s="12">
        <v>2314.0</v>
      </c>
      <c r="B2315" s="12" t="s">
        <v>256</v>
      </c>
      <c r="C2315" s="5" t="s">
        <v>77</v>
      </c>
      <c r="D2315" s="11">
        <v>0.361</v>
      </c>
      <c r="E2315" s="11">
        <v>36.0</v>
      </c>
      <c r="F2315" s="11">
        <v>143.0</v>
      </c>
      <c r="G2315" s="11">
        <v>180.0</v>
      </c>
      <c r="H2315" s="11">
        <v>0.21</v>
      </c>
      <c r="I2315" s="11">
        <v>0.744</v>
      </c>
      <c r="J2315" s="9" t="s">
        <v>73</v>
      </c>
      <c r="K2315" s="14" t="str">
        <f>IFERROR(__xludf.DUMMYFUNCTION("ARRAYFORMULA(VLOOKUP(A2315,IMPORTRANGE(""https://docs.google.com/spreadsheets/d/1BuTWp7qHGjWhqrnf-OmePP568O4A5Am9ttzvVdP67zw/edit#gid=1603210130"", ""TOURISM!$A$2:$F$2692""), {2,3,4,5,6},0))"),"Africa")</f>
        <v>Africa</v>
      </c>
      <c r="L2315" s="14">
        <f>IFERROR(__xludf.DUMMYFUNCTION("""COMPUTED_VALUE"""),8.8E8)</f>
        <v>880000000</v>
      </c>
      <c r="M2315" s="14" t="str">
        <f>IFERROR(__xludf.DUMMYFUNCTION("""COMPUTED_VALUE"""),"Sudan-Africa")</f>
        <v>Sudan-Africa</v>
      </c>
      <c r="N2315" s="14" t="str">
        <f>IFERROR(__xludf.DUMMYFUNCTION("""COMPUTED_VALUE"""),"2012")</f>
        <v>2012</v>
      </c>
      <c r="O2315" s="14">
        <f>IFERROR(__xludf.DUMMYFUNCTION("""COMPUTED_VALUE"""),9.08E8)</f>
        <v>908000000</v>
      </c>
      <c r="P2315" s="15">
        <f>IFERROR(__xludf.DUMMYFUNCTION("ARRAYFORMULA(VLOOKUP(A2315,IMPORTRANGE(""https://docs.google.com/spreadsheets/d/1BuTWp7qHGjWhqrnf-OmePP568O4A5Am9ttzvVdP67zw/edit#gid=771602874"" ,""HUMAN RESOURCES!$A$2:$M$2692""), {2,3,4,5,6,7,8,9,10,11,12,13},0))"),0.034)</f>
        <v>0.034</v>
      </c>
      <c r="Q2315" s="14">
        <f>IFERROR(__xludf.DUMMYFUNCTION("""COMPUTED_VALUE"""),0.053)</f>
        <v>0.053</v>
      </c>
      <c r="R2315" s="14">
        <f>IFERROR(__xludf.DUMMYFUNCTION("""COMPUTED_VALUE"""),64.0)</f>
        <v>64</v>
      </c>
      <c r="S2315" s="14">
        <f>IFERROR(__xludf.DUMMYFUNCTION("""COMPUTED_VALUE"""),60.0)</f>
        <v>60</v>
      </c>
      <c r="T2315" s="14">
        <f>IFERROR(__xludf.DUMMYFUNCTION("""COMPUTED_VALUE"""),0.415)</f>
        <v>0.415</v>
      </c>
      <c r="U2315" s="14">
        <f>IFERROR(__xludf.DUMMYFUNCTION("""COMPUTED_VALUE"""),0.553)</f>
        <v>0.553</v>
      </c>
      <c r="V2315" s="14">
        <f>IFERROR(__xludf.DUMMYFUNCTION("""COMPUTED_VALUE"""),0.032)</f>
        <v>0.032</v>
      </c>
      <c r="W2315" s="14">
        <f>IFERROR(__xludf.DUMMYFUNCTION("""COMPUTED_VALUE"""),3.7195349E7)</f>
        <v>37195349</v>
      </c>
      <c r="X2315" s="14">
        <f>IFERROR(__xludf.DUMMYFUNCTION("""COMPUTED_VALUE"""),0.333)</f>
        <v>0.333</v>
      </c>
      <c r="Y2315" s="14" t="str">
        <f>IFERROR(__xludf.DUMMYFUNCTION("""COMPUTED_VALUE"""),"Sudan-Africa")</f>
        <v>Sudan-Africa</v>
      </c>
      <c r="Z2315" s="14" t="str">
        <f>IFERROR(__xludf.DUMMYFUNCTION("""COMPUTED_VALUE"""),"Africa")</f>
        <v>Africa</v>
      </c>
      <c r="AA2315" s="14" t="str">
        <f>IFERROR(__xludf.DUMMYFUNCTION("""COMPUTED_VALUE"""),"2012")</f>
        <v>2012</v>
      </c>
      <c r="AB2315" s="15" t="str">
        <f>IFERROR(__xludf.DUMMYFUNCTION("ARRAYFORMULA(VLOOKUP(A2315,IMPORTRANGE(""https://docs.google.com/spreadsheets/d/1BuTWp7qHGjWhqrnf-OmePP568O4A5Am9ttzvVdP67zw/edit#gid=1931367683"" ,""ENERGY!$A$2:$F$2692""), {2,3,4,5,6},0))"),"Africa")</f>
        <v>Africa</v>
      </c>
      <c r="AC2315" s="14" t="str">
        <f>IFERROR(__xludf.DUMMYFUNCTION("""COMPUTED_VALUE"""),"Sudan-Africa")</f>
        <v>Sudan-Africa</v>
      </c>
      <c r="AD2315" s="14" t="str">
        <f>IFERROR(__xludf.DUMMYFUNCTION("""COMPUTED_VALUE"""),"2012")</f>
        <v>2012</v>
      </c>
      <c r="AE2315" s="14">
        <f>IFERROR(__xludf.DUMMYFUNCTION("""COMPUTED_VALUE"""),13340.0)</f>
        <v>13340</v>
      </c>
      <c r="AF2315" s="14">
        <f>IFERROR(__xludf.DUMMYFUNCTION("""COMPUTED_VALUE"""),5534.0)</f>
        <v>5534</v>
      </c>
    </row>
    <row r="2316">
      <c r="A2316" s="12">
        <v>2315.0</v>
      </c>
      <c r="B2316" s="12" t="s">
        <v>257</v>
      </c>
      <c r="C2316" s="5" t="s">
        <v>84</v>
      </c>
      <c r="D2316" s="8"/>
      <c r="E2316" s="8"/>
      <c r="F2316" s="8"/>
      <c r="G2316" s="8"/>
      <c r="H2316" s="11">
        <v>0.025</v>
      </c>
      <c r="I2316" s="11">
        <v>0.088</v>
      </c>
      <c r="J2316" s="9" t="s">
        <v>60</v>
      </c>
      <c r="K2316" s="14" t="str">
        <f>IFERROR(__xludf.DUMMYFUNCTION("ARRAYFORMULA(VLOOKUP(A2316,IMPORTRANGE(""https://docs.google.com/spreadsheets/d/1BuTWp7qHGjWhqrnf-OmePP568O4A5Am9ttzvVdP67zw/edit#gid=1603210130"", ""TOURISM!$A$2:$F$2692""), {2,3,4,5,6},0))"),"The Americas")</f>
        <v>The Americas</v>
      </c>
      <c r="L2316" s="14">
        <f>IFERROR(__xludf.DUMMYFUNCTION("""COMPUTED_VALUE"""),4.2E7)</f>
        <v>42000000</v>
      </c>
      <c r="M2316" s="14" t="str">
        <f>IFERROR(__xludf.DUMMYFUNCTION("""COMPUTED_VALUE"""),"Suriname-The Americas")</f>
        <v>Suriname-The Americas</v>
      </c>
      <c r="N2316" s="14" t="str">
        <f>IFERROR(__xludf.DUMMYFUNCTION("""COMPUTED_VALUE"""),"2000")</f>
        <v>2000</v>
      </c>
      <c r="O2316" s="14">
        <f>IFERROR(__xludf.DUMMYFUNCTION("""COMPUTED_VALUE"""),6.7E7)</f>
        <v>67000000</v>
      </c>
      <c r="P2316" s="15">
        <f>IFERROR(__xludf.DUMMYFUNCTION("ARRAYFORMULA(VLOOKUP(A2316,IMPORTRANGE(""https://docs.google.com/spreadsheets/d/1BuTWp7qHGjWhqrnf-OmePP568O4A5Am9ttzvVdP67zw/edit#gid=771602874"" ,""HUMAN RESOURCES!$A$2:$M$2692""), {2,3,4,5,6,7,8,9,10,11,12,13},0))"),0.023)</f>
        <v>0.023</v>
      </c>
      <c r="Q2316" s="14">
        <f>IFERROR(__xludf.DUMMYFUNCTION("""COMPUTED_VALUE"""),0.03)</f>
        <v>0.03</v>
      </c>
      <c r="R2316" s="14">
        <f>IFERROR(__xludf.DUMMYFUNCTION("""COMPUTED_VALUE"""),71.0)</f>
        <v>71</v>
      </c>
      <c r="S2316" s="14">
        <f>IFERROR(__xludf.DUMMYFUNCTION("""COMPUTED_VALUE"""),65.0)</f>
        <v>65</v>
      </c>
      <c r="T2316" s="14">
        <f>IFERROR(__xludf.DUMMYFUNCTION("""COMPUTED_VALUE"""),0.306)</f>
        <v>0.306</v>
      </c>
      <c r="U2316" s="14">
        <f>IFERROR(__xludf.DUMMYFUNCTION("""COMPUTED_VALUE"""),0.637)</f>
        <v>0.637</v>
      </c>
      <c r="V2316" s="14">
        <f>IFERROR(__xludf.DUMMYFUNCTION("""COMPUTED_VALUE"""),0.057)</f>
        <v>0.057</v>
      </c>
      <c r="W2316" s="14">
        <f>IFERROR(__xludf.DUMMYFUNCTION("""COMPUTED_VALUE"""),466668.0)</f>
        <v>466668</v>
      </c>
      <c r="X2316" s="14">
        <f>IFERROR(__xludf.DUMMYFUNCTION("""COMPUTED_VALUE"""),0.664)</f>
        <v>0.664</v>
      </c>
      <c r="Y2316" s="14" t="str">
        <f>IFERROR(__xludf.DUMMYFUNCTION("""COMPUTED_VALUE"""),"Suriname-The Americas")</f>
        <v>Suriname-The Americas</v>
      </c>
      <c r="Z2316" s="14" t="str">
        <f>IFERROR(__xludf.DUMMYFUNCTION("""COMPUTED_VALUE"""),"The Americas")</f>
        <v>The Americas</v>
      </c>
      <c r="AA2316" s="14" t="str">
        <f>IFERROR(__xludf.DUMMYFUNCTION("""COMPUTED_VALUE"""),"2000")</f>
        <v>2000</v>
      </c>
      <c r="AB2316" s="15" t="str">
        <f>IFERROR(__xludf.DUMMYFUNCTION("ARRAYFORMULA(VLOOKUP(A2316,IMPORTRANGE(""https://docs.google.com/spreadsheets/d/1BuTWp7qHGjWhqrnf-OmePP568O4A5Am9ttzvVdP67zw/edit#gid=1931367683"" ,""ENERGY!$A$2:$F$2692""), {2,3,4,5,6},0))"),"The Americas")</f>
        <v>The Americas</v>
      </c>
      <c r="AC2316" s="14" t="str">
        <f>IFERROR(__xludf.DUMMYFUNCTION("""COMPUTED_VALUE"""),"Suriname-The Americas")</f>
        <v>Suriname-The Americas</v>
      </c>
      <c r="AD2316" s="14" t="str">
        <f>IFERROR(__xludf.DUMMYFUNCTION("""COMPUTED_VALUE"""),"2000")</f>
        <v>2000</v>
      </c>
      <c r="AE2316" s="14"/>
      <c r="AF2316" s="14"/>
    </row>
    <row r="2317">
      <c r="A2317" s="12">
        <v>2316.0</v>
      </c>
      <c r="B2317" s="12" t="s">
        <v>257</v>
      </c>
      <c r="C2317" s="5" t="s">
        <v>84</v>
      </c>
      <c r="D2317" s="8"/>
      <c r="E2317" s="8"/>
      <c r="F2317" s="8"/>
      <c r="G2317" s="8"/>
      <c r="H2317" s="11">
        <v>0.031</v>
      </c>
      <c r="I2317" s="11">
        <v>0.184</v>
      </c>
      <c r="J2317" s="9" t="s">
        <v>62</v>
      </c>
      <c r="K2317" s="14" t="str">
        <f>IFERROR(__xludf.DUMMYFUNCTION("ARRAYFORMULA(VLOOKUP(A2317,IMPORTRANGE(""https://docs.google.com/spreadsheets/d/1BuTWp7qHGjWhqrnf-OmePP568O4A5Am9ttzvVdP67zw/edit#gid=1603210130"", ""TOURISM!$A$2:$F$2692""), {2,3,4,5,6},0))"),"The Americas")</f>
        <v>The Americas</v>
      </c>
      <c r="L2317" s="14">
        <f>IFERROR(__xludf.DUMMYFUNCTION("""COMPUTED_VALUE"""),2.6E7)</f>
        <v>26000000</v>
      </c>
      <c r="M2317" s="14" t="str">
        <f>IFERROR(__xludf.DUMMYFUNCTION("""COMPUTED_VALUE"""),"Suriname-The Americas")</f>
        <v>Suriname-The Americas</v>
      </c>
      <c r="N2317" s="14" t="str">
        <f>IFERROR(__xludf.DUMMYFUNCTION("""COMPUTED_VALUE"""),"2001")</f>
        <v>2001</v>
      </c>
      <c r="O2317" s="14">
        <f>IFERROR(__xludf.DUMMYFUNCTION("""COMPUTED_VALUE"""),6.2E7)</f>
        <v>62000000</v>
      </c>
      <c r="P2317" s="15">
        <f>IFERROR(__xludf.DUMMYFUNCTION("ARRAYFORMULA(VLOOKUP(A2317,IMPORTRANGE(""https://docs.google.com/spreadsheets/d/1BuTWp7qHGjWhqrnf-OmePP568O4A5Am9ttzvVdP67zw/edit#gid=771602874"" ,""HUMAN RESOURCES!$A$2:$M$2692""), {2,3,4,5,6,7,8,9,10,11,12,13},0))"),0.022)</f>
        <v>0.022</v>
      </c>
      <c r="Q2317" s="14">
        <f>IFERROR(__xludf.DUMMYFUNCTION("""COMPUTED_VALUE"""),0.029)</f>
        <v>0.029</v>
      </c>
      <c r="R2317" s="14">
        <f>IFERROR(__xludf.DUMMYFUNCTION("""COMPUTED_VALUE"""),72.0)</f>
        <v>72</v>
      </c>
      <c r="S2317" s="14">
        <f>IFERROR(__xludf.DUMMYFUNCTION("""COMPUTED_VALUE"""),65.0)</f>
        <v>65</v>
      </c>
      <c r="T2317" s="14">
        <f>IFERROR(__xludf.DUMMYFUNCTION("""COMPUTED_VALUE"""),0.304)</f>
        <v>0.304</v>
      </c>
      <c r="U2317" s="14">
        <f>IFERROR(__xludf.DUMMYFUNCTION("""COMPUTED_VALUE"""),0.638)</f>
        <v>0.638</v>
      </c>
      <c r="V2317" s="14">
        <f>IFERROR(__xludf.DUMMYFUNCTION("""COMPUTED_VALUE"""),0.058)</f>
        <v>0.058</v>
      </c>
      <c r="W2317" s="14">
        <f>IFERROR(__xludf.DUMMYFUNCTION("""COMPUTED_VALUE"""),473312.0)</f>
        <v>473312</v>
      </c>
      <c r="X2317" s="14">
        <f>IFERROR(__xludf.DUMMYFUNCTION("""COMPUTED_VALUE"""),0.665)</f>
        <v>0.665</v>
      </c>
      <c r="Y2317" s="14" t="str">
        <f>IFERROR(__xludf.DUMMYFUNCTION("""COMPUTED_VALUE"""),"Suriname-The Americas")</f>
        <v>Suriname-The Americas</v>
      </c>
      <c r="Z2317" s="14" t="str">
        <f>IFERROR(__xludf.DUMMYFUNCTION("""COMPUTED_VALUE"""),"The Americas")</f>
        <v>The Americas</v>
      </c>
      <c r="AA2317" s="14" t="str">
        <f>IFERROR(__xludf.DUMMYFUNCTION("""COMPUTED_VALUE"""),"2001")</f>
        <v>2001</v>
      </c>
      <c r="AB2317" s="15" t="str">
        <f>IFERROR(__xludf.DUMMYFUNCTION("ARRAYFORMULA(VLOOKUP(A2317,IMPORTRANGE(""https://docs.google.com/spreadsheets/d/1BuTWp7qHGjWhqrnf-OmePP568O4A5Am9ttzvVdP67zw/edit#gid=1931367683"" ,""ENERGY!$A$2:$F$2692""), {2,3,4,5,6},0))"),"The Americas")</f>
        <v>The Americas</v>
      </c>
      <c r="AC2317" s="14" t="str">
        <f>IFERROR(__xludf.DUMMYFUNCTION("""COMPUTED_VALUE"""),"Suriname-The Americas")</f>
        <v>Suriname-The Americas</v>
      </c>
      <c r="AD2317" s="14" t="str">
        <f>IFERROR(__xludf.DUMMYFUNCTION("""COMPUTED_VALUE"""),"2001")</f>
        <v>2001</v>
      </c>
      <c r="AE2317" s="14"/>
      <c r="AF2317" s="14"/>
    </row>
    <row r="2318">
      <c r="A2318" s="12">
        <v>2317.0</v>
      </c>
      <c r="B2318" s="12" t="s">
        <v>257</v>
      </c>
      <c r="C2318" s="5" t="s">
        <v>84</v>
      </c>
      <c r="D2318" s="8"/>
      <c r="E2318" s="8"/>
      <c r="F2318" s="8"/>
      <c r="G2318" s="8"/>
      <c r="H2318" s="11">
        <v>0.042</v>
      </c>
      <c r="I2318" s="11">
        <v>0.226</v>
      </c>
      <c r="J2318" s="9" t="s">
        <v>63</v>
      </c>
      <c r="K2318" s="14" t="str">
        <f>IFERROR(__xludf.DUMMYFUNCTION("ARRAYFORMULA(VLOOKUP(A2318,IMPORTRANGE(""https://docs.google.com/spreadsheets/d/1BuTWp7qHGjWhqrnf-OmePP568O4A5Am9ttzvVdP67zw/edit#gid=1603210130"", ""TOURISM!$A$2:$F$2692""), {2,3,4,5,6},0))"),"The Americas")</f>
        <v>The Americas</v>
      </c>
      <c r="L2318" s="14">
        <f>IFERROR(__xludf.DUMMYFUNCTION("""COMPUTED_VALUE"""),1.7E7)</f>
        <v>17000000</v>
      </c>
      <c r="M2318" s="14" t="str">
        <f>IFERROR(__xludf.DUMMYFUNCTION("""COMPUTED_VALUE"""),"Suriname-The Americas")</f>
        <v>Suriname-The Americas</v>
      </c>
      <c r="N2318" s="14" t="str">
        <f>IFERROR(__xludf.DUMMYFUNCTION("""COMPUTED_VALUE"""),"2002")</f>
        <v>2002</v>
      </c>
      <c r="O2318" s="14">
        <f>IFERROR(__xludf.DUMMYFUNCTION("""COMPUTED_VALUE"""),5.4E7)</f>
        <v>54000000</v>
      </c>
      <c r="P2318" s="15">
        <f>IFERROR(__xludf.DUMMYFUNCTION("ARRAYFORMULA(VLOOKUP(A2318,IMPORTRANGE(""https://docs.google.com/spreadsheets/d/1BuTWp7qHGjWhqrnf-OmePP568O4A5Am9ttzvVdP67zw/edit#gid=771602874"" ,""HUMAN RESOURCES!$A$2:$M$2692""), {2,3,4,5,6,7,8,9,10,11,12,13},0))"),0.022)</f>
        <v>0.022</v>
      </c>
      <c r="Q2318" s="14">
        <f>IFERROR(__xludf.DUMMYFUNCTION("""COMPUTED_VALUE"""),0.029)</f>
        <v>0.029</v>
      </c>
      <c r="R2318" s="14">
        <f>IFERROR(__xludf.DUMMYFUNCTION("""COMPUTED_VALUE"""),72.0)</f>
        <v>72</v>
      </c>
      <c r="S2318" s="14">
        <f>IFERROR(__xludf.DUMMYFUNCTION("""COMPUTED_VALUE"""),65.0)</f>
        <v>65</v>
      </c>
      <c r="T2318" s="14">
        <f>IFERROR(__xludf.DUMMYFUNCTION("""COMPUTED_VALUE"""),0.303)</f>
        <v>0.303</v>
      </c>
      <c r="U2318" s="14">
        <f>IFERROR(__xludf.DUMMYFUNCTION("""COMPUTED_VALUE"""),0.639)</f>
        <v>0.639</v>
      </c>
      <c r="V2318" s="14">
        <f>IFERROR(__xludf.DUMMYFUNCTION("""COMPUTED_VALUE"""),0.059)</f>
        <v>0.059</v>
      </c>
      <c r="W2318" s="14">
        <f>IFERROR(__xludf.DUMMYFUNCTION("""COMPUTED_VALUE"""),480099.0)</f>
        <v>480099</v>
      </c>
      <c r="X2318" s="14">
        <f>IFERROR(__xludf.DUMMYFUNCTION("""COMPUTED_VALUE"""),0.666)</f>
        <v>0.666</v>
      </c>
      <c r="Y2318" s="14" t="str">
        <f>IFERROR(__xludf.DUMMYFUNCTION("""COMPUTED_VALUE"""),"Suriname-The Americas")</f>
        <v>Suriname-The Americas</v>
      </c>
      <c r="Z2318" s="14" t="str">
        <f>IFERROR(__xludf.DUMMYFUNCTION("""COMPUTED_VALUE"""),"The Americas")</f>
        <v>The Americas</v>
      </c>
      <c r="AA2318" s="14" t="str">
        <f>IFERROR(__xludf.DUMMYFUNCTION("""COMPUTED_VALUE"""),"2002")</f>
        <v>2002</v>
      </c>
      <c r="AB2318" s="15" t="str">
        <f>IFERROR(__xludf.DUMMYFUNCTION("ARRAYFORMULA(VLOOKUP(A2318,IMPORTRANGE(""https://docs.google.com/spreadsheets/d/1BuTWp7qHGjWhqrnf-OmePP568O4A5Am9ttzvVdP67zw/edit#gid=1931367683"" ,""ENERGY!$A$2:$F$2692""), {2,3,4,5,6},0))"),"The Americas")</f>
        <v>The Americas</v>
      </c>
      <c r="AC2318" s="14" t="str">
        <f>IFERROR(__xludf.DUMMYFUNCTION("""COMPUTED_VALUE"""),"Suriname-The Americas")</f>
        <v>Suriname-The Americas</v>
      </c>
      <c r="AD2318" s="14" t="str">
        <f>IFERROR(__xludf.DUMMYFUNCTION("""COMPUTED_VALUE"""),"2002")</f>
        <v>2002</v>
      </c>
      <c r="AE2318" s="14"/>
      <c r="AF2318" s="14">
        <f>IFERROR(__xludf.DUMMYFUNCTION("""COMPUTED_VALUE"""),2384.0)</f>
        <v>2384</v>
      </c>
    </row>
    <row r="2319">
      <c r="A2319" s="12">
        <v>2318.0</v>
      </c>
      <c r="B2319" s="12" t="s">
        <v>257</v>
      </c>
      <c r="C2319" s="5" t="s">
        <v>84</v>
      </c>
      <c r="D2319" s="8"/>
      <c r="E2319" s="8"/>
      <c r="F2319" s="8"/>
      <c r="G2319" s="8"/>
      <c r="H2319" s="11">
        <v>0.047</v>
      </c>
      <c r="I2319" s="11">
        <v>0.346</v>
      </c>
      <c r="J2319" s="9" t="s">
        <v>64</v>
      </c>
      <c r="K2319" s="14" t="str">
        <f>IFERROR(__xludf.DUMMYFUNCTION("ARRAYFORMULA(VLOOKUP(A2319,IMPORTRANGE(""https://docs.google.com/spreadsheets/d/1BuTWp7qHGjWhqrnf-OmePP568O4A5Am9ttzvVdP67zw/edit#gid=1603210130"", ""TOURISM!$A$2:$F$2692""), {2,3,4,5,6},0))"),"The Americas")</f>
        <v>The Americas</v>
      </c>
      <c r="L2319" s="14">
        <f>IFERROR(__xludf.DUMMYFUNCTION("""COMPUTED_VALUE"""),1.8E7)</f>
        <v>18000000</v>
      </c>
      <c r="M2319" s="14" t="str">
        <f>IFERROR(__xludf.DUMMYFUNCTION("""COMPUTED_VALUE"""),"Suriname-The Americas")</f>
        <v>Suriname-The Americas</v>
      </c>
      <c r="N2319" s="14" t="str">
        <f>IFERROR(__xludf.DUMMYFUNCTION("""COMPUTED_VALUE"""),"2003")</f>
        <v>2003</v>
      </c>
      <c r="O2319" s="14">
        <f>IFERROR(__xludf.DUMMYFUNCTION("""COMPUTED_VALUE"""),6.8E7)</f>
        <v>68000000</v>
      </c>
      <c r="P2319" s="15">
        <f>IFERROR(__xludf.DUMMYFUNCTION("ARRAYFORMULA(VLOOKUP(A2319,IMPORTRANGE(""https://docs.google.com/spreadsheets/d/1BuTWp7qHGjWhqrnf-OmePP568O4A5Am9ttzvVdP67zw/edit#gid=771602874"" ,""HUMAN RESOURCES!$A$2:$M$2692""), {2,3,4,5,6,7,8,9,10,11,12,13},0))"),0.021)</f>
        <v>0.021</v>
      </c>
      <c r="Q2319" s="14">
        <f>IFERROR(__xludf.DUMMYFUNCTION("""COMPUTED_VALUE"""),0.028)</f>
        <v>0.028</v>
      </c>
      <c r="R2319" s="14">
        <f>IFERROR(__xludf.DUMMYFUNCTION("""COMPUTED_VALUE"""),72.0)</f>
        <v>72</v>
      </c>
      <c r="S2319" s="14">
        <f>IFERROR(__xludf.DUMMYFUNCTION("""COMPUTED_VALUE"""),65.0)</f>
        <v>65</v>
      </c>
      <c r="T2319" s="14">
        <f>IFERROR(__xludf.DUMMYFUNCTION("""COMPUTED_VALUE"""),0.301)</f>
        <v>0.301</v>
      </c>
      <c r="U2319" s="14">
        <f>IFERROR(__xludf.DUMMYFUNCTION("""COMPUTED_VALUE"""),0.639)</f>
        <v>0.639</v>
      </c>
      <c r="V2319" s="14">
        <f>IFERROR(__xludf.DUMMYFUNCTION("""COMPUTED_VALUE"""),0.059)</f>
        <v>0.059</v>
      </c>
      <c r="W2319" s="14">
        <f>IFERROR(__xludf.DUMMYFUNCTION("""COMPUTED_VALUE"""),486867.0)</f>
        <v>486867</v>
      </c>
      <c r="X2319" s="14">
        <f>IFERROR(__xludf.DUMMYFUNCTION("""COMPUTED_VALUE"""),0.667)</f>
        <v>0.667</v>
      </c>
      <c r="Y2319" s="14" t="str">
        <f>IFERROR(__xludf.DUMMYFUNCTION("""COMPUTED_VALUE"""),"Suriname-The Americas")</f>
        <v>Suriname-The Americas</v>
      </c>
      <c r="Z2319" s="14" t="str">
        <f>IFERROR(__xludf.DUMMYFUNCTION("""COMPUTED_VALUE"""),"The Americas")</f>
        <v>The Americas</v>
      </c>
      <c r="AA2319" s="14" t="str">
        <f>IFERROR(__xludf.DUMMYFUNCTION("""COMPUTED_VALUE"""),"2003")</f>
        <v>2003</v>
      </c>
      <c r="AB2319" s="15" t="str">
        <f>IFERROR(__xludf.DUMMYFUNCTION("ARRAYFORMULA(VLOOKUP(A2319,IMPORTRANGE(""https://docs.google.com/spreadsheets/d/1BuTWp7qHGjWhqrnf-OmePP568O4A5Am9ttzvVdP67zw/edit#gid=1931367683"" ,""ENERGY!$A$2:$F$2692""), {2,3,4,5,6},0))"),"The Americas")</f>
        <v>The Americas</v>
      </c>
      <c r="AC2319" s="14" t="str">
        <f>IFERROR(__xludf.DUMMYFUNCTION("""COMPUTED_VALUE"""),"Suriname-The Americas")</f>
        <v>Suriname-The Americas</v>
      </c>
      <c r="AD2319" s="14" t="str">
        <f>IFERROR(__xludf.DUMMYFUNCTION("""COMPUTED_VALUE"""),"2003")</f>
        <v>2003</v>
      </c>
      <c r="AE2319" s="14"/>
      <c r="AF2319" s="14">
        <f>IFERROR(__xludf.DUMMYFUNCTION("""COMPUTED_VALUE"""),2468.0)</f>
        <v>2468</v>
      </c>
    </row>
    <row r="2320">
      <c r="A2320" s="12">
        <v>2319.0</v>
      </c>
      <c r="B2320" s="12" t="s">
        <v>257</v>
      </c>
      <c r="C2320" s="5" t="s">
        <v>84</v>
      </c>
      <c r="D2320" s="8"/>
      <c r="E2320" s="8"/>
      <c r="F2320" s="8"/>
      <c r="G2320" s="8"/>
      <c r="H2320" s="11">
        <v>0.061</v>
      </c>
      <c r="I2320" s="11">
        <v>0.431</v>
      </c>
      <c r="J2320" s="9" t="s">
        <v>65</v>
      </c>
      <c r="K2320" s="14" t="str">
        <f>IFERROR(__xludf.DUMMYFUNCTION("ARRAYFORMULA(VLOOKUP(A2320,IMPORTRANGE(""https://docs.google.com/spreadsheets/d/1BuTWp7qHGjWhqrnf-OmePP568O4A5Am9ttzvVdP67zw/edit#gid=1603210130"", ""TOURISM!$A$2:$F$2692""), {2,3,4,5,6},0))"),"The Americas")</f>
        <v>The Americas</v>
      </c>
      <c r="L2320" s="14">
        <f>IFERROR(__xludf.DUMMYFUNCTION("""COMPUTED_VALUE"""),5.2E7)</f>
        <v>52000000</v>
      </c>
      <c r="M2320" s="14" t="str">
        <f>IFERROR(__xludf.DUMMYFUNCTION("""COMPUTED_VALUE"""),"Suriname-The Americas")</f>
        <v>Suriname-The Americas</v>
      </c>
      <c r="N2320" s="14" t="str">
        <f>IFERROR(__xludf.DUMMYFUNCTION("""COMPUTED_VALUE"""),"2004")</f>
        <v>2004</v>
      </c>
      <c r="O2320" s="14">
        <f>IFERROR(__xludf.DUMMYFUNCTION("""COMPUTED_VALUE"""),8.5E7)</f>
        <v>85000000</v>
      </c>
      <c r="P2320" s="15">
        <f>IFERROR(__xludf.DUMMYFUNCTION("ARRAYFORMULA(VLOOKUP(A2320,IMPORTRANGE(""https://docs.google.com/spreadsheets/d/1BuTWp7qHGjWhqrnf-OmePP568O4A5Am9ttzvVdP67zw/edit#gid=771602874"" ,""HUMAN RESOURCES!$A$2:$M$2692""), {2,3,4,5,6,7,8,9,10,11,12,13},0))"),0.021)</f>
        <v>0.021</v>
      </c>
      <c r="Q2320" s="14">
        <f>IFERROR(__xludf.DUMMYFUNCTION("""COMPUTED_VALUE"""),0.027)</f>
        <v>0.027</v>
      </c>
      <c r="R2320" s="14">
        <f>IFERROR(__xludf.DUMMYFUNCTION("""COMPUTED_VALUE"""),72.0)</f>
        <v>72</v>
      </c>
      <c r="S2320" s="14">
        <f>IFERROR(__xludf.DUMMYFUNCTION("""COMPUTED_VALUE"""),65.0)</f>
        <v>65</v>
      </c>
      <c r="T2320" s="14">
        <f>IFERROR(__xludf.DUMMYFUNCTION("""COMPUTED_VALUE"""),0.3)</f>
        <v>0.3</v>
      </c>
      <c r="U2320" s="14">
        <f>IFERROR(__xludf.DUMMYFUNCTION("""COMPUTED_VALUE"""),0.64)</f>
        <v>0.64</v>
      </c>
      <c r="V2320" s="14">
        <f>IFERROR(__xludf.DUMMYFUNCTION("""COMPUTED_VALUE"""),0.06)</f>
        <v>0.06</v>
      </c>
      <c r="W2320" s="14">
        <f>IFERROR(__xludf.DUMMYFUNCTION("""COMPUTED_VALUE"""),493394.0)</f>
        <v>493394</v>
      </c>
      <c r="X2320" s="14">
        <f>IFERROR(__xludf.DUMMYFUNCTION("""COMPUTED_VALUE"""),0.667)</f>
        <v>0.667</v>
      </c>
      <c r="Y2320" s="14" t="str">
        <f>IFERROR(__xludf.DUMMYFUNCTION("""COMPUTED_VALUE"""),"Suriname-The Americas")</f>
        <v>Suriname-The Americas</v>
      </c>
      <c r="Z2320" s="14" t="str">
        <f>IFERROR(__xludf.DUMMYFUNCTION("""COMPUTED_VALUE"""),"The Americas")</f>
        <v>The Americas</v>
      </c>
      <c r="AA2320" s="14" t="str">
        <f>IFERROR(__xludf.DUMMYFUNCTION("""COMPUTED_VALUE"""),"2004")</f>
        <v>2004</v>
      </c>
      <c r="AB2320" s="15" t="str">
        <f>IFERROR(__xludf.DUMMYFUNCTION("ARRAYFORMULA(VLOOKUP(A2320,IMPORTRANGE(""https://docs.google.com/spreadsheets/d/1BuTWp7qHGjWhqrnf-OmePP568O4A5Am9ttzvVdP67zw/edit#gid=1931367683"" ,""ENERGY!$A$2:$F$2692""), {2,3,4,5,6},0))"),"The Americas")</f>
        <v>The Americas</v>
      </c>
      <c r="AC2320" s="14" t="str">
        <f>IFERROR(__xludf.DUMMYFUNCTION("""COMPUTED_VALUE"""),"Suriname-The Americas")</f>
        <v>Suriname-The Americas</v>
      </c>
      <c r="AD2320" s="14" t="str">
        <f>IFERROR(__xludf.DUMMYFUNCTION("""COMPUTED_VALUE"""),"2005")</f>
        <v>2005</v>
      </c>
      <c r="AE2320" s="14"/>
      <c r="AF2320" s="14">
        <f>IFERROR(__xludf.DUMMYFUNCTION("""COMPUTED_VALUE"""),2442.0)</f>
        <v>2442</v>
      </c>
    </row>
    <row r="2321">
      <c r="A2321" s="12">
        <v>2320.0</v>
      </c>
      <c r="B2321" s="12" t="s">
        <v>257</v>
      </c>
      <c r="C2321" s="5" t="s">
        <v>84</v>
      </c>
      <c r="D2321" s="11">
        <v>0.279</v>
      </c>
      <c r="E2321" s="11">
        <v>694.0</v>
      </c>
      <c r="F2321" s="8"/>
      <c r="G2321" s="11">
        <v>199.0</v>
      </c>
      <c r="H2321" s="11">
        <v>0.064</v>
      </c>
      <c r="I2321" s="11">
        <v>0.466</v>
      </c>
      <c r="J2321" s="9" t="s">
        <v>66</v>
      </c>
      <c r="K2321" s="14" t="str">
        <f>IFERROR(__xludf.DUMMYFUNCTION("ARRAYFORMULA(VLOOKUP(A2321,IMPORTRANGE(""https://docs.google.com/spreadsheets/d/1BuTWp7qHGjWhqrnf-OmePP568O4A5Am9ttzvVdP67zw/edit#gid=1603210130"", ""TOURISM!$A$2:$F$2692""), {2,3,4,5,6},0))"),"The Americas")</f>
        <v>The Americas</v>
      </c>
      <c r="L2321" s="14">
        <f>IFERROR(__xludf.DUMMYFUNCTION("""COMPUTED_VALUE"""),9.6E7)</f>
        <v>96000000</v>
      </c>
      <c r="M2321" s="14" t="str">
        <f>IFERROR(__xludf.DUMMYFUNCTION("""COMPUTED_VALUE"""),"Suriname-The Americas")</f>
        <v>Suriname-The Americas</v>
      </c>
      <c r="N2321" s="14" t="str">
        <f>IFERROR(__xludf.DUMMYFUNCTION("""COMPUTED_VALUE"""),"2005")</f>
        <v>2005</v>
      </c>
      <c r="O2321" s="14">
        <f>IFERROR(__xludf.DUMMYFUNCTION("""COMPUTED_VALUE"""),9.4E7)</f>
        <v>94000000</v>
      </c>
      <c r="P2321" s="15">
        <f>IFERROR(__xludf.DUMMYFUNCTION("ARRAYFORMULA(VLOOKUP(A2321,IMPORTRANGE(""https://docs.google.com/spreadsheets/d/1BuTWp7qHGjWhqrnf-OmePP568O4A5Am9ttzvVdP67zw/edit#gid=771602874"" ,""HUMAN RESOURCES!$A$2:$M$2692""), {2,3,4,5,6,7,8,9,10,11,12,13},0))"),0.02)</f>
        <v>0.02</v>
      </c>
      <c r="Q2321" s="14">
        <f>IFERROR(__xludf.DUMMYFUNCTION("""COMPUTED_VALUE"""),0.026)</f>
        <v>0.026</v>
      </c>
      <c r="R2321" s="14">
        <f>IFERROR(__xludf.DUMMYFUNCTION("""COMPUTED_VALUE"""),72.0)</f>
        <v>72</v>
      </c>
      <c r="S2321" s="14">
        <f>IFERROR(__xludf.DUMMYFUNCTION("""COMPUTED_VALUE"""),66.0)</f>
        <v>66</v>
      </c>
      <c r="T2321" s="14">
        <f>IFERROR(__xludf.DUMMYFUNCTION("""COMPUTED_VALUE"""),0.299)</f>
        <v>0.299</v>
      </c>
      <c r="U2321" s="14">
        <f>IFERROR(__xludf.DUMMYFUNCTION("""COMPUTED_VALUE"""),0.64)</f>
        <v>0.64</v>
      </c>
      <c r="V2321" s="14">
        <f>IFERROR(__xludf.DUMMYFUNCTION("""COMPUTED_VALUE"""),0.061)</f>
        <v>0.061</v>
      </c>
      <c r="W2321" s="14">
        <f>IFERROR(__xludf.DUMMYFUNCTION("""COMPUTED_VALUE"""),499523.0)</f>
        <v>499523</v>
      </c>
      <c r="X2321" s="14">
        <f>IFERROR(__xludf.DUMMYFUNCTION("""COMPUTED_VALUE"""),0.667)</f>
        <v>0.667</v>
      </c>
      <c r="Y2321" s="14" t="str">
        <f>IFERROR(__xludf.DUMMYFUNCTION("""COMPUTED_VALUE"""),"Suriname-The Americas")</f>
        <v>Suriname-The Americas</v>
      </c>
      <c r="Z2321" s="14" t="str">
        <f>IFERROR(__xludf.DUMMYFUNCTION("""COMPUTED_VALUE"""),"The Americas")</f>
        <v>The Americas</v>
      </c>
      <c r="AA2321" s="14" t="str">
        <f>IFERROR(__xludf.DUMMYFUNCTION("""COMPUTED_VALUE"""),"2005")</f>
        <v>2005</v>
      </c>
      <c r="AB2321" s="15" t="str">
        <f>IFERROR(__xludf.DUMMYFUNCTION("ARRAYFORMULA(VLOOKUP(A2321,IMPORTRANGE(""https://docs.google.com/spreadsheets/d/1BuTWp7qHGjWhqrnf-OmePP568O4A5Am9ttzvVdP67zw/edit#gid=1931367683"" ,""ENERGY!$A$2:$F$2692""), {2,3,4,5,6},0))"),"The Americas")</f>
        <v>The Americas</v>
      </c>
      <c r="AC2321" s="14" t="str">
        <f>IFERROR(__xludf.DUMMYFUNCTION("""COMPUTED_VALUE"""),"Suriname-The Americas")</f>
        <v>Suriname-The Americas</v>
      </c>
      <c r="AD2321" s="14" t="str">
        <f>IFERROR(__xludf.DUMMYFUNCTION("""COMPUTED_VALUE"""),"2009")</f>
        <v>2009</v>
      </c>
      <c r="AE2321" s="14">
        <f>IFERROR(__xludf.DUMMYFUNCTION("""COMPUTED_VALUE"""),714.0)</f>
        <v>714</v>
      </c>
      <c r="AF2321" s="14">
        <f>IFERROR(__xludf.DUMMYFUNCTION("""COMPUTED_VALUE"""),2442.0)</f>
        <v>2442</v>
      </c>
    </row>
    <row r="2322">
      <c r="A2322" s="12">
        <v>2321.0</v>
      </c>
      <c r="B2322" s="12" t="s">
        <v>257</v>
      </c>
      <c r="C2322" s="5" t="s">
        <v>84</v>
      </c>
      <c r="D2322" s="11">
        <v>0.279</v>
      </c>
      <c r="E2322" s="11">
        <v>694.0</v>
      </c>
      <c r="F2322" s="8"/>
      <c r="G2322" s="11">
        <v>199.0</v>
      </c>
      <c r="H2322" s="11">
        <v>0.095</v>
      </c>
      <c r="I2322" s="11">
        <v>0.633</v>
      </c>
      <c r="J2322" s="9" t="s">
        <v>67</v>
      </c>
      <c r="K2322" s="14" t="str">
        <f>IFERROR(__xludf.DUMMYFUNCTION("ARRAYFORMULA(VLOOKUP(A2322,IMPORTRANGE(""https://docs.google.com/spreadsheets/d/1BuTWp7qHGjWhqrnf-OmePP568O4A5Am9ttzvVdP67zw/edit#gid=1603210130"", ""TOURISM!$A$2:$F$2692""), {2,3,4,5,6},0))"),"The Americas")</f>
        <v>The Americas</v>
      </c>
      <c r="L2322" s="14">
        <f>IFERROR(__xludf.DUMMYFUNCTION("""COMPUTED_VALUE"""),1.09E8)</f>
        <v>109000000</v>
      </c>
      <c r="M2322" s="14" t="str">
        <f>IFERROR(__xludf.DUMMYFUNCTION("""COMPUTED_VALUE"""),"Suriname-The Americas")</f>
        <v>Suriname-The Americas</v>
      </c>
      <c r="N2322" s="14" t="str">
        <f>IFERROR(__xludf.DUMMYFUNCTION("""COMPUTED_VALUE"""),"2006")</f>
        <v>2006</v>
      </c>
      <c r="O2322" s="14">
        <f>IFERROR(__xludf.DUMMYFUNCTION("""COMPUTED_VALUE"""),3.3E7)</f>
        <v>33000000</v>
      </c>
      <c r="P2322" s="15">
        <f>IFERROR(__xludf.DUMMYFUNCTION("ARRAYFORMULA(VLOOKUP(A2322,IMPORTRANGE(""https://docs.google.com/spreadsheets/d/1BuTWp7qHGjWhqrnf-OmePP568O4A5Am9ttzvVdP67zw/edit#gid=771602874"" ,""HUMAN RESOURCES!$A$2:$M$2692""), {2,3,4,5,6,7,8,9,10,11,12,13},0))"),0.02)</f>
        <v>0.02</v>
      </c>
      <c r="Q2322" s="14">
        <f>IFERROR(__xludf.DUMMYFUNCTION("""COMPUTED_VALUE"""),0.025)</f>
        <v>0.025</v>
      </c>
      <c r="R2322" s="14">
        <f>IFERROR(__xludf.DUMMYFUNCTION("""COMPUTED_VALUE"""),73.0)</f>
        <v>73</v>
      </c>
      <c r="S2322" s="14">
        <f>IFERROR(__xludf.DUMMYFUNCTION("""COMPUTED_VALUE"""),66.0)</f>
        <v>66</v>
      </c>
      <c r="T2322" s="14">
        <f>IFERROR(__xludf.DUMMYFUNCTION("""COMPUTED_VALUE"""),0.297)</f>
        <v>0.297</v>
      </c>
      <c r="U2322" s="14">
        <f>IFERROR(__xludf.DUMMYFUNCTION("""COMPUTED_VALUE"""),0.641)</f>
        <v>0.641</v>
      </c>
      <c r="V2322" s="14">
        <f>IFERROR(__xludf.DUMMYFUNCTION("""COMPUTED_VALUE"""),0.062)</f>
        <v>0.062</v>
      </c>
      <c r="W2322" s="14">
        <f>IFERROR(__xludf.DUMMYFUNCTION("""COMPUTED_VALUE"""),505186.0)</f>
        <v>505186</v>
      </c>
      <c r="X2322" s="14">
        <f>IFERROR(__xludf.DUMMYFUNCTION("""COMPUTED_VALUE"""),0.666)</f>
        <v>0.666</v>
      </c>
      <c r="Y2322" s="14" t="str">
        <f>IFERROR(__xludf.DUMMYFUNCTION("""COMPUTED_VALUE"""),"Suriname-The Americas")</f>
        <v>Suriname-The Americas</v>
      </c>
      <c r="Z2322" s="14" t="str">
        <f>IFERROR(__xludf.DUMMYFUNCTION("""COMPUTED_VALUE"""),"The Americas")</f>
        <v>The Americas</v>
      </c>
      <c r="AA2322" s="14" t="str">
        <f>IFERROR(__xludf.DUMMYFUNCTION("""COMPUTED_VALUE"""),"2006")</f>
        <v>2006</v>
      </c>
      <c r="AB2322" s="15" t="str">
        <f>IFERROR(__xludf.DUMMYFUNCTION("ARRAYFORMULA(VLOOKUP(A2322,IMPORTRANGE(""https://docs.google.com/spreadsheets/d/1BuTWp7qHGjWhqrnf-OmePP568O4A5Am9ttzvVdP67zw/edit#gid=1931367683"" ,""ENERGY!$A$2:$F$2692""), {2,3,4,5,6},0))"),"The Americas")</f>
        <v>The Americas</v>
      </c>
      <c r="AC2322" s="14" t="str">
        <f>IFERROR(__xludf.DUMMYFUNCTION("""COMPUTED_VALUE"""),"Suriname-The Americas")</f>
        <v>Suriname-The Americas</v>
      </c>
      <c r="AD2322" s="14" t="str">
        <f>IFERROR(__xludf.DUMMYFUNCTION("""COMPUTED_VALUE"""),"2012")</f>
        <v>2012</v>
      </c>
      <c r="AE2322" s="14">
        <f>IFERROR(__xludf.DUMMYFUNCTION("""COMPUTED_VALUE"""),714.0)</f>
        <v>714</v>
      </c>
      <c r="AF2322" s="14">
        <f>IFERROR(__xludf.DUMMYFUNCTION("""COMPUTED_VALUE"""),2442.0)</f>
        <v>2442</v>
      </c>
    </row>
    <row r="2323">
      <c r="A2323" s="12">
        <v>2322.0</v>
      </c>
      <c r="B2323" s="12" t="s">
        <v>257</v>
      </c>
      <c r="C2323" s="5" t="s">
        <v>84</v>
      </c>
      <c r="D2323" s="11">
        <v>0.279</v>
      </c>
      <c r="E2323" s="11">
        <v>694.0</v>
      </c>
      <c r="F2323" s="8"/>
      <c r="G2323" s="11">
        <v>199.0</v>
      </c>
      <c r="H2323" s="11">
        <v>0.141</v>
      </c>
      <c r="I2323" s="11">
        <v>0.744</v>
      </c>
      <c r="J2323" s="9" t="s">
        <v>68</v>
      </c>
      <c r="K2323" s="14" t="str">
        <f>IFERROR(__xludf.DUMMYFUNCTION("ARRAYFORMULA(VLOOKUP(A2323,IMPORTRANGE(""https://docs.google.com/spreadsheets/d/1BuTWp7qHGjWhqrnf-OmePP568O4A5Am9ttzvVdP67zw/edit#gid=1603210130"", ""TOURISM!$A$2:$F$2692""), {2,3,4,5,6},0))"),"The Americas")</f>
        <v>The Americas</v>
      </c>
      <c r="L2323" s="14">
        <f>IFERROR(__xludf.DUMMYFUNCTION("""COMPUTED_VALUE"""),7.3E7)</f>
        <v>73000000</v>
      </c>
      <c r="M2323" s="14" t="str">
        <f>IFERROR(__xludf.DUMMYFUNCTION("""COMPUTED_VALUE"""),"Suriname-The Americas")</f>
        <v>Suriname-The Americas</v>
      </c>
      <c r="N2323" s="14" t="str">
        <f>IFERROR(__xludf.DUMMYFUNCTION("""COMPUTED_VALUE"""),"2007")</f>
        <v>2007</v>
      </c>
      <c r="O2323" s="14">
        <f>IFERROR(__xludf.DUMMYFUNCTION("""COMPUTED_VALUE"""),2.8E7)</f>
        <v>28000000</v>
      </c>
      <c r="P2323" s="15">
        <f>IFERROR(__xludf.DUMMYFUNCTION("ARRAYFORMULA(VLOOKUP(A2323,IMPORTRANGE(""https://docs.google.com/spreadsheets/d/1BuTWp7qHGjWhqrnf-OmePP568O4A5Am9ttzvVdP67zw/edit#gid=771602874"" ,""HUMAN RESOURCES!$A$2:$M$2692""), {2,3,4,5,6,7,8,9,10,11,12,13},0))"),0.019)</f>
        <v>0.019</v>
      </c>
      <c r="Q2323" s="14">
        <f>IFERROR(__xludf.DUMMYFUNCTION("""COMPUTED_VALUE"""),0.024)</f>
        <v>0.024</v>
      </c>
      <c r="R2323" s="14">
        <f>IFERROR(__xludf.DUMMYFUNCTION("""COMPUTED_VALUE"""),73.0)</f>
        <v>73</v>
      </c>
      <c r="S2323" s="14">
        <f>IFERROR(__xludf.DUMMYFUNCTION("""COMPUTED_VALUE"""),66.0)</f>
        <v>66</v>
      </c>
      <c r="T2323" s="14">
        <f>IFERROR(__xludf.DUMMYFUNCTION("""COMPUTED_VALUE"""),0.295)</f>
        <v>0.295</v>
      </c>
      <c r="U2323" s="14">
        <f>IFERROR(__xludf.DUMMYFUNCTION("""COMPUTED_VALUE"""),0.643)</f>
        <v>0.643</v>
      </c>
      <c r="V2323" s="14">
        <f>IFERROR(__xludf.DUMMYFUNCTION("""COMPUTED_VALUE"""),0.062)</f>
        <v>0.062</v>
      </c>
      <c r="W2323" s="14">
        <f>IFERROR(__xludf.DUMMYFUNCTION("""COMPUTED_VALUE"""),510433.0)</f>
        <v>510433</v>
      </c>
      <c r="X2323" s="14">
        <f>IFERROR(__xludf.DUMMYFUNCTION("""COMPUTED_VALUE"""),0.665)</f>
        <v>0.665</v>
      </c>
      <c r="Y2323" s="14" t="str">
        <f>IFERROR(__xludf.DUMMYFUNCTION("""COMPUTED_VALUE"""),"Suriname-The Americas")</f>
        <v>Suriname-The Americas</v>
      </c>
      <c r="Z2323" s="14" t="str">
        <f>IFERROR(__xludf.DUMMYFUNCTION("""COMPUTED_VALUE"""),"The Americas")</f>
        <v>The Americas</v>
      </c>
      <c r="AA2323" s="14" t="str">
        <f>IFERROR(__xludf.DUMMYFUNCTION("""COMPUTED_VALUE"""),"2007")</f>
        <v>2007</v>
      </c>
      <c r="AB2323" s="15" t="str">
        <f>IFERROR(__xludf.DUMMYFUNCTION("ARRAYFORMULA(VLOOKUP(A2323,IMPORTRANGE(""https://docs.google.com/spreadsheets/d/1BuTWp7qHGjWhqrnf-OmePP568O4A5Am9ttzvVdP67zw/edit#gid=1931367683"" ,""ENERGY!$A$2:$F$2692""), {2,3,4,5,6},0))"),"The Americas")</f>
        <v>The Americas</v>
      </c>
      <c r="AC2323" s="14" t="str">
        <f>IFERROR(__xludf.DUMMYFUNCTION("""COMPUTED_VALUE"""),"Suriname-The Americas")</f>
        <v>Suriname-The Americas</v>
      </c>
      <c r="AD2323" s="14" t="str">
        <f>IFERROR(__xludf.DUMMYFUNCTION("""COMPUTED_VALUE"""),"2010")</f>
        <v>2010</v>
      </c>
      <c r="AE2323" s="14">
        <f>IFERROR(__xludf.DUMMYFUNCTION("""COMPUTED_VALUE"""),696.0)</f>
        <v>696</v>
      </c>
      <c r="AF2323" s="14">
        <f>IFERROR(__xludf.DUMMYFUNCTION("""COMPUTED_VALUE"""),2380.0)</f>
        <v>2380</v>
      </c>
    </row>
    <row r="2324">
      <c r="A2324" s="12">
        <v>2323.0</v>
      </c>
      <c r="B2324" s="12" t="s">
        <v>257</v>
      </c>
      <c r="C2324" s="5" t="s">
        <v>84</v>
      </c>
      <c r="D2324" s="11">
        <v>0.279</v>
      </c>
      <c r="E2324" s="11">
        <v>694.0</v>
      </c>
      <c r="F2324" s="8"/>
      <c r="G2324" s="11">
        <v>199.0</v>
      </c>
      <c r="H2324" s="11">
        <v>0.211</v>
      </c>
      <c r="I2324" s="11">
        <v>1.275</v>
      </c>
      <c r="J2324" s="9" t="s">
        <v>69</v>
      </c>
      <c r="K2324" s="14" t="str">
        <f>IFERROR(__xludf.DUMMYFUNCTION("ARRAYFORMULA(VLOOKUP(A2324,IMPORTRANGE(""https://docs.google.com/spreadsheets/d/1BuTWp7qHGjWhqrnf-OmePP568O4A5Am9ttzvVdP67zw/edit#gid=1603210130"", ""TOURISM!$A$2:$F$2692""), {2,3,4,5,6},0))"),"The Americas")</f>
        <v>The Americas</v>
      </c>
      <c r="L2324" s="14">
        <f>IFERROR(__xludf.DUMMYFUNCTION("""COMPUTED_VALUE"""),8.3E7)</f>
        <v>83000000</v>
      </c>
      <c r="M2324" s="14" t="str">
        <f>IFERROR(__xludf.DUMMYFUNCTION("""COMPUTED_VALUE"""),"Suriname-The Americas")</f>
        <v>Suriname-The Americas</v>
      </c>
      <c r="N2324" s="14" t="str">
        <f>IFERROR(__xludf.DUMMYFUNCTION("""COMPUTED_VALUE"""),"2008")</f>
        <v>2008</v>
      </c>
      <c r="O2324" s="14">
        <f>IFERROR(__xludf.DUMMYFUNCTION("""COMPUTED_VALUE"""),3.5E7)</f>
        <v>35000000</v>
      </c>
      <c r="P2324" s="15">
        <f>IFERROR(__xludf.DUMMYFUNCTION("ARRAYFORMULA(VLOOKUP(A2324,IMPORTRANGE(""https://docs.google.com/spreadsheets/d/1BuTWp7qHGjWhqrnf-OmePP568O4A5Am9ttzvVdP67zw/edit#gid=771602874"" ,""HUMAN RESOURCES!$A$2:$M$2692""), {2,3,4,5,6,7,8,9,10,11,12,13},0))"),0.019)</f>
        <v>0.019</v>
      </c>
      <c r="Q2324" s="14">
        <f>IFERROR(__xludf.DUMMYFUNCTION("""COMPUTED_VALUE"""),0.024)</f>
        <v>0.024</v>
      </c>
      <c r="R2324" s="14">
        <f>IFERROR(__xludf.DUMMYFUNCTION("""COMPUTED_VALUE"""),73.0)</f>
        <v>73</v>
      </c>
      <c r="S2324" s="14">
        <f>IFERROR(__xludf.DUMMYFUNCTION("""COMPUTED_VALUE"""),67.0)</f>
        <v>67</v>
      </c>
      <c r="T2324" s="14">
        <f>IFERROR(__xludf.DUMMYFUNCTION("""COMPUTED_VALUE"""),0.293)</f>
        <v>0.293</v>
      </c>
      <c r="U2324" s="14">
        <f>IFERROR(__xludf.DUMMYFUNCTION("""COMPUTED_VALUE"""),0.644)</f>
        <v>0.644</v>
      </c>
      <c r="V2324" s="14">
        <f>IFERROR(__xludf.DUMMYFUNCTION("""COMPUTED_VALUE"""),0.063)</f>
        <v>0.063</v>
      </c>
      <c r="W2324" s="14">
        <f>IFERROR(__xludf.DUMMYFUNCTION("""COMPUTED_VALUE"""),515372.0)</f>
        <v>515372</v>
      </c>
      <c r="X2324" s="14">
        <f>IFERROR(__xludf.DUMMYFUNCTION("""COMPUTED_VALUE"""),0.665)</f>
        <v>0.665</v>
      </c>
      <c r="Y2324" s="14" t="str">
        <f>IFERROR(__xludf.DUMMYFUNCTION("""COMPUTED_VALUE"""),"Suriname-The Americas")</f>
        <v>Suriname-The Americas</v>
      </c>
      <c r="Z2324" s="14" t="str">
        <f>IFERROR(__xludf.DUMMYFUNCTION("""COMPUTED_VALUE"""),"The Americas")</f>
        <v>The Americas</v>
      </c>
      <c r="AA2324" s="14" t="str">
        <f>IFERROR(__xludf.DUMMYFUNCTION("""COMPUTED_VALUE"""),"2008")</f>
        <v>2008</v>
      </c>
      <c r="AB2324" s="15" t="str">
        <f>IFERROR(__xludf.DUMMYFUNCTION("ARRAYFORMULA(VLOOKUP(A2324,IMPORTRANGE(""https://docs.google.com/spreadsheets/d/1BuTWp7qHGjWhqrnf-OmePP568O4A5Am9ttzvVdP67zw/edit#gid=1931367683"" ,""ENERGY!$A$2:$F$2692""), {2,3,4,5,6},0))"),"The Americas")</f>
        <v>The Americas</v>
      </c>
      <c r="AC2324" s="14" t="str">
        <f>IFERROR(__xludf.DUMMYFUNCTION("""COMPUTED_VALUE"""),"Suriname-The Americas")</f>
        <v>Suriname-The Americas</v>
      </c>
      <c r="AD2324" s="14" t="str">
        <f>IFERROR(__xludf.DUMMYFUNCTION("""COMPUTED_VALUE"""),"2007")</f>
        <v>2007</v>
      </c>
      <c r="AE2324" s="14">
        <f>IFERROR(__xludf.DUMMYFUNCTION("""COMPUTED_VALUE"""),664.0)</f>
        <v>664</v>
      </c>
      <c r="AF2324" s="14">
        <f>IFERROR(__xludf.DUMMYFUNCTION("""COMPUTED_VALUE"""),2292.0)</f>
        <v>2292</v>
      </c>
    </row>
    <row r="2325">
      <c r="A2325" s="12">
        <v>2324.0</v>
      </c>
      <c r="B2325" s="12" t="s">
        <v>257</v>
      </c>
      <c r="C2325" s="5" t="s">
        <v>84</v>
      </c>
      <c r="D2325" s="11">
        <v>0.279</v>
      </c>
      <c r="E2325" s="11">
        <v>694.0</v>
      </c>
      <c r="F2325" s="8"/>
      <c r="G2325" s="11">
        <v>199.0</v>
      </c>
      <c r="H2325" s="11">
        <v>0.314</v>
      </c>
      <c r="I2325" s="11">
        <v>1.469</v>
      </c>
      <c r="J2325" s="9" t="s">
        <v>70</v>
      </c>
      <c r="K2325" s="14" t="str">
        <f>IFERROR(__xludf.DUMMYFUNCTION("ARRAYFORMULA(VLOOKUP(A2325,IMPORTRANGE(""https://docs.google.com/spreadsheets/d/1BuTWp7qHGjWhqrnf-OmePP568O4A5Am9ttzvVdP67zw/edit#gid=1603210130"", ""TOURISM!$A$2:$F$2692""), {2,3,4,5,6},0))"),"The Americas")</f>
        <v>The Americas</v>
      </c>
      <c r="L2325" s="14">
        <f>IFERROR(__xludf.DUMMYFUNCTION("""COMPUTED_VALUE"""),7.0E7)</f>
        <v>70000000</v>
      </c>
      <c r="M2325" s="14" t="str">
        <f>IFERROR(__xludf.DUMMYFUNCTION("""COMPUTED_VALUE"""),"Suriname-The Americas")</f>
        <v>Suriname-The Americas</v>
      </c>
      <c r="N2325" s="14" t="str">
        <f>IFERROR(__xludf.DUMMYFUNCTION("""COMPUTED_VALUE"""),"2009")</f>
        <v>2009</v>
      </c>
      <c r="O2325" s="14">
        <f>IFERROR(__xludf.DUMMYFUNCTION("""COMPUTED_VALUE"""),3.5E7)</f>
        <v>35000000</v>
      </c>
      <c r="P2325" s="15">
        <f>IFERROR(__xludf.DUMMYFUNCTION("ARRAYFORMULA(VLOOKUP(A2325,IMPORTRANGE(""https://docs.google.com/spreadsheets/d/1BuTWp7qHGjWhqrnf-OmePP568O4A5Am9ttzvVdP67zw/edit#gid=771602874"" ,""HUMAN RESOURCES!$A$2:$M$2692""), {2,3,4,5,6,7,8,9,10,11,12,13},0))"),0.019)</f>
        <v>0.019</v>
      </c>
      <c r="Q2325" s="14">
        <f>IFERROR(__xludf.DUMMYFUNCTION("""COMPUTED_VALUE"""),0.023)</f>
        <v>0.023</v>
      </c>
      <c r="R2325" s="14">
        <f>IFERROR(__xludf.DUMMYFUNCTION("""COMPUTED_VALUE"""),73.0)</f>
        <v>73</v>
      </c>
      <c r="S2325" s="14">
        <f>IFERROR(__xludf.DUMMYFUNCTION("""COMPUTED_VALUE"""),67.0)</f>
        <v>67</v>
      </c>
      <c r="T2325" s="14">
        <f>IFERROR(__xludf.DUMMYFUNCTION("""COMPUTED_VALUE"""),0.29)</f>
        <v>0.29</v>
      </c>
      <c r="U2325" s="14">
        <f>IFERROR(__xludf.DUMMYFUNCTION("""COMPUTED_VALUE"""),0.647)</f>
        <v>0.647</v>
      </c>
      <c r="V2325" s="14">
        <f>IFERROR(__xludf.DUMMYFUNCTION("""COMPUTED_VALUE"""),0.064)</f>
        <v>0.064</v>
      </c>
      <c r="W2325" s="14">
        <f>IFERROR(__xludf.DUMMYFUNCTION("""COMPUTED_VALUE"""),520173.0)</f>
        <v>520173</v>
      </c>
      <c r="X2325" s="14">
        <f>IFERROR(__xludf.DUMMYFUNCTION("""COMPUTED_VALUE"""),0.664)</f>
        <v>0.664</v>
      </c>
      <c r="Y2325" s="14" t="str">
        <f>IFERROR(__xludf.DUMMYFUNCTION("""COMPUTED_VALUE"""),"Suriname-The Americas")</f>
        <v>Suriname-The Americas</v>
      </c>
      <c r="Z2325" s="14" t="str">
        <f>IFERROR(__xludf.DUMMYFUNCTION("""COMPUTED_VALUE"""),"The Americas")</f>
        <v>The Americas</v>
      </c>
      <c r="AA2325" s="14" t="str">
        <f>IFERROR(__xludf.DUMMYFUNCTION("""COMPUTED_VALUE"""),"2009")</f>
        <v>2009</v>
      </c>
      <c r="AB2325" s="15" t="str">
        <f>IFERROR(__xludf.DUMMYFUNCTION("ARRAYFORMULA(VLOOKUP(A2325,IMPORTRANGE(""https://docs.google.com/spreadsheets/d/1BuTWp7qHGjWhqrnf-OmePP568O4A5Am9ttzvVdP67zw/edit#gid=1931367683"" ,""ENERGY!$A$2:$F$2692""), {2,3,4,5,6},0))"),"The Americas")</f>
        <v>The Americas</v>
      </c>
      <c r="AC2325" s="14" t="str">
        <f>IFERROR(__xludf.DUMMYFUNCTION("""COMPUTED_VALUE"""),"Suriname-The Americas")</f>
        <v>Suriname-The Americas</v>
      </c>
      <c r="AD2325" s="14" t="str">
        <f>IFERROR(__xludf.DUMMYFUNCTION("""COMPUTED_VALUE"""),"2012")</f>
        <v>2012</v>
      </c>
      <c r="AE2325" s="14"/>
      <c r="AF2325" s="14">
        <f>IFERROR(__xludf.DUMMYFUNCTION("""COMPUTED_VALUE"""),2241.0)</f>
        <v>2241</v>
      </c>
    </row>
    <row r="2326">
      <c r="A2326" s="12">
        <v>2325.0</v>
      </c>
      <c r="B2326" s="12" t="s">
        <v>257</v>
      </c>
      <c r="C2326" s="5" t="s">
        <v>84</v>
      </c>
      <c r="D2326" s="11">
        <v>0.279</v>
      </c>
      <c r="E2326" s="11">
        <v>694.0</v>
      </c>
      <c r="F2326" s="8"/>
      <c r="G2326" s="11">
        <v>199.0</v>
      </c>
      <c r="H2326" s="11">
        <v>0.316</v>
      </c>
      <c r="I2326" s="11">
        <v>0.993</v>
      </c>
      <c r="J2326" s="9" t="s">
        <v>71</v>
      </c>
      <c r="K2326" s="14" t="str">
        <f>IFERROR(__xludf.DUMMYFUNCTION("ARRAYFORMULA(VLOOKUP(A2326,IMPORTRANGE(""https://docs.google.com/spreadsheets/d/1BuTWp7qHGjWhqrnf-OmePP568O4A5Am9ttzvVdP67zw/edit#gid=1603210130"", ""TOURISM!$A$2:$F$2692""), {2,3,4,5,6},0))"),"The Americas")</f>
        <v>The Americas</v>
      </c>
      <c r="L2326" s="14">
        <f>IFERROR(__xludf.DUMMYFUNCTION("""COMPUTED_VALUE"""),6.9E7)</f>
        <v>69000000</v>
      </c>
      <c r="M2326" s="14" t="str">
        <f>IFERROR(__xludf.DUMMYFUNCTION("""COMPUTED_VALUE"""),"Suriname-The Americas")</f>
        <v>Suriname-The Americas</v>
      </c>
      <c r="N2326" s="14" t="str">
        <f>IFERROR(__xludf.DUMMYFUNCTION("""COMPUTED_VALUE"""),"2010")</f>
        <v>2010</v>
      </c>
      <c r="O2326" s="14">
        <f>IFERROR(__xludf.DUMMYFUNCTION("""COMPUTED_VALUE"""),4.1E7)</f>
        <v>41000000</v>
      </c>
      <c r="P2326" s="15">
        <f>IFERROR(__xludf.DUMMYFUNCTION("ARRAYFORMULA(VLOOKUP(A2326,IMPORTRANGE(""https://docs.google.com/spreadsheets/d/1BuTWp7qHGjWhqrnf-OmePP568O4A5Am9ttzvVdP67zw/edit#gid=771602874"" ,""HUMAN RESOURCES!$A$2:$M$2692""), {2,3,4,5,6,7,8,9,10,11,12,13},0))"),0.018)</f>
        <v>0.018</v>
      </c>
      <c r="Q2326" s="14">
        <f>IFERROR(__xludf.DUMMYFUNCTION("""COMPUTED_VALUE"""),0.022)</f>
        <v>0.022</v>
      </c>
      <c r="R2326" s="14">
        <f>IFERROR(__xludf.DUMMYFUNCTION("""COMPUTED_VALUE"""),74.0)</f>
        <v>74</v>
      </c>
      <c r="S2326" s="14">
        <f>IFERROR(__xludf.DUMMYFUNCTION("""COMPUTED_VALUE"""),67.0)</f>
        <v>67</v>
      </c>
      <c r="T2326" s="14">
        <f>IFERROR(__xludf.DUMMYFUNCTION("""COMPUTED_VALUE"""),0.286)</f>
        <v>0.286</v>
      </c>
      <c r="U2326" s="14">
        <f>IFERROR(__xludf.DUMMYFUNCTION("""COMPUTED_VALUE"""),0.649)</f>
        <v>0.649</v>
      </c>
      <c r="V2326" s="14">
        <f>IFERROR(__xludf.DUMMYFUNCTION("""COMPUTED_VALUE"""),0.064)</f>
        <v>0.064</v>
      </c>
      <c r="W2326" s="14">
        <f>IFERROR(__xludf.DUMMYFUNCTION("""COMPUTED_VALUE"""),524960.0)</f>
        <v>524960</v>
      </c>
      <c r="X2326" s="14">
        <f>IFERROR(__xludf.DUMMYFUNCTION("""COMPUTED_VALUE"""),0.663)</f>
        <v>0.663</v>
      </c>
      <c r="Y2326" s="14" t="str">
        <f>IFERROR(__xludf.DUMMYFUNCTION("""COMPUTED_VALUE"""),"Suriname-The Americas")</f>
        <v>Suriname-The Americas</v>
      </c>
      <c r="Z2326" s="14" t="str">
        <f>IFERROR(__xludf.DUMMYFUNCTION("""COMPUTED_VALUE"""),"The Americas")</f>
        <v>The Americas</v>
      </c>
      <c r="AA2326" s="14" t="str">
        <f>IFERROR(__xludf.DUMMYFUNCTION("""COMPUTED_VALUE"""),"2010")</f>
        <v>2010</v>
      </c>
      <c r="AB2326" s="15" t="str">
        <f>IFERROR(__xludf.DUMMYFUNCTION("ARRAYFORMULA(VLOOKUP(A2326,IMPORTRANGE(""https://docs.google.com/spreadsheets/d/1BuTWp7qHGjWhqrnf-OmePP568O4A5Am9ttzvVdP67zw/edit#gid=1931367683"" ,""ENERGY!$A$2:$F$2692""), {2,3,4,5,6},0))"),"The Americas")</f>
        <v>The Americas</v>
      </c>
      <c r="AC2326" s="14" t="str">
        <f>IFERROR(__xludf.DUMMYFUNCTION("""COMPUTED_VALUE"""),"Suriname-The Americas")</f>
        <v>Suriname-The Americas</v>
      </c>
      <c r="AD2326" s="14" t="str">
        <f>IFERROR(__xludf.DUMMYFUNCTION("""COMPUTED_VALUE"""),"2009")</f>
        <v>2009</v>
      </c>
      <c r="AE2326" s="14"/>
      <c r="AF2326" s="14">
        <f>IFERROR(__xludf.DUMMYFUNCTION("""COMPUTED_VALUE"""),2252.0)</f>
        <v>2252</v>
      </c>
    </row>
    <row r="2327">
      <c r="A2327" s="12">
        <v>2326.0</v>
      </c>
      <c r="B2327" s="12" t="s">
        <v>257</v>
      </c>
      <c r="C2327" s="5" t="s">
        <v>84</v>
      </c>
      <c r="D2327" s="11">
        <v>0.279</v>
      </c>
      <c r="E2327" s="11">
        <v>694.0</v>
      </c>
      <c r="F2327" s="8"/>
      <c r="G2327" s="11">
        <v>199.0</v>
      </c>
      <c r="H2327" s="11">
        <v>0.32</v>
      </c>
      <c r="I2327" s="11">
        <v>1.007</v>
      </c>
      <c r="J2327" s="9" t="s">
        <v>72</v>
      </c>
      <c r="K2327" s="14" t="str">
        <f>IFERROR(__xludf.DUMMYFUNCTION("ARRAYFORMULA(VLOOKUP(A2327,IMPORTRANGE(""https://docs.google.com/spreadsheets/d/1BuTWp7qHGjWhqrnf-OmePP568O4A5Am9ttzvVdP67zw/edit#gid=1603210130"", ""TOURISM!$A$2:$F$2692""), {2,3,4,5,6},0))"),"The Americas")</f>
        <v>The Americas</v>
      </c>
      <c r="L2327" s="14">
        <f>IFERROR(__xludf.DUMMYFUNCTION("""COMPUTED_VALUE"""),6.9E7)</f>
        <v>69000000</v>
      </c>
      <c r="M2327" s="14" t="str">
        <f>IFERROR(__xludf.DUMMYFUNCTION("""COMPUTED_VALUE"""),"Suriname-The Americas")</f>
        <v>Suriname-The Americas</v>
      </c>
      <c r="N2327" s="14" t="str">
        <f>IFERROR(__xludf.DUMMYFUNCTION("""COMPUTED_VALUE"""),"2011")</f>
        <v>2011</v>
      </c>
      <c r="O2327" s="14">
        <f>IFERROR(__xludf.DUMMYFUNCTION("""COMPUTED_VALUE"""),4.9E7)</f>
        <v>49000000</v>
      </c>
      <c r="P2327" s="15">
        <f>IFERROR(__xludf.DUMMYFUNCTION("ARRAYFORMULA(VLOOKUP(A2327,IMPORTRANGE(""https://docs.google.com/spreadsheets/d/1BuTWp7qHGjWhqrnf-OmePP568O4A5Am9ttzvVdP67zw/edit#gid=771602874"" ,""HUMAN RESOURCES!$A$2:$M$2692""), {2,3,4,5,6,7,8,9,10,11,12,13},0))"),0.018)</f>
        <v>0.018</v>
      </c>
      <c r="Q2327" s="14">
        <f>IFERROR(__xludf.DUMMYFUNCTION("""COMPUTED_VALUE"""),0.022)</f>
        <v>0.022</v>
      </c>
      <c r="R2327" s="14">
        <f>IFERROR(__xludf.DUMMYFUNCTION("""COMPUTED_VALUE"""),74.0)</f>
        <v>74</v>
      </c>
      <c r="S2327" s="14">
        <f>IFERROR(__xludf.DUMMYFUNCTION("""COMPUTED_VALUE"""),67.0)</f>
        <v>67</v>
      </c>
      <c r="T2327" s="14">
        <f>IFERROR(__xludf.DUMMYFUNCTION("""COMPUTED_VALUE"""),0.283)</f>
        <v>0.283</v>
      </c>
      <c r="U2327" s="14">
        <f>IFERROR(__xludf.DUMMYFUNCTION("""COMPUTED_VALUE"""),0.652)</f>
        <v>0.652</v>
      </c>
      <c r="V2327" s="14">
        <f>IFERROR(__xludf.DUMMYFUNCTION("""COMPUTED_VALUE"""),0.065)</f>
        <v>0.065</v>
      </c>
      <c r="W2327" s="14">
        <f>IFERROR(__xludf.DUMMYFUNCTION("""COMPUTED_VALUE"""),529761.0)</f>
        <v>529761</v>
      </c>
      <c r="X2327" s="14">
        <f>IFERROR(__xludf.DUMMYFUNCTION("""COMPUTED_VALUE"""),0.663)</f>
        <v>0.663</v>
      </c>
      <c r="Y2327" s="14" t="str">
        <f>IFERROR(__xludf.DUMMYFUNCTION("""COMPUTED_VALUE"""),"Suriname-The Americas")</f>
        <v>Suriname-The Americas</v>
      </c>
      <c r="Z2327" s="14" t="str">
        <f>IFERROR(__xludf.DUMMYFUNCTION("""COMPUTED_VALUE"""),"The Americas")</f>
        <v>The Americas</v>
      </c>
      <c r="AA2327" s="14" t="str">
        <f>IFERROR(__xludf.DUMMYFUNCTION("""COMPUTED_VALUE"""),"2011")</f>
        <v>2011</v>
      </c>
      <c r="AB2327" s="15" t="str">
        <f>IFERROR(__xludf.DUMMYFUNCTION("ARRAYFORMULA(VLOOKUP(A2327,IMPORTRANGE(""https://docs.google.com/spreadsheets/d/1BuTWp7qHGjWhqrnf-OmePP568O4A5Am9ttzvVdP67zw/edit#gid=1931367683"" ,""ENERGY!$A$2:$F$2692""), {2,3,4,5,6},0))"),"The Americas")</f>
        <v>The Americas</v>
      </c>
      <c r="AC2327" s="14" t="str">
        <f>IFERROR(__xludf.DUMMYFUNCTION("""COMPUTED_VALUE"""),"Suriname-The Americas")</f>
        <v>Suriname-The Americas</v>
      </c>
      <c r="AD2327" s="14" t="str">
        <f>IFERROR(__xludf.DUMMYFUNCTION("""COMPUTED_VALUE"""),"2007")</f>
        <v>2007</v>
      </c>
      <c r="AE2327" s="14"/>
      <c r="AF2327" s="14">
        <f>IFERROR(__xludf.DUMMYFUNCTION("""COMPUTED_VALUE"""),2266.0)</f>
        <v>2266</v>
      </c>
    </row>
    <row r="2328">
      <c r="A2328" s="12">
        <v>2327.0</v>
      </c>
      <c r="B2328" s="12" t="s">
        <v>257</v>
      </c>
      <c r="C2328" s="5" t="s">
        <v>84</v>
      </c>
      <c r="D2328" s="11">
        <v>0.279</v>
      </c>
      <c r="E2328" s="11">
        <v>694.0</v>
      </c>
      <c r="F2328" s="11">
        <v>165.0</v>
      </c>
      <c r="G2328" s="11">
        <v>199.0</v>
      </c>
      <c r="H2328" s="11">
        <v>0.347</v>
      </c>
      <c r="I2328" s="11">
        <v>1.065</v>
      </c>
      <c r="J2328" s="9" t="s">
        <v>73</v>
      </c>
      <c r="K2328" s="14" t="str">
        <f>IFERROR(__xludf.DUMMYFUNCTION("ARRAYFORMULA(VLOOKUP(A2328,IMPORTRANGE(""https://docs.google.com/spreadsheets/d/1BuTWp7qHGjWhqrnf-OmePP568O4A5Am9ttzvVdP67zw/edit#gid=1603210130"", ""TOURISM!$A$2:$F$2692""), {2,3,4,5,6},0))"),"The Americas")</f>
        <v>The Americas</v>
      </c>
      <c r="L2328" s="14">
        <f>IFERROR(__xludf.DUMMYFUNCTION("""COMPUTED_VALUE"""),7.9E7)</f>
        <v>79000000</v>
      </c>
      <c r="M2328" s="14" t="str">
        <f>IFERROR(__xludf.DUMMYFUNCTION("""COMPUTED_VALUE"""),"Suriname-The Americas")</f>
        <v>Suriname-The Americas</v>
      </c>
      <c r="N2328" s="14" t="str">
        <f>IFERROR(__xludf.DUMMYFUNCTION("""COMPUTED_VALUE"""),"2012")</f>
        <v>2012</v>
      </c>
      <c r="O2328" s="14">
        <f>IFERROR(__xludf.DUMMYFUNCTION("""COMPUTED_VALUE"""),5.8E7)</f>
        <v>58000000</v>
      </c>
      <c r="P2328" s="15">
        <f>IFERROR(__xludf.DUMMYFUNCTION("ARRAYFORMULA(VLOOKUP(A2328,IMPORTRANGE(""https://docs.google.com/spreadsheets/d/1BuTWp7qHGjWhqrnf-OmePP568O4A5Am9ttzvVdP67zw/edit#gid=771602874"" ,""HUMAN RESOURCES!$A$2:$M$2692""), {2,3,4,5,6,7,8,9,10,11,12,13},0))"),0.018)</f>
        <v>0.018</v>
      </c>
      <c r="Q2328" s="14">
        <f>IFERROR(__xludf.DUMMYFUNCTION("""COMPUTED_VALUE"""),0.021)</f>
        <v>0.021</v>
      </c>
      <c r="R2328" s="14">
        <f>IFERROR(__xludf.DUMMYFUNCTION("""COMPUTED_VALUE"""),74.0)</f>
        <v>74</v>
      </c>
      <c r="S2328" s="14">
        <f>IFERROR(__xludf.DUMMYFUNCTION("""COMPUTED_VALUE"""),68.0)</f>
        <v>68</v>
      </c>
      <c r="T2328" s="14">
        <f>IFERROR(__xludf.DUMMYFUNCTION("""COMPUTED_VALUE"""),0.278)</f>
        <v>0.278</v>
      </c>
      <c r="U2328" s="14">
        <f>IFERROR(__xludf.DUMMYFUNCTION("""COMPUTED_VALUE"""),0.656)</f>
        <v>0.656</v>
      </c>
      <c r="V2328" s="14">
        <f>IFERROR(__xludf.DUMMYFUNCTION("""COMPUTED_VALUE"""),0.066)</f>
        <v>0.066</v>
      </c>
      <c r="W2328" s="14">
        <f>IFERROR(__xludf.DUMMYFUNCTION("""COMPUTED_VALUE"""),534541.0)</f>
        <v>534541</v>
      </c>
      <c r="X2328" s="14">
        <f>IFERROR(__xludf.DUMMYFUNCTION("""COMPUTED_VALUE"""),0.662)</f>
        <v>0.662</v>
      </c>
      <c r="Y2328" s="14" t="str">
        <f>IFERROR(__xludf.DUMMYFUNCTION("""COMPUTED_VALUE"""),"Suriname-The Americas")</f>
        <v>Suriname-The Americas</v>
      </c>
      <c r="Z2328" s="14" t="str">
        <f>IFERROR(__xludf.DUMMYFUNCTION("""COMPUTED_VALUE"""),"The Americas")</f>
        <v>The Americas</v>
      </c>
      <c r="AA2328" s="14" t="str">
        <f>IFERROR(__xludf.DUMMYFUNCTION("""COMPUTED_VALUE"""),"2012")</f>
        <v>2012</v>
      </c>
      <c r="AB2328" s="15" t="str">
        <f>IFERROR(__xludf.DUMMYFUNCTION("ARRAYFORMULA(VLOOKUP(A2328,IMPORTRANGE(""https://docs.google.com/spreadsheets/d/1BuTWp7qHGjWhqrnf-OmePP568O4A5Am9ttzvVdP67zw/edit#gid=1931367683"" ,""ENERGY!$A$2:$F$2692""), {2,3,4,5,6},0))"),"The Americas")</f>
        <v>The Americas</v>
      </c>
      <c r="AC2328" s="14" t="str">
        <f>IFERROR(__xludf.DUMMYFUNCTION("""COMPUTED_VALUE"""),"Suriname-The Americas")</f>
        <v>Suriname-The Americas</v>
      </c>
      <c r="AD2328" s="14" t="str">
        <f>IFERROR(__xludf.DUMMYFUNCTION("""COMPUTED_VALUE"""),"2012")</f>
        <v>2012</v>
      </c>
      <c r="AE2328" s="14"/>
      <c r="AF2328" s="14">
        <f>IFERROR(__xludf.DUMMYFUNCTION("""COMPUTED_VALUE"""),2127.0)</f>
        <v>2127</v>
      </c>
    </row>
    <row r="2329">
      <c r="A2329" s="12">
        <v>2328.0</v>
      </c>
      <c r="B2329" s="12" t="s">
        <v>258</v>
      </c>
      <c r="C2329" s="5" t="s">
        <v>77</v>
      </c>
      <c r="D2329" s="8"/>
      <c r="E2329" s="8"/>
      <c r="F2329" s="8"/>
      <c r="G2329" s="8"/>
      <c r="H2329" s="11">
        <v>0.009</v>
      </c>
      <c r="I2329" s="11">
        <v>0.031</v>
      </c>
      <c r="J2329" s="9" t="s">
        <v>60</v>
      </c>
      <c r="K2329" s="14" t="str">
        <f>IFERROR(__xludf.DUMMYFUNCTION("ARRAYFORMULA(VLOOKUP(A2329,IMPORTRANGE(""https://docs.google.com/spreadsheets/d/1BuTWp7qHGjWhqrnf-OmePP568O4A5Am9ttzvVdP67zw/edit#gid=1603210130"", ""TOURISM!$A$2:$F$2692""), {2,3,4,5,6},0))"),"Africa")</f>
        <v>Africa</v>
      </c>
      <c r="L2329" s="14">
        <f>IFERROR(__xludf.DUMMYFUNCTION("""COMPUTED_VALUE"""),2.4E7)</f>
        <v>24000000</v>
      </c>
      <c r="M2329" s="14" t="str">
        <f>IFERROR(__xludf.DUMMYFUNCTION("""COMPUTED_VALUE"""),"Swaziland-Africa")</f>
        <v>Swaziland-Africa</v>
      </c>
      <c r="N2329" s="14" t="str">
        <f>IFERROR(__xludf.DUMMYFUNCTION("""COMPUTED_VALUE"""),"2000")</f>
        <v>2000</v>
      </c>
      <c r="O2329" s="14">
        <f>IFERROR(__xludf.DUMMYFUNCTION("""COMPUTED_VALUE"""),3.2E7)</f>
        <v>32000000</v>
      </c>
      <c r="P2329" s="15">
        <f>IFERROR(__xludf.DUMMYFUNCTION("ARRAYFORMULA(VLOOKUP(A2329,IMPORTRANGE(""https://docs.google.com/spreadsheets/d/1BuTWp7qHGjWhqrnf-OmePP568O4A5Am9ttzvVdP67zw/edit#gid=771602874"" ,""HUMAN RESOURCES!$A$2:$M$2692""), {2,3,4,5,6,7,8,9,10,11,12,13},0))"),0.033)</f>
        <v>0.033</v>
      </c>
      <c r="Q2329" s="14">
        <f>IFERROR(__xludf.DUMMYFUNCTION("""COMPUTED_VALUE"""),0.08)</f>
        <v>0.08</v>
      </c>
      <c r="R2329" s="14">
        <f>IFERROR(__xludf.DUMMYFUNCTION("""COMPUTED_VALUE"""),49.0)</f>
        <v>49</v>
      </c>
      <c r="S2329" s="14">
        <f>IFERROR(__xludf.DUMMYFUNCTION("""COMPUTED_VALUE"""),48.0)</f>
        <v>48</v>
      </c>
      <c r="T2329" s="14">
        <f>IFERROR(__xludf.DUMMYFUNCTION("""COMPUTED_VALUE"""),0.446)</f>
        <v>0.446</v>
      </c>
      <c r="U2329" s="14">
        <f>IFERROR(__xludf.DUMMYFUNCTION("""COMPUTED_VALUE"""),0.524)</f>
        <v>0.524</v>
      </c>
      <c r="V2329" s="14">
        <f>IFERROR(__xludf.DUMMYFUNCTION("""COMPUTED_VALUE"""),0.029)</f>
        <v>0.029</v>
      </c>
      <c r="W2329" s="14">
        <f>IFERROR(__xludf.DUMMYFUNCTION("""COMPUTED_VALUE"""),1063715.0)</f>
        <v>1063715</v>
      </c>
      <c r="X2329" s="14">
        <f>IFERROR(__xludf.DUMMYFUNCTION("""COMPUTED_VALUE"""),0.227)</f>
        <v>0.227</v>
      </c>
      <c r="Y2329" s="14" t="str">
        <f>IFERROR(__xludf.DUMMYFUNCTION("""COMPUTED_VALUE"""),"Swaziland-Africa")</f>
        <v>Swaziland-Africa</v>
      </c>
      <c r="Z2329" s="14" t="str">
        <f>IFERROR(__xludf.DUMMYFUNCTION("""COMPUTED_VALUE"""),"Africa")</f>
        <v>Africa</v>
      </c>
      <c r="AA2329" s="14" t="str">
        <f>IFERROR(__xludf.DUMMYFUNCTION("""COMPUTED_VALUE"""),"2000")</f>
        <v>2000</v>
      </c>
      <c r="AB2329" s="15" t="str">
        <f>IFERROR(__xludf.DUMMYFUNCTION("ARRAYFORMULA(VLOOKUP(A2329,IMPORTRANGE(""https://docs.google.com/spreadsheets/d/1BuTWp7qHGjWhqrnf-OmePP568O4A5Am9ttzvVdP67zw/edit#gid=1931367683"" ,""ENERGY!$A$2:$F$2692""), {2,3,4,5,6},0))"),"Africa")</f>
        <v>Africa</v>
      </c>
      <c r="AC2329" s="14" t="str">
        <f>IFERROR(__xludf.DUMMYFUNCTION("""COMPUTED_VALUE"""),"Swaziland-Africa")</f>
        <v>Swaziland-Africa</v>
      </c>
      <c r="AD2329" s="14" t="str">
        <f>IFERROR(__xludf.DUMMYFUNCTION("""COMPUTED_VALUE"""),"2000")</f>
        <v>2000</v>
      </c>
      <c r="AE2329" s="14"/>
      <c r="AF2329" s="14"/>
    </row>
    <row r="2330">
      <c r="A2330" s="12">
        <v>2329.0</v>
      </c>
      <c r="B2330" s="12" t="s">
        <v>258</v>
      </c>
      <c r="C2330" s="5" t="s">
        <v>77</v>
      </c>
      <c r="D2330" s="8"/>
      <c r="E2330" s="8"/>
      <c r="F2330" s="8"/>
      <c r="G2330" s="8"/>
      <c r="H2330" s="11">
        <v>0.013</v>
      </c>
      <c r="I2330" s="11">
        <v>0.051</v>
      </c>
      <c r="J2330" s="9" t="s">
        <v>62</v>
      </c>
      <c r="K2330" s="14" t="str">
        <f>IFERROR(__xludf.DUMMYFUNCTION("ARRAYFORMULA(VLOOKUP(A2330,IMPORTRANGE(""https://docs.google.com/spreadsheets/d/1BuTWp7qHGjWhqrnf-OmePP568O4A5Am9ttzvVdP67zw/edit#gid=1603210130"", ""TOURISM!$A$2:$F$2692""), {2,3,4,5,6},0))"),"Africa")</f>
        <v>Africa</v>
      </c>
      <c r="L2330" s="14">
        <f>IFERROR(__xludf.DUMMYFUNCTION("""COMPUTED_VALUE"""),2.3E7)</f>
        <v>23000000</v>
      </c>
      <c r="M2330" s="14" t="str">
        <f>IFERROR(__xludf.DUMMYFUNCTION("""COMPUTED_VALUE"""),"Swaziland-Africa")</f>
        <v>Swaziland-Africa</v>
      </c>
      <c r="N2330" s="14" t="str">
        <f>IFERROR(__xludf.DUMMYFUNCTION("""COMPUTED_VALUE"""),"2001")</f>
        <v>2001</v>
      </c>
      <c r="O2330" s="14">
        <f>IFERROR(__xludf.DUMMYFUNCTION("""COMPUTED_VALUE"""),3.1E7)</f>
        <v>31000000</v>
      </c>
      <c r="P2330" s="15">
        <f>IFERROR(__xludf.DUMMYFUNCTION("ARRAYFORMULA(VLOOKUP(A2330,IMPORTRANGE(""https://docs.google.com/spreadsheets/d/1BuTWp7qHGjWhqrnf-OmePP568O4A5Am9ttzvVdP67zw/edit#gid=771602874"" ,""HUMAN RESOURCES!$A$2:$M$2692""), {2,3,4,5,6,7,8,9,10,11,12,13},0))"),0.032)</f>
        <v>0.032</v>
      </c>
      <c r="Q2330" s="14">
        <f>IFERROR(__xludf.DUMMYFUNCTION("""COMPUTED_VALUE"""),0.081)</f>
        <v>0.081</v>
      </c>
      <c r="R2330" s="14">
        <f>IFERROR(__xludf.DUMMYFUNCTION("""COMPUTED_VALUE"""),48.0)</f>
        <v>48</v>
      </c>
      <c r="S2330" s="14">
        <f>IFERROR(__xludf.DUMMYFUNCTION("""COMPUTED_VALUE"""),47.0)</f>
        <v>47</v>
      </c>
      <c r="T2330" s="14">
        <f>IFERROR(__xludf.DUMMYFUNCTION("""COMPUTED_VALUE"""),0.44)</f>
        <v>0.44</v>
      </c>
      <c r="U2330" s="14">
        <f>IFERROR(__xludf.DUMMYFUNCTION("""COMPUTED_VALUE"""),0.53)</f>
        <v>0.53</v>
      </c>
      <c r="V2330" s="14">
        <f>IFERROR(__xludf.DUMMYFUNCTION("""COMPUTED_VALUE"""),0.03)</f>
        <v>0.03</v>
      </c>
      <c r="W2330" s="14">
        <f>IFERROR(__xludf.DUMMYFUNCTION("""COMPUTED_VALUE"""),1074761.0)</f>
        <v>1074761</v>
      </c>
      <c r="X2330" s="14">
        <f>IFERROR(__xludf.DUMMYFUNCTION("""COMPUTED_VALUE"""),0.226)</f>
        <v>0.226</v>
      </c>
      <c r="Y2330" s="14" t="str">
        <f>IFERROR(__xludf.DUMMYFUNCTION("""COMPUTED_VALUE"""),"Swaziland-Africa")</f>
        <v>Swaziland-Africa</v>
      </c>
      <c r="Z2330" s="14" t="str">
        <f>IFERROR(__xludf.DUMMYFUNCTION("""COMPUTED_VALUE"""),"Africa")</f>
        <v>Africa</v>
      </c>
      <c r="AA2330" s="14" t="str">
        <f>IFERROR(__xludf.DUMMYFUNCTION("""COMPUTED_VALUE"""),"2001")</f>
        <v>2001</v>
      </c>
      <c r="AB2330" s="15" t="str">
        <f>IFERROR(__xludf.DUMMYFUNCTION("ARRAYFORMULA(VLOOKUP(A2330,IMPORTRANGE(""https://docs.google.com/spreadsheets/d/1BuTWp7qHGjWhqrnf-OmePP568O4A5Am9ttzvVdP67zw/edit#gid=1931367683"" ,""ENERGY!$A$2:$F$2692""), {2,3,4,5,6},0))"),"Africa")</f>
        <v>Africa</v>
      </c>
      <c r="AC2330" s="14" t="str">
        <f>IFERROR(__xludf.DUMMYFUNCTION("""COMPUTED_VALUE"""),"Swaziland-Africa")</f>
        <v>Swaziland-Africa</v>
      </c>
      <c r="AD2330" s="14" t="str">
        <f>IFERROR(__xludf.DUMMYFUNCTION("""COMPUTED_VALUE"""),"2001")</f>
        <v>2001</v>
      </c>
      <c r="AE2330" s="14"/>
      <c r="AF2330" s="14"/>
    </row>
    <row r="2331">
      <c r="A2331" s="12">
        <v>2330.0</v>
      </c>
      <c r="B2331" s="12" t="s">
        <v>258</v>
      </c>
      <c r="C2331" s="5" t="s">
        <v>77</v>
      </c>
      <c r="D2331" s="8"/>
      <c r="E2331" s="8"/>
      <c r="F2331" s="8"/>
      <c r="G2331" s="8"/>
      <c r="H2331" s="11">
        <v>0.018</v>
      </c>
      <c r="I2331" s="11">
        <v>0.063</v>
      </c>
      <c r="J2331" s="9" t="s">
        <v>63</v>
      </c>
      <c r="K2331" s="14" t="str">
        <f>IFERROR(__xludf.DUMMYFUNCTION("ARRAYFORMULA(VLOOKUP(A2331,IMPORTRANGE(""https://docs.google.com/spreadsheets/d/1BuTWp7qHGjWhqrnf-OmePP568O4A5Am9ttzvVdP67zw/edit#gid=1603210130"", ""TOURISM!$A$2:$F$2692""), {2,3,4,5,6},0))"),"Africa")</f>
        <v>Africa</v>
      </c>
      <c r="L2331" s="14">
        <f>IFERROR(__xludf.DUMMYFUNCTION("""COMPUTED_VALUE"""),4.5E7)</f>
        <v>45000000</v>
      </c>
      <c r="M2331" s="14" t="str">
        <f>IFERROR(__xludf.DUMMYFUNCTION("""COMPUTED_VALUE"""),"Swaziland-Africa")</f>
        <v>Swaziland-Africa</v>
      </c>
      <c r="N2331" s="14" t="str">
        <f>IFERROR(__xludf.DUMMYFUNCTION("""COMPUTED_VALUE"""),"2002")</f>
        <v>2002</v>
      </c>
      <c r="O2331" s="14">
        <f>IFERROR(__xludf.DUMMYFUNCTION("""COMPUTED_VALUE"""),2.7E7)</f>
        <v>27000000</v>
      </c>
      <c r="P2331" s="15">
        <f>IFERROR(__xludf.DUMMYFUNCTION("ARRAYFORMULA(VLOOKUP(A2331,IMPORTRANGE(""https://docs.google.com/spreadsheets/d/1BuTWp7qHGjWhqrnf-OmePP568O4A5Am9ttzvVdP67zw/edit#gid=771602874"" ,""HUMAN RESOURCES!$A$2:$M$2692""), {2,3,4,5,6,7,8,9,10,11,12,13},0))"),0.032)</f>
        <v>0.032</v>
      </c>
      <c r="Q2331" s="14">
        <f>IFERROR(__xludf.DUMMYFUNCTION("""COMPUTED_VALUE"""),0.082)</f>
        <v>0.082</v>
      </c>
      <c r="R2331" s="14">
        <f>IFERROR(__xludf.DUMMYFUNCTION("""COMPUTED_VALUE"""),47.0)</f>
        <v>47</v>
      </c>
      <c r="S2331" s="14">
        <f>IFERROR(__xludf.DUMMYFUNCTION("""COMPUTED_VALUE"""),46.0)</f>
        <v>46</v>
      </c>
      <c r="T2331" s="14">
        <f>IFERROR(__xludf.DUMMYFUNCTION("""COMPUTED_VALUE"""),0.435)</f>
        <v>0.435</v>
      </c>
      <c r="U2331" s="14">
        <f>IFERROR(__xludf.DUMMYFUNCTION("""COMPUTED_VALUE"""),0.535)</f>
        <v>0.535</v>
      </c>
      <c r="V2331" s="14">
        <f>IFERROR(__xludf.DUMMYFUNCTION("""COMPUTED_VALUE"""),0.03)</f>
        <v>0.03</v>
      </c>
      <c r="W2331" s="14">
        <f>IFERROR(__xludf.DUMMYFUNCTION("""COMPUTED_VALUE"""),1082183.0)</f>
        <v>1082183</v>
      </c>
      <c r="X2331" s="14">
        <f>IFERROR(__xludf.DUMMYFUNCTION("""COMPUTED_VALUE"""),0.224)</f>
        <v>0.224</v>
      </c>
      <c r="Y2331" s="14" t="str">
        <f>IFERROR(__xludf.DUMMYFUNCTION("""COMPUTED_VALUE"""),"Swaziland-Africa")</f>
        <v>Swaziland-Africa</v>
      </c>
      <c r="Z2331" s="14" t="str">
        <f>IFERROR(__xludf.DUMMYFUNCTION("""COMPUTED_VALUE"""),"Africa")</f>
        <v>Africa</v>
      </c>
      <c r="AA2331" s="14" t="str">
        <f>IFERROR(__xludf.DUMMYFUNCTION("""COMPUTED_VALUE"""),"2002")</f>
        <v>2002</v>
      </c>
      <c r="AB2331" s="15" t="str">
        <f>IFERROR(__xludf.DUMMYFUNCTION("ARRAYFORMULA(VLOOKUP(A2331,IMPORTRANGE(""https://docs.google.com/spreadsheets/d/1BuTWp7qHGjWhqrnf-OmePP568O4A5Am9ttzvVdP67zw/edit#gid=1931367683"" ,""ENERGY!$A$2:$F$2692""), {2,3,4,5,6},0))"),"Africa")</f>
        <v>Africa</v>
      </c>
      <c r="AC2331" s="14" t="str">
        <f>IFERROR(__xludf.DUMMYFUNCTION("""COMPUTED_VALUE"""),"Swaziland-Africa")</f>
        <v>Swaziland-Africa</v>
      </c>
      <c r="AD2331" s="14" t="str">
        <f>IFERROR(__xludf.DUMMYFUNCTION("""COMPUTED_VALUE"""),"2002")</f>
        <v>2002</v>
      </c>
      <c r="AE2331" s="14"/>
      <c r="AF2331" s="14">
        <f>IFERROR(__xludf.DUMMYFUNCTION("""COMPUTED_VALUE"""),1023.0)</f>
        <v>1023</v>
      </c>
    </row>
    <row r="2332">
      <c r="A2332" s="12">
        <v>2331.0</v>
      </c>
      <c r="B2332" s="12" t="s">
        <v>258</v>
      </c>
      <c r="C2332" s="5" t="s">
        <v>77</v>
      </c>
      <c r="D2332" s="8"/>
      <c r="E2332" s="8"/>
      <c r="F2332" s="8"/>
      <c r="G2332" s="8"/>
      <c r="H2332" s="11">
        <v>0.024</v>
      </c>
      <c r="I2332" s="11">
        <v>0.078</v>
      </c>
      <c r="J2332" s="9" t="s">
        <v>64</v>
      </c>
      <c r="K2332" s="14" t="str">
        <f>IFERROR(__xludf.DUMMYFUNCTION("ARRAYFORMULA(VLOOKUP(A2332,IMPORTRANGE(""https://docs.google.com/spreadsheets/d/1BuTWp7qHGjWhqrnf-OmePP568O4A5Am9ttzvVdP67zw/edit#gid=1603210130"", ""TOURISM!$A$2:$F$2692""), {2,3,4,5,6},0))"),"Africa")</f>
        <v>Africa</v>
      </c>
      <c r="L2332" s="14">
        <f>IFERROR(__xludf.DUMMYFUNCTION("""COMPUTED_VALUE"""),7.0E7)</f>
        <v>70000000</v>
      </c>
      <c r="M2332" s="14" t="str">
        <f>IFERROR(__xludf.DUMMYFUNCTION("""COMPUTED_VALUE"""),"Swaziland-Africa")</f>
        <v>Swaziland-Africa</v>
      </c>
      <c r="N2332" s="14" t="str">
        <f>IFERROR(__xludf.DUMMYFUNCTION("""COMPUTED_VALUE"""),"2003")</f>
        <v>2003</v>
      </c>
      <c r="O2332" s="14">
        <f>IFERROR(__xludf.DUMMYFUNCTION("""COMPUTED_VALUE"""),2.3E7)</f>
        <v>23000000</v>
      </c>
      <c r="P2332" s="15">
        <f>IFERROR(__xludf.DUMMYFUNCTION("ARRAYFORMULA(VLOOKUP(A2332,IMPORTRANGE(""https://docs.google.com/spreadsheets/d/1BuTWp7qHGjWhqrnf-OmePP568O4A5Am9ttzvVdP67zw/edit#gid=771602874"" ,""HUMAN RESOURCES!$A$2:$M$2692""), {2,3,4,5,6,7,8,9,10,11,12,13},0))"),0.032)</f>
        <v>0.032</v>
      </c>
      <c r="Q2332" s="14">
        <f>IFERROR(__xludf.DUMMYFUNCTION("""COMPUTED_VALUE"""),0.082)</f>
        <v>0.082</v>
      </c>
      <c r="R2332" s="14">
        <f>IFERROR(__xludf.DUMMYFUNCTION("""COMPUTED_VALUE"""),46.0)</f>
        <v>46</v>
      </c>
      <c r="S2332" s="14">
        <f>IFERROR(__xludf.DUMMYFUNCTION("""COMPUTED_VALUE"""),46.0)</f>
        <v>46</v>
      </c>
      <c r="T2332" s="14">
        <f>IFERROR(__xludf.DUMMYFUNCTION("""COMPUTED_VALUE"""),0.43)</f>
        <v>0.43</v>
      </c>
      <c r="U2332" s="14">
        <f>IFERROR(__xludf.DUMMYFUNCTION("""COMPUTED_VALUE"""),0.539)</f>
        <v>0.539</v>
      </c>
      <c r="V2332" s="14">
        <f>IFERROR(__xludf.DUMMYFUNCTION("""COMPUTED_VALUE"""),0.031)</f>
        <v>0.031</v>
      </c>
      <c r="W2332" s="14">
        <f>IFERROR(__xludf.DUMMYFUNCTION("""COMPUTED_VALUE"""),1087929.0)</f>
        <v>1087929</v>
      </c>
      <c r="X2332" s="14">
        <f>IFERROR(__xludf.DUMMYFUNCTION("""COMPUTED_VALUE"""),0.223)</f>
        <v>0.223</v>
      </c>
      <c r="Y2332" s="14" t="str">
        <f>IFERROR(__xludf.DUMMYFUNCTION("""COMPUTED_VALUE"""),"Swaziland-Africa")</f>
        <v>Swaziland-Africa</v>
      </c>
      <c r="Z2332" s="14" t="str">
        <f>IFERROR(__xludf.DUMMYFUNCTION("""COMPUTED_VALUE"""),"Africa")</f>
        <v>Africa</v>
      </c>
      <c r="AA2332" s="14" t="str">
        <f>IFERROR(__xludf.DUMMYFUNCTION("""COMPUTED_VALUE"""),"2003")</f>
        <v>2003</v>
      </c>
      <c r="AB2332" s="15" t="str">
        <f>IFERROR(__xludf.DUMMYFUNCTION("ARRAYFORMULA(VLOOKUP(A2332,IMPORTRANGE(""https://docs.google.com/spreadsheets/d/1BuTWp7qHGjWhqrnf-OmePP568O4A5Am9ttzvVdP67zw/edit#gid=1931367683"" ,""ENERGY!$A$2:$F$2692""), {2,3,4,5,6},0))"),"Africa")</f>
        <v>Africa</v>
      </c>
      <c r="AC2332" s="14" t="str">
        <f>IFERROR(__xludf.DUMMYFUNCTION("""COMPUTED_VALUE"""),"Swaziland-Africa")</f>
        <v>Swaziland-Africa</v>
      </c>
      <c r="AD2332" s="14" t="str">
        <f>IFERROR(__xludf.DUMMYFUNCTION("""COMPUTED_VALUE"""),"2003")</f>
        <v>2003</v>
      </c>
      <c r="AE2332" s="14"/>
      <c r="AF2332" s="14">
        <f>IFERROR(__xludf.DUMMYFUNCTION("""COMPUTED_VALUE"""),1023.0)</f>
        <v>1023</v>
      </c>
    </row>
    <row r="2333">
      <c r="A2333" s="12">
        <v>2332.0</v>
      </c>
      <c r="B2333" s="12" t="s">
        <v>258</v>
      </c>
      <c r="C2333" s="5" t="s">
        <v>77</v>
      </c>
      <c r="D2333" s="8"/>
      <c r="E2333" s="8"/>
      <c r="F2333" s="8"/>
      <c r="G2333" s="8"/>
      <c r="H2333" s="11">
        <v>0.032</v>
      </c>
      <c r="I2333" s="11">
        <v>0.132</v>
      </c>
      <c r="J2333" s="9" t="s">
        <v>65</v>
      </c>
      <c r="K2333" s="14" t="str">
        <f>IFERROR(__xludf.DUMMYFUNCTION("ARRAYFORMULA(VLOOKUP(A2333,IMPORTRANGE(""https://docs.google.com/spreadsheets/d/1BuTWp7qHGjWhqrnf-OmePP568O4A5Am9ttzvVdP67zw/edit#gid=1603210130"", ""TOURISM!$A$2:$F$2692""), {2,3,4,5,6},0))"),"Africa")</f>
        <v>Africa</v>
      </c>
      <c r="L2333" s="14">
        <f>IFERROR(__xludf.DUMMYFUNCTION("""COMPUTED_VALUE"""),7.5E7)</f>
        <v>75000000</v>
      </c>
      <c r="M2333" s="14" t="str">
        <f>IFERROR(__xludf.DUMMYFUNCTION("""COMPUTED_VALUE"""),"Swaziland-Africa")</f>
        <v>Swaziland-Africa</v>
      </c>
      <c r="N2333" s="14" t="str">
        <f>IFERROR(__xludf.DUMMYFUNCTION("""COMPUTED_VALUE"""),"2004")</f>
        <v>2004</v>
      </c>
      <c r="O2333" s="14">
        <f>IFERROR(__xludf.DUMMYFUNCTION("""COMPUTED_VALUE"""),5.4E7)</f>
        <v>54000000</v>
      </c>
      <c r="P2333" s="15">
        <f>IFERROR(__xludf.DUMMYFUNCTION("ARRAYFORMULA(VLOOKUP(A2333,IMPORTRANGE(""https://docs.google.com/spreadsheets/d/1BuTWp7qHGjWhqrnf-OmePP568O4A5Am9ttzvVdP67zw/edit#gid=771602874"" ,""HUMAN RESOURCES!$A$2:$M$2692""), {2,3,4,5,6,7,8,9,10,11,12,13},0))"),0.032)</f>
        <v>0.032</v>
      </c>
      <c r="Q2333" s="14">
        <f>IFERROR(__xludf.DUMMYFUNCTION("""COMPUTED_VALUE"""),0.082)</f>
        <v>0.082</v>
      </c>
      <c r="R2333" s="14">
        <f>IFERROR(__xludf.DUMMYFUNCTION("""COMPUTED_VALUE"""),46.0)</f>
        <v>46</v>
      </c>
      <c r="S2333" s="14">
        <f>IFERROR(__xludf.DUMMYFUNCTION("""COMPUTED_VALUE"""),46.0)</f>
        <v>46</v>
      </c>
      <c r="T2333" s="14">
        <f>IFERROR(__xludf.DUMMYFUNCTION("""COMPUTED_VALUE"""),0.424)</f>
        <v>0.424</v>
      </c>
      <c r="U2333" s="14">
        <f>IFERROR(__xludf.DUMMYFUNCTION("""COMPUTED_VALUE"""),0.545)</f>
        <v>0.545</v>
      </c>
      <c r="V2333" s="14">
        <f>IFERROR(__xludf.DUMMYFUNCTION("""COMPUTED_VALUE"""),0.031)</f>
        <v>0.031</v>
      </c>
      <c r="W2333" s="14">
        <f>IFERROR(__xludf.DUMMYFUNCTION("""COMPUTED_VALUE"""),1094758.0)</f>
        <v>1094758</v>
      </c>
      <c r="X2333" s="14">
        <f>IFERROR(__xludf.DUMMYFUNCTION("""COMPUTED_VALUE"""),0.222)</f>
        <v>0.222</v>
      </c>
      <c r="Y2333" s="14" t="str">
        <f>IFERROR(__xludf.DUMMYFUNCTION("""COMPUTED_VALUE"""),"Swaziland-Africa")</f>
        <v>Swaziland-Africa</v>
      </c>
      <c r="Z2333" s="14" t="str">
        <f>IFERROR(__xludf.DUMMYFUNCTION("""COMPUTED_VALUE"""),"Africa")</f>
        <v>Africa</v>
      </c>
      <c r="AA2333" s="14" t="str">
        <f>IFERROR(__xludf.DUMMYFUNCTION("""COMPUTED_VALUE"""),"2004")</f>
        <v>2004</v>
      </c>
      <c r="AB2333" s="15" t="str">
        <f>IFERROR(__xludf.DUMMYFUNCTION("ARRAYFORMULA(VLOOKUP(A2333,IMPORTRANGE(""https://docs.google.com/spreadsheets/d/1BuTWp7qHGjWhqrnf-OmePP568O4A5Am9ttzvVdP67zw/edit#gid=1931367683"" ,""ENERGY!$A$2:$F$2692""), {2,3,4,5,6},0))"),"Africa")</f>
        <v>Africa</v>
      </c>
      <c r="AC2333" s="14" t="str">
        <f>IFERROR(__xludf.DUMMYFUNCTION("""COMPUTED_VALUE"""),"Swaziland-Africa")</f>
        <v>Swaziland-Africa</v>
      </c>
      <c r="AD2333" s="14" t="str">
        <f>IFERROR(__xludf.DUMMYFUNCTION("""COMPUTED_VALUE"""),"2005")</f>
        <v>2005</v>
      </c>
      <c r="AE2333" s="14"/>
      <c r="AF2333" s="14">
        <f>IFERROR(__xludf.DUMMYFUNCTION("""COMPUTED_VALUE"""),1093.0)</f>
        <v>1093</v>
      </c>
    </row>
    <row r="2334">
      <c r="A2334" s="12">
        <v>2333.0</v>
      </c>
      <c r="B2334" s="12" t="s">
        <v>258</v>
      </c>
      <c r="C2334" s="5" t="s">
        <v>77</v>
      </c>
      <c r="D2334" s="11">
        <v>0.363</v>
      </c>
      <c r="E2334" s="11">
        <v>60.0</v>
      </c>
      <c r="F2334" s="8"/>
      <c r="G2334" s="11">
        <v>104.0</v>
      </c>
      <c r="H2334" s="11">
        <v>0.037</v>
      </c>
      <c r="I2334" s="11">
        <v>0.181</v>
      </c>
      <c r="J2334" s="9" t="s">
        <v>66</v>
      </c>
      <c r="K2334" s="14" t="str">
        <f>IFERROR(__xludf.DUMMYFUNCTION("ARRAYFORMULA(VLOOKUP(A2334,IMPORTRANGE(""https://docs.google.com/spreadsheets/d/1BuTWp7qHGjWhqrnf-OmePP568O4A5Am9ttzvVdP67zw/edit#gid=1603210130"", ""TOURISM!$A$2:$F$2692""), {2,3,4,5,6},0))"),"Africa")</f>
        <v>Africa</v>
      </c>
      <c r="L2334" s="14">
        <f>IFERROR(__xludf.DUMMYFUNCTION("""COMPUTED_VALUE"""),7.7E7)</f>
        <v>77000000</v>
      </c>
      <c r="M2334" s="14" t="str">
        <f>IFERROR(__xludf.DUMMYFUNCTION("""COMPUTED_VALUE"""),"Swaziland-Africa")</f>
        <v>Swaziland-Africa</v>
      </c>
      <c r="N2334" s="14" t="str">
        <f>IFERROR(__xludf.DUMMYFUNCTION("""COMPUTED_VALUE"""),"2005")</f>
        <v>2005</v>
      </c>
      <c r="O2334" s="14">
        <f>IFERROR(__xludf.DUMMYFUNCTION("""COMPUTED_VALUE"""),6.0E7)</f>
        <v>60000000</v>
      </c>
      <c r="P2334" s="15">
        <f>IFERROR(__xludf.DUMMYFUNCTION("ARRAYFORMULA(VLOOKUP(A2334,IMPORTRANGE(""https://docs.google.com/spreadsheets/d/1BuTWp7qHGjWhqrnf-OmePP568O4A5Am9ttzvVdP67zw/edit#gid=771602874"" ,""HUMAN RESOURCES!$A$2:$M$2692""), {2,3,4,5,6,7,8,9,10,11,12,13},0))"),0.032)</f>
        <v>0.032</v>
      </c>
      <c r="Q2334" s="14">
        <f>IFERROR(__xludf.DUMMYFUNCTION("""COMPUTED_VALUE"""),0.081)</f>
        <v>0.081</v>
      </c>
      <c r="R2334" s="14">
        <f>IFERROR(__xludf.DUMMYFUNCTION("""COMPUTED_VALUE"""),46.0)</f>
        <v>46</v>
      </c>
      <c r="S2334" s="14">
        <f>IFERROR(__xludf.DUMMYFUNCTION("""COMPUTED_VALUE"""),46.0)</f>
        <v>46</v>
      </c>
      <c r="T2334" s="14">
        <f>IFERROR(__xludf.DUMMYFUNCTION("""COMPUTED_VALUE"""),0.418)</f>
        <v>0.418</v>
      </c>
      <c r="U2334" s="14">
        <f>IFERROR(__xludf.DUMMYFUNCTION("""COMPUTED_VALUE"""),0.55)</f>
        <v>0.55</v>
      </c>
      <c r="V2334" s="14">
        <f>IFERROR(__xludf.DUMMYFUNCTION("""COMPUTED_VALUE"""),0.032)</f>
        <v>0.032</v>
      </c>
      <c r="W2334" s="14">
        <f>IFERROR(__xludf.DUMMYFUNCTION("""COMPUTED_VALUE"""),1104642.0)</f>
        <v>1104642</v>
      </c>
      <c r="X2334" s="14">
        <f>IFERROR(__xludf.DUMMYFUNCTION("""COMPUTED_VALUE"""),0.22)</f>
        <v>0.22</v>
      </c>
      <c r="Y2334" s="14" t="str">
        <f>IFERROR(__xludf.DUMMYFUNCTION("""COMPUTED_VALUE"""),"Swaziland-Africa")</f>
        <v>Swaziland-Africa</v>
      </c>
      <c r="Z2334" s="14" t="str">
        <f>IFERROR(__xludf.DUMMYFUNCTION("""COMPUTED_VALUE"""),"Africa")</f>
        <v>Africa</v>
      </c>
      <c r="AA2334" s="14" t="str">
        <f>IFERROR(__xludf.DUMMYFUNCTION("""COMPUTED_VALUE"""),"2005")</f>
        <v>2005</v>
      </c>
      <c r="AB2334" s="15" t="str">
        <f>IFERROR(__xludf.DUMMYFUNCTION("ARRAYFORMULA(VLOOKUP(A2334,IMPORTRANGE(""https://docs.google.com/spreadsheets/d/1BuTWp7qHGjWhqrnf-OmePP568O4A5Am9ttzvVdP67zw/edit#gid=1931367683"" ,""ENERGY!$A$2:$F$2692""), {2,3,4,5,6},0))"),"Africa")</f>
        <v>Africa</v>
      </c>
      <c r="AC2334" s="14" t="str">
        <f>IFERROR(__xludf.DUMMYFUNCTION("""COMPUTED_VALUE"""),"Swaziland-Africa")</f>
        <v>Swaziland-Africa</v>
      </c>
      <c r="AD2334" s="14" t="str">
        <f>IFERROR(__xludf.DUMMYFUNCTION("""COMPUTED_VALUE"""),"2009")</f>
        <v>2009</v>
      </c>
      <c r="AE2334" s="14">
        <f>IFERROR(__xludf.DUMMYFUNCTION("""COMPUTED_VALUE"""),423.0)</f>
        <v>423</v>
      </c>
      <c r="AF2334" s="14">
        <f>IFERROR(__xludf.DUMMYFUNCTION("""COMPUTED_VALUE"""),1063.0)</f>
        <v>1063</v>
      </c>
    </row>
    <row r="2335">
      <c r="A2335" s="12">
        <v>2334.0</v>
      </c>
      <c r="B2335" s="12" t="s">
        <v>258</v>
      </c>
      <c r="C2335" s="5" t="s">
        <v>77</v>
      </c>
      <c r="D2335" s="11">
        <v>0.363</v>
      </c>
      <c r="E2335" s="11">
        <v>60.0</v>
      </c>
      <c r="F2335" s="8"/>
      <c r="G2335" s="11">
        <v>104.0</v>
      </c>
      <c r="H2335" s="11">
        <v>0.037</v>
      </c>
      <c r="I2335" s="11">
        <v>0.224</v>
      </c>
      <c r="J2335" s="9" t="s">
        <v>67</v>
      </c>
      <c r="K2335" s="14" t="str">
        <f>IFERROR(__xludf.DUMMYFUNCTION("ARRAYFORMULA(VLOOKUP(A2335,IMPORTRANGE(""https://docs.google.com/spreadsheets/d/1BuTWp7qHGjWhqrnf-OmePP568O4A5Am9ttzvVdP67zw/edit#gid=1603210130"", ""TOURISM!$A$2:$F$2692""), {2,3,4,5,6},0))"),"Africa")</f>
        <v>Africa</v>
      </c>
      <c r="L2335" s="14">
        <f>IFERROR(__xludf.DUMMYFUNCTION("""COMPUTED_VALUE"""),7.5E7)</f>
        <v>75000000</v>
      </c>
      <c r="M2335" s="14" t="str">
        <f>IFERROR(__xludf.DUMMYFUNCTION("""COMPUTED_VALUE"""),"Swaziland-Africa")</f>
        <v>Swaziland-Africa</v>
      </c>
      <c r="N2335" s="14" t="str">
        <f>IFERROR(__xludf.DUMMYFUNCTION("""COMPUTED_VALUE"""),"2006")</f>
        <v>2006</v>
      </c>
      <c r="O2335" s="14">
        <f>IFERROR(__xludf.DUMMYFUNCTION("""COMPUTED_VALUE"""),5.4E7)</f>
        <v>54000000</v>
      </c>
      <c r="P2335" s="15">
        <f>IFERROR(__xludf.DUMMYFUNCTION("ARRAYFORMULA(VLOOKUP(A2335,IMPORTRANGE(""https://docs.google.com/spreadsheets/d/1BuTWp7qHGjWhqrnf-OmePP568O4A5Am9ttzvVdP67zw/edit#gid=771602874"" ,""HUMAN RESOURCES!$A$2:$M$2692""), {2,3,4,5,6,7,8,9,10,11,12,13},0))"),0.031)</f>
        <v>0.031</v>
      </c>
      <c r="Q2335" s="14">
        <f>IFERROR(__xludf.DUMMYFUNCTION("""COMPUTED_VALUE"""),0.076)</f>
        <v>0.076</v>
      </c>
      <c r="R2335" s="14">
        <f>IFERROR(__xludf.DUMMYFUNCTION("""COMPUTED_VALUE"""),46.0)</f>
        <v>46</v>
      </c>
      <c r="S2335" s="14">
        <f>IFERROR(__xludf.DUMMYFUNCTION("""COMPUTED_VALUE"""),46.0)</f>
        <v>46</v>
      </c>
      <c r="T2335" s="14">
        <f>IFERROR(__xludf.DUMMYFUNCTION("""COMPUTED_VALUE"""),0.412)</f>
        <v>0.412</v>
      </c>
      <c r="U2335" s="14">
        <f>IFERROR(__xludf.DUMMYFUNCTION("""COMPUTED_VALUE"""),0.556)</f>
        <v>0.556</v>
      </c>
      <c r="V2335" s="14">
        <f>IFERROR(__xludf.DUMMYFUNCTION("""COMPUTED_VALUE"""),0.032)</f>
        <v>0.032</v>
      </c>
      <c r="W2335" s="14">
        <f>IFERROR(__xludf.DUMMYFUNCTION("""COMPUTED_VALUE"""),1118253.0)</f>
        <v>1118253</v>
      </c>
      <c r="X2335" s="14">
        <f>IFERROR(__xludf.DUMMYFUNCTION("""COMPUTED_VALUE"""),0.219)</f>
        <v>0.219</v>
      </c>
      <c r="Y2335" s="14" t="str">
        <f>IFERROR(__xludf.DUMMYFUNCTION("""COMPUTED_VALUE"""),"Swaziland-Africa")</f>
        <v>Swaziland-Africa</v>
      </c>
      <c r="Z2335" s="14" t="str">
        <f>IFERROR(__xludf.DUMMYFUNCTION("""COMPUTED_VALUE"""),"Africa")</f>
        <v>Africa</v>
      </c>
      <c r="AA2335" s="14" t="str">
        <f>IFERROR(__xludf.DUMMYFUNCTION("""COMPUTED_VALUE"""),"2006")</f>
        <v>2006</v>
      </c>
      <c r="AB2335" s="15" t="str">
        <f>IFERROR(__xludf.DUMMYFUNCTION("ARRAYFORMULA(VLOOKUP(A2335,IMPORTRANGE(""https://docs.google.com/spreadsheets/d/1BuTWp7qHGjWhqrnf-OmePP568O4A5Am9ttzvVdP67zw/edit#gid=1931367683"" ,""ENERGY!$A$2:$F$2692""), {2,3,4,5,6},0))"),"Africa")</f>
        <v>Africa</v>
      </c>
      <c r="AC2335" s="14" t="str">
        <f>IFERROR(__xludf.DUMMYFUNCTION("""COMPUTED_VALUE"""),"Swaziland-Africa")</f>
        <v>Swaziland-Africa</v>
      </c>
      <c r="AD2335" s="14" t="str">
        <f>IFERROR(__xludf.DUMMYFUNCTION("""COMPUTED_VALUE"""),"2012")</f>
        <v>2012</v>
      </c>
      <c r="AE2335" s="14">
        <f>IFERROR(__xludf.DUMMYFUNCTION("""COMPUTED_VALUE"""),406.0)</f>
        <v>406</v>
      </c>
      <c r="AF2335" s="14">
        <f>IFERROR(__xludf.DUMMYFUNCTION("""COMPUTED_VALUE"""),1016.0)</f>
        <v>1016</v>
      </c>
    </row>
    <row r="2336">
      <c r="A2336" s="12">
        <v>2335.0</v>
      </c>
      <c r="B2336" s="12" t="s">
        <v>258</v>
      </c>
      <c r="C2336" s="5" t="s">
        <v>77</v>
      </c>
      <c r="D2336" s="11">
        <v>0.363</v>
      </c>
      <c r="E2336" s="11">
        <v>60.0</v>
      </c>
      <c r="F2336" s="8"/>
      <c r="G2336" s="11">
        <v>104.0</v>
      </c>
      <c r="H2336" s="11">
        <v>0.041</v>
      </c>
      <c r="I2336" s="11">
        <v>0.335</v>
      </c>
      <c r="J2336" s="9" t="s">
        <v>68</v>
      </c>
      <c r="K2336" s="14" t="str">
        <f>IFERROR(__xludf.DUMMYFUNCTION("ARRAYFORMULA(VLOOKUP(A2336,IMPORTRANGE(""https://docs.google.com/spreadsheets/d/1BuTWp7qHGjWhqrnf-OmePP568O4A5Am9ttzvVdP67zw/edit#gid=1603210130"", ""TOURISM!$A$2:$F$2692""), {2,3,4,5,6},0))"),"Africa")</f>
        <v>Africa</v>
      </c>
      <c r="L2336" s="14">
        <f>IFERROR(__xludf.DUMMYFUNCTION("""COMPUTED_VALUE"""),3.2E7)</f>
        <v>32000000</v>
      </c>
      <c r="M2336" s="14" t="str">
        <f>IFERROR(__xludf.DUMMYFUNCTION("""COMPUTED_VALUE"""),"Swaziland-Africa")</f>
        <v>Swaziland-Africa</v>
      </c>
      <c r="N2336" s="14" t="str">
        <f>IFERROR(__xludf.DUMMYFUNCTION("""COMPUTED_VALUE"""),"2007")</f>
        <v>2007</v>
      </c>
      <c r="O2336" s="14">
        <f>IFERROR(__xludf.DUMMYFUNCTION("""COMPUTED_VALUE"""),6.3E7)</f>
        <v>63000000</v>
      </c>
      <c r="P2336" s="15">
        <f>IFERROR(__xludf.DUMMYFUNCTION("ARRAYFORMULA(VLOOKUP(A2336,IMPORTRANGE(""https://docs.google.com/spreadsheets/d/1BuTWp7qHGjWhqrnf-OmePP568O4A5Am9ttzvVdP67zw/edit#gid=771602874"" ,""HUMAN RESOURCES!$A$2:$M$2692""), {2,3,4,5,6,7,8,9,10,11,12,13},0))"),0.031)</f>
        <v>0.031</v>
      </c>
      <c r="Q2336" s="14">
        <f>IFERROR(__xludf.DUMMYFUNCTION("""COMPUTED_VALUE"""),0.075)</f>
        <v>0.075</v>
      </c>
      <c r="R2336" s="14">
        <f>IFERROR(__xludf.DUMMYFUNCTION("""COMPUTED_VALUE"""),47.0)</f>
        <v>47</v>
      </c>
      <c r="S2336" s="14">
        <f>IFERROR(__xludf.DUMMYFUNCTION("""COMPUTED_VALUE"""),47.0)</f>
        <v>47</v>
      </c>
      <c r="T2336" s="14">
        <f>IFERROR(__xludf.DUMMYFUNCTION("""COMPUTED_VALUE"""),0.406)</f>
        <v>0.406</v>
      </c>
      <c r="U2336" s="14">
        <f>IFERROR(__xludf.DUMMYFUNCTION("""COMPUTED_VALUE"""),0.562)</f>
        <v>0.562</v>
      </c>
      <c r="V2336" s="14">
        <f>IFERROR(__xludf.DUMMYFUNCTION("""COMPUTED_VALUE"""),0.032)</f>
        <v>0.032</v>
      </c>
      <c r="W2336" s="14">
        <f>IFERROR(__xludf.DUMMYFUNCTION("""COMPUTED_VALUE"""),1134977.0)</f>
        <v>1134977</v>
      </c>
      <c r="X2336" s="14">
        <f>IFERROR(__xludf.DUMMYFUNCTION("""COMPUTED_VALUE"""),0.218)</f>
        <v>0.218</v>
      </c>
      <c r="Y2336" s="14" t="str">
        <f>IFERROR(__xludf.DUMMYFUNCTION("""COMPUTED_VALUE"""),"Swaziland-Africa")</f>
        <v>Swaziland-Africa</v>
      </c>
      <c r="Z2336" s="14" t="str">
        <f>IFERROR(__xludf.DUMMYFUNCTION("""COMPUTED_VALUE"""),"Africa")</f>
        <v>Africa</v>
      </c>
      <c r="AA2336" s="14" t="str">
        <f>IFERROR(__xludf.DUMMYFUNCTION("""COMPUTED_VALUE"""),"2007")</f>
        <v>2007</v>
      </c>
      <c r="AB2336" s="15" t="str">
        <f>IFERROR(__xludf.DUMMYFUNCTION("ARRAYFORMULA(VLOOKUP(A2336,IMPORTRANGE(""https://docs.google.com/spreadsheets/d/1BuTWp7qHGjWhqrnf-OmePP568O4A5Am9ttzvVdP67zw/edit#gid=1931367683"" ,""ENERGY!$A$2:$F$2692""), {2,3,4,5,6},0))"),"Africa")</f>
        <v>Africa</v>
      </c>
      <c r="AC2336" s="14" t="str">
        <f>IFERROR(__xludf.DUMMYFUNCTION("""COMPUTED_VALUE"""),"Swaziland-Africa")</f>
        <v>Swaziland-Africa</v>
      </c>
      <c r="AD2336" s="14" t="str">
        <f>IFERROR(__xludf.DUMMYFUNCTION("""COMPUTED_VALUE"""),"2011")</f>
        <v>2011</v>
      </c>
      <c r="AE2336" s="14">
        <f>IFERROR(__xludf.DUMMYFUNCTION("""COMPUTED_VALUE"""),399.0)</f>
        <v>399</v>
      </c>
      <c r="AF2336" s="14">
        <f>IFERROR(__xludf.DUMMYFUNCTION("""COMPUTED_VALUE"""),1019.0)</f>
        <v>1019</v>
      </c>
    </row>
    <row r="2337">
      <c r="A2337" s="12">
        <v>2336.0</v>
      </c>
      <c r="B2337" s="12" t="s">
        <v>258</v>
      </c>
      <c r="C2337" s="5" t="s">
        <v>77</v>
      </c>
      <c r="D2337" s="11">
        <v>0.363</v>
      </c>
      <c r="E2337" s="11">
        <v>60.0</v>
      </c>
      <c r="F2337" s="8"/>
      <c r="G2337" s="11">
        <v>104.0</v>
      </c>
      <c r="H2337" s="11">
        <v>0.069</v>
      </c>
      <c r="I2337" s="11">
        <v>0.461</v>
      </c>
      <c r="J2337" s="9" t="s">
        <v>69</v>
      </c>
      <c r="K2337" s="14" t="str">
        <f>IFERROR(__xludf.DUMMYFUNCTION("ARRAYFORMULA(VLOOKUP(A2337,IMPORTRANGE(""https://docs.google.com/spreadsheets/d/1BuTWp7qHGjWhqrnf-OmePP568O4A5Am9ttzvVdP67zw/edit#gid=1603210130"", ""TOURISM!$A$2:$F$2692""), {2,3,4,5,6},0))"),"Africa")</f>
        <v>Africa</v>
      </c>
      <c r="L2337" s="14">
        <f>IFERROR(__xludf.DUMMYFUNCTION("""COMPUTED_VALUE"""),2.6E7)</f>
        <v>26000000</v>
      </c>
      <c r="M2337" s="14" t="str">
        <f>IFERROR(__xludf.DUMMYFUNCTION("""COMPUTED_VALUE"""),"Swaziland-Africa")</f>
        <v>Swaziland-Africa</v>
      </c>
      <c r="N2337" s="14" t="str">
        <f>IFERROR(__xludf.DUMMYFUNCTION("""COMPUTED_VALUE"""),"2008")</f>
        <v>2008</v>
      </c>
      <c r="O2337" s="14">
        <f>IFERROR(__xludf.DUMMYFUNCTION("""COMPUTED_VALUE"""),5.9E7)</f>
        <v>59000000</v>
      </c>
      <c r="P2337" s="15">
        <f>IFERROR(__xludf.DUMMYFUNCTION("ARRAYFORMULA(VLOOKUP(A2337,IMPORTRANGE(""https://docs.google.com/spreadsheets/d/1BuTWp7qHGjWhqrnf-OmePP568O4A5Am9ttzvVdP67zw/edit#gid=771602874"" ,""HUMAN RESOURCES!$A$2:$M$2692""), {2,3,4,5,6,7,8,9,10,11,12,13},0))"),0.031)</f>
        <v>0.031</v>
      </c>
      <c r="Q2337" s="14">
        <f>IFERROR(__xludf.DUMMYFUNCTION("""COMPUTED_VALUE"""),0.074)</f>
        <v>0.074</v>
      </c>
      <c r="R2337" s="14">
        <f>IFERROR(__xludf.DUMMYFUNCTION("""COMPUTED_VALUE"""),47.0)</f>
        <v>47</v>
      </c>
      <c r="S2337" s="14">
        <f>IFERROR(__xludf.DUMMYFUNCTION("""COMPUTED_VALUE"""),48.0)</f>
        <v>48</v>
      </c>
      <c r="T2337" s="14">
        <f>IFERROR(__xludf.DUMMYFUNCTION("""COMPUTED_VALUE"""),0.399)</f>
        <v>0.399</v>
      </c>
      <c r="U2337" s="14">
        <f>IFERROR(__xludf.DUMMYFUNCTION("""COMPUTED_VALUE"""),0.568)</f>
        <v>0.568</v>
      </c>
      <c r="V2337" s="14">
        <f>IFERROR(__xludf.DUMMYFUNCTION("""COMPUTED_VALUE"""),0.033)</f>
        <v>0.033</v>
      </c>
      <c r="W2337" s="14">
        <f>IFERROR(__xludf.DUMMYFUNCTION("""COMPUTED_VALUE"""),1153929.0)</f>
        <v>1153929</v>
      </c>
      <c r="X2337" s="14">
        <f>IFERROR(__xludf.DUMMYFUNCTION("""COMPUTED_VALUE"""),0.217)</f>
        <v>0.217</v>
      </c>
      <c r="Y2337" s="14" t="str">
        <f>IFERROR(__xludf.DUMMYFUNCTION("""COMPUTED_VALUE"""),"Swaziland-Africa")</f>
        <v>Swaziland-Africa</v>
      </c>
      <c r="Z2337" s="14" t="str">
        <f>IFERROR(__xludf.DUMMYFUNCTION("""COMPUTED_VALUE"""),"Africa")</f>
        <v>Africa</v>
      </c>
      <c r="AA2337" s="14" t="str">
        <f>IFERROR(__xludf.DUMMYFUNCTION("""COMPUTED_VALUE"""),"2008")</f>
        <v>2008</v>
      </c>
      <c r="AB2337" s="15" t="str">
        <f>IFERROR(__xludf.DUMMYFUNCTION("ARRAYFORMULA(VLOOKUP(A2337,IMPORTRANGE(""https://docs.google.com/spreadsheets/d/1BuTWp7qHGjWhqrnf-OmePP568O4A5Am9ttzvVdP67zw/edit#gid=1931367683"" ,""ENERGY!$A$2:$F$2692""), {2,3,4,5,6},0))"),"Africa")</f>
        <v>Africa</v>
      </c>
      <c r="AC2337" s="14" t="str">
        <f>IFERROR(__xludf.DUMMYFUNCTION("""COMPUTED_VALUE"""),"Swaziland-Africa")</f>
        <v>Swaziland-Africa</v>
      </c>
      <c r="AD2337" s="14" t="str">
        <f>IFERROR(__xludf.DUMMYFUNCTION("""COMPUTED_VALUE"""),"2007")</f>
        <v>2007</v>
      </c>
      <c r="AE2337" s="14">
        <f>IFERROR(__xludf.DUMMYFUNCTION("""COMPUTED_VALUE"""),406.0)</f>
        <v>406</v>
      </c>
      <c r="AF2337" s="14">
        <f>IFERROR(__xludf.DUMMYFUNCTION("""COMPUTED_VALUE"""),1030.0)</f>
        <v>1030</v>
      </c>
    </row>
    <row r="2338">
      <c r="A2338" s="12">
        <v>2337.0</v>
      </c>
      <c r="B2338" s="12" t="s">
        <v>258</v>
      </c>
      <c r="C2338" s="5" t="s">
        <v>77</v>
      </c>
      <c r="D2338" s="11">
        <v>0.363</v>
      </c>
      <c r="E2338" s="11">
        <v>60.0</v>
      </c>
      <c r="F2338" s="8"/>
      <c r="G2338" s="11">
        <v>104.0</v>
      </c>
      <c r="H2338" s="11">
        <v>0.089</v>
      </c>
      <c r="I2338" s="11">
        <v>0.566</v>
      </c>
      <c r="J2338" s="9" t="s">
        <v>70</v>
      </c>
      <c r="K2338" s="14" t="str">
        <f>IFERROR(__xludf.DUMMYFUNCTION("ARRAYFORMULA(VLOOKUP(A2338,IMPORTRANGE(""https://docs.google.com/spreadsheets/d/1BuTWp7qHGjWhqrnf-OmePP568O4A5Am9ttzvVdP67zw/edit#gid=1603210130"", ""TOURISM!$A$2:$F$2692""), {2,3,4,5,6},0))"),"Africa")</f>
        <v>Africa</v>
      </c>
      <c r="L2338" s="14">
        <f>IFERROR(__xludf.DUMMYFUNCTION("""COMPUTED_VALUE"""),4.0E7)</f>
        <v>40000000</v>
      </c>
      <c r="M2338" s="14" t="str">
        <f>IFERROR(__xludf.DUMMYFUNCTION("""COMPUTED_VALUE"""),"Swaziland-Africa")</f>
        <v>Swaziland-Africa</v>
      </c>
      <c r="N2338" s="14" t="str">
        <f>IFERROR(__xludf.DUMMYFUNCTION("""COMPUTED_VALUE"""),"2009")</f>
        <v>2009</v>
      </c>
      <c r="O2338" s="14">
        <f>IFERROR(__xludf.DUMMYFUNCTION("""COMPUTED_VALUE"""),9.8E7)</f>
        <v>98000000</v>
      </c>
      <c r="P2338" s="15">
        <f>IFERROR(__xludf.DUMMYFUNCTION("ARRAYFORMULA(VLOOKUP(A2338,IMPORTRANGE(""https://docs.google.com/spreadsheets/d/1BuTWp7qHGjWhqrnf-OmePP568O4A5Am9ttzvVdP67zw/edit#gid=771602874"" ,""HUMAN RESOURCES!$A$2:$M$2692""), {2,3,4,5,6,7,8,9,10,11,12,13},0))"),0.031)</f>
        <v>0.031</v>
      </c>
      <c r="Q2338" s="14">
        <f>IFERROR(__xludf.DUMMYFUNCTION("""COMPUTED_VALUE"""),0.068)</f>
        <v>0.068</v>
      </c>
      <c r="R2338" s="14">
        <f>IFERROR(__xludf.DUMMYFUNCTION("""COMPUTED_VALUE"""),48.0)</f>
        <v>48</v>
      </c>
      <c r="S2338" s="14">
        <f>IFERROR(__xludf.DUMMYFUNCTION("""COMPUTED_VALUE"""),48.0)</f>
        <v>48</v>
      </c>
      <c r="T2338" s="14">
        <f>IFERROR(__xludf.DUMMYFUNCTION("""COMPUTED_VALUE"""),0.393)</f>
        <v>0.393</v>
      </c>
      <c r="U2338" s="14">
        <f>IFERROR(__xludf.DUMMYFUNCTION("""COMPUTED_VALUE"""),0.574)</f>
        <v>0.574</v>
      </c>
      <c r="V2338" s="14">
        <f>IFERROR(__xludf.DUMMYFUNCTION("""COMPUTED_VALUE"""),0.033)</f>
        <v>0.033</v>
      </c>
      <c r="W2338" s="14">
        <f>IFERROR(__xludf.DUMMYFUNCTION("""COMPUTED_VALUE"""),1173678.0)</f>
        <v>1173678</v>
      </c>
      <c r="X2338" s="14">
        <f>IFERROR(__xludf.DUMMYFUNCTION("""COMPUTED_VALUE"""),0.216)</f>
        <v>0.216</v>
      </c>
      <c r="Y2338" s="14" t="str">
        <f>IFERROR(__xludf.DUMMYFUNCTION("""COMPUTED_VALUE"""),"Swaziland-Africa")</f>
        <v>Swaziland-Africa</v>
      </c>
      <c r="Z2338" s="14" t="str">
        <f>IFERROR(__xludf.DUMMYFUNCTION("""COMPUTED_VALUE"""),"Africa")</f>
        <v>Africa</v>
      </c>
      <c r="AA2338" s="14" t="str">
        <f>IFERROR(__xludf.DUMMYFUNCTION("""COMPUTED_VALUE"""),"2009")</f>
        <v>2009</v>
      </c>
      <c r="AB2338" s="15" t="str">
        <f>IFERROR(__xludf.DUMMYFUNCTION("ARRAYFORMULA(VLOOKUP(A2338,IMPORTRANGE(""https://docs.google.com/spreadsheets/d/1BuTWp7qHGjWhqrnf-OmePP568O4A5Am9ttzvVdP67zw/edit#gid=1931367683"" ,""ENERGY!$A$2:$F$2692""), {2,3,4,5,6},0))"),"Africa")</f>
        <v>Africa</v>
      </c>
      <c r="AC2338" s="14" t="str">
        <f>IFERROR(__xludf.DUMMYFUNCTION("""COMPUTED_VALUE"""),"Swaziland-Africa")</f>
        <v>Swaziland-Africa</v>
      </c>
      <c r="AD2338" s="14" t="str">
        <f>IFERROR(__xludf.DUMMYFUNCTION("""COMPUTED_VALUE"""),"2012")</f>
        <v>2012</v>
      </c>
      <c r="AE2338" s="14"/>
      <c r="AF2338" s="14">
        <f>IFERROR(__xludf.DUMMYFUNCTION("""COMPUTED_VALUE"""),1041.0)</f>
        <v>1041</v>
      </c>
    </row>
    <row r="2339">
      <c r="A2339" s="12">
        <v>2338.0</v>
      </c>
      <c r="B2339" s="12" t="s">
        <v>258</v>
      </c>
      <c r="C2339" s="5" t="s">
        <v>77</v>
      </c>
      <c r="D2339" s="11">
        <v>0.365</v>
      </c>
      <c r="E2339" s="11">
        <v>56.0</v>
      </c>
      <c r="F2339" s="8"/>
      <c r="G2339" s="11">
        <v>104.0</v>
      </c>
      <c r="H2339" s="11">
        <v>0.11</v>
      </c>
      <c r="I2339" s="11">
        <v>0.608</v>
      </c>
      <c r="J2339" s="9" t="s">
        <v>71</v>
      </c>
      <c r="K2339" s="14" t="str">
        <f>IFERROR(__xludf.DUMMYFUNCTION("ARRAYFORMULA(VLOOKUP(A2339,IMPORTRANGE(""https://docs.google.com/spreadsheets/d/1BuTWp7qHGjWhqrnf-OmePP568O4A5Am9ttzvVdP67zw/edit#gid=1603210130"", ""TOURISM!$A$2:$F$2692""), {2,3,4,5,6},0))"),"Africa")</f>
        <v>Africa</v>
      </c>
      <c r="L2339" s="14">
        <f>IFERROR(__xludf.DUMMYFUNCTION("""COMPUTED_VALUE"""),5.1E7)</f>
        <v>51000000</v>
      </c>
      <c r="M2339" s="14" t="str">
        <f>IFERROR(__xludf.DUMMYFUNCTION("""COMPUTED_VALUE"""),"Swaziland-Africa")</f>
        <v>Swaziland-Africa</v>
      </c>
      <c r="N2339" s="14" t="str">
        <f>IFERROR(__xludf.DUMMYFUNCTION("""COMPUTED_VALUE"""),"2010")</f>
        <v>2010</v>
      </c>
      <c r="O2339" s="14">
        <f>IFERROR(__xludf.DUMMYFUNCTION("""COMPUTED_VALUE"""),8.7E7)</f>
        <v>87000000</v>
      </c>
      <c r="P2339" s="15">
        <f>IFERROR(__xludf.DUMMYFUNCTION("ARRAYFORMULA(VLOOKUP(A2339,IMPORTRANGE(""https://docs.google.com/spreadsheets/d/1BuTWp7qHGjWhqrnf-OmePP568O4A5Am9ttzvVdP67zw/edit#gid=771602874"" ,""HUMAN RESOURCES!$A$2:$M$2692""), {2,3,4,5,6,7,8,9,10,11,12,13},0))"),0.031)</f>
        <v>0.031</v>
      </c>
      <c r="Q2339" s="14">
        <f>IFERROR(__xludf.DUMMYFUNCTION("""COMPUTED_VALUE"""),0.063)</f>
        <v>0.063</v>
      </c>
      <c r="R2339" s="14">
        <f>IFERROR(__xludf.DUMMYFUNCTION("""COMPUTED_VALUE"""),48.0)</f>
        <v>48</v>
      </c>
      <c r="S2339" s="14">
        <f>IFERROR(__xludf.DUMMYFUNCTION("""COMPUTED_VALUE"""),49.0)</f>
        <v>49</v>
      </c>
      <c r="T2339" s="14">
        <f>IFERROR(__xludf.DUMMYFUNCTION("""COMPUTED_VALUE"""),0.388)</f>
        <v>0.388</v>
      </c>
      <c r="U2339" s="14">
        <f>IFERROR(__xludf.DUMMYFUNCTION("""COMPUTED_VALUE"""),0.578)</f>
        <v>0.578</v>
      </c>
      <c r="V2339" s="14">
        <f>IFERROR(__xludf.DUMMYFUNCTION("""COMPUTED_VALUE"""),0.033)</f>
        <v>0.033</v>
      </c>
      <c r="W2339" s="14">
        <f>IFERROR(__xludf.DUMMYFUNCTION("""COMPUTED_VALUE"""),1193148.0)</f>
        <v>1193148</v>
      </c>
      <c r="X2339" s="14">
        <f>IFERROR(__xludf.DUMMYFUNCTION("""COMPUTED_VALUE"""),0.215)</f>
        <v>0.215</v>
      </c>
      <c r="Y2339" s="14" t="str">
        <f>IFERROR(__xludf.DUMMYFUNCTION("""COMPUTED_VALUE"""),"Swaziland-Africa")</f>
        <v>Swaziland-Africa</v>
      </c>
      <c r="Z2339" s="14" t="str">
        <f>IFERROR(__xludf.DUMMYFUNCTION("""COMPUTED_VALUE"""),"Africa")</f>
        <v>Africa</v>
      </c>
      <c r="AA2339" s="14" t="str">
        <f>IFERROR(__xludf.DUMMYFUNCTION("""COMPUTED_VALUE"""),"2010")</f>
        <v>2010</v>
      </c>
      <c r="AB2339" s="15" t="str">
        <f>IFERROR(__xludf.DUMMYFUNCTION("ARRAYFORMULA(VLOOKUP(A2339,IMPORTRANGE(""https://docs.google.com/spreadsheets/d/1BuTWp7qHGjWhqrnf-OmePP568O4A5Am9ttzvVdP67zw/edit#gid=1931367683"" ,""ENERGY!$A$2:$F$2692""), {2,3,4,5,6},0))"),"Africa")</f>
        <v>Africa</v>
      </c>
      <c r="AC2339" s="14" t="str">
        <f>IFERROR(__xludf.DUMMYFUNCTION("""COMPUTED_VALUE"""),"Swaziland-Africa")</f>
        <v>Swaziland-Africa</v>
      </c>
      <c r="AD2339" s="14" t="str">
        <f>IFERROR(__xludf.DUMMYFUNCTION("""COMPUTED_VALUE"""),"2009")</f>
        <v>2009</v>
      </c>
      <c r="AE2339" s="14"/>
      <c r="AF2339" s="14">
        <f>IFERROR(__xludf.DUMMYFUNCTION("""COMPUTED_VALUE"""),1126.0)</f>
        <v>1126</v>
      </c>
    </row>
    <row r="2340">
      <c r="A2340" s="12">
        <v>2339.0</v>
      </c>
      <c r="B2340" s="12" t="s">
        <v>258</v>
      </c>
      <c r="C2340" s="5" t="s">
        <v>77</v>
      </c>
      <c r="D2340" s="11">
        <v>0.365</v>
      </c>
      <c r="E2340" s="11">
        <v>56.0</v>
      </c>
      <c r="F2340" s="8"/>
      <c r="G2340" s="11">
        <v>104.0</v>
      </c>
      <c r="H2340" s="11">
        <v>0.181</v>
      </c>
      <c r="I2340" s="11">
        <v>0.632</v>
      </c>
      <c r="J2340" s="9" t="s">
        <v>72</v>
      </c>
      <c r="K2340" s="14" t="str">
        <f>IFERROR(__xludf.DUMMYFUNCTION("ARRAYFORMULA(VLOOKUP(A2340,IMPORTRANGE(""https://docs.google.com/spreadsheets/d/1BuTWp7qHGjWhqrnf-OmePP568O4A5Am9ttzvVdP67zw/edit#gid=1603210130"", ""TOURISM!$A$2:$F$2692""), {2,3,4,5,6},0))"),"Africa")</f>
        <v>Africa</v>
      </c>
      <c r="L2340" s="14"/>
      <c r="M2340" s="14" t="str">
        <f>IFERROR(__xludf.DUMMYFUNCTION("""COMPUTED_VALUE"""),"Swaziland-Africa")</f>
        <v>Swaziland-Africa</v>
      </c>
      <c r="N2340" s="14" t="str">
        <f>IFERROR(__xludf.DUMMYFUNCTION("""COMPUTED_VALUE"""),"2011")</f>
        <v>2011</v>
      </c>
      <c r="O2340" s="14"/>
      <c r="P2340" s="15">
        <f>IFERROR(__xludf.DUMMYFUNCTION("ARRAYFORMULA(VLOOKUP(A2340,IMPORTRANGE(""https://docs.google.com/spreadsheets/d/1BuTWp7qHGjWhqrnf-OmePP568O4A5Am9ttzvVdP67zw/edit#gid=771602874"" ,""HUMAN RESOURCES!$A$2:$M$2692""), {2,3,4,5,6,7,8,9,10,11,12,13},0))"),0.031)</f>
        <v>0.031</v>
      </c>
      <c r="Q2340" s="14">
        <f>IFERROR(__xludf.DUMMYFUNCTION("""COMPUTED_VALUE"""),0.058)</f>
        <v>0.058</v>
      </c>
      <c r="R2340" s="14">
        <f>IFERROR(__xludf.DUMMYFUNCTION("""COMPUTED_VALUE"""),48.0)</f>
        <v>48</v>
      </c>
      <c r="S2340" s="14">
        <f>IFERROR(__xludf.DUMMYFUNCTION("""COMPUTED_VALUE"""),49.0)</f>
        <v>49</v>
      </c>
      <c r="T2340" s="14">
        <f>IFERROR(__xludf.DUMMYFUNCTION("""COMPUTED_VALUE"""),0.384)</f>
        <v>0.384</v>
      </c>
      <c r="U2340" s="14">
        <f>IFERROR(__xludf.DUMMYFUNCTION("""COMPUTED_VALUE"""),0.582)</f>
        <v>0.582</v>
      </c>
      <c r="V2340" s="14">
        <f>IFERROR(__xludf.DUMMYFUNCTION("""COMPUTED_VALUE"""),0.034)</f>
        <v>0.034</v>
      </c>
      <c r="W2340" s="14">
        <f>IFERROR(__xludf.DUMMYFUNCTION("""COMPUTED_VALUE"""),1212159.0)</f>
        <v>1212159</v>
      </c>
      <c r="X2340" s="14">
        <f>IFERROR(__xludf.DUMMYFUNCTION("""COMPUTED_VALUE"""),0.214)</f>
        <v>0.214</v>
      </c>
      <c r="Y2340" s="14" t="str">
        <f>IFERROR(__xludf.DUMMYFUNCTION("""COMPUTED_VALUE"""),"Swaziland-Africa")</f>
        <v>Swaziland-Africa</v>
      </c>
      <c r="Z2340" s="14" t="str">
        <f>IFERROR(__xludf.DUMMYFUNCTION("""COMPUTED_VALUE"""),"Africa")</f>
        <v>Africa</v>
      </c>
      <c r="AA2340" s="14" t="str">
        <f>IFERROR(__xludf.DUMMYFUNCTION("""COMPUTED_VALUE"""),"2011")</f>
        <v>2011</v>
      </c>
      <c r="AB2340" s="15" t="str">
        <f>IFERROR(__xludf.DUMMYFUNCTION("ARRAYFORMULA(VLOOKUP(A2340,IMPORTRANGE(""https://docs.google.com/spreadsheets/d/1BuTWp7qHGjWhqrnf-OmePP568O4A5Am9ttzvVdP67zw/edit#gid=1931367683"" ,""ENERGY!$A$2:$F$2692""), {2,3,4,5,6},0))"),"Africa")</f>
        <v>Africa</v>
      </c>
      <c r="AC2340" s="14" t="str">
        <f>IFERROR(__xludf.DUMMYFUNCTION("""COMPUTED_VALUE"""),"Swaziland-Africa")</f>
        <v>Swaziland-Africa</v>
      </c>
      <c r="AD2340" s="14" t="str">
        <f>IFERROR(__xludf.DUMMYFUNCTION("""COMPUTED_VALUE"""),"2007")</f>
        <v>2007</v>
      </c>
      <c r="AE2340" s="14"/>
      <c r="AF2340" s="14">
        <f>IFERROR(__xludf.DUMMYFUNCTION("""COMPUTED_VALUE"""),1144.0)</f>
        <v>1144</v>
      </c>
    </row>
    <row r="2341">
      <c r="A2341" s="12">
        <v>2340.0</v>
      </c>
      <c r="B2341" s="12" t="s">
        <v>258</v>
      </c>
      <c r="C2341" s="5" t="s">
        <v>77</v>
      </c>
      <c r="D2341" s="11">
        <v>0.365</v>
      </c>
      <c r="E2341" s="11">
        <v>56.0</v>
      </c>
      <c r="F2341" s="11">
        <v>120.0</v>
      </c>
      <c r="G2341" s="11">
        <v>104.0</v>
      </c>
      <c r="H2341" s="11">
        <v>0.208</v>
      </c>
      <c r="I2341" s="11">
        <v>0.654</v>
      </c>
      <c r="J2341" s="9" t="s">
        <v>73</v>
      </c>
      <c r="K2341" s="14" t="str">
        <f>IFERROR(__xludf.DUMMYFUNCTION("ARRAYFORMULA(VLOOKUP(A2341,IMPORTRANGE(""https://docs.google.com/spreadsheets/d/1BuTWp7qHGjWhqrnf-OmePP568O4A5Am9ttzvVdP67zw/edit#gid=1603210130"", ""TOURISM!$A$2:$F$2692""), {2,3,4,5,6},0))"),"Africa")</f>
        <v>Africa</v>
      </c>
      <c r="L2341" s="14"/>
      <c r="M2341" s="14" t="str">
        <f>IFERROR(__xludf.DUMMYFUNCTION("""COMPUTED_VALUE"""),"Swaziland-Africa")</f>
        <v>Swaziland-Africa</v>
      </c>
      <c r="N2341" s="14" t="str">
        <f>IFERROR(__xludf.DUMMYFUNCTION("""COMPUTED_VALUE"""),"2012")</f>
        <v>2012</v>
      </c>
      <c r="O2341" s="14"/>
      <c r="P2341" s="15">
        <f>IFERROR(__xludf.DUMMYFUNCTION("ARRAYFORMULA(VLOOKUP(A2341,IMPORTRANGE(""https://docs.google.com/spreadsheets/d/1BuTWp7qHGjWhqrnf-OmePP568O4A5Am9ttzvVdP67zw/edit#gid=771602874"" ,""HUMAN RESOURCES!$A$2:$M$2692""), {2,3,4,5,6,7,8,9,10,11,12,13},0))"),0.03)</f>
        <v>0.03</v>
      </c>
      <c r="Q2341" s="14">
        <f>IFERROR(__xludf.DUMMYFUNCTION("""COMPUTED_VALUE"""),0.057)</f>
        <v>0.057</v>
      </c>
      <c r="R2341" s="14">
        <f>IFERROR(__xludf.DUMMYFUNCTION("""COMPUTED_VALUE"""),48.0)</f>
        <v>48</v>
      </c>
      <c r="S2341" s="14">
        <f>IFERROR(__xludf.DUMMYFUNCTION("""COMPUTED_VALUE"""),49.0)</f>
        <v>49</v>
      </c>
      <c r="T2341" s="14">
        <f>IFERROR(__xludf.DUMMYFUNCTION("""COMPUTED_VALUE"""),0.38)</f>
        <v>0.38</v>
      </c>
      <c r="U2341" s="14">
        <f>IFERROR(__xludf.DUMMYFUNCTION("""COMPUTED_VALUE"""),0.585)</f>
        <v>0.585</v>
      </c>
      <c r="V2341" s="14">
        <f>IFERROR(__xludf.DUMMYFUNCTION("""COMPUTED_VALUE"""),0.034)</f>
        <v>0.034</v>
      </c>
      <c r="W2341" s="14">
        <f>IFERROR(__xludf.DUMMYFUNCTION("""COMPUTED_VALUE"""),1230985.0)</f>
        <v>1230985</v>
      </c>
      <c r="X2341" s="14">
        <f>IFERROR(__xludf.DUMMYFUNCTION("""COMPUTED_VALUE"""),0.214)</f>
        <v>0.214</v>
      </c>
      <c r="Y2341" s="14" t="str">
        <f>IFERROR(__xludf.DUMMYFUNCTION("""COMPUTED_VALUE"""),"Swaziland-Africa")</f>
        <v>Swaziland-Africa</v>
      </c>
      <c r="Z2341" s="14" t="str">
        <f>IFERROR(__xludf.DUMMYFUNCTION("""COMPUTED_VALUE"""),"Africa")</f>
        <v>Africa</v>
      </c>
      <c r="AA2341" s="14" t="str">
        <f>IFERROR(__xludf.DUMMYFUNCTION("""COMPUTED_VALUE"""),"2012")</f>
        <v>2012</v>
      </c>
      <c r="AB2341" s="15" t="str">
        <f>IFERROR(__xludf.DUMMYFUNCTION("ARRAYFORMULA(VLOOKUP(A2341,IMPORTRANGE(""https://docs.google.com/spreadsheets/d/1BuTWp7qHGjWhqrnf-OmePP568O4A5Am9ttzvVdP67zw/edit#gid=1931367683"" ,""ENERGY!$A$2:$F$2692""), {2,3,4,5,6},0))"),"Africa")</f>
        <v>Africa</v>
      </c>
      <c r="AC2341" s="14" t="str">
        <f>IFERROR(__xludf.DUMMYFUNCTION("""COMPUTED_VALUE"""),"Swaziland-Africa")</f>
        <v>Swaziland-Africa</v>
      </c>
      <c r="AD2341" s="14" t="str">
        <f>IFERROR(__xludf.DUMMYFUNCTION("""COMPUTED_VALUE"""),"2012")</f>
        <v>2012</v>
      </c>
      <c r="AE2341" s="14"/>
      <c r="AF2341" s="14">
        <f>IFERROR(__xludf.DUMMYFUNCTION("""COMPUTED_VALUE"""),1188.0)</f>
        <v>1188</v>
      </c>
    </row>
    <row r="2342">
      <c r="A2342" s="12">
        <v>2341.0</v>
      </c>
      <c r="B2342" s="12" t="s">
        <v>259</v>
      </c>
      <c r="C2342" s="5" t="s">
        <v>75</v>
      </c>
      <c r="D2342" s="8"/>
      <c r="E2342" s="8"/>
      <c r="F2342" s="8"/>
      <c r="G2342" s="8"/>
      <c r="H2342" s="11">
        <v>0.457</v>
      </c>
      <c r="I2342" s="11">
        <v>0.718</v>
      </c>
      <c r="J2342" s="9" t="s">
        <v>60</v>
      </c>
      <c r="K2342" s="14" t="str">
        <f>IFERROR(__xludf.DUMMYFUNCTION("ARRAYFORMULA(VLOOKUP(A2342,IMPORTRANGE(""https://docs.google.com/spreadsheets/d/1BuTWp7qHGjWhqrnf-OmePP568O4A5Am9ttzvVdP67zw/edit#gid=1603210130"", ""TOURISM!$A$2:$F$2692""), {2,3,4,5,6},0))"),"Europe")</f>
        <v>Europe</v>
      </c>
      <c r="L2342" s="14">
        <f>IFERROR(__xludf.DUMMYFUNCTION("""COMPUTED_VALUE"""),4.825E9)</f>
        <v>4825000000</v>
      </c>
      <c r="M2342" s="14" t="str">
        <f>IFERROR(__xludf.DUMMYFUNCTION("""COMPUTED_VALUE"""),"Sweden-Europe")</f>
        <v>Sweden-Europe</v>
      </c>
      <c r="N2342" s="14" t="str">
        <f>IFERROR(__xludf.DUMMYFUNCTION("""COMPUTED_VALUE"""),"2000")</f>
        <v>2000</v>
      </c>
      <c r="O2342" s="14">
        <f>IFERROR(__xludf.DUMMYFUNCTION("""COMPUTED_VALUE"""),8.959E9)</f>
        <v>8959000000</v>
      </c>
      <c r="P2342" s="15">
        <f>IFERROR(__xludf.DUMMYFUNCTION("ARRAYFORMULA(VLOOKUP(A2342,IMPORTRANGE(""https://docs.google.com/spreadsheets/d/1BuTWp7qHGjWhqrnf-OmePP568O4A5Am9ttzvVdP67zw/edit#gid=771602874"" ,""HUMAN RESOURCES!$A$2:$M$2692""), {2,3,4,5,6,7,8,9,10,11,12,13},0))"),0.01)</f>
        <v>0.01</v>
      </c>
      <c r="Q2342" s="14">
        <f>IFERROR(__xludf.DUMMYFUNCTION("""COMPUTED_VALUE"""),0.003)</f>
        <v>0.003</v>
      </c>
      <c r="R2342" s="14">
        <f>IFERROR(__xludf.DUMMYFUNCTION("""COMPUTED_VALUE"""),82.0)</f>
        <v>82</v>
      </c>
      <c r="S2342" s="14">
        <f>IFERROR(__xludf.DUMMYFUNCTION("""COMPUTED_VALUE"""),77.0)</f>
        <v>77</v>
      </c>
      <c r="T2342" s="14">
        <f>IFERROR(__xludf.DUMMYFUNCTION("""COMPUTED_VALUE"""),0.184)</f>
        <v>0.184</v>
      </c>
      <c r="U2342" s="14">
        <f>IFERROR(__xludf.DUMMYFUNCTION("""COMPUTED_VALUE"""),0.643)</f>
        <v>0.643</v>
      </c>
      <c r="V2342" s="14">
        <f>IFERROR(__xludf.DUMMYFUNCTION("""COMPUTED_VALUE"""),0.173)</f>
        <v>0.173</v>
      </c>
      <c r="W2342" s="14">
        <f>IFERROR(__xludf.DUMMYFUNCTION("""COMPUTED_VALUE"""),8872109.0)</f>
        <v>8872109</v>
      </c>
      <c r="X2342" s="14">
        <f>IFERROR(__xludf.DUMMYFUNCTION("""COMPUTED_VALUE"""),0.84)</f>
        <v>0.84</v>
      </c>
      <c r="Y2342" s="14" t="str">
        <f>IFERROR(__xludf.DUMMYFUNCTION("""COMPUTED_VALUE"""),"Sweden-Europe")</f>
        <v>Sweden-Europe</v>
      </c>
      <c r="Z2342" s="14" t="str">
        <f>IFERROR(__xludf.DUMMYFUNCTION("""COMPUTED_VALUE"""),"Europe")</f>
        <v>Europe</v>
      </c>
      <c r="AA2342" s="14" t="str">
        <f>IFERROR(__xludf.DUMMYFUNCTION("""COMPUTED_VALUE"""),"2000")</f>
        <v>2000</v>
      </c>
      <c r="AB2342" s="15" t="str">
        <f>IFERROR(__xludf.DUMMYFUNCTION("ARRAYFORMULA(VLOOKUP(A2342,IMPORTRANGE(""https://docs.google.com/spreadsheets/d/1BuTWp7qHGjWhqrnf-OmePP568O4A5Am9ttzvVdP67zw/edit#gid=1931367683"" ,""ENERGY!$A$2:$F$2692""), {2,3,4,5,6},0))"),"Europe")</f>
        <v>Europe</v>
      </c>
      <c r="AC2342" s="14" t="str">
        <f>IFERROR(__xludf.DUMMYFUNCTION("""COMPUTED_VALUE"""),"Sweden-Europe")</f>
        <v>Sweden-Europe</v>
      </c>
      <c r="AD2342" s="14" t="str">
        <f>IFERROR(__xludf.DUMMYFUNCTION("""COMPUTED_VALUE"""),"2000")</f>
        <v>2000</v>
      </c>
      <c r="AE2342" s="14">
        <f>IFERROR(__xludf.DUMMYFUNCTION("""COMPUTED_VALUE"""),48877.0)</f>
        <v>48877</v>
      </c>
      <c r="AF2342" s="14"/>
    </row>
    <row r="2343">
      <c r="A2343" s="12">
        <v>2342.0</v>
      </c>
      <c r="B2343" s="12" t="s">
        <v>259</v>
      </c>
      <c r="C2343" s="5" t="s">
        <v>75</v>
      </c>
      <c r="D2343" s="8"/>
      <c r="E2343" s="8"/>
      <c r="F2343" s="8"/>
      <c r="G2343" s="8"/>
      <c r="H2343" s="11">
        <v>0.518</v>
      </c>
      <c r="I2343" s="11">
        <v>0.808</v>
      </c>
      <c r="J2343" s="9" t="s">
        <v>62</v>
      </c>
      <c r="K2343" s="14" t="str">
        <f>IFERROR(__xludf.DUMMYFUNCTION("ARRAYFORMULA(VLOOKUP(A2343,IMPORTRANGE(""https://docs.google.com/spreadsheets/d/1BuTWp7qHGjWhqrnf-OmePP568O4A5Am9ttzvVdP67zw/edit#gid=1603210130"", ""TOURISM!$A$2:$F$2692""), {2,3,4,5,6},0))"),"Europe")</f>
        <v>Europe</v>
      </c>
      <c r="L2343" s="14">
        <f>IFERROR(__xludf.DUMMYFUNCTION("""COMPUTED_VALUE"""),5.2E9)</f>
        <v>5200000000</v>
      </c>
      <c r="M2343" s="14" t="str">
        <f>IFERROR(__xludf.DUMMYFUNCTION("""COMPUTED_VALUE"""),"Sweden-Europe")</f>
        <v>Sweden-Europe</v>
      </c>
      <c r="N2343" s="14" t="str">
        <f>IFERROR(__xludf.DUMMYFUNCTION("""COMPUTED_VALUE"""),"2001")</f>
        <v>2001</v>
      </c>
      <c r="O2343" s="14">
        <f>IFERROR(__xludf.DUMMYFUNCTION("""COMPUTED_VALUE"""),7.916E9)</f>
        <v>7916000000</v>
      </c>
      <c r="P2343" s="15">
        <f>IFERROR(__xludf.DUMMYFUNCTION("ARRAYFORMULA(VLOOKUP(A2343,IMPORTRANGE(""https://docs.google.com/spreadsheets/d/1BuTWp7qHGjWhqrnf-OmePP568O4A5Am9ttzvVdP67zw/edit#gid=771602874"" ,""HUMAN RESOURCES!$A$2:$M$2692""), {2,3,4,5,6,7,8,9,10,11,12,13},0))"),0.01)</f>
        <v>0.01</v>
      </c>
      <c r="Q2343" s="14">
        <f>IFERROR(__xludf.DUMMYFUNCTION("""COMPUTED_VALUE"""),0.003)</f>
        <v>0.003</v>
      </c>
      <c r="R2343" s="14">
        <f>IFERROR(__xludf.DUMMYFUNCTION("""COMPUTED_VALUE"""),82.0)</f>
        <v>82</v>
      </c>
      <c r="S2343" s="14">
        <f>IFERROR(__xludf.DUMMYFUNCTION("""COMPUTED_VALUE"""),78.0)</f>
        <v>78</v>
      </c>
      <c r="T2343" s="14">
        <f>IFERROR(__xludf.DUMMYFUNCTION("""COMPUTED_VALUE"""),0.183)</f>
        <v>0.183</v>
      </c>
      <c r="U2343" s="14">
        <f>IFERROR(__xludf.DUMMYFUNCTION("""COMPUTED_VALUE"""),0.645)</f>
        <v>0.645</v>
      </c>
      <c r="V2343" s="14">
        <f>IFERROR(__xludf.DUMMYFUNCTION("""COMPUTED_VALUE"""),0.172)</f>
        <v>0.172</v>
      </c>
      <c r="W2343" s="14">
        <f>IFERROR(__xludf.DUMMYFUNCTION("""COMPUTED_VALUE"""),8895960.0)</f>
        <v>8895960</v>
      </c>
      <c r="X2343" s="14">
        <f>IFERROR(__xludf.DUMMYFUNCTION("""COMPUTED_VALUE"""),0.841)</f>
        <v>0.841</v>
      </c>
      <c r="Y2343" s="14" t="str">
        <f>IFERROR(__xludf.DUMMYFUNCTION("""COMPUTED_VALUE"""),"Sweden-Europe")</f>
        <v>Sweden-Europe</v>
      </c>
      <c r="Z2343" s="14" t="str">
        <f>IFERROR(__xludf.DUMMYFUNCTION("""COMPUTED_VALUE"""),"Europe")</f>
        <v>Europe</v>
      </c>
      <c r="AA2343" s="14" t="str">
        <f>IFERROR(__xludf.DUMMYFUNCTION("""COMPUTED_VALUE"""),"2001")</f>
        <v>2001</v>
      </c>
      <c r="AB2343" s="15" t="str">
        <f>IFERROR(__xludf.DUMMYFUNCTION("ARRAYFORMULA(VLOOKUP(A2343,IMPORTRANGE(""https://docs.google.com/spreadsheets/d/1BuTWp7qHGjWhqrnf-OmePP568O4A5Am9ttzvVdP67zw/edit#gid=1931367683"" ,""ENERGY!$A$2:$F$2692""), {2,3,4,5,6},0))"),"Europe")</f>
        <v>Europe</v>
      </c>
      <c r="AC2343" s="14" t="str">
        <f>IFERROR(__xludf.DUMMYFUNCTION("""COMPUTED_VALUE"""),"Sweden-Europe")</f>
        <v>Sweden-Europe</v>
      </c>
      <c r="AD2343" s="14" t="str">
        <f>IFERROR(__xludf.DUMMYFUNCTION("""COMPUTED_VALUE"""),"2001")</f>
        <v>2001</v>
      </c>
      <c r="AE2343" s="14">
        <f>IFERROR(__xludf.DUMMYFUNCTION("""COMPUTED_VALUE"""),49045.0)</f>
        <v>49045</v>
      </c>
      <c r="AF2343" s="14"/>
    </row>
    <row r="2344">
      <c r="A2344" s="12">
        <v>2343.0</v>
      </c>
      <c r="B2344" s="12" t="s">
        <v>259</v>
      </c>
      <c r="C2344" s="5" t="s">
        <v>75</v>
      </c>
      <c r="D2344" s="8"/>
      <c r="E2344" s="8"/>
      <c r="F2344" s="8"/>
      <c r="G2344" s="8"/>
      <c r="H2344" s="11">
        <v>0.706</v>
      </c>
      <c r="I2344" s="11">
        <v>0.892</v>
      </c>
      <c r="J2344" s="9" t="s">
        <v>63</v>
      </c>
      <c r="K2344" s="14" t="str">
        <f>IFERROR(__xludf.DUMMYFUNCTION("ARRAYFORMULA(VLOOKUP(A2344,IMPORTRANGE(""https://docs.google.com/spreadsheets/d/1BuTWp7qHGjWhqrnf-OmePP568O4A5Am9ttzvVdP67zw/edit#gid=1603210130"", ""TOURISM!$A$2:$F$2692""), {2,3,4,5,6},0))"),"Europe")</f>
        <v>Europe</v>
      </c>
      <c r="L2344" s="14">
        <f>IFERROR(__xludf.DUMMYFUNCTION("""COMPUTED_VALUE"""),5.671E9)</f>
        <v>5671000000</v>
      </c>
      <c r="M2344" s="14" t="str">
        <f>IFERROR(__xludf.DUMMYFUNCTION("""COMPUTED_VALUE"""),"Sweden-Europe")</f>
        <v>Sweden-Europe</v>
      </c>
      <c r="N2344" s="14" t="str">
        <f>IFERROR(__xludf.DUMMYFUNCTION("""COMPUTED_VALUE"""),"2002")</f>
        <v>2002</v>
      </c>
      <c r="O2344" s="14">
        <f>IFERROR(__xludf.DUMMYFUNCTION("""COMPUTED_VALUE"""),8.221E9)</f>
        <v>8221000000</v>
      </c>
      <c r="P2344" s="15">
        <f>IFERROR(__xludf.DUMMYFUNCTION("ARRAYFORMULA(VLOOKUP(A2344,IMPORTRANGE(""https://docs.google.com/spreadsheets/d/1BuTWp7qHGjWhqrnf-OmePP568O4A5Am9ttzvVdP67zw/edit#gid=771602874"" ,""HUMAN RESOURCES!$A$2:$M$2692""), {2,3,4,5,6,7,8,9,10,11,12,13},0))"),0.011)</f>
        <v>0.011</v>
      </c>
      <c r="Q2344" s="14">
        <f>IFERROR(__xludf.DUMMYFUNCTION("""COMPUTED_VALUE"""),0.003)</f>
        <v>0.003</v>
      </c>
      <c r="R2344" s="14">
        <f>IFERROR(__xludf.DUMMYFUNCTION("""COMPUTED_VALUE"""),82.0)</f>
        <v>82</v>
      </c>
      <c r="S2344" s="14">
        <f>IFERROR(__xludf.DUMMYFUNCTION("""COMPUTED_VALUE"""),78.0)</f>
        <v>78</v>
      </c>
      <c r="T2344" s="14">
        <f>IFERROR(__xludf.DUMMYFUNCTION("""COMPUTED_VALUE"""),0.181)</f>
        <v>0.181</v>
      </c>
      <c r="U2344" s="14">
        <f>IFERROR(__xludf.DUMMYFUNCTION("""COMPUTED_VALUE"""),0.647)</f>
        <v>0.647</v>
      </c>
      <c r="V2344" s="14">
        <f>IFERROR(__xludf.DUMMYFUNCTION("""COMPUTED_VALUE"""),0.172)</f>
        <v>0.172</v>
      </c>
      <c r="W2344" s="14">
        <f>IFERROR(__xludf.DUMMYFUNCTION("""COMPUTED_VALUE"""),8924958.0)</f>
        <v>8924958</v>
      </c>
      <c r="X2344" s="14">
        <f>IFERROR(__xludf.DUMMYFUNCTION("""COMPUTED_VALUE"""),0.841)</f>
        <v>0.841</v>
      </c>
      <c r="Y2344" s="14" t="str">
        <f>IFERROR(__xludf.DUMMYFUNCTION("""COMPUTED_VALUE"""),"Sweden-Europe")</f>
        <v>Sweden-Europe</v>
      </c>
      <c r="Z2344" s="14" t="str">
        <f>IFERROR(__xludf.DUMMYFUNCTION("""COMPUTED_VALUE"""),"Europe")</f>
        <v>Europe</v>
      </c>
      <c r="AA2344" s="14" t="str">
        <f>IFERROR(__xludf.DUMMYFUNCTION("""COMPUTED_VALUE"""),"2002")</f>
        <v>2002</v>
      </c>
      <c r="AB2344" s="15" t="str">
        <f>IFERROR(__xludf.DUMMYFUNCTION("ARRAYFORMULA(VLOOKUP(A2344,IMPORTRANGE(""https://docs.google.com/spreadsheets/d/1BuTWp7qHGjWhqrnf-OmePP568O4A5Am9ttzvVdP67zw/edit#gid=1931367683"" ,""ENERGY!$A$2:$F$2692""), {2,3,4,5,6},0))"),"Europe")</f>
        <v>Europe</v>
      </c>
      <c r="AC2344" s="14" t="str">
        <f>IFERROR(__xludf.DUMMYFUNCTION("""COMPUTED_VALUE"""),"Sweden-Europe")</f>
        <v>Sweden-Europe</v>
      </c>
      <c r="AD2344" s="14" t="str">
        <f>IFERROR(__xludf.DUMMYFUNCTION("""COMPUTED_VALUE"""),"2002")</f>
        <v>2002</v>
      </c>
      <c r="AE2344" s="14">
        <f>IFERROR(__xludf.DUMMYFUNCTION("""COMPUTED_VALUE"""),51315.0)</f>
        <v>51315</v>
      </c>
      <c r="AF2344" s="14">
        <f>IFERROR(__xludf.DUMMYFUNCTION("""COMPUTED_VALUE"""),52515.0)</f>
        <v>52515</v>
      </c>
    </row>
    <row r="2345">
      <c r="A2345" s="12">
        <v>2344.0</v>
      </c>
      <c r="B2345" s="12" t="s">
        <v>259</v>
      </c>
      <c r="C2345" s="5" t="s">
        <v>75</v>
      </c>
      <c r="D2345" s="8"/>
      <c r="E2345" s="11">
        <v>16.0</v>
      </c>
      <c r="F2345" s="8"/>
      <c r="G2345" s="8"/>
      <c r="H2345" s="11">
        <v>0.791</v>
      </c>
      <c r="I2345" s="11">
        <v>0.984</v>
      </c>
      <c r="J2345" s="9" t="s">
        <v>64</v>
      </c>
      <c r="K2345" s="14" t="str">
        <f>IFERROR(__xludf.DUMMYFUNCTION("ARRAYFORMULA(VLOOKUP(A2345,IMPORTRANGE(""https://docs.google.com/spreadsheets/d/1BuTWp7qHGjWhqrnf-OmePP568O4A5Am9ttzvVdP67zw/edit#gid=1603210130"", ""TOURISM!$A$2:$F$2692""), {2,3,4,5,6},0))"),"Europe")</f>
        <v>Europe</v>
      </c>
      <c r="L2345" s="14">
        <f>IFERROR(__xludf.DUMMYFUNCTION("""COMPUTED_VALUE"""),6.548E9)</f>
        <v>6548000000</v>
      </c>
      <c r="M2345" s="14" t="str">
        <f>IFERROR(__xludf.DUMMYFUNCTION("""COMPUTED_VALUE"""),"Sweden-Europe")</f>
        <v>Sweden-Europe</v>
      </c>
      <c r="N2345" s="14" t="str">
        <f>IFERROR(__xludf.DUMMYFUNCTION("""COMPUTED_VALUE"""),"2003")</f>
        <v>2003</v>
      </c>
      <c r="O2345" s="14">
        <f>IFERROR(__xludf.DUMMYFUNCTION("""COMPUTED_VALUE"""),9.375E9)</f>
        <v>9375000000</v>
      </c>
      <c r="P2345" s="15">
        <f>IFERROR(__xludf.DUMMYFUNCTION("ARRAYFORMULA(VLOOKUP(A2345,IMPORTRANGE(""https://docs.google.com/spreadsheets/d/1BuTWp7qHGjWhqrnf-OmePP568O4A5Am9ttzvVdP67zw/edit#gid=771602874"" ,""HUMAN RESOURCES!$A$2:$M$2692""), {2,3,4,5,6,7,8,9,10,11,12,13},0))"),0.011)</f>
        <v>0.011</v>
      </c>
      <c r="Q2345" s="14">
        <f>IFERROR(__xludf.DUMMYFUNCTION("""COMPUTED_VALUE"""),0.003)</f>
        <v>0.003</v>
      </c>
      <c r="R2345" s="14">
        <f>IFERROR(__xludf.DUMMYFUNCTION("""COMPUTED_VALUE"""),82.0)</f>
        <v>82</v>
      </c>
      <c r="S2345" s="14">
        <f>IFERROR(__xludf.DUMMYFUNCTION("""COMPUTED_VALUE"""),78.0)</f>
        <v>78</v>
      </c>
      <c r="T2345" s="14">
        <f>IFERROR(__xludf.DUMMYFUNCTION("""COMPUTED_VALUE"""),0.179)</f>
        <v>0.179</v>
      </c>
      <c r="U2345" s="14">
        <f>IFERROR(__xludf.DUMMYFUNCTION("""COMPUTED_VALUE"""),0.649)</f>
        <v>0.649</v>
      </c>
      <c r="V2345" s="14">
        <f>IFERROR(__xludf.DUMMYFUNCTION("""COMPUTED_VALUE"""),0.172)</f>
        <v>0.172</v>
      </c>
      <c r="W2345" s="14">
        <f>IFERROR(__xludf.DUMMYFUNCTION("""COMPUTED_VALUE"""),8958229.0)</f>
        <v>8958229</v>
      </c>
      <c r="X2345" s="14">
        <f>IFERROR(__xludf.DUMMYFUNCTION("""COMPUTED_VALUE"""),0.842)</f>
        <v>0.842</v>
      </c>
      <c r="Y2345" s="14" t="str">
        <f>IFERROR(__xludf.DUMMYFUNCTION("""COMPUTED_VALUE"""),"Sweden-Europe")</f>
        <v>Sweden-Europe</v>
      </c>
      <c r="Z2345" s="14" t="str">
        <f>IFERROR(__xludf.DUMMYFUNCTION("""COMPUTED_VALUE"""),"Europe")</f>
        <v>Europe</v>
      </c>
      <c r="AA2345" s="14" t="str">
        <f>IFERROR(__xludf.DUMMYFUNCTION("""COMPUTED_VALUE"""),"2003")</f>
        <v>2003</v>
      </c>
      <c r="AB2345" s="15" t="str">
        <f>IFERROR(__xludf.DUMMYFUNCTION("ARRAYFORMULA(VLOOKUP(A2345,IMPORTRANGE(""https://docs.google.com/spreadsheets/d/1BuTWp7qHGjWhqrnf-OmePP568O4A5Am9ttzvVdP67zw/edit#gid=1931367683"" ,""ENERGY!$A$2:$F$2692""), {2,3,4,5,6},0))"),"Europe")</f>
        <v>Europe</v>
      </c>
      <c r="AC2345" s="14" t="str">
        <f>IFERROR(__xludf.DUMMYFUNCTION("""COMPUTED_VALUE"""),"Sweden-Europe")</f>
        <v>Sweden-Europe</v>
      </c>
      <c r="AD2345" s="14" t="str">
        <f>IFERROR(__xludf.DUMMYFUNCTION("""COMPUTED_VALUE"""),"2003")</f>
        <v>2003</v>
      </c>
      <c r="AE2345" s="14">
        <f>IFERROR(__xludf.DUMMYFUNCTION("""COMPUTED_VALUE"""),45407.0)</f>
        <v>45407</v>
      </c>
      <c r="AF2345" s="14">
        <f>IFERROR(__xludf.DUMMYFUNCTION("""COMPUTED_VALUE"""),43744.0)</f>
        <v>43744</v>
      </c>
    </row>
    <row r="2346">
      <c r="A2346" s="12">
        <v>2345.0</v>
      </c>
      <c r="B2346" s="12" t="s">
        <v>259</v>
      </c>
      <c r="C2346" s="5" t="s">
        <v>75</v>
      </c>
      <c r="D2346" s="8"/>
      <c r="E2346" s="11">
        <v>16.0</v>
      </c>
      <c r="F2346" s="8"/>
      <c r="G2346" s="8"/>
      <c r="H2346" s="11">
        <v>0.839</v>
      </c>
      <c r="I2346" s="11">
        <v>0.978</v>
      </c>
      <c r="J2346" s="9" t="s">
        <v>65</v>
      </c>
      <c r="K2346" s="14" t="str">
        <f>IFERROR(__xludf.DUMMYFUNCTION("ARRAYFORMULA(VLOOKUP(A2346,IMPORTRANGE(""https://docs.google.com/spreadsheets/d/1BuTWp7qHGjWhqrnf-OmePP568O4A5Am9ttzvVdP67zw/edit#gid=1603210130"", ""TOURISM!$A$2:$F$2692""), {2,3,4,5,6},0))"),"Europe")</f>
        <v>Europe</v>
      </c>
      <c r="L2346" s="14">
        <f>IFERROR(__xludf.DUMMYFUNCTION("""COMPUTED_VALUE"""),7.686E9)</f>
        <v>7686000000</v>
      </c>
      <c r="M2346" s="14" t="str">
        <f>IFERROR(__xludf.DUMMYFUNCTION("""COMPUTED_VALUE"""),"Sweden-Europe")</f>
        <v>Sweden-Europe</v>
      </c>
      <c r="N2346" s="14" t="str">
        <f>IFERROR(__xludf.DUMMYFUNCTION("""COMPUTED_VALUE"""),"2004")</f>
        <v>2004</v>
      </c>
      <c r="O2346" s="14">
        <f>IFERROR(__xludf.DUMMYFUNCTION("""COMPUTED_VALUE"""),1.1088E10)</f>
        <v>11088000000</v>
      </c>
      <c r="P2346" s="15">
        <f>IFERROR(__xludf.DUMMYFUNCTION("ARRAYFORMULA(VLOOKUP(A2346,IMPORTRANGE(""https://docs.google.com/spreadsheets/d/1BuTWp7qHGjWhqrnf-OmePP568O4A5Am9ttzvVdP67zw/edit#gid=771602874"" ,""HUMAN RESOURCES!$A$2:$M$2692""), {2,3,4,5,6,7,8,9,10,11,12,13},0))"),0.011)</f>
        <v>0.011</v>
      </c>
      <c r="Q2346" s="14">
        <f>IFERROR(__xludf.DUMMYFUNCTION("""COMPUTED_VALUE"""),0.003)</f>
        <v>0.003</v>
      </c>
      <c r="R2346" s="14">
        <f>IFERROR(__xludf.DUMMYFUNCTION("""COMPUTED_VALUE"""),83.0)</f>
        <v>83</v>
      </c>
      <c r="S2346" s="14">
        <f>IFERROR(__xludf.DUMMYFUNCTION("""COMPUTED_VALUE"""),78.0)</f>
        <v>78</v>
      </c>
      <c r="T2346" s="14">
        <f>IFERROR(__xludf.DUMMYFUNCTION("""COMPUTED_VALUE"""),0.176)</f>
        <v>0.176</v>
      </c>
      <c r="U2346" s="14">
        <f>IFERROR(__xludf.DUMMYFUNCTION("""COMPUTED_VALUE"""),0.651)</f>
        <v>0.651</v>
      </c>
      <c r="V2346" s="14">
        <f>IFERROR(__xludf.DUMMYFUNCTION("""COMPUTED_VALUE"""),0.172)</f>
        <v>0.172</v>
      </c>
      <c r="W2346" s="14">
        <f>IFERROR(__xludf.DUMMYFUNCTION("""COMPUTED_VALUE"""),8993531.0)</f>
        <v>8993531</v>
      </c>
      <c r="X2346" s="14">
        <f>IFERROR(__xludf.DUMMYFUNCTION("""COMPUTED_VALUE"""),0.843)</f>
        <v>0.843</v>
      </c>
      <c r="Y2346" s="14" t="str">
        <f>IFERROR(__xludf.DUMMYFUNCTION("""COMPUTED_VALUE"""),"Sweden-Europe")</f>
        <v>Sweden-Europe</v>
      </c>
      <c r="Z2346" s="14" t="str">
        <f>IFERROR(__xludf.DUMMYFUNCTION("""COMPUTED_VALUE"""),"Europe")</f>
        <v>Europe</v>
      </c>
      <c r="AA2346" s="14" t="str">
        <f>IFERROR(__xludf.DUMMYFUNCTION("""COMPUTED_VALUE"""),"2004")</f>
        <v>2004</v>
      </c>
      <c r="AB2346" s="15" t="str">
        <f>IFERROR(__xludf.DUMMYFUNCTION("ARRAYFORMULA(VLOOKUP(A2346,IMPORTRANGE(""https://docs.google.com/spreadsheets/d/1BuTWp7qHGjWhqrnf-OmePP568O4A5Am9ttzvVdP67zw/edit#gid=1931367683"" ,""ENERGY!$A$2:$F$2692""), {2,3,4,5,6},0))"),"Europe")</f>
        <v>Europe</v>
      </c>
      <c r="AC2346" s="14" t="str">
        <f>IFERROR(__xludf.DUMMYFUNCTION("""COMPUTED_VALUE"""),"Sweden-Europe")</f>
        <v>Sweden-Europe</v>
      </c>
      <c r="AD2346" s="14" t="str">
        <f>IFERROR(__xludf.DUMMYFUNCTION("""COMPUTED_VALUE"""),"2005")</f>
        <v>2005</v>
      </c>
      <c r="AE2346" s="14">
        <f>IFERROR(__xludf.DUMMYFUNCTION("""COMPUTED_VALUE"""),49601.0)</f>
        <v>49601</v>
      </c>
      <c r="AF2346" s="14">
        <f>IFERROR(__xludf.DUMMYFUNCTION("""COMPUTED_VALUE"""),49105.0)</f>
        <v>49105</v>
      </c>
    </row>
    <row r="2347">
      <c r="A2347" s="12">
        <v>2346.0</v>
      </c>
      <c r="B2347" s="12" t="s">
        <v>259</v>
      </c>
      <c r="C2347" s="5" t="s">
        <v>75</v>
      </c>
      <c r="D2347" s="11">
        <v>0.541</v>
      </c>
      <c r="E2347" s="11">
        <v>16.0</v>
      </c>
      <c r="F2347" s="8"/>
      <c r="G2347" s="11">
        <v>122.0</v>
      </c>
      <c r="H2347" s="11">
        <v>0.848</v>
      </c>
      <c r="I2347" s="11">
        <v>1.008</v>
      </c>
      <c r="J2347" s="9" t="s">
        <v>66</v>
      </c>
      <c r="K2347" s="14" t="str">
        <f>IFERROR(__xludf.DUMMYFUNCTION("ARRAYFORMULA(VLOOKUP(A2347,IMPORTRANGE(""https://docs.google.com/spreadsheets/d/1BuTWp7qHGjWhqrnf-OmePP568O4A5Am9ttzvVdP67zw/edit#gid=1603210130"", ""TOURISM!$A$2:$F$2692""), {2,3,4,5,6},0))"),"Europe")</f>
        <v>Europe</v>
      </c>
      <c r="L2347" s="14">
        <f>IFERROR(__xludf.DUMMYFUNCTION("""COMPUTED_VALUE"""),7.739E9)</f>
        <v>7739000000</v>
      </c>
      <c r="M2347" s="14" t="str">
        <f>IFERROR(__xludf.DUMMYFUNCTION("""COMPUTED_VALUE"""),"Sweden-Europe")</f>
        <v>Sweden-Europe</v>
      </c>
      <c r="N2347" s="14" t="str">
        <f>IFERROR(__xludf.DUMMYFUNCTION("""COMPUTED_VALUE"""),"2005")</f>
        <v>2005</v>
      </c>
      <c r="O2347" s="14">
        <f>IFERROR(__xludf.DUMMYFUNCTION("""COMPUTED_VALUE"""),1.138E10)</f>
        <v>11380000000</v>
      </c>
      <c r="P2347" s="15">
        <f>IFERROR(__xludf.DUMMYFUNCTION("ARRAYFORMULA(VLOOKUP(A2347,IMPORTRANGE(""https://docs.google.com/spreadsheets/d/1BuTWp7qHGjWhqrnf-OmePP568O4A5Am9ttzvVdP67zw/edit#gid=771602874"" ,""HUMAN RESOURCES!$A$2:$M$2692""), {2,3,4,5,6,7,8,9,10,11,12,13},0))"),0.011)</f>
        <v>0.011</v>
      </c>
      <c r="Q2347" s="14">
        <f>IFERROR(__xludf.DUMMYFUNCTION("""COMPUTED_VALUE"""),0.003)</f>
        <v>0.003</v>
      </c>
      <c r="R2347" s="14">
        <f>IFERROR(__xludf.DUMMYFUNCTION("""COMPUTED_VALUE"""),83.0)</f>
        <v>83</v>
      </c>
      <c r="S2347" s="14">
        <f>IFERROR(__xludf.DUMMYFUNCTION("""COMPUTED_VALUE"""),78.0)</f>
        <v>78</v>
      </c>
      <c r="T2347" s="14">
        <f>IFERROR(__xludf.DUMMYFUNCTION("""COMPUTED_VALUE"""),0.174)</f>
        <v>0.174</v>
      </c>
      <c r="U2347" s="14">
        <f>IFERROR(__xludf.DUMMYFUNCTION("""COMPUTED_VALUE"""),0.653)</f>
        <v>0.653</v>
      </c>
      <c r="V2347" s="14">
        <f>IFERROR(__xludf.DUMMYFUNCTION("""COMPUTED_VALUE"""),0.173)</f>
        <v>0.173</v>
      </c>
      <c r="W2347" s="14">
        <f>IFERROR(__xludf.DUMMYFUNCTION("""COMPUTED_VALUE"""),9029572.0)</f>
        <v>9029572</v>
      </c>
      <c r="X2347" s="14">
        <f>IFERROR(__xludf.DUMMYFUNCTION("""COMPUTED_VALUE"""),0.843)</f>
        <v>0.843</v>
      </c>
      <c r="Y2347" s="14" t="str">
        <f>IFERROR(__xludf.DUMMYFUNCTION("""COMPUTED_VALUE"""),"Sweden-Europe")</f>
        <v>Sweden-Europe</v>
      </c>
      <c r="Z2347" s="14" t="str">
        <f>IFERROR(__xludf.DUMMYFUNCTION("""COMPUTED_VALUE"""),"Europe")</f>
        <v>Europe</v>
      </c>
      <c r="AA2347" s="14" t="str">
        <f>IFERROR(__xludf.DUMMYFUNCTION("""COMPUTED_VALUE"""),"2005")</f>
        <v>2005</v>
      </c>
      <c r="AB2347" s="15" t="str">
        <f>IFERROR(__xludf.DUMMYFUNCTION("ARRAYFORMULA(VLOOKUP(A2347,IMPORTRANGE(""https://docs.google.com/spreadsheets/d/1BuTWp7qHGjWhqrnf-OmePP568O4A5Am9ttzvVdP67zw/edit#gid=1931367683"" ,""ENERGY!$A$2:$F$2692""), {2,3,4,5,6},0))"),"Europe")</f>
        <v>Europe</v>
      </c>
      <c r="AC2347" s="14" t="str">
        <f>IFERROR(__xludf.DUMMYFUNCTION("""COMPUTED_VALUE"""),"Sweden-Europe")</f>
        <v>Sweden-Europe</v>
      </c>
      <c r="AD2347" s="14" t="str">
        <f>IFERROR(__xludf.DUMMYFUNCTION("""COMPUTED_VALUE"""),"2009")</f>
        <v>2009</v>
      </c>
      <c r="AE2347" s="14">
        <f>IFERROR(__xludf.DUMMYFUNCTION("""COMPUTED_VALUE"""),50060.0)</f>
        <v>50060</v>
      </c>
      <c r="AF2347" s="14">
        <f>IFERROR(__xludf.DUMMYFUNCTION("""COMPUTED_VALUE"""),48060.0)</f>
        <v>48060</v>
      </c>
    </row>
    <row r="2348">
      <c r="A2348" s="12">
        <v>2347.0</v>
      </c>
      <c r="B2348" s="12" t="s">
        <v>259</v>
      </c>
      <c r="C2348" s="5" t="s">
        <v>75</v>
      </c>
      <c r="D2348" s="11">
        <v>0.541</v>
      </c>
      <c r="E2348" s="11">
        <v>16.0</v>
      </c>
      <c r="F2348" s="8"/>
      <c r="G2348" s="11">
        <v>122.0</v>
      </c>
      <c r="H2348" s="11">
        <v>0.878</v>
      </c>
      <c r="I2348" s="11">
        <v>1.057</v>
      </c>
      <c r="J2348" s="9" t="s">
        <v>67</v>
      </c>
      <c r="K2348" s="14" t="str">
        <f>IFERROR(__xludf.DUMMYFUNCTION("ARRAYFORMULA(VLOOKUP(A2348,IMPORTRANGE(""https://docs.google.com/spreadsheets/d/1BuTWp7qHGjWhqrnf-OmePP568O4A5Am9ttzvVdP67zw/edit#gid=1603210130"", ""TOURISM!$A$2:$F$2692""), {2,3,4,5,6},0))"),"Europe")</f>
        <v>Europe</v>
      </c>
      <c r="L2348" s="14">
        <f>IFERROR(__xludf.DUMMYFUNCTION("""COMPUTED_VALUE"""),1.0016E10)</f>
        <v>10016000000</v>
      </c>
      <c r="M2348" s="14" t="str">
        <f>IFERROR(__xludf.DUMMYFUNCTION("""COMPUTED_VALUE"""),"Sweden-Europe")</f>
        <v>Sweden-Europe</v>
      </c>
      <c r="N2348" s="14" t="str">
        <f>IFERROR(__xludf.DUMMYFUNCTION("""COMPUTED_VALUE"""),"2006")</f>
        <v>2006</v>
      </c>
      <c r="O2348" s="14">
        <f>IFERROR(__xludf.DUMMYFUNCTION("""COMPUTED_VALUE"""),1.1685E10)</f>
        <v>11685000000</v>
      </c>
      <c r="P2348" s="15">
        <f>IFERROR(__xludf.DUMMYFUNCTION("ARRAYFORMULA(VLOOKUP(A2348,IMPORTRANGE(""https://docs.google.com/spreadsheets/d/1BuTWp7qHGjWhqrnf-OmePP568O4A5Am9ttzvVdP67zw/edit#gid=771602874"" ,""HUMAN RESOURCES!$A$2:$M$2692""), {2,3,4,5,6,7,8,9,10,11,12,13},0))"),0.012)</f>
        <v>0.012</v>
      </c>
      <c r="Q2348" s="14">
        <f>IFERROR(__xludf.DUMMYFUNCTION("""COMPUTED_VALUE"""),0.003)</f>
        <v>0.003</v>
      </c>
      <c r="R2348" s="14">
        <f>IFERROR(__xludf.DUMMYFUNCTION("""COMPUTED_VALUE"""),83.0)</f>
        <v>83</v>
      </c>
      <c r="S2348" s="14">
        <f>IFERROR(__xludf.DUMMYFUNCTION("""COMPUTED_VALUE"""),79.0)</f>
        <v>79</v>
      </c>
      <c r="T2348" s="14">
        <f>IFERROR(__xludf.DUMMYFUNCTION("""COMPUTED_VALUE"""),0.172)</f>
        <v>0.172</v>
      </c>
      <c r="U2348" s="14">
        <f>IFERROR(__xludf.DUMMYFUNCTION("""COMPUTED_VALUE"""),0.655)</f>
        <v>0.655</v>
      </c>
      <c r="V2348" s="14">
        <f>IFERROR(__xludf.DUMMYFUNCTION("""COMPUTED_VALUE"""),0.174)</f>
        <v>0.174</v>
      </c>
      <c r="W2348" s="14">
        <f>IFERROR(__xludf.DUMMYFUNCTION("""COMPUTED_VALUE"""),9080505.0)</f>
        <v>9080505</v>
      </c>
      <c r="X2348" s="14">
        <f>IFERROR(__xludf.DUMMYFUNCTION("""COMPUTED_VALUE"""),0.844)</f>
        <v>0.844</v>
      </c>
      <c r="Y2348" s="14" t="str">
        <f>IFERROR(__xludf.DUMMYFUNCTION("""COMPUTED_VALUE"""),"Sweden-Europe")</f>
        <v>Sweden-Europe</v>
      </c>
      <c r="Z2348" s="14" t="str">
        <f>IFERROR(__xludf.DUMMYFUNCTION("""COMPUTED_VALUE"""),"Europe")</f>
        <v>Europe</v>
      </c>
      <c r="AA2348" s="14" t="str">
        <f>IFERROR(__xludf.DUMMYFUNCTION("""COMPUTED_VALUE"""),"2006")</f>
        <v>2006</v>
      </c>
      <c r="AB2348" s="15" t="str">
        <f>IFERROR(__xludf.DUMMYFUNCTION("ARRAYFORMULA(VLOOKUP(A2348,IMPORTRANGE(""https://docs.google.com/spreadsheets/d/1BuTWp7qHGjWhqrnf-OmePP568O4A5Am9ttzvVdP67zw/edit#gid=1931367683"" ,""ENERGY!$A$2:$F$2692""), {2,3,4,5,6},0))"),"Europe")</f>
        <v>Europe</v>
      </c>
      <c r="AC2348" s="14" t="str">
        <f>IFERROR(__xludf.DUMMYFUNCTION("""COMPUTED_VALUE"""),"Sweden-Europe")</f>
        <v>Sweden-Europe</v>
      </c>
      <c r="AD2348" s="14" t="str">
        <f>IFERROR(__xludf.DUMMYFUNCTION("""COMPUTED_VALUE"""),"2012")</f>
        <v>2012</v>
      </c>
      <c r="AE2348" s="14">
        <f>IFERROR(__xludf.DUMMYFUNCTION("""COMPUTED_VALUE"""),50207.0)</f>
        <v>50207</v>
      </c>
      <c r="AF2348" s="14">
        <f>IFERROR(__xludf.DUMMYFUNCTION("""COMPUTED_VALUE"""),49571.0)</f>
        <v>49571</v>
      </c>
    </row>
    <row r="2349">
      <c r="A2349" s="12">
        <v>2348.0</v>
      </c>
      <c r="B2349" s="12" t="s">
        <v>259</v>
      </c>
      <c r="C2349" s="5" t="s">
        <v>75</v>
      </c>
      <c r="D2349" s="11">
        <v>0.537</v>
      </c>
      <c r="E2349" s="11">
        <v>16.0</v>
      </c>
      <c r="F2349" s="8"/>
      <c r="G2349" s="11">
        <v>122.0</v>
      </c>
      <c r="H2349" s="11">
        <v>0.82</v>
      </c>
      <c r="I2349" s="11">
        <v>1.105</v>
      </c>
      <c r="J2349" s="9" t="s">
        <v>68</v>
      </c>
      <c r="K2349" s="14" t="str">
        <f>IFERROR(__xludf.DUMMYFUNCTION("ARRAYFORMULA(VLOOKUP(A2349,IMPORTRANGE(""https://docs.google.com/spreadsheets/d/1BuTWp7qHGjWhqrnf-OmePP568O4A5Am9ttzvVdP67zw/edit#gid=1603210130"", ""TOURISM!$A$2:$F$2692""), {2,3,4,5,6},0))"),"Europe")</f>
        <v>Europe</v>
      </c>
      <c r="L2349" s="14">
        <f>IFERROR(__xludf.DUMMYFUNCTION("""COMPUTED_VALUE"""),1.2259E10)</f>
        <v>12259000000</v>
      </c>
      <c r="M2349" s="14" t="str">
        <f>IFERROR(__xludf.DUMMYFUNCTION("""COMPUTED_VALUE"""),"Sweden-Europe")</f>
        <v>Sweden-Europe</v>
      </c>
      <c r="N2349" s="14" t="str">
        <f>IFERROR(__xludf.DUMMYFUNCTION("""COMPUTED_VALUE"""),"2007")</f>
        <v>2007</v>
      </c>
      <c r="O2349" s="14">
        <f>IFERROR(__xludf.DUMMYFUNCTION("""COMPUTED_VALUE"""),1.4336E10)</f>
        <v>14336000000</v>
      </c>
      <c r="P2349" s="15">
        <f>IFERROR(__xludf.DUMMYFUNCTION("ARRAYFORMULA(VLOOKUP(A2349,IMPORTRANGE(""https://docs.google.com/spreadsheets/d/1BuTWp7qHGjWhqrnf-OmePP568O4A5Am9ttzvVdP67zw/edit#gid=771602874"" ,""HUMAN RESOURCES!$A$2:$M$2692""), {2,3,4,5,6,7,8,9,10,11,12,13},0))"),0.012)</f>
        <v>0.012</v>
      </c>
      <c r="Q2349" s="14">
        <f>IFERROR(__xludf.DUMMYFUNCTION("""COMPUTED_VALUE"""),0.003)</f>
        <v>0.003</v>
      </c>
      <c r="R2349" s="14">
        <f>IFERROR(__xludf.DUMMYFUNCTION("""COMPUTED_VALUE"""),83.0)</f>
        <v>83</v>
      </c>
      <c r="S2349" s="14">
        <f>IFERROR(__xludf.DUMMYFUNCTION("""COMPUTED_VALUE"""),79.0)</f>
        <v>79</v>
      </c>
      <c r="T2349" s="14">
        <f>IFERROR(__xludf.DUMMYFUNCTION("""COMPUTED_VALUE"""),0.169)</f>
        <v>0.169</v>
      </c>
      <c r="U2349" s="14">
        <f>IFERROR(__xludf.DUMMYFUNCTION("""COMPUTED_VALUE"""),0.656)</f>
        <v>0.656</v>
      </c>
      <c r="V2349" s="14">
        <f>IFERROR(__xludf.DUMMYFUNCTION("""COMPUTED_VALUE"""),0.175)</f>
        <v>0.175</v>
      </c>
      <c r="W2349" s="14">
        <f>IFERROR(__xludf.DUMMYFUNCTION("""COMPUTED_VALUE"""),9148092.0)</f>
        <v>9148092</v>
      </c>
      <c r="X2349" s="14">
        <f>IFERROR(__xludf.DUMMYFUNCTION("""COMPUTED_VALUE"""),0.846)</f>
        <v>0.846</v>
      </c>
      <c r="Y2349" s="14" t="str">
        <f>IFERROR(__xludf.DUMMYFUNCTION("""COMPUTED_VALUE"""),"Sweden-Europe")</f>
        <v>Sweden-Europe</v>
      </c>
      <c r="Z2349" s="14" t="str">
        <f>IFERROR(__xludf.DUMMYFUNCTION("""COMPUTED_VALUE"""),"Europe")</f>
        <v>Europe</v>
      </c>
      <c r="AA2349" s="14" t="str">
        <f>IFERROR(__xludf.DUMMYFUNCTION("""COMPUTED_VALUE"""),"2007")</f>
        <v>2007</v>
      </c>
      <c r="AB2349" s="15" t="str">
        <f>IFERROR(__xludf.DUMMYFUNCTION("ARRAYFORMULA(VLOOKUP(A2349,IMPORTRANGE(""https://docs.google.com/spreadsheets/d/1BuTWp7qHGjWhqrnf-OmePP568O4A5Am9ttzvVdP67zw/edit#gid=1931367683"" ,""ENERGY!$A$2:$F$2692""), {2,3,4,5,6},0))"),"Europe")</f>
        <v>Europe</v>
      </c>
      <c r="AC2349" s="14" t="str">
        <f>IFERROR(__xludf.DUMMYFUNCTION("""COMPUTED_VALUE"""),"Sweden-Europe")</f>
        <v>Sweden-Europe</v>
      </c>
      <c r="AD2349" s="14" t="str">
        <f>IFERROR(__xludf.DUMMYFUNCTION("""COMPUTED_VALUE"""),"2011")</f>
        <v>2011</v>
      </c>
      <c r="AE2349" s="14">
        <f>IFERROR(__xludf.DUMMYFUNCTION("""COMPUTED_VALUE"""),51569.0)</f>
        <v>51569</v>
      </c>
      <c r="AF2349" s="14">
        <f>IFERROR(__xludf.DUMMYFUNCTION("""COMPUTED_VALUE"""),51562.0)</f>
        <v>51562</v>
      </c>
    </row>
    <row r="2350">
      <c r="A2350" s="12">
        <v>2349.0</v>
      </c>
      <c r="B2350" s="12" t="s">
        <v>259</v>
      </c>
      <c r="C2350" s="5" t="s">
        <v>75</v>
      </c>
      <c r="D2350" s="11">
        <v>0.537</v>
      </c>
      <c r="E2350" s="11">
        <v>16.0</v>
      </c>
      <c r="F2350" s="8"/>
      <c r="G2350" s="11">
        <v>122.0</v>
      </c>
      <c r="H2350" s="11">
        <v>0.9</v>
      </c>
      <c r="I2350" s="11">
        <v>1.084</v>
      </c>
      <c r="J2350" s="9" t="s">
        <v>69</v>
      </c>
      <c r="K2350" s="14" t="str">
        <f>IFERROR(__xludf.DUMMYFUNCTION("ARRAYFORMULA(VLOOKUP(A2350,IMPORTRANGE(""https://docs.google.com/spreadsheets/d/1BuTWp7qHGjWhqrnf-OmePP568O4A5Am9ttzvVdP67zw/edit#gid=1603210130"", ""TOURISM!$A$2:$F$2692""), {2,3,4,5,6},0))"),"Europe")</f>
        <v>Europe</v>
      </c>
      <c r="L2350" s="14">
        <f>IFERROR(__xludf.DUMMYFUNCTION("""COMPUTED_VALUE"""),1.206E10)</f>
        <v>12060000000</v>
      </c>
      <c r="M2350" s="14" t="str">
        <f>IFERROR(__xludf.DUMMYFUNCTION("""COMPUTED_VALUE"""),"Sweden-Europe")</f>
        <v>Sweden-Europe</v>
      </c>
      <c r="N2350" s="14" t="str">
        <f>IFERROR(__xludf.DUMMYFUNCTION("""COMPUTED_VALUE"""),"2008")</f>
        <v>2008</v>
      </c>
      <c r="O2350" s="14">
        <f>IFERROR(__xludf.DUMMYFUNCTION("""COMPUTED_VALUE"""),1.5447E10)</f>
        <v>15447000000</v>
      </c>
      <c r="P2350" s="15">
        <f>IFERROR(__xludf.DUMMYFUNCTION("ARRAYFORMULA(VLOOKUP(A2350,IMPORTRANGE(""https://docs.google.com/spreadsheets/d/1BuTWp7qHGjWhqrnf-OmePP568O4A5Am9ttzvVdP67zw/edit#gid=771602874"" ,""HUMAN RESOURCES!$A$2:$M$2692""), {2,3,4,5,6,7,8,9,10,11,12,13},0))"),0.012)</f>
        <v>0.012</v>
      </c>
      <c r="Q2350" s="14">
        <f>IFERROR(__xludf.DUMMYFUNCTION("""COMPUTED_VALUE"""),0.003)</f>
        <v>0.003</v>
      </c>
      <c r="R2350" s="14">
        <f>IFERROR(__xludf.DUMMYFUNCTION("""COMPUTED_VALUE"""),83.0)</f>
        <v>83</v>
      </c>
      <c r="S2350" s="14">
        <f>IFERROR(__xludf.DUMMYFUNCTION("""COMPUTED_VALUE"""),79.0)</f>
        <v>79</v>
      </c>
      <c r="T2350" s="14">
        <f>IFERROR(__xludf.DUMMYFUNCTION("""COMPUTED_VALUE"""),0.167)</f>
        <v>0.167</v>
      </c>
      <c r="U2350" s="14">
        <f>IFERROR(__xludf.DUMMYFUNCTION("""COMPUTED_VALUE"""),0.656)</f>
        <v>0.656</v>
      </c>
      <c r="V2350" s="14">
        <f>IFERROR(__xludf.DUMMYFUNCTION("""COMPUTED_VALUE"""),0.177)</f>
        <v>0.177</v>
      </c>
      <c r="W2350" s="14">
        <f>IFERROR(__xludf.DUMMYFUNCTION("""COMPUTED_VALUE"""),9219637.0)</f>
        <v>9219637</v>
      </c>
      <c r="X2350" s="14">
        <f>IFERROR(__xludf.DUMMYFUNCTION("""COMPUTED_VALUE"""),0.847)</f>
        <v>0.847</v>
      </c>
      <c r="Y2350" s="14" t="str">
        <f>IFERROR(__xludf.DUMMYFUNCTION("""COMPUTED_VALUE"""),"Sweden-Europe")</f>
        <v>Sweden-Europe</v>
      </c>
      <c r="Z2350" s="14" t="str">
        <f>IFERROR(__xludf.DUMMYFUNCTION("""COMPUTED_VALUE"""),"Europe")</f>
        <v>Europe</v>
      </c>
      <c r="AA2350" s="14" t="str">
        <f>IFERROR(__xludf.DUMMYFUNCTION("""COMPUTED_VALUE"""),"2008")</f>
        <v>2008</v>
      </c>
      <c r="AB2350" s="15" t="str">
        <f>IFERROR(__xludf.DUMMYFUNCTION("ARRAYFORMULA(VLOOKUP(A2350,IMPORTRANGE(""https://docs.google.com/spreadsheets/d/1BuTWp7qHGjWhqrnf-OmePP568O4A5Am9ttzvVdP67zw/edit#gid=1931367683"" ,""ENERGY!$A$2:$F$2692""), {2,3,4,5,6},0))"),"Europe")</f>
        <v>Europe</v>
      </c>
      <c r="AC2350" s="14" t="str">
        <f>IFERROR(__xludf.DUMMYFUNCTION("""COMPUTED_VALUE"""),"Sweden-Europe")</f>
        <v>Sweden-Europe</v>
      </c>
      <c r="AD2350" s="14" t="str">
        <f>IFERROR(__xludf.DUMMYFUNCTION("""COMPUTED_VALUE"""),"2007")</f>
        <v>2007</v>
      </c>
      <c r="AE2350" s="14">
        <f>IFERROR(__xludf.DUMMYFUNCTION("""COMPUTED_VALUE"""),52588.0)</f>
        <v>52588</v>
      </c>
      <c r="AF2350" s="14">
        <f>IFERROR(__xludf.DUMMYFUNCTION("""COMPUTED_VALUE"""),54521.0)</f>
        <v>54521</v>
      </c>
    </row>
    <row r="2351">
      <c r="A2351" s="12">
        <v>2350.0</v>
      </c>
      <c r="B2351" s="12" t="s">
        <v>259</v>
      </c>
      <c r="C2351" s="5" t="s">
        <v>75</v>
      </c>
      <c r="D2351" s="11">
        <v>0.539</v>
      </c>
      <c r="E2351" s="11">
        <v>16.0</v>
      </c>
      <c r="F2351" s="8"/>
      <c r="G2351" s="11">
        <v>122.0</v>
      </c>
      <c r="H2351" s="11">
        <v>0.91</v>
      </c>
      <c r="I2351" s="11">
        <v>1.121</v>
      </c>
      <c r="J2351" s="9" t="s">
        <v>70</v>
      </c>
      <c r="K2351" s="14" t="str">
        <f>IFERROR(__xludf.DUMMYFUNCTION("ARRAYFORMULA(VLOOKUP(A2351,IMPORTRANGE(""https://docs.google.com/spreadsheets/d/1BuTWp7qHGjWhqrnf-OmePP568O4A5Am9ttzvVdP67zw/edit#gid=1603210130"", ""TOURISM!$A$2:$F$2692""), {2,3,4,5,6},0))"),"Europe")</f>
        <v>Europe</v>
      </c>
      <c r="L2351" s="14">
        <f>IFERROR(__xludf.DUMMYFUNCTION("""COMPUTED_VALUE"""),1.01E10)</f>
        <v>10100000000</v>
      </c>
      <c r="M2351" s="14" t="str">
        <f>IFERROR(__xludf.DUMMYFUNCTION("""COMPUTED_VALUE"""),"Sweden-Europe")</f>
        <v>Sweden-Europe</v>
      </c>
      <c r="N2351" s="14" t="str">
        <f>IFERROR(__xludf.DUMMYFUNCTION("""COMPUTED_VALUE"""),"2009")</f>
        <v>2009</v>
      </c>
      <c r="O2351" s="14">
        <f>IFERROR(__xludf.DUMMYFUNCTION("""COMPUTED_VALUE"""),1.2791E10)</f>
        <v>12791000000</v>
      </c>
      <c r="P2351" s="15">
        <f>IFERROR(__xludf.DUMMYFUNCTION("ARRAYFORMULA(VLOOKUP(A2351,IMPORTRANGE(""https://docs.google.com/spreadsheets/d/1BuTWp7qHGjWhqrnf-OmePP568O4A5Am9ttzvVdP67zw/edit#gid=771602874"" ,""HUMAN RESOURCES!$A$2:$M$2692""), {2,3,4,5,6,7,8,9,10,11,12,13},0))"),0.012)</f>
        <v>0.012</v>
      </c>
      <c r="Q2351" s="14">
        <f>IFERROR(__xludf.DUMMYFUNCTION("""COMPUTED_VALUE"""),0.003)</f>
        <v>0.003</v>
      </c>
      <c r="R2351" s="14">
        <f>IFERROR(__xludf.DUMMYFUNCTION("""COMPUTED_VALUE"""),83.0)</f>
        <v>83</v>
      </c>
      <c r="S2351" s="14">
        <f>IFERROR(__xludf.DUMMYFUNCTION("""COMPUTED_VALUE"""),79.0)</f>
        <v>79</v>
      </c>
      <c r="T2351" s="14">
        <f>IFERROR(__xludf.DUMMYFUNCTION("""COMPUTED_VALUE"""),0.166)</f>
        <v>0.166</v>
      </c>
      <c r="U2351" s="14">
        <f>IFERROR(__xludf.DUMMYFUNCTION("""COMPUTED_VALUE"""),0.655)</f>
        <v>0.655</v>
      </c>
      <c r="V2351" s="14">
        <f>IFERROR(__xludf.DUMMYFUNCTION("""COMPUTED_VALUE"""),0.179)</f>
        <v>0.179</v>
      </c>
      <c r="W2351" s="14">
        <f>IFERROR(__xludf.DUMMYFUNCTION("""COMPUTED_VALUE"""),9298515.0)</f>
        <v>9298515</v>
      </c>
      <c r="X2351" s="14">
        <f>IFERROR(__xludf.DUMMYFUNCTION("""COMPUTED_VALUE"""),0.849)</f>
        <v>0.849</v>
      </c>
      <c r="Y2351" s="14" t="str">
        <f>IFERROR(__xludf.DUMMYFUNCTION("""COMPUTED_VALUE"""),"Sweden-Europe")</f>
        <v>Sweden-Europe</v>
      </c>
      <c r="Z2351" s="14" t="str">
        <f>IFERROR(__xludf.DUMMYFUNCTION("""COMPUTED_VALUE"""),"Europe")</f>
        <v>Europe</v>
      </c>
      <c r="AA2351" s="14" t="str">
        <f>IFERROR(__xludf.DUMMYFUNCTION("""COMPUTED_VALUE"""),"2009")</f>
        <v>2009</v>
      </c>
      <c r="AB2351" s="15" t="str">
        <f>IFERROR(__xludf.DUMMYFUNCTION("ARRAYFORMULA(VLOOKUP(A2351,IMPORTRANGE(""https://docs.google.com/spreadsheets/d/1BuTWp7qHGjWhqrnf-OmePP568O4A5Am9ttzvVdP67zw/edit#gid=1931367683"" ,""ENERGY!$A$2:$F$2692""), {2,3,4,5,6},0))"),"Europe")</f>
        <v>Europe</v>
      </c>
      <c r="AC2351" s="14" t="str">
        <f>IFERROR(__xludf.DUMMYFUNCTION("""COMPUTED_VALUE"""),"Sweden-Europe")</f>
        <v>Sweden-Europe</v>
      </c>
      <c r="AD2351" s="14" t="str">
        <f>IFERROR(__xludf.DUMMYFUNCTION("""COMPUTED_VALUE"""),"2012")</f>
        <v>2012</v>
      </c>
      <c r="AE2351" s="14">
        <f>IFERROR(__xludf.DUMMYFUNCTION("""COMPUTED_VALUE"""),50618.0)</f>
        <v>50618</v>
      </c>
      <c r="AF2351" s="14">
        <f>IFERROR(__xludf.DUMMYFUNCTION("""COMPUTED_VALUE"""),54781.0)</f>
        <v>54781</v>
      </c>
    </row>
    <row r="2352">
      <c r="A2352" s="12">
        <v>2351.0</v>
      </c>
      <c r="B2352" s="12" t="s">
        <v>259</v>
      </c>
      <c r="C2352" s="5" t="s">
        <v>75</v>
      </c>
      <c r="D2352" s="11">
        <v>0.52</v>
      </c>
      <c r="E2352" s="11">
        <v>16.0</v>
      </c>
      <c r="F2352" s="8"/>
      <c r="G2352" s="11">
        <v>122.0</v>
      </c>
      <c r="H2352" s="11">
        <v>0.9</v>
      </c>
      <c r="I2352" s="11">
        <v>1.172</v>
      </c>
      <c r="J2352" s="9" t="s">
        <v>71</v>
      </c>
      <c r="K2352" s="14" t="str">
        <f>IFERROR(__xludf.DUMMYFUNCTION("ARRAYFORMULA(VLOOKUP(A2352,IMPORTRANGE(""https://docs.google.com/spreadsheets/d/1BuTWp7qHGjWhqrnf-OmePP568O4A5Am9ttzvVdP67zw/edit#gid=1603210130"", ""TOURISM!$A$2:$F$2692""), {2,3,4,5,6},0))"),"Europe")</f>
        <v>Europe</v>
      </c>
      <c r="L2352" s="14">
        <f>IFERROR(__xludf.DUMMYFUNCTION("""COMPUTED_VALUE"""),1.0991E10)</f>
        <v>10991000000</v>
      </c>
      <c r="M2352" s="14" t="str">
        <f>IFERROR(__xludf.DUMMYFUNCTION("""COMPUTED_VALUE"""),"Sweden-Europe")</f>
        <v>Sweden-Europe</v>
      </c>
      <c r="N2352" s="14" t="str">
        <f>IFERROR(__xludf.DUMMYFUNCTION("""COMPUTED_VALUE"""),"2010")</f>
        <v>2010</v>
      </c>
      <c r="O2352" s="14">
        <f>IFERROR(__xludf.DUMMYFUNCTION("""COMPUTED_VALUE"""),1.4912E10)</f>
        <v>14912000000</v>
      </c>
      <c r="P2352" s="15">
        <f>IFERROR(__xludf.DUMMYFUNCTION("ARRAYFORMULA(VLOOKUP(A2352,IMPORTRANGE(""https://docs.google.com/spreadsheets/d/1BuTWp7qHGjWhqrnf-OmePP568O4A5Am9ttzvVdP67zw/edit#gid=771602874"" ,""HUMAN RESOURCES!$A$2:$M$2692""), {2,3,4,5,6,7,8,9,10,11,12,13},0))"),0.012)</f>
        <v>0.012</v>
      </c>
      <c r="Q2352" s="14">
        <f>IFERROR(__xludf.DUMMYFUNCTION("""COMPUTED_VALUE"""),0.003)</f>
        <v>0.003</v>
      </c>
      <c r="R2352" s="14">
        <f>IFERROR(__xludf.DUMMYFUNCTION("""COMPUTED_VALUE"""),84.0)</f>
        <v>84</v>
      </c>
      <c r="S2352" s="14">
        <f>IFERROR(__xludf.DUMMYFUNCTION("""COMPUTED_VALUE"""),80.0)</f>
        <v>80</v>
      </c>
      <c r="T2352" s="14">
        <f>IFERROR(__xludf.DUMMYFUNCTION("""COMPUTED_VALUE"""),0.165)</f>
        <v>0.165</v>
      </c>
      <c r="U2352" s="14">
        <f>IFERROR(__xludf.DUMMYFUNCTION("""COMPUTED_VALUE"""),0.653)</f>
        <v>0.653</v>
      </c>
      <c r="V2352" s="14">
        <f>IFERROR(__xludf.DUMMYFUNCTION("""COMPUTED_VALUE"""),0.182)</f>
        <v>0.182</v>
      </c>
      <c r="W2352" s="14">
        <f>IFERROR(__xludf.DUMMYFUNCTION("""COMPUTED_VALUE"""),9378126.0)</f>
        <v>9378126</v>
      </c>
      <c r="X2352" s="14">
        <f>IFERROR(__xludf.DUMMYFUNCTION("""COMPUTED_VALUE"""),0.851)</f>
        <v>0.851</v>
      </c>
      <c r="Y2352" s="14" t="str">
        <f>IFERROR(__xludf.DUMMYFUNCTION("""COMPUTED_VALUE"""),"Sweden-Europe")</f>
        <v>Sweden-Europe</v>
      </c>
      <c r="Z2352" s="14" t="str">
        <f>IFERROR(__xludf.DUMMYFUNCTION("""COMPUTED_VALUE"""),"Europe")</f>
        <v>Europe</v>
      </c>
      <c r="AA2352" s="14" t="str">
        <f>IFERROR(__xludf.DUMMYFUNCTION("""COMPUTED_VALUE"""),"2010")</f>
        <v>2010</v>
      </c>
      <c r="AB2352" s="15" t="str">
        <f>IFERROR(__xludf.DUMMYFUNCTION("ARRAYFORMULA(VLOOKUP(A2352,IMPORTRANGE(""https://docs.google.com/spreadsheets/d/1BuTWp7qHGjWhqrnf-OmePP568O4A5Am9ttzvVdP67zw/edit#gid=1931367683"" ,""ENERGY!$A$2:$F$2692""), {2,3,4,5,6},0))"),"Europe")</f>
        <v>Europe</v>
      </c>
      <c r="AC2352" s="14" t="str">
        <f>IFERROR(__xludf.DUMMYFUNCTION("""COMPUTED_VALUE"""),"Sweden-Europe")</f>
        <v>Sweden-Europe</v>
      </c>
      <c r="AD2352" s="14" t="str">
        <f>IFERROR(__xludf.DUMMYFUNCTION("""COMPUTED_VALUE"""),"2009")</f>
        <v>2009</v>
      </c>
      <c r="AE2352" s="14">
        <f>IFERROR(__xludf.DUMMYFUNCTION("""COMPUTED_VALUE"""),51784.0)</f>
        <v>51784</v>
      </c>
      <c r="AF2352" s="14">
        <f>IFERROR(__xludf.DUMMYFUNCTION("""COMPUTED_VALUE"""),57425.0)</f>
        <v>57425</v>
      </c>
    </row>
    <row r="2353">
      <c r="A2353" s="12">
        <v>2352.0</v>
      </c>
      <c r="B2353" s="12" t="s">
        <v>259</v>
      </c>
      <c r="C2353" s="5" t="s">
        <v>75</v>
      </c>
      <c r="D2353" s="11">
        <v>0.52</v>
      </c>
      <c r="E2353" s="11">
        <v>16.0</v>
      </c>
      <c r="F2353" s="8"/>
      <c r="G2353" s="11">
        <v>122.0</v>
      </c>
      <c r="H2353" s="11">
        <v>0.928</v>
      </c>
      <c r="I2353" s="11">
        <v>1.212</v>
      </c>
      <c r="J2353" s="9" t="s">
        <v>72</v>
      </c>
      <c r="K2353" s="14" t="str">
        <f>IFERROR(__xludf.DUMMYFUNCTION("ARRAYFORMULA(VLOOKUP(A2353,IMPORTRANGE(""https://docs.google.com/spreadsheets/d/1BuTWp7qHGjWhqrnf-OmePP568O4A5Am9ttzvVdP67zw/edit#gid=1603210130"", ""TOURISM!$A$2:$F$2692""), {2,3,4,5,6},0))"),"Europe")</f>
        <v>Europe</v>
      </c>
      <c r="L2353" s="14">
        <f>IFERROR(__xludf.DUMMYFUNCTION("""COMPUTED_VALUE"""),1.2777E10)</f>
        <v>12777000000</v>
      </c>
      <c r="M2353" s="14" t="str">
        <f>IFERROR(__xludf.DUMMYFUNCTION("""COMPUTED_VALUE"""),"Sweden-Europe")</f>
        <v>Sweden-Europe</v>
      </c>
      <c r="N2353" s="14" t="str">
        <f>IFERROR(__xludf.DUMMYFUNCTION("""COMPUTED_VALUE"""),"2011")</f>
        <v>2011</v>
      </c>
      <c r="O2353" s="14">
        <f>IFERROR(__xludf.DUMMYFUNCTION("""COMPUTED_VALUE"""),1.7187E10)</f>
        <v>17187000000</v>
      </c>
      <c r="P2353" s="15">
        <f>IFERROR(__xludf.DUMMYFUNCTION("ARRAYFORMULA(VLOOKUP(A2353,IMPORTRANGE(""https://docs.google.com/spreadsheets/d/1BuTWp7qHGjWhqrnf-OmePP568O4A5Am9ttzvVdP67zw/edit#gid=771602874"" ,""HUMAN RESOURCES!$A$2:$M$2692""), {2,3,4,5,6,7,8,9,10,11,12,13},0))"),0.012)</f>
        <v>0.012</v>
      </c>
      <c r="Q2353" s="14">
        <f>IFERROR(__xludf.DUMMYFUNCTION("""COMPUTED_VALUE"""),0.002)</f>
        <v>0.002</v>
      </c>
      <c r="R2353" s="14">
        <f>IFERROR(__xludf.DUMMYFUNCTION("""COMPUTED_VALUE"""),84.0)</f>
        <v>84</v>
      </c>
      <c r="S2353" s="14">
        <f>IFERROR(__xludf.DUMMYFUNCTION("""COMPUTED_VALUE"""),80.0)</f>
        <v>80</v>
      </c>
      <c r="T2353" s="14">
        <f>IFERROR(__xludf.DUMMYFUNCTION("""COMPUTED_VALUE"""),0.166)</f>
        <v>0.166</v>
      </c>
      <c r="U2353" s="14">
        <f>IFERROR(__xludf.DUMMYFUNCTION("""COMPUTED_VALUE"""),0.649)</f>
        <v>0.649</v>
      </c>
      <c r="V2353" s="14">
        <f>IFERROR(__xludf.DUMMYFUNCTION("""COMPUTED_VALUE"""),0.185)</f>
        <v>0.185</v>
      </c>
      <c r="W2353" s="14">
        <f>IFERROR(__xludf.DUMMYFUNCTION("""COMPUTED_VALUE"""),9449213.0)</f>
        <v>9449213</v>
      </c>
      <c r="X2353" s="14">
        <f>IFERROR(__xludf.DUMMYFUNCTION("""COMPUTED_VALUE"""),0.852)</f>
        <v>0.852</v>
      </c>
      <c r="Y2353" s="14" t="str">
        <f>IFERROR(__xludf.DUMMYFUNCTION("""COMPUTED_VALUE"""),"Sweden-Europe")</f>
        <v>Sweden-Europe</v>
      </c>
      <c r="Z2353" s="14" t="str">
        <f>IFERROR(__xludf.DUMMYFUNCTION("""COMPUTED_VALUE"""),"Europe")</f>
        <v>Europe</v>
      </c>
      <c r="AA2353" s="14" t="str">
        <f>IFERROR(__xludf.DUMMYFUNCTION("""COMPUTED_VALUE"""),"2011")</f>
        <v>2011</v>
      </c>
      <c r="AB2353" s="15" t="str">
        <f>IFERROR(__xludf.DUMMYFUNCTION("ARRAYFORMULA(VLOOKUP(A2353,IMPORTRANGE(""https://docs.google.com/spreadsheets/d/1BuTWp7qHGjWhqrnf-OmePP568O4A5Am9ttzvVdP67zw/edit#gid=1931367683"" ,""ENERGY!$A$2:$F$2692""), {2,3,4,5,6},0))"),"Europe")</f>
        <v>Europe</v>
      </c>
      <c r="AC2353" s="14" t="str">
        <f>IFERROR(__xludf.DUMMYFUNCTION("""COMPUTED_VALUE"""),"Sweden-Europe")</f>
        <v>Sweden-Europe</v>
      </c>
      <c r="AD2353" s="14" t="str">
        <f>IFERROR(__xludf.DUMMYFUNCTION("""COMPUTED_VALUE"""),"2007")</f>
        <v>2007</v>
      </c>
      <c r="AE2353" s="14">
        <f>IFERROR(__xludf.DUMMYFUNCTION("""COMPUTED_VALUE"""),50532.0)</f>
        <v>50532</v>
      </c>
      <c r="AF2353" s="14">
        <f>IFERROR(__xludf.DUMMYFUNCTION("""COMPUTED_VALUE"""),51129.0)</f>
        <v>51129</v>
      </c>
    </row>
    <row r="2354">
      <c r="A2354" s="12">
        <v>2353.0</v>
      </c>
      <c r="B2354" s="12" t="s">
        <v>259</v>
      </c>
      <c r="C2354" s="5" t="s">
        <v>75</v>
      </c>
      <c r="D2354" s="11">
        <v>0.52</v>
      </c>
      <c r="E2354" s="11">
        <v>16.0</v>
      </c>
      <c r="F2354" s="11">
        <v>14.0</v>
      </c>
      <c r="G2354" s="11">
        <v>122.0</v>
      </c>
      <c r="H2354" s="11">
        <v>0.932</v>
      </c>
      <c r="I2354" s="11">
        <v>1.246</v>
      </c>
      <c r="J2354" s="9" t="s">
        <v>73</v>
      </c>
      <c r="K2354" s="14" t="str">
        <f>IFERROR(__xludf.DUMMYFUNCTION("ARRAYFORMULA(VLOOKUP(A2354,IMPORTRANGE(""https://docs.google.com/spreadsheets/d/1BuTWp7qHGjWhqrnf-OmePP568O4A5Am9ttzvVdP67zw/edit#gid=1603210130"", ""TOURISM!$A$2:$F$2692""), {2,3,4,5,6},0))"),"Europe")</f>
        <v>Europe</v>
      </c>
      <c r="L2354" s="14">
        <f>IFERROR(__xludf.DUMMYFUNCTION("""COMPUTED_VALUE"""),1.2415E10)</f>
        <v>12415000000</v>
      </c>
      <c r="M2354" s="14" t="str">
        <f>IFERROR(__xludf.DUMMYFUNCTION("""COMPUTED_VALUE"""),"Sweden-Europe")</f>
        <v>Sweden-Europe</v>
      </c>
      <c r="N2354" s="14" t="str">
        <f>IFERROR(__xludf.DUMMYFUNCTION("""COMPUTED_VALUE"""),"2012")</f>
        <v>2012</v>
      </c>
      <c r="O2354" s="14">
        <f>IFERROR(__xludf.DUMMYFUNCTION("""COMPUTED_VALUE"""),1.7664E10)</f>
        <v>17664000000</v>
      </c>
      <c r="P2354" s="15">
        <f>IFERROR(__xludf.DUMMYFUNCTION("ARRAYFORMULA(VLOOKUP(A2354,IMPORTRANGE(""https://docs.google.com/spreadsheets/d/1BuTWp7qHGjWhqrnf-OmePP568O4A5Am9ttzvVdP67zw/edit#gid=771602874"" ,""HUMAN RESOURCES!$A$2:$M$2692""), {2,3,4,5,6,7,8,9,10,11,12,13},0))"),0.012)</f>
        <v>0.012</v>
      </c>
      <c r="Q2354" s="14">
        <f>IFERROR(__xludf.DUMMYFUNCTION("""COMPUTED_VALUE"""),0.002)</f>
        <v>0.002</v>
      </c>
      <c r="R2354" s="14">
        <f>IFERROR(__xludf.DUMMYFUNCTION("""COMPUTED_VALUE"""),84.0)</f>
        <v>84</v>
      </c>
      <c r="S2354" s="14">
        <f>IFERROR(__xludf.DUMMYFUNCTION("""COMPUTED_VALUE"""),80.0)</f>
        <v>80</v>
      </c>
      <c r="T2354" s="14">
        <f>IFERROR(__xludf.DUMMYFUNCTION("""COMPUTED_VALUE"""),0.167)</f>
        <v>0.167</v>
      </c>
      <c r="U2354" s="14">
        <f>IFERROR(__xludf.DUMMYFUNCTION("""COMPUTED_VALUE"""),0.644)</f>
        <v>0.644</v>
      </c>
      <c r="V2354" s="14">
        <f>IFERROR(__xludf.DUMMYFUNCTION("""COMPUTED_VALUE"""),0.189)</f>
        <v>0.189</v>
      </c>
      <c r="W2354" s="14">
        <f>IFERROR(__xludf.DUMMYFUNCTION("""COMPUTED_VALUE"""),9519374.0)</f>
        <v>9519374</v>
      </c>
      <c r="X2354" s="14">
        <f>IFERROR(__xludf.DUMMYFUNCTION("""COMPUTED_VALUE"""),0.854)</f>
        <v>0.854</v>
      </c>
      <c r="Y2354" s="14" t="str">
        <f>IFERROR(__xludf.DUMMYFUNCTION("""COMPUTED_VALUE"""),"Sweden-Europe")</f>
        <v>Sweden-Europe</v>
      </c>
      <c r="Z2354" s="14" t="str">
        <f>IFERROR(__xludf.DUMMYFUNCTION("""COMPUTED_VALUE"""),"Europe")</f>
        <v>Europe</v>
      </c>
      <c r="AA2354" s="14" t="str">
        <f>IFERROR(__xludf.DUMMYFUNCTION("""COMPUTED_VALUE"""),"2012")</f>
        <v>2012</v>
      </c>
      <c r="AB2354" s="15" t="str">
        <f>IFERROR(__xludf.DUMMYFUNCTION("ARRAYFORMULA(VLOOKUP(A2354,IMPORTRANGE(""https://docs.google.com/spreadsheets/d/1BuTWp7qHGjWhqrnf-OmePP568O4A5Am9ttzvVdP67zw/edit#gid=1931367683"" ,""ENERGY!$A$2:$F$2692""), {2,3,4,5,6},0))"),"Europe")</f>
        <v>Europe</v>
      </c>
      <c r="AC2354" s="14" t="str">
        <f>IFERROR(__xludf.DUMMYFUNCTION("""COMPUTED_VALUE"""),"Sweden-Europe")</f>
        <v>Sweden-Europe</v>
      </c>
      <c r="AD2354" s="14" t="str">
        <f>IFERROR(__xludf.DUMMYFUNCTION("""COMPUTED_VALUE"""),"2012")</f>
        <v>2012</v>
      </c>
      <c r="AE2354" s="14">
        <f>IFERROR(__xludf.DUMMYFUNCTION("""COMPUTED_VALUE"""),47556.0)</f>
        <v>47556</v>
      </c>
      <c r="AF2354" s="14">
        <f>IFERROR(__xludf.DUMMYFUNCTION("""COMPUTED_VALUE"""),49794.0)</f>
        <v>49794</v>
      </c>
    </row>
    <row r="2355">
      <c r="A2355" s="12">
        <v>2354.0</v>
      </c>
      <c r="B2355" s="12" t="s">
        <v>260</v>
      </c>
      <c r="C2355" s="5" t="s">
        <v>75</v>
      </c>
      <c r="D2355" s="8"/>
      <c r="E2355" s="8"/>
      <c r="F2355" s="8"/>
      <c r="G2355" s="8"/>
      <c r="H2355" s="11">
        <v>0.471</v>
      </c>
      <c r="I2355" s="11">
        <v>0.647</v>
      </c>
      <c r="J2355" s="9" t="s">
        <v>60</v>
      </c>
      <c r="K2355" s="14" t="str">
        <f>IFERROR(__xludf.DUMMYFUNCTION("ARRAYFORMULA(VLOOKUP(A2355,IMPORTRANGE(""https://docs.google.com/spreadsheets/d/1BuTWp7qHGjWhqrnf-OmePP568O4A5Am9ttzvVdP67zw/edit#gid=1603210130"", ""TOURISM!$A$2:$F$2692""), {2,3,4,5,6},0))"),"Europe")</f>
        <v>Europe</v>
      </c>
      <c r="L2355" s="14">
        <f>IFERROR(__xludf.DUMMYFUNCTION("""COMPUTED_VALUE"""),8.988E9)</f>
        <v>8988000000</v>
      </c>
      <c r="M2355" s="14" t="str">
        <f>IFERROR(__xludf.DUMMYFUNCTION("""COMPUTED_VALUE"""),"Switzerland-Europe")</f>
        <v>Switzerland-Europe</v>
      </c>
      <c r="N2355" s="14" t="str">
        <f>IFERROR(__xludf.DUMMYFUNCTION("""COMPUTED_VALUE"""),"2000")</f>
        <v>2000</v>
      </c>
      <c r="O2355" s="14">
        <f>IFERROR(__xludf.DUMMYFUNCTION("""COMPUTED_VALUE"""),7.36E9)</f>
        <v>7360000000</v>
      </c>
      <c r="P2355" s="15">
        <f>IFERROR(__xludf.DUMMYFUNCTION("ARRAYFORMULA(VLOOKUP(A2355,IMPORTRANGE(""https://docs.google.com/spreadsheets/d/1BuTWp7qHGjWhqrnf-OmePP568O4A5Am9ttzvVdP67zw/edit#gid=771602874"" ,""HUMAN RESOURCES!$A$2:$M$2692""), {2,3,4,5,6,7,8,9,10,11,12,13},0))"),0.011)</f>
        <v>0.011</v>
      </c>
      <c r="Q2355" s="14">
        <f>IFERROR(__xludf.DUMMYFUNCTION("""COMPUTED_VALUE"""),0.005)</f>
        <v>0.005</v>
      </c>
      <c r="R2355" s="14">
        <f>IFERROR(__xludf.DUMMYFUNCTION("""COMPUTED_VALUE"""),83.0)</f>
        <v>83</v>
      </c>
      <c r="S2355" s="14">
        <f>IFERROR(__xludf.DUMMYFUNCTION("""COMPUTED_VALUE"""),77.0)</f>
        <v>77</v>
      </c>
      <c r="T2355" s="14">
        <f>IFERROR(__xludf.DUMMYFUNCTION("""COMPUTED_VALUE"""),0.174)</f>
        <v>0.174</v>
      </c>
      <c r="U2355" s="14">
        <f>IFERROR(__xludf.DUMMYFUNCTION("""COMPUTED_VALUE"""),0.673)</f>
        <v>0.673</v>
      </c>
      <c r="V2355" s="14">
        <f>IFERROR(__xludf.DUMMYFUNCTION("""COMPUTED_VALUE"""),0.153)</f>
        <v>0.153</v>
      </c>
      <c r="W2355" s="14">
        <f>IFERROR(__xludf.DUMMYFUNCTION("""COMPUTED_VALUE"""),7184250.0)</f>
        <v>7184250</v>
      </c>
      <c r="X2355" s="14">
        <f>IFERROR(__xludf.DUMMYFUNCTION("""COMPUTED_VALUE"""),0.733)</f>
        <v>0.733</v>
      </c>
      <c r="Y2355" s="14" t="str">
        <f>IFERROR(__xludf.DUMMYFUNCTION("""COMPUTED_VALUE"""),"Switzerland-Europe")</f>
        <v>Switzerland-Europe</v>
      </c>
      <c r="Z2355" s="14" t="str">
        <f>IFERROR(__xludf.DUMMYFUNCTION("""COMPUTED_VALUE"""),"Europe")</f>
        <v>Europe</v>
      </c>
      <c r="AA2355" s="14" t="str">
        <f>IFERROR(__xludf.DUMMYFUNCTION("""COMPUTED_VALUE"""),"2000")</f>
        <v>2000</v>
      </c>
      <c r="AB2355" s="15" t="str">
        <f>IFERROR(__xludf.DUMMYFUNCTION("ARRAYFORMULA(VLOOKUP(A2355,IMPORTRANGE(""https://docs.google.com/spreadsheets/d/1BuTWp7qHGjWhqrnf-OmePP568O4A5Am9ttzvVdP67zw/edit#gid=1931367683"" ,""ENERGY!$A$2:$F$2692""), {2,3,4,5,6},0))"),"Europe")</f>
        <v>Europe</v>
      </c>
      <c r="AC2355" s="14" t="str">
        <f>IFERROR(__xludf.DUMMYFUNCTION("""COMPUTED_VALUE"""),"Switzerland-Europe")</f>
        <v>Switzerland-Europe</v>
      </c>
      <c r="AD2355" s="14" t="str">
        <f>IFERROR(__xludf.DUMMYFUNCTION("""COMPUTED_VALUE"""),"2000")</f>
        <v>2000</v>
      </c>
      <c r="AE2355" s="14">
        <f>IFERROR(__xludf.DUMMYFUNCTION("""COMPUTED_VALUE"""),25500.0)</f>
        <v>25500</v>
      </c>
      <c r="AF2355" s="14"/>
    </row>
    <row r="2356">
      <c r="A2356" s="12">
        <v>2355.0</v>
      </c>
      <c r="B2356" s="12" t="s">
        <v>260</v>
      </c>
      <c r="C2356" s="5" t="s">
        <v>75</v>
      </c>
      <c r="D2356" s="8"/>
      <c r="E2356" s="8"/>
      <c r="F2356" s="8"/>
      <c r="G2356" s="8"/>
      <c r="H2356" s="11">
        <v>0.551</v>
      </c>
      <c r="I2356" s="11">
        <v>0.733</v>
      </c>
      <c r="J2356" s="9" t="s">
        <v>62</v>
      </c>
      <c r="K2356" s="14" t="str">
        <f>IFERROR(__xludf.DUMMYFUNCTION("ARRAYFORMULA(VLOOKUP(A2356,IMPORTRANGE(""https://docs.google.com/spreadsheets/d/1BuTWp7qHGjWhqrnf-OmePP568O4A5Am9ttzvVdP67zw/edit#gid=1603210130"", ""TOURISM!$A$2:$F$2692""), {2,3,4,5,6},0))"),"Europe")</f>
        <v>Europe</v>
      </c>
      <c r="L2356" s="14">
        <f>IFERROR(__xludf.DUMMYFUNCTION("""COMPUTED_VALUE"""),9.29E9)</f>
        <v>9290000000</v>
      </c>
      <c r="M2356" s="14" t="str">
        <f>IFERROR(__xludf.DUMMYFUNCTION("""COMPUTED_VALUE"""),"Switzerland-Europe")</f>
        <v>Switzerland-Europe</v>
      </c>
      <c r="N2356" s="14" t="str">
        <f>IFERROR(__xludf.DUMMYFUNCTION("""COMPUTED_VALUE"""),"2001")</f>
        <v>2001</v>
      </c>
      <c r="O2356" s="14">
        <f>IFERROR(__xludf.DUMMYFUNCTION("""COMPUTED_VALUE"""),7.085E9)</f>
        <v>7085000000</v>
      </c>
      <c r="P2356" s="15">
        <f>IFERROR(__xludf.DUMMYFUNCTION("ARRAYFORMULA(VLOOKUP(A2356,IMPORTRANGE(""https://docs.google.com/spreadsheets/d/1BuTWp7qHGjWhqrnf-OmePP568O4A5Am9ttzvVdP67zw/edit#gid=771602874"" ,""HUMAN RESOURCES!$A$2:$M$2692""), {2,3,4,5,6,7,8,9,10,11,12,13},0))"),0.01)</f>
        <v>0.01</v>
      </c>
      <c r="Q2356" s="14">
        <f>IFERROR(__xludf.DUMMYFUNCTION("""COMPUTED_VALUE"""),0.005)</f>
        <v>0.005</v>
      </c>
      <c r="R2356" s="14">
        <f>IFERROR(__xludf.DUMMYFUNCTION("""COMPUTED_VALUE"""),83.0)</f>
        <v>83</v>
      </c>
      <c r="S2356" s="14">
        <f>IFERROR(__xludf.DUMMYFUNCTION("""COMPUTED_VALUE"""),77.0)</f>
        <v>77</v>
      </c>
      <c r="T2356" s="14">
        <f>IFERROR(__xludf.DUMMYFUNCTION("""COMPUTED_VALUE"""),0.173)</f>
        <v>0.173</v>
      </c>
      <c r="U2356" s="14">
        <f>IFERROR(__xludf.DUMMYFUNCTION("""COMPUTED_VALUE"""),0.673)</f>
        <v>0.673</v>
      </c>
      <c r="V2356" s="14">
        <f>IFERROR(__xludf.DUMMYFUNCTION("""COMPUTED_VALUE"""),0.154)</f>
        <v>0.154</v>
      </c>
      <c r="W2356" s="14">
        <f>IFERROR(__xludf.DUMMYFUNCTION("""COMPUTED_VALUE"""),7229854.0)</f>
        <v>7229854</v>
      </c>
      <c r="X2356" s="14">
        <f>IFERROR(__xludf.DUMMYFUNCTION("""COMPUTED_VALUE"""),0.733)</f>
        <v>0.733</v>
      </c>
      <c r="Y2356" s="14" t="str">
        <f>IFERROR(__xludf.DUMMYFUNCTION("""COMPUTED_VALUE"""),"Switzerland-Europe")</f>
        <v>Switzerland-Europe</v>
      </c>
      <c r="Z2356" s="14" t="str">
        <f>IFERROR(__xludf.DUMMYFUNCTION("""COMPUTED_VALUE"""),"Europe")</f>
        <v>Europe</v>
      </c>
      <c r="AA2356" s="14" t="str">
        <f>IFERROR(__xludf.DUMMYFUNCTION("""COMPUTED_VALUE"""),"2001")</f>
        <v>2001</v>
      </c>
      <c r="AB2356" s="15" t="str">
        <f>IFERROR(__xludf.DUMMYFUNCTION("ARRAYFORMULA(VLOOKUP(A2356,IMPORTRANGE(""https://docs.google.com/spreadsheets/d/1BuTWp7qHGjWhqrnf-OmePP568O4A5Am9ttzvVdP67zw/edit#gid=1931367683"" ,""ENERGY!$A$2:$F$2692""), {2,3,4,5,6},0))"),"Europe")</f>
        <v>Europe</v>
      </c>
      <c r="AC2356" s="14" t="str">
        <f>IFERROR(__xludf.DUMMYFUNCTION("""COMPUTED_VALUE"""),"Switzerland-Europe")</f>
        <v>Switzerland-Europe</v>
      </c>
      <c r="AD2356" s="14" t="str">
        <f>IFERROR(__xludf.DUMMYFUNCTION("""COMPUTED_VALUE"""),"2001")</f>
        <v>2001</v>
      </c>
      <c r="AE2356" s="14">
        <f>IFERROR(__xludf.DUMMYFUNCTION("""COMPUTED_VALUE"""),25375.0)</f>
        <v>25375</v>
      </c>
      <c r="AF2356" s="14"/>
    </row>
    <row r="2357">
      <c r="A2357" s="12">
        <v>2356.0</v>
      </c>
      <c r="B2357" s="12" t="s">
        <v>260</v>
      </c>
      <c r="C2357" s="5" t="s">
        <v>75</v>
      </c>
      <c r="D2357" s="8"/>
      <c r="E2357" s="8"/>
      <c r="F2357" s="8"/>
      <c r="G2357" s="8"/>
      <c r="H2357" s="11">
        <v>0.614</v>
      </c>
      <c r="I2357" s="11">
        <v>0.792</v>
      </c>
      <c r="J2357" s="9" t="s">
        <v>63</v>
      </c>
      <c r="K2357" s="14" t="str">
        <f>IFERROR(__xludf.DUMMYFUNCTION("ARRAYFORMULA(VLOOKUP(A2357,IMPORTRANGE(""https://docs.google.com/spreadsheets/d/1BuTWp7qHGjWhqrnf-OmePP568O4A5Am9ttzvVdP67zw/edit#gid=1603210130"", ""TOURISM!$A$2:$F$2692""), {2,3,4,5,6},0))"),"Europe")</f>
        <v>Europe</v>
      </c>
      <c r="L2357" s="14">
        <f>IFERROR(__xludf.DUMMYFUNCTION("""COMPUTED_VALUE"""),9.117E9)</f>
        <v>9117000000</v>
      </c>
      <c r="M2357" s="14" t="str">
        <f>IFERROR(__xludf.DUMMYFUNCTION("""COMPUTED_VALUE"""),"Switzerland-Europe")</f>
        <v>Switzerland-Europe</v>
      </c>
      <c r="N2357" s="14" t="str">
        <f>IFERROR(__xludf.DUMMYFUNCTION("""COMPUTED_VALUE"""),"2002")</f>
        <v>2002</v>
      </c>
      <c r="O2357" s="14">
        <f>IFERROR(__xludf.DUMMYFUNCTION("""COMPUTED_VALUE"""),7.21E9)</f>
        <v>7210000000</v>
      </c>
      <c r="P2357" s="15">
        <f>IFERROR(__xludf.DUMMYFUNCTION("ARRAYFORMULA(VLOOKUP(A2357,IMPORTRANGE(""https://docs.google.com/spreadsheets/d/1BuTWp7qHGjWhqrnf-OmePP568O4A5Am9ttzvVdP67zw/edit#gid=771602874"" ,""HUMAN RESOURCES!$A$2:$M$2692""), {2,3,4,5,6,7,8,9,10,11,12,13},0))"),0.01)</f>
        <v>0.01</v>
      </c>
      <c r="Q2357" s="14">
        <f>IFERROR(__xludf.DUMMYFUNCTION("""COMPUTED_VALUE"""),0.005)</f>
        <v>0.005</v>
      </c>
      <c r="R2357" s="14">
        <f>IFERROR(__xludf.DUMMYFUNCTION("""COMPUTED_VALUE"""),83.0)</f>
        <v>83</v>
      </c>
      <c r="S2357" s="14">
        <f>IFERROR(__xludf.DUMMYFUNCTION("""COMPUTED_VALUE"""),78.0)</f>
        <v>78</v>
      </c>
      <c r="T2357" s="14">
        <f>IFERROR(__xludf.DUMMYFUNCTION("""COMPUTED_VALUE"""),0.171)</f>
        <v>0.171</v>
      </c>
      <c r="U2357" s="14">
        <f>IFERROR(__xludf.DUMMYFUNCTION("""COMPUTED_VALUE"""),0.675)</f>
        <v>0.675</v>
      </c>
      <c r="V2357" s="14">
        <f>IFERROR(__xludf.DUMMYFUNCTION("""COMPUTED_VALUE"""),0.155)</f>
        <v>0.155</v>
      </c>
      <c r="W2357" s="14">
        <f>IFERROR(__xludf.DUMMYFUNCTION("""COMPUTED_VALUE"""),7284753.0)</f>
        <v>7284753</v>
      </c>
      <c r="X2357" s="14">
        <f>IFERROR(__xludf.DUMMYFUNCTION("""COMPUTED_VALUE"""),0.734)</f>
        <v>0.734</v>
      </c>
      <c r="Y2357" s="14" t="str">
        <f>IFERROR(__xludf.DUMMYFUNCTION("""COMPUTED_VALUE"""),"Switzerland-Europe")</f>
        <v>Switzerland-Europe</v>
      </c>
      <c r="Z2357" s="14" t="str">
        <f>IFERROR(__xludf.DUMMYFUNCTION("""COMPUTED_VALUE"""),"Europe")</f>
        <v>Europe</v>
      </c>
      <c r="AA2357" s="14" t="str">
        <f>IFERROR(__xludf.DUMMYFUNCTION("""COMPUTED_VALUE"""),"2002")</f>
        <v>2002</v>
      </c>
      <c r="AB2357" s="15" t="str">
        <f>IFERROR(__xludf.DUMMYFUNCTION("ARRAYFORMULA(VLOOKUP(A2357,IMPORTRANGE(""https://docs.google.com/spreadsheets/d/1BuTWp7qHGjWhqrnf-OmePP568O4A5Am9ttzvVdP67zw/edit#gid=1931367683"" ,""ENERGY!$A$2:$F$2692""), {2,3,4,5,6},0))"),"Europe")</f>
        <v>Europe</v>
      </c>
      <c r="AC2357" s="14" t="str">
        <f>IFERROR(__xludf.DUMMYFUNCTION("""COMPUTED_VALUE"""),"Switzerland-Europe")</f>
        <v>Switzerland-Europe</v>
      </c>
      <c r="AD2357" s="14" t="str">
        <f>IFERROR(__xludf.DUMMYFUNCTION("""COMPUTED_VALUE"""),"2002")</f>
        <v>2002</v>
      </c>
      <c r="AE2357" s="14">
        <f>IFERROR(__xludf.DUMMYFUNCTION("""COMPUTED_VALUE"""),26199.0)</f>
        <v>26199</v>
      </c>
      <c r="AF2357" s="14">
        <f>IFERROR(__xludf.DUMMYFUNCTION("""COMPUTED_VALUE"""),38757.0)</f>
        <v>38757</v>
      </c>
    </row>
    <row r="2358">
      <c r="A2358" s="12">
        <v>2357.0</v>
      </c>
      <c r="B2358" s="12" t="s">
        <v>260</v>
      </c>
      <c r="C2358" s="5" t="s">
        <v>75</v>
      </c>
      <c r="D2358" s="8"/>
      <c r="E2358" s="11">
        <v>20.0</v>
      </c>
      <c r="F2358" s="8"/>
      <c r="G2358" s="8"/>
      <c r="H2358" s="11">
        <v>0.651</v>
      </c>
      <c r="I2358" s="11">
        <v>0.849</v>
      </c>
      <c r="J2358" s="9" t="s">
        <v>64</v>
      </c>
      <c r="K2358" s="14" t="str">
        <f>IFERROR(__xludf.DUMMYFUNCTION("ARRAYFORMULA(VLOOKUP(A2358,IMPORTRANGE(""https://docs.google.com/spreadsheets/d/1BuTWp7qHGjWhqrnf-OmePP568O4A5Am9ttzvVdP67zw/edit#gid=1603210130"", ""TOURISM!$A$2:$F$2692""), {2,3,4,5,6},0))"),"Europe")</f>
        <v>Europe</v>
      </c>
      <c r="L2358" s="14">
        <f>IFERROR(__xludf.DUMMYFUNCTION("""COMPUTED_VALUE"""),1.0493E10)</f>
        <v>10493000000</v>
      </c>
      <c r="M2358" s="14" t="str">
        <f>IFERROR(__xludf.DUMMYFUNCTION("""COMPUTED_VALUE"""),"Switzerland-Europe")</f>
        <v>Switzerland-Europe</v>
      </c>
      <c r="N2358" s="14" t="str">
        <f>IFERROR(__xludf.DUMMYFUNCTION("""COMPUTED_VALUE"""),"2003")</f>
        <v>2003</v>
      </c>
      <c r="O2358" s="14">
        <f>IFERROR(__xludf.DUMMYFUNCTION("""COMPUTED_VALUE"""),8.614E9)</f>
        <v>8614000000</v>
      </c>
      <c r="P2358" s="15">
        <f>IFERROR(__xludf.DUMMYFUNCTION("ARRAYFORMULA(VLOOKUP(A2358,IMPORTRANGE(""https://docs.google.com/spreadsheets/d/1BuTWp7qHGjWhqrnf-OmePP568O4A5Am9ttzvVdP67zw/edit#gid=771602874"" ,""HUMAN RESOURCES!$A$2:$M$2692""), {2,3,4,5,6,7,8,9,10,11,12,13},0))"),0.01)</f>
        <v>0.01</v>
      </c>
      <c r="Q2358" s="14">
        <f>IFERROR(__xludf.DUMMYFUNCTION("""COMPUTED_VALUE"""),0.004)</f>
        <v>0.004</v>
      </c>
      <c r="R2358" s="14">
        <f>IFERROR(__xludf.DUMMYFUNCTION("""COMPUTED_VALUE"""),83.0)</f>
        <v>83</v>
      </c>
      <c r="S2358" s="14">
        <f>IFERROR(__xludf.DUMMYFUNCTION("""COMPUTED_VALUE"""),78.0)</f>
        <v>78</v>
      </c>
      <c r="T2358" s="14">
        <f>IFERROR(__xludf.DUMMYFUNCTION("""COMPUTED_VALUE"""),0.168)</f>
        <v>0.168</v>
      </c>
      <c r="U2358" s="14">
        <f>IFERROR(__xludf.DUMMYFUNCTION("""COMPUTED_VALUE"""),0.676)</f>
        <v>0.676</v>
      </c>
      <c r="V2358" s="14">
        <f>IFERROR(__xludf.DUMMYFUNCTION("""COMPUTED_VALUE"""),0.156)</f>
        <v>0.156</v>
      </c>
      <c r="W2358" s="14">
        <f>IFERROR(__xludf.DUMMYFUNCTION("""COMPUTED_VALUE"""),7339001.0)</f>
        <v>7339001</v>
      </c>
      <c r="X2358" s="14">
        <f>IFERROR(__xludf.DUMMYFUNCTION("""COMPUTED_VALUE"""),0.734)</f>
        <v>0.734</v>
      </c>
      <c r="Y2358" s="14" t="str">
        <f>IFERROR(__xludf.DUMMYFUNCTION("""COMPUTED_VALUE"""),"Switzerland-Europe")</f>
        <v>Switzerland-Europe</v>
      </c>
      <c r="Z2358" s="14" t="str">
        <f>IFERROR(__xludf.DUMMYFUNCTION("""COMPUTED_VALUE"""),"Europe")</f>
        <v>Europe</v>
      </c>
      <c r="AA2358" s="14" t="str">
        <f>IFERROR(__xludf.DUMMYFUNCTION("""COMPUTED_VALUE"""),"2003")</f>
        <v>2003</v>
      </c>
      <c r="AB2358" s="15" t="str">
        <f>IFERROR(__xludf.DUMMYFUNCTION("ARRAYFORMULA(VLOOKUP(A2358,IMPORTRANGE(""https://docs.google.com/spreadsheets/d/1BuTWp7qHGjWhqrnf-OmePP568O4A5Am9ttzvVdP67zw/edit#gid=1931367683"" ,""ENERGY!$A$2:$F$2692""), {2,3,4,5,6},0))"),"Europe")</f>
        <v>Europe</v>
      </c>
      <c r="AC2358" s="14" t="str">
        <f>IFERROR(__xludf.DUMMYFUNCTION("""COMPUTED_VALUE"""),"Switzerland-Europe")</f>
        <v>Switzerland-Europe</v>
      </c>
      <c r="AD2358" s="14" t="str">
        <f>IFERROR(__xludf.DUMMYFUNCTION("""COMPUTED_VALUE"""),"2003")</f>
        <v>2003</v>
      </c>
      <c r="AE2358" s="14">
        <f>IFERROR(__xludf.DUMMYFUNCTION("""COMPUTED_VALUE"""),26968.0)</f>
        <v>26968</v>
      </c>
      <c r="AF2358" s="14">
        <f>IFERROR(__xludf.DUMMYFUNCTION("""COMPUTED_VALUE"""),41598.0)</f>
        <v>41598</v>
      </c>
    </row>
    <row r="2359">
      <c r="A2359" s="12">
        <v>2358.0</v>
      </c>
      <c r="B2359" s="12" t="s">
        <v>260</v>
      </c>
      <c r="C2359" s="5" t="s">
        <v>75</v>
      </c>
      <c r="D2359" s="8"/>
      <c r="E2359" s="11">
        <v>18.0</v>
      </c>
      <c r="F2359" s="8"/>
      <c r="G2359" s="8"/>
      <c r="H2359" s="11">
        <v>0.678</v>
      </c>
      <c r="I2359" s="11">
        <v>0.854</v>
      </c>
      <c r="J2359" s="9" t="s">
        <v>65</v>
      </c>
      <c r="K2359" s="14" t="str">
        <f>IFERROR(__xludf.DUMMYFUNCTION("ARRAYFORMULA(VLOOKUP(A2359,IMPORTRANGE(""https://docs.google.com/spreadsheets/d/1BuTWp7qHGjWhqrnf-OmePP568O4A5Am9ttzvVdP67zw/edit#gid=1603210130"", ""TOURISM!$A$2:$F$2692""), {2,3,4,5,6},0))"),"Europe")</f>
        <v>Europe</v>
      </c>
      <c r="L2359" s="14">
        <f>IFERROR(__xludf.DUMMYFUNCTION("""COMPUTED_VALUE"""),1.1404E10)</f>
        <v>11404000000</v>
      </c>
      <c r="M2359" s="14" t="str">
        <f>IFERROR(__xludf.DUMMYFUNCTION("""COMPUTED_VALUE"""),"Switzerland-Europe")</f>
        <v>Switzerland-Europe</v>
      </c>
      <c r="N2359" s="14" t="str">
        <f>IFERROR(__xludf.DUMMYFUNCTION("""COMPUTED_VALUE"""),"2004")</f>
        <v>2004</v>
      </c>
      <c r="O2359" s="14">
        <f>IFERROR(__xludf.DUMMYFUNCTION("""COMPUTED_VALUE"""),9.924E9)</f>
        <v>9924000000</v>
      </c>
      <c r="P2359" s="15">
        <f>IFERROR(__xludf.DUMMYFUNCTION("ARRAYFORMULA(VLOOKUP(A2359,IMPORTRANGE(""https://docs.google.com/spreadsheets/d/1BuTWp7qHGjWhqrnf-OmePP568O4A5Am9ttzvVdP67zw/edit#gid=771602874"" ,""HUMAN RESOURCES!$A$2:$M$2692""), {2,3,4,5,6,7,8,9,10,11,12,13},0))"),0.01)</f>
        <v>0.01</v>
      </c>
      <c r="Q2359" s="14">
        <f>IFERROR(__xludf.DUMMYFUNCTION("""COMPUTED_VALUE"""),0.004)</f>
        <v>0.004</v>
      </c>
      <c r="R2359" s="14">
        <f>IFERROR(__xludf.DUMMYFUNCTION("""COMPUTED_VALUE"""),84.0)</f>
        <v>84</v>
      </c>
      <c r="S2359" s="14">
        <f>IFERROR(__xludf.DUMMYFUNCTION("""COMPUTED_VALUE"""),79.0)</f>
        <v>79</v>
      </c>
      <c r="T2359" s="14">
        <f>IFERROR(__xludf.DUMMYFUNCTION("""COMPUTED_VALUE"""),0.166)</f>
        <v>0.166</v>
      </c>
      <c r="U2359" s="14">
        <f>IFERROR(__xludf.DUMMYFUNCTION("""COMPUTED_VALUE"""),0.678)</f>
        <v>0.678</v>
      </c>
      <c r="V2359" s="14">
        <f>IFERROR(__xludf.DUMMYFUNCTION("""COMPUTED_VALUE"""),0.157)</f>
        <v>0.157</v>
      </c>
      <c r="W2359" s="14">
        <f>IFERROR(__xludf.DUMMYFUNCTION("""COMPUTED_VALUE"""),7389625.0)</f>
        <v>7389625</v>
      </c>
      <c r="X2359" s="14">
        <f>IFERROR(__xludf.DUMMYFUNCTION("""COMPUTED_VALUE"""),0.734)</f>
        <v>0.734</v>
      </c>
      <c r="Y2359" s="14" t="str">
        <f>IFERROR(__xludf.DUMMYFUNCTION("""COMPUTED_VALUE"""),"Switzerland-Europe")</f>
        <v>Switzerland-Europe</v>
      </c>
      <c r="Z2359" s="14" t="str">
        <f>IFERROR(__xludf.DUMMYFUNCTION("""COMPUTED_VALUE"""),"Europe")</f>
        <v>Europe</v>
      </c>
      <c r="AA2359" s="14" t="str">
        <f>IFERROR(__xludf.DUMMYFUNCTION("""COMPUTED_VALUE"""),"2004")</f>
        <v>2004</v>
      </c>
      <c r="AB2359" s="15" t="str">
        <f>IFERROR(__xludf.DUMMYFUNCTION("ARRAYFORMULA(VLOOKUP(A2359,IMPORTRANGE(""https://docs.google.com/spreadsheets/d/1BuTWp7qHGjWhqrnf-OmePP568O4A5Am9ttzvVdP67zw/edit#gid=1931367683"" ,""ENERGY!$A$2:$F$2692""), {2,3,4,5,6},0))"),"Europe")</f>
        <v>Europe</v>
      </c>
      <c r="AC2359" s="14" t="str">
        <f>IFERROR(__xludf.DUMMYFUNCTION("""COMPUTED_VALUE"""),"Switzerland-Europe")</f>
        <v>Switzerland-Europe</v>
      </c>
      <c r="AD2359" s="14" t="str">
        <f>IFERROR(__xludf.DUMMYFUNCTION("""COMPUTED_VALUE"""),"2005")</f>
        <v>2005</v>
      </c>
      <c r="AE2359" s="14">
        <f>IFERROR(__xludf.DUMMYFUNCTION("""COMPUTED_VALUE"""),26773.0)</f>
        <v>26773</v>
      </c>
      <c r="AF2359" s="14">
        <f>IFERROR(__xludf.DUMMYFUNCTION("""COMPUTED_VALUE"""),40392.0)</f>
        <v>40392</v>
      </c>
    </row>
    <row r="2360">
      <c r="A2360" s="12">
        <v>2359.0</v>
      </c>
      <c r="B2360" s="12" t="s">
        <v>260</v>
      </c>
      <c r="C2360" s="5" t="s">
        <v>75</v>
      </c>
      <c r="D2360" s="11">
        <v>0.288</v>
      </c>
      <c r="E2360" s="11">
        <v>18.0</v>
      </c>
      <c r="F2360" s="8"/>
      <c r="G2360" s="11">
        <v>63.0</v>
      </c>
      <c r="H2360" s="11">
        <v>0.701</v>
      </c>
      <c r="I2360" s="11">
        <v>0.922</v>
      </c>
      <c r="J2360" s="9" t="s">
        <v>66</v>
      </c>
      <c r="K2360" s="14" t="str">
        <f>IFERROR(__xludf.DUMMYFUNCTION("ARRAYFORMULA(VLOOKUP(A2360,IMPORTRANGE(""https://docs.google.com/spreadsheets/d/1BuTWp7qHGjWhqrnf-OmePP568O4A5Am9ttzvVdP67zw/edit#gid=1603210130"", ""TOURISM!$A$2:$F$2692""), {2,3,4,5,6},0))"),"Europe")</f>
        <v>Europe</v>
      </c>
      <c r="L2360" s="14">
        <f>IFERROR(__xludf.DUMMYFUNCTION("""COMPUTED_VALUE"""),1.1937E10)</f>
        <v>11937000000</v>
      </c>
      <c r="M2360" s="14" t="str">
        <f>IFERROR(__xludf.DUMMYFUNCTION("""COMPUTED_VALUE"""),"Switzerland-Europe")</f>
        <v>Switzerland-Europe</v>
      </c>
      <c r="N2360" s="14" t="str">
        <f>IFERROR(__xludf.DUMMYFUNCTION("""COMPUTED_VALUE"""),"2005")</f>
        <v>2005</v>
      </c>
      <c r="O2360" s="14">
        <f>IFERROR(__xludf.DUMMYFUNCTION("""COMPUTED_VALUE"""),1.0579E10)</f>
        <v>10579000000</v>
      </c>
      <c r="P2360" s="15">
        <f>IFERROR(__xludf.DUMMYFUNCTION("ARRAYFORMULA(VLOOKUP(A2360,IMPORTRANGE(""https://docs.google.com/spreadsheets/d/1BuTWp7qHGjWhqrnf-OmePP568O4A5Am9ttzvVdP67zw/edit#gid=771602874"" ,""HUMAN RESOURCES!$A$2:$M$2692""), {2,3,4,5,6,7,8,9,10,11,12,13},0))"),0.01)</f>
        <v>0.01</v>
      </c>
      <c r="Q2360" s="14">
        <f>IFERROR(__xludf.DUMMYFUNCTION("""COMPUTED_VALUE"""),0.004)</f>
        <v>0.004</v>
      </c>
      <c r="R2360" s="14">
        <f>IFERROR(__xludf.DUMMYFUNCTION("""COMPUTED_VALUE"""),84.0)</f>
        <v>84</v>
      </c>
      <c r="S2360" s="14">
        <f>IFERROR(__xludf.DUMMYFUNCTION("""COMPUTED_VALUE"""),79.0)</f>
        <v>79</v>
      </c>
      <c r="T2360" s="14">
        <f>IFERROR(__xludf.DUMMYFUNCTION("""COMPUTED_VALUE"""),0.163)</f>
        <v>0.163</v>
      </c>
      <c r="U2360" s="14">
        <f>IFERROR(__xludf.DUMMYFUNCTION("""COMPUTED_VALUE"""),0.679)</f>
        <v>0.679</v>
      </c>
      <c r="V2360" s="14">
        <f>IFERROR(__xludf.DUMMYFUNCTION("""COMPUTED_VALUE"""),0.158)</f>
        <v>0.158</v>
      </c>
      <c r="W2360" s="14">
        <f>IFERROR(__xludf.DUMMYFUNCTION("""COMPUTED_VALUE"""),7437115.0)</f>
        <v>7437115</v>
      </c>
      <c r="X2360" s="14">
        <f>IFERROR(__xludf.DUMMYFUNCTION("""COMPUTED_VALUE"""),0.735)</f>
        <v>0.735</v>
      </c>
      <c r="Y2360" s="14" t="str">
        <f>IFERROR(__xludf.DUMMYFUNCTION("""COMPUTED_VALUE"""),"Switzerland-Europe")</f>
        <v>Switzerland-Europe</v>
      </c>
      <c r="Z2360" s="14" t="str">
        <f>IFERROR(__xludf.DUMMYFUNCTION("""COMPUTED_VALUE"""),"Europe")</f>
        <v>Europe</v>
      </c>
      <c r="AA2360" s="14" t="str">
        <f>IFERROR(__xludf.DUMMYFUNCTION("""COMPUTED_VALUE"""),"2005")</f>
        <v>2005</v>
      </c>
      <c r="AB2360" s="15" t="str">
        <f>IFERROR(__xludf.DUMMYFUNCTION("ARRAYFORMULA(VLOOKUP(A2360,IMPORTRANGE(""https://docs.google.com/spreadsheets/d/1BuTWp7qHGjWhqrnf-OmePP568O4A5Am9ttzvVdP67zw/edit#gid=1931367683"" ,""ENERGY!$A$2:$F$2692""), {2,3,4,5,6},0))"),"Europe")</f>
        <v>Europe</v>
      </c>
      <c r="AC2360" s="14" t="str">
        <f>IFERROR(__xludf.DUMMYFUNCTION("""COMPUTED_VALUE"""),"Switzerland-Europe")</f>
        <v>Switzerland-Europe</v>
      </c>
      <c r="AD2360" s="14" t="str">
        <f>IFERROR(__xludf.DUMMYFUNCTION("""COMPUTED_VALUE"""),"2009")</f>
        <v>2009</v>
      </c>
      <c r="AE2360" s="14">
        <f>IFERROR(__xludf.DUMMYFUNCTION("""COMPUTED_VALUE"""),25760.0)</f>
        <v>25760</v>
      </c>
      <c r="AF2360" s="14">
        <f>IFERROR(__xludf.DUMMYFUNCTION("""COMPUTED_VALUE"""),38019.0)</f>
        <v>38019</v>
      </c>
    </row>
    <row r="2361">
      <c r="A2361" s="12">
        <v>2360.0</v>
      </c>
      <c r="B2361" s="12" t="s">
        <v>260</v>
      </c>
      <c r="C2361" s="5" t="s">
        <v>75</v>
      </c>
      <c r="D2361" s="11">
        <v>0.276</v>
      </c>
      <c r="E2361" s="11">
        <v>18.0</v>
      </c>
      <c r="F2361" s="8"/>
      <c r="G2361" s="11">
        <v>63.0</v>
      </c>
      <c r="H2361" s="11">
        <v>0.757</v>
      </c>
      <c r="I2361" s="11">
        <v>0.994</v>
      </c>
      <c r="J2361" s="9" t="s">
        <v>67</v>
      </c>
      <c r="K2361" s="14" t="str">
        <f>IFERROR(__xludf.DUMMYFUNCTION("ARRAYFORMULA(VLOOKUP(A2361,IMPORTRANGE(""https://docs.google.com/spreadsheets/d/1BuTWp7qHGjWhqrnf-OmePP568O4A5Am9ttzvVdP67zw/edit#gid=1603210130"", ""TOURISM!$A$2:$F$2692""), {2,3,4,5,6},0))"),"Europe")</f>
        <v>Europe</v>
      </c>
      <c r="L2361" s="14">
        <f>IFERROR(__xludf.DUMMYFUNCTION("""COMPUTED_VALUE"""),1.2852E10)</f>
        <v>12852000000</v>
      </c>
      <c r="M2361" s="14" t="str">
        <f>IFERROR(__xludf.DUMMYFUNCTION("""COMPUTED_VALUE"""),"Switzerland-Europe")</f>
        <v>Switzerland-Europe</v>
      </c>
      <c r="N2361" s="14" t="str">
        <f>IFERROR(__xludf.DUMMYFUNCTION("""COMPUTED_VALUE"""),"2006")</f>
        <v>2006</v>
      </c>
      <c r="O2361" s="14">
        <f>IFERROR(__xludf.DUMMYFUNCTION("""COMPUTED_VALUE"""),1.1199E10)</f>
        <v>11199000000</v>
      </c>
      <c r="P2361" s="15">
        <f>IFERROR(__xludf.DUMMYFUNCTION("ARRAYFORMULA(VLOOKUP(A2361,IMPORTRANGE(""https://docs.google.com/spreadsheets/d/1BuTWp7qHGjWhqrnf-OmePP568O4A5Am9ttzvVdP67zw/edit#gid=771602874"" ,""HUMAN RESOURCES!$A$2:$M$2692""), {2,3,4,5,6,7,8,9,10,11,12,13},0))"),0.01)</f>
        <v>0.01</v>
      </c>
      <c r="Q2361" s="14">
        <f>IFERROR(__xludf.DUMMYFUNCTION("""COMPUTED_VALUE"""),0.004)</f>
        <v>0.004</v>
      </c>
      <c r="R2361" s="14">
        <f>IFERROR(__xludf.DUMMYFUNCTION("""COMPUTED_VALUE"""),84.0)</f>
        <v>84</v>
      </c>
      <c r="S2361" s="14">
        <f>IFERROR(__xludf.DUMMYFUNCTION("""COMPUTED_VALUE"""),79.0)</f>
        <v>79</v>
      </c>
      <c r="T2361" s="14">
        <f>IFERROR(__xludf.DUMMYFUNCTION("""COMPUTED_VALUE"""),0.16)</f>
        <v>0.16</v>
      </c>
      <c r="U2361" s="14">
        <f>IFERROR(__xludf.DUMMYFUNCTION("""COMPUTED_VALUE"""),0.68)</f>
        <v>0.68</v>
      </c>
      <c r="V2361" s="14">
        <f>IFERROR(__xludf.DUMMYFUNCTION("""COMPUTED_VALUE"""),0.16)</f>
        <v>0.16</v>
      </c>
      <c r="W2361" s="14">
        <f>IFERROR(__xludf.DUMMYFUNCTION("""COMPUTED_VALUE"""),7483934.0)</f>
        <v>7483934</v>
      </c>
      <c r="X2361" s="14">
        <f>IFERROR(__xludf.DUMMYFUNCTION("""COMPUTED_VALUE"""),0.735)</f>
        <v>0.735</v>
      </c>
      <c r="Y2361" s="14" t="str">
        <f>IFERROR(__xludf.DUMMYFUNCTION("""COMPUTED_VALUE"""),"Switzerland-Europe")</f>
        <v>Switzerland-Europe</v>
      </c>
      <c r="Z2361" s="14" t="str">
        <f>IFERROR(__xludf.DUMMYFUNCTION("""COMPUTED_VALUE"""),"Europe")</f>
        <v>Europe</v>
      </c>
      <c r="AA2361" s="14" t="str">
        <f>IFERROR(__xludf.DUMMYFUNCTION("""COMPUTED_VALUE"""),"2006")</f>
        <v>2006</v>
      </c>
      <c r="AB2361" s="15" t="str">
        <f>IFERROR(__xludf.DUMMYFUNCTION("ARRAYFORMULA(VLOOKUP(A2361,IMPORTRANGE(""https://docs.google.com/spreadsheets/d/1BuTWp7qHGjWhqrnf-OmePP568O4A5Am9ttzvVdP67zw/edit#gid=1931367683"" ,""ENERGY!$A$2:$F$2692""), {2,3,4,5,6},0))"),"Europe")</f>
        <v>Europe</v>
      </c>
      <c r="AC2361" s="14" t="str">
        <f>IFERROR(__xludf.DUMMYFUNCTION("""COMPUTED_VALUE"""),"Switzerland-Europe")</f>
        <v>Switzerland-Europe</v>
      </c>
      <c r="AD2361" s="14" t="str">
        <f>IFERROR(__xludf.DUMMYFUNCTION("""COMPUTED_VALUE"""),"2012")</f>
        <v>2012</v>
      </c>
      <c r="AE2361" s="14">
        <f>IFERROR(__xludf.DUMMYFUNCTION("""COMPUTED_VALUE"""),27084.0)</f>
        <v>27084</v>
      </c>
      <c r="AF2361" s="14">
        <f>IFERROR(__xludf.DUMMYFUNCTION("""COMPUTED_VALUE"""),41877.0)</f>
        <v>41877</v>
      </c>
    </row>
    <row r="2362">
      <c r="A2362" s="12">
        <v>2361.0</v>
      </c>
      <c r="B2362" s="12" t="s">
        <v>260</v>
      </c>
      <c r="C2362" s="5" t="s">
        <v>75</v>
      </c>
      <c r="D2362" s="11">
        <v>0.279</v>
      </c>
      <c r="E2362" s="11">
        <v>18.0</v>
      </c>
      <c r="F2362" s="8"/>
      <c r="G2362" s="11">
        <v>63.0</v>
      </c>
      <c r="H2362" s="11">
        <v>0.772</v>
      </c>
      <c r="I2362" s="11">
        <v>1.085</v>
      </c>
      <c r="J2362" s="9" t="s">
        <v>68</v>
      </c>
      <c r="K2362" s="14" t="str">
        <f>IFERROR(__xludf.DUMMYFUNCTION("ARRAYFORMULA(VLOOKUP(A2362,IMPORTRANGE(""https://docs.google.com/spreadsheets/d/1BuTWp7qHGjWhqrnf-OmePP568O4A5Am9ttzvVdP67zw/edit#gid=1603210130"", ""TOURISM!$A$2:$F$2692""), {2,3,4,5,6},0))"),"Europe")</f>
        <v>Europe</v>
      </c>
      <c r="L2362" s="14">
        <f>IFERROR(__xludf.DUMMYFUNCTION("""COMPUTED_VALUE"""),1.4721E10)</f>
        <v>14721000000</v>
      </c>
      <c r="M2362" s="14" t="str">
        <f>IFERROR(__xludf.DUMMYFUNCTION("""COMPUTED_VALUE"""),"Switzerland-Europe")</f>
        <v>Switzerland-Europe</v>
      </c>
      <c r="N2362" s="14" t="str">
        <f>IFERROR(__xludf.DUMMYFUNCTION("""COMPUTED_VALUE"""),"2007")</f>
        <v>2007</v>
      </c>
      <c r="O2362" s="14">
        <f>IFERROR(__xludf.DUMMYFUNCTION("""COMPUTED_VALUE"""),1.2298E10)</f>
        <v>12298000000</v>
      </c>
      <c r="P2362" s="15">
        <f>IFERROR(__xludf.DUMMYFUNCTION("ARRAYFORMULA(VLOOKUP(A2362,IMPORTRANGE(""https://docs.google.com/spreadsheets/d/1BuTWp7qHGjWhqrnf-OmePP568O4A5Am9ttzvVdP67zw/edit#gid=771602874"" ,""HUMAN RESOURCES!$A$2:$M$2692""), {2,3,4,5,6,7,8,9,10,11,12,13},0))"),0.01)</f>
        <v>0.01</v>
      </c>
      <c r="Q2362" s="14">
        <f>IFERROR(__xludf.DUMMYFUNCTION("""COMPUTED_VALUE"""),0.004)</f>
        <v>0.004</v>
      </c>
      <c r="R2362" s="14">
        <f>IFERROR(__xludf.DUMMYFUNCTION("""COMPUTED_VALUE"""),84.0)</f>
        <v>84</v>
      </c>
      <c r="S2362" s="14">
        <f>IFERROR(__xludf.DUMMYFUNCTION("""COMPUTED_VALUE"""),79.0)</f>
        <v>79</v>
      </c>
      <c r="T2362" s="14">
        <f>IFERROR(__xludf.DUMMYFUNCTION("""COMPUTED_VALUE"""),0.157)</f>
        <v>0.157</v>
      </c>
      <c r="U2362" s="14">
        <f>IFERROR(__xludf.DUMMYFUNCTION("""COMPUTED_VALUE"""),0.681)</f>
        <v>0.681</v>
      </c>
      <c r="V2362" s="14">
        <f>IFERROR(__xludf.DUMMYFUNCTION("""COMPUTED_VALUE"""),0.162)</f>
        <v>0.162</v>
      </c>
      <c r="W2362" s="14">
        <f>IFERROR(__xludf.DUMMYFUNCTION("""COMPUTED_VALUE"""),7551117.0)</f>
        <v>7551117</v>
      </c>
      <c r="X2362" s="14">
        <f>IFERROR(__xludf.DUMMYFUNCTION("""COMPUTED_VALUE"""),0.736)</f>
        <v>0.736</v>
      </c>
      <c r="Y2362" s="14" t="str">
        <f>IFERROR(__xludf.DUMMYFUNCTION("""COMPUTED_VALUE"""),"Switzerland-Europe")</f>
        <v>Switzerland-Europe</v>
      </c>
      <c r="Z2362" s="14" t="str">
        <f>IFERROR(__xludf.DUMMYFUNCTION("""COMPUTED_VALUE"""),"Europe")</f>
        <v>Europe</v>
      </c>
      <c r="AA2362" s="14" t="str">
        <f>IFERROR(__xludf.DUMMYFUNCTION("""COMPUTED_VALUE"""),"2007")</f>
        <v>2007</v>
      </c>
      <c r="AB2362" s="15" t="str">
        <f>IFERROR(__xludf.DUMMYFUNCTION("ARRAYFORMULA(VLOOKUP(A2362,IMPORTRANGE(""https://docs.google.com/spreadsheets/d/1BuTWp7qHGjWhqrnf-OmePP568O4A5Am9ttzvVdP67zw/edit#gid=1931367683"" ,""ENERGY!$A$2:$F$2692""), {2,3,4,5,6},0))"),"Europe")</f>
        <v>Europe</v>
      </c>
      <c r="AC2362" s="14" t="str">
        <f>IFERROR(__xludf.DUMMYFUNCTION("""COMPUTED_VALUE"""),"Switzerland-Europe")</f>
        <v>Switzerland-Europe</v>
      </c>
      <c r="AD2362" s="14" t="str">
        <f>IFERROR(__xludf.DUMMYFUNCTION("""COMPUTED_VALUE"""),"2011")</f>
        <v>2011</v>
      </c>
      <c r="AE2362" s="14">
        <f>IFERROR(__xludf.DUMMYFUNCTION("""COMPUTED_VALUE"""),25941.0)</f>
        <v>25941</v>
      </c>
      <c r="AF2362" s="14">
        <f>IFERROR(__xludf.DUMMYFUNCTION("""COMPUTED_VALUE"""),41375.0)</f>
        <v>41375</v>
      </c>
    </row>
    <row r="2363">
      <c r="A2363" s="12">
        <v>2362.0</v>
      </c>
      <c r="B2363" s="12" t="s">
        <v>260</v>
      </c>
      <c r="C2363" s="5" t="s">
        <v>75</v>
      </c>
      <c r="D2363" s="11">
        <v>0.278</v>
      </c>
      <c r="E2363" s="11">
        <v>18.0</v>
      </c>
      <c r="F2363" s="8"/>
      <c r="G2363" s="11">
        <v>63.0</v>
      </c>
      <c r="H2363" s="11">
        <v>0.792</v>
      </c>
      <c r="I2363" s="11">
        <v>1.163</v>
      </c>
      <c r="J2363" s="9" t="s">
        <v>69</v>
      </c>
      <c r="K2363" s="14" t="str">
        <f>IFERROR(__xludf.DUMMYFUNCTION("ARRAYFORMULA(VLOOKUP(A2363,IMPORTRANGE(""https://docs.google.com/spreadsheets/d/1BuTWp7qHGjWhqrnf-OmePP568O4A5Am9ttzvVdP67zw/edit#gid=1603210130"", ""TOURISM!$A$2:$F$2692""), {2,3,4,5,6},0))"),"Europe")</f>
        <v>Europe</v>
      </c>
      <c r="L2363" s="14">
        <f>IFERROR(__xludf.DUMMYFUNCTION("""COMPUTED_VALUE"""),1.757E10)</f>
        <v>17570000000</v>
      </c>
      <c r="M2363" s="14" t="str">
        <f>IFERROR(__xludf.DUMMYFUNCTION("""COMPUTED_VALUE"""),"Switzerland-Europe")</f>
        <v>Switzerland-Europe</v>
      </c>
      <c r="N2363" s="14" t="str">
        <f>IFERROR(__xludf.DUMMYFUNCTION("""COMPUTED_VALUE"""),"2008")</f>
        <v>2008</v>
      </c>
      <c r="O2363" s="14">
        <f>IFERROR(__xludf.DUMMYFUNCTION("""COMPUTED_VALUE"""),1.3346E10)</f>
        <v>13346000000</v>
      </c>
      <c r="P2363" s="15">
        <f>IFERROR(__xludf.DUMMYFUNCTION("ARRAYFORMULA(VLOOKUP(A2363,IMPORTRANGE(""https://docs.google.com/spreadsheets/d/1BuTWp7qHGjWhqrnf-OmePP568O4A5Am9ttzvVdP67zw/edit#gid=771602874"" ,""HUMAN RESOURCES!$A$2:$M$2692""), {2,3,4,5,6,7,8,9,10,11,12,13},0))"),0.01)</f>
        <v>0.01</v>
      </c>
      <c r="Q2363" s="14">
        <f>IFERROR(__xludf.DUMMYFUNCTION("""COMPUTED_VALUE"""),0.004)</f>
        <v>0.004</v>
      </c>
      <c r="R2363" s="14">
        <f>IFERROR(__xludf.DUMMYFUNCTION("""COMPUTED_VALUE"""),84.0)</f>
        <v>84</v>
      </c>
      <c r="S2363" s="14">
        <f>IFERROR(__xludf.DUMMYFUNCTION("""COMPUTED_VALUE"""),80.0)</f>
        <v>80</v>
      </c>
      <c r="T2363" s="14">
        <f>IFERROR(__xludf.DUMMYFUNCTION("""COMPUTED_VALUE"""),0.155)</f>
        <v>0.155</v>
      </c>
      <c r="U2363" s="14">
        <f>IFERROR(__xludf.DUMMYFUNCTION("""COMPUTED_VALUE"""),0.681)</f>
        <v>0.681</v>
      </c>
      <c r="V2363" s="14">
        <f>IFERROR(__xludf.DUMMYFUNCTION("""COMPUTED_VALUE"""),0.164)</f>
        <v>0.164</v>
      </c>
      <c r="W2363" s="14">
        <f>IFERROR(__xludf.DUMMYFUNCTION("""COMPUTED_VALUE"""),7647675.0)</f>
        <v>7647675</v>
      </c>
      <c r="X2363" s="14">
        <f>IFERROR(__xludf.DUMMYFUNCTION("""COMPUTED_VALUE"""),0.736)</f>
        <v>0.736</v>
      </c>
      <c r="Y2363" s="14" t="str">
        <f>IFERROR(__xludf.DUMMYFUNCTION("""COMPUTED_VALUE"""),"Switzerland-Europe")</f>
        <v>Switzerland-Europe</v>
      </c>
      <c r="Z2363" s="14" t="str">
        <f>IFERROR(__xludf.DUMMYFUNCTION("""COMPUTED_VALUE"""),"Europe")</f>
        <v>Europe</v>
      </c>
      <c r="AA2363" s="14" t="str">
        <f>IFERROR(__xludf.DUMMYFUNCTION("""COMPUTED_VALUE"""),"2008")</f>
        <v>2008</v>
      </c>
      <c r="AB2363" s="15" t="str">
        <f>IFERROR(__xludf.DUMMYFUNCTION("ARRAYFORMULA(VLOOKUP(A2363,IMPORTRANGE(""https://docs.google.com/spreadsheets/d/1BuTWp7qHGjWhqrnf-OmePP568O4A5Am9ttzvVdP67zw/edit#gid=1931367683"" ,""ENERGY!$A$2:$F$2692""), {2,3,4,5,6},0))"),"Europe")</f>
        <v>Europe</v>
      </c>
      <c r="AC2363" s="14" t="str">
        <f>IFERROR(__xludf.DUMMYFUNCTION("""COMPUTED_VALUE"""),"Switzerland-Europe")</f>
        <v>Switzerland-Europe</v>
      </c>
      <c r="AD2363" s="14" t="str">
        <f>IFERROR(__xludf.DUMMYFUNCTION("""COMPUTED_VALUE"""),"2007")</f>
        <v>2007</v>
      </c>
      <c r="AE2363" s="14">
        <f>IFERROR(__xludf.DUMMYFUNCTION("""COMPUTED_VALUE"""),26090.0)</f>
        <v>26090</v>
      </c>
      <c r="AF2363" s="14">
        <f>IFERROR(__xludf.DUMMYFUNCTION("""COMPUTED_VALUE"""),40392.0)</f>
        <v>40392</v>
      </c>
    </row>
    <row r="2364">
      <c r="A2364" s="12">
        <v>2363.0</v>
      </c>
      <c r="B2364" s="12" t="s">
        <v>260</v>
      </c>
      <c r="C2364" s="5" t="s">
        <v>75</v>
      </c>
      <c r="D2364" s="11">
        <v>0.287</v>
      </c>
      <c r="E2364" s="11">
        <v>18.0</v>
      </c>
      <c r="F2364" s="8"/>
      <c r="G2364" s="11">
        <v>63.0</v>
      </c>
      <c r="H2364" s="11">
        <v>0.813</v>
      </c>
      <c r="I2364" s="11">
        <v>1.204</v>
      </c>
      <c r="J2364" s="9" t="s">
        <v>70</v>
      </c>
      <c r="K2364" s="14" t="str">
        <f>IFERROR(__xludf.DUMMYFUNCTION("ARRAYFORMULA(VLOOKUP(A2364,IMPORTRANGE(""https://docs.google.com/spreadsheets/d/1BuTWp7qHGjWhqrnf-OmePP568O4A5Am9ttzvVdP67zw/edit#gid=1603210130"", ""TOURISM!$A$2:$F$2692""), {2,3,4,5,6},0))"),"Europe")</f>
        <v>Europe</v>
      </c>
      <c r="L2364" s="14">
        <f>IFERROR(__xludf.DUMMYFUNCTION("""COMPUTED_VALUE"""),1.6665E10)</f>
        <v>16665000000</v>
      </c>
      <c r="M2364" s="14" t="str">
        <f>IFERROR(__xludf.DUMMYFUNCTION("""COMPUTED_VALUE"""),"Switzerland-Europe")</f>
        <v>Switzerland-Europe</v>
      </c>
      <c r="N2364" s="14" t="str">
        <f>IFERROR(__xludf.DUMMYFUNCTION("""COMPUTED_VALUE"""),"2009")</f>
        <v>2009</v>
      </c>
      <c r="O2364" s="14">
        <f>IFERROR(__xludf.DUMMYFUNCTION("""COMPUTED_VALUE"""),1.3058E10)</f>
        <v>13058000000</v>
      </c>
      <c r="P2364" s="15">
        <f>IFERROR(__xludf.DUMMYFUNCTION("ARRAYFORMULA(VLOOKUP(A2364,IMPORTRANGE(""https://docs.google.com/spreadsheets/d/1BuTWp7qHGjWhqrnf-OmePP568O4A5Am9ttzvVdP67zw/edit#gid=771602874"" ,""HUMAN RESOURCES!$A$2:$M$2692""), {2,3,4,5,6,7,8,9,10,11,12,13},0))"),0.01)</f>
        <v>0.01</v>
      </c>
      <c r="Q2364" s="14">
        <f>IFERROR(__xludf.DUMMYFUNCTION("""COMPUTED_VALUE"""),0.004)</f>
        <v>0.004</v>
      </c>
      <c r="R2364" s="14">
        <f>IFERROR(__xludf.DUMMYFUNCTION("""COMPUTED_VALUE"""),84.0)</f>
        <v>84</v>
      </c>
      <c r="S2364" s="14">
        <f>IFERROR(__xludf.DUMMYFUNCTION("""COMPUTED_VALUE"""),80.0)</f>
        <v>80</v>
      </c>
      <c r="T2364" s="14">
        <f>IFERROR(__xludf.DUMMYFUNCTION("""COMPUTED_VALUE"""),0.152)</f>
        <v>0.152</v>
      </c>
      <c r="U2364" s="14">
        <f>IFERROR(__xludf.DUMMYFUNCTION("""COMPUTED_VALUE"""),0.681)</f>
        <v>0.681</v>
      </c>
      <c r="V2364" s="14">
        <f>IFERROR(__xludf.DUMMYFUNCTION("""COMPUTED_VALUE"""),0.167)</f>
        <v>0.167</v>
      </c>
      <c r="W2364" s="14">
        <f>IFERROR(__xludf.DUMMYFUNCTION("""COMPUTED_VALUE"""),7743831.0)</f>
        <v>7743831</v>
      </c>
      <c r="X2364" s="14">
        <f>IFERROR(__xludf.DUMMYFUNCTION("""COMPUTED_VALUE"""),0.736)</f>
        <v>0.736</v>
      </c>
      <c r="Y2364" s="14" t="str">
        <f>IFERROR(__xludf.DUMMYFUNCTION("""COMPUTED_VALUE"""),"Switzerland-Europe")</f>
        <v>Switzerland-Europe</v>
      </c>
      <c r="Z2364" s="14" t="str">
        <f>IFERROR(__xludf.DUMMYFUNCTION("""COMPUTED_VALUE"""),"Europe")</f>
        <v>Europe</v>
      </c>
      <c r="AA2364" s="14" t="str">
        <f>IFERROR(__xludf.DUMMYFUNCTION("""COMPUTED_VALUE"""),"2009")</f>
        <v>2009</v>
      </c>
      <c r="AB2364" s="15" t="str">
        <f>IFERROR(__xludf.DUMMYFUNCTION("ARRAYFORMULA(VLOOKUP(A2364,IMPORTRANGE(""https://docs.google.com/spreadsheets/d/1BuTWp7qHGjWhqrnf-OmePP568O4A5Am9ttzvVdP67zw/edit#gid=1931367683"" ,""ENERGY!$A$2:$F$2692""), {2,3,4,5,6},0))"),"Europe")</f>
        <v>Europe</v>
      </c>
      <c r="AC2364" s="14" t="str">
        <f>IFERROR(__xludf.DUMMYFUNCTION("""COMPUTED_VALUE"""),"Switzerland-Europe")</f>
        <v>Switzerland-Europe</v>
      </c>
      <c r="AD2364" s="14" t="str">
        <f>IFERROR(__xludf.DUMMYFUNCTION("""COMPUTED_VALUE"""),"2012")</f>
        <v>2012</v>
      </c>
      <c r="AE2364" s="14">
        <f>IFERROR(__xludf.DUMMYFUNCTION("""COMPUTED_VALUE"""),25996.0)</f>
        <v>25996</v>
      </c>
      <c r="AF2364" s="14">
        <f>IFERROR(__xludf.DUMMYFUNCTION("""COMPUTED_VALUE"""),40205.0)</f>
        <v>40205</v>
      </c>
    </row>
    <row r="2365">
      <c r="A2365" s="12">
        <v>2364.0</v>
      </c>
      <c r="B2365" s="12" t="s">
        <v>260</v>
      </c>
      <c r="C2365" s="5" t="s">
        <v>75</v>
      </c>
      <c r="D2365" s="11">
        <v>0.288</v>
      </c>
      <c r="E2365" s="11">
        <v>18.0</v>
      </c>
      <c r="F2365" s="8"/>
      <c r="G2365" s="11">
        <v>63.0</v>
      </c>
      <c r="H2365" s="11">
        <v>0.839</v>
      </c>
      <c r="I2365" s="11">
        <v>1.232</v>
      </c>
      <c r="J2365" s="9" t="s">
        <v>71</v>
      </c>
      <c r="K2365" s="14" t="str">
        <f>IFERROR(__xludf.DUMMYFUNCTION("ARRAYFORMULA(VLOOKUP(A2365,IMPORTRANGE(""https://docs.google.com/spreadsheets/d/1BuTWp7qHGjWhqrnf-OmePP568O4A5Am9ttzvVdP67zw/edit#gid=1603210130"", ""TOURISM!$A$2:$F$2692""), {2,3,4,5,6},0))"),"Europe")</f>
        <v>Europe</v>
      </c>
      <c r="L2365" s="14">
        <f>IFERROR(__xludf.DUMMYFUNCTION("""COMPUTED_VALUE"""),1.7614E10)</f>
        <v>17614000000</v>
      </c>
      <c r="M2365" s="14" t="str">
        <f>IFERROR(__xludf.DUMMYFUNCTION("""COMPUTED_VALUE"""),"Switzerland-Europe")</f>
        <v>Switzerland-Europe</v>
      </c>
      <c r="N2365" s="14" t="str">
        <f>IFERROR(__xludf.DUMMYFUNCTION("""COMPUTED_VALUE"""),"2010")</f>
        <v>2010</v>
      </c>
      <c r="O2365" s="14">
        <f>IFERROR(__xludf.DUMMYFUNCTION("""COMPUTED_VALUE"""),1.3528E10)</f>
        <v>13528000000</v>
      </c>
      <c r="P2365" s="15">
        <f>IFERROR(__xludf.DUMMYFUNCTION("ARRAYFORMULA(VLOOKUP(A2365,IMPORTRANGE(""https://docs.google.com/spreadsheets/d/1BuTWp7qHGjWhqrnf-OmePP568O4A5Am9ttzvVdP67zw/edit#gid=771602874"" ,""HUMAN RESOURCES!$A$2:$M$2692""), {2,3,4,5,6,7,8,9,10,11,12,13},0))"),0.01)</f>
        <v>0.01</v>
      </c>
      <c r="Q2365" s="14">
        <f>IFERROR(__xludf.DUMMYFUNCTION("""COMPUTED_VALUE"""),0.004)</f>
        <v>0.004</v>
      </c>
      <c r="R2365" s="14">
        <f>IFERROR(__xludf.DUMMYFUNCTION("""COMPUTED_VALUE"""),85.0)</f>
        <v>85</v>
      </c>
      <c r="S2365" s="14">
        <f>IFERROR(__xludf.DUMMYFUNCTION("""COMPUTED_VALUE"""),80.0)</f>
        <v>80</v>
      </c>
      <c r="T2365" s="14">
        <f>IFERROR(__xludf.DUMMYFUNCTION("""COMPUTED_VALUE"""),0.151)</f>
        <v>0.151</v>
      </c>
      <c r="U2365" s="14">
        <f>IFERROR(__xludf.DUMMYFUNCTION("""COMPUTED_VALUE"""),0.68)</f>
        <v>0.68</v>
      </c>
      <c r="V2365" s="14">
        <f>IFERROR(__xludf.DUMMYFUNCTION("""COMPUTED_VALUE"""),0.169)</f>
        <v>0.169</v>
      </c>
      <c r="W2365" s="14">
        <f>IFERROR(__xludf.DUMMYFUNCTION("""COMPUTED_VALUE"""),7824909.0)</f>
        <v>7824909</v>
      </c>
      <c r="X2365" s="14">
        <f>IFERROR(__xludf.DUMMYFUNCTION("""COMPUTED_VALUE"""),0.737)</f>
        <v>0.737</v>
      </c>
      <c r="Y2365" s="14" t="str">
        <f>IFERROR(__xludf.DUMMYFUNCTION("""COMPUTED_VALUE"""),"Switzerland-Europe")</f>
        <v>Switzerland-Europe</v>
      </c>
      <c r="Z2365" s="14" t="str">
        <f>IFERROR(__xludf.DUMMYFUNCTION("""COMPUTED_VALUE"""),"Europe")</f>
        <v>Europe</v>
      </c>
      <c r="AA2365" s="14" t="str">
        <f>IFERROR(__xludf.DUMMYFUNCTION("""COMPUTED_VALUE"""),"2010")</f>
        <v>2010</v>
      </c>
      <c r="AB2365" s="15" t="str">
        <f>IFERROR(__xludf.DUMMYFUNCTION("ARRAYFORMULA(VLOOKUP(A2365,IMPORTRANGE(""https://docs.google.com/spreadsheets/d/1BuTWp7qHGjWhqrnf-OmePP568O4A5Am9ttzvVdP67zw/edit#gid=1931367683"" ,""ENERGY!$A$2:$F$2692""), {2,3,4,5,6},0))"),"Europe")</f>
        <v>Europe</v>
      </c>
      <c r="AC2365" s="14" t="str">
        <f>IFERROR(__xludf.DUMMYFUNCTION("""COMPUTED_VALUE"""),"Switzerland-Europe")</f>
        <v>Switzerland-Europe</v>
      </c>
      <c r="AD2365" s="14" t="str">
        <f>IFERROR(__xludf.DUMMYFUNCTION("""COMPUTED_VALUE"""),"2009")</f>
        <v>2009</v>
      </c>
      <c r="AE2365" s="14">
        <f>IFERROR(__xludf.DUMMYFUNCTION("""COMPUTED_VALUE"""),25888.0)</f>
        <v>25888</v>
      </c>
      <c r="AF2365" s="14">
        <f>IFERROR(__xludf.DUMMYFUNCTION("""COMPUTED_VALUE"""),40718.0)</f>
        <v>40718</v>
      </c>
    </row>
    <row r="2366">
      <c r="A2366" s="12">
        <v>2365.0</v>
      </c>
      <c r="B2366" s="12" t="s">
        <v>260</v>
      </c>
      <c r="C2366" s="5" t="s">
        <v>75</v>
      </c>
      <c r="D2366" s="11">
        <v>0.289</v>
      </c>
      <c r="E2366" s="11">
        <v>18.0</v>
      </c>
      <c r="F2366" s="8"/>
      <c r="G2366" s="11">
        <v>63.0</v>
      </c>
      <c r="H2366" s="11">
        <v>0.852</v>
      </c>
      <c r="I2366" s="11">
        <v>1.274</v>
      </c>
      <c r="J2366" s="9" t="s">
        <v>72</v>
      </c>
      <c r="K2366" s="14" t="str">
        <f>IFERROR(__xludf.DUMMYFUNCTION("ARRAYFORMULA(VLOOKUP(A2366,IMPORTRANGE(""https://docs.google.com/spreadsheets/d/1BuTWp7qHGjWhqrnf-OmePP568O4A5Am9ttzvVdP67zw/edit#gid=1603210130"", ""TOURISM!$A$2:$F$2692""), {2,3,4,5,6},0))"),"Europe")</f>
        <v>Europe</v>
      </c>
      <c r="L2366" s="14">
        <f>IFERROR(__xludf.DUMMYFUNCTION("""COMPUTED_VALUE"""),2.064E10)</f>
        <v>20640000000</v>
      </c>
      <c r="M2366" s="14" t="str">
        <f>IFERROR(__xludf.DUMMYFUNCTION("""COMPUTED_VALUE"""),"Switzerland-Europe")</f>
        <v>Switzerland-Europe</v>
      </c>
      <c r="N2366" s="14" t="str">
        <f>IFERROR(__xludf.DUMMYFUNCTION("""COMPUTED_VALUE"""),"2011")</f>
        <v>2011</v>
      </c>
      <c r="O2366" s="14">
        <f>IFERROR(__xludf.DUMMYFUNCTION("""COMPUTED_VALUE"""),1.6612E10)</f>
        <v>16612000000</v>
      </c>
      <c r="P2366" s="15">
        <f>IFERROR(__xludf.DUMMYFUNCTION("ARRAYFORMULA(VLOOKUP(A2366,IMPORTRANGE(""https://docs.google.com/spreadsheets/d/1BuTWp7qHGjWhqrnf-OmePP568O4A5Am9ttzvVdP67zw/edit#gid=771602874"" ,""HUMAN RESOURCES!$A$2:$M$2692""), {2,3,4,5,6,7,8,9,10,11,12,13},0))"),0.01)</f>
        <v>0.01</v>
      </c>
      <c r="Q2366" s="14">
        <f>IFERROR(__xludf.DUMMYFUNCTION("""COMPUTED_VALUE"""),0.004)</f>
        <v>0.004</v>
      </c>
      <c r="R2366" s="14">
        <f>IFERROR(__xludf.DUMMYFUNCTION("""COMPUTED_VALUE"""),85.0)</f>
        <v>85</v>
      </c>
      <c r="S2366" s="14">
        <f>IFERROR(__xludf.DUMMYFUNCTION("""COMPUTED_VALUE"""),81.0)</f>
        <v>81</v>
      </c>
      <c r="T2366" s="14">
        <f>IFERROR(__xludf.DUMMYFUNCTION("""COMPUTED_VALUE"""),0.149)</f>
        <v>0.149</v>
      </c>
      <c r="U2366" s="14">
        <f>IFERROR(__xludf.DUMMYFUNCTION("""COMPUTED_VALUE"""),0.679)</f>
        <v>0.679</v>
      </c>
      <c r="V2366" s="14">
        <f>IFERROR(__xludf.DUMMYFUNCTION("""COMPUTED_VALUE"""),0.172)</f>
        <v>0.172</v>
      </c>
      <c r="W2366" s="14">
        <f>IFERROR(__xludf.DUMMYFUNCTION("""COMPUTED_VALUE"""),7912398.0)</f>
        <v>7912398</v>
      </c>
      <c r="X2366" s="14">
        <f>IFERROR(__xludf.DUMMYFUNCTION("""COMPUTED_VALUE"""),0.737)</f>
        <v>0.737</v>
      </c>
      <c r="Y2366" s="14" t="str">
        <f>IFERROR(__xludf.DUMMYFUNCTION("""COMPUTED_VALUE"""),"Switzerland-Europe")</f>
        <v>Switzerland-Europe</v>
      </c>
      <c r="Z2366" s="14" t="str">
        <f>IFERROR(__xludf.DUMMYFUNCTION("""COMPUTED_VALUE"""),"Europe")</f>
        <v>Europe</v>
      </c>
      <c r="AA2366" s="14" t="str">
        <f>IFERROR(__xludf.DUMMYFUNCTION("""COMPUTED_VALUE"""),"2011")</f>
        <v>2011</v>
      </c>
      <c r="AB2366" s="15" t="str">
        <f>IFERROR(__xludf.DUMMYFUNCTION("ARRAYFORMULA(VLOOKUP(A2366,IMPORTRANGE(""https://docs.google.com/spreadsheets/d/1BuTWp7qHGjWhqrnf-OmePP568O4A5Am9ttzvVdP67zw/edit#gid=1931367683"" ,""ENERGY!$A$2:$F$2692""), {2,3,4,5,6},0))"),"Europe")</f>
        <v>Europe</v>
      </c>
      <c r="AC2366" s="14" t="str">
        <f>IFERROR(__xludf.DUMMYFUNCTION("""COMPUTED_VALUE"""),"Switzerland-Europe")</f>
        <v>Switzerland-Europe</v>
      </c>
      <c r="AD2366" s="14" t="str">
        <f>IFERROR(__xludf.DUMMYFUNCTION("""COMPUTED_VALUE"""),"2007")</f>
        <v>2007</v>
      </c>
      <c r="AE2366" s="14">
        <f>IFERROR(__xludf.DUMMYFUNCTION("""COMPUTED_VALUE"""),26557.0)</f>
        <v>26557</v>
      </c>
      <c r="AF2366" s="14">
        <f>IFERROR(__xludf.DUMMYFUNCTION("""COMPUTED_VALUE"""),42963.0)</f>
        <v>42963</v>
      </c>
    </row>
    <row r="2367">
      <c r="A2367" s="12">
        <v>2366.0</v>
      </c>
      <c r="B2367" s="12" t="s">
        <v>260</v>
      </c>
      <c r="C2367" s="5" t="s">
        <v>75</v>
      </c>
      <c r="D2367" s="11">
        <v>0.291</v>
      </c>
      <c r="E2367" s="11">
        <v>18.0</v>
      </c>
      <c r="F2367" s="11">
        <v>27.0</v>
      </c>
      <c r="G2367" s="11">
        <v>63.0</v>
      </c>
      <c r="H2367" s="11">
        <v>0.852</v>
      </c>
      <c r="I2367" s="11">
        <v>1.321</v>
      </c>
      <c r="J2367" s="9" t="s">
        <v>73</v>
      </c>
      <c r="K2367" s="14" t="str">
        <f>IFERROR(__xludf.DUMMYFUNCTION("ARRAYFORMULA(VLOOKUP(A2367,IMPORTRANGE(""https://docs.google.com/spreadsheets/d/1BuTWp7qHGjWhqrnf-OmePP568O4A5Am9ttzvVdP67zw/edit#gid=1603210130"", ""TOURISM!$A$2:$F$2692""), {2,3,4,5,6},0))"),"Europe")</f>
        <v>Europe</v>
      </c>
      <c r="L2367" s="14">
        <f>IFERROR(__xludf.DUMMYFUNCTION("""COMPUTED_VALUE"""),1.9439E10)</f>
        <v>19439000000</v>
      </c>
      <c r="M2367" s="14" t="str">
        <f>IFERROR(__xludf.DUMMYFUNCTION("""COMPUTED_VALUE"""),"Switzerland-Europe")</f>
        <v>Switzerland-Europe</v>
      </c>
      <c r="N2367" s="14" t="str">
        <f>IFERROR(__xludf.DUMMYFUNCTION("""COMPUTED_VALUE"""),"2012")</f>
        <v>2012</v>
      </c>
      <c r="O2367" s="14">
        <f>IFERROR(__xludf.DUMMYFUNCTION("""COMPUTED_VALUE"""),1.6675E10)</f>
        <v>16675000000</v>
      </c>
      <c r="P2367" s="15">
        <f>IFERROR(__xludf.DUMMYFUNCTION("ARRAYFORMULA(VLOOKUP(A2367,IMPORTRANGE(""https://docs.google.com/spreadsheets/d/1BuTWp7qHGjWhqrnf-OmePP568O4A5Am9ttzvVdP67zw/edit#gid=771602874"" ,""HUMAN RESOURCES!$A$2:$M$2692""), {2,3,4,5,6,7,8,9,10,11,12,13},0))"),0.01)</f>
        <v>0.01</v>
      </c>
      <c r="Q2367" s="14">
        <f>IFERROR(__xludf.DUMMYFUNCTION("""COMPUTED_VALUE"""),0.004)</f>
        <v>0.004</v>
      </c>
      <c r="R2367" s="14">
        <f>IFERROR(__xludf.DUMMYFUNCTION("""COMPUTED_VALUE"""),85.0)</f>
        <v>85</v>
      </c>
      <c r="S2367" s="14">
        <f>IFERROR(__xludf.DUMMYFUNCTION("""COMPUTED_VALUE"""),81.0)</f>
        <v>81</v>
      </c>
      <c r="T2367" s="14">
        <f>IFERROR(__xludf.DUMMYFUNCTION("""COMPUTED_VALUE"""),0.148)</f>
        <v>0.148</v>
      </c>
      <c r="U2367" s="14">
        <f>IFERROR(__xludf.DUMMYFUNCTION("""COMPUTED_VALUE"""),0.678)</f>
        <v>0.678</v>
      </c>
      <c r="V2367" s="14">
        <f>IFERROR(__xludf.DUMMYFUNCTION("""COMPUTED_VALUE"""),0.174)</f>
        <v>0.174</v>
      </c>
      <c r="W2367" s="14">
        <f>IFERROR(__xludf.DUMMYFUNCTION("""COMPUTED_VALUE"""),7996861.0)</f>
        <v>7996861</v>
      </c>
      <c r="X2367" s="14">
        <f>IFERROR(__xludf.DUMMYFUNCTION("""COMPUTED_VALUE"""),0.737)</f>
        <v>0.737</v>
      </c>
      <c r="Y2367" s="14" t="str">
        <f>IFERROR(__xludf.DUMMYFUNCTION("""COMPUTED_VALUE"""),"Switzerland-Europe")</f>
        <v>Switzerland-Europe</v>
      </c>
      <c r="Z2367" s="14" t="str">
        <f>IFERROR(__xludf.DUMMYFUNCTION("""COMPUTED_VALUE"""),"Europe")</f>
        <v>Europe</v>
      </c>
      <c r="AA2367" s="14" t="str">
        <f>IFERROR(__xludf.DUMMYFUNCTION("""COMPUTED_VALUE"""),"2012")</f>
        <v>2012</v>
      </c>
      <c r="AB2367" s="15" t="str">
        <f>IFERROR(__xludf.DUMMYFUNCTION("ARRAYFORMULA(VLOOKUP(A2367,IMPORTRANGE(""https://docs.google.com/spreadsheets/d/1BuTWp7qHGjWhqrnf-OmePP568O4A5Am9ttzvVdP67zw/edit#gid=1931367683"" ,""ENERGY!$A$2:$F$2692""), {2,3,4,5,6},0))"),"Europe")</f>
        <v>Europe</v>
      </c>
      <c r="AC2367" s="14" t="str">
        <f>IFERROR(__xludf.DUMMYFUNCTION("""COMPUTED_VALUE"""),"Switzerland-Europe")</f>
        <v>Switzerland-Europe</v>
      </c>
      <c r="AD2367" s="14" t="str">
        <f>IFERROR(__xludf.DUMMYFUNCTION("""COMPUTED_VALUE"""),"2012")</f>
        <v>2012</v>
      </c>
      <c r="AE2367" s="14">
        <f>IFERROR(__xludf.DUMMYFUNCTION("""COMPUTED_VALUE"""),25005.0)</f>
        <v>25005</v>
      </c>
      <c r="AF2367" s="14">
        <f>IFERROR(__xludf.DUMMYFUNCTION("""COMPUTED_VALUE"""),39050.0)</f>
        <v>39050</v>
      </c>
    </row>
    <row r="2368">
      <c r="A2368" s="12">
        <v>2367.0</v>
      </c>
      <c r="B2368" s="12" t="s">
        <v>261</v>
      </c>
      <c r="C2368" s="5" t="s">
        <v>93</v>
      </c>
      <c r="D2368" s="8"/>
      <c r="E2368" s="8"/>
      <c r="F2368" s="8"/>
      <c r="G2368" s="8"/>
      <c r="H2368" s="11">
        <v>0.002</v>
      </c>
      <c r="I2368" s="11">
        <v>0.002</v>
      </c>
      <c r="J2368" s="9" t="s">
        <v>60</v>
      </c>
      <c r="K2368" s="14" t="str">
        <f>IFERROR(__xludf.DUMMYFUNCTION("ARRAYFORMULA(VLOOKUP(A2368,IMPORTRANGE(""https://docs.google.com/spreadsheets/d/1BuTWp7qHGjWhqrnf-OmePP568O4A5Am9ttzvVdP67zw/edit#gid=1603210130"", ""TOURISM!$A$2:$F$2692""), {2,3,4,5,6},0))"),"Middle East")</f>
        <v>Middle East</v>
      </c>
      <c r="L2368" s="14">
        <f>IFERROR(__xludf.DUMMYFUNCTION("""COMPUTED_VALUE"""),1.082E9)</f>
        <v>1082000000</v>
      </c>
      <c r="M2368" s="14" t="str">
        <f>IFERROR(__xludf.DUMMYFUNCTION("""COMPUTED_VALUE"""),"Syria-Middle East")</f>
        <v>Syria-Middle East</v>
      </c>
      <c r="N2368" s="14" t="str">
        <f>IFERROR(__xludf.DUMMYFUNCTION("""COMPUTED_VALUE"""),"2000")</f>
        <v>2000</v>
      </c>
      <c r="O2368" s="14">
        <f>IFERROR(__xludf.DUMMYFUNCTION("""COMPUTED_VALUE"""),6.69E8)</f>
        <v>669000000</v>
      </c>
      <c r="P2368" s="15">
        <f>IFERROR(__xludf.DUMMYFUNCTION("ARRAYFORMULA(VLOOKUP(A2368,IMPORTRANGE(""https://docs.google.com/spreadsheets/d/1BuTWp7qHGjWhqrnf-OmePP568O4A5Am9ttzvVdP67zw/edit#gid=771602874"" ,""HUMAN RESOURCES!$A$2:$M$2692""), {2,3,4,5,6,7,8,9,10,11,12,13},0))"),0.03)</f>
        <v>0.03</v>
      </c>
      <c r="Q2368" s="14">
        <f>IFERROR(__xludf.DUMMYFUNCTION("""COMPUTED_VALUE"""),0.02)</f>
        <v>0.02</v>
      </c>
      <c r="R2368" s="14">
        <f>IFERROR(__xludf.DUMMYFUNCTION("""COMPUTED_VALUE"""),75.0)</f>
        <v>75</v>
      </c>
      <c r="S2368" s="14">
        <f>IFERROR(__xludf.DUMMYFUNCTION("""COMPUTED_VALUE"""),72.0)</f>
        <v>72</v>
      </c>
      <c r="T2368" s="14">
        <f>IFERROR(__xludf.DUMMYFUNCTION("""COMPUTED_VALUE"""),0.408)</f>
        <v>0.408</v>
      </c>
      <c r="U2368" s="14">
        <f>IFERROR(__xludf.DUMMYFUNCTION("""COMPUTED_VALUE"""),0.558)</f>
        <v>0.558</v>
      </c>
      <c r="V2368" s="14">
        <f>IFERROR(__xludf.DUMMYFUNCTION("""COMPUTED_VALUE"""),0.034)</f>
        <v>0.034</v>
      </c>
      <c r="W2368" s="14">
        <f>IFERROR(__xludf.DUMMYFUNCTION("""COMPUTED_VALUE"""),1.6371208E7)</f>
        <v>16371208</v>
      </c>
      <c r="X2368" s="14">
        <f>IFERROR(__xludf.DUMMYFUNCTION("""COMPUTED_VALUE"""),0.519)</f>
        <v>0.519</v>
      </c>
      <c r="Y2368" s="14" t="str">
        <f>IFERROR(__xludf.DUMMYFUNCTION("""COMPUTED_VALUE"""),"Syria-Middle East")</f>
        <v>Syria-Middle East</v>
      </c>
      <c r="Z2368" s="14" t="str">
        <f>IFERROR(__xludf.DUMMYFUNCTION("""COMPUTED_VALUE"""),"Middle East")</f>
        <v>Middle East</v>
      </c>
      <c r="AA2368" s="14" t="str">
        <f>IFERROR(__xludf.DUMMYFUNCTION("""COMPUTED_VALUE"""),"2000")</f>
        <v>2000</v>
      </c>
      <c r="AB2368" s="15" t="str">
        <f>IFERROR(__xludf.DUMMYFUNCTION("ARRAYFORMULA(VLOOKUP(A2368,IMPORTRANGE(""https://docs.google.com/spreadsheets/d/1BuTWp7qHGjWhqrnf-OmePP568O4A5Am9ttzvVdP67zw/edit#gid=1931367683"" ,""ENERGY!$A$2:$F$2692""), {2,3,4,5,6},0))"),"Middle East")</f>
        <v>Middle East</v>
      </c>
      <c r="AC2368" s="14" t="str">
        <f>IFERROR(__xludf.DUMMYFUNCTION("""COMPUTED_VALUE"""),"Syria-Middle East")</f>
        <v>Syria-Middle East</v>
      </c>
      <c r="AD2368" s="14" t="str">
        <f>IFERROR(__xludf.DUMMYFUNCTION("""COMPUTED_VALUE"""),"2000")</f>
        <v>2000</v>
      </c>
      <c r="AE2368" s="14"/>
      <c r="AF2368" s="14"/>
    </row>
    <row r="2369">
      <c r="A2369" s="12">
        <v>2368.0</v>
      </c>
      <c r="B2369" s="12" t="s">
        <v>261</v>
      </c>
      <c r="C2369" s="5" t="s">
        <v>93</v>
      </c>
      <c r="D2369" s="8"/>
      <c r="E2369" s="8"/>
      <c r="F2369" s="8"/>
      <c r="G2369" s="8"/>
      <c r="H2369" s="11">
        <v>0.004</v>
      </c>
      <c r="I2369" s="11">
        <v>0.012</v>
      </c>
      <c r="J2369" s="9" t="s">
        <v>62</v>
      </c>
      <c r="K2369" s="14" t="str">
        <f>IFERROR(__xludf.DUMMYFUNCTION("ARRAYFORMULA(VLOOKUP(A2369,IMPORTRANGE(""https://docs.google.com/spreadsheets/d/1BuTWp7qHGjWhqrnf-OmePP568O4A5Am9ttzvVdP67zw/edit#gid=1603210130"", ""TOURISM!$A$2:$F$2692""), {2,3,4,5,6},0))"),"Middle East")</f>
        <v>Middle East</v>
      </c>
      <c r="L2369" s="14">
        <f>IFERROR(__xludf.DUMMYFUNCTION("""COMPUTED_VALUE"""),1.15E9)</f>
        <v>1150000000</v>
      </c>
      <c r="M2369" s="14" t="str">
        <f>IFERROR(__xludf.DUMMYFUNCTION("""COMPUTED_VALUE"""),"Syria-Middle East")</f>
        <v>Syria-Middle East</v>
      </c>
      <c r="N2369" s="14" t="str">
        <f>IFERROR(__xludf.DUMMYFUNCTION("""COMPUTED_VALUE"""),"2001")</f>
        <v>2001</v>
      </c>
      <c r="O2369" s="14">
        <f>IFERROR(__xludf.DUMMYFUNCTION("""COMPUTED_VALUE"""),6.7E8)</f>
        <v>670000000</v>
      </c>
      <c r="P2369" s="15">
        <f>IFERROR(__xludf.DUMMYFUNCTION("ARRAYFORMULA(VLOOKUP(A2369,IMPORTRANGE(""https://docs.google.com/spreadsheets/d/1BuTWp7qHGjWhqrnf-OmePP568O4A5Am9ttzvVdP67zw/edit#gid=771602874"" ,""HUMAN RESOURCES!$A$2:$M$2692""), {2,3,4,5,6,7,8,9,10,11,12,13},0))"),0.03)</f>
        <v>0.03</v>
      </c>
      <c r="Q2369" s="14">
        <f>IFERROR(__xludf.DUMMYFUNCTION("""COMPUTED_VALUE"""),0.019)</f>
        <v>0.019</v>
      </c>
      <c r="R2369" s="14">
        <f>IFERROR(__xludf.DUMMYFUNCTION("""COMPUTED_VALUE"""),75.0)</f>
        <v>75</v>
      </c>
      <c r="S2369" s="14">
        <f>IFERROR(__xludf.DUMMYFUNCTION("""COMPUTED_VALUE"""),72.0)</f>
        <v>72</v>
      </c>
      <c r="T2369" s="14">
        <f>IFERROR(__xludf.DUMMYFUNCTION("""COMPUTED_VALUE"""),0.404)</f>
        <v>0.404</v>
      </c>
      <c r="U2369" s="14">
        <f>IFERROR(__xludf.DUMMYFUNCTION("""COMPUTED_VALUE"""),0.563)</f>
        <v>0.563</v>
      </c>
      <c r="V2369" s="14">
        <f>IFERROR(__xludf.DUMMYFUNCTION("""COMPUTED_VALUE"""),0.034)</f>
        <v>0.034</v>
      </c>
      <c r="W2369" s="14">
        <f>IFERROR(__xludf.DUMMYFUNCTION("""COMPUTED_VALUE"""),1.6700984E7)</f>
        <v>16700984</v>
      </c>
      <c r="X2369" s="14">
        <f>IFERROR(__xludf.DUMMYFUNCTION("""COMPUTED_VALUE"""),0.523)</f>
        <v>0.523</v>
      </c>
      <c r="Y2369" s="14" t="str">
        <f>IFERROR(__xludf.DUMMYFUNCTION("""COMPUTED_VALUE"""),"Syria-Middle East")</f>
        <v>Syria-Middle East</v>
      </c>
      <c r="Z2369" s="14" t="str">
        <f>IFERROR(__xludf.DUMMYFUNCTION("""COMPUTED_VALUE"""),"Middle East")</f>
        <v>Middle East</v>
      </c>
      <c r="AA2369" s="14" t="str">
        <f>IFERROR(__xludf.DUMMYFUNCTION("""COMPUTED_VALUE"""),"2001")</f>
        <v>2001</v>
      </c>
      <c r="AB2369" s="15" t="str">
        <f>IFERROR(__xludf.DUMMYFUNCTION("ARRAYFORMULA(VLOOKUP(A2369,IMPORTRANGE(""https://docs.google.com/spreadsheets/d/1BuTWp7qHGjWhqrnf-OmePP568O4A5Am9ttzvVdP67zw/edit#gid=1931367683"" ,""ENERGY!$A$2:$F$2692""), {2,3,4,5,6},0))"),"Middle East")</f>
        <v>Middle East</v>
      </c>
      <c r="AC2369" s="14" t="str">
        <f>IFERROR(__xludf.DUMMYFUNCTION("""COMPUTED_VALUE"""),"Syria-Middle East")</f>
        <v>Syria-Middle East</v>
      </c>
      <c r="AD2369" s="14" t="str">
        <f>IFERROR(__xludf.DUMMYFUNCTION("""COMPUTED_VALUE"""),"2001")</f>
        <v>2001</v>
      </c>
      <c r="AE2369" s="14">
        <f>IFERROR(__xludf.DUMMYFUNCTION("""COMPUTED_VALUE"""),19986.0)</f>
        <v>19986</v>
      </c>
      <c r="AF2369" s="14"/>
    </row>
    <row r="2370">
      <c r="A2370" s="12">
        <v>2369.0</v>
      </c>
      <c r="B2370" s="12" t="s">
        <v>261</v>
      </c>
      <c r="C2370" s="5" t="s">
        <v>93</v>
      </c>
      <c r="D2370" s="8"/>
      <c r="E2370" s="8"/>
      <c r="F2370" s="8"/>
      <c r="G2370" s="8"/>
      <c r="H2370" s="11">
        <v>0.021</v>
      </c>
      <c r="I2370" s="11">
        <v>0.024</v>
      </c>
      <c r="J2370" s="9" t="s">
        <v>63</v>
      </c>
      <c r="K2370" s="14" t="str">
        <f>IFERROR(__xludf.DUMMYFUNCTION("ARRAYFORMULA(VLOOKUP(A2370,IMPORTRANGE(""https://docs.google.com/spreadsheets/d/1BuTWp7qHGjWhqrnf-OmePP568O4A5Am9ttzvVdP67zw/edit#gid=1603210130"", ""TOURISM!$A$2:$F$2692""), {2,3,4,5,6},0))"),"Middle East")</f>
        <v>Middle East</v>
      </c>
      <c r="L2370" s="14">
        <f>IFERROR(__xludf.DUMMYFUNCTION("""COMPUTED_VALUE"""),9.7E8)</f>
        <v>970000000</v>
      </c>
      <c r="M2370" s="14" t="str">
        <f>IFERROR(__xludf.DUMMYFUNCTION("""COMPUTED_VALUE"""),"Syria-Middle East")</f>
        <v>Syria-Middle East</v>
      </c>
      <c r="N2370" s="14" t="str">
        <f>IFERROR(__xludf.DUMMYFUNCTION("""COMPUTED_VALUE"""),"2002")</f>
        <v>2002</v>
      </c>
      <c r="O2370" s="14">
        <f>IFERROR(__xludf.DUMMYFUNCTION("""COMPUTED_VALUE"""),7.6E8)</f>
        <v>760000000</v>
      </c>
      <c r="P2370" s="15">
        <f>IFERROR(__xludf.DUMMYFUNCTION("ARRAYFORMULA(VLOOKUP(A2370,IMPORTRANGE(""https://docs.google.com/spreadsheets/d/1BuTWp7qHGjWhqrnf-OmePP568O4A5Am9ttzvVdP67zw/edit#gid=771602874"" ,""HUMAN RESOURCES!$A$2:$M$2692""), {2,3,4,5,6,7,8,9,10,11,12,13},0))"),0.029)</f>
        <v>0.029</v>
      </c>
      <c r="Q2370" s="14">
        <f>IFERROR(__xludf.DUMMYFUNCTION("""COMPUTED_VALUE"""),0.018)</f>
        <v>0.018</v>
      </c>
      <c r="R2370" s="14">
        <f>IFERROR(__xludf.DUMMYFUNCTION("""COMPUTED_VALUE"""),76.0)</f>
        <v>76</v>
      </c>
      <c r="S2370" s="14">
        <f>IFERROR(__xludf.DUMMYFUNCTION("""COMPUTED_VALUE"""),72.0)</f>
        <v>72</v>
      </c>
      <c r="T2370" s="14">
        <f>IFERROR(__xludf.DUMMYFUNCTION("""COMPUTED_VALUE"""),0.4)</f>
        <v>0.4</v>
      </c>
      <c r="U2370" s="14">
        <f>IFERROR(__xludf.DUMMYFUNCTION("""COMPUTED_VALUE"""),0.567)</f>
        <v>0.567</v>
      </c>
      <c r="V2370" s="14">
        <f>IFERROR(__xludf.DUMMYFUNCTION("""COMPUTED_VALUE"""),0.034)</f>
        <v>0.034</v>
      </c>
      <c r="W2370" s="14">
        <f>IFERROR(__xludf.DUMMYFUNCTION("""COMPUTED_VALUE"""),1.6994676E7)</f>
        <v>16994676</v>
      </c>
      <c r="X2370" s="14">
        <f>IFERROR(__xludf.DUMMYFUNCTION("""COMPUTED_VALUE"""),0.527)</f>
        <v>0.527</v>
      </c>
      <c r="Y2370" s="14" t="str">
        <f>IFERROR(__xludf.DUMMYFUNCTION("""COMPUTED_VALUE"""),"Syria-Middle East")</f>
        <v>Syria-Middle East</v>
      </c>
      <c r="Z2370" s="14" t="str">
        <f>IFERROR(__xludf.DUMMYFUNCTION("""COMPUTED_VALUE"""),"Middle East")</f>
        <v>Middle East</v>
      </c>
      <c r="AA2370" s="14" t="str">
        <f>IFERROR(__xludf.DUMMYFUNCTION("""COMPUTED_VALUE"""),"2002")</f>
        <v>2002</v>
      </c>
      <c r="AB2370" s="15" t="str">
        <f>IFERROR(__xludf.DUMMYFUNCTION("ARRAYFORMULA(VLOOKUP(A2370,IMPORTRANGE(""https://docs.google.com/spreadsheets/d/1BuTWp7qHGjWhqrnf-OmePP568O4A5Am9ttzvVdP67zw/edit#gid=1931367683"" ,""ENERGY!$A$2:$F$2692""), {2,3,4,5,6},0))"),"Middle East")</f>
        <v>Middle East</v>
      </c>
      <c r="AC2370" s="14" t="str">
        <f>IFERROR(__xludf.DUMMYFUNCTION("""COMPUTED_VALUE"""),"Syria-Middle East")</f>
        <v>Syria-Middle East</v>
      </c>
      <c r="AD2370" s="14" t="str">
        <f>IFERROR(__xludf.DUMMYFUNCTION("""COMPUTED_VALUE"""),"2002")</f>
        <v>2002</v>
      </c>
      <c r="AE2370" s="14">
        <f>IFERROR(__xludf.DUMMYFUNCTION("""COMPUTED_VALUE"""),21649.0)</f>
        <v>21649</v>
      </c>
      <c r="AF2370" s="14">
        <f>IFERROR(__xludf.DUMMYFUNCTION("""COMPUTED_VALUE"""),61859.0)</f>
        <v>61859</v>
      </c>
    </row>
    <row r="2371">
      <c r="A2371" s="12">
        <v>2370.0</v>
      </c>
      <c r="B2371" s="12" t="s">
        <v>261</v>
      </c>
      <c r="C2371" s="5" t="s">
        <v>93</v>
      </c>
      <c r="D2371" s="8"/>
      <c r="E2371" s="11">
        <v>43.0</v>
      </c>
      <c r="F2371" s="8"/>
      <c r="G2371" s="8"/>
      <c r="H2371" s="11">
        <v>0.034</v>
      </c>
      <c r="I2371" s="11">
        <v>0.069</v>
      </c>
      <c r="J2371" s="9" t="s">
        <v>64</v>
      </c>
      <c r="K2371" s="14" t="str">
        <f>IFERROR(__xludf.DUMMYFUNCTION("ARRAYFORMULA(VLOOKUP(A2371,IMPORTRANGE(""https://docs.google.com/spreadsheets/d/1BuTWp7qHGjWhqrnf-OmePP568O4A5Am9ttzvVdP67zw/edit#gid=1603210130"", ""TOURISM!$A$2:$F$2692""), {2,3,4,5,6},0))"),"Middle East")</f>
        <v>Middle East</v>
      </c>
      <c r="L2371" s="14">
        <f>IFERROR(__xludf.DUMMYFUNCTION("""COMPUTED_VALUE"""),8.77E8)</f>
        <v>877000000</v>
      </c>
      <c r="M2371" s="14" t="str">
        <f>IFERROR(__xludf.DUMMYFUNCTION("""COMPUTED_VALUE"""),"Syria-Middle East")</f>
        <v>Syria-Middle East</v>
      </c>
      <c r="N2371" s="14" t="str">
        <f>IFERROR(__xludf.DUMMYFUNCTION("""COMPUTED_VALUE"""),"2003")</f>
        <v>2003</v>
      </c>
      <c r="O2371" s="14">
        <f>IFERROR(__xludf.DUMMYFUNCTION("""COMPUTED_VALUE"""),7.34E8)</f>
        <v>734000000</v>
      </c>
      <c r="P2371" s="15">
        <f>IFERROR(__xludf.DUMMYFUNCTION("ARRAYFORMULA(VLOOKUP(A2371,IMPORTRANGE(""https://docs.google.com/spreadsheets/d/1BuTWp7qHGjWhqrnf-OmePP568O4A5Am9ttzvVdP67zw/edit#gid=771602874"" ,""HUMAN RESOURCES!$A$2:$M$2692""), {2,3,4,5,6,7,8,9,10,11,12,13},0))"),0.028)</f>
        <v>0.028</v>
      </c>
      <c r="Q2371" s="14">
        <f>IFERROR(__xludf.DUMMYFUNCTION("""COMPUTED_VALUE"""),0.018)</f>
        <v>0.018</v>
      </c>
      <c r="R2371" s="14">
        <f>IFERROR(__xludf.DUMMYFUNCTION("""COMPUTED_VALUE"""),76.0)</f>
        <v>76</v>
      </c>
      <c r="S2371" s="14">
        <f>IFERROR(__xludf.DUMMYFUNCTION("""COMPUTED_VALUE"""),72.0)</f>
        <v>72</v>
      </c>
      <c r="T2371" s="14">
        <f>IFERROR(__xludf.DUMMYFUNCTION("""COMPUTED_VALUE"""),0.396)</f>
        <v>0.396</v>
      </c>
      <c r="U2371" s="14">
        <f>IFERROR(__xludf.DUMMYFUNCTION("""COMPUTED_VALUE"""),0.57)</f>
        <v>0.57</v>
      </c>
      <c r="V2371" s="14">
        <f>IFERROR(__xludf.DUMMYFUNCTION("""COMPUTED_VALUE"""),0.034)</f>
        <v>0.034</v>
      </c>
      <c r="W2371" s="14">
        <f>IFERROR(__xludf.DUMMYFUNCTION("""COMPUTED_VALUE"""),1.7298476E7)</f>
        <v>17298476</v>
      </c>
      <c r="X2371" s="14">
        <f>IFERROR(__xludf.DUMMYFUNCTION("""COMPUTED_VALUE"""),0.53)</f>
        <v>0.53</v>
      </c>
      <c r="Y2371" s="14" t="str">
        <f>IFERROR(__xludf.DUMMYFUNCTION("""COMPUTED_VALUE"""),"Syria-Middle East")</f>
        <v>Syria-Middle East</v>
      </c>
      <c r="Z2371" s="14" t="str">
        <f>IFERROR(__xludf.DUMMYFUNCTION("""COMPUTED_VALUE"""),"Middle East")</f>
        <v>Middle East</v>
      </c>
      <c r="AA2371" s="14" t="str">
        <f>IFERROR(__xludf.DUMMYFUNCTION("""COMPUTED_VALUE"""),"2003")</f>
        <v>2003</v>
      </c>
      <c r="AB2371" s="15" t="str">
        <f>IFERROR(__xludf.DUMMYFUNCTION("ARRAYFORMULA(VLOOKUP(A2371,IMPORTRANGE(""https://docs.google.com/spreadsheets/d/1BuTWp7qHGjWhqrnf-OmePP568O4A5Am9ttzvVdP67zw/edit#gid=1931367683"" ,""ENERGY!$A$2:$F$2692""), {2,3,4,5,6},0))"),"Middle East")</f>
        <v>Middle East</v>
      </c>
      <c r="AC2371" s="14" t="str">
        <f>IFERROR(__xludf.DUMMYFUNCTION("""COMPUTED_VALUE"""),"Syria-Middle East")</f>
        <v>Syria-Middle East</v>
      </c>
      <c r="AD2371" s="14" t="str">
        <f>IFERROR(__xludf.DUMMYFUNCTION("""COMPUTED_VALUE"""),"2003")</f>
        <v>2003</v>
      </c>
      <c r="AE2371" s="14">
        <f>IFERROR(__xludf.DUMMYFUNCTION("""COMPUTED_VALUE"""),21233.0)</f>
        <v>21233</v>
      </c>
      <c r="AF2371" s="14">
        <f>IFERROR(__xludf.DUMMYFUNCTION("""COMPUTED_VALUE"""),62112.0)</f>
        <v>62112</v>
      </c>
    </row>
    <row r="2372">
      <c r="A2372" s="12">
        <v>2371.0</v>
      </c>
      <c r="B2372" s="12" t="s">
        <v>261</v>
      </c>
      <c r="C2372" s="5" t="s">
        <v>93</v>
      </c>
      <c r="D2372" s="8"/>
      <c r="E2372" s="11">
        <v>43.0</v>
      </c>
      <c r="F2372" s="8"/>
      <c r="G2372" s="8"/>
      <c r="H2372" s="11">
        <v>0.043</v>
      </c>
      <c r="I2372" s="11">
        <v>0.133</v>
      </c>
      <c r="J2372" s="9" t="s">
        <v>65</v>
      </c>
      <c r="K2372" s="14" t="str">
        <f>IFERROR(__xludf.DUMMYFUNCTION("ARRAYFORMULA(VLOOKUP(A2372,IMPORTRANGE(""https://docs.google.com/spreadsheets/d/1BuTWp7qHGjWhqrnf-OmePP568O4A5Am9ttzvVdP67zw/edit#gid=1603210130"", ""TOURISM!$A$2:$F$2692""), {2,3,4,5,6},0))"),"Middle East")</f>
        <v>Middle East</v>
      </c>
      <c r="L2372" s="14">
        <f>IFERROR(__xludf.DUMMYFUNCTION("""COMPUTED_VALUE"""),1.883E9)</f>
        <v>1883000000</v>
      </c>
      <c r="M2372" s="14" t="str">
        <f>IFERROR(__xludf.DUMMYFUNCTION("""COMPUTED_VALUE"""),"Syria-Middle East")</f>
        <v>Syria-Middle East</v>
      </c>
      <c r="N2372" s="14" t="str">
        <f>IFERROR(__xludf.DUMMYFUNCTION("""COMPUTED_VALUE"""),"2004")</f>
        <v>2004</v>
      </c>
      <c r="O2372" s="14">
        <f>IFERROR(__xludf.DUMMYFUNCTION("""COMPUTED_VALUE"""),6.88E8)</f>
        <v>688000000</v>
      </c>
      <c r="P2372" s="15">
        <f>IFERROR(__xludf.DUMMYFUNCTION("ARRAYFORMULA(VLOOKUP(A2372,IMPORTRANGE(""https://docs.google.com/spreadsheets/d/1BuTWp7qHGjWhqrnf-OmePP568O4A5Am9ttzvVdP67zw/edit#gid=771602874"" ,""HUMAN RESOURCES!$A$2:$M$2692""), {2,3,4,5,6,7,8,9,10,11,12,13},0))"),0.028)</f>
        <v>0.028</v>
      </c>
      <c r="Q2372" s="14">
        <f>IFERROR(__xludf.DUMMYFUNCTION("""COMPUTED_VALUE"""),0.017)</f>
        <v>0.017</v>
      </c>
      <c r="R2372" s="14">
        <f>IFERROR(__xludf.DUMMYFUNCTION("""COMPUTED_VALUE"""),76.0)</f>
        <v>76</v>
      </c>
      <c r="S2372" s="14">
        <f>IFERROR(__xludf.DUMMYFUNCTION("""COMPUTED_VALUE"""),73.0)</f>
        <v>73</v>
      </c>
      <c r="T2372" s="14">
        <f>IFERROR(__xludf.DUMMYFUNCTION("""COMPUTED_VALUE"""),0.392)</f>
        <v>0.392</v>
      </c>
      <c r="U2372" s="14">
        <f>IFERROR(__xludf.DUMMYFUNCTION("""COMPUTED_VALUE"""),0.575)</f>
        <v>0.575</v>
      </c>
      <c r="V2372" s="14">
        <f>IFERROR(__xludf.DUMMYFUNCTION("""COMPUTED_VALUE"""),0.034)</f>
        <v>0.034</v>
      </c>
      <c r="W2372" s="14">
        <f>IFERROR(__xludf.DUMMYFUNCTION("""COMPUTED_VALUE"""),1.7676012E7)</f>
        <v>17676012</v>
      </c>
      <c r="X2372" s="14">
        <f>IFERROR(__xludf.DUMMYFUNCTION("""COMPUTED_VALUE"""),0.534)</f>
        <v>0.534</v>
      </c>
      <c r="Y2372" s="14" t="str">
        <f>IFERROR(__xludf.DUMMYFUNCTION("""COMPUTED_VALUE"""),"Syria-Middle East")</f>
        <v>Syria-Middle East</v>
      </c>
      <c r="Z2372" s="14" t="str">
        <f>IFERROR(__xludf.DUMMYFUNCTION("""COMPUTED_VALUE"""),"Middle East")</f>
        <v>Middle East</v>
      </c>
      <c r="AA2372" s="14" t="str">
        <f>IFERROR(__xludf.DUMMYFUNCTION("""COMPUTED_VALUE"""),"2004")</f>
        <v>2004</v>
      </c>
      <c r="AB2372" s="15" t="str">
        <f>IFERROR(__xludf.DUMMYFUNCTION("ARRAYFORMULA(VLOOKUP(A2372,IMPORTRANGE(""https://docs.google.com/spreadsheets/d/1BuTWp7qHGjWhqrnf-OmePP568O4A5Am9ttzvVdP67zw/edit#gid=1931367683"" ,""ENERGY!$A$2:$F$2692""), {2,3,4,5,6},0))"),"Middle East")</f>
        <v>Middle East</v>
      </c>
      <c r="AC2372" s="14" t="str">
        <f>IFERROR(__xludf.DUMMYFUNCTION("""COMPUTED_VALUE"""),"Syria-Middle East")</f>
        <v>Syria-Middle East</v>
      </c>
      <c r="AD2372" s="14" t="str">
        <f>IFERROR(__xludf.DUMMYFUNCTION("""COMPUTED_VALUE"""),"2005")</f>
        <v>2005</v>
      </c>
      <c r="AE2372" s="14">
        <f>IFERROR(__xludf.DUMMYFUNCTION("""COMPUTED_VALUE"""),23052.0)</f>
        <v>23052</v>
      </c>
      <c r="AF2372" s="14">
        <f>IFERROR(__xludf.DUMMYFUNCTION("""COMPUTED_VALUE"""),67700.0)</f>
        <v>67700</v>
      </c>
    </row>
    <row r="2373">
      <c r="A2373" s="12">
        <v>2372.0</v>
      </c>
      <c r="B2373" s="12" t="s">
        <v>261</v>
      </c>
      <c r="C2373" s="5" t="s">
        <v>93</v>
      </c>
      <c r="D2373" s="11">
        <v>0.433</v>
      </c>
      <c r="E2373" s="11">
        <v>43.0</v>
      </c>
      <c r="F2373" s="8"/>
      <c r="G2373" s="11">
        <v>336.0</v>
      </c>
      <c r="H2373" s="11">
        <v>0.056</v>
      </c>
      <c r="I2373" s="11">
        <v>0.162</v>
      </c>
      <c r="J2373" s="9" t="s">
        <v>66</v>
      </c>
      <c r="K2373" s="14" t="str">
        <f>IFERROR(__xludf.DUMMYFUNCTION("ARRAYFORMULA(VLOOKUP(A2373,IMPORTRANGE(""https://docs.google.com/spreadsheets/d/1BuTWp7qHGjWhqrnf-OmePP568O4A5Am9ttzvVdP67zw/edit#gid=1603210130"", ""TOURISM!$A$2:$F$2692""), {2,3,4,5,6},0))"),"Middle East")</f>
        <v>Middle East</v>
      </c>
      <c r="L2373" s="14">
        <f>IFERROR(__xludf.DUMMYFUNCTION("""COMPUTED_VALUE"""),2.035E9)</f>
        <v>2035000000</v>
      </c>
      <c r="M2373" s="14" t="str">
        <f>IFERROR(__xludf.DUMMYFUNCTION("""COMPUTED_VALUE"""),"Syria-Middle East")</f>
        <v>Syria-Middle East</v>
      </c>
      <c r="N2373" s="14" t="str">
        <f>IFERROR(__xludf.DUMMYFUNCTION("""COMPUTED_VALUE"""),"2005")</f>
        <v>2005</v>
      </c>
      <c r="O2373" s="14">
        <f>IFERROR(__xludf.DUMMYFUNCTION("""COMPUTED_VALUE"""),5.84E8)</f>
        <v>584000000</v>
      </c>
      <c r="P2373" s="15">
        <f>IFERROR(__xludf.DUMMYFUNCTION("ARRAYFORMULA(VLOOKUP(A2373,IMPORTRANGE(""https://docs.google.com/spreadsheets/d/1BuTWp7qHGjWhqrnf-OmePP568O4A5Am9ttzvVdP67zw/edit#gid=771602874"" ,""HUMAN RESOURCES!$A$2:$M$2692""), {2,3,4,5,6,7,8,9,10,11,12,13},0))"),0.027)</f>
        <v>0.027</v>
      </c>
      <c r="Q2373" s="14">
        <f>IFERROR(__xludf.DUMMYFUNCTION("""COMPUTED_VALUE"""),0.016)</f>
        <v>0.016</v>
      </c>
      <c r="R2373" s="14">
        <f>IFERROR(__xludf.DUMMYFUNCTION("""COMPUTED_VALUE"""),77.0)</f>
        <v>77</v>
      </c>
      <c r="S2373" s="14">
        <f>IFERROR(__xludf.DUMMYFUNCTION("""COMPUTED_VALUE"""),73.0)</f>
        <v>73</v>
      </c>
      <c r="T2373" s="14">
        <f>IFERROR(__xludf.DUMMYFUNCTION("""COMPUTED_VALUE"""),0.386)</f>
        <v>0.386</v>
      </c>
      <c r="U2373" s="14">
        <f>IFERROR(__xludf.DUMMYFUNCTION("""COMPUTED_VALUE"""),0.58)</f>
        <v>0.58</v>
      </c>
      <c r="V2373" s="14">
        <f>IFERROR(__xludf.DUMMYFUNCTION("""COMPUTED_VALUE"""),0.034)</f>
        <v>0.034</v>
      </c>
      <c r="W2373" s="14">
        <f>IFERROR(__xludf.DUMMYFUNCTION("""COMPUTED_VALUE"""),1.8167367E7)</f>
        <v>18167367</v>
      </c>
      <c r="X2373" s="14">
        <f>IFERROR(__xludf.DUMMYFUNCTION("""COMPUTED_VALUE"""),0.538)</f>
        <v>0.538</v>
      </c>
      <c r="Y2373" s="14" t="str">
        <f>IFERROR(__xludf.DUMMYFUNCTION("""COMPUTED_VALUE"""),"Syria-Middle East")</f>
        <v>Syria-Middle East</v>
      </c>
      <c r="Z2373" s="14" t="str">
        <f>IFERROR(__xludf.DUMMYFUNCTION("""COMPUTED_VALUE"""),"Middle East")</f>
        <v>Middle East</v>
      </c>
      <c r="AA2373" s="14" t="str">
        <f>IFERROR(__xludf.DUMMYFUNCTION("""COMPUTED_VALUE"""),"2005")</f>
        <v>2005</v>
      </c>
      <c r="AB2373" s="15" t="str">
        <f>IFERROR(__xludf.DUMMYFUNCTION("ARRAYFORMULA(VLOOKUP(A2373,IMPORTRANGE(""https://docs.google.com/spreadsheets/d/1BuTWp7qHGjWhqrnf-OmePP568O4A5Am9ttzvVdP67zw/edit#gid=1931367683"" ,""ENERGY!$A$2:$F$2692""), {2,3,4,5,6},0))"),"Middle East")</f>
        <v>Middle East</v>
      </c>
      <c r="AC2373" s="14" t="str">
        <f>IFERROR(__xludf.DUMMYFUNCTION("""COMPUTED_VALUE"""),"Syria-Middle East")</f>
        <v>Syria-Middle East</v>
      </c>
      <c r="AD2373" s="14" t="str">
        <f>IFERROR(__xludf.DUMMYFUNCTION("""COMPUTED_VALUE"""),"2009")</f>
        <v>2009</v>
      </c>
      <c r="AE2373" s="14">
        <f>IFERROR(__xludf.DUMMYFUNCTION("""COMPUTED_VALUE"""),22803.0)</f>
        <v>22803</v>
      </c>
      <c r="AF2373" s="14">
        <f>IFERROR(__xludf.DUMMYFUNCTION("""COMPUTED_VALUE"""),57429.0)</f>
        <v>57429</v>
      </c>
    </row>
    <row r="2374">
      <c r="A2374" s="12">
        <v>2373.0</v>
      </c>
      <c r="B2374" s="12" t="s">
        <v>261</v>
      </c>
      <c r="C2374" s="5" t="s">
        <v>93</v>
      </c>
      <c r="D2374" s="11">
        <v>0.433</v>
      </c>
      <c r="E2374" s="11">
        <v>43.0</v>
      </c>
      <c r="F2374" s="8"/>
      <c r="G2374" s="11">
        <v>336.0</v>
      </c>
      <c r="H2374" s="11">
        <v>0.078</v>
      </c>
      <c r="I2374" s="11">
        <v>0.249</v>
      </c>
      <c r="J2374" s="9" t="s">
        <v>67</v>
      </c>
      <c r="K2374" s="14" t="str">
        <f>IFERROR(__xludf.DUMMYFUNCTION("ARRAYFORMULA(VLOOKUP(A2374,IMPORTRANGE(""https://docs.google.com/spreadsheets/d/1BuTWp7qHGjWhqrnf-OmePP568O4A5Am9ttzvVdP67zw/edit#gid=1603210130"", ""TOURISM!$A$2:$F$2692""), {2,3,4,5,6},0))"),"Middle East")</f>
        <v>Middle East</v>
      </c>
      <c r="L2374" s="14">
        <f>IFERROR(__xludf.DUMMYFUNCTION("""COMPUTED_VALUE"""),2.113E9)</f>
        <v>2113000000</v>
      </c>
      <c r="M2374" s="14" t="str">
        <f>IFERROR(__xludf.DUMMYFUNCTION("""COMPUTED_VALUE"""),"Syria-Middle East")</f>
        <v>Syria-Middle East</v>
      </c>
      <c r="N2374" s="14" t="str">
        <f>IFERROR(__xludf.DUMMYFUNCTION("""COMPUTED_VALUE"""),"2006")</f>
        <v>2006</v>
      </c>
      <c r="O2374" s="14">
        <f>IFERROR(__xludf.DUMMYFUNCTION("""COMPUTED_VALUE"""),5.85E8)</f>
        <v>585000000</v>
      </c>
      <c r="P2374" s="15">
        <f>IFERROR(__xludf.DUMMYFUNCTION("ARRAYFORMULA(VLOOKUP(A2374,IMPORTRANGE(""https://docs.google.com/spreadsheets/d/1BuTWp7qHGjWhqrnf-OmePP568O4A5Am9ttzvVdP67zw/edit#gid=771602874"" ,""HUMAN RESOURCES!$A$2:$M$2692""), {2,3,4,5,6,7,8,9,10,11,12,13},0))"),0.027)</f>
        <v>0.027</v>
      </c>
      <c r="Q2374" s="14">
        <f>IFERROR(__xludf.DUMMYFUNCTION("""COMPUTED_VALUE"""),0.015)</f>
        <v>0.015</v>
      </c>
      <c r="R2374" s="14">
        <f>IFERROR(__xludf.DUMMYFUNCTION("""COMPUTED_VALUE"""),77.0)</f>
        <v>77</v>
      </c>
      <c r="S2374" s="14">
        <f>IFERROR(__xludf.DUMMYFUNCTION("""COMPUTED_VALUE"""),73.0)</f>
        <v>73</v>
      </c>
      <c r="T2374" s="14">
        <f>IFERROR(__xludf.DUMMYFUNCTION("""COMPUTED_VALUE"""),0.38)</f>
        <v>0.38</v>
      </c>
      <c r="U2374" s="14">
        <f>IFERROR(__xludf.DUMMYFUNCTION("""COMPUTED_VALUE"""),0.585)</f>
        <v>0.585</v>
      </c>
      <c r="V2374" s="14">
        <f>IFERROR(__xludf.DUMMYFUNCTION("""COMPUTED_VALUE"""),0.034)</f>
        <v>0.034</v>
      </c>
      <c r="W2374" s="14">
        <f>IFERROR(__xludf.DUMMYFUNCTION("""COMPUTED_VALUE"""),1.8804914E7)</f>
        <v>18804914</v>
      </c>
      <c r="X2374" s="14">
        <f>IFERROR(__xludf.DUMMYFUNCTION("""COMPUTED_VALUE"""),0.542)</f>
        <v>0.542</v>
      </c>
      <c r="Y2374" s="14" t="str">
        <f>IFERROR(__xludf.DUMMYFUNCTION("""COMPUTED_VALUE"""),"Syria-Middle East")</f>
        <v>Syria-Middle East</v>
      </c>
      <c r="Z2374" s="14" t="str">
        <f>IFERROR(__xludf.DUMMYFUNCTION("""COMPUTED_VALUE"""),"Middle East")</f>
        <v>Middle East</v>
      </c>
      <c r="AA2374" s="14" t="str">
        <f>IFERROR(__xludf.DUMMYFUNCTION("""COMPUTED_VALUE"""),"2006")</f>
        <v>2006</v>
      </c>
      <c r="AB2374" s="15" t="str">
        <f>IFERROR(__xludf.DUMMYFUNCTION("ARRAYFORMULA(VLOOKUP(A2374,IMPORTRANGE(""https://docs.google.com/spreadsheets/d/1BuTWp7qHGjWhqrnf-OmePP568O4A5Am9ttzvVdP67zw/edit#gid=1931367683"" ,""ENERGY!$A$2:$F$2692""), {2,3,4,5,6},0))"),"Middle East")</f>
        <v>Middle East</v>
      </c>
      <c r="AC2374" s="14" t="str">
        <f>IFERROR(__xludf.DUMMYFUNCTION("""COMPUTED_VALUE"""),"Syria-Middle East")</f>
        <v>Syria-Middle East</v>
      </c>
      <c r="AD2374" s="14" t="str">
        <f>IFERROR(__xludf.DUMMYFUNCTION("""COMPUTED_VALUE"""),"2005")</f>
        <v>2005</v>
      </c>
      <c r="AE2374" s="14">
        <f>IFERROR(__xludf.DUMMYFUNCTION("""COMPUTED_VALUE"""),21630.0)</f>
        <v>21630</v>
      </c>
      <c r="AF2374" s="14">
        <f>IFERROR(__xludf.DUMMYFUNCTION("""COMPUTED_VALUE"""),53590.0)</f>
        <v>53590</v>
      </c>
    </row>
    <row r="2375">
      <c r="A2375" s="12">
        <v>2374.0</v>
      </c>
      <c r="B2375" s="12" t="s">
        <v>261</v>
      </c>
      <c r="C2375" s="5" t="s">
        <v>93</v>
      </c>
      <c r="D2375" s="11">
        <v>0.433</v>
      </c>
      <c r="E2375" s="11">
        <v>43.0</v>
      </c>
      <c r="F2375" s="8"/>
      <c r="G2375" s="11">
        <v>336.0</v>
      </c>
      <c r="H2375" s="11">
        <v>0.115</v>
      </c>
      <c r="I2375" s="11">
        <v>0.319</v>
      </c>
      <c r="J2375" s="9" t="s">
        <v>68</v>
      </c>
      <c r="K2375" s="14" t="str">
        <f>IFERROR(__xludf.DUMMYFUNCTION("ARRAYFORMULA(VLOOKUP(A2375,IMPORTRANGE(""https://docs.google.com/spreadsheets/d/1BuTWp7qHGjWhqrnf-OmePP568O4A5Am9ttzvVdP67zw/edit#gid=1603210130"", ""TOURISM!$A$2:$F$2692""), {2,3,4,5,6},0))"),"Middle East")</f>
        <v>Middle East</v>
      </c>
      <c r="L2375" s="14">
        <f>IFERROR(__xludf.DUMMYFUNCTION("""COMPUTED_VALUE"""),2.972E9)</f>
        <v>2972000000</v>
      </c>
      <c r="M2375" s="14" t="str">
        <f>IFERROR(__xludf.DUMMYFUNCTION("""COMPUTED_VALUE"""),"Syria-Middle East")</f>
        <v>Syria-Middle East</v>
      </c>
      <c r="N2375" s="14" t="str">
        <f>IFERROR(__xludf.DUMMYFUNCTION("""COMPUTED_VALUE"""),"2007")</f>
        <v>2007</v>
      </c>
      <c r="O2375" s="14">
        <f>IFERROR(__xludf.DUMMYFUNCTION("""COMPUTED_VALUE"""),7.1E8)</f>
        <v>710000000</v>
      </c>
      <c r="P2375" s="15">
        <f>IFERROR(__xludf.DUMMYFUNCTION("ARRAYFORMULA(VLOOKUP(A2375,IMPORTRANGE(""https://docs.google.com/spreadsheets/d/1BuTWp7qHGjWhqrnf-OmePP568O4A5Am9ttzvVdP67zw/edit#gid=771602874"" ,""HUMAN RESOURCES!$A$2:$M$2692""), {2,3,4,5,6,7,8,9,10,11,12,13},0))"),0.026)</f>
        <v>0.026</v>
      </c>
      <c r="Q2375" s="14">
        <f>IFERROR(__xludf.DUMMYFUNCTION("""COMPUTED_VALUE"""),0.015)</f>
        <v>0.015</v>
      </c>
      <c r="R2375" s="14">
        <f>IFERROR(__xludf.DUMMYFUNCTION("""COMPUTED_VALUE"""),77.0)</f>
        <v>77</v>
      </c>
      <c r="S2375" s="14">
        <f>IFERROR(__xludf.DUMMYFUNCTION("""COMPUTED_VALUE"""),73.0)</f>
        <v>73</v>
      </c>
      <c r="T2375" s="14">
        <f>IFERROR(__xludf.DUMMYFUNCTION("""COMPUTED_VALUE"""),0.373)</f>
        <v>0.373</v>
      </c>
      <c r="U2375" s="14">
        <f>IFERROR(__xludf.DUMMYFUNCTION("""COMPUTED_VALUE"""),0.592)</f>
        <v>0.592</v>
      </c>
      <c r="V2375" s="14">
        <f>IFERROR(__xludf.DUMMYFUNCTION("""COMPUTED_VALUE"""),0.035)</f>
        <v>0.035</v>
      </c>
      <c r="W2375" s="14">
        <f>IFERROR(__xludf.DUMMYFUNCTION("""COMPUTED_VALUE"""),1.9561477E7)</f>
        <v>19561477</v>
      </c>
      <c r="X2375" s="14">
        <f>IFERROR(__xludf.DUMMYFUNCTION("""COMPUTED_VALUE"""),0.545)</f>
        <v>0.545</v>
      </c>
      <c r="Y2375" s="14" t="str">
        <f>IFERROR(__xludf.DUMMYFUNCTION("""COMPUTED_VALUE"""),"Syria-Middle East")</f>
        <v>Syria-Middle East</v>
      </c>
      <c r="Z2375" s="14" t="str">
        <f>IFERROR(__xludf.DUMMYFUNCTION("""COMPUTED_VALUE"""),"Middle East")</f>
        <v>Middle East</v>
      </c>
      <c r="AA2375" s="14" t="str">
        <f>IFERROR(__xludf.DUMMYFUNCTION("""COMPUTED_VALUE"""),"2007")</f>
        <v>2007</v>
      </c>
      <c r="AB2375" s="15" t="str">
        <f>IFERROR(__xludf.DUMMYFUNCTION("ARRAYFORMULA(VLOOKUP(A2375,IMPORTRANGE(""https://docs.google.com/spreadsheets/d/1BuTWp7qHGjWhqrnf-OmePP568O4A5Am9ttzvVdP67zw/edit#gid=1931367683"" ,""ENERGY!$A$2:$F$2692""), {2,3,4,5,6},0))"),"Middle East")</f>
        <v>Middle East</v>
      </c>
      <c r="AC2375" s="14" t="str">
        <f>IFERROR(__xludf.DUMMYFUNCTION("""COMPUTED_VALUE"""),"Syria-Middle East")</f>
        <v>Syria-Middle East</v>
      </c>
      <c r="AD2375" s="14" t="str">
        <f>IFERROR(__xludf.DUMMYFUNCTION("""COMPUTED_VALUE"""),"2011")</f>
        <v>2011</v>
      </c>
      <c r="AE2375" s="14">
        <f>IFERROR(__xludf.DUMMYFUNCTION("""COMPUTED_VALUE"""),20792.0)</f>
        <v>20792</v>
      </c>
      <c r="AF2375" s="14">
        <f>IFERROR(__xludf.DUMMYFUNCTION("""COMPUTED_VALUE"""),50634.0)</f>
        <v>50634</v>
      </c>
    </row>
    <row r="2376">
      <c r="A2376" s="12">
        <v>2375.0</v>
      </c>
      <c r="B2376" s="12" t="s">
        <v>261</v>
      </c>
      <c r="C2376" s="5" t="s">
        <v>93</v>
      </c>
      <c r="D2376" s="11">
        <v>0.398</v>
      </c>
      <c r="E2376" s="11">
        <v>16.0</v>
      </c>
      <c r="F2376" s="8"/>
      <c r="G2376" s="11">
        <v>336.0</v>
      </c>
      <c r="H2376" s="11">
        <v>0.14</v>
      </c>
      <c r="I2376" s="11">
        <v>0.347</v>
      </c>
      <c r="J2376" s="9" t="s">
        <v>69</v>
      </c>
      <c r="K2376" s="14" t="str">
        <f>IFERROR(__xludf.DUMMYFUNCTION("ARRAYFORMULA(VLOOKUP(A2376,IMPORTRANGE(""https://docs.google.com/spreadsheets/d/1BuTWp7qHGjWhqrnf-OmePP568O4A5Am9ttzvVdP67zw/edit#gid=1603210130"", ""TOURISM!$A$2:$F$2692""), {2,3,4,5,6},0))"),"Middle East")</f>
        <v>Middle East</v>
      </c>
      <c r="L2376" s="14">
        <f>IFERROR(__xludf.DUMMYFUNCTION("""COMPUTED_VALUE"""),3.176E9)</f>
        <v>3176000000</v>
      </c>
      <c r="M2376" s="14" t="str">
        <f>IFERROR(__xludf.DUMMYFUNCTION("""COMPUTED_VALUE"""),"Syria-Middle East")</f>
        <v>Syria-Middle East</v>
      </c>
      <c r="N2376" s="14" t="str">
        <f>IFERROR(__xludf.DUMMYFUNCTION("""COMPUTED_VALUE"""),"2008")</f>
        <v>2008</v>
      </c>
      <c r="O2376" s="14">
        <f>IFERROR(__xludf.DUMMYFUNCTION("""COMPUTED_VALUE"""),9.12E8)</f>
        <v>912000000</v>
      </c>
      <c r="P2376" s="15">
        <f>IFERROR(__xludf.DUMMYFUNCTION("ARRAYFORMULA(VLOOKUP(A2376,IMPORTRANGE(""https://docs.google.com/spreadsheets/d/1BuTWp7qHGjWhqrnf-OmePP568O4A5Am9ttzvVdP67zw/edit#gid=771602874"" ,""HUMAN RESOURCES!$A$2:$M$2692""), {2,3,4,5,6,7,8,9,10,11,12,13},0))"),0.026)</f>
        <v>0.026</v>
      </c>
      <c r="Q2376" s="14">
        <f>IFERROR(__xludf.DUMMYFUNCTION("""COMPUTED_VALUE"""),0.014)</f>
        <v>0.014</v>
      </c>
      <c r="R2376" s="14">
        <f>IFERROR(__xludf.DUMMYFUNCTION("""COMPUTED_VALUE"""),77.0)</f>
        <v>77</v>
      </c>
      <c r="S2376" s="14">
        <f>IFERROR(__xludf.DUMMYFUNCTION("""COMPUTED_VALUE"""),73.0)</f>
        <v>73</v>
      </c>
      <c r="T2376" s="14">
        <f>IFERROR(__xludf.DUMMYFUNCTION("""COMPUTED_VALUE"""),0.367)</f>
        <v>0.367</v>
      </c>
      <c r="U2376" s="14">
        <f>IFERROR(__xludf.DUMMYFUNCTION("""COMPUTED_VALUE"""),0.598)</f>
        <v>0.598</v>
      </c>
      <c r="V2376" s="14">
        <f>IFERROR(__xludf.DUMMYFUNCTION("""COMPUTED_VALUE"""),0.036)</f>
        <v>0.036</v>
      </c>
      <c r="W2376" s="14">
        <f>IFERROR(__xludf.DUMMYFUNCTION("""COMPUTED_VALUE"""),2.0346056E7)</f>
        <v>20346056</v>
      </c>
      <c r="X2376" s="14">
        <f>IFERROR(__xludf.DUMMYFUNCTION("""COMPUTED_VALUE"""),0.549)</f>
        <v>0.549</v>
      </c>
      <c r="Y2376" s="14" t="str">
        <f>IFERROR(__xludf.DUMMYFUNCTION("""COMPUTED_VALUE"""),"Syria-Middle East")</f>
        <v>Syria-Middle East</v>
      </c>
      <c r="Z2376" s="14" t="str">
        <f>IFERROR(__xludf.DUMMYFUNCTION("""COMPUTED_VALUE"""),"Middle East")</f>
        <v>Middle East</v>
      </c>
      <c r="AA2376" s="14" t="str">
        <f>IFERROR(__xludf.DUMMYFUNCTION("""COMPUTED_VALUE"""),"2008")</f>
        <v>2008</v>
      </c>
      <c r="AB2376" s="15" t="str">
        <f>IFERROR(__xludf.DUMMYFUNCTION("ARRAYFORMULA(VLOOKUP(A2376,IMPORTRANGE(""https://docs.google.com/spreadsheets/d/1BuTWp7qHGjWhqrnf-OmePP568O4A5Am9ttzvVdP67zw/edit#gid=1931367683"" ,""ENERGY!$A$2:$F$2692""), {2,3,4,5,6},0))"),"Middle East")</f>
        <v>Middle East</v>
      </c>
      <c r="AC2376" s="14" t="str">
        <f>IFERROR(__xludf.DUMMYFUNCTION("""COMPUTED_VALUE"""),"Syria-Middle East")</f>
        <v>Syria-Middle East</v>
      </c>
      <c r="AD2376" s="14" t="str">
        <f>IFERROR(__xludf.DUMMYFUNCTION("""COMPUTED_VALUE"""),"2007")</f>
        <v>2007</v>
      </c>
      <c r="AE2376" s="14">
        <f>IFERROR(__xludf.DUMMYFUNCTION("""COMPUTED_VALUE"""),17937.0)</f>
        <v>17937</v>
      </c>
      <c r="AF2376" s="14">
        <f>IFERROR(__xludf.DUMMYFUNCTION("""COMPUTED_VALUE"""),51111.0)</f>
        <v>51111</v>
      </c>
    </row>
    <row r="2377">
      <c r="A2377" s="12">
        <v>2376.0</v>
      </c>
      <c r="B2377" s="12" t="s">
        <v>261</v>
      </c>
      <c r="C2377" s="5" t="s">
        <v>93</v>
      </c>
      <c r="D2377" s="11">
        <v>0.397</v>
      </c>
      <c r="E2377" s="11">
        <v>15.0</v>
      </c>
      <c r="F2377" s="8"/>
      <c r="G2377" s="11">
        <v>336.0</v>
      </c>
      <c r="H2377" s="11">
        <v>0.173</v>
      </c>
      <c r="I2377" s="11">
        <v>0.477</v>
      </c>
      <c r="J2377" s="9" t="s">
        <v>70</v>
      </c>
      <c r="K2377" s="14" t="str">
        <f>IFERROR(__xludf.DUMMYFUNCTION("ARRAYFORMULA(VLOOKUP(A2377,IMPORTRANGE(""https://docs.google.com/spreadsheets/d/1BuTWp7qHGjWhqrnf-OmePP568O4A5Am9ttzvVdP67zw/edit#gid=1603210130"", ""TOURISM!$A$2:$F$2692""), {2,3,4,5,6},0))"),"Middle East")</f>
        <v>Middle East</v>
      </c>
      <c r="L2377" s="14">
        <f>IFERROR(__xludf.DUMMYFUNCTION("""COMPUTED_VALUE"""),3.781E9)</f>
        <v>3781000000</v>
      </c>
      <c r="M2377" s="14" t="str">
        <f>IFERROR(__xludf.DUMMYFUNCTION("""COMPUTED_VALUE"""),"Syria-Middle East")</f>
        <v>Syria-Middle East</v>
      </c>
      <c r="N2377" s="14" t="str">
        <f>IFERROR(__xludf.DUMMYFUNCTION("""COMPUTED_VALUE"""),"2009")</f>
        <v>2009</v>
      </c>
      <c r="O2377" s="14">
        <f>IFERROR(__xludf.DUMMYFUNCTION("""COMPUTED_VALUE"""),9.8E8)</f>
        <v>980000000</v>
      </c>
      <c r="P2377" s="15">
        <f>IFERROR(__xludf.DUMMYFUNCTION("ARRAYFORMULA(VLOOKUP(A2377,IMPORTRANGE(""https://docs.google.com/spreadsheets/d/1BuTWp7qHGjWhqrnf-OmePP568O4A5Am9ttzvVdP67zw/edit#gid=771602874"" ,""HUMAN RESOURCES!$A$2:$M$2692""), {2,3,4,5,6,7,8,9,10,11,12,13},0))"),0.025)</f>
        <v>0.025</v>
      </c>
      <c r="Q2377" s="14">
        <f>IFERROR(__xludf.DUMMYFUNCTION("""COMPUTED_VALUE"""),0.014)</f>
        <v>0.014</v>
      </c>
      <c r="R2377" s="14">
        <f>IFERROR(__xludf.DUMMYFUNCTION("""COMPUTED_VALUE"""),77.0)</f>
        <v>77</v>
      </c>
      <c r="S2377" s="14">
        <f>IFERROR(__xludf.DUMMYFUNCTION("""COMPUTED_VALUE"""),73.0)</f>
        <v>73</v>
      </c>
      <c r="T2377" s="14">
        <f>IFERROR(__xludf.DUMMYFUNCTION("""COMPUTED_VALUE"""),0.361)</f>
        <v>0.361</v>
      </c>
      <c r="U2377" s="14">
        <f>IFERROR(__xludf.DUMMYFUNCTION("""COMPUTED_VALUE"""),0.602)</f>
        <v>0.602</v>
      </c>
      <c r="V2377" s="14">
        <f>IFERROR(__xludf.DUMMYFUNCTION("""COMPUTED_VALUE"""),0.036)</f>
        <v>0.036</v>
      </c>
      <c r="W2377" s="14">
        <f>IFERROR(__xludf.DUMMYFUNCTION("""COMPUTED_VALUE"""),2.1031546E7)</f>
        <v>21031546</v>
      </c>
      <c r="X2377" s="14">
        <f>IFERROR(__xludf.DUMMYFUNCTION("""COMPUTED_VALUE"""),0.553)</f>
        <v>0.553</v>
      </c>
      <c r="Y2377" s="14" t="str">
        <f>IFERROR(__xludf.DUMMYFUNCTION("""COMPUTED_VALUE"""),"Syria-Middle East")</f>
        <v>Syria-Middle East</v>
      </c>
      <c r="Z2377" s="14" t="str">
        <f>IFERROR(__xludf.DUMMYFUNCTION("""COMPUTED_VALUE"""),"Middle East")</f>
        <v>Middle East</v>
      </c>
      <c r="AA2377" s="14" t="str">
        <f>IFERROR(__xludf.DUMMYFUNCTION("""COMPUTED_VALUE"""),"2009")</f>
        <v>2009</v>
      </c>
      <c r="AB2377" s="15" t="str">
        <f>IFERROR(__xludf.DUMMYFUNCTION("ARRAYFORMULA(VLOOKUP(A2377,IMPORTRANGE(""https://docs.google.com/spreadsheets/d/1BuTWp7qHGjWhqrnf-OmePP568O4A5Am9ttzvVdP67zw/edit#gid=1931367683"" ,""ENERGY!$A$2:$F$2692""), {2,3,4,5,6},0))"),"Middle East")</f>
        <v>Middle East</v>
      </c>
      <c r="AC2377" s="14" t="str">
        <f>IFERROR(__xludf.DUMMYFUNCTION("""COMPUTED_VALUE"""),"Syria-Middle East")</f>
        <v>Syria-Middle East</v>
      </c>
      <c r="AD2377" s="14" t="str">
        <f>IFERROR(__xludf.DUMMYFUNCTION("""COMPUTED_VALUE"""),"2012")</f>
        <v>2012</v>
      </c>
      <c r="AE2377" s="14">
        <f>IFERROR(__xludf.DUMMYFUNCTION("""COMPUTED_VALUE"""),16543.0)</f>
        <v>16543</v>
      </c>
      <c r="AF2377" s="14">
        <f>IFERROR(__xludf.DUMMYFUNCTION("""COMPUTED_VALUE"""),54286.0)</f>
        <v>54286</v>
      </c>
    </row>
    <row r="2378">
      <c r="A2378" s="12">
        <v>2377.0</v>
      </c>
      <c r="B2378" s="12" t="s">
        <v>261</v>
      </c>
      <c r="C2378" s="5" t="s">
        <v>93</v>
      </c>
      <c r="D2378" s="11">
        <v>0.397</v>
      </c>
      <c r="E2378" s="11">
        <v>13.0</v>
      </c>
      <c r="F2378" s="8"/>
      <c r="G2378" s="11">
        <v>336.0</v>
      </c>
      <c r="H2378" s="11">
        <v>0.207</v>
      </c>
      <c r="I2378" s="11">
        <v>0.543</v>
      </c>
      <c r="J2378" s="9" t="s">
        <v>71</v>
      </c>
      <c r="K2378" s="14" t="str">
        <f>IFERROR(__xludf.DUMMYFUNCTION("ARRAYFORMULA(VLOOKUP(A2378,IMPORTRANGE(""https://docs.google.com/spreadsheets/d/1BuTWp7qHGjWhqrnf-OmePP568O4A5Am9ttzvVdP67zw/edit#gid=1603210130"", ""TOURISM!$A$2:$F$2692""), {2,3,4,5,6},0))"),"Middle East")</f>
        <v>Middle East</v>
      </c>
      <c r="L2378" s="14">
        <f>IFERROR(__xludf.DUMMYFUNCTION("""COMPUTED_VALUE"""),6.308E9)</f>
        <v>6308000000</v>
      </c>
      <c r="M2378" s="14" t="str">
        <f>IFERROR(__xludf.DUMMYFUNCTION("""COMPUTED_VALUE"""),"Syria-Middle East")</f>
        <v>Syria-Middle East</v>
      </c>
      <c r="N2378" s="14" t="str">
        <f>IFERROR(__xludf.DUMMYFUNCTION("""COMPUTED_VALUE"""),"2010")</f>
        <v>2010</v>
      </c>
      <c r="O2378" s="14">
        <f>IFERROR(__xludf.DUMMYFUNCTION("""COMPUTED_VALUE"""),1.598E9)</f>
        <v>1598000000</v>
      </c>
      <c r="P2378" s="15">
        <f>IFERROR(__xludf.DUMMYFUNCTION("ARRAYFORMULA(VLOOKUP(A2378,IMPORTRANGE(""https://docs.google.com/spreadsheets/d/1BuTWp7qHGjWhqrnf-OmePP568O4A5Am9ttzvVdP67zw/edit#gid=771602874"" ,""HUMAN RESOURCES!$A$2:$M$2692""), {2,3,4,5,6,7,8,9,10,11,12,13},0))"),0.025)</f>
        <v>0.025</v>
      </c>
      <c r="Q2378" s="14">
        <f>IFERROR(__xludf.DUMMYFUNCTION("""COMPUTED_VALUE"""),0.013)</f>
        <v>0.013</v>
      </c>
      <c r="R2378" s="14">
        <f>IFERROR(__xludf.DUMMYFUNCTION("""COMPUTED_VALUE"""),78.0)</f>
        <v>78</v>
      </c>
      <c r="S2378" s="14">
        <f>IFERROR(__xludf.DUMMYFUNCTION("""COMPUTED_VALUE"""),72.0)</f>
        <v>72</v>
      </c>
      <c r="T2378" s="14">
        <f>IFERROR(__xludf.DUMMYFUNCTION("""COMPUTED_VALUE"""),0.357)</f>
        <v>0.357</v>
      </c>
      <c r="U2378" s="14">
        <f>IFERROR(__xludf.DUMMYFUNCTION("""COMPUTED_VALUE"""),0.605)</f>
        <v>0.605</v>
      </c>
      <c r="V2378" s="14">
        <f>IFERROR(__xludf.DUMMYFUNCTION("""COMPUTED_VALUE"""),0.037)</f>
        <v>0.037</v>
      </c>
      <c r="W2378" s="14">
        <f>IFERROR(__xludf.DUMMYFUNCTION("""COMPUTED_VALUE"""),2.1532647E7)</f>
        <v>21532647</v>
      </c>
      <c r="X2378" s="14">
        <f>IFERROR(__xludf.DUMMYFUNCTION("""COMPUTED_VALUE"""),0.557)</f>
        <v>0.557</v>
      </c>
      <c r="Y2378" s="14" t="str">
        <f>IFERROR(__xludf.DUMMYFUNCTION("""COMPUTED_VALUE"""),"Syria-Middle East")</f>
        <v>Syria-Middle East</v>
      </c>
      <c r="Z2378" s="14" t="str">
        <f>IFERROR(__xludf.DUMMYFUNCTION("""COMPUTED_VALUE"""),"Middle East")</f>
        <v>Middle East</v>
      </c>
      <c r="AA2378" s="14" t="str">
        <f>IFERROR(__xludf.DUMMYFUNCTION("""COMPUTED_VALUE"""),"2010")</f>
        <v>2010</v>
      </c>
      <c r="AB2378" s="15" t="str">
        <f>IFERROR(__xludf.DUMMYFUNCTION("ARRAYFORMULA(VLOOKUP(A2378,IMPORTRANGE(""https://docs.google.com/spreadsheets/d/1BuTWp7qHGjWhqrnf-OmePP568O4A5Am9ttzvVdP67zw/edit#gid=1931367683"" ,""ENERGY!$A$2:$F$2692""), {2,3,4,5,6},0))"),"Middle East")</f>
        <v>Middle East</v>
      </c>
      <c r="AC2378" s="14" t="str">
        <f>IFERROR(__xludf.DUMMYFUNCTION("""COMPUTED_VALUE"""),"Syria-Middle East")</f>
        <v>Syria-Middle East</v>
      </c>
      <c r="AD2378" s="14" t="str">
        <f>IFERROR(__xludf.DUMMYFUNCTION("""COMPUTED_VALUE"""),"2009")</f>
        <v>2009</v>
      </c>
      <c r="AE2378" s="14">
        <f>IFERROR(__xludf.DUMMYFUNCTION("""COMPUTED_VALUE"""),16735.0)</f>
        <v>16735</v>
      </c>
      <c r="AF2378" s="14">
        <f>IFERROR(__xludf.DUMMYFUNCTION("""COMPUTED_VALUE"""),39068.0)</f>
        <v>39068</v>
      </c>
    </row>
    <row r="2379">
      <c r="A2379" s="12">
        <v>2378.0</v>
      </c>
      <c r="B2379" s="12" t="s">
        <v>261</v>
      </c>
      <c r="C2379" s="5" t="s">
        <v>93</v>
      </c>
      <c r="D2379" s="11">
        <v>0.397</v>
      </c>
      <c r="E2379" s="11">
        <v>13.0</v>
      </c>
      <c r="F2379" s="8"/>
      <c r="G2379" s="11">
        <v>336.0</v>
      </c>
      <c r="H2379" s="11">
        <v>0.225</v>
      </c>
      <c r="I2379" s="11">
        <v>0.592</v>
      </c>
      <c r="J2379" s="9" t="s">
        <v>72</v>
      </c>
      <c r="K2379" s="14" t="str">
        <f>IFERROR(__xludf.DUMMYFUNCTION("ARRAYFORMULA(VLOOKUP(A2379,IMPORTRANGE(""https://docs.google.com/spreadsheets/d/1BuTWp7qHGjWhqrnf-OmePP568O4A5Am9ttzvVdP67zw/edit#gid=1603210130"", ""TOURISM!$A$2:$F$2692""), {2,3,4,5,6},0))"),"Middle East")</f>
        <v>Middle East</v>
      </c>
      <c r="L2379" s="14"/>
      <c r="M2379" s="14" t="str">
        <f>IFERROR(__xludf.DUMMYFUNCTION("""COMPUTED_VALUE"""),"Syria-Middle East")</f>
        <v>Syria-Middle East</v>
      </c>
      <c r="N2379" s="14" t="str">
        <f>IFERROR(__xludf.DUMMYFUNCTION("""COMPUTED_VALUE"""),"2011")</f>
        <v>2011</v>
      </c>
      <c r="O2379" s="14"/>
      <c r="P2379" s="15">
        <f>IFERROR(__xludf.DUMMYFUNCTION("ARRAYFORMULA(VLOOKUP(A2379,IMPORTRANGE(""https://docs.google.com/spreadsheets/d/1BuTWp7qHGjWhqrnf-OmePP568O4A5Am9ttzvVdP67zw/edit#gid=771602874"" ,""HUMAN RESOURCES!$A$2:$M$2692""), {2,3,4,5,6,7,8,9,10,11,12,13},0))"),0.025)</f>
        <v>0.025</v>
      </c>
      <c r="Q2379" s="14">
        <f>IFERROR(__xludf.DUMMYFUNCTION("""COMPUTED_VALUE"""),0.013)</f>
        <v>0.013</v>
      </c>
      <c r="R2379" s="14">
        <f>IFERROR(__xludf.DUMMYFUNCTION("""COMPUTED_VALUE"""),78.0)</f>
        <v>78</v>
      </c>
      <c r="S2379" s="14">
        <f>IFERROR(__xludf.DUMMYFUNCTION("""COMPUTED_VALUE"""),72.0)</f>
        <v>72</v>
      </c>
      <c r="T2379" s="14">
        <f>IFERROR(__xludf.DUMMYFUNCTION("""COMPUTED_VALUE"""),0.355)</f>
        <v>0.355</v>
      </c>
      <c r="U2379" s="14">
        <f>IFERROR(__xludf.DUMMYFUNCTION("""COMPUTED_VALUE"""),0.607)</f>
        <v>0.607</v>
      </c>
      <c r="V2379" s="14">
        <f>IFERROR(__xludf.DUMMYFUNCTION("""COMPUTED_VALUE"""),0.038)</f>
        <v>0.038</v>
      </c>
      <c r="W2379" s="14">
        <f>IFERROR(__xludf.DUMMYFUNCTION("""COMPUTED_VALUE"""),2.1961676E7)</f>
        <v>21961676</v>
      </c>
      <c r="X2379" s="14">
        <f>IFERROR(__xludf.DUMMYFUNCTION("""COMPUTED_VALUE"""),0.561)</f>
        <v>0.561</v>
      </c>
      <c r="Y2379" s="14" t="str">
        <f>IFERROR(__xludf.DUMMYFUNCTION("""COMPUTED_VALUE"""),"Syria-Middle East")</f>
        <v>Syria-Middle East</v>
      </c>
      <c r="Z2379" s="14" t="str">
        <f>IFERROR(__xludf.DUMMYFUNCTION("""COMPUTED_VALUE"""),"Middle East")</f>
        <v>Middle East</v>
      </c>
      <c r="AA2379" s="14" t="str">
        <f>IFERROR(__xludf.DUMMYFUNCTION("""COMPUTED_VALUE"""),"2011")</f>
        <v>2011</v>
      </c>
      <c r="AB2379" s="15" t="str">
        <f>IFERROR(__xludf.DUMMYFUNCTION("ARRAYFORMULA(VLOOKUP(A2379,IMPORTRANGE(""https://docs.google.com/spreadsheets/d/1BuTWp7qHGjWhqrnf-OmePP568O4A5Am9ttzvVdP67zw/edit#gid=1931367683"" ,""ENERGY!$A$2:$F$2692""), {2,3,4,5,6},0))"),"Middle East")</f>
        <v>Middle East</v>
      </c>
      <c r="AC2379" s="14" t="str">
        <f>IFERROR(__xludf.DUMMYFUNCTION("""COMPUTED_VALUE"""),"Syria-Middle East")</f>
        <v>Syria-Middle East</v>
      </c>
      <c r="AD2379" s="14" t="str">
        <f>IFERROR(__xludf.DUMMYFUNCTION("""COMPUTED_VALUE"""),"2007")</f>
        <v>2007</v>
      </c>
      <c r="AE2379" s="14">
        <f>IFERROR(__xludf.DUMMYFUNCTION("""COMPUTED_VALUE"""),15638.0)</f>
        <v>15638</v>
      </c>
      <c r="AF2379" s="14">
        <f>IFERROR(__xludf.DUMMYFUNCTION("""COMPUTED_VALUE"""),48786.0)</f>
        <v>48786</v>
      </c>
    </row>
    <row r="2380">
      <c r="A2380" s="12">
        <v>2379.0</v>
      </c>
      <c r="B2380" s="12" t="s">
        <v>261</v>
      </c>
      <c r="C2380" s="5" t="s">
        <v>93</v>
      </c>
      <c r="D2380" s="11">
        <v>0.397</v>
      </c>
      <c r="E2380" s="11">
        <v>13.0</v>
      </c>
      <c r="F2380" s="11">
        <v>147.0</v>
      </c>
      <c r="G2380" s="11">
        <v>336.0</v>
      </c>
      <c r="H2380" s="11">
        <v>0.243</v>
      </c>
      <c r="I2380" s="11">
        <v>0.593</v>
      </c>
      <c r="J2380" s="9" t="s">
        <v>73</v>
      </c>
      <c r="K2380" s="14" t="str">
        <f>IFERROR(__xludf.DUMMYFUNCTION("ARRAYFORMULA(VLOOKUP(A2380,IMPORTRANGE(""https://docs.google.com/spreadsheets/d/1BuTWp7qHGjWhqrnf-OmePP568O4A5Am9ttzvVdP67zw/edit#gid=1603210130"", ""TOURISM!$A$2:$F$2692""), {2,3,4,5,6},0))"),"Middle East")</f>
        <v>Middle East</v>
      </c>
      <c r="L2380" s="14"/>
      <c r="M2380" s="14" t="str">
        <f>IFERROR(__xludf.DUMMYFUNCTION("""COMPUTED_VALUE"""),"Syria-Middle East")</f>
        <v>Syria-Middle East</v>
      </c>
      <c r="N2380" s="14" t="str">
        <f>IFERROR(__xludf.DUMMYFUNCTION("""COMPUTED_VALUE"""),"2012")</f>
        <v>2012</v>
      </c>
      <c r="O2380" s="14"/>
      <c r="P2380" s="15">
        <f>IFERROR(__xludf.DUMMYFUNCTION("ARRAYFORMULA(VLOOKUP(A2380,IMPORTRANGE(""https://docs.google.com/spreadsheets/d/1BuTWp7qHGjWhqrnf-OmePP568O4A5Am9ttzvVdP67zw/edit#gid=771602874"" ,""HUMAN RESOURCES!$A$2:$M$2692""), {2,3,4,5,6,7,8,9,10,11,12,13},0))"),0.024)</f>
        <v>0.024</v>
      </c>
      <c r="Q2380" s="14">
        <f>IFERROR(__xludf.DUMMYFUNCTION("""COMPUTED_VALUE"""),0.012)</f>
        <v>0.012</v>
      </c>
      <c r="R2380" s="14">
        <f>IFERROR(__xludf.DUMMYFUNCTION("""COMPUTED_VALUE"""),78.0)</f>
        <v>78</v>
      </c>
      <c r="S2380" s="14">
        <f>IFERROR(__xludf.DUMMYFUNCTION("""COMPUTED_VALUE"""),72.0)</f>
        <v>72</v>
      </c>
      <c r="T2380" s="14">
        <f>IFERROR(__xludf.DUMMYFUNCTION("""COMPUTED_VALUE"""),0.354)</f>
        <v>0.354</v>
      </c>
      <c r="U2380" s="14">
        <f>IFERROR(__xludf.DUMMYFUNCTION("""COMPUTED_VALUE"""),0.607)</f>
        <v>0.607</v>
      </c>
      <c r="V2380" s="14">
        <f>IFERROR(__xludf.DUMMYFUNCTION("""COMPUTED_VALUE"""),0.039)</f>
        <v>0.039</v>
      </c>
      <c r="W2380" s="14">
        <f>IFERROR(__xludf.DUMMYFUNCTION("""COMPUTED_VALUE"""),2.2399254E7)</f>
        <v>22399254</v>
      </c>
      <c r="X2380" s="14">
        <f>IFERROR(__xludf.DUMMYFUNCTION("""COMPUTED_VALUE"""),0.565)</f>
        <v>0.565</v>
      </c>
      <c r="Y2380" s="14" t="str">
        <f>IFERROR(__xludf.DUMMYFUNCTION("""COMPUTED_VALUE"""),"Syria-Middle East")</f>
        <v>Syria-Middle East</v>
      </c>
      <c r="Z2380" s="14" t="str">
        <f>IFERROR(__xludf.DUMMYFUNCTION("""COMPUTED_VALUE"""),"Middle East")</f>
        <v>Middle East</v>
      </c>
      <c r="AA2380" s="14" t="str">
        <f>IFERROR(__xludf.DUMMYFUNCTION("""COMPUTED_VALUE"""),"2012")</f>
        <v>2012</v>
      </c>
      <c r="AB2380" s="15" t="str">
        <f>IFERROR(__xludf.DUMMYFUNCTION("ARRAYFORMULA(VLOOKUP(A2380,IMPORTRANGE(""https://docs.google.com/spreadsheets/d/1BuTWp7qHGjWhqrnf-OmePP568O4A5Am9ttzvVdP67zw/edit#gid=1931367683"" ,""ENERGY!$A$2:$F$2692""), {2,3,4,5,6},0))"),"Middle East")</f>
        <v>Middle East</v>
      </c>
      <c r="AC2380" s="14" t="str">
        <f>IFERROR(__xludf.DUMMYFUNCTION("""COMPUTED_VALUE"""),"Syria-Middle East")</f>
        <v>Syria-Middle East</v>
      </c>
      <c r="AD2380" s="14" t="str">
        <f>IFERROR(__xludf.DUMMYFUNCTION("""COMPUTED_VALUE"""),"2012")</f>
        <v>2012</v>
      </c>
      <c r="AE2380" s="14">
        <f>IFERROR(__xludf.DUMMYFUNCTION("""COMPUTED_VALUE"""),15765.0)</f>
        <v>15765</v>
      </c>
      <c r="AF2380" s="14">
        <f>IFERROR(__xludf.DUMMYFUNCTION("""COMPUTED_VALUE"""),51048.0)</f>
        <v>51048</v>
      </c>
    </row>
    <row r="2381">
      <c r="A2381" s="12">
        <v>2380.0</v>
      </c>
      <c r="B2381" s="12" t="s">
        <v>262</v>
      </c>
      <c r="C2381" s="5" t="s">
        <v>61</v>
      </c>
      <c r="D2381" s="8"/>
      <c r="E2381" s="8"/>
      <c r="F2381" s="8"/>
      <c r="G2381" s="8"/>
      <c r="H2381" s="11">
        <v>0.0</v>
      </c>
      <c r="I2381" s="11">
        <v>0.0</v>
      </c>
      <c r="J2381" s="9" t="s">
        <v>60</v>
      </c>
      <c r="K2381" s="14" t="str">
        <f>IFERROR(__xludf.DUMMYFUNCTION("ARRAYFORMULA(VLOOKUP(A2381,IMPORTRANGE(""https://docs.google.com/spreadsheets/d/1BuTWp7qHGjWhqrnf-OmePP568O4A5Am9ttzvVdP67zw/edit#gid=1603210130"", ""TOURISM!$A$2:$F$2692""), {2,3,4,5,6},0))"),"Asia")</f>
        <v>Asia</v>
      </c>
      <c r="L2381" s="14"/>
      <c r="M2381" s="14" t="str">
        <f>IFERROR(__xludf.DUMMYFUNCTION("""COMPUTED_VALUE"""),"Tajikistan-Asia")</f>
        <v>Tajikistan-Asia</v>
      </c>
      <c r="N2381" s="14" t="str">
        <f>IFERROR(__xludf.DUMMYFUNCTION("""COMPUTED_VALUE"""),"2000")</f>
        <v>2000</v>
      </c>
      <c r="O2381" s="14"/>
      <c r="P2381" s="15">
        <f>IFERROR(__xludf.DUMMYFUNCTION("ARRAYFORMULA(VLOOKUP(A2381,IMPORTRANGE(""https://docs.google.com/spreadsheets/d/1BuTWp7qHGjWhqrnf-OmePP568O4A5Am9ttzvVdP67zw/edit#gid=771602874"" ,""HUMAN RESOURCES!$A$2:$M$2692""), {2,3,4,5,6,7,8,9,10,11,12,13},0))"),0.03)</f>
        <v>0.03</v>
      </c>
      <c r="Q2381" s="14">
        <f>IFERROR(__xludf.DUMMYFUNCTION("""COMPUTED_VALUE"""),0.075)</f>
        <v>0.075</v>
      </c>
      <c r="R2381" s="14">
        <f>IFERROR(__xludf.DUMMYFUNCTION("""COMPUTED_VALUE"""),68.0)</f>
        <v>68</v>
      </c>
      <c r="S2381" s="14">
        <f>IFERROR(__xludf.DUMMYFUNCTION("""COMPUTED_VALUE"""),60.0)</f>
        <v>60</v>
      </c>
      <c r="T2381" s="14">
        <f>IFERROR(__xludf.DUMMYFUNCTION("""COMPUTED_VALUE"""),0.429)</f>
        <v>0.429</v>
      </c>
      <c r="U2381" s="14">
        <f>IFERROR(__xludf.DUMMYFUNCTION("""COMPUTED_VALUE"""),0.536)</f>
        <v>0.536</v>
      </c>
      <c r="V2381" s="14">
        <f>IFERROR(__xludf.DUMMYFUNCTION("""COMPUTED_VALUE"""),0.035)</f>
        <v>0.035</v>
      </c>
      <c r="W2381" s="14">
        <f>IFERROR(__xludf.DUMMYFUNCTION("""COMPUTED_VALUE"""),6186152.0)</f>
        <v>6186152</v>
      </c>
      <c r="X2381" s="14">
        <f>IFERROR(__xludf.DUMMYFUNCTION("""COMPUTED_VALUE"""),0.265)</f>
        <v>0.265</v>
      </c>
      <c r="Y2381" s="14" t="str">
        <f>IFERROR(__xludf.DUMMYFUNCTION("""COMPUTED_VALUE"""),"Tajikistan-Asia")</f>
        <v>Tajikistan-Asia</v>
      </c>
      <c r="Z2381" s="14" t="str">
        <f>IFERROR(__xludf.DUMMYFUNCTION("""COMPUTED_VALUE"""),"Asia")</f>
        <v>Asia</v>
      </c>
      <c r="AA2381" s="14" t="str">
        <f>IFERROR(__xludf.DUMMYFUNCTION("""COMPUTED_VALUE"""),"2000")</f>
        <v>2000</v>
      </c>
      <c r="AB2381" s="15" t="str">
        <f>IFERROR(__xludf.DUMMYFUNCTION("ARRAYFORMULA(VLOOKUP(A2381,IMPORTRANGE(""https://docs.google.com/spreadsheets/d/1BuTWp7qHGjWhqrnf-OmePP568O4A5Am9ttzvVdP67zw/edit#gid=1931367683"" ,""ENERGY!$A$2:$F$2692""), {2,3,4,5,6},0))"),"Asia")</f>
        <v>Asia</v>
      </c>
      <c r="AC2381" s="14" t="str">
        <f>IFERROR(__xludf.DUMMYFUNCTION("""COMPUTED_VALUE"""),"Tajikistan-Asia")</f>
        <v>Tajikistan-Asia</v>
      </c>
      <c r="AD2381" s="14" t="str">
        <f>IFERROR(__xludf.DUMMYFUNCTION("""COMPUTED_VALUE"""),"2000")</f>
        <v>2000</v>
      </c>
      <c r="AE2381" s="14"/>
      <c r="AF2381" s="14"/>
    </row>
    <row r="2382">
      <c r="A2382" s="12">
        <v>2381.0</v>
      </c>
      <c r="B2382" s="12" t="s">
        <v>262</v>
      </c>
      <c r="C2382" s="5" t="s">
        <v>61</v>
      </c>
      <c r="D2382" s="8"/>
      <c r="E2382" s="8"/>
      <c r="F2382" s="8"/>
      <c r="G2382" s="8"/>
      <c r="H2382" s="11">
        <v>0.001</v>
      </c>
      <c r="I2382" s="11">
        <v>0.0</v>
      </c>
      <c r="J2382" s="9" t="s">
        <v>62</v>
      </c>
      <c r="K2382" s="14" t="str">
        <f>IFERROR(__xludf.DUMMYFUNCTION("ARRAYFORMULA(VLOOKUP(A2382,IMPORTRANGE(""https://docs.google.com/spreadsheets/d/1BuTWp7qHGjWhqrnf-OmePP568O4A5Am9ttzvVdP67zw/edit#gid=1603210130"", ""TOURISM!$A$2:$F$2692""), {2,3,4,5,6},0))"),"Asia")</f>
        <v>Asia</v>
      </c>
      <c r="L2382" s="14"/>
      <c r="M2382" s="14" t="str">
        <f>IFERROR(__xludf.DUMMYFUNCTION("""COMPUTED_VALUE"""),"Tajikistan-Asia")</f>
        <v>Tajikistan-Asia</v>
      </c>
      <c r="N2382" s="14" t="str">
        <f>IFERROR(__xludf.DUMMYFUNCTION("""COMPUTED_VALUE"""),"2001")</f>
        <v>2001</v>
      </c>
      <c r="O2382" s="14"/>
      <c r="P2382" s="15">
        <f>IFERROR(__xludf.DUMMYFUNCTION("ARRAYFORMULA(VLOOKUP(A2382,IMPORTRANGE(""https://docs.google.com/spreadsheets/d/1BuTWp7qHGjWhqrnf-OmePP568O4A5Am9ttzvVdP67zw/edit#gid=771602874"" ,""HUMAN RESOURCES!$A$2:$M$2692""), {2,3,4,5,6,7,8,9,10,11,12,13},0))"),0.03)</f>
        <v>0.03</v>
      </c>
      <c r="Q2382" s="14">
        <f>IFERROR(__xludf.DUMMYFUNCTION("""COMPUTED_VALUE"""),0.07)</f>
        <v>0.07</v>
      </c>
      <c r="R2382" s="14">
        <f>IFERROR(__xludf.DUMMYFUNCTION("""COMPUTED_VALUE"""),68.0)</f>
        <v>68</v>
      </c>
      <c r="S2382" s="14">
        <f>IFERROR(__xludf.DUMMYFUNCTION("""COMPUTED_VALUE"""),60.0)</f>
        <v>60</v>
      </c>
      <c r="T2382" s="14">
        <f>IFERROR(__xludf.DUMMYFUNCTION("""COMPUTED_VALUE"""),0.421)</f>
        <v>0.421</v>
      </c>
      <c r="U2382" s="14">
        <f>IFERROR(__xludf.DUMMYFUNCTION("""COMPUTED_VALUE"""),0.543)</f>
        <v>0.543</v>
      </c>
      <c r="V2382" s="14">
        <f>IFERROR(__xludf.DUMMYFUNCTION("""COMPUTED_VALUE"""),0.036)</f>
        <v>0.036</v>
      </c>
      <c r="W2382" s="14">
        <f>IFERROR(__xludf.DUMMYFUNCTION("""COMPUTED_VALUE"""),6289340.0)</f>
        <v>6289340</v>
      </c>
      <c r="X2382" s="14">
        <f>IFERROR(__xludf.DUMMYFUNCTION("""COMPUTED_VALUE"""),0.265)</f>
        <v>0.265</v>
      </c>
      <c r="Y2382" s="14" t="str">
        <f>IFERROR(__xludf.DUMMYFUNCTION("""COMPUTED_VALUE"""),"Tajikistan-Asia")</f>
        <v>Tajikistan-Asia</v>
      </c>
      <c r="Z2382" s="14" t="str">
        <f>IFERROR(__xludf.DUMMYFUNCTION("""COMPUTED_VALUE"""),"Asia")</f>
        <v>Asia</v>
      </c>
      <c r="AA2382" s="14" t="str">
        <f>IFERROR(__xludf.DUMMYFUNCTION("""COMPUTED_VALUE"""),"2001")</f>
        <v>2001</v>
      </c>
      <c r="AB2382" s="15" t="str">
        <f>IFERROR(__xludf.DUMMYFUNCTION("ARRAYFORMULA(VLOOKUP(A2382,IMPORTRANGE(""https://docs.google.com/spreadsheets/d/1BuTWp7qHGjWhqrnf-OmePP568O4A5Am9ttzvVdP67zw/edit#gid=1931367683"" ,""ENERGY!$A$2:$F$2692""), {2,3,4,5,6},0))"),"Asia")</f>
        <v>Asia</v>
      </c>
      <c r="AC2382" s="14" t="str">
        <f>IFERROR(__xludf.DUMMYFUNCTION("""COMPUTED_VALUE"""),"Tajikistan-Asia")</f>
        <v>Tajikistan-Asia</v>
      </c>
      <c r="AD2382" s="14" t="str">
        <f>IFERROR(__xludf.DUMMYFUNCTION("""COMPUTED_VALUE"""),"2001")</f>
        <v>2001</v>
      </c>
      <c r="AE2382" s="14">
        <f>IFERROR(__xludf.DUMMYFUNCTION("""COMPUTED_VALUE"""),2395.0)</f>
        <v>2395</v>
      </c>
      <c r="AF2382" s="14"/>
    </row>
    <row r="2383">
      <c r="A2383" s="12">
        <v>2382.0</v>
      </c>
      <c r="B2383" s="12" t="s">
        <v>262</v>
      </c>
      <c r="C2383" s="5" t="s">
        <v>61</v>
      </c>
      <c r="D2383" s="8"/>
      <c r="E2383" s="8"/>
      <c r="F2383" s="8"/>
      <c r="G2383" s="8"/>
      <c r="H2383" s="11">
        <v>0.001</v>
      </c>
      <c r="I2383" s="11">
        <v>0.002</v>
      </c>
      <c r="J2383" s="9" t="s">
        <v>63</v>
      </c>
      <c r="K2383" s="14" t="str">
        <f>IFERROR(__xludf.DUMMYFUNCTION("ARRAYFORMULA(VLOOKUP(A2383,IMPORTRANGE(""https://docs.google.com/spreadsheets/d/1BuTWp7qHGjWhqrnf-OmePP568O4A5Am9ttzvVdP67zw/edit#gid=1603210130"", ""TOURISM!$A$2:$F$2692""), {2,3,4,5,6},0))"),"Asia")</f>
        <v>Asia</v>
      </c>
      <c r="L2383" s="14">
        <f>IFERROR(__xludf.DUMMYFUNCTION("""COMPUTED_VALUE"""),5000000.0)</f>
        <v>5000000</v>
      </c>
      <c r="M2383" s="14" t="str">
        <f>IFERROR(__xludf.DUMMYFUNCTION("""COMPUTED_VALUE"""),"Tajikistan-Asia")</f>
        <v>Tajikistan-Asia</v>
      </c>
      <c r="N2383" s="14" t="str">
        <f>IFERROR(__xludf.DUMMYFUNCTION("""COMPUTED_VALUE"""),"2002")</f>
        <v>2002</v>
      </c>
      <c r="O2383" s="14">
        <f>IFERROR(__xludf.DUMMYFUNCTION("""COMPUTED_VALUE"""),1700000.0)</f>
        <v>1700000</v>
      </c>
      <c r="P2383" s="15">
        <f>IFERROR(__xludf.DUMMYFUNCTION("ARRAYFORMULA(VLOOKUP(A2383,IMPORTRANGE(""https://docs.google.com/spreadsheets/d/1BuTWp7qHGjWhqrnf-OmePP568O4A5Am9ttzvVdP67zw/edit#gid=771602874"" ,""HUMAN RESOURCES!$A$2:$M$2692""), {2,3,4,5,6,7,8,9,10,11,12,13},0))"),0.029)</f>
        <v>0.029</v>
      </c>
      <c r="Q2383" s="14">
        <f>IFERROR(__xludf.DUMMYFUNCTION("""COMPUTED_VALUE"""),0.066)</f>
        <v>0.066</v>
      </c>
      <c r="R2383" s="14">
        <f>IFERROR(__xludf.DUMMYFUNCTION("""COMPUTED_VALUE"""),68.0)</f>
        <v>68</v>
      </c>
      <c r="S2383" s="14">
        <f>IFERROR(__xludf.DUMMYFUNCTION("""COMPUTED_VALUE"""),61.0)</f>
        <v>61</v>
      </c>
      <c r="T2383" s="14">
        <f>IFERROR(__xludf.DUMMYFUNCTION("""COMPUTED_VALUE"""),0.412)</f>
        <v>0.412</v>
      </c>
      <c r="U2383" s="14">
        <f>IFERROR(__xludf.DUMMYFUNCTION("""COMPUTED_VALUE"""),0.552)</f>
        <v>0.552</v>
      </c>
      <c r="V2383" s="14">
        <f>IFERROR(__xludf.DUMMYFUNCTION("""COMPUTED_VALUE"""),0.036)</f>
        <v>0.036</v>
      </c>
      <c r="W2383" s="14">
        <f>IFERROR(__xludf.DUMMYFUNCTION("""COMPUTED_VALUE"""),6404118.0)</f>
        <v>6404118</v>
      </c>
      <c r="X2383" s="14">
        <f>IFERROR(__xludf.DUMMYFUNCTION("""COMPUTED_VALUE"""),0.264)</f>
        <v>0.264</v>
      </c>
      <c r="Y2383" s="14" t="str">
        <f>IFERROR(__xludf.DUMMYFUNCTION("""COMPUTED_VALUE"""),"Tajikistan-Asia")</f>
        <v>Tajikistan-Asia</v>
      </c>
      <c r="Z2383" s="14" t="str">
        <f>IFERROR(__xludf.DUMMYFUNCTION("""COMPUTED_VALUE"""),"Asia")</f>
        <v>Asia</v>
      </c>
      <c r="AA2383" s="14" t="str">
        <f>IFERROR(__xludf.DUMMYFUNCTION("""COMPUTED_VALUE"""),"2002")</f>
        <v>2002</v>
      </c>
      <c r="AB2383" s="15" t="str">
        <f>IFERROR(__xludf.DUMMYFUNCTION("ARRAYFORMULA(VLOOKUP(A2383,IMPORTRANGE(""https://docs.google.com/spreadsheets/d/1BuTWp7qHGjWhqrnf-OmePP568O4A5Am9ttzvVdP67zw/edit#gid=1931367683"" ,""ENERGY!$A$2:$F$2692""), {2,3,4,5,6},0))"),"Asia")</f>
        <v>Asia</v>
      </c>
      <c r="AC2383" s="14" t="str">
        <f>IFERROR(__xludf.DUMMYFUNCTION("""COMPUTED_VALUE"""),"Tajikistan-Asia")</f>
        <v>Tajikistan-Asia</v>
      </c>
      <c r="AD2383" s="14" t="str">
        <f>IFERROR(__xludf.DUMMYFUNCTION("""COMPUTED_VALUE"""),"2002")</f>
        <v>2002</v>
      </c>
      <c r="AE2383" s="14">
        <f>IFERROR(__xludf.DUMMYFUNCTION("""COMPUTED_VALUE"""),2370.0)</f>
        <v>2370</v>
      </c>
      <c r="AF2383" s="14">
        <f>IFERROR(__xludf.DUMMYFUNCTION("""COMPUTED_VALUE"""),2860.0)</f>
        <v>2860</v>
      </c>
    </row>
    <row r="2384">
      <c r="A2384" s="12">
        <v>2383.0</v>
      </c>
      <c r="B2384" s="12" t="s">
        <v>262</v>
      </c>
      <c r="C2384" s="5" t="s">
        <v>61</v>
      </c>
      <c r="D2384" s="8"/>
      <c r="E2384" s="8"/>
      <c r="F2384" s="8"/>
      <c r="G2384" s="8"/>
      <c r="H2384" s="11">
        <v>0.001</v>
      </c>
      <c r="I2384" s="11">
        <v>0.007</v>
      </c>
      <c r="J2384" s="9" t="s">
        <v>64</v>
      </c>
      <c r="K2384" s="14" t="str">
        <f>IFERROR(__xludf.DUMMYFUNCTION("ARRAYFORMULA(VLOOKUP(A2384,IMPORTRANGE(""https://docs.google.com/spreadsheets/d/1BuTWp7qHGjWhqrnf-OmePP568O4A5Am9ttzvVdP67zw/edit#gid=1603210130"", ""TOURISM!$A$2:$F$2692""), {2,3,4,5,6},0))"),"Asia")</f>
        <v>Asia</v>
      </c>
      <c r="L2384" s="14">
        <f>IFERROR(__xludf.DUMMYFUNCTION("""COMPUTED_VALUE"""),6200000.0)</f>
        <v>6200000</v>
      </c>
      <c r="M2384" s="14" t="str">
        <f>IFERROR(__xludf.DUMMYFUNCTION("""COMPUTED_VALUE"""),"Tajikistan-Asia")</f>
        <v>Tajikistan-Asia</v>
      </c>
      <c r="N2384" s="14" t="str">
        <f>IFERROR(__xludf.DUMMYFUNCTION("""COMPUTED_VALUE"""),"2003")</f>
        <v>2003</v>
      </c>
      <c r="O2384" s="14">
        <f>IFERROR(__xludf.DUMMYFUNCTION("""COMPUTED_VALUE"""),2100000.0)</f>
        <v>2100000</v>
      </c>
      <c r="P2384" s="15">
        <f>IFERROR(__xludf.DUMMYFUNCTION("ARRAYFORMULA(VLOOKUP(A2384,IMPORTRANGE(""https://docs.google.com/spreadsheets/d/1BuTWp7qHGjWhqrnf-OmePP568O4A5Am9ttzvVdP67zw/edit#gid=771602874"" ,""HUMAN RESOURCES!$A$2:$M$2692""), {2,3,4,5,6,7,8,9,10,11,12,13},0))"),0.029)</f>
        <v>0.029</v>
      </c>
      <c r="Q2384" s="14">
        <f>IFERROR(__xludf.DUMMYFUNCTION("""COMPUTED_VALUE"""),0.061)</f>
        <v>0.061</v>
      </c>
      <c r="R2384" s="14">
        <f>IFERROR(__xludf.DUMMYFUNCTION("""COMPUTED_VALUE"""),69.0)</f>
        <v>69</v>
      </c>
      <c r="S2384" s="14">
        <f>IFERROR(__xludf.DUMMYFUNCTION("""COMPUTED_VALUE"""),61.0)</f>
        <v>61</v>
      </c>
      <c r="T2384" s="14">
        <f>IFERROR(__xludf.DUMMYFUNCTION("""COMPUTED_VALUE"""),0.402)</f>
        <v>0.402</v>
      </c>
      <c r="U2384" s="14">
        <f>IFERROR(__xludf.DUMMYFUNCTION("""COMPUTED_VALUE"""),0.561)</f>
        <v>0.561</v>
      </c>
      <c r="V2384" s="14">
        <f>IFERROR(__xludf.DUMMYFUNCTION("""COMPUTED_VALUE"""),0.037)</f>
        <v>0.037</v>
      </c>
      <c r="W2384" s="14">
        <f>IFERROR(__xludf.DUMMYFUNCTION("""COMPUTED_VALUE"""),6529609.0)</f>
        <v>6529609</v>
      </c>
      <c r="X2384" s="14">
        <f>IFERROR(__xludf.DUMMYFUNCTION("""COMPUTED_VALUE"""),0.264)</f>
        <v>0.264</v>
      </c>
      <c r="Y2384" s="14" t="str">
        <f>IFERROR(__xludf.DUMMYFUNCTION("""COMPUTED_VALUE"""),"Tajikistan-Asia")</f>
        <v>Tajikistan-Asia</v>
      </c>
      <c r="Z2384" s="14" t="str">
        <f>IFERROR(__xludf.DUMMYFUNCTION("""COMPUTED_VALUE"""),"Asia")</f>
        <v>Asia</v>
      </c>
      <c r="AA2384" s="14" t="str">
        <f>IFERROR(__xludf.DUMMYFUNCTION("""COMPUTED_VALUE"""),"2003")</f>
        <v>2003</v>
      </c>
      <c r="AB2384" s="15" t="str">
        <f>IFERROR(__xludf.DUMMYFUNCTION("ARRAYFORMULA(VLOOKUP(A2384,IMPORTRANGE(""https://docs.google.com/spreadsheets/d/1BuTWp7qHGjWhqrnf-OmePP568O4A5Am9ttzvVdP67zw/edit#gid=1931367683"" ,""ENERGY!$A$2:$F$2692""), {2,3,4,5,6},0))"),"Asia")</f>
        <v>Asia</v>
      </c>
      <c r="AC2384" s="14" t="str">
        <f>IFERROR(__xludf.DUMMYFUNCTION("""COMPUTED_VALUE"""),"Tajikistan-Asia")</f>
        <v>Tajikistan-Asia</v>
      </c>
      <c r="AD2384" s="14" t="str">
        <f>IFERROR(__xludf.DUMMYFUNCTION("""COMPUTED_VALUE"""),"2003")</f>
        <v>2003</v>
      </c>
      <c r="AE2384" s="14">
        <f>IFERROR(__xludf.DUMMYFUNCTION("""COMPUTED_VALUE"""),2333.0)</f>
        <v>2333</v>
      </c>
      <c r="AF2384" s="14">
        <f>IFERROR(__xludf.DUMMYFUNCTION("""COMPUTED_VALUE"""),2893.0)</f>
        <v>2893</v>
      </c>
    </row>
    <row r="2385">
      <c r="A2385" s="12">
        <v>2384.0</v>
      </c>
      <c r="B2385" s="12" t="s">
        <v>262</v>
      </c>
      <c r="C2385" s="5" t="s">
        <v>61</v>
      </c>
      <c r="D2385" s="8"/>
      <c r="E2385" s="8"/>
      <c r="F2385" s="8"/>
      <c r="G2385" s="8"/>
      <c r="H2385" s="11">
        <v>0.001</v>
      </c>
      <c r="I2385" s="11">
        <v>0.02</v>
      </c>
      <c r="J2385" s="9" t="s">
        <v>65</v>
      </c>
      <c r="K2385" s="14" t="str">
        <f>IFERROR(__xludf.DUMMYFUNCTION("ARRAYFORMULA(VLOOKUP(A2385,IMPORTRANGE(""https://docs.google.com/spreadsheets/d/1BuTWp7qHGjWhqrnf-OmePP568O4A5Am9ttzvVdP67zw/edit#gid=1603210130"", ""TOURISM!$A$2:$F$2692""), {2,3,4,5,6},0))"),"Asia")</f>
        <v>Asia</v>
      </c>
      <c r="L2385" s="14">
        <f>IFERROR(__xludf.DUMMYFUNCTION("""COMPUTED_VALUE"""),9600000.0)</f>
        <v>9600000</v>
      </c>
      <c r="M2385" s="14" t="str">
        <f>IFERROR(__xludf.DUMMYFUNCTION("""COMPUTED_VALUE"""),"Tajikistan-Asia")</f>
        <v>Tajikistan-Asia</v>
      </c>
      <c r="N2385" s="14" t="str">
        <f>IFERROR(__xludf.DUMMYFUNCTION("""COMPUTED_VALUE"""),"2004")</f>
        <v>2004</v>
      </c>
      <c r="O2385" s="14">
        <f>IFERROR(__xludf.DUMMYFUNCTION("""COMPUTED_VALUE"""),3400000.0)</f>
        <v>3400000</v>
      </c>
      <c r="P2385" s="15">
        <f>IFERROR(__xludf.DUMMYFUNCTION("ARRAYFORMULA(VLOOKUP(A2385,IMPORTRANGE(""https://docs.google.com/spreadsheets/d/1BuTWp7qHGjWhqrnf-OmePP568O4A5Am9ttzvVdP67zw/edit#gid=771602874"" ,""HUMAN RESOURCES!$A$2:$M$2692""), {2,3,4,5,6,7,8,9,10,11,12,13},0))"),0.029)</f>
        <v>0.029</v>
      </c>
      <c r="Q2385" s="14">
        <f>IFERROR(__xludf.DUMMYFUNCTION("""COMPUTED_VALUE"""),0.058)</f>
        <v>0.058</v>
      </c>
      <c r="R2385" s="14">
        <f>IFERROR(__xludf.DUMMYFUNCTION("""COMPUTED_VALUE"""),69.0)</f>
        <v>69</v>
      </c>
      <c r="S2385" s="14">
        <f>IFERROR(__xludf.DUMMYFUNCTION("""COMPUTED_VALUE"""),62.0)</f>
        <v>62</v>
      </c>
      <c r="T2385" s="14">
        <f>IFERROR(__xludf.DUMMYFUNCTION("""COMPUTED_VALUE"""),0.392)</f>
        <v>0.392</v>
      </c>
      <c r="U2385" s="14">
        <f>IFERROR(__xludf.DUMMYFUNCTION("""COMPUTED_VALUE"""),0.57)</f>
        <v>0.57</v>
      </c>
      <c r="V2385" s="14">
        <f>IFERROR(__xludf.DUMMYFUNCTION("""COMPUTED_VALUE"""),0.037)</f>
        <v>0.037</v>
      </c>
      <c r="W2385" s="14">
        <f>IFERROR(__xludf.DUMMYFUNCTION("""COMPUTED_VALUE"""),6663929.0)</f>
        <v>6663929</v>
      </c>
      <c r="X2385" s="14">
        <f>IFERROR(__xludf.DUMMYFUNCTION("""COMPUTED_VALUE"""),0.264)</f>
        <v>0.264</v>
      </c>
      <c r="Y2385" s="14" t="str">
        <f>IFERROR(__xludf.DUMMYFUNCTION("""COMPUTED_VALUE"""),"Tajikistan-Asia")</f>
        <v>Tajikistan-Asia</v>
      </c>
      <c r="Z2385" s="14" t="str">
        <f>IFERROR(__xludf.DUMMYFUNCTION("""COMPUTED_VALUE"""),"Asia")</f>
        <v>Asia</v>
      </c>
      <c r="AA2385" s="14" t="str">
        <f>IFERROR(__xludf.DUMMYFUNCTION("""COMPUTED_VALUE"""),"2004")</f>
        <v>2004</v>
      </c>
      <c r="AB2385" s="15" t="str">
        <f>IFERROR(__xludf.DUMMYFUNCTION("ARRAYFORMULA(VLOOKUP(A2385,IMPORTRANGE(""https://docs.google.com/spreadsheets/d/1BuTWp7qHGjWhqrnf-OmePP568O4A5Am9ttzvVdP67zw/edit#gid=1931367683"" ,""ENERGY!$A$2:$F$2692""), {2,3,4,5,6},0))"),"Asia")</f>
        <v>Asia</v>
      </c>
      <c r="AC2385" s="14" t="str">
        <f>IFERROR(__xludf.DUMMYFUNCTION("""COMPUTED_VALUE"""),"Tajikistan-Asia")</f>
        <v>Tajikistan-Asia</v>
      </c>
      <c r="AD2385" s="14" t="str">
        <f>IFERROR(__xludf.DUMMYFUNCTION("""COMPUTED_VALUE"""),"2005")</f>
        <v>2005</v>
      </c>
      <c r="AE2385" s="14">
        <f>IFERROR(__xludf.DUMMYFUNCTION("""COMPUTED_VALUE"""),2473.0)</f>
        <v>2473</v>
      </c>
      <c r="AF2385" s="14">
        <f>IFERROR(__xludf.DUMMYFUNCTION("""COMPUTED_VALUE"""),3033.0)</f>
        <v>3033</v>
      </c>
    </row>
    <row r="2386">
      <c r="A2386" s="12">
        <v>2385.0</v>
      </c>
      <c r="B2386" s="12" t="s">
        <v>262</v>
      </c>
      <c r="C2386" s="5" t="s">
        <v>61</v>
      </c>
      <c r="D2386" s="11">
        <v>0.799</v>
      </c>
      <c r="E2386" s="11">
        <v>80.0</v>
      </c>
      <c r="F2386" s="8"/>
      <c r="G2386" s="11">
        <v>224.0</v>
      </c>
      <c r="H2386" s="11">
        <v>0.003</v>
      </c>
      <c r="I2386" s="11">
        <v>0.039</v>
      </c>
      <c r="J2386" s="9" t="s">
        <v>66</v>
      </c>
      <c r="K2386" s="14" t="str">
        <f>IFERROR(__xludf.DUMMYFUNCTION("ARRAYFORMULA(VLOOKUP(A2386,IMPORTRANGE(""https://docs.google.com/spreadsheets/d/1BuTWp7qHGjWhqrnf-OmePP568O4A5Am9ttzvVdP67zw/edit#gid=1603210130"", ""TOURISM!$A$2:$F$2692""), {2,3,4,5,6},0))"),"Asia")</f>
        <v>Asia</v>
      </c>
      <c r="L2386" s="14">
        <f>IFERROR(__xludf.DUMMYFUNCTION("""COMPUTED_VALUE"""),9100000.0)</f>
        <v>9100000</v>
      </c>
      <c r="M2386" s="14" t="str">
        <f>IFERROR(__xludf.DUMMYFUNCTION("""COMPUTED_VALUE"""),"Tajikistan-Asia")</f>
        <v>Tajikistan-Asia</v>
      </c>
      <c r="N2386" s="14" t="str">
        <f>IFERROR(__xludf.DUMMYFUNCTION("""COMPUTED_VALUE"""),"2005")</f>
        <v>2005</v>
      </c>
      <c r="O2386" s="14">
        <f>IFERROR(__xludf.DUMMYFUNCTION("""COMPUTED_VALUE"""),3800000.0)</f>
        <v>3800000</v>
      </c>
      <c r="P2386" s="15">
        <f>IFERROR(__xludf.DUMMYFUNCTION("ARRAYFORMULA(VLOOKUP(A2386,IMPORTRANGE(""https://docs.google.com/spreadsheets/d/1BuTWp7qHGjWhqrnf-OmePP568O4A5Am9ttzvVdP67zw/edit#gid=771602874"" ,""HUMAN RESOURCES!$A$2:$M$2692""), {2,3,4,5,6,7,8,9,10,11,12,13},0))"),0.03)</f>
        <v>0.03</v>
      </c>
      <c r="Q2386" s="14">
        <f>IFERROR(__xludf.DUMMYFUNCTION("""COMPUTED_VALUE"""),0.054)</f>
        <v>0.054</v>
      </c>
      <c r="R2386" s="14">
        <f>IFERROR(__xludf.DUMMYFUNCTION("""COMPUTED_VALUE"""),69.0)</f>
        <v>69</v>
      </c>
      <c r="S2386" s="14">
        <f>IFERROR(__xludf.DUMMYFUNCTION("""COMPUTED_VALUE"""),62.0)</f>
        <v>62</v>
      </c>
      <c r="T2386" s="14">
        <f>IFERROR(__xludf.DUMMYFUNCTION("""COMPUTED_VALUE"""),0.384)</f>
        <v>0.384</v>
      </c>
      <c r="U2386" s="14">
        <f>IFERROR(__xludf.DUMMYFUNCTION("""COMPUTED_VALUE"""),0.579)</f>
        <v>0.579</v>
      </c>
      <c r="V2386" s="14">
        <f>IFERROR(__xludf.DUMMYFUNCTION("""COMPUTED_VALUE"""),0.037)</f>
        <v>0.037</v>
      </c>
      <c r="W2386" s="14">
        <f>IFERROR(__xludf.DUMMYFUNCTION("""COMPUTED_VALUE"""),6805655.0)</f>
        <v>6805655</v>
      </c>
      <c r="X2386" s="14">
        <f>IFERROR(__xludf.DUMMYFUNCTION("""COMPUTED_VALUE"""),0.264)</f>
        <v>0.264</v>
      </c>
      <c r="Y2386" s="14" t="str">
        <f>IFERROR(__xludf.DUMMYFUNCTION("""COMPUTED_VALUE"""),"Tajikistan-Asia")</f>
        <v>Tajikistan-Asia</v>
      </c>
      <c r="Z2386" s="14" t="str">
        <f>IFERROR(__xludf.DUMMYFUNCTION("""COMPUTED_VALUE"""),"Asia")</f>
        <v>Asia</v>
      </c>
      <c r="AA2386" s="14" t="str">
        <f>IFERROR(__xludf.DUMMYFUNCTION("""COMPUTED_VALUE"""),"2005")</f>
        <v>2005</v>
      </c>
      <c r="AB2386" s="15" t="str">
        <f>IFERROR(__xludf.DUMMYFUNCTION("ARRAYFORMULA(VLOOKUP(A2386,IMPORTRANGE(""https://docs.google.com/spreadsheets/d/1BuTWp7qHGjWhqrnf-OmePP568O4A5Am9ttzvVdP67zw/edit#gid=1931367683"" ,""ENERGY!$A$2:$F$2692""), {2,3,4,5,6},0))"),"Asia")</f>
        <v>Asia</v>
      </c>
      <c r="AC2386" s="14" t="str">
        <f>IFERROR(__xludf.DUMMYFUNCTION("""COMPUTED_VALUE"""),"Tajikistan-Asia")</f>
        <v>Tajikistan-Asia</v>
      </c>
      <c r="AD2386" s="14" t="str">
        <f>IFERROR(__xludf.DUMMYFUNCTION("""COMPUTED_VALUE"""),"2009")</f>
        <v>2009</v>
      </c>
      <c r="AE2386" s="14">
        <f>IFERROR(__xludf.DUMMYFUNCTION("""COMPUTED_VALUE"""),2583.0)</f>
        <v>2583</v>
      </c>
      <c r="AF2386" s="14">
        <f>IFERROR(__xludf.DUMMYFUNCTION("""COMPUTED_VALUE"""),3223.0)</f>
        <v>3223</v>
      </c>
    </row>
    <row r="2387">
      <c r="A2387" s="12">
        <v>2386.0</v>
      </c>
      <c r="B2387" s="12" t="s">
        <v>262</v>
      </c>
      <c r="C2387" s="5" t="s">
        <v>61</v>
      </c>
      <c r="D2387" s="11">
        <v>0.799</v>
      </c>
      <c r="E2387" s="11">
        <v>80.0</v>
      </c>
      <c r="F2387" s="8"/>
      <c r="G2387" s="11">
        <v>224.0</v>
      </c>
      <c r="H2387" s="11">
        <v>0.038</v>
      </c>
      <c r="I2387" s="11">
        <v>0.309</v>
      </c>
      <c r="J2387" s="9" t="s">
        <v>67</v>
      </c>
      <c r="K2387" s="14" t="str">
        <f>IFERROR(__xludf.DUMMYFUNCTION("ARRAYFORMULA(VLOOKUP(A2387,IMPORTRANGE(""https://docs.google.com/spreadsheets/d/1BuTWp7qHGjWhqrnf-OmePP568O4A5Am9ttzvVdP67zw/edit#gid=1603210130"", ""TOURISM!$A$2:$F$2692""), {2,3,4,5,6},0))"),"Asia")</f>
        <v>Asia</v>
      </c>
      <c r="L2387" s="14">
        <f>IFERROR(__xludf.DUMMYFUNCTION("""COMPUTED_VALUE"""),1.12E7)</f>
        <v>11200000</v>
      </c>
      <c r="M2387" s="14" t="str">
        <f>IFERROR(__xludf.DUMMYFUNCTION("""COMPUTED_VALUE"""),"Tajikistan-Asia")</f>
        <v>Tajikistan-Asia</v>
      </c>
      <c r="N2387" s="14" t="str">
        <f>IFERROR(__xludf.DUMMYFUNCTION("""COMPUTED_VALUE"""),"2006")</f>
        <v>2006</v>
      </c>
      <c r="O2387" s="14">
        <f>IFERROR(__xludf.DUMMYFUNCTION("""COMPUTED_VALUE"""),6000000.0)</f>
        <v>6000000</v>
      </c>
      <c r="P2387" s="15">
        <f>IFERROR(__xludf.DUMMYFUNCTION("ARRAYFORMULA(VLOOKUP(A2387,IMPORTRANGE(""https://docs.google.com/spreadsheets/d/1BuTWp7qHGjWhqrnf-OmePP568O4A5Am9ttzvVdP67zw/edit#gid=771602874"" ,""HUMAN RESOURCES!$A$2:$M$2692""), {2,3,4,5,6,7,8,9,10,11,12,13},0))"),0.03)</f>
        <v>0.03</v>
      </c>
      <c r="Q2387" s="14">
        <f>IFERROR(__xludf.DUMMYFUNCTION("""COMPUTED_VALUE"""),0.052)</f>
        <v>0.052</v>
      </c>
      <c r="R2387" s="14">
        <f>IFERROR(__xludf.DUMMYFUNCTION("""COMPUTED_VALUE"""),70.0)</f>
        <v>70</v>
      </c>
      <c r="S2387" s="14">
        <f>IFERROR(__xludf.DUMMYFUNCTION("""COMPUTED_VALUE"""),63.0)</f>
        <v>63</v>
      </c>
      <c r="T2387" s="14">
        <f>IFERROR(__xludf.DUMMYFUNCTION("""COMPUTED_VALUE"""),0.376)</f>
        <v>0.376</v>
      </c>
      <c r="U2387" s="14">
        <f>IFERROR(__xludf.DUMMYFUNCTION("""COMPUTED_VALUE"""),0.587)</f>
        <v>0.587</v>
      </c>
      <c r="V2387" s="14">
        <f>IFERROR(__xludf.DUMMYFUNCTION("""COMPUTED_VALUE"""),0.037)</f>
        <v>0.037</v>
      </c>
      <c r="W2387" s="14">
        <f>IFERROR(__xludf.DUMMYFUNCTION("""COMPUTED_VALUE"""),6954522.0)</f>
        <v>6954522</v>
      </c>
      <c r="X2387" s="14">
        <f>IFERROR(__xludf.DUMMYFUNCTION("""COMPUTED_VALUE"""),0.265)</f>
        <v>0.265</v>
      </c>
      <c r="Y2387" s="14" t="str">
        <f>IFERROR(__xludf.DUMMYFUNCTION("""COMPUTED_VALUE"""),"Tajikistan-Asia")</f>
        <v>Tajikistan-Asia</v>
      </c>
      <c r="Z2387" s="14" t="str">
        <f>IFERROR(__xludf.DUMMYFUNCTION("""COMPUTED_VALUE"""),"Asia")</f>
        <v>Asia</v>
      </c>
      <c r="AA2387" s="14" t="str">
        <f>IFERROR(__xludf.DUMMYFUNCTION("""COMPUTED_VALUE"""),"2006")</f>
        <v>2006</v>
      </c>
      <c r="AB2387" s="15" t="str">
        <f>IFERROR(__xludf.DUMMYFUNCTION("ARRAYFORMULA(VLOOKUP(A2387,IMPORTRANGE(""https://docs.google.com/spreadsheets/d/1BuTWp7qHGjWhqrnf-OmePP568O4A5Am9ttzvVdP67zw/edit#gid=1931367683"" ,""ENERGY!$A$2:$F$2692""), {2,3,4,5,6},0))"),"Asia")</f>
        <v>Asia</v>
      </c>
      <c r="AC2387" s="14" t="str">
        <f>IFERROR(__xludf.DUMMYFUNCTION("""COMPUTED_VALUE"""),"Tajikistan-Asia")</f>
        <v>Tajikistan-Asia</v>
      </c>
      <c r="AD2387" s="14" t="str">
        <f>IFERROR(__xludf.DUMMYFUNCTION("""COMPUTED_VALUE"""),"2005")</f>
        <v>2005</v>
      </c>
      <c r="AE2387" s="14">
        <f>IFERROR(__xludf.DUMMYFUNCTION("""COMPUTED_VALUE"""),2414.0)</f>
        <v>2414</v>
      </c>
      <c r="AF2387" s="14">
        <f>IFERROR(__xludf.DUMMYFUNCTION("""COMPUTED_VALUE"""),2655.0)</f>
        <v>2655</v>
      </c>
    </row>
    <row r="2388">
      <c r="A2388" s="12">
        <v>2387.0</v>
      </c>
      <c r="B2388" s="12" t="s">
        <v>262</v>
      </c>
      <c r="C2388" s="5" t="s">
        <v>61</v>
      </c>
      <c r="D2388" s="11">
        <v>0.8</v>
      </c>
      <c r="E2388" s="11">
        <v>62.0</v>
      </c>
      <c r="F2388" s="8"/>
      <c r="G2388" s="11">
        <v>224.0</v>
      </c>
      <c r="H2388" s="11">
        <v>0.072</v>
      </c>
      <c r="I2388" s="11">
        <v>0.3</v>
      </c>
      <c r="J2388" s="9" t="s">
        <v>68</v>
      </c>
      <c r="K2388" s="14" t="str">
        <f>IFERROR(__xludf.DUMMYFUNCTION("ARRAYFORMULA(VLOOKUP(A2388,IMPORTRANGE(""https://docs.google.com/spreadsheets/d/1BuTWp7qHGjWhqrnf-OmePP568O4A5Am9ttzvVdP67zw/edit#gid=1603210130"", ""TOURISM!$A$2:$F$2692""), {2,3,4,5,6},0))"),"Asia")</f>
        <v>Asia</v>
      </c>
      <c r="L2388" s="14">
        <f>IFERROR(__xludf.DUMMYFUNCTION("""COMPUTED_VALUE"""),1.65E7)</f>
        <v>16500000</v>
      </c>
      <c r="M2388" s="14" t="str">
        <f>IFERROR(__xludf.DUMMYFUNCTION("""COMPUTED_VALUE"""),"Tajikistan-Asia")</f>
        <v>Tajikistan-Asia</v>
      </c>
      <c r="N2388" s="14" t="str">
        <f>IFERROR(__xludf.DUMMYFUNCTION("""COMPUTED_VALUE"""),"2007")</f>
        <v>2007</v>
      </c>
      <c r="O2388" s="14">
        <f>IFERROR(__xludf.DUMMYFUNCTION("""COMPUTED_VALUE"""),6600000.0)</f>
        <v>6600000</v>
      </c>
      <c r="P2388" s="15">
        <f>IFERROR(__xludf.DUMMYFUNCTION("ARRAYFORMULA(VLOOKUP(A2388,IMPORTRANGE(""https://docs.google.com/spreadsheets/d/1BuTWp7qHGjWhqrnf-OmePP568O4A5Am9ttzvVdP67zw/edit#gid=771602874"" ,""HUMAN RESOURCES!$A$2:$M$2692""), {2,3,4,5,6,7,8,9,10,11,12,13},0))"),0.031)</f>
        <v>0.031</v>
      </c>
      <c r="Q2388" s="14">
        <f>IFERROR(__xludf.DUMMYFUNCTION("""COMPUTED_VALUE"""),0.05)</f>
        <v>0.05</v>
      </c>
      <c r="R2388" s="14">
        <f>IFERROR(__xludf.DUMMYFUNCTION("""COMPUTED_VALUE"""),70.0)</f>
        <v>70</v>
      </c>
      <c r="S2388" s="14">
        <f>IFERROR(__xludf.DUMMYFUNCTION("""COMPUTED_VALUE"""),63.0)</f>
        <v>63</v>
      </c>
      <c r="T2388" s="14">
        <f>IFERROR(__xludf.DUMMYFUNCTION("""COMPUTED_VALUE"""),0.37)</f>
        <v>0.37</v>
      </c>
      <c r="U2388" s="14">
        <f>IFERROR(__xludf.DUMMYFUNCTION("""COMPUTED_VALUE"""),0.594)</f>
        <v>0.594</v>
      </c>
      <c r="V2388" s="14">
        <f>IFERROR(__xludf.DUMMYFUNCTION("""COMPUTED_VALUE"""),0.036)</f>
        <v>0.036</v>
      </c>
      <c r="W2388" s="14">
        <f>IFERROR(__xludf.DUMMYFUNCTION("""COMPUTED_VALUE"""),7111025.0)</f>
        <v>7111025</v>
      </c>
      <c r="X2388" s="14">
        <f>IFERROR(__xludf.DUMMYFUNCTION("""COMPUTED_VALUE"""),0.265)</f>
        <v>0.265</v>
      </c>
      <c r="Y2388" s="14" t="str">
        <f>IFERROR(__xludf.DUMMYFUNCTION("""COMPUTED_VALUE"""),"Tajikistan-Asia")</f>
        <v>Tajikistan-Asia</v>
      </c>
      <c r="Z2388" s="14" t="str">
        <f>IFERROR(__xludf.DUMMYFUNCTION("""COMPUTED_VALUE"""),"Asia")</f>
        <v>Asia</v>
      </c>
      <c r="AA2388" s="14" t="str">
        <f>IFERROR(__xludf.DUMMYFUNCTION("""COMPUTED_VALUE"""),"2007")</f>
        <v>2007</v>
      </c>
      <c r="AB2388" s="15" t="str">
        <f>IFERROR(__xludf.DUMMYFUNCTION("ARRAYFORMULA(VLOOKUP(A2388,IMPORTRANGE(""https://docs.google.com/spreadsheets/d/1BuTWp7qHGjWhqrnf-OmePP568O4A5Am9ttzvVdP67zw/edit#gid=1931367683"" ,""ENERGY!$A$2:$F$2692""), {2,3,4,5,6},0))"),"Asia")</f>
        <v>Asia</v>
      </c>
      <c r="AC2388" s="14" t="str">
        <f>IFERROR(__xludf.DUMMYFUNCTION("""COMPUTED_VALUE"""),"Tajikistan-Asia")</f>
        <v>Tajikistan-Asia</v>
      </c>
      <c r="AD2388" s="14" t="str">
        <f>IFERROR(__xludf.DUMMYFUNCTION("""COMPUTED_VALUE"""),"2011")</f>
        <v>2011</v>
      </c>
      <c r="AE2388" s="14">
        <f>IFERROR(__xludf.DUMMYFUNCTION("""COMPUTED_VALUE"""),2342.0)</f>
        <v>2342</v>
      </c>
      <c r="AF2388" s="14">
        <f>IFERROR(__xludf.DUMMYFUNCTION("""COMPUTED_VALUE"""),2439.0)</f>
        <v>2439</v>
      </c>
    </row>
    <row r="2389">
      <c r="A2389" s="12">
        <v>2388.0</v>
      </c>
      <c r="B2389" s="12" t="s">
        <v>262</v>
      </c>
      <c r="C2389" s="5" t="s">
        <v>61</v>
      </c>
      <c r="D2389" s="11">
        <v>0.834</v>
      </c>
      <c r="E2389" s="11">
        <v>62.0</v>
      </c>
      <c r="F2389" s="8"/>
      <c r="G2389" s="11">
        <v>224.0</v>
      </c>
      <c r="H2389" s="11">
        <v>0.088</v>
      </c>
      <c r="I2389" s="11">
        <v>0.505</v>
      </c>
      <c r="J2389" s="9" t="s">
        <v>69</v>
      </c>
      <c r="K2389" s="14" t="str">
        <f>IFERROR(__xludf.DUMMYFUNCTION("ARRAYFORMULA(VLOOKUP(A2389,IMPORTRANGE(""https://docs.google.com/spreadsheets/d/1BuTWp7qHGjWhqrnf-OmePP568O4A5Am9ttzvVdP67zw/edit#gid=1603210130"", ""TOURISM!$A$2:$F$2692""), {2,3,4,5,6},0))"),"Asia")</f>
        <v>Asia</v>
      </c>
      <c r="L2389" s="14">
        <f>IFERROR(__xludf.DUMMYFUNCTION("""COMPUTED_VALUE"""),2.37E7)</f>
        <v>23700000</v>
      </c>
      <c r="M2389" s="14" t="str">
        <f>IFERROR(__xludf.DUMMYFUNCTION("""COMPUTED_VALUE"""),"Tajikistan-Asia")</f>
        <v>Tajikistan-Asia</v>
      </c>
      <c r="N2389" s="14" t="str">
        <f>IFERROR(__xludf.DUMMYFUNCTION("""COMPUTED_VALUE"""),"2008")</f>
        <v>2008</v>
      </c>
      <c r="O2389" s="14">
        <f>IFERROR(__xludf.DUMMYFUNCTION("""COMPUTED_VALUE"""),1.08E7)</f>
        <v>10800000</v>
      </c>
      <c r="P2389" s="15">
        <f>IFERROR(__xludf.DUMMYFUNCTION("ARRAYFORMULA(VLOOKUP(A2389,IMPORTRANGE(""https://docs.google.com/spreadsheets/d/1BuTWp7qHGjWhqrnf-OmePP568O4A5Am9ttzvVdP67zw/edit#gid=771602874"" ,""HUMAN RESOURCES!$A$2:$M$2692""), {2,3,4,5,6,7,8,9,10,11,12,13},0))"),0.031)</f>
        <v>0.031</v>
      </c>
      <c r="Q2389" s="14">
        <f>IFERROR(__xludf.DUMMYFUNCTION("""COMPUTED_VALUE"""),0.048)</f>
        <v>0.048</v>
      </c>
      <c r="R2389" s="14">
        <f>IFERROR(__xludf.DUMMYFUNCTION("""COMPUTED_VALUE"""),70.0)</f>
        <v>70</v>
      </c>
      <c r="S2389" s="14">
        <f>IFERROR(__xludf.DUMMYFUNCTION("""COMPUTED_VALUE"""),63.0)</f>
        <v>63</v>
      </c>
      <c r="T2389" s="14">
        <f>IFERROR(__xludf.DUMMYFUNCTION("""COMPUTED_VALUE"""),0.365)</f>
        <v>0.365</v>
      </c>
      <c r="U2389" s="14">
        <f>IFERROR(__xludf.DUMMYFUNCTION("""COMPUTED_VALUE"""),0.6)</f>
        <v>0.6</v>
      </c>
      <c r="V2389" s="14">
        <f>IFERROR(__xludf.DUMMYFUNCTION("""COMPUTED_VALUE"""),0.035)</f>
        <v>0.035</v>
      </c>
      <c r="W2389" s="14">
        <f>IFERROR(__xludf.DUMMYFUNCTION("""COMPUTED_VALUE"""),7275252.0)</f>
        <v>7275252</v>
      </c>
      <c r="X2389" s="14">
        <f>IFERROR(__xludf.DUMMYFUNCTION("""COMPUTED_VALUE"""),0.265)</f>
        <v>0.265</v>
      </c>
      <c r="Y2389" s="14" t="str">
        <f>IFERROR(__xludf.DUMMYFUNCTION("""COMPUTED_VALUE"""),"Tajikistan-Asia")</f>
        <v>Tajikistan-Asia</v>
      </c>
      <c r="Z2389" s="14" t="str">
        <f>IFERROR(__xludf.DUMMYFUNCTION("""COMPUTED_VALUE"""),"Asia")</f>
        <v>Asia</v>
      </c>
      <c r="AA2389" s="14" t="str">
        <f>IFERROR(__xludf.DUMMYFUNCTION("""COMPUTED_VALUE"""),"2008")</f>
        <v>2008</v>
      </c>
      <c r="AB2389" s="15" t="str">
        <f>IFERROR(__xludf.DUMMYFUNCTION("ARRAYFORMULA(VLOOKUP(A2389,IMPORTRANGE(""https://docs.google.com/spreadsheets/d/1BuTWp7qHGjWhqrnf-OmePP568O4A5Am9ttzvVdP67zw/edit#gid=1931367683"" ,""ENERGY!$A$2:$F$2692""), {2,3,4,5,6},0))"),"Asia")</f>
        <v>Asia</v>
      </c>
      <c r="AC2389" s="14" t="str">
        <f>IFERROR(__xludf.DUMMYFUNCTION("""COMPUTED_VALUE"""),"Tajikistan-Asia")</f>
        <v>Tajikistan-Asia</v>
      </c>
      <c r="AD2389" s="14" t="str">
        <f>IFERROR(__xludf.DUMMYFUNCTION("""COMPUTED_VALUE"""),"2007")</f>
        <v>2007</v>
      </c>
      <c r="AE2389" s="14">
        <f>IFERROR(__xludf.DUMMYFUNCTION("""COMPUTED_VALUE"""),2346.0)</f>
        <v>2346</v>
      </c>
      <c r="AF2389" s="14">
        <f>IFERROR(__xludf.DUMMYFUNCTION("""COMPUTED_VALUE"""),2563.0)</f>
        <v>2563</v>
      </c>
    </row>
    <row r="2390">
      <c r="A2390" s="12">
        <v>2389.0</v>
      </c>
      <c r="B2390" s="12" t="s">
        <v>262</v>
      </c>
      <c r="C2390" s="5" t="s">
        <v>61</v>
      </c>
      <c r="D2390" s="11">
        <v>0.838</v>
      </c>
      <c r="E2390" s="11">
        <v>38.0</v>
      </c>
      <c r="F2390" s="8"/>
      <c r="G2390" s="11">
        <v>224.0</v>
      </c>
      <c r="H2390" s="11">
        <v>0.101</v>
      </c>
      <c r="I2390" s="11">
        <v>0.658</v>
      </c>
      <c r="J2390" s="9" t="s">
        <v>70</v>
      </c>
      <c r="K2390" s="14" t="str">
        <f>IFERROR(__xludf.DUMMYFUNCTION("ARRAYFORMULA(VLOOKUP(A2390,IMPORTRANGE(""https://docs.google.com/spreadsheets/d/1BuTWp7qHGjWhqrnf-OmePP568O4A5Am9ttzvVdP67zw/edit#gid=1603210130"", ""TOURISM!$A$2:$F$2692""), {2,3,4,5,6},0))"),"Asia")</f>
        <v>Asia</v>
      </c>
      <c r="L2390" s="14">
        <f>IFERROR(__xludf.DUMMYFUNCTION("""COMPUTED_VALUE"""),1.95E7)</f>
        <v>19500000</v>
      </c>
      <c r="M2390" s="14" t="str">
        <f>IFERROR(__xludf.DUMMYFUNCTION("""COMPUTED_VALUE"""),"Tajikistan-Asia")</f>
        <v>Tajikistan-Asia</v>
      </c>
      <c r="N2390" s="14" t="str">
        <f>IFERROR(__xludf.DUMMYFUNCTION("""COMPUTED_VALUE"""),"2009")</f>
        <v>2009</v>
      </c>
      <c r="O2390" s="14">
        <f>IFERROR(__xludf.DUMMYFUNCTION("""COMPUTED_VALUE"""),5800000.0)</f>
        <v>5800000</v>
      </c>
      <c r="P2390" s="15">
        <f>IFERROR(__xludf.DUMMYFUNCTION("ARRAYFORMULA(VLOOKUP(A2390,IMPORTRANGE(""https://docs.google.com/spreadsheets/d/1BuTWp7qHGjWhqrnf-OmePP568O4A5Am9ttzvVdP67zw/edit#gid=771602874"" ,""HUMAN RESOURCES!$A$2:$M$2692""), {2,3,4,5,6,7,8,9,10,11,12,13},0))"),0.032)</f>
        <v>0.032</v>
      </c>
      <c r="Q2390" s="14">
        <f>IFERROR(__xludf.DUMMYFUNCTION("""COMPUTED_VALUE"""),0.046)</f>
        <v>0.046</v>
      </c>
      <c r="R2390" s="14">
        <f>IFERROR(__xludf.DUMMYFUNCTION("""COMPUTED_VALUE"""),70.0)</f>
        <v>70</v>
      </c>
      <c r="S2390" s="14">
        <f>IFERROR(__xludf.DUMMYFUNCTION("""COMPUTED_VALUE"""),64.0)</f>
        <v>64</v>
      </c>
      <c r="T2390" s="14">
        <f>IFERROR(__xludf.DUMMYFUNCTION("""COMPUTED_VALUE"""),0.362)</f>
        <v>0.362</v>
      </c>
      <c r="U2390" s="14">
        <f>IFERROR(__xludf.DUMMYFUNCTION("""COMPUTED_VALUE"""),0.604)</f>
        <v>0.604</v>
      </c>
      <c r="V2390" s="14">
        <f>IFERROR(__xludf.DUMMYFUNCTION("""COMPUTED_VALUE"""),0.034)</f>
        <v>0.034</v>
      </c>
      <c r="W2390" s="14">
        <f>IFERROR(__xludf.DUMMYFUNCTION("""COMPUTED_VALUE"""),7447396.0)</f>
        <v>7447396</v>
      </c>
      <c r="X2390" s="14">
        <f>IFERROR(__xludf.DUMMYFUNCTION("""COMPUTED_VALUE"""),0.265)</f>
        <v>0.265</v>
      </c>
      <c r="Y2390" s="14" t="str">
        <f>IFERROR(__xludf.DUMMYFUNCTION("""COMPUTED_VALUE"""),"Tajikistan-Asia")</f>
        <v>Tajikistan-Asia</v>
      </c>
      <c r="Z2390" s="14" t="str">
        <f>IFERROR(__xludf.DUMMYFUNCTION("""COMPUTED_VALUE"""),"Asia")</f>
        <v>Asia</v>
      </c>
      <c r="AA2390" s="14" t="str">
        <f>IFERROR(__xludf.DUMMYFUNCTION("""COMPUTED_VALUE"""),"2009")</f>
        <v>2009</v>
      </c>
      <c r="AB2390" s="15" t="str">
        <f>IFERROR(__xludf.DUMMYFUNCTION("ARRAYFORMULA(VLOOKUP(A2390,IMPORTRANGE(""https://docs.google.com/spreadsheets/d/1BuTWp7qHGjWhqrnf-OmePP568O4A5Am9ttzvVdP67zw/edit#gid=1931367683"" ,""ENERGY!$A$2:$F$2692""), {2,3,4,5,6},0))"),"Asia")</f>
        <v>Asia</v>
      </c>
      <c r="AC2390" s="14" t="str">
        <f>IFERROR(__xludf.DUMMYFUNCTION("""COMPUTED_VALUE"""),"Tajikistan-Asia")</f>
        <v>Tajikistan-Asia</v>
      </c>
      <c r="AD2390" s="14" t="str">
        <f>IFERROR(__xludf.DUMMYFUNCTION("""COMPUTED_VALUE"""),"2012")</f>
        <v>2012</v>
      </c>
      <c r="AE2390" s="14">
        <f>IFERROR(__xludf.DUMMYFUNCTION("""COMPUTED_VALUE"""),2170.0)</f>
        <v>2170</v>
      </c>
      <c r="AF2390" s="14">
        <f>IFERROR(__xludf.DUMMYFUNCTION("""COMPUTED_VALUE"""),2076.0)</f>
        <v>2076</v>
      </c>
    </row>
    <row r="2391">
      <c r="A2391" s="12">
        <v>2390.0</v>
      </c>
      <c r="B2391" s="12" t="s">
        <v>262</v>
      </c>
      <c r="C2391" s="5" t="s">
        <v>61</v>
      </c>
      <c r="D2391" s="11">
        <v>0.84</v>
      </c>
      <c r="E2391" s="11">
        <v>27.0</v>
      </c>
      <c r="F2391" s="8"/>
      <c r="G2391" s="11">
        <v>224.0</v>
      </c>
      <c r="H2391" s="11">
        <v>0.116</v>
      </c>
      <c r="I2391" s="11">
        <v>0.779</v>
      </c>
      <c r="J2391" s="9" t="s">
        <v>71</v>
      </c>
      <c r="K2391" s="14" t="str">
        <f>IFERROR(__xludf.DUMMYFUNCTION("ARRAYFORMULA(VLOOKUP(A2391,IMPORTRANGE(""https://docs.google.com/spreadsheets/d/1BuTWp7qHGjWhqrnf-OmePP568O4A5Am9ttzvVdP67zw/edit#gid=1603210130"", ""TOURISM!$A$2:$F$2692""), {2,3,4,5,6},0))"),"Asia")</f>
        <v>Asia</v>
      </c>
      <c r="L2391" s="14">
        <f>IFERROR(__xludf.DUMMYFUNCTION("""COMPUTED_VALUE"""),3.24E7)</f>
        <v>32400000</v>
      </c>
      <c r="M2391" s="14" t="str">
        <f>IFERROR(__xludf.DUMMYFUNCTION("""COMPUTED_VALUE"""),"Tajikistan-Asia")</f>
        <v>Tajikistan-Asia</v>
      </c>
      <c r="N2391" s="14" t="str">
        <f>IFERROR(__xludf.DUMMYFUNCTION("""COMPUTED_VALUE"""),"2010")</f>
        <v>2010</v>
      </c>
      <c r="O2391" s="14">
        <f>IFERROR(__xludf.DUMMYFUNCTION("""COMPUTED_VALUE"""),1.78E7)</f>
        <v>17800000</v>
      </c>
      <c r="P2391" s="15">
        <f>IFERROR(__xludf.DUMMYFUNCTION("ARRAYFORMULA(VLOOKUP(A2391,IMPORTRANGE(""https://docs.google.com/spreadsheets/d/1BuTWp7qHGjWhqrnf-OmePP568O4A5Am9ttzvVdP67zw/edit#gid=771602874"" ,""HUMAN RESOURCES!$A$2:$M$2692""), {2,3,4,5,6,7,8,9,10,11,12,13},0))"),0.033)</f>
        <v>0.033</v>
      </c>
      <c r="Q2391" s="14">
        <f>IFERROR(__xludf.DUMMYFUNCTION("""COMPUTED_VALUE"""),0.045)</f>
        <v>0.045</v>
      </c>
      <c r="R2391" s="14">
        <f>IFERROR(__xludf.DUMMYFUNCTION("""COMPUTED_VALUE"""),70.0)</f>
        <v>70</v>
      </c>
      <c r="S2391" s="14">
        <f>IFERROR(__xludf.DUMMYFUNCTION("""COMPUTED_VALUE"""),64.0)</f>
        <v>64</v>
      </c>
      <c r="T2391" s="14">
        <f>IFERROR(__xludf.DUMMYFUNCTION("""COMPUTED_VALUE"""),0.359)</f>
        <v>0.359</v>
      </c>
      <c r="U2391" s="14">
        <f>IFERROR(__xludf.DUMMYFUNCTION("""COMPUTED_VALUE"""),0.608)</f>
        <v>0.608</v>
      </c>
      <c r="V2391" s="14">
        <f>IFERROR(__xludf.DUMMYFUNCTION("""COMPUTED_VALUE"""),0.033)</f>
        <v>0.033</v>
      </c>
      <c r="W2391" s="14">
        <f>IFERROR(__xludf.DUMMYFUNCTION("""COMPUTED_VALUE"""),7627326.0)</f>
        <v>7627326</v>
      </c>
      <c r="X2391" s="14">
        <f>IFERROR(__xludf.DUMMYFUNCTION("""COMPUTED_VALUE"""),0.265)</f>
        <v>0.265</v>
      </c>
      <c r="Y2391" s="14" t="str">
        <f>IFERROR(__xludf.DUMMYFUNCTION("""COMPUTED_VALUE"""),"Tajikistan-Asia")</f>
        <v>Tajikistan-Asia</v>
      </c>
      <c r="Z2391" s="14" t="str">
        <f>IFERROR(__xludf.DUMMYFUNCTION("""COMPUTED_VALUE"""),"Asia")</f>
        <v>Asia</v>
      </c>
      <c r="AA2391" s="14" t="str">
        <f>IFERROR(__xludf.DUMMYFUNCTION("""COMPUTED_VALUE"""),"2010")</f>
        <v>2010</v>
      </c>
      <c r="AB2391" s="15" t="str">
        <f>IFERROR(__xludf.DUMMYFUNCTION("ARRAYFORMULA(VLOOKUP(A2391,IMPORTRANGE(""https://docs.google.com/spreadsheets/d/1BuTWp7qHGjWhqrnf-OmePP568O4A5Am9ttzvVdP67zw/edit#gid=1931367683"" ,""ENERGY!$A$2:$F$2692""), {2,3,4,5,6},0))"),"Asia")</f>
        <v>Asia</v>
      </c>
      <c r="AC2391" s="14" t="str">
        <f>IFERROR(__xludf.DUMMYFUNCTION("""COMPUTED_VALUE"""),"Tajikistan-Asia")</f>
        <v>Tajikistan-Asia</v>
      </c>
      <c r="AD2391" s="14" t="str">
        <f>IFERROR(__xludf.DUMMYFUNCTION("""COMPUTED_VALUE"""),"2009")</f>
        <v>2009</v>
      </c>
      <c r="AE2391" s="14">
        <f>IFERROR(__xludf.DUMMYFUNCTION("""COMPUTED_VALUE"""),2129.0)</f>
        <v>2129</v>
      </c>
      <c r="AF2391" s="14">
        <f>IFERROR(__xludf.DUMMYFUNCTION("""COMPUTED_VALUE"""),1881.0)</f>
        <v>1881</v>
      </c>
    </row>
    <row r="2392">
      <c r="A2392" s="12">
        <v>2391.0</v>
      </c>
      <c r="B2392" s="12" t="s">
        <v>262</v>
      </c>
      <c r="C2392" s="5" t="s">
        <v>61</v>
      </c>
      <c r="D2392" s="11">
        <v>0.845</v>
      </c>
      <c r="E2392" s="11">
        <v>24.0</v>
      </c>
      <c r="F2392" s="8"/>
      <c r="G2392" s="11">
        <v>224.0</v>
      </c>
      <c r="H2392" s="11">
        <v>0.13</v>
      </c>
      <c r="I2392" s="11">
        <v>0.809</v>
      </c>
      <c r="J2392" s="9" t="s">
        <v>72</v>
      </c>
      <c r="K2392" s="14" t="str">
        <f>IFERROR(__xludf.DUMMYFUNCTION("ARRAYFORMULA(VLOOKUP(A2392,IMPORTRANGE(""https://docs.google.com/spreadsheets/d/1BuTWp7qHGjWhqrnf-OmePP568O4A5Am9ttzvVdP67zw/edit#gid=1603210130"", ""TOURISM!$A$2:$F$2692""), {2,3,4,5,6},0))"),"Asia")</f>
        <v>Asia</v>
      </c>
      <c r="L2392" s="14">
        <f>IFERROR(__xludf.DUMMYFUNCTION("""COMPUTED_VALUE"""),3.98E7)</f>
        <v>39800000</v>
      </c>
      <c r="M2392" s="14" t="str">
        <f>IFERROR(__xludf.DUMMYFUNCTION("""COMPUTED_VALUE"""),"Tajikistan-Asia")</f>
        <v>Tajikistan-Asia</v>
      </c>
      <c r="N2392" s="14" t="str">
        <f>IFERROR(__xludf.DUMMYFUNCTION("""COMPUTED_VALUE"""),"2011")</f>
        <v>2011</v>
      </c>
      <c r="O2392" s="14">
        <f>IFERROR(__xludf.DUMMYFUNCTION("""COMPUTED_VALUE"""),8400000.0)</f>
        <v>8400000</v>
      </c>
      <c r="P2392" s="15">
        <f>IFERROR(__xludf.DUMMYFUNCTION("ARRAYFORMULA(VLOOKUP(A2392,IMPORTRANGE(""https://docs.google.com/spreadsheets/d/1BuTWp7qHGjWhqrnf-OmePP568O4A5Am9ttzvVdP67zw/edit#gid=771602874"" ,""HUMAN RESOURCES!$A$2:$M$2692""), {2,3,4,5,6,7,8,9,10,11,12,13},0))"),0.033)</f>
        <v>0.033</v>
      </c>
      <c r="Q2392" s="14">
        <f>IFERROR(__xludf.DUMMYFUNCTION("""COMPUTED_VALUE"""),0.043)</f>
        <v>0.043</v>
      </c>
      <c r="R2392" s="14">
        <f>IFERROR(__xludf.DUMMYFUNCTION("""COMPUTED_VALUE"""),71.0)</f>
        <v>71</v>
      </c>
      <c r="S2392" s="14">
        <f>IFERROR(__xludf.DUMMYFUNCTION("""COMPUTED_VALUE"""),64.0)</f>
        <v>64</v>
      </c>
      <c r="T2392" s="14">
        <f>IFERROR(__xludf.DUMMYFUNCTION("""COMPUTED_VALUE"""),0.358)</f>
        <v>0.358</v>
      </c>
      <c r="U2392" s="14">
        <f>IFERROR(__xludf.DUMMYFUNCTION("""COMPUTED_VALUE"""),0.61)</f>
        <v>0.61</v>
      </c>
      <c r="V2392" s="14">
        <f>IFERROR(__xludf.DUMMYFUNCTION("""COMPUTED_VALUE"""),0.032)</f>
        <v>0.032</v>
      </c>
      <c r="W2392" s="14">
        <f>IFERROR(__xludf.DUMMYFUNCTION("""COMPUTED_VALUE"""),7814850.0)</f>
        <v>7814850</v>
      </c>
      <c r="X2392" s="14">
        <f>IFERROR(__xludf.DUMMYFUNCTION("""COMPUTED_VALUE"""),0.265)</f>
        <v>0.265</v>
      </c>
      <c r="Y2392" s="14" t="str">
        <f>IFERROR(__xludf.DUMMYFUNCTION("""COMPUTED_VALUE"""),"Tajikistan-Asia")</f>
        <v>Tajikistan-Asia</v>
      </c>
      <c r="Z2392" s="14" t="str">
        <f>IFERROR(__xludf.DUMMYFUNCTION("""COMPUTED_VALUE"""),"Asia")</f>
        <v>Asia</v>
      </c>
      <c r="AA2392" s="14" t="str">
        <f>IFERROR(__xludf.DUMMYFUNCTION("""COMPUTED_VALUE"""),"2011")</f>
        <v>2011</v>
      </c>
      <c r="AB2392" s="15" t="str">
        <f>IFERROR(__xludf.DUMMYFUNCTION("ARRAYFORMULA(VLOOKUP(A2392,IMPORTRANGE(""https://docs.google.com/spreadsheets/d/1BuTWp7qHGjWhqrnf-OmePP568O4A5Am9ttzvVdP67zw/edit#gid=1931367683"" ,""ENERGY!$A$2:$F$2692""), {2,3,4,5,6},0))"),"Asia")</f>
        <v>Asia</v>
      </c>
      <c r="AC2392" s="14" t="str">
        <f>IFERROR(__xludf.DUMMYFUNCTION("""COMPUTED_VALUE"""),"Tajikistan-Asia")</f>
        <v>Tajikistan-Asia</v>
      </c>
      <c r="AD2392" s="14" t="str">
        <f>IFERROR(__xludf.DUMMYFUNCTION("""COMPUTED_VALUE"""),"2007")</f>
        <v>2007</v>
      </c>
      <c r="AE2392" s="14">
        <f>IFERROR(__xludf.DUMMYFUNCTION("""COMPUTED_VALUE"""),2122.0)</f>
        <v>2122</v>
      </c>
      <c r="AF2392" s="14">
        <f>IFERROR(__xludf.DUMMYFUNCTION("""COMPUTED_VALUE"""),2292.0)</f>
        <v>2292</v>
      </c>
    </row>
    <row r="2393">
      <c r="A2393" s="12">
        <v>2392.0</v>
      </c>
      <c r="B2393" s="12" t="s">
        <v>262</v>
      </c>
      <c r="C2393" s="5" t="s">
        <v>61</v>
      </c>
      <c r="D2393" s="11">
        <v>0.845</v>
      </c>
      <c r="E2393" s="11">
        <v>24.0</v>
      </c>
      <c r="F2393" s="11">
        <v>141.0</v>
      </c>
      <c r="G2393" s="11">
        <v>224.0</v>
      </c>
      <c r="H2393" s="11">
        <v>0.145</v>
      </c>
      <c r="I2393" s="11">
        <v>0.815</v>
      </c>
      <c r="J2393" s="9" t="s">
        <v>73</v>
      </c>
      <c r="K2393" s="14" t="str">
        <f>IFERROR(__xludf.DUMMYFUNCTION("ARRAYFORMULA(VLOOKUP(A2393,IMPORTRANGE(""https://docs.google.com/spreadsheets/d/1BuTWp7qHGjWhqrnf-OmePP568O4A5Am9ttzvVdP67zw/edit#gid=1603210130"", ""TOURISM!$A$2:$F$2692""), {2,3,4,5,6},0))"),"Asia")</f>
        <v>Asia</v>
      </c>
      <c r="L2393" s="14">
        <f>IFERROR(__xludf.DUMMYFUNCTION("""COMPUTED_VALUE"""),6.04E7)</f>
        <v>60400000</v>
      </c>
      <c r="M2393" s="14" t="str">
        <f>IFERROR(__xludf.DUMMYFUNCTION("""COMPUTED_VALUE"""),"Tajikistan-Asia")</f>
        <v>Tajikistan-Asia</v>
      </c>
      <c r="N2393" s="14" t="str">
        <f>IFERROR(__xludf.DUMMYFUNCTION("""COMPUTED_VALUE"""),"2012")</f>
        <v>2012</v>
      </c>
      <c r="O2393" s="14">
        <f>IFERROR(__xludf.DUMMYFUNCTION("""COMPUTED_VALUE"""),6800000.0)</f>
        <v>6800000</v>
      </c>
      <c r="P2393" s="15">
        <f>IFERROR(__xludf.DUMMYFUNCTION("ARRAYFORMULA(VLOOKUP(A2393,IMPORTRANGE(""https://docs.google.com/spreadsheets/d/1BuTWp7qHGjWhqrnf-OmePP568O4A5Am9ttzvVdP67zw/edit#gid=771602874"" ,""HUMAN RESOURCES!$A$2:$M$2692""), {2,3,4,5,6,7,8,9,10,11,12,13},0))"),0.033)</f>
        <v>0.033</v>
      </c>
      <c r="Q2393" s="14">
        <f>IFERROR(__xludf.DUMMYFUNCTION("""COMPUTED_VALUE"""),0.042)</f>
        <v>0.042</v>
      </c>
      <c r="R2393" s="14">
        <f>IFERROR(__xludf.DUMMYFUNCTION("""COMPUTED_VALUE"""),71.0)</f>
        <v>71</v>
      </c>
      <c r="S2393" s="14">
        <f>IFERROR(__xludf.DUMMYFUNCTION("""COMPUTED_VALUE"""),64.0)</f>
        <v>64</v>
      </c>
      <c r="T2393" s="14">
        <f>IFERROR(__xludf.DUMMYFUNCTION("""COMPUTED_VALUE"""),0.358)</f>
        <v>0.358</v>
      </c>
      <c r="U2393" s="14">
        <f>IFERROR(__xludf.DUMMYFUNCTION("""COMPUTED_VALUE"""),0.61)</f>
        <v>0.61</v>
      </c>
      <c r="V2393" s="14">
        <f>IFERROR(__xludf.DUMMYFUNCTION("""COMPUTED_VALUE"""),0.032)</f>
        <v>0.032</v>
      </c>
      <c r="W2393" s="14">
        <f>IFERROR(__xludf.DUMMYFUNCTION("""COMPUTED_VALUE"""),8008990.0)</f>
        <v>8008990</v>
      </c>
      <c r="X2393" s="14">
        <f>IFERROR(__xludf.DUMMYFUNCTION("""COMPUTED_VALUE"""),0.266)</f>
        <v>0.266</v>
      </c>
      <c r="Y2393" s="14" t="str">
        <f>IFERROR(__xludf.DUMMYFUNCTION("""COMPUTED_VALUE"""),"Tajikistan-Asia")</f>
        <v>Tajikistan-Asia</v>
      </c>
      <c r="Z2393" s="14" t="str">
        <f>IFERROR(__xludf.DUMMYFUNCTION("""COMPUTED_VALUE"""),"Asia")</f>
        <v>Asia</v>
      </c>
      <c r="AA2393" s="14" t="str">
        <f>IFERROR(__xludf.DUMMYFUNCTION("""COMPUTED_VALUE"""),"2012")</f>
        <v>2012</v>
      </c>
      <c r="AB2393" s="15" t="str">
        <f>IFERROR(__xludf.DUMMYFUNCTION("ARRAYFORMULA(VLOOKUP(A2393,IMPORTRANGE(""https://docs.google.com/spreadsheets/d/1BuTWp7qHGjWhqrnf-OmePP568O4A5Am9ttzvVdP67zw/edit#gid=1931367683"" ,""ENERGY!$A$2:$F$2692""), {2,3,4,5,6},0))"),"Asia")</f>
        <v>Asia</v>
      </c>
      <c r="AC2393" s="14" t="str">
        <f>IFERROR(__xludf.DUMMYFUNCTION("""COMPUTED_VALUE"""),"Tajikistan-Asia")</f>
        <v>Tajikistan-Asia</v>
      </c>
      <c r="AD2393" s="14" t="str">
        <f>IFERROR(__xludf.DUMMYFUNCTION("""COMPUTED_VALUE"""),"2012")</f>
        <v>2012</v>
      </c>
      <c r="AE2393" s="14">
        <f>IFERROR(__xludf.DUMMYFUNCTION("""COMPUTED_VALUE"""),2149.0)</f>
        <v>2149</v>
      </c>
      <c r="AF2393" s="14">
        <f>IFERROR(__xludf.DUMMYFUNCTION("""COMPUTED_VALUE"""),2237.0)</f>
        <v>2237</v>
      </c>
    </row>
    <row r="2394">
      <c r="A2394" s="12">
        <v>2393.0</v>
      </c>
      <c r="B2394" s="12" t="s">
        <v>263</v>
      </c>
      <c r="C2394" s="5" t="s">
        <v>77</v>
      </c>
      <c r="D2394" s="8"/>
      <c r="E2394" s="8"/>
      <c r="F2394" s="8"/>
      <c r="G2394" s="8"/>
      <c r="H2394" s="11">
        <v>0.001</v>
      </c>
      <c r="I2394" s="11">
        <v>0.003</v>
      </c>
      <c r="J2394" s="9" t="s">
        <v>60</v>
      </c>
      <c r="K2394" s="14" t="str">
        <f>IFERROR(__xludf.DUMMYFUNCTION("ARRAYFORMULA(VLOOKUP(A2394,IMPORTRANGE(""https://docs.google.com/spreadsheets/d/1BuTWp7qHGjWhqrnf-OmePP568O4A5Am9ttzvVdP67zw/edit#gid=1603210130"", ""TOURISM!$A$2:$F$2692""), {2,3,4,5,6},0))"),"Africa")</f>
        <v>Africa</v>
      </c>
      <c r="L2394" s="14">
        <f>IFERROR(__xludf.DUMMYFUNCTION("""COMPUTED_VALUE"""),3.81E8)</f>
        <v>381000000</v>
      </c>
      <c r="M2394" s="14" t="str">
        <f>IFERROR(__xludf.DUMMYFUNCTION("""COMPUTED_VALUE"""),"Tanzania-Africa")</f>
        <v>Tanzania-Africa</v>
      </c>
      <c r="N2394" s="14" t="str">
        <f>IFERROR(__xludf.DUMMYFUNCTION("""COMPUTED_VALUE"""),"2000")</f>
        <v>2000</v>
      </c>
      <c r="O2394" s="14">
        <f>IFERROR(__xludf.DUMMYFUNCTION("""COMPUTED_VALUE"""),3.69E8)</f>
        <v>369000000</v>
      </c>
      <c r="P2394" s="15">
        <f>IFERROR(__xludf.DUMMYFUNCTION("ARRAYFORMULA(VLOOKUP(A2394,IMPORTRANGE(""https://docs.google.com/spreadsheets/d/1BuTWp7qHGjWhqrnf-OmePP568O4A5Am9ttzvVdP67zw/edit#gid=771602874"" ,""HUMAN RESOURCES!$A$2:$M$2692""), {2,3,4,5,6,7,8,9,10,11,12,13},0))"),0.042)</f>
        <v>0.042</v>
      </c>
      <c r="Q2394" s="14">
        <f>IFERROR(__xludf.DUMMYFUNCTION("""COMPUTED_VALUE"""),0.08)</f>
        <v>0.08</v>
      </c>
      <c r="R2394" s="14">
        <f>IFERROR(__xludf.DUMMYFUNCTION("""COMPUTED_VALUE"""),51.0)</f>
        <v>51</v>
      </c>
      <c r="S2394" s="14">
        <f>IFERROR(__xludf.DUMMYFUNCTION("""COMPUTED_VALUE"""),49.0)</f>
        <v>49</v>
      </c>
      <c r="T2394" s="14">
        <f>IFERROR(__xludf.DUMMYFUNCTION("""COMPUTED_VALUE"""),0.448)</f>
        <v>0.448</v>
      </c>
      <c r="U2394" s="14">
        <f>IFERROR(__xludf.DUMMYFUNCTION("""COMPUTED_VALUE"""),0.523)</f>
        <v>0.523</v>
      </c>
      <c r="V2394" s="14">
        <f>IFERROR(__xludf.DUMMYFUNCTION("""COMPUTED_VALUE"""),0.029)</f>
        <v>0.029</v>
      </c>
      <c r="W2394" s="14">
        <f>IFERROR(__xludf.DUMMYFUNCTION("""COMPUTED_VALUE"""),3.4020512E7)</f>
        <v>34020512</v>
      </c>
      <c r="X2394" s="14">
        <f>IFERROR(__xludf.DUMMYFUNCTION("""COMPUTED_VALUE"""),0.223)</f>
        <v>0.223</v>
      </c>
      <c r="Y2394" s="14" t="str">
        <f>IFERROR(__xludf.DUMMYFUNCTION("""COMPUTED_VALUE"""),"Tanzania-Africa")</f>
        <v>Tanzania-Africa</v>
      </c>
      <c r="Z2394" s="14" t="str">
        <f>IFERROR(__xludf.DUMMYFUNCTION("""COMPUTED_VALUE"""),"Africa")</f>
        <v>Africa</v>
      </c>
      <c r="AA2394" s="14" t="str">
        <f>IFERROR(__xludf.DUMMYFUNCTION("""COMPUTED_VALUE"""),"2000")</f>
        <v>2000</v>
      </c>
      <c r="AB2394" s="15" t="str">
        <f>IFERROR(__xludf.DUMMYFUNCTION("ARRAYFORMULA(VLOOKUP(A2394,IMPORTRANGE(""https://docs.google.com/spreadsheets/d/1BuTWp7qHGjWhqrnf-OmePP568O4A5Am9ttzvVdP67zw/edit#gid=1931367683"" ,""ENERGY!$A$2:$F$2692""), {2,3,4,5,6},0))"),"Africa")</f>
        <v>Africa</v>
      </c>
      <c r="AC2394" s="14" t="str">
        <f>IFERROR(__xludf.DUMMYFUNCTION("""COMPUTED_VALUE"""),"Tanzania-Africa")</f>
        <v>Tanzania-Africa</v>
      </c>
      <c r="AD2394" s="14" t="str">
        <f>IFERROR(__xludf.DUMMYFUNCTION("""COMPUTED_VALUE"""),"2000")</f>
        <v>2000</v>
      </c>
      <c r="AE2394" s="14"/>
      <c r="AF2394" s="14"/>
    </row>
    <row r="2395">
      <c r="A2395" s="12">
        <v>2394.0</v>
      </c>
      <c r="B2395" s="12" t="s">
        <v>263</v>
      </c>
      <c r="C2395" s="5" t="s">
        <v>77</v>
      </c>
      <c r="D2395" s="8"/>
      <c r="E2395" s="8"/>
      <c r="F2395" s="8"/>
      <c r="G2395" s="8"/>
      <c r="H2395" s="11">
        <v>0.002</v>
      </c>
      <c r="I2395" s="11">
        <v>0.008</v>
      </c>
      <c r="J2395" s="9" t="s">
        <v>62</v>
      </c>
      <c r="K2395" s="14" t="str">
        <f>IFERROR(__xludf.DUMMYFUNCTION("ARRAYFORMULA(VLOOKUP(A2395,IMPORTRANGE(""https://docs.google.com/spreadsheets/d/1BuTWp7qHGjWhqrnf-OmePP568O4A5Am9ttzvVdP67zw/edit#gid=1603210130"", ""TOURISM!$A$2:$F$2692""), {2,3,4,5,6},0))"),"Africa")</f>
        <v>Africa</v>
      </c>
      <c r="L2395" s="14">
        <f>IFERROR(__xludf.DUMMYFUNCTION("""COMPUTED_VALUE"""),6.26E8)</f>
        <v>626000000</v>
      </c>
      <c r="M2395" s="14" t="str">
        <f>IFERROR(__xludf.DUMMYFUNCTION("""COMPUTED_VALUE"""),"Tanzania-Africa")</f>
        <v>Tanzania-Africa</v>
      </c>
      <c r="N2395" s="14" t="str">
        <f>IFERROR(__xludf.DUMMYFUNCTION("""COMPUTED_VALUE"""),"2001")</f>
        <v>2001</v>
      </c>
      <c r="O2395" s="14">
        <f>IFERROR(__xludf.DUMMYFUNCTION("""COMPUTED_VALUE"""),3.63E8)</f>
        <v>363000000</v>
      </c>
      <c r="P2395" s="15">
        <f>IFERROR(__xludf.DUMMYFUNCTION("ARRAYFORMULA(VLOOKUP(A2395,IMPORTRANGE(""https://docs.google.com/spreadsheets/d/1BuTWp7qHGjWhqrnf-OmePP568O4A5Am9ttzvVdP67zw/edit#gid=771602874"" ,""HUMAN RESOURCES!$A$2:$M$2692""), {2,3,4,5,6,7,8,9,10,11,12,13},0))"),0.042)</f>
        <v>0.042</v>
      </c>
      <c r="Q2395" s="14">
        <f>IFERROR(__xludf.DUMMYFUNCTION("""COMPUTED_VALUE"""),0.076)</f>
        <v>0.076</v>
      </c>
      <c r="R2395" s="14">
        <f>IFERROR(__xludf.DUMMYFUNCTION("""COMPUTED_VALUE"""),51.0)</f>
        <v>51</v>
      </c>
      <c r="S2395" s="14">
        <f>IFERROR(__xludf.DUMMYFUNCTION("""COMPUTED_VALUE"""),50.0)</f>
        <v>50</v>
      </c>
      <c r="T2395" s="14">
        <f>IFERROR(__xludf.DUMMYFUNCTION("""COMPUTED_VALUE"""),0.447)</f>
        <v>0.447</v>
      </c>
      <c r="U2395" s="14">
        <f>IFERROR(__xludf.DUMMYFUNCTION("""COMPUTED_VALUE"""),0.524)</f>
        <v>0.524</v>
      </c>
      <c r="V2395" s="14">
        <f>IFERROR(__xludf.DUMMYFUNCTION("""COMPUTED_VALUE"""),0.029)</f>
        <v>0.029</v>
      </c>
      <c r="W2395" s="14">
        <f>IFERROR(__xludf.DUMMYFUNCTION("""COMPUTED_VALUE"""),3.4895398E7)</f>
        <v>34895398</v>
      </c>
      <c r="X2395" s="14">
        <f>IFERROR(__xludf.DUMMYFUNCTION("""COMPUTED_VALUE"""),0.227)</f>
        <v>0.227</v>
      </c>
      <c r="Y2395" s="14" t="str">
        <f>IFERROR(__xludf.DUMMYFUNCTION("""COMPUTED_VALUE"""),"Tanzania-Africa")</f>
        <v>Tanzania-Africa</v>
      </c>
      <c r="Z2395" s="14" t="str">
        <f>IFERROR(__xludf.DUMMYFUNCTION("""COMPUTED_VALUE"""),"Africa")</f>
        <v>Africa</v>
      </c>
      <c r="AA2395" s="14" t="str">
        <f>IFERROR(__xludf.DUMMYFUNCTION("""COMPUTED_VALUE"""),"2001")</f>
        <v>2001</v>
      </c>
      <c r="AB2395" s="15" t="str">
        <f>IFERROR(__xludf.DUMMYFUNCTION("ARRAYFORMULA(VLOOKUP(A2395,IMPORTRANGE(""https://docs.google.com/spreadsheets/d/1BuTWp7qHGjWhqrnf-OmePP568O4A5Am9ttzvVdP67zw/edit#gid=1931367683"" ,""ENERGY!$A$2:$F$2692""), {2,3,4,5,6},0))"),"Africa")</f>
        <v>Africa</v>
      </c>
      <c r="AC2395" s="14" t="str">
        <f>IFERROR(__xludf.DUMMYFUNCTION("""COMPUTED_VALUE"""),"Tanzania-Africa")</f>
        <v>Tanzania-Africa</v>
      </c>
      <c r="AD2395" s="14" t="str">
        <f>IFERROR(__xludf.DUMMYFUNCTION("""COMPUTED_VALUE"""),"2001")</f>
        <v>2001</v>
      </c>
      <c r="AE2395" s="14">
        <f>IFERROR(__xludf.DUMMYFUNCTION("""COMPUTED_VALUE"""),20747.0)</f>
        <v>20747</v>
      </c>
      <c r="AF2395" s="14"/>
    </row>
    <row r="2396">
      <c r="A2396" s="12">
        <v>2395.0</v>
      </c>
      <c r="B2396" s="12" t="s">
        <v>263</v>
      </c>
      <c r="C2396" s="5" t="s">
        <v>77</v>
      </c>
      <c r="D2396" s="8"/>
      <c r="E2396" s="8"/>
      <c r="F2396" s="8"/>
      <c r="G2396" s="8"/>
      <c r="H2396" s="11">
        <v>0.002</v>
      </c>
      <c r="I2396" s="11">
        <v>0.017</v>
      </c>
      <c r="J2396" s="9" t="s">
        <v>63</v>
      </c>
      <c r="K2396" s="14" t="str">
        <f>IFERROR(__xludf.DUMMYFUNCTION("ARRAYFORMULA(VLOOKUP(A2396,IMPORTRANGE(""https://docs.google.com/spreadsheets/d/1BuTWp7qHGjWhqrnf-OmePP568O4A5Am9ttzvVdP67zw/edit#gid=1603210130"", ""TOURISM!$A$2:$F$2692""), {2,3,4,5,6},0))"),"Africa")</f>
        <v>Africa</v>
      </c>
      <c r="L2396" s="14">
        <f>IFERROR(__xludf.DUMMYFUNCTION("""COMPUTED_VALUE"""),6.39E8)</f>
        <v>639000000</v>
      </c>
      <c r="M2396" s="14" t="str">
        <f>IFERROR(__xludf.DUMMYFUNCTION("""COMPUTED_VALUE"""),"Tanzania-Africa")</f>
        <v>Tanzania-Africa</v>
      </c>
      <c r="N2396" s="14" t="str">
        <f>IFERROR(__xludf.DUMMYFUNCTION("""COMPUTED_VALUE"""),"2002")</f>
        <v>2002</v>
      </c>
      <c r="O2396" s="14">
        <f>IFERROR(__xludf.DUMMYFUNCTION("""COMPUTED_VALUE"""),3.61E8)</f>
        <v>361000000</v>
      </c>
      <c r="P2396" s="15">
        <f>IFERROR(__xludf.DUMMYFUNCTION("ARRAYFORMULA(VLOOKUP(A2396,IMPORTRANGE(""https://docs.google.com/spreadsheets/d/1BuTWp7qHGjWhqrnf-OmePP568O4A5Am9ttzvVdP67zw/edit#gid=771602874"" ,""HUMAN RESOURCES!$A$2:$M$2692""), {2,3,4,5,6,7,8,9,10,11,12,13},0))"),0.042)</f>
        <v>0.042</v>
      </c>
      <c r="Q2396" s="14">
        <f>IFERROR(__xludf.DUMMYFUNCTION("""COMPUTED_VALUE"""),0.071)</f>
        <v>0.071</v>
      </c>
      <c r="R2396" s="14">
        <f>IFERROR(__xludf.DUMMYFUNCTION("""COMPUTED_VALUE"""),52.0)</f>
        <v>52</v>
      </c>
      <c r="S2396" s="14">
        <f>IFERROR(__xludf.DUMMYFUNCTION("""COMPUTED_VALUE"""),51.0)</f>
        <v>51</v>
      </c>
      <c r="T2396" s="14">
        <f>IFERROR(__xludf.DUMMYFUNCTION("""COMPUTED_VALUE"""),0.447)</f>
        <v>0.447</v>
      </c>
      <c r="U2396" s="14">
        <f>IFERROR(__xludf.DUMMYFUNCTION("""COMPUTED_VALUE"""),0.524)</f>
        <v>0.524</v>
      </c>
      <c r="V2396" s="14">
        <f>IFERROR(__xludf.DUMMYFUNCTION("""COMPUTED_VALUE"""),0.029)</f>
        <v>0.029</v>
      </c>
      <c r="W2396" s="14">
        <f>IFERROR(__xludf.DUMMYFUNCTION("""COMPUTED_VALUE"""),3.5806497E7)</f>
        <v>35806497</v>
      </c>
      <c r="X2396" s="14">
        <f>IFERROR(__xludf.DUMMYFUNCTION("""COMPUTED_VALUE"""),0.23)</f>
        <v>0.23</v>
      </c>
      <c r="Y2396" s="14" t="str">
        <f>IFERROR(__xludf.DUMMYFUNCTION("""COMPUTED_VALUE"""),"Tanzania-Africa")</f>
        <v>Tanzania-Africa</v>
      </c>
      <c r="Z2396" s="14" t="str">
        <f>IFERROR(__xludf.DUMMYFUNCTION("""COMPUTED_VALUE"""),"Africa")</f>
        <v>Africa</v>
      </c>
      <c r="AA2396" s="14" t="str">
        <f>IFERROR(__xludf.DUMMYFUNCTION("""COMPUTED_VALUE"""),"2002")</f>
        <v>2002</v>
      </c>
      <c r="AB2396" s="15" t="str">
        <f>IFERROR(__xludf.DUMMYFUNCTION("ARRAYFORMULA(VLOOKUP(A2396,IMPORTRANGE(""https://docs.google.com/spreadsheets/d/1BuTWp7qHGjWhqrnf-OmePP568O4A5Am9ttzvVdP67zw/edit#gid=1931367683"" ,""ENERGY!$A$2:$F$2692""), {2,3,4,5,6},0))"),"Africa")</f>
        <v>Africa</v>
      </c>
      <c r="AC2396" s="14" t="str">
        <f>IFERROR(__xludf.DUMMYFUNCTION("""COMPUTED_VALUE"""),"Tanzania-Africa")</f>
        <v>Tanzania-Africa</v>
      </c>
      <c r="AD2396" s="14" t="str">
        <f>IFERROR(__xludf.DUMMYFUNCTION("""COMPUTED_VALUE"""),"2002")</f>
        <v>2002</v>
      </c>
      <c r="AE2396" s="14">
        <f>IFERROR(__xludf.DUMMYFUNCTION("""COMPUTED_VALUE"""),20043.0)</f>
        <v>20043</v>
      </c>
      <c r="AF2396" s="14">
        <f>IFERROR(__xludf.DUMMYFUNCTION("""COMPUTED_VALUE"""),6846.0)</f>
        <v>6846</v>
      </c>
    </row>
    <row r="2397">
      <c r="A2397" s="12">
        <v>2396.0</v>
      </c>
      <c r="B2397" s="12" t="s">
        <v>263</v>
      </c>
      <c r="C2397" s="5" t="s">
        <v>77</v>
      </c>
      <c r="D2397" s="8"/>
      <c r="E2397" s="11">
        <v>28.0</v>
      </c>
      <c r="F2397" s="8"/>
      <c r="G2397" s="8"/>
      <c r="H2397" s="11">
        <v>0.007</v>
      </c>
      <c r="I2397" s="11">
        <v>0.035</v>
      </c>
      <c r="J2397" s="9" t="s">
        <v>64</v>
      </c>
      <c r="K2397" s="14" t="str">
        <f>IFERROR(__xludf.DUMMYFUNCTION("ARRAYFORMULA(VLOOKUP(A2397,IMPORTRANGE(""https://docs.google.com/spreadsheets/d/1BuTWp7qHGjWhqrnf-OmePP568O4A5Am9ttzvVdP67zw/edit#gid=1603210130"", ""TOURISM!$A$2:$F$2692""), {2,3,4,5,6},0))"),"Africa")</f>
        <v>Africa</v>
      </c>
      <c r="L2397" s="14">
        <f>IFERROR(__xludf.DUMMYFUNCTION("""COMPUTED_VALUE"""),6.54E8)</f>
        <v>654000000</v>
      </c>
      <c r="M2397" s="14" t="str">
        <f>IFERROR(__xludf.DUMMYFUNCTION("""COMPUTED_VALUE"""),"Tanzania-Africa")</f>
        <v>Tanzania-Africa</v>
      </c>
      <c r="N2397" s="14" t="str">
        <f>IFERROR(__xludf.DUMMYFUNCTION("""COMPUTED_VALUE"""),"2003")</f>
        <v>2003</v>
      </c>
      <c r="O2397" s="14">
        <f>IFERROR(__xludf.DUMMYFUNCTION("""COMPUTED_VALUE"""),3.75E8)</f>
        <v>375000000</v>
      </c>
      <c r="P2397" s="15">
        <f>IFERROR(__xludf.DUMMYFUNCTION("ARRAYFORMULA(VLOOKUP(A2397,IMPORTRANGE(""https://docs.google.com/spreadsheets/d/1BuTWp7qHGjWhqrnf-OmePP568O4A5Am9ttzvVdP67zw/edit#gid=771602874"" ,""HUMAN RESOURCES!$A$2:$M$2692""), {2,3,4,5,6,7,8,9,10,11,12,13},0))"),0.042)</f>
        <v>0.042</v>
      </c>
      <c r="Q2397" s="14">
        <f>IFERROR(__xludf.DUMMYFUNCTION("""COMPUTED_VALUE"""),0.066)</f>
        <v>0.066</v>
      </c>
      <c r="R2397" s="14">
        <f>IFERROR(__xludf.DUMMYFUNCTION("""COMPUTED_VALUE"""),53.0)</f>
        <v>53</v>
      </c>
      <c r="S2397" s="14">
        <f>IFERROR(__xludf.DUMMYFUNCTION("""COMPUTED_VALUE"""),51.0)</f>
        <v>51</v>
      </c>
      <c r="T2397" s="14">
        <f>IFERROR(__xludf.DUMMYFUNCTION("""COMPUTED_VALUE"""),0.446)</f>
        <v>0.446</v>
      </c>
      <c r="U2397" s="14">
        <f>IFERROR(__xludf.DUMMYFUNCTION("""COMPUTED_VALUE"""),0.524)</f>
        <v>0.524</v>
      </c>
      <c r="V2397" s="14">
        <f>IFERROR(__xludf.DUMMYFUNCTION("""COMPUTED_VALUE"""),0.03)</f>
        <v>0.03</v>
      </c>
      <c r="W2397" s="14">
        <f>IFERROR(__xludf.DUMMYFUNCTION("""COMPUTED_VALUE"""),3.6760831E7)</f>
        <v>36760831</v>
      </c>
      <c r="X2397" s="14">
        <f>IFERROR(__xludf.DUMMYFUNCTION("""COMPUTED_VALUE"""),0.236)</f>
        <v>0.236</v>
      </c>
      <c r="Y2397" s="14" t="str">
        <f>IFERROR(__xludf.DUMMYFUNCTION("""COMPUTED_VALUE"""),"Tanzania-Africa")</f>
        <v>Tanzania-Africa</v>
      </c>
      <c r="Z2397" s="14" t="str">
        <f>IFERROR(__xludf.DUMMYFUNCTION("""COMPUTED_VALUE"""),"Africa")</f>
        <v>Africa</v>
      </c>
      <c r="AA2397" s="14" t="str">
        <f>IFERROR(__xludf.DUMMYFUNCTION("""COMPUTED_VALUE"""),"2003")</f>
        <v>2003</v>
      </c>
      <c r="AB2397" s="15" t="str">
        <f>IFERROR(__xludf.DUMMYFUNCTION("ARRAYFORMULA(VLOOKUP(A2397,IMPORTRANGE(""https://docs.google.com/spreadsheets/d/1BuTWp7qHGjWhqrnf-OmePP568O4A5Am9ttzvVdP67zw/edit#gid=1931367683"" ,""ENERGY!$A$2:$F$2692""), {2,3,4,5,6},0))"),"Africa")</f>
        <v>Africa</v>
      </c>
      <c r="AC2397" s="14" t="str">
        <f>IFERROR(__xludf.DUMMYFUNCTION("""COMPUTED_VALUE"""),"Tanzania-Africa")</f>
        <v>Tanzania-Africa</v>
      </c>
      <c r="AD2397" s="14" t="str">
        <f>IFERROR(__xludf.DUMMYFUNCTION("""COMPUTED_VALUE"""),"2003")</f>
        <v>2003</v>
      </c>
      <c r="AE2397" s="14">
        <f>IFERROR(__xludf.DUMMYFUNCTION("""COMPUTED_VALUE"""),19345.0)</f>
        <v>19345</v>
      </c>
      <c r="AF2397" s="14">
        <f>IFERROR(__xludf.DUMMYFUNCTION("""COMPUTED_VALUE"""),6447.0)</f>
        <v>6447</v>
      </c>
    </row>
    <row r="2398">
      <c r="A2398" s="12">
        <v>2397.0</v>
      </c>
      <c r="B2398" s="12" t="s">
        <v>263</v>
      </c>
      <c r="C2398" s="5" t="s">
        <v>77</v>
      </c>
      <c r="D2398" s="8"/>
      <c r="E2398" s="11">
        <v>28.0</v>
      </c>
      <c r="F2398" s="8"/>
      <c r="G2398" s="8"/>
      <c r="H2398" s="11">
        <v>0.009</v>
      </c>
      <c r="I2398" s="11">
        <v>0.051</v>
      </c>
      <c r="J2398" s="9" t="s">
        <v>65</v>
      </c>
      <c r="K2398" s="14" t="str">
        <f>IFERROR(__xludf.DUMMYFUNCTION("ARRAYFORMULA(VLOOKUP(A2398,IMPORTRANGE(""https://docs.google.com/spreadsheets/d/1BuTWp7qHGjWhqrnf-OmePP568O4A5Am9ttzvVdP67zw/edit#gid=1603210130"", ""TOURISM!$A$2:$F$2692""), {2,3,4,5,6},0))"),"Africa")</f>
        <v>Africa</v>
      </c>
      <c r="L2398" s="14">
        <f>IFERROR(__xludf.DUMMYFUNCTION("""COMPUTED_VALUE"""),7.62E8)</f>
        <v>762000000</v>
      </c>
      <c r="M2398" s="14" t="str">
        <f>IFERROR(__xludf.DUMMYFUNCTION("""COMPUTED_VALUE"""),"Tanzania-Africa")</f>
        <v>Tanzania-Africa</v>
      </c>
      <c r="N2398" s="14" t="str">
        <f>IFERROR(__xludf.DUMMYFUNCTION("""COMPUTED_VALUE"""),"2004")</f>
        <v>2004</v>
      </c>
      <c r="O2398" s="14">
        <f>IFERROR(__xludf.DUMMYFUNCTION("""COMPUTED_VALUE"""),4.7E8)</f>
        <v>470000000</v>
      </c>
      <c r="P2398" s="15">
        <f>IFERROR(__xludf.DUMMYFUNCTION("ARRAYFORMULA(VLOOKUP(A2398,IMPORTRANGE(""https://docs.google.com/spreadsheets/d/1BuTWp7qHGjWhqrnf-OmePP568O4A5Am9ttzvVdP67zw/edit#gid=771602874"" ,""HUMAN RESOURCES!$A$2:$M$2692""), {2,3,4,5,6,7,8,9,10,11,12,13},0))"),0.042)</f>
        <v>0.042</v>
      </c>
      <c r="Q2398" s="14">
        <f>IFERROR(__xludf.DUMMYFUNCTION("""COMPUTED_VALUE"""),0.061)</f>
        <v>0.061</v>
      </c>
      <c r="R2398" s="14">
        <f>IFERROR(__xludf.DUMMYFUNCTION("""COMPUTED_VALUE"""),53.0)</f>
        <v>53</v>
      </c>
      <c r="S2398" s="14">
        <f>IFERROR(__xludf.DUMMYFUNCTION("""COMPUTED_VALUE"""),52.0)</f>
        <v>52</v>
      </c>
      <c r="T2398" s="14">
        <f>IFERROR(__xludf.DUMMYFUNCTION("""COMPUTED_VALUE"""),0.446)</f>
        <v>0.446</v>
      </c>
      <c r="U2398" s="14">
        <f>IFERROR(__xludf.DUMMYFUNCTION("""COMPUTED_VALUE"""),0.524)</f>
        <v>0.524</v>
      </c>
      <c r="V2398" s="14">
        <f>IFERROR(__xludf.DUMMYFUNCTION("""COMPUTED_VALUE"""),0.03)</f>
        <v>0.03</v>
      </c>
      <c r="W2398" s="14">
        <f>IFERROR(__xludf.DUMMYFUNCTION("""COMPUTED_VALUE"""),3.7765139E7)</f>
        <v>37765139</v>
      </c>
      <c r="X2398" s="14">
        <f>IFERROR(__xludf.DUMMYFUNCTION("""COMPUTED_VALUE"""),0.242)</f>
        <v>0.242</v>
      </c>
      <c r="Y2398" s="14" t="str">
        <f>IFERROR(__xludf.DUMMYFUNCTION("""COMPUTED_VALUE"""),"Tanzania-Africa")</f>
        <v>Tanzania-Africa</v>
      </c>
      <c r="Z2398" s="14" t="str">
        <f>IFERROR(__xludf.DUMMYFUNCTION("""COMPUTED_VALUE"""),"Africa")</f>
        <v>Africa</v>
      </c>
      <c r="AA2398" s="14" t="str">
        <f>IFERROR(__xludf.DUMMYFUNCTION("""COMPUTED_VALUE"""),"2004")</f>
        <v>2004</v>
      </c>
      <c r="AB2398" s="15" t="str">
        <f>IFERROR(__xludf.DUMMYFUNCTION("ARRAYFORMULA(VLOOKUP(A2398,IMPORTRANGE(""https://docs.google.com/spreadsheets/d/1BuTWp7qHGjWhqrnf-OmePP568O4A5Am9ttzvVdP67zw/edit#gid=1931367683"" ,""ENERGY!$A$2:$F$2692""), {2,3,4,5,6},0))"),"Africa")</f>
        <v>Africa</v>
      </c>
      <c r="AC2398" s="14" t="str">
        <f>IFERROR(__xludf.DUMMYFUNCTION("""COMPUTED_VALUE"""),"Tanzania-Africa")</f>
        <v>Tanzania-Africa</v>
      </c>
      <c r="AD2398" s="14" t="str">
        <f>IFERROR(__xludf.DUMMYFUNCTION("""COMPUTED_VALUE"""),"2005")</f>
        <v>2005</v>
      </c>
      <c r="AE2398" s="14">
        <f>IFERROR(__xludf.DUMMYFUNCTION("""COMPUTED_VALUE"""),18921.0)</f>
        <v>18921</v>
      </c>
      <c r="AF2398" s="14">
        <f>IFERROR(__xludf.DUMMYFUNCTION("""COMPUTED_VALUE"""),6538.0)</f>
        <v>6538</v>
      </c>
    </row>
    <row r="2399">
      <c r="A2399" s="12">
        <v>2398.0</v>
      </c>
      <c r="B2399" s="12" t="s">
        <v>263</v>
      </c>
      <c r="C2399" s="5" t="s">
        <v>77</v>
      </c>
      <c r="D2399" s="11">
        <v>0.438</v>
      </c>
      <c r="E2399" s="11">
        <v>28.0</v>
      </c>
      <c r="F2399" s="8"/>
      <c r="G2399" s="11">
        <v>172.0</v>
      </c>
      <c r="H2399" s="11">
        <v>0.011</v>
      </c>
      <c r="I2399" s="11">
        <v>0.076</v>
      </c>
      <c r="J2399" s="9" t="s">
        <v>66</v>
      </c>
      <c r="K2399" s="14" t="str">
        <f>IFERROR(__xludf.DUMMYFUNCTION("ARRAYFORMULA(VLOOKUP(A2399,IMPORTRANGE(""https://docs.google.com/spreadsheets/d/1BuTWp7qHGjWhqrnf-OmePP568O4A5Am9ttzvVdP67zw/edit#gid=1603210130"", ""TOURISM!$A$2:$F$2692""), {2,3,4,5,6},0))"),"Africa")</f>
        <v>Africa</v>
      </c>
      <c r="L2399" s="14">
        <f>IFERROR(__xludf.DUMMYFUNCTION("""COMPUTED_VALUE"""),8.35E8)</f>
        <v>835000000</v>
      </c>
      <c r="M2399" s="14" t="str">
        <f>IFERROR(__xludf.DUMMYFUNCTION("""COMPUTED_VALUE"""),"Tanzania-Africa")</f>
        <v>Tanzania-Africa</v>
      </c>
      <c r="N2399" s="14" t="str">
        <f>IFERROR(__xludf.DUMMYFUNCTION("""COMPUTED_VALUE"""),"2005")</f>
        <v>2005</v>
      </c>
      <c r="O2399" s="14">
        <f>IFERROR(__xludf.DUMMYFUNCTION("""COMPUTED_VALUE"""),5.77E8)</f>
        <v>577000000</v>
      </c>
      <c r="P2399" s="15">
        <f>IFERROR(__xludf.DUMMYFUNCTION("ARRAYFORMULA(VLOOKUP(A2399,IMPORTRANGE(""https://docs.google.com/spreadsheets/d/1BuTWp7qHGjWhqrnf-OmePP568O4A5Am9ttzvVdP67zw/edit#gid=771602874"" ,""HUMAN RESOURCES!$A$2:$M$2692""), {2,3,4,5,6,7,8,9,10,11,12,13},0))"),0.042)</f>
        <v>0.042</v>
      </c>
      <c r="Q2399" s="14">
        <f>IFERROR(__xludf.DUMMYFUNCTION("""COMPUTED_VALUE"""),0.057)</f>
        <v>0.057</v>
      </c>
      <c r="R2399" s="14">
        <f>IFERROR(__xludf.DUMMYFUNCTION("""COMPUTED_VALUE"""),54.0)</f>
        <v>54</v>
      </c>
      <c r="S2399" s="14">
        <f>IFERROR(__xludf.DUMMYFUNCTION("""COMPUTED_VALUE"""),53.0)</f>
        <v>53</v>
      </c>
      <c r="T2399" s="14">
        <f>IFERROR(__xludf.DUMMYFUNCTION("""COMPUTED_VALUE"""),0.446)</f>
        <v>0.446</v>
      </c>
      <c r="U2399" s="14">
        <f>IFERROR(__xludf.DUMMYFUNCTION("""COMPUTED_VALUE"""),0.524)</f>
        <v>0.524</v>
      </c>
      <c r="V2399" s="14">
        <f>IFERROR(__xludf.DUMMYFUNCTION("""COMPUTED_VALUE"""),0.03)</f>
        <v>0.03</v>
      </c>
      <c r="W2399" s="14">
        <f>IFERROR(__xludf.DUMMYFUNCTION("""COMPUTED_VALUE"""),3.8824384E7)</f>
        <v>38824384</v>
      </c>
      <c r="X2399" s="14">
        <f>IFERROR(__xludf.DUMMYFUNCTION("""COMPUTED_VALUE"""),0.248)</f>
        <v>0.248</v>
      </c>
      <c r="Y2399" s="14" t="str">
        <f>IFERROR(__xludf.DUMMYFUNCTION("""COMPUTED_VALUE"""),"Tanzania-Africa")</f>
        <v>Tanzania-Africa</v>
      </c>
      <c r="Z2399" s="14" t="str">
        <f>IFERROR(__xludf.DUMMYFUNCTION("""COMPUTED_VALUE"""),"Africa")</f>
        <v>Africa</v>
      </c>
      <c r="AA2399" s="14" t="str">
        <f>IFERROR(__xludf.DUMMYFUNCTION("""COMPUTED_VALUE"""),"2005")</f>
        <v>2005</v>
      </c>
      <c r="AB2399" s="15" t="str">
        <f>IFERROR(__xludf.DUMMYFUNCTION("ARRAYFORMULA(VLOOKUP(A2399,IMPORTRANGE(""https://docs.google.com/spreadsheets/d/1BuTWp7qHGjWhqrnf-OmePP568O4A5Am9ttzvVdP67zw/edit#gid=1931367683"" ,""ENERGY!$A$2:$F$2692""), {2,3,4,5,6},0))"),"Africa")</f>
        <v>Africa</v>
      </c>
      <c r="AC2399" s="14" t="str">
        <f>IFERROR(__xludf.DUMMYFUNCTION("""COMPUTED_VALUE"""),"Tanzania-Africa")</f>
        <v>Tanzania-Africa</v>
      </c>
      <c r="AD2399" s="14" t="str">
        <f>IFERROR(__xludf.DUMMYFUNCTION("""COMPUTED_VALUE"""),"2009")</f>
        <v>2009</v>
      </c>
      <c r="AE2399" s="14">
        <f>IFERROR(__xludf.DUMMYFUNCTION("""COMPUTED_VALUE"""),18306.0)</f>
        <v>18306</v>
      </c>
      <c r="AF2399" s="14">
        <f>IFERROR(__xludf.DUMMYFUNCTION("""COMPUTED_VALUE"""),6150.0)</f>
        <v>6150</v>
      </c>
    </row>
    <row r="2400">
      <c r="A2400" s="12">
        <v>2399.0</v>
      </c>
      <c r="B2400" s="12" t="s">
        <v>263</v>
      </c>
      <c r="C2400" s="5" t="s">
        <v>77</v>
      </c>
      <c r="D2400" s="11">
        <v>0.438</v>
      </c>
      <c r="E2400" s="11">
        <v>27.0</v>
      </c>
      <c r="F2400" s="8"/>
      <c r="G2400" s="11">
        <v>172.0</v>
      </c>
      <c r="H2400" s="11">
        <v>0.013</v>
      </c>
      <c r="I2400" s="11">
        <v>0.14</v>
      </c>
      <c r="J2400" s="9" t="s">
        <v>67</v>
      </c>
      <c r="K2400" s="14" t="str">
        <f>IFERROR(__xludf.DUMMYFUNCTION("ARRAYFORMULA(VLOOKUP(A2400,IMPORTRANGE(""https://docs.google.com/spreadsheets/d/1BuTWp7qHGjWhqrnf-OmePP568O4A5Am9ttzvVdP67zw/edit#gid=1603210130"", ""TOURISM!$A$2:$F$2692""), {2,3,4,5,6},0))"),"Africa")</f>
        <v>Africa</v>
      </c>
      <c r="L2400" s="14">
        <f>IFERROR(__xludf.DUMMYFUNCTION("""COMPUTED_VALUE"""),9.86E8)</f>
        <v>986000000</v>
      </c>
      <c r="M2400" s="14" t="str">
        <f>IFERROR(__xludf.DUMMYFUNCTION("""COMPUTED_VALUE"""),"Tanzania-Africa")</f>
        <v>Tanzania-Africa</v>
      </c>
      <c r="N2400" s="14" t="str">
        <f>IFERROR(__xludf.DUMMYFUNCTION("""COMPUTED_VALUE"""),"2006")</f>
        <v>2006</v>
      </c>
      <c r="O2400" s="14">
        <f>IFERROR(__xludf.DUMMYFUNCTION("""COMPUTED_VALUE"""),5.71E8)</f>
        <v>571000000</v>
      </c>
      <c r="P2400" s="15">
        <f>IFERROR(__xludf.DUMMYFUNCTION("ARRAYFORMULA(VLOOKUP(A2400,IMPORTRANGE(""https://docs.google.com/spreadsheets/d/1BuTWp7qHGjWhqrnf-OmePP568O4A5Am9ttzvVdP67zw/edit#gid=771602874"" ,""HUMAN RESOURCES!$A$2:$M$2692""), {2,3,4,5,6,7,8,9,10,11,12,13},0))"),0.042)</f>
        <v>0.042</v>
      </c>
      <c r="Q2400" s="14">
        <f>IFERROR(__xludf.DUMMYFUNCTION("""COMPUTED_VALUE"""),0.054)</f>
        <v>0.054</v>
      </c>
      <c r="R2400" s="14">
        <f>IFERROR(__xludf.DUMMYFUNCTION("""COMPUTED_VALUE"""),56.0)</f>
        <v>56</v>
      </c>
      <c r="S2400" s="14">
        <f>IFERROR(__xludf.DUMMYFUNCTION("""COMPUTED_VALUE"""),54.0)</f>
        <v>54</v>
      </c>
      <c r="T2400" s="14">
        <f>IFERROR(__xludf.DUMMYFUNCTION("""COMPUTED_VALUE"""),0.447)</f>
        <v>0.447</v>
      </c>
      <c r="U2400" s="14">
        <f>IFERROR(__xludf.DUMMYFUNCTION("""COMPUTED_VALUE"""),0.523)</f>
        <v>0.523</v>
      </c>
      <c r="V2400" s="14">
        <f>IFERROR(__xludf.DUMMYFUNCTION("""COMPUTED_VALUE"""),0.03)</f>
        <v>0.03</v>
      </c>
      <c r="W2400" s="14">
        <f>IFERROR(__xludf.DUMMYFUNCTION("""COMPUTED_VALUE"""),3.9942347E7)</f>
        <v>39942347</v>
      </c>
      <c r="X2400" s="14">
        <f>IFERROR(__xludf.DUMMYFUNCTION("""COMPUTED_VALUE"""),0.255)</f>
        <v>0.255</v>
      </c>
      <c r="Y2400" s="14" t="str">
        <f>IFERROR(__xludf.DUMMYFUNCTION("""COMPUTED_VALUE"""),"Tanzania-Africa")</f>
        <v>Tanzania-Africa</v>
      </c>
      <c r="Z2400" s="14" t="str">
        <f>IFERROR(__xludf.DUMMYFUNCTION("""COMPUTED_VALUE"""),"Africa")</f>
        <v>Africa</v>
      </c>
      <c r="AA2400" s="14" t="str">
        <f>IFERROR(__xludf.DUMMYFUNCTION("""COMPUTED_VALUE"""),"2006")</f>
        <v>2006</v>
      </c>
      <c r="AB2400" s="15" t="str">
        <f>IFERROR(__xludf.DUMMYFUNCTION("ARRAYFORMULA(VLOOKUP(A2400,IMPORTRANGE(""https://docs.google.com/spreadsheets/d/1BuTWp7qHGjWhqrnf-OmePP568O4A5Am9ttzvVdP67zw/edit#gid=1931367683"" ,""ENERGY!$A$2:$F$2692""), {2,3,4,5,6},0))"),"Africa")</f>
        <v>Africa</v>
      </c>
      <c r="AC2400" s="14" t="str">
        <f>IFERROR(__xludf.DUMMYFUNCTION("""COMPUTED_VALUE"""),"Tanzania-Africa")</f>
        <v>Tanzania-Africa</v>
      </c>
      <c r="AD2400" s="14" t="str">
        <f>IFERROR(__xludf.DUMMYFUNCTION("""COMPUTED_VALUE"""),"2005")</f>
        <v>2005</v>
      </c>
      <c r="AE2400" s="14">
        <f>IFERROR(__xludf.DUMMYFUNCTION("""COMPUTED_VALUE"""),17809.0)</f>
        <v>17809</v>
      </c>
      <c r="AF2400" s="14">
        <f>IFERROR(__xludf.DUMMYFUNCTION("""COMPUTED_VALUE"""),5959.0)</f>
        <v>5959</v>
      </c>
    </row>
    <row r="2401">
      <c r="A2401" s="12">
        <v>2400.0</v>
      </c>
      <c r="B2401" s="12" t="s">
        <v>263</v>
      </c>
      <c r="C2401" s="5" t="s">
        <v>77</v>
      </c>
      <c r="D2401" s="11">
        <v>0.439</v>
      </c>
      <c r="E2401" s="11">
        <v>26.0</v>
      </c>
      <c r="F2401" s="8"/>
      <c r="G2401" s="11">
        <v>172.0</v>
      </c>
      <c r="H2401" s="11">
        <v>0.016</v>
      </c>
      <c r="I2401" s="11">
        <v>0.201</v>
      </c>
      <c r="J2401" s="9" t="s">
        <v>68</v>
      </c>
      <c r="K2401" s="14" t="str">
        <f>IFERROR(__xludf.DUMMYFUNCTION("ARRAYFORMULA(VLOOKUP(A2401,IMPORTRANGE(""https://docs.google.com/spreadsheets/d/1BuTWp7qHGjWhqrnf-OmePP568O4A5Am9ttzvVdP67zw/edit#gid=1603210130"", ""TOURISM!$A$2:$F$2692""), {2,3,4,5,6},0))"),"Africa")</f>
        <v>Africa</v>
      </c>
      <c r="L2401" s="14">
        <f>IFERROR(__xludf.DUMMYFUNCTION("""COMPUTED_VALUE"""),1.215E9)</f>
        <v>1215000000</v>
      </c>
      <c r="M2401" s="14" t="str">
        <f>IFERROR(__xludf.DUMMYFUNCTION("""COMPUTED_VALUE"""),"Tanzania-Africa")</f>
        <v>Tanzania-Africa</v>
      </c>
      <c r="N2401" s="14" t="str">
        <f>IFERROR(__xludf.DUMMYFUNCTION("""COMPUTED_VALUE"""),"2007")</f>
        <v>2007</v>
      </c>
      <c r="O2401" s="14">
        <f>IFERROR(__xludf.DUMMYFUNCTION("""COMPUTED_VALUE"""),6.16E8)</f>
        <v>616000000</v>
      </c>
      <c r="P2401" s="15">
        <f>IFERROR(__xludf.DUMMYFUNCTION("ARRAYFORMULA(VLOOKUP(A2401,IMPORTRANGE(""https://docs.google.com/spreadsheets/d/1BuTWp7qHGjWhqrnf-OmePP568O4A5Am9ttzvVdP67zw/edit#gid=771602874"" ,""HUMAN RESOURCES!$A$2:$M$2692""), {2,3,4,5,6,7,8,9,10,11,12,13},0))"),0.042)</f>
        <v>0.042</v>
      </c>
      <c r="Q2401" s="14">
        <f>IFERROR(__xludf.DUMMYFUNCTION("""COMPUTED_VALUE"""),0.05)</f>
        <v>0.05</v>
      </c>
      <c r="R2401" s="14">
        <f>IFERROR(__xludf.DUMMYFUNCTION("""COMPUTED_VALUE"""),57.0)</f>
        <v>57</v>
      </c>
      <c r="S2401" s="14">
        <f>IFERROR(__xludf.DUMMYFUNCTION("""COMPUTED_VALUE"""),55.0)</f>
        <v>55</v>
      </c>
      <c r="T2401" s="14">
        <f>IFERROR(__xludf.DUMMYFUNCTION("""COMPUTED_VALUE"""),0.447)</f>
        <v>0.447</v>
      </c>
      <c r="U2401" s="14">
        <f>IFERROR(__xludf.DUMMYFUNCTION("""COMPUTED_VALUE"""),0.522)</f>
        <v>0.522</v>
      </c>
      <c r="V2401" s="14">
        <f>IFERROR(__xludf.DUMMYFUNCTION("""COMPUTED_VALUE"""),0.03)</f>
        <v>0.03</v>
      </c>
      <c r="W2401" s="14">
        <f>IFERROR(__xludf.DUMMYFUNCTION("""COMPUTED_VALUE"""),4.1119693E7)</f>
        <v>41119693</v>
      </c>
      <c r="X2401" s="14">
        <f>IFERROR(__xludf.DUMMYFUNCTION("""COMPUTED_VALUE"""),0.261)</f>
        <v>0.261</v>
      </c>
      <c r="Y2401" s="14" t="str">
        <f>IFERROR(__xludf.DUMMYFUNCTION("""COMPUTED_VALUE"""),"Tanzania-Africa")</f>
        <v>Tanzania-Africa</v>
      </c>
      <c r="Z2401" s="14" t="str">
        <f>IFERROR(__xludf.DUMMYFUNCTION("""COMPUTED_VALUE"""),"Africa")</f>
        <v>Africa</v>
      </c>
      <c r="AA2401" s="14" t="str">
        <f>IFERROR(__xludf.DUMMYFUNCTION("""COMPUTED_VALUE"""),"2007")</f>
        <v>2007</v>
      </c>
      <c r="AB2401" s="15" t="str">
        <f>IFERROR(__xludf.DUMMYFUNCTION("ARRAYFORMULA(VLOOKUP(A2401,IMPORTRANGE(""https://docs.google.com/spreadsheets/d/1BuTWp7qHGjWhqrnf-OmePP568O4A5Am9ttzvVdP67zw/edit#gid=1931367683"" ,""ENERGY!$A$2:$F$2692""), {2,3,4,5,6},0))"),"Africa")</f>
        <v>Africa</v>
      </c>
      <c r="AC2401" s="14" t="str">
        <f>IFERROR(__xludf.DUMMYFUNCTION("""COMPUTED_VALUE"""),"Tanzania-Africa")</f>
        <v>Tanzania-Africa</v>
      </c>
      <c r="AD2401" s="14" t="str">
        <f>IFERROR(__xludf.DUMMYFUNCTION("""COMPUTED_VALUE"""),"2011")</f>
        <v>2011</v>
      </c>
      <c r="AE2401" s="14">
        <f>IFERROR(__xludf.DUMMYFUNCTION("""COMPUTED_VALUE"""),17141.0)</f>
        <v>17141</v>
      </c>
      <c r="AF2401" s="14">
        <f>IFERROR(__xludf.DUMMYFUNCTION("""COMPUTED_VALUE"""),5618.0)</f>
        <v>5618</v>
      </c>
    </row>
    <row r="2402">
      <c r="A2402" s="12">
        <v>2401.0</v>
      </c>
      <c r="B2402" s="12" t="s">
        <v>263</v>
      </c>
      <c r="C2402" s="5" t="s">
        <v>77</v>
      </c>
      <c r="D2402" s="11">
        <v>0.444</v>
      </c>
      <c r="E2402" s="11">
        <v>26.0</v>
      </c>
      <c r="F2402" s="8"/>
      <c r="G2402" s="11">
        <v>172.0</v>
      </c>
      <c r="H2402" s="11">
        <v>0.019</v>
      </c>
      <c r="I2402" s="11">
        <v>0.307</v>
      </c>
      <c r="J2402" s="9" t="s">
        <v>69</v>
      </c>
      <c r="K2402" s="14" t="str">
        <f>IFERROR(__xludf.DUMMYFUNCTION("ARRAYFORMULA(VLOOKUP(A2402,IMPORTRANGE(""https://docs.google.com/spreadsheets/d/1BuTWp7qHGjWhqrnf-OmePP568O4A5Am9ttzvVdP67zw/edit#gid=1603210130"", ""TOURISM!$A$2:$F$2692""), {2,3,4,5,6},0))"),"Africa")</f>
        <v>Africa</v>
      </c>
      <c r="L2402" s="14">
        <f>IFERROR(__xludf.DUMMYFUNCTION("""COMPUTED_VALUE"""),1.293E9)</f>
        <v>1293000000</v>
      </c>
      <c r="M2402" s="14" t="str">
        <f>IFERROR(__xludf.DUMMYFUNCTION("""COMPUTED_VALUE"""),"Tanzania-Africa")</f>
        <v>Tanzania-Africa</v>
      </c>
      <c r="N2402" s="14" t="str">
        <f>IFERROR(__xludf.DUMMYFUNCTION("""COMPUTED_VALUE"""),"2008")</f>
        <v>2008</v>
      </c>
      <c r="O2402" s="14">
        <f>IFERROR(__xludf.DUMMYFUNCTION("""COMPUTED_VALUE"""),7.46E8)</f>
        <v>746000000</v>
      </c>
      <c r="P2402" s="15">
        <f>IFERROR(__xludf.DUMMYFUNCTION("ARRAYFORMULA(VLOOKUP(A2402,IMPORTRANGE(""https://docs.google.com/spreadsheets/d/1BuTWp7qHGjWhqrnf-OmePP568O4A5Am9ttzvVdP67zw/edit#gid=771602874"" ,""HUMAN RESOURCES!$A$2:$M$2692""), {2,3,4,5,6,7,8,9,10,11,12,13},0))"),0.041)</f>
        <v>0.041</v>
      </c>
      <c r="Q2402" s="14">
        <f>IFERROR(__xludf.DUMMYFUNCTION("""COMPUTED_VALUE"""),0.047)</f>
        <v>0.047</v>
      </c>
      <c r="R2402" s="14">
        <f>IFERROR(__xludf.DUMMYFUNCTION("""COMPUTED_VALUE"""),58.0)</f>
        <v>58</v>
      </c>
      <c r="S2402" s="14">
        <f>IFERROR(__xludf.DUMMYFUNCTION("""COMPUTED_VALUE"""),56.0)</f>
        <v>56</v>
      </c>
      <c r="T2402" s="14">
        <f>IFERROR(__xludf.DUMMYFUNCTION("""COMPUTED_VALUE"""),0.448)</f>
        <v>0.448</v>
      </c>
      <c r="U2402" s="14">
        <f>IFERROR(__xludf.DUMMYFUNCTION("""COMPUTED_VALUE"""),0.522)</f>
        <v>0.522</v>
      </c>
      <c r="V2402" s="14">
        <f>IFERROR(__xludf.DUMMYFUNCTION("""COMPUTED_VALUE"""),0.031)</f>
        <v>0.031</v>
      </c>
      <c r="W2402" s="14">
        <f>IFERROR(__xludf.DUMMYFUNCTION("""COMPUTED_VALUE"""),4.235379E7)</f>
        <v>42353790</v>
      </c>
      <c r="X2402" s="14">
        <f>IFERROR(__xludf.DUMMYFUNCTION("""COMPUTED_VALUE"""),0.268)</f>
        <v>0.268</v>
      </c>
      <c r="Y2402" s="14" t="str">
        <f>IFERROR(__xludf.DUMMYFUNCTION("""COMPUTED_VALUE"""),"Tanzania-Africa")</f>
        <v>Tanzania-Africa</v>
      </c>
      <c r="Z2402" s="14" t="str">
        <f>IFERROR(__xludf.DUMMYFUNCTION("""COMPUTED_VALUE"""),"Africa")</f>
        <v>Africa</v>
      </c>
      <c r="AA2402" s="14" t="str">
        <f>IFERROR(__xludf.DUMMYFUNCTION("""COMPUTED_VALUE"""),"2008")</f>
        <v>2008</v>
      </c>
      <c r="AB2402" s="15" t="str">
        <f>IFERROR(__xludf.DUMMYFUNCTION("ARRAYFORMULA(VLOOKUP(A2402,IMPORTRANGE(""https://docs.google.com/spreadsheets/d/1BuTWp7qHGjWhqrnf-OmePP568O4A5Am9ttzvVdP67zw/edit#gid=1931367683"" ,""ENERGY!$A$2:$F$2692""), {2,3,4,5,6},0))"),"Africa")</f>
        <v>Africa</v>
      </c>
      <c r="AC2402" s="14" t="str">
        <f>IFERROR(__xludf.DUMMYFUNCTION("""COMPUTED_VALUE"""),"Tanzania-Africa")</f>
        <v>Tanzania-Africa</v>
      </c>
      <c r="AD2402" s="14" t="str">
        <f>IFERROR(__xludf.DUMMYFUNCTION("""COMPUTED_VALUE"""),"2008")</f>
        <v>2008</v>
      </c>
      <c r="AE2402" s="14">
        <f>IFERROR(__xludf.DUMMYFUNCTION("""COMPUTED_VALUE"""),16198.0)</f>
        <v>16198</v>
      </c>
      <c r="AF2402" s="14">
        <f>IFERROR(__xludf.DUMMYFUNCTION("""COMPUTED_VALUE"""),4353.0)</f>
        <v>4353</v>
      </c>
    </row>
    <row r="2403">
      <c r="A2403" s="12">
        <v>2402.0</v>
      </c>
      <c r="B2403" s="12" t="s">
        <v>263</v>
      </c>
      <c r="C2403" s="5" t="s">
        <v>77</v>
      </c>
      <c r="D2403" s="11">
        <v>0.444</v>
      </c>
      <c r="E2403" s="11">
        <v>26.0</v>
      </c>
      <c r="F2403" s="8"/>
      <c r="G2403" s="11">
        <v>172.0</v>
      </c>
      <c r="H2403" s="11">
        <v>0.024</v>
      </c>
      <c r="I2403" s="11">
        <v>0.4</v>
      </c>
      <c r="J2403" s="9" t="s">
        <v>70</v>
      </c>
      <c r="K2403" s="14" t="str">
        <f>IFERROR(__xludf.DUMMYFUNCTION("ARRAYFORMULA(VLOOKUP(A2403,IMPORTRANGE(""https://docs.google.com/spreadsheets/d/1BuTWp7qHGjWhqrnf-OmePP568O4A5Am9ttzvVdP67zw/edit#gid=1603210130"", ""TOURISM!$A$2:$F$2692""), {2,3,4,5,6},0))"),"Africa")</f>
        <v>Africa</v>
      </c>
      <c r="L2403" s="14">
        <f>IFERROR(__xludf.DUMMYFUNCTION("""COMPUTED_VALUE"""),1.192E9)</f>
        <v>1192000000</v>
      </c>
      <c r="M2403" s="14" t="str">
        <f>IFERROR(__xludf.DUMMYFUNCTION("""COMPUTED_VALUE"""),"Tanzania-Africa")</f>
        <v>Tanzania-Africa</v>
      </c>
      <c r="N2403" s="14" t="str">
        <f>IFERROR(__xludf.DUMMYFUNCTION("""COMPUTED_VALUE"""),"2009")</f>
        <v>2009</v>
      </c>
      <c r="O2403" s="14">
        <f>IFERROR(__xludf.DUMMYFUNCTION("""COMPUTED_VALUE"""),8.06E8)</f>
        <v>806000000</v>
      </c>
      <c r="P2403" s="15">
        <f>IFERROR(__xludf.DUMMYFUNCTION("ARRAYFORMULA(VLOOKUP(A2403,IMPORTRANGE(""https://docs.google.com/spreadsheets/d/1BuTWp7qHGjWhqrnf-OmePP568O4A5Am9ttzvVdP67zw/edit#gid=771602874"" ,""HUMAN RESOURCES!$A$2:$M$2692""), {2,3,4,5,6,7,8,9,10,11,12,13},0))"),0.041)</f>
        <v>0.041</v>
      </c>
      <c r="Q2403" s="14">
        <f>IFERROR(__xludf.DUMMYFUNCTION("""COMPUTED_VALUE"""),0.044)</f>
        <v>0.044</v>
      </c>
      <c r="R2403" s="14">
        <f>IFERROR(__xludf.DUMMYFUNCTION("""COMPUTED_VALUE"""),59.0)</f>
        <v>59</v>
      </c>
      <c r="S2403" s="14">
        <f>IFERROR(__xludf.DUMMYFUNCTION("""COMPUTED_VALUE"""),57.0)</f>
        <v>57</v>
      </c>
      <c r="T2403" s="14">
        <f>IFERROR(__xludf.DUMMYFUNCTION("""COMPUTED_VALUE"""),0.448)</f>
        <v>0.448</v>
      </c>
      <c r="U2403" s="14">
        <f>IFERROR(__xludf.DUMMYFUNCTION("""COMPUTED_VALUE"""),0.521)</f>
        <v>0.521</v>
      </c>
      <c r="V2403" s="14">
        <f>IFERROR(__xludf.DUMMYFUNCTION("""COMPUTED_VALUE"""),0.031)</f>
        <v>0.031</v>
      </c>
      <c r="W2403" s="14">
        <f>IFERROR(__xludf.DUMMYFUNCTION("""COMPUTED_VALUE"""),4.3639752E7)</f>
        <v>43639752</v>
      </c>
      <c r="X2403" s="14">
        <f>IFERROR(__xludf.DUMMYFUNCTION("""COMPUTED_VALUE"""),0.274)</f>
        <v>0.274</v>
      </c>
      <c r="Y2403" s="14" t="str">
        <f>IFERROR(__xludf.DUMMYFUNCTION("""COMPUTED_VALUE"""),"Tanzania-Africa")</f>
        <v>Tanzania-Africa</v>
      </c>
      <c r="Z2403" s="14" t="str">
        <f>IFERROR(__xludf.DUMMYFUNCTION("""COMPUTED_VALUE"""),"Africa")</f>
        <v>Africa</v>
      </c>
      <c r="AA2403" s="14" t="str">
        <f>IFERROR(__xludf.DUMMYFUNCTION("""COMPUTED_VALUE"""),"2009")</f>
        <v>2009</v>
      </c>
      <c r="AB2403" s="15" t="str">
        <f>IFERROR(__xludf.DUMMYFUNCTION("ARRAYFORMULA(VLOOKUP(A2403,IMPORTRANGE(""https://docs.google.com/spreadsheets/d/1BuTWp7qHGjWhqrnf-OmePP568O4A5Am9ttzvVdP67zw/edit#gid=1931367683"" ,""ENERGY!$A$2:$F$2692""), {2,3,4,5,6},0))"),"Africa")</f>
        <v>Africa</v>
      </c>
      <c r="AC2403" s="14" t="str">
        <f>IFERROR(__xludf.DUMMYFUNCTION("""COMPUTED_VALUE"""),"Tanzania-Africa")</f>
        <v>Tanzania-Africa</v>
      </c>
      <c r="AD2403" s="14" t="str">
        <f>IFERROR(__xludf.DUMMYFUNCTION("""COMPUTED_VALUE"""),"2012")</f>
        <v>2012</v>
      </c>
      <c r="AE2403" s="14">
        <f>IFERROR(__xludf.DUMMYFUNCTION("""COMPUTED_VALUE"""),15491.0)</f>
        <v>15491</v>
      </c>
      <c r="AF2403" s="14">
        <f>IFERROR(__xludf.DUMMYFUNCTION("""COMPUTED_VALUE"""),3806.0)</f>
        <v>3806</v>
      </c>
    </row>
    <row r="2404">
      <c r="A2404" s="12">
        <v>2403.0</v>
      </c>
      <c r="B2404" s="12" t="s">
        <v>263</v>
      </c>
      <c r="C2404" s="5" t="s">
        <v>77</v>
      </c>
      <c r="D2404" s="11">
        <v>0.444</v>
      </c>
      <c r="E2404" s="11">
        <v>26.0</v>
      </c>
      <c r="F2404" s="8"/>
      <c r="G2404" s="11">
        <v>172.0</v>
      </c>
      <c r="H2404" s="11">
        <v>0.029</v>
      </c>
      <c r="I2404" s="11">
        <v>0.467</v>
      </c>
      <c r="J2404" s="9" t="s">
        <v>71</v>
      </c>
      <c r="K2404" s="14" t="str">
        <f>IFERROR(__xludf.DUMMYFUNCTION("ARRAYFORMULA(VLOOKUP(A2404,IMPORTRANGE(""https://docs.google.com/spreadsheets/d/1BuTWp7qHGjWhqrnf-OmePP568O4A5Am9ttzvVdP67zw/edit#gid=1603210130"", ""TOURISM!$A$2:$F$2692""), {2,3,4,5,6},0))"),"Africa")</f>
        <v>Africa</v>
      </c>
      <c r="L2404" s="14">
        <f>IFERROR(__xludf.DUMMYFUNCTION("""COMPUTED_VALUE"""),1.279E9)</f>
        <v>1279000000</v>
      </c>
      <c r="M2404" s="14" t="str">
        <f>IFERROR(__xludf.DUMMYFUNCTION("""COMPUTED_VALUE"""),"Tanzania-Africa")</f>
        <v>Tanzania-Africa</v>
      </c>
      <c r="N2404" s="14" t="str">
        <f>IFERROR(__xludf.DUMMYFUNCTION("""COMPUTED_VALUE"""),"2010")</f>
        <v>2010</v>
      </c>
      <c r="O2404" s="14">
        <f>IFERROR(__xludf.DUMMYFUNCTION("""COMPUTED_VALUE"""),8.61E8)</f>
        <v>861000000</v>
      </c>
      <c r="P2404" s="15">
        <f>IFERROR(__xludf.DUMMYFUNCTION("ARRAYFORMULA(VLOOKUP(A2404,IMPORTRANGE(""https://docs.google.com/spreadsheets/d/1BuTWp7qHGjWhqrnf-OmePP568O4A5Am9ttzvVdP67zw/edit#gid=771602874"" ,""HUMAN RESOURCES!$A$2:$M$2692""), {2,3,4,5,6,7,8,9,10,11,12,13},0))"),0.041)</f>
        <v>0.041</v>
      </c>
      <c r="Q2404" s="14">
        <f>IFERROR(__xludf.DUMMYFUNCTION("""COMPUTED_VALUE"""),0.041)</f>
        <v>0.041</v>
      </c>
      <c r="R2404" s="14">
        <f>IFERROR(__xludf.DUMMYFUNCTION("""COMPUTED_VALUE"""),60.0)</f>
        <v>60</v>
      </c>
      <c r="S2404" s="14">
        <f>IFERROR(__xludf.DUMMYFUNCTION("""COMPUTED_VALUE"""),58.0)</f>
        <v>58</v>
      </c>
      <c r="T2404" s="14">
        <f>IFERROR(__xludf.DUMMYFUNCTION("""COMPUTED_VALUE"""),0.448)</f>
        <v>0.448</v>
      </c>
      <c r="U2404" s="14">
        <f>IFERROR(__xludf.DUMMYFUNCTION("""COMPUTED_VALUE"""),0.52)</f>
        <v>0.52</v>
      </c>
      <c r="V2404" s="14">
        <f>IFERROR(__xludf.DUMMYFUNCTION("""COMPUTED_VALUE"""),0.031)</f>
        <v>0.031</v>
      </c>
      <c r="W2404" s="14">
        <f>IFERROR(__xludf.DUMMYFUNCTION("""COMPUTED_VALUE"""),4.497333E7)</f>
        <v>44973330</v>
      </c>
      <c r="X2404" s="14">
        <f>IFERROR(__xludf.DUMMYFUNCTION("""COMPUTED_VALUE"""),0.281)</f>
        <v>0.281</v>
      </c>
      <c r="Y2404" s="14" t="str">
        <f>IFERROR(__xludf.DUMMYFUNCTION("""COMPUTED_VALUE"""),"Tanzania-Africa")</f>
        <v>Tanzania-Africa</v>
      </c>
      <c r="Z2404" s="14" t="str">
        <f>IFERROR(__xludf.DUMMYFUNCTION("""COMPUTED_VALUE"""),"Africa")</f>
        <v>Africa</v>
      </c>
      <c r="AA2404" s="14" t="str">
        <f>IFERROR(__xludf.DUMMYFUNCTION("""COMPUTED_VALUE"""),"2010")</f>
        <v>2010</v>
      </c>
      <c r="AB2404" s="15" t="str">
        <f>IFERROR(__xludf.DUMMYFUNCTION("ARRAYFORMULA(VLOOKUP(A2404,IMPORTRANGE(""https://docs.google.com/spreadsheets/d/1BuTWp7qHGjWhqrnf-OmePP568O4A5Am9ttzvVdP67zw/edit#gid=1931367683"" ,""ENERGY!$A$2:$F$2692""), {2,3,4,5,6},0))"),"Africa")</f>
        <v>Africa</v>
      </c>
      <c r="AC2404" s="14" t="str">
        <f>IFERROR(__xludf.DUMMYFUNCTION("""COMPUTED_VALUE"""),"Tanzania-Africa")</f>
        <v>Tanzania-Africa</v>
      </c>
      <c r="AD2404" s="14" t="str">
        <f>IFERROR(__xludf.DUMMYFUNCTION("""COMPUTED_VALUE"""),"2009")</f>
        <v>2009</v>
      </c>
      <c r="AE2404" s="14">
        <f>IFERROR(__xludf.DUMMYFUNCTION("""COMPUTED_VALUE"""),14916.0)</f>
        <v>14916</v>
      </c>
      <c r="AF2404" s="14">
        <f>IFERROR(__xludf.DUMMYFUNCTION("""COMPUTED_VALUE"""),3590.0)</f>
        <v>3590</v>
      </c>
    </row>
    <row r="2405">
      <c r="A2405" s="12">
        <v>2404.0</v>
      </c>
      <c r="B2405" s="12" t="s">
        <v>263</v>
      </c>
      <c r="C2405" s="5" t="s">
        <v>77</v>
      </c>
      <c r="D2405" s="11">
        <v>0.449</v>
      </c>
      <c r="E2405" s="11">
        <v>26.0</v>
      </c>
      <c r="F2405" s="8"/>
      <c r="G2405" s="11">
        <v>172.0</v>
      </c>
      <c r="H2405" s="11">
        <v>0.035</v>
      </c>
      <c r="I2405" s="11">
        <v>0.554</v>
      </c>
      <c r="J2405" s="9" t="s">
        <v>72</v>
      </c>
      <c r="K2405" s="14" t="str">
        <f>IFERROR(__xludf.DUMMYFUNCTION("ARRAYFORMULA(VLOOKUP(A2405,IMPORTRANGE(""https://docs.google.com/spreadsheets/d/1BuTWp7qHGjWhqrnf-OmePP568O4A5Am9ttzvVdP67zw/edit#gid=1603210130"", ""TOURISM!$A$2:$F$2692""), {2,3,4,5,6},0))"),"Africa")</f>
        <v>Africa</v>
      </c>
      <c r="L2405" s="14">
        <f>IFERROR(__xludf.DUMMYFUNCTION("""COMPUTED_VALUE"""),1.383E9)</f>
        <v>1383000000</v>
      </c>
      <c r="M2405" s="14" t="str">
        <f>IFERROR(__xludf.DUMMYFUNCTION("""COMPUTED_VALUE"""),"Tanzania-Africa")</f>
        <v>Tanzania-Africa</v>
      </c>
      <c r="N2405" s="14" t="str">
        <f>IFERROR(__xludf.DUMMYFUNCTION("""COMPUTED_VALUE"""),"2011")</f>
        <v>2011</v>
      </c>
      <c r="O2405" s="14">
        <f>IFERROR(__xludf.DUMMYFUNCTION("""COMPUTED_VALUE"""),9.28E8)</f>
        <v>928000000</v>
      </c>
      <c r="P2405" s="15">
        <f>IFERROR(__xludf.DUMMYFUNCTION("ARRAYFORMULA(VLOOKUP(A2405,IMPORTRANGE(""https://docs.google.com/spreadsheets/d/1BuTWp7qHGjWhqrnf-OmePP568O4A5Am9ttzvVdP67zw/edit#gid=771602874"" ,""HUMAN RESOURCES!$A$2:$M$2692""), {2,3,4,5,6,7,8,9,10,11,12,13},0))"),0.04)</f>
        <v>0.04</v>
      </c>
      <c r="Q2405" s="14">
        <f>IFERROR(__xludf.DUMMYFUNCTION("""COMPUTED_VALUE"""),0.039)</f>
        <v>0.039</v>
      </c>
      <c r="R2405" s="14">
        <f>IFERROR(__xludf.DUMMYFUNCTION("""COMPUTED_VALUE"""),61.0)</f>
        <v>61</v>
      </c>
      <c r="S2405" s="14">
        <f>IFERROR(__xludf.DUMMYFUNCTION("""COMPUTED_VALUE"""),59.0)</f>
        <v>59</v>
      </c>
      <c r="T2405" s="14">
        <f>IFERROR(__xludf.DUMMYFUNCTION("""COMPUTED_VALUE"""),0.449)</f>
        <v>0.449</v>
      </c>
      <c r="U2405" s="14">
        <f>IFERROR(__xludf.DUMMYFUNCTION("""COMPUTED_VALUE"""),0.52)</f>
        <v>0.52</v>
      </c>
      <c r="V2405" s="14">
        <f>IFERROR(__xludf.DUMMYFUNCTION("""COMPUTED_VALUE"""),0.031)</f>
        <v>0.031</v>
      </c>
      <c r="W2405" s="14">
        <f>IFERROR(__xludf.DUMMYFUNCTION("""COMPUTED_VALUE"""),4.6354607E7)</f>
        <v>46354607</v>
      </c>
      <c r="X2405" s="14">
        <f>IFERROR(__xludf.DUMMYFUNCTION("""COMPUTED_VALUE"""),0.288)</f>
        <v>0.288</v>
      </c>
      <c r="Y2405" s="14" t="str">
        <f>IFERROR(__xludf.DUMMYFUNCTION("""COMPUTED_VALUE"""),"Tanzania-Africa")</f>
        <v>Tanzania-Africa</v>
      </c>
      <c r="Z2405" s="14" t="str">
        <f>IFERROR(__xludf.DUMMYFUNCTION("""COMPUTED_VALUE"""),"Africa")</f>
        <v>Africa</v>
      </c>
      <c r="AA2405" s="14" t="str">
        <f>IFERROR(__xludf.DUMMYFUNCTION("""COMPUTED_VALUE"""),"2011")</f>
        <v>2011</v>
      </c>
      <c r="AB2405" s="15" t="str">
        <f>IFERROR(__xludf.DUMMYFUNCTION("ARRAYFORMULA(VLOOKUP(A2405,IMPORTRANGE(""https://docs.google.com/spreadsheets/d/1BuTWp7qHGjWhqrnf-OmePP568O4A5Am9ttzvVdP67zw/edit#gid=1931367683"" ,""ENERGY!$A$2:$F$2692""), {2,3,4,5,6},0))"),"Africa")</f>
        <v>Africa</v>
      </c>
      <c r="AC2405" s="14" t="str">
        <f>IFERROR(__xludf.DUMMYFUNCTION("""COMPUTED_VALUE"""),"Tanzania-Africa")</f>
        <v>Tanzania-Africa</v>
      </c>
      <c r="AD2405" s="14" t="str">
        <f>IFERROR(__xludf.DUMMYFUNCTION("""COMPUTED_VALUE"""),"2007")</f>
        <v>2007</v>
      </c>
      <c r="AE2405" s="14">
        <f>IFERROR(__xludf.DUMMYFUNCTION("""COMPUTED_VALUE"""),14203.0)</f>
        <v>14203</v>
      </c>
      <c r="AF2405" s="14">
        <f>IFERROR(__xludf.DUMMYFUNCTION("""COMPUTED_VALUE"""),3128.0)</f>
        <v>3128</v>
      </c>
    </row>
    <row r="2406">
      <c r="A2406" s="12">
        <v>2405.0</v>
      </c>
      <c r="B2406" s="12" t="s">
        <v>263</v>
      </c>
      <c r="C2406" s="5" t="s">
        <v>77</v>
      </c>
      <c r="D2406" s="11">
        <v>0.449</v>
      </c>
      <c r="E2406" s="11">
        <v>26.0</v>
      </c>
      <c r="F2406" s="11">
        <v>136.0</v>
      </c>
      <c r="G2406" s="11">
        <v>172.0</v>
      </c>
      <c r="H2406" s="11">
        <v>0.04</v>
      </c>
      <c r="I2406" s="11">
        <v>0.57</v>
      </c>
      <c r="J2406" s="9" t="s">
        <v>73</v>
      </c>
      <c r="K2406" s="14" t="str">
        <f>IFERROR(__xludf.DUMMYFUNCTION("ARRAYFORMULA(VLOOKUP(A2406,IMPORTRANGE(""https://docs.google.com/spreadsheets/d/1BuTWp7qHGjWhqrnf-OmePP568O4A5Am9ttzvVdP67zw/edit#gid=1603210130"", ""TOURISM!$A$2:$F$2692""), {2,3,4,5,6},0))"),"Africa")</f>
        <v>Africa</v>
      </c>
      <c r="L2406" s="14">
        <f>IFERROR(__xludf.DUMMYFUNCTION("""COMPUTED_VALUE"""),1.605E9)</f>
        <v>1605000000</v>
      </c>
      <c r="M2406" s="14" t="str">
        <f>IFERROR(__xludf.DUMMYFUNCTION("""COMPUTED_VALUE"""),"Tanzania-Africa")</f>
        <v>Tanzania-Africa</v>
      </c>
      <c r="N2406" s="14" t="str">
        <f>IFERROR(__xludf.DUMMYFUNCTION("""COMPUTED_VALUE"""),"2012")</f>
        <v>2012</v>
      </c>
      <c r="O2406" s="14">
        <f>IFERROR(__xludf.DUMMYFUNCTION("""COMPUTED_VALUE"""),1.003E9)</f>
        <v>1003000000</v>
      </c>
      <c r="P2406" s="15">
        <f>IFERROR(__xludf.DUMMYFUNCTION("ARRAYFORMULA(VLOOKUP(A2406,IMPORTRANGE(""https://docs.google.com/spreadsheets/d/1BuTWp7qHGjWhqrnf-OmePP568O4A5Am9ttzvVdP67zw/edit#gid=771602874"" ,""HUMAN RESOURCES!$A$2:$M$2692""), {2,3,4,5,6,7,8,9,10,11,12,13},0))"),0.04)</f>
        <v>0.04</v>
      </c>
      <c r="Q2406" s="14">
        <f>IFERROR(__xludf.DUMMYFUNCTION("""COMPUTED_VALUE"""),0.038)</f>
        <v>0.038</v>
      </c>
      <c r="R2406" s="14">
        <f>IFERROR(__xludf.DUMMYFUNCTION("""COMPUTED_VALUE"""),62.0)</f>
        <v>62</v>
      </c>
      <c r="S2406" s="14">
        <f>IFERROR(__xludf.DUMMYFUNCTION("""COMPUTED_VALUE"""),60.0)</f>
        <v>60</v>
      </c>
      <c r="T2406" s="14">
        <f>IFERROR(__xludf.DUMMYFUNCTION("""COMPUTED_VALUE"""),0.449)</f>
        <v>0.449</v>
      </c>
      <c r="U2406" s="14">
        <f>IFERROR(__xludf.DUMMYFUNCTION("""COMPUTED_VALUE"""),0.52)</f>
        <v>0.52</v>
      </c>
      <c r="V2406" s="14">
        <f>IFERROR(__xludf.DUMMYFUNCTION("""COMPUTED_VALUE"""),0.032)</f>
        <v>0.032</v>
      </c>
      <c r="W2406" s="14">
        <f>IFERROR(__xludf.DUMMYFUNCTION("""COMPUTED_VALUE"""),4.7783107E7)</f>
        <v>47783107</v>
      </c>
      <c r="X2406" s="14">
        <f>IFERROR(__xludf.DUMMYFUNCTION("""COMPUTED_VALUE"""),0.295)</f>
        <v>0.295</v>
      </c>
      <c r="Y2406" s="14" t="str">
        <f>IFERROR(__xludf.DUMMYFUNCTION("""COMPUTED_VALUE"""),"Tanzania-Africa")</f>
        <v>Tanzania-Africa</v>
      </c>
      <c r="Z2406" s="14" t="str">
        <f>IFERROR(__xludf.DUMMYFUNCTION("""COMPUTED_VALUE"""),"Africa")</f>
        <v>Africa</v>
      </c>
      <c r="AA2406" s="14" t="str">
        <f>IFERROR(__xludf.DUMMYFUNCTION("""COMPUTED_VALUE"""),"2012")</f>
        <v>2012</v>
      </c>
      <c r="AB2406" s="15" t="str">
        <f>IFERROR(__xludf.DUMMYFUNCTION("ARRAYFORMULA(VLOOKUP(A2406,IMPORTRANGE(""https://docs.google.com/spreadsheets/d/1BuTWp7qHGjWhqrnf-OmePP568O4A5Am9ttzvVdP67zw/edit#gid=1931367683"" ,""ENERGY!$A$2:$F$2692""), {2,3,4,5,6},0))"),"Africa")</f>
        <v>Africa</v>
      </c>
      <c r="AC2406" s="14" t="str">
        <f>IFERROR(__xludf.DUMMYFUNCTION("""COMPUTED_VALUE"""),"Tanzania-Africa")</f>
        <v>Tanzania-Africa</v>
      </c>
      <c r="AD2406" s="14" t="str">
        <f>IFERROR(__xludf.DUMMYFUNCTION("""COMPUTED_VALUE"""),"2012")</f>
        <v>2012</v>
      </c>
      <c r="AE2406" s="14">
        <f>IFERROR(__xludf.DUMMYFUNCTION("""COMPUTED_VALUE"""),13390.0)</f>
        <v>13390</v>
      </c>
      <c r="AF2406" s="14">
        <f>IFERROR(__xludf.DUMMYFUNCTION("""COMPUTED_VALUE"""),2651.0)</f>
        <v>2651</v>
      </c>
    </row>
    <row r="2407">
      <c r="A2407" s="12">
        <v>2406.0</v>
      </c>
      <c r="B2407" s="12" t="s">
        <v>264</v>
      </c>
      <c r="C2407" s="5" t="s">
        <v>61</v>
      </c>
      <c r="D2407" s="8"/>
      <c r="E2407" s="8"/>
      <c r="F2407" s="8"/>
      <c r="G2407" s="8"/>
      <c r="H2407" s="11">
        <v>0.037</v>
      </c>
      <c r="I2407" s="11">
        <v>0.049</v>
      </c>
      <c r="J2407" s="9" t="s">
        <v>60</v>
      </c>
      <c r="K2407" s="14" t="str">
        <f>IFERROR(__xludf.DUMMYFUNCTION("ARRAYFORMULA(VLOOKUP(A2407,IMPORTRANGE(""https://docs.google.com/spreadsheets/d/1BuTWp7qHGjWhqrnf-OmePP568O4A5Am9ttzvVdP67zw/edit#gid=1603210130"", ""TOURISM!$A$2:$F$2692""), {2,3,4,5,6},0))"),"Asia")</f>
        <v>Asia</v>
      </c>
      <c r="L2407" s="14">
        <f>IFERROR(__xludf.DUMMYFUNCTION("""COMPUTED_VALUE"""),9.935E9)</f>
        <v>9935000000</v>
      </c>
      <c r="M2407" s="14" t="str">
        <f>IFERROR(__xludf.DUMMYFUNCTION("""COMPUTED_VALUE"""),"Thailand-Asia")</f>
        <v>Thailand-Asia</v>
      </c>
      <c r="N2407" s="14" t="str">
        <f>IFERROR(__xludf.DUMMYFUNCTION("""COMPUTED_VALUE"""),"2000")</f>
        <v>2000</v>
      </c>
      <c r="O2407" s="14">
        <f>IFERROR(__xludf.DUMMYFUNCTION("""COMPUTED_VALUE"""),3.218E9)</f>
        <v>3218000000</v>
      </c>
      <c r="P2407" s="15">
        <f>IFERROR(__xludf.DUMMYFUNCTION("ARRAYFORMULA(VLOOKUP(A2407,IMPORTRANGE(""https://docs.google.com/spreadsheets/d/1BuTWp7qHGjWhqrnf-OmePP568O4A5Am9ttzvVdP67zw/edit#gid=771602874"" ,""HUMAN RESOURCES!$A$2:$M$2692""), {2,3,4,5,6,7,8,9,10,11,12,13},0))"),0.015)</f>
        <v>0.015</v>
      </c>
      <c r="Q2407" s="14">
        <f>IFERROR(__xludf.DUMMYFUNCTION("""COMPUTED_VALUE"""),0.019)</f>
        <v>0.019</v>
      </c>
      <c r="R2407" s="14">
        <f>IFERROR(__xludf.DUMMYFUNCTION("""COMPUTED_VALUE"""),75.0)</f>
        <v>75</v>
      </c>
      <c r="S2407" s="14">
        <f>IFERROR(__xludf.DUMMYFUNCTION("""COMPUTED_VALUE"""),67.0)</f>
        <v>67</v>
      </c>
      <c r="T2407" s="14">
        <f>IFERROR(__xludf.DUMMYFUNCTION("""COMPUTED_VALUE"""),0.242)</f>
        <v>0.242</v>
      </c>
      <c r="U2407" s="14">
        <f>IFERROR(__xludf.DUMMYFUNCTION("""COMPUTED_VALUE"""),0.693)</f>
        <v>0.693</v>
      </c>
      <c r="V2407" s="14">
        <f>IFERROR(__xludf.DUMMYFUNCTION("""COMPUTED_VALUE"""),0.066)</f>
        <v>0.066</v>
      </c>
      <c r="W2407" s="14">
        <f>IFERROR(__xludf.DUMMYFUNCTION("""COMPUTED_VALUE"""),6.2343379E7)</f>
        <v>62343379</v>
      </c>
      <c r="X2407" s="14">
        <f>IFERROR(__xludf.DUMMYFUNCTION("""COMPUTED_VALUE"""),0.314)</f>
        <v>0.314</v>
      </c>
      <c r="Y2407" s="14" t="str">
        <f>IFERROR(__xludf.DUMMYFUNCTION("""COMPUTED_VALUE"""),"Thailand-Asia")</f>
        <v>Thailand-Asia</v>
      </c>
      <c r="Z2407" s="14" t="str">
        <f>IFERROR(__xludf.DUMMYFUNCTION("""COMPUTED_VALUE"""),"Asia")</f>
        <v>Asia</v>
      </c>
      <c r="AA2407" s="14" t="str">
        <f>IFERROR(__xludf.DUMMYFUNCTION("""COMPUTED_VALUE"""),"2000")</f>
        <v>2000</v>
      </c>
      <c r="AB2407" s="15" t="str">
        <f>IFERROR(__xludf.DUMMYFUNCTION("ARRAYFORMULA(VLOOKUP(A2407,IMPORTRANGE(""https://docs.google.com/spreadsheets/d/1BuTWp7qHGjWhqrnf-OmePP568O4A5Am9ttzvVdP67zw/edit#gid=1931367683"" ,""ENERGY!$A$2:$F$2692""), {2,3,4,5,6},0))"),"Asia")</f>
        <v>Asia</v>
      </c>
      <c r="AC2407" s="14" t="str">
        <f>IFERROR(__xludf.DUMMYFUNCTION("""COMPUTED_VALUE"""),"Thailand-Asia")</f>
        <v>Thailand-Asia</v>
      </c>
      <c r="AD2407" s="14" t="str">
        <f>IFERROR(__xludf.DUMMYFUNCTION("""COMPUTED_VALUE"""),"2000")</f>
        <v>2000</v>
      </c>
      <c r="AE2407" s="14"/>
      <c r="AF2407" s="14"/>
    </row>
    <row r="2408">
      <c r="A2408" s="12">
        <v>2407.0</v>
      </c>
      <c r="B2408" s="12" t="s">
        <v>264</v>
      </c>
      <c r="C2408" s="5" t="s">
        <v>61</v>
      </c>
      <c r="D2408" s="8"/>
      <c r="E2408" s="8"/>
      <c r="F2408" s="8"/>
      <c r="G2408" s="8"/>
      <c r="H2408" s="11">
        <v>0.056</v>
      </c>
      <c r="I2408" s="11">
        <v>0.12</v>
      </c>
      <c r="J2408" s="9" t="s">
        <v>62</v>
      </c>
      <c r="K2408" s="14" t="str">
        <f>IFERROR(__xludf.DUMMYFUNCTION("ARRAYFORMULA(VLOOKUP(A2408,IMPORTRANGE(""https://docs.google.com/spreadsheets/d/1BuTWp7qHGjWhqrnf-OmePP568O4A5Am9ttzvVdP67zw/edit#gid=1603210130"", ""TOURISM!$A$2:$F$2692""), {2,3,4,5,6},0))"),"Asia")</f>
        <v>Asia</v>
      </c>
      <c r="L2408" s="14">
        <f>IFERROR(__xludf.DUMMYFUNCTION("""COMPUTED_VALUE"""),9.378E9)</f>
        <v>9378000000</v>
      </c>
      <c r="M2408" s="14" t="str">
        <f>IFERROR(__xludf.DUMMYFUNCTION("""COMPUTED_VALUE"""),"Thailand-Asia")</f>
        <v>Thailand-Asia</v>
      </c>
      <c r="N2408" s="14" t="str">
        <f>IFERROR(__xludf.DUMMYFUNCTION("""COMPUTED_VALUE"""),"2001")</f>
        <v>2001</v>
      </c>
      <c r="O2408" s="14">
        <f>IFERROR(__xludf.DUMMYFUNCTION("""COMPUTED_VALUE"""),3.334E9)</f>
        <v>3334000000</v>
      </c>
      <c r="P2408" s="15">
        <f>IFERROR(__xludf.DUMMYFUNCTION("ARRAYFORMULA(VLOOKUP(A2408,IMPORTRANGE(""https://docs.google.com/spreadsheets/d/1BuTWp7qHGjWhqrnf-OmePP568O4A5Am9ttzvVdP67zw/edit#gid=771602874"" ,""HUMAN RESOURCES!$A$2:$M$2692""), {2,3,4,5,6,7,8,9,10,11,12,13},0))"),0.014)</f>
        <v>0.014</v>
      </c>
      <c r="Q2408" s="14">
        <f>IFERROR(__xludf.DUMMYFUNCTION("""COMPUTED_VALUE"""),0.018)</f>
        <v>0.018</v>
      </c>
      <c r="R2408" s="14">
        <f>IFERROR(__xludf.DUMMYFUNCTION("""COMPUTED_VALUE"""),75.0)</f>
        <v>75</v>
      </c>
      <c r="S2408" s="14">
        <f>IFERROR(__xludf.DUMMYFUNCTION("""COMPUTED_VALUE"""),67.0)</f>
        <v>67</v>
      </c>
      <c r="T2408" s="14">
        <f>IFERROR(__xludf.DUMMYFUNCTION("""COMPUTED_VALUE"""),0.238)</f>
        <v>0.238</v>
      </c>
      <c r="U2408" s="14">
        <f>IFERROR(__xludf.DUMMYFUNCTION("""COMPUTED_VALUE"""),0.694)</f>
        <v>0.694</v>
      </c>
      <c r="V2408" s="14">
        <f>IFERROR(__xludf.DUMMYFUNCTION("""COMPUTED_VALUE"""),0.068)</f>
        <v>0.068</v>
      </c>
      <c r="W2408" s="14">
        <f>IFERROR(__xludf.DUMMYFUNCTION("""COMPUTED_VALUE"""),6.306907E7)</f>
        <v>63069070</v>
      </c>
      <c r="X2408" s="14">
        <f>IFERROR(__xludf.DUMMYFUNCTION("""COMPUTED_VALUE"""),0.326)</f>
        <v>0.326</v>
      </c>
      <c r="Y2408" s="14" t="str">
        <f>IFERROR(__xludf.DUMMYFUNCTION("""COMPUTED_VALUE"""),"Thailand-Asia")</f>
        <v>Thailand-Asia</v>
      </c>
      <c r="Z2408" s="14" t="str">
        <f>IFERROR(__xludf.DUMMYFUNCTION("""COMPUTED_VALUE"""),"Asia")</f>
        <v>Asia</v>
      </c>
      <c r="AA2408" s="14" t="str">
        <f>IFERROR(__xludf.DUMMYFUNCTION("""COMPUTED_VALUE"""),"2001")</f>
        <v>2001</v>
      </c>
      <c r="AB2408" s="15" t="str">
        <f>IFERROR(__xludf.DUMMYFUNCTION("ARRAYFORMULA(VLOOKUP(A2408,IMPORTRANGE(""https://docs.google.com/spreadsheets/d/1BuTWp7qHGjWhqrnf-OmePP568O4A5Am9ttzvVdP67zw/edit#gid=1931367683"" ,""ENERGY!$A$2:$F$2692""), {2,3,4,5,6},0))"),"Asia")</f>
        <v>Asia</v>
      </c>
      <c r="AC2408" s="14" t="str">
        <f>IFERROR(__xludf.DUMMYFUNCTION("""COMPUTED_VALUE"""),"Thailand-Asia")</f>
        <v>Thailand-Asia</v>
      </c>
      <c r="AD2408" s="14" t="str">
        <f>IFERROR(__xludf.DUMMYFUNCTION("""COMPUTED_VALUE"""),"2001")</f>
        <v>2001</v>
      </c>
      <c r="AE2408" s="14">
        <f>IFERROR(__xludf.DUMMYFUNCTION("""COMPUTED_VALUE"""),119147.0)</f>
        <v>119147</v>
      </c>
      <c r="AF2408" s="14"/>
    </row>
    <row r="2409">
      <c r="A2409" s="12">
        <v>2408.0</v>
      </c>
      <c r="B2409" s="12" t="s">
        <v>264</v>
      </c>
      <c r="C2409" s="5" t="s">
        <v>61</v>
      </c>
      <c r="D2409" s="8"/>
      <c r="E2409" s="8"/>
      <c r="F2409" s="8"/>
      <c r="G2409" s="8"/>
      <c r="H2409" s="11">
        <v>0.075</v>
      </c>
      <c r="I2409" s="11">
        <v>0.274</v>
      </c>
      <c r="J2409" s="9" t="s">
        <v>63</v>
      </c>
      <c r="K2409" s="14" t="str">
        <f>IFERROR(__xludf.DUMMYFUNCTION("ARRAYFORMULA(VLOOKUP(A2409,IMPORTRANGE(""https://docs.google.com/spreadsheets/d/1BuTWp7qHGjWhqrnf-OmePP568O4A5Am9ttzvVdP67zw/edit#gid=1603210130"", ""TOURISM!$A$2:$F$2692""), {2,3,4,5,6},0))"),"Asia")</f>
        <v>Asia</v>
      </c>
      <c r="L2409" s="14">
        <f>IFERROR(__xludf.DUMMYFUNCTION("""COMPUTED_VALUE"""),1.0388E10)</f>
        <v>10388000000</v>
      </c>
      <c r="M2409" s="14" t="str">
        <f>IFERROR(__xludf.DUMMYFUNCTION("""COMPUTED_VALUE"""),"Thailand-Asia")</f>
        <v>Thailand-Asia</v>
      </c>
      <c r="N2409" s="14" t="str">
        <f>IFERROR(__xludf.DUMMYFUNCTION("""COMPUTED_VALUE"""),"2002")</f>
        <v>2002</v>
      </c>
      <c r="O2409" s="14">
        <f>IFERROR(__xludf.DUMMYFUNCTION("""COMPUTED_VALUE"""),3.888E9)</f>
        <v>3888000000</v>
      </c>
      <c r="P2409" s="15">
        <f>IFERROR(__xludf.DUMMYFUNCTION("ARRAYFORMULA(VLOOKUP(A2409,IMPORTRANGE(""https://docs.google.com/spreadsheets/d/1BuTWp7qHGjWhqrnf-OmePP568O4A5Am9ttzvVdP67zw/edit#gid=771602874"" ,""HUMAN RESOURCES!$A$2:$M$2692""), {2,3,4,5,6,7,8,9,10,11,12,13},0))"),0.014)</f>
        <v>0.014</v>
      </c>
      <c r="Q2409" s="14">
        <f>IFERROR(__xludf.DUMMYFUNCTION("""COMPUTED_VALUE"""),0.018)</f>
        <v>0.018</v>
      </c>
      <c r="R2409" s="14">
        <f>IFERROR(__xludf.DUMMYFUNCTION("""COMPUTED_VALUE"""),75.0)</f>
        <v>75</v>
      </c>
      <c r="S2409" s="14">
        <f>IFERROR(__xludf.DUMMYFUNCTION("""COMPUTED_VALUE"""),68.0)</f>
        <v>68</v>
      </c>
      <c r="T2409" s="14">
        <f>IFERROR(__xludf.DUMMYFUNCTION("""COMPUTED_VALUE"""),0.234)</f>
        <v>0.234</v>
      </c>
      <c r="U2409" s="14">
        <f>IFERROR(__xludf.DUMMYFUNCTION("""COMPUTED_VALUE"""),0.696)</f>
        <v>0.696</v>
      </c>
      <c r="V2409" s="14">
        <f>IFERROR(__xludf.DUMMYFUNCTION("""COMPUTED_VALUE"""),0.07)</f>
        <v>0.07</v>
      </c>
      <c r="W2409" s="14">
        <f>IFERROR(__xludf.DUMMYFUNCTION("""COMPUTED_VALUE"""),6.3797841E7)</f>
        <v>63797841</v>
      </c>
      <c r="X2409" s="14">
        <f>IFERROR(__xludf.DUMMYFUNCTION("""COMPUTED_VALUE"""),0.338)</f>
        <v>0.338</v>
      </c>
      <c r="Y2409" s="14" t="str">
        <f>IFERROR(__xludf.DUMMYFUNCTION("""COMPUTED_VALUE"""),"Thailand-Asia")</f>
        <v>Thailand-Asia</v>
      </c>
      <c r="Z2409" s="14" t="str">
        <f>IFERROR(__xludf.DUMMYFUNCTION("""COMPUTED_VALUE"""),"Asia")</f>
        <v>Asia</v>
      </c>
      <c r="AA2409" s="14" t="str">
        <f>IFERROR(__xludf.DUMMYFUNCTION("""COMPUTED_VALUE"""),"2002")</f>
        <v>2002</v>
      </c>
      <c r="AB2409" s="15" t="str">
        <f>IFERROR(__xludf.DUMMYFUNCTION("ARRAYFORMULA(VLOOKUP(A2409,IMPORTRANGE(""https://docs.google.com/spreadsheets/d/1BuTWp7qHGjWhqrnf-OmePP568O4A5Am9ttzvVdP67zw/edit#gid=1931367683"" ,""ENERGY!$A$2:$F$2692""), {2,3,4,5,6},0))"),"Asia")</f>
        <v>Asia</v>
      </c>
      <c r="AC2409" s="14" t="str">
        <f>IFERROR(__xludf.DUMMYFUNCTION("""COMPUTED_VALUE"""),"Thailand-Asia")</f>
        <v>Thailand-Asia</v>
      </c>
      <c r="AD2409" s="14" t="str">
        <f>IFERROR(__xludf.DUMMYFUNCTION("""COMPUTED_VALUE"""),"2002")</f>
        <v>2002</v>
      </c>
      <c r="AE2409" s="14">
        <f>IFERROR(__xludf.DUMMYFUNCTION("""COMPUTED_VALUE"""),117429.0)</f>
        <v>117429</v>
      </c>
      <c r="AF2409" s="14">
        <f>IFERROR(__xludf.DUMMYFUNCTION("""COMPUTED_VALUE"""),295282.0)</f>
        <v>295282</v>
      </c>
    </row>
    <row r="2410">
      <c r="A2410" s="12">
        <v>2409.0</v>
      </c>
      <c r="B2410" s="12" t="s">
        <v>264</v>
      </c>
      <c r="C2410" s="5" t="s">
        <v>61</v>
      </c>
      <c r="D2410" s="8"/>
      <c r="E2410" s="11">
        <v>33.0</v>
      </c>
      <c r="F2410" s="8"/>
      <c r="G2410" s="8"/>
      <c r="H2410" s="11">
        <v>0.093</v>
      </c>
      <c r="I2410" s="11">
        <v>0.335</v>
      </c>
      <c r="J2410" s="9" t="s">
        <v>64</v>
      </c>
      <c r="K2410" s="14" t="str">
        <f>IFERROR(__xludf.DUMMYFUNCTION("ARRAYFORMULA(VLOOKUP(A2410,IMPORTRANGE(""https://docs.google.com/spreadsheets/d/1BuTWp7qHGjWhqrnf-OmePP568O4A5Am9ttzvVdP67zw/edit#gid=1603210130"", ""TOURISM!$A$2:$F$2692""), {2,3,4,5,6},0))"),"Asia")</f>
        <v>Asia</v>
      </c>
      <c r="L2410" s="14">
        <f>IFERROR(__xludf.DUMMYFUNCTION("""COMPUTED_VALUE"""),1.0456E10)</f>
        <v>10456000000</v>
      </c>
      <c r="M2410" s="14" t="str">
        <f>IFERROR(__xludf.DUMMYFUNCTION("""COMPUTED_VALUE"""),"Thailand-Asia")</f>
        <v>Thailand-Asia</v>
      </c>
      <c r="N2410" s="14" t="str">
        <f>IFERROR(__xludf.DUMMYFUNCTION("""COMPUTED_VALUE"""),"2003")</f>
        <v>2003</v>
      </c>
      <c r="O2410" s="14">
        <f>IFERROR(__xludf.DUMMYFUNCTION("""COMPUTED_VALUE"""),3.538E9)</f>
        <v>3538000000</v>
      </c>
      <c r="P2410" s="15">
        <f>IFERROR(__xludf.DUMMYFUNCTION("ARRAYFORMULA(VLOOKUP(A2410,IMPORTRANGE(""https://docs.google.com/spreadsheets/d/1BuTWp7qHGjWhqrnf-OmePP568O4A5Am9ttzvVdP67zw/edit#gid=771602874"" ,""HUMAN RESOURCES!$A$2:$M$2692""), {2,3,4,5,6,7,8,9,10,11,12,13},0))"),0.013)</f>
        <v>0.013</v>
      </c>
      <c r="Q2410" s="14">
        <f>IFERROR(__xludf.DUMMYFUNCTION("""COMPUTED_VALUE"""),0.017)</f>
        <v>0.017</v>
      </c>
      <c r="R2410" s="14">
        <f>IFERROR(__xludf.DUMMYFUNCTION("""COMPUTED_VALUE"""),75.0)</f>
        <v>75</v>
      </c>
      <c r="S2410" s="14">
        <f>IFERROR(__xludf.DUMMYFUNCTION("""COMPUTED_VALUE"""),68.0)</f>
        <v>68</v>
      </c>
      <c r="T2410" s="14">
        <f>IFERROR(__xludf.DUMMYFUNCTION("""COMPUTED_VALUE"""),0.231)</f>
        <v>0.231</v>
      </c>
      <c r="U2410" s="14">
        <f>IFERROR(__xludf.DUMMYFUNCTION("""COMPUTED_VALUE"""),0.696)</f>
        <v>0.696</v>
      </c>
      <c r="V2410" s="14">
        <f>IFERROR(__xludf.DUMMYFUNCTION("""COMPUTED_VALUE"""),0.073)</f>
        <v>0.073</v>
      </c>
      <c r="W2410" s="14">
        <f>IFERROR(__xludf.DUMMYFUNCTION("""COMPUTED_VALUE"""),6.4488338E7)</f>
        <v>64488338</v>
      </c>
      <c r="X2410" s="14">
        <f>IFERROR(__xludf.DUMMYFUNCTION("""COMPUTED_VALUE"""),0.35)</f>
        <v>0.35</v>
      </c>
      <c r="Y2410" s="14" t="str">
        <f>IFERROR(__xludf.DUMMYFUNCTION("""COMPUTED_VALUE"""),"Thailand-Asia")</f>
        <v>Thailand-Asia</v>
      </c>
      <c r="Z2410" s="14" t="str">
        <f>IFERROR(__xludf.DUMMYFUNCTION("""COMPUTED_VALUE"""),"Asia")</f>
        <v>Asia</v>
      </c>
      <c r="AA2410" s="14" t="str">
        <f>IFERROR(__xludf.DUMMYFUNCTION("""COMPUTED_VALUE"""),"2003")</f>
        <v>2003</v>
      </c>
      <c r="AB2410" s="15" t="str">
        <f>IFERROR(__xludf.DUMMYFUNCTION("ARRAYFORMULA(VLOOKUP(A2410,IMPORTRANGE(""https://docs.google.com/spreadsheets/d/1BuTWp7qHGjWhqrnf-OmePP568O4A5Am9ttzvVdP67zw/edit#gid=1931367683"" ,""ENERGY!$A$2:$F$2692""), {2,3,4,5,6},0))"),"Asia")</f>
        <v>Asia</v>
      </c>
      <c r="AC2410" s="14" t="str">
        <f>IFERROR(__xludf.DUMMYFUNCTION("""COMPUTED_VALUE"""),"Thailand-Asia")</f>
        <v>Thailand-Asia</v>
      </c>
      <c r="AD2410" s="14" t="str">
        <f>IFERROR(__xludf.DUMMYFUNCTION("""COMPUTED_VALUE"""),"2003")</f>
        <v>2003</v>
      </c>
      <c r="AE2410" s="14">
        <f>IFERROR(__xludf.DUMMYFUNCTION("""COMPUTED_VALUE"""),107300.0)</f>
        <v>107300</v>
      </c>
      <c r="AF2410" s="14">
        <f>IFERROR(__xludf.DUMMYFUNCTION("""COMPUTED_VALUE"""),276587.0)</f>
        <v>276587</v>
      </c>
    </row>
    <row r="2411">
      <c r="A2411" s="12">
        <v>2410.0</v>
      </c>
      <c r="B2411" s="12" t="s">
        <v>264</v>
      </c>
      <c r="C2411" s="5" t="s">
        <v>61</v>
      </c>
      <c r="D2411" s="8"/>
      <c r="E2411" s="11">
        <v>33.0</v>
      </c>
      <c r="F2411" s="8"/>
      <c r="G2411" s="8"/>
      <c r="H2411" s="11">
        <v>0.107</v>
      </c>
      <c r="I2411" s="11">
        <v>0.414</v>
      </c>
      <c r="J2411" s="9" t="s">
        <v>65</v>
      </c>
      <c r="K2411" s="14" t="str">
        <f>IFERROR(__xludf.DUMMYFUNCTION("ARRAYFORMULA(VLOOKUP(A2411,IMPORTRANGE(""https://docs.google.com/spreadsheets/d/1BuTWp7qHGjWhqrnf-OmePP568O4A5Am9ttzvVdP67zw/edit#gid=1603210130"", ""TOURISM!$A$2:$F$2692""), {2,3,4,5,6},0))"),"Asia")</f>
        <v>Asia</v>
      </c>
      <c r="L2411" s="14">
        <f>IFERROR(__xludf.DUMMYFUNCTION("""COMPUTED_VALUE"""),1.3054E10)</f>
        <v>13054000000</v>
      </c>
      <c r="M2411" s="14" t="str">
        <f>IFERROR(__xludf.DUMMYFUNCTION("""COMPUTED_VALUE"""),"Thailand-Asia")</f>
        <v>Thailand-Asia</v>
      </c>
      <c r="N2411" s="14" t="str">
        <f>IFERROR(__xludf.DUMMYFUNCTION("""COMPUTED_VALUE"""),"2004")</f>
        <v>2004</v>
      </c>
      <c r="O2411" s="14">
        <f>IFERROR(__xludf.DUMMYFUNCTION("""COMPUTED_VALUE"""),5.343E9)</f>
        <v>5343000000</v>
      </c>
      <c r="P2411" s="15">
        <f>IFERROR(__xludf.DUMMYFUNCTION("ARRAYFORMULA(VLOOKUP(A2411,IMPORTRANGE(""https://docs.google.com/spreadsheets/d/1BuTWp7qHGjWhqrnf-OmePP568O4A5Am9ttzvVdP67zw/edit#gid=771602874"" ,""HUMAN RESOURCES!$A$2:$M$2692""), {2,3,4,5,6,7,8,9,10,11,12,13},0))"),0.013)</f>
        <v>0.013</v>
      </c>
      <c r="Q2411" s="14">
        <f>IFERROR(__xludf.DUMMYFUNCTION("""COMPUTED_VALUE"""),0.016)</f>
        <v>0.016</v>
      </c>
      <c r="R2411" s="14">
        <f>IFERROR(__xludf.DUMMYFUNCTION("""COMPUTED_VALUE"""),76.0)</f>
        <v>76</v>
      </c>
      <c r="S2411" s="14">
        <f>IFERROR(__xludf.DUMMYFUNCTION("""COMPUTED_VALUE"""),69.0)</f>
        <v>69</v>
      </c>
      <c r="T2411" s="14">
        <f>IFERROR(__xludf.DUMMYFUNCTION("""COMPUTED_VALUE"""),0.228)</f>
        <v>0.228</v>
      </c>
      <c r="U2411" s="14">
        <f>IFERROR(__xludf.DUMMYFUNCTION("""COMPUTED_VALUE"""),0.697)</f>
        <v>0.697</v>
      </c>
      <c r="V2411" s="14">
        <f>IFERROR(__xludf.DUMMYFUNCTION("""COMPUTED_VALUE"""),0.075)</f>
        <v>0.075</v>
      </c>
      <c r="W2411" s="14">
        <f>IFERROR(__xludf.DUMMYFUNCTION("""COMPUTED_VALUE"""),6.50874E7)</f>
        <v>65087400</v>
      </c>
      <c r="X2411" s="14">
        <f>IFERROR(__xludf.DUMMYFUNCTION("""COMPUTED_VALUE"""),0.363)</f>
        <v>0.363</v>
      </c>
      <c r="Y2411" s="14" t="str">
        <f>IFERROR(__xludf.DUMMYFUNCTION("""COMPUTED_VALUE"""),"Thailand-Asia")</f>
        <v>Thailand-Asia</v>
      </c>
      <c r="Z2411" s="14" t="str">
        <f>IFERROR(__xludf.DUMMYFUNCTION("""COMPUTED_VALUE"""),"Asia")</f>
        <v>Asia</v>
      </c>
      <c r="AA2411" s="14" t="str">
        <f>IFERROR(__xludf.DUMMYFUNCTION("""COMPUTED_VALUE"""),"2004")</f>
        <v>2004</v>
      </c>
      <c r="AB2411" s="15" t="str">
        <f>IFERROR(__xludf.DUMMYFUNCTION("ARRAYFORMULA(VLOOKUP(A2411,IMPORTRANGE(""https://docs.google.com/spreadsheets/d/1BuTWp7qHGjWhqrnf-OmePP568O4A5Am9ttzvVdP67zw/edit#gid=1931367683"" ,""ENERGY!$A$2:$F$2692""), {2,3,4,5,6},0))"),"Asia")</f>
        <v>Asia</v>
      </c>
      <c r="AC2411" s="14" t="str">
        <f>IFERROR(__xludf.DUMMYFUNCTION("""COMPUTED_VALUE"""),"Thailand-Asia")</f>
        <v>Thailand-Asia</v>
      </c>
      <c r="AD2411" s="14" t="str">
        <f>IFERROR(__xludf.DUMMYFUNCTION("""COMPUTED_VALUE"""),"2005")</f>
        <v>2005</v>
      </c>
      <c r="AE2411" s="14">
        <f>IFERROR(__xludf.DUMMYFUNCTION("""COMPUTED_VALUE"""),107656.0)</f>
        <v>107656</v>
      </c>
      <c r="AF2411" s="14">
        <f>IFERROR(__xludf.DUMMYFUNCTION("""COMPUTED_VALUE"""),261838.0)</f>
        <v>261838</v>
      </c>
    </row>
    <row r="2412">
      <c r="A2412" s="12">
        <v>2411.0</v>
      </c>
      <c r="B2412" s="12" t="s">
        <v>264</v>
      </c>
      <c r="C2412" s="5" t="s">
        <v>61</v>
      </c>
      <c r="D2412" s="11">
        <v>0.375</v>
      </c>
      <c r="E2412" s="11">
        <v>33.0</v>
      </c>
      <c r="F2412" s="8"/>
      <c r="G2412" s="11">
        <v>264.0</v>
      </c>
      <c r="H2412" s="11">
        <v>0.15</v>
      </c>
      <c r="I2412" s="11">
        <v>0.465</v>
      </c>
      <c r="J2412" s="9" t="s">
        <v>66</v>
      </c>
      <c r="K2412" s="14" t="str">
        <f>IFERROR(__xludf.DUMMYFUNCTION("ARRAYFORMULA(VLOOKUP(A2412,IMPORTRANGE(""https://docs.google.com/spreadsheets/d/1BuTWp7qHGjWhqrnf-OmePP568O4A5Am9ttzvVdP67zw/edit#gid=1603210130"", ""TOURISM!$A$2:$F$2692""), {2,3,4,5,6},0))"),"Asia")</f>
        <v>Asia</v>
      </c>
      <c r="L2412" s="14">
        <f>IFERROR(__xludf.DUMMYFUNCTION("""COMPUTED_VALUE"""),1.2102E10)</f>
        <v>12102000000</v>
      </c>
      <c r="M2412" s="14" t="str">
        <f>IFERROR(__xludf.DUMMYFUNCTION("""COMPUTED_VALUE"""),"Thailand-Asia")</f>
        <v>Thailand-Asia</v>
      </c>
      <c r="N2412" s="14" t="str">
        <f>IFERROR(__xludf.DUMMYFUNCTION("""COMPUTED_VALUE"""),"2005")</f>
        <v>2005</v>
      </c>
      <c r="O2412" s="14">
        <f>IFERROR(__xludf.DUMMYFUNCTION("""COMPUTED_VALUE"""),4.917E9)</f>
        <v>4917000000</v>
      </c>
      <c r="P2412" s="15">
        <f>IFERROR(__xludf.DUMMYFUNCTION("ARRAYFORMULA(VLOOKUP(A2412,IMPORTRANGE(""https://docs.google.com/spreadsheets/d/1BuTWp7qHGjWhqrnf-OmePP568O4A5Am9ttzvVdP67zw/edit#gid=771602874"" ,""HUMAN RESOURCES!$A$2:$M$2692""), {2,3,4,5,6,7,8,9,10,11,12,13},0))"),0.013)</f>
        <v>0.013</v>
      </c>
      <c r="Q2412" s="14">
        <f>IFERROR(__xludf.DUMMYFUNCTION("""COMPUTED_VALUE"""),0.015)</f>
        <v>0.015</v>
      </c>
      <c r="R2412" s="14">
        <f>IFERROR(__xludf.DUMMYFUNCTION("""COMPUTED_VALUE"""),76.0)</f>
        <v>76</v>
      </c>
      <c r="S2412" s="14">
        <f>IFERROR(__xludf.DUMMYFUNCTION("""COMPUTED_VALUE"""),69.0)</f>
        <v>69</v>
      </c>
      <c r="T2412" s="14">
        <f>IFERROR(__xludf.DUMMYFUNCTION("""COMPUTED_VALUE"""),0.223)</f>
        <v>0.223</v>
      </c>
      <c r="U2412" s="14">
        <f>IFERROR(__xludf.DUMMYFUNCTION("""COMPUTED_VALUE"""),0.7)</f>
        <v>0.7</v>
      </c>
      <c r="V2412" s="14">
        <f>IFERROR(__xludf.DUMMYFUNCTION("""COMPUTED_VALUE"""),0.077)</f>
        <v>0.077</v>
      </c>
      <c r="W2412" s="14">
        <f>IFERROR(__xludf.DUMMYFUNCTION("""COMPUTED_VALUE"""),6.5559487E7)</f>
        <v>65559487</v>
      </c>
      <c r="X2412" s="14">
        <f>IFERROR(__xludf.DUMMYFUNCTION("""COMPUTED_VALUE"""),0.375)</f>
        <v>0.375</v>
      </c>
      <c r="Y2412" s="14" t="str">
        <f>IFERROR(__xludf.DUMMYFUNCTION("""COMPUTED_VALUE"""),"Thailand-Asia")</f>
        <v>Thailand-Asia</v>
      </c>
      <c r="Z2412" s="14" t="str">
        <f>IFERROR(__xludf.DUMMYFUNCTION("""COMPUTED_VALUE"""),"Asia")</f>
        <v>Asia</v>
      </c>
      <c r="AA2412" s="14" t="str">
        <f>IFERROR(__xludf.DUMMYFUNCTION("""COMPUTED_VALUE"""),"2005")</f>
        <v>2005</v>
      </c>
      <c r="AB2412" s="15" t="str">
        <f>IFERROR(__xludf.DUMMYFUNCTION("ARRAYFORMULA(VLOOKUP(A2412,IMPORTRANGE(""https://docs.google.com/spreadsheets/d/1BuTWp7qHGjWhqrnf-OmePP568O4A5Am9ttzvVdP67zw/edit#gid=1931367683"" ,""ENERGY!$A$2:$F$2692""), {2,3,4,5,6},0))"),"Asia")</f>
        <v>Asia</v>
      </c>
      <c r="AC2412" s="14" t="str">
        <f>IFERROR(__xludf.DUMMYFUNCTION("""COMPUTED_VALUE"""),"Thailand-Asia")</f>
        <v>Thailand-Asia</v>
      </c>
      <c r="AD2412" s="14" t="str">
        <f>IFERROR(__xludf.DUMMYFUNCTION("""COMPUTED_VALUE"""),"2009")</f>
        <v>2009</v>
      </c>
      <c r="AE2412" s="14">
        <f>IFERROR(__xludf.DUMMYFUNCTION("""COMPUTED_VALUE"""),104886.0)</f>
        <v>104886</v>
      </c>
      <c r="AF2412" s="14">
        <f>IFERROR(__xludf.DUMMYFUNCTION("""COMPUTED_VALUE"""),262205.0)</f>
        <v>262205</v>
      </c>
    </row>
    <row r="2413">
      <c r="A2413" s="12">
        <v>2412.0</v>
      </c>
      <c r="B2413" s="12" t="s">
        <v>264</v>
      </c>
      <c r="C2413" s="5" t="s">
        <v>61</v>
      </c>
      <c r="D2413" s="11">
        <v>0.374</v>
      </c>
      <c r="E2413" s="11">
        <v>33.0</v>
      </c>
      <c r="F2413" s="8"/>
      <c r="G2413" s="11">
        <v>264.0</v>
      </c>
      <c r="H2413" s="11">
        <v>0.172</v>
      </c>
      <c r="I2413" s="11">
        <v>0.609</v>
      </c>
      <c r="J2413" s="9" t="s">
        <v>67</v>
      </c>
      <c r="K2413" s="14" t="str">
        <f>IFERROR(__xludf.DUMMYFUNCTION("ARRAYFORMULA(VLOOKUP(A2413,IMPORTRANGE(""https://docs.google.com/spreadsheets/d/1BuTWp7qHGjWhqrnf-OmePP568O4A5Am9ttzvVdP67zw/edit#gid=1603210130"", ""TOURISM!$A$2:$F$2692""), {2,3,4,5,6},0))"),"Asia")</f>
        <v>Asia</v>
      </c>
      <c r="L2413" s="14">
        <f>IFERROR(__xludf.DUMMYFUNCTION("""COMPUTED_VALUE"""),1.6614E10)</f>
        <v>16614000000</v>
      </c>
      <c r="M2413" s="14" t="str">
        <f>IFERROR(__xludf.DUMMYFUNCTION("""COMPUTED_VALUE"""),"Thailand-Asia")</f>
        <v>Thailand-Asia</v>
      </c>
      <c r="N2413" s="14" t="str">
        <f>IFERROR(__xludf.DUMMYFUNCTION("""COMPUTED_VALUE"""),"2006")</f>
        <v>2006</v>
      </c>
      <c r="O2413" s="14">
        <f>IFERROR(__xludf.DUMMYFUNCTION("""COMPUTED_VALUE"""),6.173E9)</f>
        <v>6173000000</v>
      </c>
      <c r="P2413" s="15">
        <f>IFERROR(__xludf.DUMMYFUNCTION("ARRAYFORMULA(VLOOKUP(A2413,IMPORTRANGE(""https://docs.google.com/spreadsheets/d/1BuTWp7qHGjWhqrnf-OmePP568O4A5Am9ttzvVdP67zw/edit#gid=771602874"" ,""HUMAN RESOURCES!$A$2:$M$2692""), {2,3,4,5,6,7,8,9,10,11,12,13},0))"),0.012)</f>
        <v>0.012</v>
      </c>
      <c r="Q2413" s="14">
        <f>IFERROR(__xludf.DUMMYFUNCTION("""COMPUTED_VALUE"""),0.015)</f>
        <v>0.015</v>
      </c>
      <c r="R2413" s="14">
        <f>IFERROR(__xludf.DUMMYFUNCTION("""COMPUTED_VALUE"""),76.0)</f>
        <v>76</v>
      </c>
      <c r="S2413" s="14">
        <f>IFERROR(__xludf.DUMMYFUNCTION("""COMPUTED_VALUE"""),69.0)</f>
        <v>69</v>
      </c>
      <c r="T2413" s="14">
        <f>IFERROR(__xludf.DUMMYFUNCTION("""COMPUTED_VALUE"""),0.218)</f>
        <v>0.218</v>
      </c>
      <c r="U2413" s="14">
        <f>IFERROR(__xludf.DUMMYFUNCTION("""COMPUTED_VALUE"""),0.703)</f>
        <v>0.703</v>
      </c>
      <c r="V2413" s="14">
        <f>IFERROR(__xludf.DUMMYFUNCTION("""COMPUTED_VALUE"""),0.079)</f>
        <v>0.079</v>
      </c>
      <c r="W2413" s="14">
        <f>IFERROR(__xludf.DUMMYFUNCTION("""COMPUTED_VALUE"""),6.5883961E7)</f>
        <v>65883961</v>
      </c>
      <c r="X2413" s="14">
        <f>IFERROR(__xludf.DUMMYFUNCTION("""COMPUTED_VALUE"""),0.388)</f>
        <v>0.388</v>
      </c>
      <c r="Y2413" s="14" t="str">
        <f>IFERROR(__xludf.DUMMYFUNCTION("""COMPUTED_VALUE"""),"Thailand-Asia")</f>
        <v>Thailand-Asia</v>
      </c>
      <c r="Z2413" s="14" t="str">
        <f>IFERROR(__xludf.DUMMYFUNCTION("""COMPUTED_VALUE"""),"Asia")</f>
        <v>Asia</v>
      </c>
      <c r="AA2413" s="14" t="str">
        <f>IFERROR(__xludf.DUMMYFUNCTION("""COMPUTED_VALUE"""),"2006")</f>
        <v>2006</v>
      </c>
      <c r="AB2413" s="15" t="str">
        <f>IFERROR(__xludf.DUMMYFUNCTION("ARRAYFORMULA(VLOOKUP(A2413,IMPORTRANGE(""https://docs.google.com/spreadsheets/d/1BuTWp7qHGjWhqrnf-OmePP568O4A5Am9ttzvVdP67zw/edit#gid=1931367683"" ,""ENERGY!$A$2:$F$2692""), {2,3,4,5,6},0))"),"Asia")</f>
        <v>Asia</v>
      </c>
      <c r="AC2413" s="14" t="str">
        <f>IFERROR(__xludf.DUMMYFUNCTION("""COMPUTED_VALUE"""),"Thailand-Asia")</f>
        <v>Thailand-Asia</v>
      </c>
      <c r="AD2413" s="14" t="str">
        <f>IFERROR(__xludf.DUMMYFUNCTION("""COMPUTED_VALUE"""),"2005")</f>
        <v>2005</v>
      </c>
      <c r="AE2413" s="14">
        <f>IFERROR(__xludf.DUMMYFUNCTION("""COMPUTED_VALUE"""),101043.0)</f>
        <v>101043</v>
      </c>
      <c r="AF2413" s="14">
        <f>IFERROR(__xludf.DUMMYFUNCTION("""COMPUTED_VALUE"""),261211.0)</f>
        <v>261211</v>
      </c>
    </row>
    <row r="2414">
      <c r="A2414" s="12">
        <v>2413.0</v>
      </c>
      <c r="B2414" s="12" t="s">
        <v>264</v>
      </c>
      <c r="C2414" s="5" t="s">
        <v>61</v>
      </c>
      <c r="D2414" s="11">
        <v>0.374</v>
      </c>
      <c r="E2414" s="11">
        <v>33.0</v>
      </c>
      <c r="F2414" s="8"/>
      <c r="G2414" s="11">
        <v>264.0</v>
      </c>
      <c r="H2414" s="11">
        <v>0.2</v>
      </c>
      <c r="I2414" s="11">
        <v>0.802</v>
      </c>
      <c r="J2414" s="9" t="s">
        <v>68</v>
      </c>
      <c r="K2414" s="14" t="str">
        <f>IFERROR(__xludf.DUMMYFUNCTION("ARRAYFORMULA(VLOOKUP(A2414,IMPORTRANGE(""https://docs.google.com/spreadsheets/d/1BuTWp7qHGjWhqrnf-OmePP568O4A5Am9ttzvVdP67zw/edit#gid=1603210130"", ""TOURISM!$A$2:$F$2692""), {2,3,4,5,6},0))"),"Asia")</f>
        <v>Asia</v>
      </c>
      <c r="L2414" s="14">
        <f>IFERROR(__xludf.DUMMYFUNCTION("""COMPUTED_VALUE"""),2.0623E10)</f>
        <v>20623000000</v>
      </c>
      <c r="M2414" s="14" t="str">
        <f>IFERROR(__xludf.DUMMYFUNCTION("""COMPUTED_VALUE"""),"Thailand-Asia")</f>
        <v>Thailand-Asia</v>
      </c>
      <c r="N2414" s="14" t="str">
        <f>IFERROR(__xludf.DUMMYFUNCTION("""COMPUTED_VALUE"""),"2007")</f>
        <v>2007</v>
      </c>
      <c r="O2414" s="14">
        <f>IFERROR(__xludf.DUMMYFUNCTION("""COMPUTED_VALUE"""),6.887E9)</f>
        <v>6887000000</v>
      </c>
      <c r="P2414" s="15">
        <f>IFERROR(__xludf.DUMMYFUNCTION("ARRAYFORMULA(VLOOKUP(A2414,IMPORTRANGE(""https://docs.google.com/spreadsheets/d/1BuTWp7qHGjWhqrnf-OmePP568O4A5Am9ttzvVdP67zw/edit#gid=771602874"" ,""HUMAN RESOURCES!$A$2:$M$2692""), {2,3,4,5,6,7,8,9,10,11,12,13},0))"),0.012)</f>
        <v>0.012</v>
      </c>
      <c r="Q2414" s="14">
        <f>IFERROR(__xludf.DUMMYFUNCTION("""COMPUTED_VALUE"""),0.014)</f>
        <v>0.014</v>
      </c>
      <c r="R2414" s="14">
        <f>IFERROR(__xludf.DUMMYFUNCTION("""COMPUTED_VALUE"""),76.0)</f>
        <v>76</v>
      </c>
      <c r="S2414" s="14">
        <f>IFERROR(__xludf.DUMMYFUNCTION("""COMPUTED_VALUE"""),70.0)</f>
        <v>70</v>
      </c>
      <c r="T2414" s="14">
        <f>IFERROR(__xludf.DUMMYFUNCTION("""COMPUTED_VALUE"""),0.212)</f>
        <v>0.212</v>
      </c>
      <c r="U2414" s="14">
        <f>IFERROR(__xludf.DUMMYFUNCTION("""COMPUTED_VALUE"""),0.707)</f>
        <v>0.707</v>
      </c>
      <c r="V2414" s="14">
        <f>IFERROR(__xludf.DUMMYFUNCTION("""COMPUTED_VALUE"""),0.082)</f>
        <v>0.082</v>
      </c>
      <c r="W2414" s="14">
        <f>IFERROR(__xludf.DUMMYFUNCTION("""COMPUTED_VALUE"""),6.6076927E7)</f>
        <v>66076927</v>
      </c>
      <c r="X2414" s="14">
        <f>IFERROR(__xludf.DUMMYFUNCTION("""COMPUTED_VALUE"""),0.401)</f>
        <v>0.401</v>
      </c>
      <c r="Y2414" s="14" t="str">
        <f>IFERROR(__xludf.DUMMYFUNCTION("""COMPUTED_VALUE"""),"Thailand-Asia")</f>
        <v>Thailand-Asia</v>
      </c>
      <c r="Z2414" s="14" t="str">
        <f>IFERROR(__xludf.DUMMYFUNCTION("""COMPUTED_VALUE"""),"Asia")</f>
        <v>Asia</v>
      </c>
      <c r="AA2414" s="14" t="str">
        <f>IFERROR(__xludf.DUMMYFUNCTION("""COMPUTED_VALUE"""),"2007")</f>
        <v>2007</v>
      </c>
      <c r="AB2414" s="15" t="str">
        <f>IFERROR(__xludf.DUMMYFUNCTION("ARRAYFORMULA(VLOOKUP(A2414,IMPORTRANGE(""https://docs.google.com/spreadsheets/d/1BuTWp7qHGjWhqrnf-OmePP568O4A5Am9ttzvVdP67zw/edit#gid=1931367683"" ,""ENERGY!$A$2:$F$2692""), {2,3,4,5,6},0))"),"Asia")</f>
        <v>Asia</v>
      </c>
      <c r="AC2414" s="14" t="str">
        <f>IFERROR(__xludf.DUMMYFUNCTION("""COMPUTED_VALUE"""),"Thailand-Asia")</f>
        <v>Thailand-Asia</v>
      </c>
      <c r="AD2414" s="14" t="str">
        <f>IFERROR(__xludf.DUMMYFUNCTION("""COMPUTED_VALUE"""),"2011")</f>
        <v>2011</v>
      </c>
      <c r="AE2414" s="14">
        <f>IFERROR(__xludf.DUMMYFUNCTION("""COMPUTED_VALUE"""),99166.0)</f>
        <v>99166</v>
      </c>
      <c r="AF2414" s="14">
        <f>IFERROR(__xludf.DUMMYFUNCTION("""COMPUTED_VALUE"""),256169.0)</f>
        <v>256169</v>
      </c>
    </row>
    <row r="2415">
      <c r="A2415" s="12">
        <v>2414.0</v>
      </c>
      <c r="B2415" s="12" t="s">
        <v>264</v>
      </c>
      <c r="C2415" s="5" t="s">
        <v>61</v>
      </c>
      <c r="D2415" s="11">
        <v>0.375</v>
      </c>
      <c r="E2415" s="11">
        <v>33.0</v>
      </c>
      <c r="F2415" s="8"/>
      <c r="G2415" s="11">
        <v>264.0</v>
      </c>
      <c r="H2415" s="11">
        <v>0.182</v>
      </c>
      <c r="I2415" s="11">
        <v>0.934</v>
      </c>
      <c r="J2415" s="9" t="s">
        <v>69</v>
      </c>
      <c r="K2415" s="14" t="str">
        <f>IFERROR(__xludf.DUMMYFUNCTION("ARRAYFORMULA(VLOOKUP(A2415,IMPORTRANGE(""https://docs.google.com/spreadsheets/d/1BuTWp7qHGjWhqrnf-OmePP568O4A5Am9ttzvVdP67zw/edit#gid=1603210130"", ""TOURISM!$A$2:$F$2692""), {2,3,4,5,6},0))"),"Asia")</f>
        <v>Asia</v>
      </c>
      <c r="L2415" s="14">
        <f>IFERROR(__xludf.DUMMYFUNCTION("""COMPUTED_VALUE"""),2.2497E10)</f>
        <v>22497000000</v>
      </c>
      <c r="M2415" s="14" t="str">
        <f>IFERROR(__xludf.DUMMYFUNCTION("""COMPUTED_VALUE"""),"Thailand-Asia")</f>
        <v>Thailand-Asia</v>
      </c>
      <c r="N2415" s="14" t="str">
        <f>IFERROR(__xludf.DUMMYFUNCTION("""COMPUTED_VALUE"""),"2008")</f>
        <v>2008</v>
      </c>
      <c r="O2415" s="14">
        <f>IFERROR(__xludf.DUMMYFUNCTION("""COMPUTED_VALUE"""),6.7E9)</f>
        <v>6700000000</v>
      </c>
      <c r="P2415" s="15">
        <f>IFERROR(__xludf.DUMMYFUNCTION("ARRAYFORMULA(VLOOKUP(A2415,IMPORTRANGE(""https://docs.google.com/spreadsheets/d/1BuTWp7qHGjWhqrnf-OmePP568O4A5Am9ttzvVdP67zw/edit#gid=771602874"" ,""HUMAN RESOURCES!$A$2:$M$2692""), {2,3,4,5,6,7,8,9,10,11,12,13},0))"),0.012)</f>
        <v>0.012</v>
      </c>
      <c r="Q2415" s="14">
        <f>IFERROR(__xludf.DUMMYFUNCTION("""COMPUTED_VALUE"""),0.013)</f>
        <v>0.013</v>
      </c>
      <c r="R2415" s="14">
        <f>IFERROR(__xludf.DUMMYFUNCTION("""COMPUTED_VALUE"""),77.0)</f>
        <v>77</v>
      </c>
      <c r="S2415" s="14">
        <f>IFERROR(__xludf.DUMMYFUNCTION("""COMPUTED_VALUE"""),70.0)</f>
        <v>70</v>
      </c>
      <c r="T2415" s="14">
        <f>IFERROR(__xludf.DUMMYFUNCTION("""COMPUTED_VALUE"""),0.205)</f>
        <v>0.205</v>
      </c>
      <c r="U2415" s="14">
        <f>IFERROR(__xludf.DUMMYFUNCTION("""COMPUTED_VALUE"""),0.711)</f>
        <v>0.711</v>
      </c>
      <c r="V2415" s="14">
        <f>IFERROR(__xludf.DUMMYFUNCTION("""COMPUTED_VALUE"""),0.084)</f>
        <v>0.084</v>
      </c>
      <c r="W2415" s="14">
        <f>IFERROR(__xludf.DUMMYFUNCTION("""COMPUTED_VALUE"""),6.618534E7)</f>
        <v>66185340</v>
      </c>
      <c r="X2415" s="14">
        <f>IFERROR(__xludf.DUMMYFUNCTION("""COMPUTED_VALUE"""),0.414)</f>
        <v>0.414</v>
      </c>
      <c r="Y2415" s="14" t="str">
        <f>IFERROR(__xludf.DUMMYFUNCTION("""COMPUTED_VALUE"""),"Thailand-Asia")</f>
        <v>Thailand-Asia</v>
      </c>
      <c r="Z2415" s="14" t="str">
        <f>IFERROR(__xludf.DUMMYFUNCTION("""COMPUTED_VALUE"""),"Asia")</f>
        <v>Asia</v>
      </c>
      <c r="AA2415" s="14" t="str">
        <f>IFERROR(__xludf.DUMMYFUNCTION("""COMPUTED_VALUE"""),"2008")</f>
        <v>2008</v>
      </c>
      <c r="AB2415" s="15" t="str">
        <f>IFERROR(__xludf.DUMMYFUNCTION("ARRAYFORMULA(VLOOKUP(A2415,IMPORTRANGE(""https://docs.google.com/spreadsheets/d/1BuTWp7qHGjWhqrnf-OmePP568O4A5Am9ttzvVdP67zw/edit#gid=1931367683"" ,""ENERGY!$A$2:$F$2692""), {2,3,4,5,6},0))"),"Asia")</f>
        <v>Asia</v>
      </c>
      <c r="AC2415" s="14" t="str">
        <f>IFERROR(__xludf.DUMMYFUNCTION("""COMPUTED_VALUE"""),"Thailand-Asia")</f>
        <v>Thailand-Asia</v>
      </c>
      <c r="AD2415" s="14" t="str">
        <f>IFERROR(__xludf.DUMMYFUNCTION("""COMPUTED_VALUE"""),"2008")</f>
        <v>2008</v>
      </c>
      <c r="AE2415" s="14">
        <f>IFERROR(__xludf.DUMMYFUNCTION("""COMPUTED_VALUE"""),96291.0)</f>
        <v>96291</v>
      </c>
      <c r="AF2415" s="14">
        <f>IFERROR(__xludf.DUMMYFUNCTION("""COMPUTED_VALUE"""),252345.0)</f>
        <v>252345</v>
      </c>
    </row>
    <row r="2416">
      <c r="A2416" s="12">
        <v>2415.0</v>
      </c>
      <c r="B2416" s="12" t="s">
        <v>264</v>
      </c>
      <c r="C2416" s="5" t="s">
        <v>61</v>
      </c>
      <c r="D2416" s="11">
        <v>0.369</v>
      </c>
      <c r="E2416" s="11">
        <v>32.0</v>
      </c>
      <c r="F2416" s="8"/>
      <c r="G2416" s="11">
        <v>264.0</v>
      </c>
      <c r="H2416" s="11">
        <v>0.201</v>
      </c>
      <c r="I2416" s="11">
        <v>0.995</v>
      </c>
      <c r="J2416" s="9" t="s">
        <v>70</v>
      </c>
      <c r="K2416" s="14" t="str">
        <f>IFERROR(__xludf.DUMMYFUNCTION("ARRAYFORMULA(VLOOKUP(A2416,IMPORTRANGE(""https://docs.google.com/spreadsheets/d/1BuTWp7qHGjWhqrnf-OmePP568O4A5Am9ttzvVdP67zw/edit#gid=1603210130"", ""TOURISM!$A$2:$F$2692""), {2,3,4,5,6},0))"),"Asia")</f>
        <v>Asia</v>
      </c>
      <c r="L2416" s="14">
        <f>IFERROR(__xludf.DUMMYFUNCTION("""COMPUTED_VALUE"""),1.9814E10)</f>
        <v>19814000000</v>
      </c>
      <c r="M2416" s="14" t="str">
        <f>IFERROR(__xludf.DUMMYFUNCTION("""COMPUTED_VALUE"""),"Thailand-Asia")</f>
        <v>Thailand-Asia</v>
      </c>
      <c r="N2416" s="14" t="str">
        <f>IFERROR(__xludf.DUMMYFUNCTION("""COMPUTED_VALUE"""),"2009")</f>
        <v>2009</v>
      </c>
      <c r="O2416" s="14">
        <f>IFERROR(__xludf.DUMMYFUNCTION("""COMPUTED_VALUE"""),5.749E9)</f>
        <v>5749000000</v>
      </c>
      <c r="P2416" s="15">
        <f>IFERROR(__xludf.DUMMYFUNCTION("ARRAYFORMULA(VLOOKUP(A2416,IMPORTRANGE(""https://docs.google.com/spreadsheets/d/1BuTWp7qHGjWhqrnf-OmePP568O4A5Am9ttzvVdP67zw/edit#gid=771602874"" ,""HUMAN RESOURCES!$A$2:$M$2692""), {2,3,4,5,6,7,8,9,10,11,12,13},0))"),0.011)</f>
        <v>0.011</v>
      </c>
      <c r="Q2416" s="14">
        <f>IFERROR(__xludf.DUMMYFUNCTION("""COMPUTED_VALUE"""),0.013)</f>
        <v>0.013</v>
      </c>
      <c r="R2416" s="14">
        <f>IFERROR(__xludf.DUMMYFUNCTION("""COMPUTED_VALUE"""),77.0)</f>
        <v>77</v>
      </c>
      <c r="S2416" s="14">
        <f>IFERROR(__xludf.DUMMYFUNCTION("""COMPUTED_VALUE"""),70.0)</f>
        <v>70</v>
      </c>
      <c r="T2416" s="14">
        <f>IFERROR(__xludf.DUMMYFUNCTION("""COMPUTED_VALUE"""),0.199)</f>
        <v>0.199</v>
      </c>
      <c r="U2416" s="14">
        <f>IFERROR(__xludf.DUMMYFUNCTION("""COMPUTED_VALUE"""),0.715)</f>
        <v>0.715</v>
      </c>
      <c r="V2416" s="14">
        <f>IFERROR(__xludf.DUMMYFUNCTION("""COMPUTED_VALUE"""),0.086)</f>
        <v>0.086</v>
      </c>
      <c r="W2416" s="14">
        <f>IFERROR(__xludf.DUMMYFUNCTION("""COMPUTED_VALUE"""),6.6277335E7)</f>
        <v>66277335</v>
      </c>
      <c r="X2416" s="14">
        <f>IFERROR(__xludf.DUMMYFUNCTION("""COMPUTED_VALUE"""),0.427)</f>
        <v>0.427</v>
      </c>
      <c r="Y2416" s="14" t="str">
        <f>IFERROR(__xludf.DUMMYFUNCTION("""COMPUTED_VALUE"""),"Thailand-Asia")</f>
        <v>Thailand-Asia</v>
      </c>
      <c r="Z2416" s="14" t="str">
        <f>IFERROR(__xludf.DUMMYFUNCTION("""COMPUTED_VALUE"""),"Asia")</f>
        <v>Asia</v>
      </c>
      <c r="AA2416" s="14" t="str">
        <f>IFERROR(__xludf.DUMMYFUNCTION("""COMPUTED_VALUE"""),"2009")</f>
        <v>2009</v>
      </c>
      <c r="AB2416" s="15" t="str">
        <f>IFERROR(__xludf.DUMMYFUNCTION("ARRAYFORMULA(VLOOKUP(A2416,IMPORTRANGE(""https://docs.google.com/spreadsheets/d/1BuTWp7qHGjWhqrnf-OmePP568O4A5Am9ttzvVdP67zw/edit#gid=1931367683"" ,""ENERGY!$A$2:$F$2692""), {2,3,4,5,6},0))"),"Asia")</f>
        <v>Asia</v>
      </c>
      <c r="AC2416" s="14" t="str">
        <f>IFERROR(__xludf.DUMMYFUNCTION("""COMPUTED_VALUE"""),"Thailand-Asia")</f>
        <v>Thailand-Asia</v>
      </c>
      <c r="AD2416" s="14" t="str">
        <f>IFERROR(__xludf.DUMMYFUNCTION("""COMPUTED_VALUE"""),"2012")</f>
        <v>2012</v>
      </c>
      <c r="AE2416" s="14">
        <f>IFERROR(__xludf.DUMMYFUNCTION("""COMPUTED_VALUE"""),89107.0)</f>
        <v>89107</v>
      </c>
      <c r="AF2416" s="14">
        <f>IFERROR(__xludf.DUMMYFUNCTION("""COMPUTED_VALUE"""),232198.0)</f>
        <v>232198</v>
      </c>
    </row>
    <row r="2417">
      <c r="A2417" s="12">
        <v>2416.0</v>
      </c>
      <c r="B2417" s="12" t="s">
        <v>264</v>
      </c>
      <c r="C2417" s="5" t="s">
        <v>61</v>
      </c>
      <c r="D2417" s="11">
        <v>0.369</v>
      </c>
      <c r="E2417" s="11">
        <v>32.0</v>
      </c>
      <c r="F2417" s="8"/>
      <c r="G2417" s="11">
        <v>264.0</v>
      </c>
      <c r="H2417" s="11">
        <v>0.224</v>
      </c>
      <c r="I2417" s="11">
        <v>1.08</v>
      </c>
      <c r="J2417" s="9" t="s">
        <v>71</v>
      </c>
      <c r="K2417" s="14" t="str">
        <f>IFERROR(__xludf.DUMMYFUNCTION("ARRAYFORMULA(VLOOKUP(A2417,IMPORTRANGE(""https://docs.google.com/spreadsheets/d/1BuTWp7qHGjWhqrnf-OmePP568O4A5Am9ttzvVdP67zw/edit#gid=1603210130"", ""TOURISM!$A$2:$F$2692""), {2,3,4,5,6},0))"),"Asia")</f>
        <v>Asia</v>
      </c>
      <c r="L2417" s="14">
        <f>IFERROR(__xludf.DUMMYFUNCTION("""COMPUTED_VALUE"""),2.3809E10)</f>
        <v>23809000000</v>
      </c>
      <c r="M2417" s="14" t="str">
        <f>IFERROR(__xludf.DUMMYFUNCTION("""COMPUTED_VALUE"""),"Thailand-Asia")</f>
        <v>Thailand-Asia</v>
      </c>
      <c r="N2417" s="14" t="str">
        <f>IFERROR(__xludf.DUMMYFUNCTION("""COMPUTED_VALUE"""),"2010")</f>
        <v>2010</v>
      </c>
      <c r="O2417" s="14">
        <f>IFERROR(__xludf.DUMMYFUNCTION("""COMPUTED_VALUE"""),7.151E9)</f>
        <v>7151000000</v>
      </c>
      <c r="P2417" s="15">
        <f>IFERROR(__xludf.DUMMYFUNCTION("ARRAYFORMULA(VLOOKUP(A2417,IMPORTRANGE(""https://docs.google.com/spreadsheets/d/1BuTWp7qHGjWhqrnf-OmePP568O4A5Am9ttzvVdP67zw/edit#gid=771602874"" ,""HUMAN RESOURCES!$A$2:$M$2692""), {2,3,4,5,6,7,8,9,10,11,12,13},0))"),0.011)</f>
        <v>0.011</v>
      </c>
      <c r="Q2417" s="14">
        <f>IFERROR(__xludf.DUMMYFUNCTION("""COMPUTED_VALUE"""),0.013)</f>
        <v>0.013</v>
      </c>
      <c r="R2417" s="14">
        <f>IFERROR(__xludf.DUMMYFUNCTION("""COMPUTED_VALUE"""),77.0)</f>
        <v>77</v>
      </c>
      <c r="S2417" s="14">
        <f>IFERROR(__xludf.DUMMYFUNCTION("""COMPUTED_VALUE"""),71.0)</f>
        <v>71</v>
      </c>
      <c r="T2417" s="14">
        <f>IFERROR(__xludf.DUMMYFUNCTION("""COMPUTED_VALUE"""),0.193)</f>
        <v>0.193</v>
      </c>
      <c r="U2417" s="14">
        <f>IFERROR(__xludf.DUMMYFUNCTION("""COMPUTED_VALUE"""),0.718)</f>
        <v>0.718</v>
      </c>
      <c r="V2417" s="14">
        <f>IFERROR(__xludf.DUMMYFUNCTION("""COMPUTED_VALUE"""),0.089)</f>
        <v>0.089</v>
      </c>
      <c r="W2417" s="14">
        <f>IFERROR(__xludf.DUMMYFUNCTION("""COMPUTED_VALUE"""),6.6402316E7)</f>
        <v>66402316</v>
      </c>
      <c r="X2417" s="14">
        <f>IFERROR(__xludf.DUMMYFUNCTION("""COMPUTED_VALUE"""),0.441)</f>
        <v>0.441</v>
      </c>
      <c r="Y2417" s="14" t="str">
        <f>IFERROR(__xludf.DUMMYFUNCTION("""COMPUTED_VALUE"""),"Thailand-Asia")</f>
        <v>Thailand-Asia</v>
      </c>
      <c r="Z2417" s="14" t="str">
        <f>IFERROR(__xludf.DUMMYFUNCTION("""COMPUTED_VALUE"""),"Asia")</f>
        <v>Asia</v>
      </c>
      <c r="AA2417" s="14" t="str">
        <f>IFERROR(__xludf.DUMMYFUNCTION("""COMPUTED_VALUE"""),"2010")</f>
        <v>2010</v>
      </c>
      <c r="AB2417" s="15" t="str">
        <f>IFERROR(__xludf.DUMMYFUNCTION("ARRAYFORMULA(VLOOKUP(A2417,IMPORTRANGE(""https://docs.google.com/spreadsheets/d/1BuTWp7qHGjWhqrnf-OmePP568O4A5Am9ttzvVdP67zw/edit#gid=1931367683"" ,""ENERGY!$A$2:$F$2692""), {2,3,4,5,6},0))"),"Asia")</f>
        <v>Asia</v>
      </c>
      <c r="AC2417" s="14" t="str">
        <f>IFERROR(__xludf.DUMMYFUNCTION("""COMPUTED_VALUE"""),"Thailand-Asia")</f>
        <v>Thailand-Asia</v>
      </c>
      <c r="AD2417" s="14" t="str">
        <f>IFERROR(__xludf.DUMMYFUNCTION("""COMPUTED_VALUE"""),"2009")</f>
        <v>2009</v>
      </c>
      <c r="AE2417" s="14">
        <f>IFERROR(__xludf.DUMMYFUNCTION("""COMPUTED_VALUE"""),82257.0)</f>
        <v>82257</v>
      </c>
      <c r="AF2417" s="14">
        <f>IFERROR(__xludf.DUMMYFUNCTION("""COMPUTED_VALUE"""),215975.0)</f>
        <v>215975</v>
      </c>
    </row>
    <row r="2418">
      <c r="A2418" s="12">
        <v>2417.0</v>
      </c>
      <c r="B2418" s="12" t="s">
        <v>264</v>
      </c>
      <c r="C2418" s="5" t="s">
        <v>61</v>
      </c>
      <c r="D2418" s="11">
        <v>0.369</v>
      </c>
      <c r="E2418" s="11">
        <v>29.0</v>
      </c>
      <c r="F2418" s="8"/>
      <c r="G2418" s="11">
        <v>264.0</v>
      </c>
      <c r="H2418" s="11">
        <v>0.237</v>
      </c>
      <c r="I2418" s="11">
        <v>1.163</v>
      </c>
      <c r="J2418" s="9" t="s">
        <v>72</v>
      </c>
      <c r="K2418" s="14" t="str">
        <f>IFERROR(__xludf.DUMMYFUNCTION("ARRAYFORMULA(VLOOKUP(A2418,IMPORTRANGE(""https://docs.google.com/spreadsheets/d/1BuTWp7qHGjWhqrnf-OmePP568O4A5Am9ttzvVdP67zw/edit#gid=1603210130"", ""TOURISM!$A$2:$F$2692""), {2,3,4,5,6},0))"),"Asia")</f>
        <v>Asia</v>
      </c>
      <c r="L2418" s="14">
        <f>IFERROR(__xludf.DUMMYFUNCTION("""COMPUTED_VALUE"""),3.0926E10)</f>
        <v>30926000000</v>
      </c>
      <c r="M2418" s="14" t="str">
        <f>IFERROR(__xludf.DUMMYFUNCTION("""COMPUTED_VALUE"""),"Thailand-Asia")</f>
        <v>Thailand-Asia</v>
      </c>
      <c r="N2418" s="14" t="str">
        <f>IFERROR(__xludf.DUMMYFUNCTION("""COMPUTED_VALUE"""),"2011")</f>
        <v>2011</v>
      </c>
      <c r="O2418" s="14">
        <f>IFERROR(__xludf.DUMMYFUNCTION("""COMPUTED_VALUE"""),7.32E9)</f>
        <v>7320000000</v>
      </c>
      <c r="P2418" s="15">
        <f>IFERROR(__xludf.DUMMYFUNCTION("ARRAYFORMULA(VLOOKUP(A2418,IMPORTRANGE(""https://docs.google.com/spreadsheets/d/1BuTWp7qHGjWhqrnf-OmePP568O4A5Am9ttzvVdP67zw/edit#gid=771602874"" ,""HUMAN RESOURCES!$A$2:$M$2692""), {2,3,4,5,6,7,8,9,10,11,12,13},0))"),0.011)</f>
        <v>0.011</v>
      </c>
      <c r="Q2418" s="14">
        <f>IFERROR(__xludf.DUMMYFUNCTION("""COMPUTED_VALUE"""),0.012)</f>
        <v>0.012</v>
      </c>
      <c r="R2418" s="14">
        <f>IFERROR(__xludf.DUMMYFUNCTION("""COMPUTED_VALUE"""),77.0)</f>
        <v>77</v>
      </c>
      <c r="S2418" s="14">
        <f>IFERROR(__xludf.DUMMYFUNCTION("""COMPUTED_VALUE"""),71.0)</f>
        <v>71</v>
      </c>
      <c r="T2418" s="14">
        <f>IFERROR(__xludf.DUMMYFUNCTION("""COMPUTED_VALUE"""),0.189)</f>
        <v>0.189</v>
      </c>
      <c r="U2418" s="14">
        <f>IFERROR(__xludf.DUMMYFUNCTION("""COMPUTED_VALUE"""),0.72)</f>
        <v>0.72</v>
      </c>
      <c r="V2418" s="14">
        <f>IFERROR(__xludf.DUMMYFUNCTION("""COMPUTED_VALUE"""),0.091)</f>
        <v>0.091</v>
      </c>
      <c r="W2418" s="14">
        <f>IFERROR(__xludf.DUMMYFUNCTION("""COMPUTED_VALUE"""),6.6576332E7)</f>
        <v>66576332</v>
      </c>
      <c r="X2418" s="14">
        <f>IFERROR(__xludf.DUMMYFUNCTION("""COMPUTED_VALUE"""),0.454)</f>
        <v>0.454</v>
      </c>
      <c r="Y2418" s="14" t="str">
        <f>IFERROR(__xludf.DUMMYFUNCTION("""COMPUTED_VALUE"""),"Thailand-Asia")</f>
        <v>Thailand-Asia</v>
      </c>
      <c r="Z2418" s="14" t="str">
        <f>IFERROR(__xludf.DUMMYFUNCTION("""COMPUTED_VALUE"""),"Asia")</f>
        <v>Asia</v>
      </c>
      <c r="AA2418" s="14" t="str">
        <f>IFERROR(__xludf.DUMMYFUNCTION("""COMPUTED_VALUE"""),"2011")</f>
        <v>2011</v>
      </c>
      <c r="AB2418" s="15" t="str">
        <f>IFERROR(__xludf.DUMMYFUNCTION("ARRAYFORMULA(VLOOKUP(A2418,IMPORTRANGE(""https://docs.google.com/spreadsheets/d/1BuTWp7qHGjWhqrnf-OmePP568O4A5Am9ttzvVdP67zw/edit#gid=1931367683"" ,""ENERGY!$A$2:$F$2692""), {2,3,4,5,6},0))"),"Asia")</f>
        <v>Asia</v>
      </c>
      <c r="AC2418" s="14" t="str">
        <f>IFERROR(__xludf.DUMMYFUNCTION("""COMPUTED_VALUE"""),"Thailand-Asia")</f>
        <v>Thailand-Asia</v>
      </c>
      <c r="AD2418" s="14" t="str">
        <f>IFERROR(__xludf.DUMMYFUNCTION("""COMPUTED_VALUE"""),"2007")</f>
        <v>2007</v>
      </c>
      <c r="AE2418" s="14">
        <f>IFERROR(__xludf.DUMMYFUNCTION("""COMPUTED_VALUE"""),74385.0)</f>
        <v>74385</v>
      </c>
      <c r="AF2418" s="14">
        <f>IFERROR(__xludf.DUMMYFUNCTION("""COMPUTED_VALUE"""),202132.0)</f>
        <v>202132</v>
      </c>
    </row>
    <row r="2419">
      <c r="A2419" s="12">
        <v>2418.0</v>
      </c>
      <c r="B2419" s="12" t="s">
        <v>264</v>
      </c>
      <c r="C2419" s="5" t="s">
        <v>61</v>
      </c>
      <c r="D2419" s="11">
        <v>0.372</v>
      </c>
      <c r="E2419" s="11">
        <v>29.0</v>
      </c>
      <c r="F2419" s="11">
        <v>18.0</v>
      </c>
      <c r="G2419" s="11">
        <v>264.0</v>
      </c>
      <c r="H2419" s="11">
        <v>0.265</v>
      </c>
      <c r="I2419" s="11">
        <v>1.273</v>
      </c>
      <c r="J2419" s="9" t="s">
        <v>73</v>
      </c>
      <c r="K2419" s="14" t="str">
        <f>IFERROR(__xludf.DUMMYFUNCTION("ARRAYFORMULA(VLOOKUP(A2419,IMPORTRANGE(""https://docs.google.com/spreadsheets/d/1BuTWp7qHGjWhqrnf-OmePP568O4A5Am9ttzvVdP67zw/edit#gid=1603210130"", ""TOURISM!$A$2:$F$2692""), {2,3,4,5,6},0))"),"Asia")</f>
        <v>Asia</v>
      </c>
      <c r="L2419" s="14">
        <f>IFERROR(__xludf.DUMMYFUNCTION("""COMPUTED_VALUE"""),3.774E10)</f>
        <v>37740000000</v>
      </c>
      <c r="M2419" s="14" t="str">
        <f>IFERROR(__xludf.DUMMYFUNCTION("""COMPUTED_VALUE"""),"Thailand-Asia")</f>
        <v>Thailand-Asia</v>
      </c>
      <c r="N2419" s="14" t="str">
        <f>IFERROR(__xludf.DUMMYFUNCTION("""COMPUTED_VALUE"""),"2012")</f>
        <v>2012</v>
      </c>
      <c r="O2419" s="14">
        <f>IFERROR(__xludf.DUMMYFUNCTION("""COMPUTED_VALUE"""),7.864E9)</f>
        <v>7864000000</v>
      </c>
      <c r="P2419" s="15">
        <f>IFERROR(__xludf.DUMMYFUNCTION("ARRAYFORMULA(VLOOKUP(A2419,IMPORTRANGE(""https://docs.google.com/spreadsheets/d/1BuTWp7qHGjWhqrnf-OmePP568O4A5Am9ttzvVdP67zw/edit#gid=771602874"" ,""HUMAN RESOURCES!$A$2:$M$2692""), {2,3,4,5,6,7,8,9,10,11,12,13},0))"),0.01)</f>
        <v>0.01</v>
      </c>
      <c r="Q2419" s="14">
        <f>IFERROR(__xludf.DUMMYFUNCTION("""COMPUTED_VALUE"""),0.012)</f>
        <v>0.012</v>
      </c>
      <c r="R2419" s="14">
        <f>IFERROR(__xludf.DUMMYFUNCTION("""COMPUTED_VALUE"""),78.0)</f>
        <v>78</v>
      </c>
      <c r="S2419" s="14">
        <f>IFERROR(__xludf.DUMMYFUNCTION("""COMPUTED_VALUE"""),71.0)</f>
        <v>71</v>
      </c>
      <c r="T2419" s="14">
        <f>IFERROR(__xludf.DUMMYFUNCTION("""COMPUTED_VALUE"""),0.185)</f>
        <v>0.185</v>
      </c>
      <c r="U2419" s="14">
        <f>IFERROR(__xludf.DUMMYFUNCTION("""COMPUTED_VALUE"""),0.721)</f>
        <v>0.721</v>
      </c>
      <c r="V2419" s="14">
        <f>IFERROR(__xludf.DUMMYFUNCTION("""COMPUTED_VALUE"""),0.094)</f>
        <v>0.094</v>
      </c>
      <c r="W2419" s="14">
        <f>IFERROR(__xludf.DUMMYFUNCTION("""COMPUTED_VALUE"""),6.6785001E7)</f>
        <v>66785001</v>
      </c>
      <c r="X2419" s="14">
        <f>IFERROR(__xludf.DUMMYFUNCTION("""COMPUTED_VALUE"""),0.467)</f>
        <v>0.467</v>
      </c>
      <c r="Y2419" s="14" t="str">
        <f>IFERROR(__xludf.DUMMYFUNCTION("""COMPUTED_VALUE"""),"Thailand-Asia")</f>
        <v>Thailand-Asia</v>
      </c>
      <c r="Z2419" s="14" t="str">
        <f>IFERROR(__xludf.DUMMYFUNCTION("""COMPUTED_VALUE"""),"Asia")</f>
        <v>Asia</v>
      </c>
      <c r="AA2419" s="14" t="str">
        <f>IFERROR(__xludf.DUMMYFUNCTION("""COMPUTED_VALUE"""),"2012")</f>
        <v>2012</v>
      </c>
      <c r="AB2419" s="15" t="str">
        <f>IFERROR(__xludf.DUMMYFUNCTION("ARRAYFORMULA(VLOOKUP(A2419,IMPORTRANGE(""https://docs.google.com/spreadsheets/d/1BuTWp7qHGjWhqrnf-OmePP568O4A5Am9ttzvVdP67zw/edit#gid=1931367683"" ,""ENERGY!$A$2:$F$2692""), {2,3,4,5,6},0))"),"Asia")</f>
        <v>Asia</v>
      </c>
      <c r="AC2419" s="14" t="str">
        <f>IFERROR(__xludf.DUMMYFUNCTION("""COMPUTED_VALUE"""),"Thailand-Asia")</f>
        <v>Thailand-Asia</v>
      </c>
      <c r="AD2419" s="14" t="str">
        <f>IFERROR(__xludf.DUMMYFUNCTION("""COMPUTED_VALUE"""),"2012")</f>
        <v>2012</v>
      </c>
      <c r="AE2419" s="14">
        <f>IFERROR(__xludf.DUMMYFUNCTION("""COMPUTED_VALUE"""),72284.0)</f>
        <v>72284</v>
      </c>
      <c r="AF2419" s="14">
        <f>IFERROR(__xludf.DUMMYFUNCTION("""COMPUTED_VALUE"""),188355.0)</f>
        <v>188355</v>
      </c>
    </row>
    <row r="2420">
      <c r="A2420" s="12">
        <v>2419.0</v>
      </c>
      <c r="B2420" s="12" t="s">
        <v>265</v>
      </c>
      <c r="C2420" s="5" t="s">
        <v>61</v>
      </c>
      <c r="D2420" s="8"/>
      <c r="E2420" s="8"/>
      <c r="F2420" s="8"/>
      <c r="G2420" s="8"/>
      <c r="H2420" s="8"/>
      <c r="I2420" s="8"/>
      <c r="J2420" s="9" t="s">
        <v>60</v>
      </c>
      <c r="K2420" s="14" t="str">
        <f>IFERROR(__xludf.DUMMYFUNCTION("ARRAYFORMULA(VLOOKUP(A2420,IMPORTRANGE(""https://docs.google.com/spreadsheets/d/1BuTWp7qHGjWhqrnf-OmePP568O4A5Am9ttzvVdP67zw/edit#gid=1603210130"", ""TOURISM!$A$2:$F$2692""), {2,3,4,5,6},0))"),"Asia")</f>
        <v>Asia</v>
      </c>
      <c r="L2420" s="14"/>
      <c r="M2420" s="14" t="str">
        <f>IFERROR(__xludf.DUMMYFUNCTION("""COMPUTED_VALUE"""),"Timor-Leste-Asia")</f>
        <v>Timor-Leste-Asia</v>
      </c>
      <c r="N2420" s="14" t="str">
        <f>IFERROR(__xludf.DUMMYFUNCTION("""COMPUTED_VALUE"""),"2000")</f>
        <v>2000</v>
      </c>
      <c r="O2420" s="14"/>
      <c r="P2420" s="15">
        <f>IFERROR(__xludf.DUMMYFUNCTION("ARRAYFORMULA(VLOOKUP(A2420,IMPORTRANGE(""https://docs.google.com/spreadsheets/d/1BuTWp7qHGjWhqrnf-OmePP568O4A5Am9ttzvVdP67zw/edit#gid=771602874"" ,""HUMAN RESOURCES!$A$2:$M$2692""), {2,3,4,5,6,7,8,9,10,11,12,13},0))"),0.043)</f>
        <v>0.043</v>
      </c>
      <c r="Q2420" s="14">
        <f>IFERROR(__xludf.DUMMYFUNCTION("""COMPUTED_VALUE"""),0.084)</f>
        <v>0.084</v>
      </c>
      <c r="R2420" s="14">
        <f>IFERROR(__xludf.DUMMYFUNCTION("""COMPUTED_VALUE"""),61.0)</f>
        <v>61</v>
      </c>
      <c r="S2420" s="14">
        <f>IFERROR(__xludf.DUMMYFUNCTION("""COMPUTED_VALUE"""),58.0)</f>
        <v>58</v>
      </c>
      <c r="T2420" s="14">
        <f>IFERROR(__xludf.DUMMYFUNCTION("""COMPUTED_VALUE"""),0.498)</f>
        <v>0.498</v>
      </c>
      <c r="U2420" s="14">
        <f>IFERROR(__xludf.DUMMYFUNCTION("""COMPUTED_VALUE"""),0.479)</f>
        <v>0.479</v>
      </c>
      <c r="V2420" s="14">
        <f>IFERROR(__xludf.DUMMYFUNCTION("""COMPUTED_VALUE"""),0.024)</f>
        <v>0.024</v>
      </c>
      <c r="W2420" s="14">
        <f>IFERROR(__xludf.DUMMYFUNCTION("""COMPUTED_VALUE"""),853585.0)</f>
        <v>853585</v>
      </c>
      <c r="X2420" s="14">
        <f>IFERROR(__xludf.DUMMYFUNCTION("""COMPUTED_VALUE"""),0.243)</f>
        <v>0.243</v>
      </c>
      <c r="Y2420" s="14" t="str">
        <f>IFERROR(__xludf.DUMMYFUNCTION("""COMPUTED_VALUE"""),"Timor-Leste-Asia")</f>
        <v>Timor-Leste-Asia</v>
      </c>
      <c r="Z2420" s="14" t="str">
        <f>IFERROR(__xludf.DUMMYFUNCTION("""COMPUTED_VALUE"""),"Asia")</f>
        <v>Asia</v>
      </c>
      <c r="AA2420" s="14" t="str">
        <f>IFERROR(__xludf.DUMMYFUNCTION("""COMPUTED_VALUE"""),"2000")</f>
        <v>2000</v>
      </c>
      <c r="AB2420" s="15" t="str">
        <f>IFERROR(__xludf.DUMMYFUNCTION("ARRAYFORMULA(VLOOKUP(A2420,IMPORTRANGE(""https://docs.google.com/spreadsheets/d/1BuTWp7qHGjWhqrnf-OmePP568O4A5Am9ttzvVdP67zw/edit#gid=1931367683"" ,""ENERGY!$A$2:$F$2692""), {2,3,4,5,6},0))"),"Asia")</f>
        <v>Asia</v>
      </c>
      <c r="AC2420" s="14" t="str">
        <f>IFERROR(__xludf.DUMMYFUNCTION("""COMPUTED_VALUE"""),"Timor-Leste-Asia")</f>
        <v>Timor-Leste-Asia</v>
      </c>
      <c r="AD2420" s="14" t="str">
        <f>IFERROR(__xludf.DUMMYFUNCTION("""COMPUTED_VALUE"""),"2000")</f>
        <v>2000</v>
      </c>
      <c r="AE2420" s="14"/>
      <c r="AF2420" s="14"/>
    </row>
    <row r="2421">
      <c r="A2421" s="12">
        <v>2420.0</v>
      </c>
      <c r="B2421" s="12" t="s">
        <v>265</v>
      </c>
      <c r="C2421" s="5" t="s">
        <v>61</v>
      </c>
      <c r="D2421" s="8"/>
      <c r="E2421" s="8"/>
      <c r="F2421" s="8"/>
      <c r="G2421" s="8"/>
      <c r="H2421" s="8"/>
      <c r="I2421" s="8"/>
      <c r="J2421" s="9" t="s">
        <v>62</v>
      </c>
      <c r="K2421" s="14" t="str">
        <f>IFERROR(__xludf.DUMMYFUNCTION("ARRAYFORMULA(VLOOKUP(A2421,IMPORTRANGE(""https://docs.google.com/spreadsheets/d/1BuTWp7qHGjWhqrnf-OmePP568O4A5Am9ttzvVdP67zw/edit#gid=1603210130"", ""TOURISM!$A$2:$F$2692""), {2,3,4,5,6},0))"),"Asia")</f>
        <v>Asia</v>
      </c>
      <c r="L2421" s="14"/>
      <c r="M2421" s="14" t="str">
        <f>IFERROR(__xludf.DUMMYFUNCTION("""COMPUTED_VALUE"""),"Timor-Leste-Asia")</f>
        <v>Timor-Leste-Asia</v>
      </c>
      <c r="N2421" s="14" t="str">
        <f>IFERROR(__xludf.DUMMYFUNCTION("""COMPUTED_VALUE"""),"2001")</f>
        <v>2001</v>
      </c>
      <c r="O2421" s="14"/>
      <c r="P2421" s="15">
        <f>IFERROR(__xludf.DUMMYFUNCTION("ARRAYFORMULA(VLOOKUP(A2421,IMPORTRANGE(""https://docs.google.com/spreadsheets/d/1BuTWp7qHGjWhqrnf-OmePP568O4A5Am9ttzvVdP67zw/edit#gid=771602874"" ,""HUMAN RESOURCES!$A$2:$M$2692""), {2,3,4,5,6,7,8,9,10,11,12,13},0))"),0.041)</f>
        <v>0.041</v>
      </c>
      <c r="Q2421" s="14">
        <f>IFERROR(__xludf.DUMMYFUNCTION("""COMPUTED_VALUE"""),0.08)</f>
        <v>0.08</v>
      </c>
      <c r="R2421" s="14">
        <f>IFERROR(__xludf.DUMMYFUNCTION("""COMPUTED_VALUE"""),62.0)</f>
        <v>62</v>
      </c>
      <c r="S2421" s="14">
        <f>IFERROR(__xludf.DUMMYFUNCTION("""COMPUTED_VALUE"""),59.0)</f>
        <v>59</v>
      </c>
      <c r="T2421" s="14">
        <f>IFERROR(__xludf.DUMMYFUNCTION("""COMPUTED_VALUE"""),0.5)</f>
        <v>0.5</v>
      </c>
      <c r="U2421" s="14">
        <f>IFERROR(__xludf.DUMMYFUNCTION("""COMPUTED_VALUE"""),0.475)</f>
        <v>0.475</v>
      </c>
      <c r="V2421" s="14">
        <f>IFERROR(__xludf.DUMMYFUNCTION("""COMPUTED_VALUE"""),0.024)</f>
        <v>0.024</v>
      </c>
      <c r="W2421" s="14">
        <f>IFERROR(__xludf.DUMMYFUNCTION("""COMPUTED_VALUE"""),871353.0)</f>
        <v>871353</v>
      </c>
      <c r="X2421" s="14">
        <f>IFERROR(__xludf.DUMMYFUNCTION("""COMPUTED_VALUE"""),0.246)</f>
        <v>0.246</v>
      </c>
      <c r="Y2421" s="14" t="str">
        <f>IFERROR(__xludf.DUMMYFUNCTION("""COMPUTED_VALUE"""),"Timor-Leste-Asia")</f>
        <v>Timor-Leste-Asia</v>
      </c>
      <c r="Z2421" s="14" t="str">
        <f>IFERROR(__xludf.DUMMYFUNCTION("""COMPUTED_VALUE"""),"Asia")</f>
        <v>Asia</v>
      </c>
      <c r="AA2421" s="14" t="str">
        <f>IFERROR(__xludf.DUMMYFUNCTION("""COMPUTED_VALUE"""),"2001")</f>
        <v>2001</v>
      </c>
      <c r="AB2421" s="15" t="str">
        <f>IFERROR(__xludf.DUMMYFUNCTION("ARRAYFORMULA(VLOOKUP(A2421,IMPORTRANGE(""https://docs.google.com/spreadsheets/d/1BuTWp7qHGjWhqrnf-OmePP568O4A5Am9ttzvVdP67zw/edit#gid=1931367683"" ,""ENERGY!$A$2:$F$2692""), {2,3,4,5,6},0))"),"Asia")</f>
        <v>Asia</v>
      </c>
      <c r="AC2421" s="14" t="str">
        <f>IFERROR(__xludf.DUMMYFUNCTION("""COMPUTED_VALUE"""),"Timor-Leste-Asia")</f>
        <v>Timor-Leste-Asia</v>
      </c>
      <c r="AD2421" s="14" t="str">
        <f>IFERROR(__xludf.DUMMYFUNCTION("""COMPUTED_VALUE"""),"2001")</f>
        <v>2001</v>
      </c>
      <c r="AE2421" s="14"/>
      <c r="AF2421" s="14"/>
    </row>
    <row r="2422">
      <c r="A2422" s="12">
        <v>2421.0</v>
      </c>
      <c r="B2422" s="12" t="s">
        <v>265</v>
      </c>
      <c r="C2422" s="5" t="s">
        <v>61</v>
      </c>
      <c r="D2422" s="8"/>
      <c r="E2422" s="8"/>
      <c r="F2422" s="8"/>
      <c r="G2422" s="8"/>
      <c r="H2422" s="8"/>
      <c r="I2422" s="8"/>
      <c r="J2422" s="9" t="s">
        <v>63</v>
      </c>
      <c r="K2422" s="14" t="str">
        <f>IFERROR(__xludf.DUMMYFUNCTION("ARRAYFORMULA(VLOOKUP(A2422,IMPORTRANGE(""https://docs.google.com/spreadsheets/d/1BuTWp7qHGjWhqrnf-OmePP568O4A5Am9ttzvVdP67zw/edit#gid=1603210130"", ""TOURISM!$A$2:$F$2692""), {2,3,4,5,6},0))"),"Asia")</f>
        <v>Asia</v>
      </c>
      <c r="L2422" s="14"/>
      <c r="M2422" s="14" t="str">
        <f>IFERROR(__xludf.DUMMYFUNCTION("""COMPUTED_VALUE"""),"Timor-Leste-Asia")</f>
        <v>Timor-Leste-Asia</v>
      </c>
      <c r="N2422" s="14" t="str">
        <f>IFERROR(__xludf.DUMMYFUNCTION("""COMPUTED_VALUE"""),"2002")</f>
        <v>2002</v>
      </c>
      <c r="O2422" s="14"/>
      <c r="P2422" s="15">
        <f>IFERROR(__xludf.DUMMYFUNCTION("ARRAYFORMULA(VLOOKUP(A2422,IMPORTRANGE(""https://docs.google.com/spreadsheets/d/1BuTWp7qHGjWhqrnf-OmePP568O4A5Am9ttzvVdP67zw/edit#gid=771602874"" ,""HUMAN RESOURCES!$A$2:$M$2692""), {2,3,4,5,6,7,8,9,10,11,12,13},0))"),0.04)</f>
        <v>0.04</v>
      </c>
      <c r="Q2422" s="14">
        <f>IFERROR(__xludf.DUMMYFUNCTION("""COMPUTED_VALUE"""),0.076)</f>
        <v>0.076</v>
      </c>
      <c r="R2422" s="14">
        <f>IFERROR(__xludf.DUMMYFUNCTION("""COMPUTED_VALUE"""),63.0)</f>
        <v>63</v>
      </c>
      <c r="S2422" s="14">
        <f>IFERROR(__xludf.DUMMYFUNCTION("""COMPUTED_VALUE"""),60.0)</f>
        <v>60</v>
      </c>
      <c r="T2422" s="14">
        <f>IFERROR(__xludf.DUMMYFUNCTION("""COMPUTED_VALUE"""),0.497)</f>
        <v>0.497</v>
      </c>
      <c r="U2422" s="14">
        <f>IFERROR(__xludf.DUMMYFUNCTION("""COMPUTED_VALUE"""),0.478)</f>
        <v>0.478</v>
      </c>
      <c r="V2422" s="14">
        <f>IFERROR(__xludf.DUMMYFUNCTION("""COMPUTED_VALUE"""),0.025)</f>
        <v>0.025</v>
      </c>
      <c r="W2422" s="14">
        <f>IFERROR(__xludf.DUMMYFUNCTION("""COMPUTED_VALUE"""),899367.0)</f>
        <v>899367</v>
      </c>
      <c r="X2422" s="14">
        <f>IFERROR(__xludf.DUMMYFUNCTION("""COMPUTED_VALUE"""),0.25)</f>
        <v>0.25</v>
      </c>
      <c r="Y2422" s="14" t="str">
        <f>IFERROR(__xludf.DUMMYFUNCTION("""COMPUTED_VALUE"""),"Timor-Leste-Asia")</f>
        <v>Timor-Leste-Asia</v>
      </c>
      <c r="Z2422" s="14" t="str">
        <f>IFERROR(__xludf.DUMMYFUNCTION("""COMPUTED_VALUE"""),"Asia")</f>
        <v>Asia</v>
      </c>
      <c r="AA2422" s="14" t="str">
        <f>IFERROR(__xludf.DUMMYFUNCTION("""COMPUTED_VALUE"""),"2002")</f>
        <v>2002</v>
      </c>
      <c r="AB2422" s="15" t="str">
        <f>IFERROR(__xludf.DUMMYFUNCTION("ARRAYFORMULA(VLOOKUP(A2422,IMPORTRANGE(""https://docs.google.com/spreadsheets/d/1BuTWp7qHGjWhqrnf-OmePP568O4A5Am9ttzvVdP67zw/edit#gid=1931367683"" ,""ENERGY!$A$2:$F$2692""), {2,3,4,5,6},0))"),"Asia")</f>
        <v>Asia</v>
      </c>
      <c r="AC2422" s="14" t="str">
        <f>IFERROR(__xludf.DUMMYFUNCTION("""COMPUTED_VALUE"""),"Timor-Leste-Asia")</f>
        <v>Timor-Leste-Asia</v>
      </c>
      <c r="AD2422" s="14" t="str">
        <f>IFERROR(__xludf.DUMMYFUNCTION("""COMPUTED_VALUE"""),"2002")</f>
        <v>2002</v>
      </c>
      <c r="AE2422" s="14"/>
      <c r="AF2422" s="14">
        <f>IFERROR(__xludf.DUMMYFUNCTION("""COMPUTED_VALUE"""),183.0)</f>
        <v>183</v>
      </c>
    </row>
    <row r="2423">
      <c r="A2423" s="12">
        <v>2422.0</v>
      </c>
      <c r="B2423" s="12" t="s">
        <v>265</v>
      </c>
      <c r="C2423" s="5" t="s">
        <v>61</v>
      </c>
      <c r="D2423" s="8"/>
      <c r="E2423" s="8"/>
      <c r="F2423" s="8"/>
      <c r="G2423" s="8"/>
      <c r="H2423" s="8"/>
      <c r="I2423" s="11">
        <v>0.021</v>
      </c>
      <c r="J2423" s="9" t="s">
        <v>64</v>
      </c>
      <c r="K2423" s="14" t="str">
        <f>IFERROR(__xludf.DUMMYFUNCTION("ARRAYFORMULA(VLOOKUP(A2423,IMPORTRANGE(""https://docs.google.com/spreadsheets/d/1BuTWp7qHGjWhqrnf-OmePP568O4A5Am9ttzvVdP67zw/edit#gid=1603210130"", ""TOURISM!$A$2:$F$2692""), {2,3,4,5,6},0))"),"Asia")</f>
        <v>Asia</v>
      </c>
      <c r="L2423" s="14"/>
      <c r="M2423" s="14" t="str">
        <f>IFERROR(__xludf.DUMMYFUNCTION("""COMPUTED_VALUE"""),"Timor-Leste-Asia")</f>
        <v>Timor-Leste-Asia</v>
      </c>
      <c r="N2423" s="14" t="str">
        <f>IFERROR(__xludf.DUMMYFUNCTION("""COMPUTED_VALUE"""),"2003")</f>
        <v>2003</v>
      </c>
      <c r="O2423" s="14"/>
      <c r="P2423" s="15">
        <f>IFERROR(__xludf.DUMMYFUNCTION("ARRAYFORMULA(VLOOKUP(A2423,IMPORTRANGE(""https://docs.google.com/spreadsheets/d/1BuTWp7qHGjWhqrnf-OmePP568O4A5Am9ttzvVdP67zw/edit#gid=771602874"" ,""HUMAN RESOURCES!$A$2:$M$2692""), {2,3,4,5,6,7,8,9,10,11,12,13},0))"),0.039)</f>
        <v>0.039</v>
      </c>
      <c r="Q2423" s="14">
        <f>IFERROR(__xludf.DUMMYFUNCTION("""COMPUTED_VALUE"""),0.072)</f>
        <v>0.072</v>
      </c>
      <c r="R2423" s="14">
        <f>IFERROR(__xludf.DUMMYFUNCTION("""COMPUTED_VALUE"""),63.0)</f>
        <v>63</v>
      </c>
      <c r="S2423" s="14">
        <f>IFERROR(__xludf.DUMMYFUNCTION("""COMPUTED_VALUE"""),60.0)</f>
        <v>60</v>
      </c>
      <c r="T2423" s="14">
        <f>IFERROR(__xludf.DUMMYFUNCTION("""COMPUTED_VALUE"""),0.491)</f>
        <v>0.491</v>
      </c>
      <c r="U2423" s="14">
        <f>IFERROR(__xludf.DUMMYFUNCTION("""COMPUTED_VALUE"""),0.483)</f>
        <v>0.483</v>
      </c>
      <c r="V2423" s="14">
        <f>IFERROR(__xludf.DUMMYFUNCTION("""COMPUTED_VALUE"""),0.026)</f>
        <v>0.026</v>
      </c>
      <c r="W2423" s="14">
        <f>IFERROR(__xludf.DUMMYFUNCTION("""COMPUTED_VALUE"""),933369.0)</f>
        <v>933369</v>
      </c>
      <c r="X2423" s="14">
        <f>IFERROR(__xludf.DUMMYFUNCTION("""COMPUTED_VALUE"""),0.253)</f>
        <v>0.253</v>
      </c>
      <c r="Y2423" s="14" t="str">
        <f>IFERROR(__xludf.DUMMYFUNCTION("""COMPUTED_VALUE"""),"Timor-Leste-Asia")</f>
        <v>Timor-Leste-Asia</v>
      </c>
      <c r="Z2423" s="14" t="str">
        <f>IFERROR(__xludf.DUMMYFUNCTION("""COMPUTED_VALUE"""),"Asia")</f>
        <v>Asia</v>
      </c>
      <c r="AA2423" s="14" t="str">
        <f>IFERROR(__xludf.DUMMYFUNCTION("""COMPUTED_VALUE"""),"2003")</f>
        <v>2003</v>
      </c>
      <c r="AB2423" s="15" t="str">
        <f>IFERROR(__xludf.DUMMYFUNCTION("ARRAYFORMULA(VLOOKUP(A2423,IMPORTRANGE(""https://docs.google.com/spreadsheets/d/1BuTWp7qHGjWhqrnf-OmePP568O4A5Am9ttzvVdP67zw/edit#gid=1931367683"" ,""ENERGY!$A$2:$F$2692""), {2,3,4,5,6},0))"),"Asia")</f>
        <v>Asia</v>
      </c>
      <c r="AC2423" s="14" t="str">
        <f>IFERROR(__xludf.DUMMYFUNCTION("""COMPUTED_VALUE"""),"Timor-Leste-Asia")</f>
        <v>Timor-Leste-Asia</v>
      </c>
      <c r="AD2423" s="14" t="str">
        <f>IFERROR(__xludf.DUMMYFUNCTION("""COMPUTED_VALUE"""),"2003")</f>
        <v>2003</v>
      </c>
      <c r="AE2423" s="14"/>
      <c r="AF2423" s="14">
        <f>IFERROR(__xludf.DUMMYFUNCTION("""COMPUTED_VALUE"""),183.0)</f>
        <v>183</v>
      </c>
    </row>
    <row r="2424">
      <c r="A2424" s="12">
        <v>2423.0</v>
      </c>
      <c r="B2424" s="12" t="s">
        <v>265</v>
      </c>
      <c r="C2424" s="5" t="s">
        <v>61</v>
      </c>
      <c r="D2424" s="8"/>
      <c r="E2424" s="11">
        <v>158.0</v>
      </c>
      <c r="F2424" s="8"/>
      <c r="G2424" s="8"/>
      <c r="H2424" s="8"/>
      <c r="I2424" s="11">
        <v>0.027</v>
      </c>
      <c r="J2424" s="9" t="s">
        <v>65</v>
      </c>
      <c r="K2424" s="14" t="str">
        <f>IFERROR(__xludf.DUMMYFUNCTION("ARRAYFORMULA(VLOOKUP(A2424,IMPORTRANGE(""https://docs.google.com/spreadsheets/d/1BuTWp7qHGjWhqrnf-OmePP568O4A5Am9ttzvVdP67zw/edit#gid=1603210130"", ""TOURISM!$A$2:$F$2692""), {2,3,4,5,6},0))"),"Asia")</f>
        <v>Asia</v>
      </c>
      <c r="L2424" s="14"/>
      <c r="M2424" s="14" t="str">
        <f>IFERROR(__xludf.DUMMYFUNCTION("""COMPUTED_VALUE"""),"Timor-Leste-Asia")</f>
        <v>Timor-Leste-Asia</v>
      </c>
      <c r="N2424" s="14" t="str">
        <f>IFERROR(__xludf.DUMMYFUNCTION("""COMPUTED_VALUE"""),"2004")</f>
        <v>2004</v>
      </c>
      <c r="O2424" s="14"/>
      <c r="P2424" s="15">
        <f>IFERROR(__xludf.DUMMYFUNCTION("ARRAYFORMULA(VLOOKUP(A2424,IMPORTRANGE(""https://docs.google.com/spreadsheets/d/1BuTWp7qHGjWhqrnf-OmePP568O4A5Am9ttzvVdP67zw/edit#gid=771602874"" ,""HUMAN RESOURCES!$A$2:$M$2692""), {2,3,4,5,6,7,8,9,10,11,12,13},0))"),0.038)</f>
        <v>0.038</v>
      </c>
      <c r="Q2424" s="14">
        <f>IFERROR(__xludf.DUMMYFUNCTION("""COMPUTED_VALUE"""),0.069)</f>
        <v>0.069</v>
      </c>
      <c r="R2424" s="14">
        <f>IFERROR(__xludf.DUMMYFUNCTION("""COMPUTED_VALUE"""),64.0)</f>
        <v>64</v>
      </c>
      <c r="S2424" s="14">
        <f>IFERROR(__xludf.DUMMYFUNCTION("""COMPUTED_VALUE"""),61.0)</f>
        <v>61</v>
      </c>
      <c r="T2424" s="14">
        <f>IFERROR(__xludf.DUMMYFUNCTION("""COMPUTED_VALUE"""),0.484)</f>
        <v>0.484</v>
      </c>
      <c r="U2424" s="14">
        <f>IFERROR(__xludf.DUMMYFUNCTION("""COMPUTED_VALUE"""),0.489)</f>
        <v>0.489</v>
      </c>
      <c r="V2424" s="14">
        <f>IFERROR(__xludf.DUMMYFUNCTION("""COMPUTED_VALUE"""),0.027)</f>
        <v>0.027</v>
      </c>
      <c r="W2424" s="14">
        <f>IFERROR(__xludf.DUMMYFUNCTION("""COMPUTED_VALUE"""),966987.0)</f>
        <v>966987</v>
      </c>
      <c r="X2424" s="14">
        <f>IFERROR(__xludf.DUMMYFUNCTION("""COMPUTED_VALUE"""),0.257)</f>
        <v>0.257</v>
      </c>
      <c r="Y2424" s="14" t="str">
        <f>IFERROR(__xludf.DUMMYFUNCTION("""COMPUTED_VALUE"""),"Timor-Leste-Asia")</f>
        <v>Timor-Leste-Asia</v>
      </c>
      <c r="Z2424" s="14" t="str">
        <f>IFERROR(__xludf.DUMMYFUNCTION("""COMPUTED_VALUE"""),"Asia")</f>
        <v>Asia</v>
      </c>
      <c r="AA2424" s="14" t="str">
        <f>IFERROR(__xludf.DUMMYFUNCTION("""COMPUTED_VALUE"""),"2004")</f>
        <v>2004</v>
      </c>
      <c r="AB2424" s="15" t="str">
        <f>IFERROR(__xludf.DUMMYFUNCTION("ARRAYFORMULA(VLOOKUP(A2424,IMPORTRANGE(""https://docs.google.com/spreadsheets/d/1BuTWp7qHGjWhqrnf-OmePP568O4A5Am9ttzvVdP67zw/edit#gid=1931367683"" ,""ENERGY!$A$2:$F$2692""), {2,3,4,5,6},0))"),"Asia")</f>
        <v>Asia</v>
      </c>
      <c r="AC2424" s="14" t="str">
        <f>IFERROR(__xludf.DUMMYFUNCTION("""COMPUTED_VALUE"""),"Timor-Leste-Asia")</f>
        <v>Timor-Leste-Asia</v>
      </c>
      <c r="AD2424" s="14" t="str">
        <f>IFERROR(__xludf.DUMMYFUNCTION("""COMPUTED_VALUE"""),"2005")</f>
        <v>2005</v>
      </c>
      <c r="AE2424" s="14"/>
      <c r="AF2424" s="14">
        <f>IFERROR(__xludf.DUMMYFUNCTION("""COMPUTED_VALUE"""),191.0)</f>
        <v>191</v>
      </c>
    </row>
    <row r="2425">
      <c r="A2425" s="12">
        <v>2424.0</v>
      </c>
      <c r="B2425" s="12" t="s">
        <v>265</v>
      </c>
      <c r="C2425" s="5" t="s">
        <v>61</v>
      </c>
      <c r="D2425" s="11">
        <v>0.484</v>
      </c>
      <c r="E2425" s="11">
        <v>167.0</v>
      </c>
      <c r="F2425" s="8"/>
      <c r="G2425" s="11">
        <v>640.0</v>
      </c>
      <c r="H2425" s="11">
        <v>0.001</v>
      </c>
      <c r="I2425" s="11">
        <v>0.033</v>
      </c>
      <c r="J2425" s="9" t="s">
        <v>66</v>
      </c>
      <c r="K2425" s="14" t="str">
        <f>IFERROR(__xludf.DUMMYFUNCTION("ARRAYFORMULA(VLOOKUP(A2425,IMPORTRANGE(""https://docs.google.com/spreadsheets/d/1BuTWp7qHGjWhqrnf-OmePP568O4A5Am9ttzvVdP67zw/edit#gid=1603210130"", ""TOURISM!$A$2:$F$2692""), {2,3,4,5,6},0))"),"Asia")</f>
        <v>Asia</v>
      </c>
      <c r="L2425" s="14"/>
      <c r="M2425" s="14" t="str">
        <f>IFERROR(__xludf.DUMMYFUNCTION("""COMPUTED_VALUE"""),"Timor-Leste-Asia")</f>
        <v>Timor-Leste-Asia</v>
      </c>
      <c r="N2425" s="14" t="str">
        <f>IFERROR(__xludf.DUMMYFUNCTION("""COMPUTED_VALUE"""),"2005")</f>
        <v>2005</v>
      </c>
      <c r="O2425" s="14"/>
      <c r="P2425" s="15">
        <f>IFERROR(__xludf.DUMMYFUNCTION("ARRAYFORMULA(VLOOKUP(A2425,IMPORTRANGE(""https://docs.google.com/spreadsheets/d/1BuTWp7qHGjWhqrnf-OmePP568O4A5Am9ttzvVdP67zw/edit#gid=771602874"" ,""HUMAN RESOURCES!$A$2:$M$2692""), {2,3,4,5,6,7,8,9,10,11,12,13},0))"),0.038)</f>
        <v>0.038</v>
      </c>
      <c r="Q2425" s="14">
        <f>IFERROR(__xludf.DUMMYFUNCTION("""COMPUTED_VALUE"""),0.065)</f>
        <v>0.065</v>
      </c>
      <c r="R2425" s="14">
        <f>IFERROR(__xludf.DUMMYFUNCTION("""COMPUTED_VALUE"""),65.0)</f>
        <v>65</v>
      </c>
      <c r="S2425" s="14">
        <f>IFERROR(__xludf.DUMMYFUNCTION("""COMPUTED_VALUE"""),62.0)</f>
        <v>62</v>
      </c>
      <c r="T2425" s="14">
        <f>IFERROR(__xludf.DUMMYFUNCTION("""COMPUTED_VALUE"""),0.48)</f>
        <v>0.48</v>
      </c>
      <c r="U2425" s="14">
        <f>IFERROR(__xludf.DUMMYFUNCTION("""COMPUTED_VALUE"""),0.493)</f>
        <v>0.493</v>
      </c>
      <c r="V2425" s="14">
        <f>IFERROR(__xludf.DUMMYFUNCTION("""COMPUTED_VALUE"""),0.027)</f>
        <v>0.027</v>
      </c>
      <c r="W2425" s="14">
        <f>IFERROR(__xludf.DUMMYFUNCTION("""COMPUTED_VALUE"""),982889.0)</f>
        <v>982889</v>
      </c>
      <c r="X2425" s="14">
        <f>IFERROR(__xludf.DUMMYFUNCTION("""COMPUTED_VALUE"""),0.263)</f>
        <v>0.263</v>
      </c>
      <c r="Y2425" s="14" t="str">
        <f>IFERROR(__xludf.DUMMYFUNCTION("""COMPUTED_VALUE"""),"Timor-Leste-Asia")</f>
        <v>Timor-Leste-Asia</v>
      </c>
      <c r="Z2425" s="14" t="str">
        <f>IFERROR(__xludf.DUMMYFUNCTION("""COMPUTED_VALUE"""),"Asia")</f>
        <v>Asia</v>
      </c>
      <c r="AA2425" s="14" t="str">
        <f>IFERROR(__xludf.DUMMYFUNCTION("""COMPUTED_VALUE"""),"2005")</f>
        <v>2005</v>
      </c>
      <c r="AB2425" s="15" t="str">
        <f>IFERROR(__xludf.DUMMYFUNCTION("ARRAYFORMULA(VLOOKUP(A2425,IMPORTRANGE(""https://docs.google.com/spreadsheets/d/1BuTWp7qHGjWhqrnf-OmePP568O4A5Am9ttzvVdP67zw/edit#gid=1931367683"" ,""ENERGY!$A$2:$F$2692""), {2,3,4,5,6},0))"),"Asia")</f>
        <v>Asia</v>
      </c>
      <c r="AC2425" s="14" t="str">
        <f>IFERROR(__xludf.DUMMYFUNCTION("""COMPUTED_VALUE"""),"Timor-Leste-Asia")</f>
        <v>Timor-Leste-Asia</v>
      </c>
      <c r="AD2425" s="14" t="str">
        <f>IFERROR(__xludf.DUMMYFUNCTION("""COMPUTED_VALUE"""),"2009")</f>
        <v>2009</v>
      </c>
      <c r="AE2425" s="14">
        <f>IFERROR(__xludf.DUMMYFUNCTION("""COMPUTED_VALUE"""),61.0)</f>
        <v>61</v>
      </c>
      <c r="AF2425" s="14">
        <f>IFERROR(__xludf.DUMMYFUNCTION("""COMPUTED_VALUE"""),183.0)</f>
        <v>183</v>
      </c>
    </row>
    <row r="2426">
      <c r="A2426" s="12">
        <v>2425.0</v>
      </c>
      <c r="B2426" s="12" t="s">
        <v>265</v>
      </c>
      <c r="C2426" s="5" t="s">
        <v>61</v>
      </c>
      <c r="D2426" s="11">
        <v>0.484</v>
      </c>
      <c r="E2426" s="11">
        <v>167.0</v>
      </c>
      <c r="F2426" s="8"/>
      <c r="G2426" s="11">
        <v>640.0</v>
      </c>
      <c r="H2426" s="11">
        <v>0.001</v>
      </c>
      <c r="I2426" s="11">
        <v>0.048</v>
      </c>
      <c r="J2426" s="9" t="s">
        <v>67</v>
      </c>
      <c r="K2426" s="14" t="str">
        <f>IFERROR(__xludf.DUMMYFUNCTION("ARRAYFORMULA(VLOOKUP(A2426,IMPORTRANGE(""https://docs.google.com/spreadsheets/d/1BuTWp7qHGjWhqrnf-OmePP568O4A5Am9ttzvVdP67zw/edit#gid=1603210130"", ""TOURISM!$A$2:$F$2692""), {2,3,4,5,6},0))"),"Asia")</f>
        <v>Asia</v>
      </c>
      <c r="L2426" s="14">
        <f>IFERROR(__xludf.DUMMYFUNCTION("""COMPUTED_VALUE"""),2.0E7)</f>
        <v>20000000</v>
      </c>
      <c r="M2426" s="14" t="str">
        <f>IFERROR(__xludf.DUMMYFUNCTION("""COMPUTED_VALUE"""),"Timor-Leste-Asia")</f>
        <v>Timor-Leste-Asia</v>
      </c>
      <c r="N2426" s="14" t="str">
        <f>IFERROR(__xludf.DUMMYFUNCTION("""COMPUTED_VALUE"""),"2006")</f>
        <v>2006</v>
      </c>
      <c r="O2426" s="14">
        <f>IFERROR(__xludf.DUMMYFUNCTION("""COMPUTED_VALUE"""),2000000.0)</f>
        <v>2000000</v>
      </c>
      <c r="P2426" s="15">
        <f>IFERROR(__xludf.DUMMYFUNCTION("ARRAYFORMULA(VLOOKUP(A2426,IMPORTRANGE(""https://docs.google.com/spreadsheets/d/1BuTWp7qHGjWhqrnf-OmePP568O4A5Am9ttzvVdP67zw/edit#gid=771602874"" ,""HUMAN RESOURCES!$A$2:$M$2692""), {2,3,4,5,6,7,8,9,10,11,12,13},0))"),0.038)</f>
        <v>0.038</v>
      </c>
      <c r="Q2426" s="14">
        <f>IFERROR(__xludf.DUMMYFUNCTION("""COMPUTED_VALUE"""),0.062)</f>
        <v>0.062</v>
      </c>
      <c r="R2426" s="14">
        <f>IFERROR(__xludf.DUMMYFUNCTION("""COMPUTED_VALUE"""),65.0)</f>
        <v>65</v>
      </c>
      <c r="S2426" s="14">
        <f>IFERROR(__xludf.DUMMYFUNCTION("""COMPUTED_VALUE"""),62.0)</f>
        <v>62</v>
      </c>
      <c r="T2426" s="14">
        <f>IFERROR(__xludf.DUMMYFUNCTION("""COMPUTED_VALUE"""),0.478)</f>
        <v>0.478</v>
      </c>
      <c r="U2426" s="14">
        <f>IFERROR(__xludf.DUMMYFUNCTION("""COMPUTED_VALUE"""),0.494)</f>
        <v>0.494</v>
      </c>
      <c r="V2426" s="14">
        <f>IFERROR(__xludf.DUMMYFUNCTION("""COMPUTED_VALUE"""),0.028)</f>
        <v>0.028</v>
      </c>
      <c r="W2426" s="14">
        <f>IFERROR(__xludf.DUMMYFUNCTION("""COMPUTED_VALUE"""),999053.0)</f>
        <v>999053</v>
      </c>
      <c r="X2426" s="14">
        <f>IFERROR(__xludf.DUMMYFUNCTION("""COMPUTED_VALUE"""),0.269)</f>
        <v>0.269</v>
      </c>
      <c r="Y2426" s="14" t="str">
        <f>IFERROR(__xludf.DUMMYFUNCTION("""COMPUTED_VALUE"""),"Timor-Leste-Asia")</f>
        <v>Timor-Leste-Asia</v>
      </c>
      <c r="Z2426" s="14" t="str">
        <f>IFERROR(__xludf.DUMMYFUNCTION("""COMPUTED_VALUE"""),"Asia")</f>
        <v>Asia</v>
      </c>
      <c r="AA2426" s="14" t="str">
        <f>IFERROR(__xludf.DUMMYFUNCTION("""COMPUTED_VALUE"""),"2006")</f>
        <v>2006</v>
      </c>
      <c r="AB2426" s="15" t="str">
        <f>IFERROR(__xludf.DUMMYFUNCTION("ARRAYFORMULA(VLOOKUP(A2426,IMPORTRANGE(""https://docs.google.com/spreadsheets/d/1BuTWp7qHGjWhqrnf-OmePP568O4A5Am9ttzvVdP67zw/edit#gid=1931367683"" ,""ENERGY!$A$2:$F$2692""), {2,3,4,5,6},0))"),"Asia")</f>
        <v>Asia</v>
      </c>
      <c r="AC2426" s="14" t="str">
        <f>IFERROR(__xludf.DUMMYFUNCTION("""COMPUTED_VALUE"""),"Timor-Leste-Asia")</f>
        <v>Timor-Leste-Asia</v>
      </c>
      <c r="AD2426" s="14" t="str">
        <f>IFERROR(__xludf.DUMMYFUNCTION("""COMPUTED_VALUE"""),"2005")</f>
        <v>2005</v>
      </c>
      <c r="AE2426" s="14">
        <f>IFERROR(__xludf.DUMMYFUNCTION("""COMPUTED_VALUE"""),59.0)</f>
        <v>59</v>
      </c>
      <c r="AF2426" s="14">
        <f>IFERROR(__xludf.DUMMYFUNCTION("""COMPUTED_VALUE"""),180.0)</f>
        <v>180</v>
      </c>
    </row>
    <row r="2427">
      <c r="A2427" s="12">
        <v>2426.0</v>
      </c>
      <c r="B2427" s="12" t="s">
        <v>265</v>
      </c>
      <c r="C2427" s="5" t="s">
        <v>61</v>
      </c>
      <c r="D2427" s="11">
        <v>0.484</v>
      </c>
      <c r="E2427" s="11">
        <v>158.0</v>
      </c>
      <c r="F2427" s="8"/>
      <c r="G2427" s="11">
        <v>640.0</v>
      </c>
      <c r="H2427" s="11">
        <v>0.001</v>
      </c>
      <c r="I2427" s="11">
        <v>0.076</v>
      </c>
      <c r="J2427" s="9" t="s">
        <v>68</v>
      </c>
      <c r="K2427" s="14" t="str">
        <f>IFERROR(__xludf.DUMMYFUNCTION("ARRAYFORMULA(VLOOKUP(A2427,IMPORTRANGE(""https://docs.google.com/spreadsheets/d/1BuTWp7qHGjWhqrnf-OmePP568O4A5Am9ttzvVdP67zw/edit#gid=1603210130"", ""TOURISM!$A$2:$F$2692""), {2,3,4,5,6},0))"),"Asia")</f>
        <v>Asia</v>
      </c>
      <c r="L2427" s="14">
        <f>IFERROR(__xludf.DUMMYFUNCTION("""COMPUTED_VALUE"""),2.6E7)</f>
        <v>26000000</v>
      </c>
      <c r="M2427" s="14" t="str">
        <f>IFERROR(__xludf.DUMMYFUNCTION("""COMPUTED_VALUE"""),"Timor-Leste-Asia")</f>
        <v>Timor-Leste-Asia</v>
      </c>
      <c r="N2427" s="14" t="str">
        <f>IFERROR(__xludf.DUMMYFUNCTION("""COMPUTED_VALUE"""),"2007")</f>
        <v>2007</v>
      </c>
      <c r="O2427" s="14">
        <f>IFERROR(__xludf.DUMMYFUNCTION("""COMPUTED_VALUE"""),5000000.0)</f>
        <v>5000000</v>
      </c>
      <c r="P2427" s="15">
        <f>IFERROR(__xludf.DUMMYFUNCTION("ARRAYFORMULA(VLOOKUP(A2427,IMPORTRANGE(""https://docs.google.com/spreadsheets/d/1BuTWp7qHGjWhqrnf-OmePP568O4A5Am9ttzvVdP67zw/edit#gid=771602874"" ,""HUMAN RESOURCES!$A$2:$M$2692""), {2,3,4,5,6,7,8,9,10,11,12,13},0))"),0.037)</f>
        <v>0.037</v>
      </c>
      <c r="Q2427" s="14">
        <f>IFERROR(__xludf.DUMMYFUNCTION("""COMPUTED_VALUE"""),0.059)</f>
        <v>0.059</v>
      </c>
      <c r="R2427" s="14">
        <f>IFERROR(__xludf.DUMMYFUNCTION("""COMPUTED_VALUE"""),66.0)</f>
        <v>66</v>
      </c>
      <c r="S2427" s="14">
        <f>IFERROR(__xludf.DUMMYFUNCTION("""COMPUTED_VALUE"""),63.0)</f>
        <v>63</v>
      </c>
      <c r="T2427" s="14">
        <f>IFERROR(__xludf.DUMMYFUNCTION("""COMPUTED_VALUE"""),0.477)</f>
        <v>0.477</v>
      </c>
      <c r="U2427" s="14">
        <f>IFERROR(__xludf.DUMMYFUNCTION("""COMPUTED_VALUE"""),0.494)</f>
        <v>0.494</v>
      </c>
      <c r="V2427" s="14">
        <f>IFERROR(__xludf.DUMMYFUNCTION("""COMPUTED_VALUE"""),0.029)</f>
        <v>0.029</v>
      </c>
      <c r="W2427" s="14">
        <f>IFERROR(__xludf.DUMMYFUNCTION("""COMPUTED_VALUE"""),1015482.0)</f>
        <v>1015482</v>
      </c>
      <c r="X2427" s="14">
        <f>IFERROR(__xludf.DUMMYFUNCTION("""COMPUTED_VALUE"""),0.276)</f>
        <v>0.276</v>
      </c>
      <c r="Y2427" s="14" t="str">
        <f>IFERROR(__xludf.DUMMYFUNCTION("""COMPUTED_VALUE"""),"Timor-Leste-Asia")</f>
        <v>Timor-Leste-Asia</v>
      </c>
      <c r="Z2427" s="14" t="str">
        <f>IFERROR(__xludf.DUMMYFUNCTION("""COMPUTED_VALUE"""),"Asia")</f>
        <v>Asia</v>
      </c>
      <c r="AA2427" s="14" t="str">
        <f>IFERROR(__xludf.DUMMYFUNCTION("""COMPUTED_VALUE"""),"2007")</f>
        <v>2007</v>
      </c>
      <c r="AB2427" s="15" t="str">
        <f>IFERROR(__xludf.DUMMYFUNCTION("ARRAYFORMULA(VLOOKUP(A2427,IMPORTRANGE(""https://docs.google.com/spreadsheets/d/1BuTWp7qHGjWhqrnf-OmePP568O4A5Am9ttzvVdP67zw/edit#gid=1931367683"" ,""ENERGY!$A$2:$F$2692""), {2,3,4,5,6},0))"),"Asia")</f>
        <v>Asia</v>
      </c>
      <c r="AC2427" s="14" t="str">
        <f>IFERROR(__xludf.DUMMYFUNCTION("""COMPUTED_VALUE"""),"Timor-Leste-Asia")</f>
        <v>Timor-Leste-Asia</v>
      </c>
      <c r="AD2427" s="14" t="str">
        <f>IFERROR(__xludf.DUMMYFUNCTION("""COMPUTED_VALUE"""),"2011")</f>
        <v>2011</v>
      </c>
      <c r="AE2427" s="14">
        <f>IFERROR(__xludf.DUMMYFUNCTION("""COMPUTED_VALUE"""),58.0)</f>
        <v>58</v>
      </c>
      <c r="AF2427" s="14">
        <f>IFERROR(__xludf.DUMMYFUNCTION("""COMPUTED_VALUE"""),176.0)</f>
        <v>176</v>
      </c>
    </row>
    <row r="2428">
      <c r="A2428" s="12">
        <v>2427.0</v>
      </c>
      <c r="B2428" s="12" t="s">
        <v>265</v>
      </c>
      <c r="C2428" s="5" t="s">
        <v>61</v>
      </c>
      <c r="D2428" s="11">
        <v>0.326</v>
      </c>
      <c r="E2428" s="11">
        <v>157.0</v>
      </c>
      <c r="F2428" s="8"/>
      <c r="G2428" s="11">
        <v>640.0</v>
      </c>
      <c r="H2428" s="11">
        <v>0.002</v>
      </c>
      <c r="I2428" s="11">
        <v>0.119</v>
      </c>
      <c r="J2428" s="9" t="s">
        <v>69</v>
      </c>
      <c r="K2428" s="14" t="str">
        <f>IFERROR(__xludf.DUMMYFUNCTION("ARRAYFORMULA(VLOOKUP(A2428,IMPORTRANGE(""https://docs.google.com/spreadsheets/d/1BuTWp7qHGjWhqrnf-OmePP568O4A5Am9ttzvVdP67zw/edit#gid=1603210130"", ""TOURISM!$A$2:$F$2692""), {2,3,4,5,6},0))"),"Asia")</f>
        <v>Asia</v>
      </c>
      <c r="L2428" s="14">
        <f>IFERROR(__xludf.DUMMYFUNCTION("""COMPUTED_VALUE"""),1.4E7)</f>
        <v>14000000</v>
      </c>
      <c r="M2428" s="14" t="str">
        <f>IFERROR(__xludf.DUMMYFUNCTION("""COMPUTED_VALUE"""),"Timor-Leste-Asia")</f>
        <v>Timor-Leste-Asia</v>
      </c>
      <c r="N2428" s="14" t="str">
        <f>IFERROR(__xludf.DUMMYFUNCTION("""COMPUTED_VALUE"""),"2008")</f>
        <v>2008</v>
      </c>
      <c r="O2428" s="14">
        <f>IFERROR(__xludf.DUMMYFUNCTION("""COMPUTED_VALUE"""),5.1E7)</f>
        <v>51000000</v>
      </c>
      <c r="P2428" s="15">
        <f>IFERROR(__xludf.DUMMYFUNCTION("ARRAYFORMULA(VLOOKUP(A2428,IMPORTRANGE(""https://docs.google.com/spreadsheets/d/1BuTWp7qHGjWhqrnf-OmePP568O4A5Am9ttzvVdP67zw/edit#gid=771602874"" ,""HUMAN RESOURCES!$A$2:$M$2692""), {2,3,4,5,6,7,8,9,10,11,12,13},0))"),0.037)</f>
        <v>0.037</v>
      </c>
      <c r="Q2428" s="14">
        <f>IFERROR(__xludf.DUMMYFUNCTION("""COMPUTED_VALUE"""),0.056)</f>
        <v>0.056</v>
      </c>
      <c r="R2428" s="14">
        <f>IFERROR(__xludf.DUMMYFUNCTION("""COMPUTED_VALUE"""),66.0)</f>
        <v>66</v>
      </c>
      <c r="S2428" s="14">
        <f>IFERROR(__xludf.DUMMYFUNCTION("""COMPUTED_VALUE"""),63.0)</f>
        <v>63</v>
      </c>
      <c r="T2428" s="14">
        <f>IFERROR(__xludf.DUMMYFUNCTION("""COMPUTED_VALUE"""),0.477)</f>
        <v>0.477</v>
      </c>
      <c r="U2428" s="14">
        <f>IFERROR(__xludf.DUMMYFUNCTION("""COMPUTED_VALUE"""),0.494)</f>
        <v>0.494</v>
      </c>
      <c r="V2428" s="14">
        <f>IFERROR(__xludf.DUMMYFUNCTION("""COMPUTED_VALUE"""),0.03)</f>
        <v>0.03</v>
      </c>
      <c r="W2428" s="14">
        <f>IFERROR(__xludf.DUMMYFUNCTION("""COMPUTED_VALUE"""),1032182.0)</f>
        <v>1032182</v>
      </c>
      <c r="X2428" s="14">
        <f>IFERROR(__xludf.DUMMYFUNCTION("""COMPUTED_VALUE"""),0.282)</f>
        <v>0.282</v>
      </c>
      <c r="Y2428" s="14" t="str">
        <f>IFERROR(__xludf.DUMMYFUNCTION("""COMPUTED_VALUE"""),"Timor-Leste-Asia")</f>
        <v>Timor-Leste-Asia</v>
      </c>
      <c r="Z2428" s="14" t="str">
        <f>IFERROR(__xludf.DUMMYFUNCTION("""COMPUTED_VALUE"""),"Asia")</f>
        <v>Asia</v>
      </c>
      <c r="AA2428" s="14" t="str">
        <f>IFERROR(__xludf.DUMMYFUNCTION("""COMPUTED_VALUE"""),"2008")</f>
        <v>2008</v>
      </c>
      <c r="AB2428" s="15" t="str">
        <f>IFERROR(__xludf.DUMMYFUNCTION("ARRAYFORMULA(VLOOKUP(A2428,IMPORTRANGE(""https://docs.google.com/spreadsheets/d/1BuTWp7qHGjWhqrnf-OmePP568O4A5Am9ttzvVdP67zw/edit#gid=1931367683"" ,""ENERGY!$A$2:$F$2692""), {2,3,4,5,6},0))"),"Asia")</f>
        <v>Asia</v>
      </c>
      <c r="AC2428" s="14" t="str">
        <f>IFERROR(__xludf.DUMMYFUNCTION("""COMPUTED_VALUE"""),"Timor-Leste-Asia")</f>
        <v>Timor-Leste-Asia</v>
      </c>
      <c r="AD2428" s="14" t="str">
        <f>IFERROR(__xludf.DUMMYFUNCTION("""COMPUTED_VALUE"""),"2008")</f>
        <v>2008</v>
      </c>
      <c r="AE2428" s="14">
        <f>IFERROR(__xludf.DUMMYFUNCTION("""COMPUTED_VALUE"""),58.0)</f>
        <v>58</v>
      </c>
      <c r="AF2428" s="14">
        <f>IFERROR(__xludf.DUMMYFUNCTION("""COMPUTED_VALUE"""),176.0)</f>
        <v>176</v>
      </c>
    </row>
    <row r="2429">
      <c r="A2429" s="12">
        <v>2428.0</v>
      </c>
      <c r="B2429" s="12" t="s">
        <v>265</v>
      </c>
      <c r="C2429" s="5" t="s">
        <v>61</v>
      </c>
      <c r="D2429" s="11">
        <v>0.11</v>
      </c>
      <c r="E2429" s="11">
        <v>157.0</v>
      </c>
      <c r="F2429" s="8"/>
      <c r="G2429" s="11">
        <v>276.0</v>
      </c>
      <c r="H2429" s="11">
        <v>0.002</v>
      </c>
      <c r="I2429" s="11">
        <v>0.33</v>
      </c>
      <c r="J2429" s="9" t="s">
        <v>70</v>
      </c>
      <c r="K2429" s="14" t="str">
        <f>IFERROR(__xludf.DUMMYFUNCTION("ARRAYFORMULA(VLOOKUP(A2429,IMPORTRANGE(""https://docs.google.com/spreadsheets/d/1BuTWp7qHGjWhqrnf-OmePP568O4A5Am9ttzvVdP67zw/edit#gid=1603210130"", ""TOURISM!$A$2:$F$2692""), {2,3,4,5,6},0))"),"Asia")</f>
        <v>Asia</v>
      </c>
      <c r="L2429" s="14">
        <f>IFERROR(__xludf.DUMMYFUNCTION("""COMPUTED_VALUE"""),1.6E7)</f>
        <v>16000000</v>
      </c>
      <c r="M2429" s="14" t="str">
        <f>IFERROR(__xludf.DUMMYFUNCTION("""COMPUTED_VALUE"""),"Timor-Leste-Asia")</f>
        <v>Timor-Leste-Asia</v>
      </c>
      <c r="N2429" s="14" t="str">
        <f>IFERROR(__xludf.DUMMYFUNCTION("""COMPUTED_VALUE"""),"2009")</f>
        <v>2009</v>
      </c>
      <c r="O2429" s="14">
        <f>IFERROR(__xludf.DUMMYFUNCTION("""COMPUTED_VALUE"""),6.9E7)</f>
        <v>69000000</v>
      </c>
      <c r="P2429" s="15">
        <f>IFERROR(__xludf.DUMMYFUNCTION("ARRAYFORMULA(VLOOKUP(A2429,IMPORTRANGE(""https://docs.google.com/spreadsheets/d/1BuTWp7qHGjWhqrnf-OmePP568O4A5Am9ttzvVdP67zw/edit#gid=771602874"" ,""HUMAN RESOURCES!$A$2:$M$2692""), {2,3,4,5,6,7,8,9,10,11,12,13},0))"),0.037)</f>
        <v>0.037</v>
      </c>
      <c r="Q2429" s="14">
        <f>IFERROR(__xludf.DUMMYFUNCTION("""COMPUTED_VALUE"""),0.054)</f>
        <v>0.054</v>
      </c>
      <c r="R2429" s="14">
        <f>IFERROR(__xludf.DUMMYFUNCTION("""COMPUTED_VALUE"""),67.0)</f>
        <v>67</v>
      </c>
      <c r="S2429" s="14">
        <f>IFERROR(__xludf.DUMMYFUNCTION("""COMPUTED_VALUE"""),64.0)</f>
        <v>64</v>
      </c>
      <c r="T2429" s="14">
        <f>IFERROR(__xludf.DUMMYFUNCTION("""COMPUTED_VALUE"""),0.476)</f>
        <v>0.476</v>
      </c>
      <c r="U2429" s="14">
        <f>IFERROR(__xludf.DUMMYFUNCTION("""COMPUTED_VALUE"""),0.494)</f>
        <v>0.494</v>
      </c>
      <c r="V2429" s="14">
        <f>IFERROR(__xludf.DUMMYFUNCTION("""COMPUTED_VALUE"""),0.03)</f>
        <v>0.03</v>
      </c>
      <c r="W2429" s="14">
        <f>IFERROR(__xludf.DUMMYFUNCTION("""COMPUTED_VALUE"""),1049156.0)</f>
        <v>1049156</v>
      </c>
      <c r="X2429" s="14">
        <f>IFERROR(__xludf.DUMMYFUNCTION("""COMPUTED_VALUE"""),0.289)</f>
        <v>0.289</v>
      </c>
      <c r="Y2429" s="14" t="str">
        <f>IFERROR(__xludf.DUMMYFUNCTION("""COMPUTED_VALUE"""),"Timor-Leste-Asia")</f>
        <v>Timor-Leste-Asia</v>
      </c>
      <c r="Z2429" s="14" t="str">
        <f>IFERROR(__xludf.DUMMYFUNCTION("""COMPUTED_VALUE"""),"Asia")</f>
        <v>Asia</v>
      </c>
      <c r="AA2429" s="14" t="str">
        <f>IFERROR(__xludf.DUMMYFUNCTION("""COMPUTED_VALUE"""),"2009")</f>
        <v>2009</v>
      </c>
      <c r="AB2429" s="15" t="str">
        <f>IFERROR(__xludf.DUMMYFUNCTION("ARRAYFORMULA(VLOOKUP(A2429,IMPORTRANGE(""https://docs.google.com/spreadsheets/d/1BuTWp7qHGjWhqrnf-OmePP568O4A5Am9ttzvVdP67zw/edit#gid=1931367683"" ,""ENERGY!$A$2:$F$2692""), {2,3,4,5,6},0))"),"Asia")</f>
        <v>Asia</v>
      </c>
      <c r="AC2429" s="14" t="str">
        <f>IFERROR(__xludf.DUMMYFUNCTION("""COMPUTED_VALUE"""),"Timor-Leste-Asia")</f>
        <v>Timor-Leste-Asia</v>
      </c>
      <c r="AD2429" s="14" t="str">
        <f>IFERROR(__xludf.DUMMYFUNCTION("""COMPUTED_VALUE"""),"2012")</f>
        <v>2012</v>
      </c>
      <c r="AE2429" s="14"/>
      <c r="AF2429" s="14">
        <f>IFERROR(__xludf.DUMMYFUNCTION("""COMPUTED_VALUE"""),161.0)</f>
        <v>161</v>
      </c>
    </row>
    <row r="2430">
      <c r="A2430" s="12">
        <v>2429.0</v>
      </c>
      <c r="B2430" s="12" t="s">
        <v>265</v>
      </c>
      <c r="C2430" s="5" t="s">
        <v>61</v>
      </c>
      <c r="D2430" s="11">
        <v>0.11</v>
      </c>
      <c r="E2430" s="11">
        <v>110.0</v>
      </c>
      <c r="F2430" s="8"/>
      <c r="G2430" s="11">
        <v>276.0</v>
      </c>
      <c r="H2430" s="11">
        <v>0.002</v>
      </c>
      <c r="I2430" s="11">
        <v>0.438</v>
      </c>
      <c r="J2430" s="9" t="s">
        <v>71</v>
      </c>
      <c r="K2430" s="14" t="str">
        <f>IFERROR(__xludf.DUMMYFUNCTION("ARRAYFORMULA(VLOOKUP(A2430,IMPORTRANGE(""https://docs.google.com/spreadsheets/d/1BuTWp7qHGjWhqrnf-OmePP568O4A5Am9ttzvVdP67zw/edit#gid=1603210130"", ""TOURISM!$A$2:$F$2692""), {2,3,4,5,6},0))"),"Asia")</f>
        <v>Asia</v>
      </c>
      <c r="L2430" s="14">
        <f>IFERROR(__xludf.DUMMYFUNCTION("""COMPUTED_VALUE"""),3.1E7)</f>
        <v>31000000</v>
      </c>
      <c r="M2430" s="14" t="str">
        <f>IFERROR(__xludf.DUMMYFUNCTION("""COMPUTED_VALUE"""),"Timor-Leste-Asia")</f>
        <v>Timor-Leste-Asia</v>
      </c>
      <c r="N2430" s="14" t="str">
        <f>IFERROR(__xludf.DUMMYFUNCTION("""COMPUTED_VALUE"""),"2010")</f>
        <v>2010</v>
      </c>
      <c r="O2430" s="14">
        <f>IFERROR(__xludf.DUMMYFUNCTION("""COMPUTED_VALUE"""),6.8E7)</f>
        <v>68000000</v>
      </c>
      <c r="P2430" s="15">
        <f>IFERROR(__xludf.DUMMYFUNCTION("ARRAYFORMULA(VLOOKUP(A2430,IMPORTRANGE(""https://docs.google.com/spreadsheets/d/1BuTWp7qHGjWhqrnf-OmePP568O4A5Am9ttzvVdP67zw/edit#gid=771602874"" ,""HUMAN RESOURCES!$A$2:$M$2692""), {2,3,4,5,6,7,8,9,10,11,12,13},0))"),0.036)</f>
        <v>0.036</v>
      </c>
      <c r="Q2430" s="14">
        <f>IFERROR(__xludf.DUMMYFUNCTION("""COMPUTED_VALUE"""),0.052)</f>
        <v>0.052</v>
      </c>
      <c r="R2430" s="14">
        <f>IFERROR(__xludf.DUMMYFUNCTION("""COMPUTED_VALUE"""),68.0)</f>
        <v>68</v>
      </c>
      <c r="S2430" s="14">
        <f>IFERROR(__xludf.DUMMYFUNCTION("""COMPUTED_VALUE"""),64.0)</f>
        <v>64</v>
      </c>
      <c r="T2430" s="14">
        <f>IFERROR(__xludf.DUMMYFUNCTION("""COMPUTED_VALUE"""),0.473)</f>
        <v>0.473</v>
      </c>
      <c r="U2430" s="14">
        <f>IFERROR(__xludf.DUMMYFUNCTION("""COMPUTED_VALUE"""),0.496)</f>
        <v>0.496</v>
      </c>
      <c r="V2430" s="14">
        <f>IFERROR(__xludf.DUMMYFUNCTION("""COMPUTED_VALUE"""),0.031)</f>
        <v>0.031</v>
      </c>
      <c r="W2430" s="14">
        <f>IFERROR(__xludf.DUMMYFUNCTION("""COMPUTED_VALUE"""),1066409.0)</f>
        <v>1066409</v>
      </c>
      <c r="X2430" s="14">
        <f>IFERROR(__xludf.DUMMYFUNCTION("""COMPUTED_VALUE"""),0.295)</f>
        <v>0.295</v>
      </c>
      <c r="Y2430" s="14" t="str">
        <f>IFERROR(__xludf.DUMMYFUNCTION("""COMPUTED_VALUE"""),"Timor-Leste-Asia")</f>
        <v>Timor-Leste-Asia</v>
      </c>
      <c r="Z2430" s="14" t="str">
        <f>IFERROR(__xludf.DUMMYFUNCTION("""COMPUTED_VALUE"""),"Asia")</f>
        <v>Asia</v>
      </c>
      <c r="AA2430" s="14" t="str">
        <f>IFERROR(__xludf.DUMMYFUNCTION("""COMPUTED_VALUE"""),"2010")</f>
        <v>2010</v>
      </c>
      <c r="AB2430" s="15" t="str">
        <f>IFERROR(__xludf.DUMMYFUNCTION("ARRAYFORMULA(VLOOKUP(A2430,IMPORTRANGE(""https://docs.google.com/spreadsheets/d/1BuTWp7qHGjWhqrnf-OmePP568O4A5Am9ttzvVdP67zw/edit#gid=1931367683"" ,""ENERGY!$A$2:$F$2692""), {2,3,4,5,6},0))"),"Asia")</f>
        <v>Asia</v>
      </c>
      <c r="AC2430" s="14" t="str">
        <f>IFERROR(__xludf.DUMMYFUNCTION("""COMPUTED_VALUE"""),"Timor-Leste-Asia")</f>
        <v>Timor-Leste-Asia</v>
      </c>
      <c r="AD2430" s="14" t="str">
        <f>IFERROR(__xludf.DUMMYFUNCTION("""COMPUTED_VALUE"""),"2009")</f>
        <v>2009</v>
      </c>
      <c r="AE2430" s="14"/>
      <c r="AF2430" s="14">
        <f>IFERROR(__xludf.DUMMYFUNCTION("""COMPUTED_VALUE"""),161.0)</f>
        <v>161</v>
      </c>
    </row>
    <row r="2431">
      <c r="A2431" s="12">
        <v>2430.0</v>
      </c>
      <c r="B2431" s="12" t="s">
        <v>265</v>
      </c>
      <c r="C2431" s="5" t="s">
        <v>61</v>
      </c>
      <c r="D2431" s="11">
        <v>0.11</v>
      </c>
      <c r="E2431" s="11">
        <v>94.0</v>
      </c>
      <c r="F2431" s="8"/>
      <c r="G2431" s="11">
        <v>276.0</v>
      </c>
      <c r="H2431" s="11">
        <v>0.009</v>
      </c>
      <c r="I2431" s="11">
        <v>0.56</v>
      </c>
      <c r="J2431" s="9" t="s">
        <v>72</v>
      </c>
      <c r="K2431" s="14" t="str">
        <f>IFERROR(__xludf.DUMMYFUNCTION("ARRAYFORMULA(VLOOKUP(A2431,IMPORTRANGE(""https://docs.google.com/spreadsheets/d/1BuTWp7qHGjWhqrnf-OmePP568O4A5Am9ttzvVdP67zw/edit#gid=1603210130"", ""TOURISM!$A$2:$F$2692""), {2,3,4,5,6},0))"),"Asia")</f>
        <v>Asia</v>
      </c>
      <c r="L2431" s="14">
        <f>IFERROR(__xludf.DUMMYFUNCTION("""COMPUTED_VALUE"""),2.4E7)</f>
        <v>24000000</v>
      </c>
      <c r="M2431" s="14" t="str">
        <f>IFERROR(__xludf.DUMMYFUNCTION("""COMPUTED_VALUE"""),"Timor-Leste-Asia")</f>
        <v>Timor-Leste-Asia</v>
      </c>
      <c r="N2431" s="14" t="str">
        <f>IFERROR(__xludf.DUMMYFUNCTION("""COMPUTED_VALUE"""),"2011")</f>
        <v>2011</v>
      </c>
      <c r="O2431" s="14">
        <f>IFERROR(__xludf.DUMMYFUNCTION("""COMPUTED_VALUE"""),6.3E7)</f>
        <v>63000000</v>
      </c>
      <c r="P2431" s="15">
        <f>IFERROR(__xludf.DUMMYFUNCTION("ARRAYFORMULA(VLOOKUP(A2431,IMPORTRANGE(""https://docs.google.com/spreadsheets/d/1BuTWp7qHGjWhqrnf-OmePP568O4A5Am9ttzvVdP67zw/edit#gid=771602874"" ,""HUMAN RESOURCES!$A$2:$M$2692""), {2,3,4,5,6,7,8,9,10,11,12,13},0))"),0.036)</f>
        <v>0.036</v>
      </c>
      <c r="Q2431" s="14">
        <f>IFERROR(__xludf.DUMMYFUNCTION("""COMPUTED_VALUE"""),0.05)</f>
        <v>0.05</v>
      </c>
      <c r="R2431" s="14">
        <f>IFERROR(__xludf.DUMMYFUNCTION("""COMPUTED_VALUE"""),68.0)</f>
        <v>68</v>
      </c>
      <c r="S2431" s="14">
        <f>IFERROR(__xludf.DUMMYFUNCTION("""COMPUTED_VALUE"""),65.0)</f>
        <v>65</v>
      </c>
      <c r="T2431" s="14">
        <f>IFERROR(__xludf.DUMMYFUNCTION("""COMPUTED_VALUE"""),0.469)</f>
        <v>0.469</v>
      </c>
      <c r="U2431" s="14">
        <f>IFERROR(__xludf.DUMMYFUNCTION("""COMPUTED_VALUE"""),0.5)</f>
        <v>0.5</v>
      </c>
      <c r="V2431" s="14">
        <f>IFERROR(__xludf.DUMMYFUNCTION("""COMPUTED_VALUE"""),0.032)</f>
        <v>0.032</v>
      </c>
      <c r="W2431" s="14">
        <f>IFERROR(__xludf.DUMMYFUNCTION("""COMPUTED_VALUE"""),1120392.0)</f>
        <v>1120392</v>
      </c>
      <c r="X2431" s="14">
        <f>IFERROR(__xludf.DUMMYFUNCTION("""COMPUTED_VALUE"""),0.302)</f>
        <v>0.302</v>
      </c>
      <c r="Y2431" s="14" t="str">
        <f>IFERROR(__xludf.DUMMYFUNCTION("""COMPUTED_VALUE"""),"Timor-Leste-Asia")</f>
        <v>Timor-Leste-Asia</v>
      </c>
      <c r="Z2431" s="14" t="str">
        <f>IFERROR(__xludf.DUMMYFUNCTION("""COMPUTED_VALUE"""),"Asia")</f>
        <v>Asia</v>
      </c>
      <c r="AA2431" s="14" t="str">
        <f>IFERROR(__xludf.DUMMYFUNCTION("""COMPUTED_VALUE"""),"2011")</f>
        <v>2011</v>
      </c>
      <c r="AB2431" s="15" t="str">
        <f>IFERROR(__xludf.DUMMYFUNCTION("ARRAYFORMULA(VLOOKUP(A2431,IMPORTRANGE(""https://docs.google.com/spreadsheets/d/1BuTWp7qHGjWhqrnf-OmePP568O4A5Am9ttzvVdP67zw/edit#gid=1931367683"" ,""ENERGY!$A$2:$F$2692""), {2,3,4,5,6},0))"),"Asia")</f>
        <v>Asia</v>
      </c>
      <c r="AC2431" s="14" t="str">
        <f>IFERROR(__xludf.DUMMYFUNCTION("""COMPUTED_VALUE"""),"Timor-Leste-Asia")</f>
        <v>Timor-Leste-Asia</v>
      </c>
      <c r="AD2431" s="14" t="str">
        <f>IFERROR(__xludf.DUMMYFUNCTION("""COMPUTED_VALUE"""),"2007")</f>
        <v>2007</v>
      </c>
      <c r="AE2431" s="14"/>
      <c r="AF2431" s="14"/>
    </row>
    <row r="2432">
      <c r="A2432" s="12">
        <v>2431.0</v>
      </c>
      <c r="B2432" s="12" t="s">
        <v>265</v>
      </c>
      <c r="C2432" s="5" t="s">
        <v>61</v>
      </c>
      <c r="D2432" s="11">
        <v>0.11</v>
      </c>
      <c r="E2432" s="11">
        <v>94.0</v>
      </c>
      <c r="F2432" s="11">
        <v>167.0</v>
      </c>
      <c r="G2432" s="11">
        <v>276.0</v>
      </c>
      <c r="H2432" s="11">
        <v>0.009</v>
      </c>
      <c r="I2432" s="11">
        <v>0.557</v>
      </c>
      <c r="J2432" s="9" t="s">
        <v>73</v>
      </c>
      <c r="K2432" s="14" t="str">
        <f>IFERROR(__xludf.DUMMYFUNCTION("ARRAYFORMULA(VLOOKUP(A2432,IMPORTRANGE(""https://docs.google.com/spreadsheets/d/1BuTWp7qHGjWhqrnf-OmePP568O4A5Am9ttzvVdP67zw/edit#gid=1603210130"", ""TOURISM!$A$2:$F$2692""), {2,3,4,5,6},0))"),"Asia")</f>
        <v>Asia</v>
      </c>
      <c r="L2432" s="14">
        <f>IFERROR(__xludf.DUMMYFUNCTION("""COMPUTED_VALUE"""),2.1E7)</f>
        <v>21000000</v>
      </c>
      <c r="M2432" s="14" t="str">
        <f>IFERROR(__xludf.DUMMYFUNCTION("""COMPUTED_VALUE"""),"Timor-Leste-Asia")</f>
        <v>Timor-Leste-Asia</v>
      </c>
      <c r="N2432" s="14" t="str">
        <f>IFERROR(__xludf.DUMMYFUNCTION("""COMPUTED_VALUE"""),"2012")</f>
        <v>2012</v>
      </c>
      <c r="O2432" s="14">
        <f>IFERROR(__xludf.DUMMYFUNCTION("""COMPUTED_VALUE"""),8.0E7)</f>
        <v>80000000</v>
      </c>
      <c r="P2432" s="15">
        <f>IFERROR(__xludf.DUMMYFUNCTION("ARRAYFORMULA(VLOOKUP(A2432,IMPORTRANGE(""https://docs.google.com/spreadsheets/d/1BuTWp7qHGjWhqrnf-OmePP568O4A5Am9ttzvVdP67zw/edit#gid=771602874"" ,""HUMAN RESOURCES!$A$2:$M$2692""), {2,3,4,5,6,7,8,9,10,11,12,13},0))"),0.036)</f>
        <v>0.036</v>
      </c>
      <c r="Q2432" s="14">
        <f>IFERROR(__xludf.DUMMYFUNCTION("""COMPUTED_VALUE"""),0.048)</f>
        <v>0.048</v>
      </c>
      <c r="R2432" s="14">
        <f>IFERROR(__xludf.DUMMYFUNCTION("""COMPUTED_VALUE"""),69.0)</f>
        <v>69</v>
      </c>
      <c r="S2432" s="14">
        <f>IFERROR(__xludf.DUMMYFUNCTION("""COMPUTED_VALUE"""),66.0)</f>
        <v>66</v>
      </c>
      <c r="T2432" s="14">
        <f>IFERROR(__xludf.DUMMYFUNCTION("""COMPUTED_VALUE"""),0.463)</f>
        <v>0.463</v>
      </c>
      <c r="U2432" s="14">
        <f>IFERROR(__xludf.DUMMYFUNCTION("""COMPUTED_VALUE"""),0.505)</f>
        <v>0.505</v>
      </c>
      <c r="V2432" s="14">
        <f>IFERROR(__xludf.DUMMYFUNCTION("""COMPUTED_VALUE"""),0.032)</f>
        <v>0.032</v>
      </c>
      <c r="W2432" s="14">
        <f>IFERROR(__xludf.DUMMYFUNCTION("""COMPUTED_VALUE"""),1148958.0)</f>
        <v>1148958</v>
      </c>
      <c r="X2432" s="14">
        <f>IFERROR(__xludf.DUMMYFUNCTION("""COMPUTED_VALUE"""),0.308)</f>
        <v>0.308</v>
      </c>
      <c r="Y2432" s="14" t="str">
        <f>IFERROR(__xludf.DUMMYFUNCTION("""COMPUTED_VALUE"""),"Timor-Leste-Asia")</f>
        <v>Timor-Leste-Asia</v>
      </c>
      <c r="Z2432" s="14" t="str">
        <f>IFERROR(__xludf.DUMMYFUNCTION("""COMPUTED_VALUE"""),"Asia")</f>
        <v>Asia</v>
      </c>
      <c r="AA2432" s="14" t="str">
        <f>IFERROR(__xludf.DUMMYFUNCTION("""COMPUTED_VALUE"""),"2012")</f>
        <v>2012</v>
      </c>
      <c r="AB2432" s="15" t="str">
        <f>IFERROR(__xludf.DUMMYFUNCTION("ARRAYFORMULA(VLOOKUP(A2432,IMPORTRANGE(""https://docs.google.com/spreadsheets/d/1BuTWp7qHGjWhqrnf-OmePP568O4A5Am9ttzvVdP67zw/edit#gid=1931367683"" ,""ENERGY!$A$2:$F$2692""), {2,3,4,5,6},0))"),"Asia")</f>
        <v>Asia</v>
      </c>
      <c r="AC2432" s="14" t="str">
        <f>IFERROR(__xludf.DUMMYFUNCTION("""COMPUTED_VALUE"""),"Timor-Leste-Asia")</f>
        <v>Timor-Leste-Asia</v>
      </c>
      <c r="AD2432" s="14" t="str">
        <f>IFERROR(__xludf.DUMMYFUNCTION("""COMPUTED_VALUE"""),"2012")</f>
        <v>2012</v>
      </c>
      <c r="AE2432" s="14"/>
      <c r="AF2432" s="14"/>
    </row>
    <row r="2433">
      <c r="A2433" s="12">
        <v>2432.0</v>
      </c>
      <c r="B2433" s="12" t="s">
        <v>266</v>
      </c>
      <c r="C2433" s="5" t="s">
        <v>77</v>
      </c>
      <c r="D2433" s="8"/>
      <c r="E2433" s="8"/>
      <c r="F2433" s="8"/>
      <c r="G2433" s="8"/>
      <c r="H2433" s="11">
        <v>0.008</v>
      </c>
      <c r="I2433" s="11">
        <v>0.01</v>
      </c>
      <c r="J2433" s="9" t="s">
        <v>60</v>
      </c>
      <c r="K2433" s="14" t="str">
        <f>IFERROR(__xludf.DUMMYFUNCTION("ARRAYFORMULA(VLOOKUP(A2433,IMPORTRANGE(""https://docs.google.com/spreadsheets/d/1BuTWp7qHGjWhqrnf-OmePP568O4A5Am9ttzvVdP67zw/edit#gid=1603210130"", ""TOURISM!$A$2:$F$2692""), {2,3,4,5,6},0))"),"Africa")</f>
        <v>Africa</v>
      </c>
      <c r="L2433" s="14">
        <f>IFERROR(__xludf.DUMMYFUNCTION("""COMPUTED_VALUE"""),1.1E7)</f>
        <v>11000000</v>
      </c>
      <c r="M2433" s="14" t="str">
        <f>IFERROR(__xludf.DUMMYFUNCTION("""COMPUTED_VALUE"""),"Togo-Africa")</f>
        <v>Togo-Africa</v>
      </c>
      <c r="N2433" s="14" t="str">
        <f>IFERROR(__xludf.DUMMYFUNCTION("""COMPUTED_VALUE"""),"2000")</f>
        <v>2000</v>
      </c>
      <c r="O2433" s="14">
        <f>IFERROR(__xludf.DUMMYFUNCTION("""COMPUTED_VALUE"""),1.5E7)</f>
        <v>15000000</v>
      </c>
      <c r="P2433" s="15">
        <f>IFERROR(__xludf.DUMMYFUNCTION("ARRAYFORMULA(VLOOKUP(A2433,IMPORTRANGE(""https://docs.google.com/spreadsheets/d/1BuTWp7qHGjWhqrnf-OmePP568O4A5Am9ttzvVdP67zw/edit#gid=771602874"" ,""HUMAN RESOURCES!$A$2:$M$2692""), {2,3,4,5,6,7,8,9,10,11,12,13},0))"),0.039)</f>
        <v>0.039</v>
      </c>
      <c r="Q2433" s="14">
        <f>IFERROR(__xludf.DUMMYFUNCTION("""COMPUTED_VALUE"""),0.077)</f>
        <v>0.077</v>
      </c>
      <c r="R2433" s="14">
        <f>IFERROR(__xludf.DUMMYFUNCTION("""COMPUTED_VALUE"""),54.0)</f>
        <v>54</v>
      </c>
      <c r="S2433" s="14">
        <f>IFERROR(__xludf.DUMMYFUNCTION("""COMPUTED_VALUE"""),53.0)</f>
        <v>53</v>
      </c>
      <c r="T2433" s="14">
        <f>IFERROR(__xludf.DUMMYFUNCTION("""COMPUTED_VALUE"""),0.442)</f>
        <v>0.442</v>
      </c>
      <c r="U2433" s="14">
        <f>IFERROR(__xludf.DUMMYFUNCTION("""COMPUTED_VALUE"""),0.529)</f>
        <v>0.529</v>
      </c>
      <c r="V2433" s="14">
        <f>IFERROR(__xludf.DUMMYFUNCTION("""COMPUTED_VALUE"""),0.029)</f>
        <v>0.029</v>
      </c>
      <c r="W2433" s="14">
        <f>IFERROR(__xludf.DUMMYFUNCTION("""COMPUTED_VALUE"""),4864753.0)</f>
        <v>4864753</v>
      </c>
      <c r="X2433" s="14">
        <f>IFERROR(__xludf.DUMMYFUNCTION("""COMPUTED_VALUE"""),0.329)</f>
        <v>0.329</v>
      </c>
      <c r="Y2433" s="14" t="str">
        <f>IFERROR(__xludf.DUMMYFUNCTION("""COMPUTED_VALUE"""),"Togo-Africa")</f>
        <v>Togo-Africa</v>
      </c>
      <c r="Z2433" s="14" t="str">
        <f>IFERROR(__xludf.DUMMYFUNCTION("""COMPUTED_VALUE"""),"Africa")</f>
        <v>Africa</v>
      </c>
      <c r="AA2433" s="14" t="str">
        <f>IFERROR(__xludf.DUMMYFUNCTION("""COMPUTED_VALUE"""),"2000")</f>
        <v>2000</v>
      </c>
      <c r="AB2433" s="15" t="str">
        <f>IFERROR(__xludf.DUMMYFUNCTION("ARRAYFORMULA(VLOOKUP(A2433,IMPORTRANGE(""https://docs.google.com/spreadsheets/d/1BuTWp7qHGjWhqrnf-OmePP568O4A5Am9ttzvVdP67zw/edit#gid=1931367683"" ,""ENERGY!$A$2:$F$2692""), {2,3,4,5,6},0))"),"Africa")</f>
        <v>Africa</v>
      </c>
      <c r="AC2433" s="14" t="str">
        <f>IFERROR(__xludf.DUMMYFUNCTION("""COMPUTED_VALUE"""),"Togo-Africa")</f>
        <v>Togo-Africa</v>
      </c>
      <c r="AD2433" s="14" t="str">
        <f>IFERROR(__xludf.DUMMYFUNCTION("""COMPUTED_VALUE"""),"2000")</f>
        <v>2000</v>
      </c>
      <c r="AE2433" s="14"/>
      <c r="AF2433" s="14"/>
    </row>
    <row r="2434">
      <c r="A2434" s="12">
        <v>2433.0</v>
      </c>
      <c r="B2434" s="12" t="s">
        <v>266</v>
      </c>
      <c r="C2434" s="5" t="s">
        <v>77</v>
      </c>
      <c r="D2434" s="8"/>
      <c r="E2434" s="8"/>
      <c r="F2434" s="8"/>
      <c r="G2434" s="8"/>
      <c r="H2434" s="11">
        <v>0.009</v>
      </c>
      <c r="I2434" s="11">
        <v>0.019</v>
      </c>
      <c r="J2434" s="9" t="s">
        <v>62</v>
      </c>
      <c r="K2434" s="14" t="str">
        <f>IFERROR(__xludf.DUMMYFUNCTION("ARRAYFORMULA(VLOOKUP(A2434,IMPORTRANGE(""https://docs.google.com/spreadsheets/d/1BuTWp7qHGjWhqrnf-OmePP568O4A5Am9ttzvVdP67zw/edit#gid=1603210130"", ""TOURISM!$A$2:$F$2692""), {2,3,4,5,6},0))"),"Africa")</f>
        <v>Africa</v>
      </c>
      <c r="L2434" s="14">
        <f>IFERROR(__xludf.DUMMYFUNCTION("""COMPUTED_VALUE"""),1.4E7)</f>
        <v>14000000</v>
      </c>
      <c r="M2434" s="14" t="str">
        <f>IFERROR(__xludf.DUMMYFUNCTION("""COMPUTED_VALUE"""),"Togo-Africa")</f>
        <v>Togo-Africa</v>
      </c>
      <c r="N2434" s="14" t="str">
        <f>IFERROR(__xludf.DUMMYFUNCTION("""COMPUTED_VALUE"""),"2001")</f>
        <v>2001</v>
      </c>
      <c r="O2434" s="14">
        <f>IFERROR(__xludf.DUMMYFUNCTION("""COMPUTED_VALUE"""),2.0E7)</f>
        <v>20000000</v>
      </c>
      <c r="P2434" s="15">
        <f>IFERROR(__xludf.DUMMYFUNCTION("ARRAYFORMULA(VLOOKUP(A2434,IMPORTRANGE(""https://docs.google.com/spreadsheets/d/1BuTWp7qHGjWhqrnf-OmePP568O4A5Am9ttzvVdP67zw/edit#gid=771602874"" ,""HUMAN RESOURCES!$A$2:$M$2692""), {2,3,4,5,6,7,8,9,10,11,12,13},0))"),0.039)</f>
        <v>0.039</v>
      </c>
      <c r="Q2434" s="14">
        <f>IFERROR(__xludf.DUMMYFUNCTION("""COMPUTED_VALUE"""),0.075)</f>
        <v>0.075</v>
      </c>
      <c r="R2434" s="14">
        <f>IFERROR(__xludf.DUMMYFUNCTION("""COMPUTED_VALUE"""),54.0)</f>
        <v>54</v>
      </c>
      <c r="S2434" s="14">
        <f>IFERROR(__xludf.DUMMYFUNCTION("""COMPUTED_VALUE"""),53.0)</f>
        <v>53</v>
      </c>
      <c r="T2434" s="14">
        <f>IFERROR(__xludf.DUMMYFUNCTION("""COMPUTED_VALUE"""),0.439)</f>
        <v>0.439</v>
      </c>
      <c r="U2434" s="14">
        <f>IFERROR(__xludf.DUMMYFUNCTION("""COMPUTED_VALUE"""),0.532)</f>
        <v>0.532</v>
      </c>
      <c r="V2434" s="14">
        <f>IFERROR(__xludf.DUMMYFUNCTION("""COMPUTED_VALUE"""),0.028)</f>
        <v>0.028</v>
      </c>
      <c r="W2434" s="14">
        <f>IFERROR(__xludf.DUMMYFUNCTION("""COMPUTED_VALUE"""),4992225.0)</f>
        <v>4992225</v>
      </c>
      <c r="X2434" s="14">
        <f>IFERROR(__xludf.DUMMYFUNCTION("""COMPUTED_VALUE"""),0.334)</f>
        <v>0.334</v>
      </c>
      <c r="Y2434" s="14" t="str">
        <f>IFERROR(__xludf.DUMMYFUNCTION("""COMPUTED_VALUE"""),"Togo-Africa")</f>
        <v>Togo-Africa</v>
      </c>
      <c r="Z2434" s="14" t="str">
        <f>IFERROR(__xludf.DUMMYFUNCTION("""COMPUTED_VALUE"""),"Africa")</f>
        <v>Africa</v>
      </c>
      <c r="AA2434" s="14" t="str">
        <f>IFERROR(__xludf.DUMMYFUNCTION("""COMPUTED_VALUE"""),"2001")</f>
        <v>2001</v>
      </c>
      <c r="AB2434" s="15" t="str">
        <f>IFERROR(__xludf.DUMMYFUNCTION("ARRAYFORMULA(VLOOKUP(A2434,IMPORTRANGE(""https://docs.google.com/spreadsheets/d/1BuTWp7qHGjWhqrnf-OmePP568O4A5Am9ttzvVdP67zw/edit#gid=1931367683"" ,""ENERGY!$A$2:$F$2692""), {2,3,4,5,6},0))"),"Africa")</f>
        <v>Africa</v>
      </c>
      <c r="AC2434" s="14" t="str">
        <f>IFERROR(__xludf.DUMMYFUNCTION("""COMPUTED_VALUE"""),"Togo-Africa")</f>
        <v>Togo-Africa</v>
      </c>
      <c r="AD2434" s="14" t="str">
        <f>IFERROR(__xludf.DUMMYFUNCTION("""COMPUTED_VALUE"""),"2001")</f>
        <v>2001</v>
      </c>
      <c r="AE2434" s="14">
        <f>IFERROR(__xludf.DUMMYFUNCTION("""COMPUTED_VALUE"""),2764.0)</f>
        <v>2764</v>
      </c>
      <c r="AF2434" s="14"/>
    </row>
    <row r="2435">
      <c r="A2435" s="12">
        <v>2434.0</v>
      </c>
      <c r="B2435" s="12" t="s">
        <v>266</v>
      </c>
      <c r="C2435" s="5" t="s">
        <v>77</v>
      </c>
      <c r="D2435" s="8"/>
      <c r="E2435" s="8"/>
      <c r="F2435" s="8"/>
      <c r="G2435" s="8"/>
      <c r="H2435" s="11">
        <v>0.01</v>
      </c>
      <c r="I2435" s="11">
        <v>0.032</v>
      </c>
      <c r="J2435" s="9" t="s">
        <v>63</v>
      </c>
      <c r="K2435" s="14" t="str">
        <f>IFERROR(__xludf.DUMMYFUNCTION("ARRAYFORMULA(VLOOKUP(A2435,IMPORTRANGE(""https://docs.google.com/spreadsheets/d/1BuTWp7qHGjWhqrnf-OmePP568O4A5Am9ttzvVdP67zw/edit#gid=1603210130"", ""TOURISM!$A$2:$F$2692""), {2,3,4,5,6},0))"),"Africa")</f>
        <v>Africa</v>
      </c>
      <c r="L2435" s="14">
        <f>IFERROR(__xludf.DUMMYFUNCTION("""COMPUTED_VALUE"""),1.6E7)</f>
        <v>16000000</v>
      </c>
      <c r="M2435" s="14" t="str">
        <f>IFERROR(__xludf.DUMMYFUNCTION("""COMPUTED_VALUE"""),"Togo-Africa")</f>
        <v>Togo-Africa</v>
      </c>
      <c r="N2435" s="14" t="str">
        <f>IFERROR(__xludf.DUMMYFUNCTION("""COMPUTED_VALUE"""),"2002")</f>
        <v>2002</v>
      </c>
      <c r="O2435" s="14">
        <f>IFERROR(__xludf.DUMMYFUNCTION("""COMPUTED_VALUE"""),2.6E7)</f>
        <v>26000000</v>
      </c>
      <c r="P2435" s="15">
        <f>IFERROR(__xludf.DUMMYFUNCTION("ARRAYFORMULA(VLOOKUP(A2435,IMPORTRANGE(""https://docs.google.com/spreadsheets/d/1BuTWp7qHGjWhqrnf-OmePP568O4A5Am9ttzvVdP67zw/edit#gid=771602874"" ,""HUMAN RESOURCES!$A$2:$M$2692""), {2,3,4,5,6,7,8,9,10,11,12,13},0))"),0.039)</f>
        <v>0.039</v>
      </c>
      <c r="Q2435" s="14">
        <f>IFERROR(__xludf.DUMMYFUNCTION("""COMPUTED_VALUE"""),0.073)</f>
        <v>0.073</v>
      </c>
      <c r="R2435" s="14">
        <f>IFERROR(__xludf.DUMMYFUNCTION("""COMPUTED_VALUE"""),55.0)</f>
        <v>55</v>
      </c>
      <c r="S2435" s="14">
        <f>IFERROR(__xludf.DUMMYFUNCTION("""COMPUTED_VALUE"""),53.0)</f>
        <v>53</v>
      </c>
      <c r="T2435" s="14">
        <f>IFERROR(__xludf.DUMMYFUNCTION("""COMPUTED_VALUE"""),0.436)</f>
        <v>0.436</v>
      </c>
      <c r="U2435" s="14">
        <f>IFERROR(__xludf.DUMMYFUNCTION("""COMPUTED_VALUE"""),0.536)</f>
        <v>0.536</v>
      </c>
      <c r="V2435" s="14">
        <f>IFERROR(__xludf.DUMMYFUNCTION("""COMPUTED_VALUE"""),0.028)</f>
        <v>0.028</v>
      </c>
      <c r="W2435" s="14">
        <f>IFERROR(__xludf.DUMMYFUNCTION("""COMPUTED_VALUE"""),5123674.0)</f>
        <v>5123674</v>
      </c>
      <c r="X2435" s="14">
        <f>IFERROR(__xludf.DUMMYFUNCTION("""COMPUTED_VALUE"""),0.338)</f>
        <v>0.338</v>
      </c>
      <c r="Y2435" s="14" t="str">
        <f>IFERROR(__xludf.DUMMYFUNCTION("""COMPUTED_VALUE"""),"Togo-Africa")</f>
        <v>Togo-Africa</v>
      </c>
      <c r="Z2435" s="14" t="str">
        <f>IFERROR(__xludf.DUMMYFUNCTION("""COMPUTED_VALUE"""),"Africa")</f>
        <v>Africa</v>
      </c>
      <c r="AA2435" s="14" t="str">
        <f>IFERROR(__xludf.DUMMYFUNCTION("""COMPUTED_VALUE"""),"2002")</f>
        <v>2002</v>
      </c>
      <c r="AB2435" s="15" t="str">
        <f>IFERROR(__xludf.DUMMYFUNCTION("ARRAYFORMULA(VLOOKUP(A2435,IMPORTRANGE(""https://docs.google.com/spreadsheets/d/1BuTWp7qHGjWhqrnf-OmePP568O4A5Am9ttzvVdP67zw/edit#gid=1931367683"" ,""ENERGY!$A$2:$F$2692""), {2,3,4,5,6},0))"),"Africa")</f>
        <v>Africa</v>
      </c>
      <c r="AC2435" s="14" t="str">
        <f>IFERROR(__xludf.DUMMYFUNCTION("""COMPUTED_VALUE"""),"Togo-Africa")</f>
        <v>Togo-Africa</v>
      </c>
      <c r="AD2435" s="14" t="str">
        <f>IFERROR(__xludf.DUMMYFUNCTION("""COMPUTED_VALUE"""),"2002")</f>
        <v>2002</v>
      </c>
      <c r="AE2435" s="14">
        <f>IFERROR(__xludf.DUMMYFUNCTION("""COMPUTED_VALUE"""),2692.0)</f>
        <v>2692</v>
      </c>
      <c r="AF2435" s="14">
        <f>IFERROR(__xludf.DUMMYFUNCTION("""COMPUTED_VALUE"""),1540.0)</f>
        <v>1540</v>
      </c>
    </row>
    <row r="2436">
      <c r="A2436" s="12">
        <v>2435.0</v>
      </c>
      <c r="B2436" s="12" t="s">
        <v>266</v>
      </c>
      <c r="C2436" s="5" t="s">
        <v>77</v>
      </c>
      <c r="D2436" s="8"/>
      <c r="E2436" s="11">
        <v>65.0</v>
      </c>
      <c r="F2436" s="8"/>
      <c r="G2436" s="8"/>
      <c r="H2436" s="11">
        <v>0.012</v>
      </c>
      <c r="I2436" s="11">
        <v>0.046</v>
      </c>
      <c r="J2436" s="9" t="s">
        <v>64</v>
      </c>
      <c r="K2436" s="14" t="str">
        <f>IFERROR(__xludf.DUMMYFUNCTION("ARRAYFORMULA(VLOOKUP(A2436,IMPORTRANGE(""https://docs.google.com/spreadsheets/d/1BuTWp7qHGjWhqrnf-OmePP568O4A5Am9ttzvVdP67zw/edit#gid=1603210130"", ""TOURISM!$A$2:$F$2692""), {2,3,4,5,6},0))"),"Africa")</f>
        <v>Africa</v>
      </c>
      <c r="L2436" s="14">
        <f>IFERROR(__xludf.DUMMYFUNCTION("""COMPUTED_VALUE"""),2.6E7)</f>
        <v>26000000</v>
      </c>
      <c r="M2436" s="14" t="str">
        <f>IFERROR(__xludf.DUMMYFUNCTION("""COMPUTED_VALUE"""),"Togo-Africa")</f>
        <v>Togo-Africa</v>
      </c>
      <c r="N2436" s="14" t="str">
        <f>IFERROR(__xludf.DUMMYFUNCTION("""COMPUTED_VALUE"""),"2003")</f>
        <v>2003</v>
      </c>
      <c r="O2436" s="14">
        <f>IFERROR(__xludf.DUMMYFUNCTION("""COMPUTED_VALUE"""),3.7E7)</f>
        <v>37000000</v>
      </c>
      <c r="P2436" s="15">
        <f>IFERROR(__xludf.DUMMYFUNCTION("ARRAYFORMULA(VLOOKUP(A2436,IMPORTRANGE(""https://docs.google.com/spreadsheets/d/1BuTWp7qHGjWhqrnf-OmePP568O4A5Am9ttzvVdP67zw/edit#gid=771602874"" ,""HUMAN RESOURCES!$A$2:$M$2692""), {2,3,4,5,6,7,8,9,10,11,12,13},0))"),0.039)</f>
        <v>0.039</v>
      </c>
      <c r="Q2436" s="14">
        <f>IFERROR(__xludf.DUMMYFUNCTION("""COMPUTED_VALUE"""),0.072)</f>
        <v>0.072</v>
      </c>
      <c r="R2436" s="14">
        <f>IFERROR(__xludf.DUMMYFUNCTION("""COMPUTED_VALUE"""),55.0)</f>
        <v>55</v>
      </c>
      <c r="S2436" s="14">
        <f>IFERROR(__xludf.DUMMYFUNCTION("""COMPUTED_VALUE"""),53.0)</f>
        <v>53</v>
      </c>
      <c r="T2436" s="14">
        <f>IFERROR(__xludf.DUMMYFUNCTION("""COMPUTED_VALUE"""),0.433)</f>
        <v>0.433</v>
      </c>
      <c r="U2436" s="14">
        <f>IFERROR(__xludf.DUMMYFUNCTION("""COMPUTED_VALUE"""),0.539)</f>
        <v>0.539</v>
      </c>
      <c r="V2436" s="14">
        <f>IFERROR(__xludf.DUMMYFUNCTION("""COMPUTED_VALUE"""),0.028)</f>
        <v>0.028</v>
      </c>
      <c r="W2436" s="14">
        <f>IFERROR(__xludf.DUMMYFUNCTION("""COMPUTED_VALUE"""),5258956.0)</f>
        <v>5258956</v>
      </c>
      <c r="X2436" s="14">
        <f>IFERROR(__xludf.DUMMYFUNCTION("""COMPUTED_VALUE"""),0.343)</f>
        <v>0.343</v>
      </c>
      <c r="Y2436" s="14" t="str">
        <f>IFERROR(__xludf.DUMMYFUNCTION("""COMPUTED_VALUE"""),"Togo-Africa")</f>
        <v>Togo-Africa</v>
      </c>
      <c r="Z2436" s="14" t="str">
        <f>IFERROR(__xludf.DUMMYFUNCTION("""COMPUTED_VALUE"""),"Africa")</f>
        <v>Africa</v>
      </c>
      <c r="AA2436" s="14" t="str">
        <f>IFERROR(__xludf.DUMMYFUNCTION("""COMPUTED_VALUE"""),"2003")</f>
        <v>2003</v>
      </c>
      <c r="AB2436" s="15" t="str">
        <f>IFERROR(__xludf.DUMMYFUNCTION("ARRAYFORMULA(VLOOKUP(A2436,IMPORTRANGE(""https://docs.google.com/spreadsheets/d/1BuTWp7qHGjWhqrnf-OmePP568O4A5Am9ttzvVdP67zw/edit#gid=1931367683"" ,""ENERGY!$A$2:$F$2692""), {2,3,4,5,6},0))"),"Africa")</f>
        <v>Africa</v>
      </c>
      <c r="AC2436" s="14" t="str">
        <f>IFERROR(__xludf.DUMMYFUNCTION("""COMPUTED_VALUE"""),"Togo-Africa")</f>
        <v>Togo-Africa</v>
      </c>
      <c r="AD2436" s="14" t="str">
        <f>IFERROR(__xludf.DUMMYFUNCTION("""COMPUTED_VALUE"""),"2003")</f>
        <v>2003</v>
      </c>
      <c r="AE2436" s="14">
        <f>IFERROR(__xludf.DUMMYFUNCTION("""COMPUTED_VALUE"""),2628.0)</f>
        <v>2628</v>
      </c>
      <c r="AF2436" s="14">
        <f>IFERROR(__xludf.DUMMYFUNCTION("""COMPUTED_VALUE"""),1503.0)</f>
        <v>1503</v>
      </c>
    </row>
    <row r="2437">
      <c r="A2437" s="12">
        <v>2436.0</v>
      </c>
      <c r="B2437" s="12" t="s">
        <v>266</v>
      </c>
      <c r="C2437" s="5" t="s">
        <v>77</v>
      </c>
      <c r="D2437" s="8"/>
      <c r="E2437" s="11">
        <v>65.0</v>
      </c>
      <c r="F2437" s="8"/>
      <c r="G2437" s="8"/>
      <c r="H2437" s="11">
        <v>0.015</v>
      </c>
      <c r="I2437" s="11">
        <v>0.062</v>
      </c>
      <c r="J2437" s="9" t="s">
        <v>65</v>
      </c>
      <c r="K2437" s="14" t="str">
        <f>IFERROR(__xludf.DUMMYFUNCTION("ARRAYFORMULA(VLOOKUP(A2437,IMPORTRANGE(""https://docs.google.com/spreadsheets/d/1BuTWp7qHGjWhqrnf-OmePP568O4A5Am9ttzvVdP67zw/edit#gid=1603210130"", ""TOURISM!$A$2:$F$2692""), {2,3,4,5,6},0))"),"Africa")</f>
        <v>Africa</v>
      </c>
      <c r="L2437" s="14">
        <f>IFERROR(__xludf.DUMMYFUNCTION("""COMPUTED_VALUE"""),2.5E7)</f>
        <v>25000000</v>
      </c>
      <c r="M2437" s="14" t="str">
        <f>IFERROR(__xludf.DUMMYFUNCTION("""COMPUTED_VALUE"""),"Togo-Africa")</f>
        <v>Togo-Africa</v>
      </c>
      <c r="N2437" s="14" t="str">
        <f>IFERROR(__xludf.DUMMYFUNCTION("""COMPUTED_VALUE"""),"2004")</f>
        <v>2004</v>
      </c>
      <c r="O2437" s="14">
        <f>IFERROR(__xludf.DUMMYFUNCTION("""COMPUTED_VALUE"""),3.8E7)</f>
        <v>38000000</v>
      </c>
      <c r="P2437" s="15">
        <f>IFERROR(__xludf.DUMMYFUNCTION("ARRAYFORMULA(VLOOKUP(A2437,IMPORTRANGE(""https://docs.google.com/spreadsheets/d/1BuTWp7qHGjWhqrnf-OmePP568O4A5Am9ttzvVdP67zw/edit#gid=771602874"" ,""HUMAN RESOURCES!$A$2:$M$2692""), {2,3,4,5,6,7,8,9,10,11,12,13},0))"),0.038)</f>
        <v>0.038</v>
      </c>
      <c r="Q2437" s="14">
        <f>IFERROR(__xludf.DUMMYFUNCTION("""COMPUTED_VALUE"""),0.07)</f>
        <v>0.07</v>
      </c>
      <c r="R2437" s="14">
        <f>IFERROR(__xludf.DUMMYFUNCTION("""COMPUTED_VALUE"""),55.0)</f>
        <v>55</v>
      </c>
      <c r="S2437" s="14">
        <f>IFERROR(__xludf.DUMMYFUNCTION("""COMPUTED_VALUE"""),53.0)</f>
        <v>53</v>
      </c>
      <c r="T2437" s="14">
        <f>IFERROR(__xludf.DUMMYFUNCTION("""COMPUTED_VALUE"""),0.431)</f>
        <v>0.431</v>
      </c>
      <c r="U2437" s="14">
        <f>IFERROR(__xludf.DUMMYFUNCTION("""COMPUTED_VALUE"""),0.541)</f>
        <v>0.541</v>
      </c>
      <c r="V2437" s="14">
        <f>IFERROR(__xludf.DUMMYFUNCTION("""COMPUTED_VALUE"""),0.028)</f>
        <v>0.028</v>
      </c>
      <c r="W2437" s="14">
        <f>IFERROR(__xludf.DUMMYFUNCTION("""COMPUTED_VALUE"""),5397851.0)</f>
        <v>5397851</v>
      </c>
      <c r="X2437" s="14">
        <f>IFERROR(__xludf.DUMMYFUNCTION("""COMPUTED_VALUE"""),0.347)</f>
        <v>0.347</v>
      </c>
      <c r="Y2437" s="14" t="str">
        <f>IFERROR(__xludf.DUMMYFUNCTION("""COMPUTED_VALUE"""),"Togo-Africa")</f>
        <v>Togo-Africa</v>
      </c>
      <c r="Z2437" s="14" t="str">
        <f>IFERROR(__xludf.DUMMYFUNCTION("""COMPUTED_VALUE"""),"Africa")</f>
        <v>Africa</v>
      </c>
      <c r="AA2437" s="14" t="str">
        <f>IFERROR(__xludf.DUMMYFUNCTION("""COMPUTED_VALUE"""),"2004")</f>
        <v>2004</v>
      </c>
      <c r="AB2437" s="15" t="str">
        <f>IFERROR(__xludf.DUMMYFUNCTION("ARRAYFORMULA(VLOOKUP(A2437,IMPORTRANGE(""https://docs.google.com/spreadsheets/d/1BuTWp7qHGjWhqrnf-OmePP568O4A5Am9ttzvVdP67zw/edit#gid=1931367683"" ,""ENERGY!$A$2:$F$2692""), {2,3,4,5,6},0))"),"Africa")</f>
        <v>Africa</v>
      </c>
      <c r="AC2437" s="14" t="str">
        <f>IFERROR(__xludf.DUMMYFUNCTION("""COMPUTED_VALUE"""),"Togo-Africa")</f>
        <v>Togo-Africa</v>
      </c>
      <c r="AD2437" s="14" t="str">
        <f>IFERROR(__xludf.DUMMYFUNCTION("""COMPUTED_VALUE"""),"2005")</f>
        <v>2005</v>
      </c>
      <c r="AE2437" s="14">
        <f>IFERROR(__xludf.DUMMYFUNCTION("""COMPUTED_VALUE"""),2563.0)</f>
        <v>2563</v>
      </c>
      <c r="AF2437" s="14">
        <f>IFERROR(__xludf.DUMMYFUNCTION("""COMPUTED_VALUE"""),1456.0)</f>
        <v>1456</v>
      </c>
    </row>
    <row r="2438">
      <c r="A2438" s="12">
        <v>2437.0</v>
      </c>
      <c r="B2438" s="12" t="s">
        <v>266</v>
      </c>
      <c r="C2438" s="5" t="s">
        <v>77</v>
      </c>
      <c r="D2438" s="11">
        <v>0.525</v>
      </c>
      <c r="E2438" s="11">
        <v>65.0</v>
      </c>
      <c r="F2438" s="8"/>
      <c r="G2438" s="11">
        <v>270.0</v>
      </c>
      <c r="H2438" s="11">
        <v>0.018</v>
      </c>
      <c r="I2438" s="11">
        <v>0.078</v>
      </c>
      <c r="J2438" s="9" t="s">
        <v>66</v>
      </c>
      <c r="K2438" s="14" t="str">
        <f>IFERROR(__xludf.DUMMYFUNCTION("ARRAYFORMULA(VLOOKUP(A2438,IMPORTRANGE(""https://docs.google.com/spreadsheets/d/1BuTWp7qHGjWhqrnf-OmePP568O4A5Am9ttzvVdP67zw/edit#gid=1603210130"", ""TOURISM!$A$2:$F$2692""), {2,3,4,5,6},0))"),"Africa")</f>
        <v>Africa</v>
      </c>
      <c r="L2438" s="14">
        <f>IFERROR(__xludf.DUMMYFUNCTION("""COMPUTED_VALUE"""),2.7E7)</f>
        <v>27000000</v>
      </c>
      <c r="M2438" s="14" t="str">
        <f>IFERROR(__xludf.DUMMYFUNCTION("""COMPUTED_VALUE"""),"Togo-Africa")</f>
        <v>Togo-Africa</v>
      </c>
      <c r="N2438" s="14" t="str">
        <f>IFERROR(__xludf.DUMMYFUNCTION("""COMPUTED_VALUE"""),"2005")</f>
        <v>2005</v>
      </c>
      <c r="O2438" s="14">
        <f>IFERROR(__xludf.DUMMYFUNCTION("""COMPUTED_VALUE"""),4.2E7)</f>
        <v>42000000</v>
      </c>
      <c r="P2438" s="15">
        <f>IFERROR(__xludf.DUMMYFUNCTION("ARRAYFORMULA(VLOOKUP(A2438,IMPORTRANGE(""https://docs.google.com/spreadsheets/d/1BuTWp7qHGjWhqrnf-OmePP568O4A5Am9ttzvVdP67zw/edit#gid=771602874"" ,""HUMAN RESOURCES!$A$2:$M$2692""), {2,3,4,5,6,7,8,9,10,11,12,13},0))"),0.038)</f>
        <v>0.038</v>
      </c>
      <c r="Q2438" s="14">
        <f>IFERROR(__xludf.DUMMYFUNCTION("""COMPUTED_VALUE"""),0.068)</f>
        <v>0.068</v>
      </c>
      <c r="R2438" s="14">
        <f>IFERROR(__xludf.DUMMYFUNCTION("""COMPUTED_VALUE"""),55.0)</f>
        <v>55</v>
      </c>
      <c r="S2438" s="14">
        <f>IFERROR(__xludf.DUMMYFUNCTION("""COMPUTED_VALUE"""),53.0)</f>
        <v>53</v>
      </c>
      <c r="T2438" s="14">
        <f>IFERROR(__xludf.DUMMYFUNCTION("""COMPUTED_VALUE"""),0.428)</f>
        <v>0.428</v>
      </c>
      <c r="U2438" s="14">
        <f>IFERROR(__xludf.DUMMYFUNCTION("""COMPUTED_VALUE"""),0.544)</f>
        <v>0.544</v>
      </c>
      <c r="V2438" s="14">
        <f>IFERROR(__xludf.DUMMYFUNCTION("""COMPUTED_VALUE"""),0.028)</f>
        <v>0.028</v>
      </c>
      <c r="W2438" s="14">
        <f>IFERROR(__xludf.DUMMYFUNCTION("""COMPUTED_VALUE"""),5540214.0)</f>
        <v>5540214</v>
      </c>
      <c r="X2438" s="14">
        <f>IFERROR(__xludf.DUMMYFUNCTION("""COMPUTED_VALUE"""),0.352)</f>
        <v>0.352</v>
      </c>
      <c r="Y2438" s="14" t="str">
        <f>IFERROR(__xludf.DUMMYFUNCTION("""COMPUTED_VALUE"""),"Togo-Africa")</f>
        <v>Togo-Africa</v>
      </c>
      <c r="Z2438" s="14" t="str">
        <f>IFERROR(__xludf.DUMMYFUNCTION("""COMPUTED_VALUE"""),"Africa")</f>
        <v>Africa</v>
      </c>
      <c r="AA2438" s="14" t="str">
        <f>IFERROR(__xludf.DUMMYFUNCTION("""COMPUTED_VALUE"""),"2005")</f>
        <v>2005</v>
      </c>
      <c r="AB2438" s="15" t="str">
        <f>IFERROR(__xludf.DUMMYFUNCTION("ARRAYFORMULA(VLOOKUP(A2438,IMPORTRANGE(""https://docs.google.com/spreadsheets/d/1BuTWp7qHGjWhqrnf-OmePP568O4A5Am9ttzvVdP67zw/edit#gid=1931367683"" ,""ENERGY!$A$2:$F$2692""), {2,3,4,5,6},0))"),"Africa")</f>
        <v>Africa</v>
      </c>
      <c r="AC2438" s="14" t="str">
        <f>IFERROR(__xludf.DUMMYFUNCTION("""COMPUTED_VALUE"""),"Togo-Africa")</f>
        <v>Togo-Africa</v>
      </c>
      <c r="AD2438" s="14" t="str">
        <f>IFERROR(__xludf.DUMMYFUNCTION("""COMPUTED_VALUE"""),"2009")</f>
        <v>2009</v>
      </c>
      <c r="AE2438" s="14">
        <f>IFERROR(__xludf.DUMMYFUNCTION("""COMPUTED_VALUE"""),2458.0)</f>
        <v>2458</v>
      </c>
      <c r="AF2438" s="14">
        <f>IFERROR(__xludf.DUMMYFUNCTION("""COMPUTED_VALUE"""),1316.0)</f>
        <v>1316</v>
      </c>
    </row>
    <row r="2439">
      <c r="A2439" s="12">
        <v>2438.0</v>
      </c>
      <c r="B2439" s="12" t="s">
        <v>266</v>
      </c>
      <c r="C2439" s="5" t="s">
        <v>77</v>
      </c>
      <c r="D2439" s="11">
        <v>0.525</v>
      </c>
      <c r="E2439" s="11">
        <v>64.0</v>
      </c>
      <c r="F2439" s="8"/>
      <c r="G2439" s="11">
        <v>270.0</v>
      </c>
      <c r="H2439" s="11">
        <v>0.02</v>
      </c>
      <c r="I2439" s="11">
        <v>0.125</v>
      </c>
      <c r="J2439" s="9" t="s">
        <v>67</v>
      </c>
      <c r="K2439" s="14" t="str">
        <f>IFERROR(__xludf.DUMMYFUNCTION("ARRAYFORMULA(VLOOKUP(A2439,IMPORTRANGE(""https://docs.google.com/spreadsheets/d/1BuTWp7qHGjWhqrnf-OmePP568O4A5Am9ttzvVdP67zw/edit#gid=1603210130"", ""TOURISM!$A$2:$F$2692""), {2,3,4,5,6},0))"),"Africa")</f>
        <v>Africa</v>
      </c>
      <c r="L2439" s="14">
        <f>IFERROR(__xludf.DUMMYFUNCTION("""COMPUTED_VALUE"""),2.3E7)</f>
        <v>23000000</v>
      </c>
      <c r="M2439" s="14" t="str">
        <f>IFERROR(__xludf.DUMMYFUNCTION("""COMPUTED_VALUE"""),"Togo-Africa")</f>
        <v>Togo-Africa</v>
      </c>
      <c r="N2439" s="14" t="str">
        <f>IFERROR(__xludf.DUMMYFUNCTION("""COMPUTED_VALUE"""),"2006")</f>
        <v>2006</v>
      </c>
      <c r="O2439" s="14">
        <f>IFERROR(__xludf.DUMMYFUNCTION("""COMPUTED_VALUE"""),4.2E7)</f>
        <v>42000000</v>
      </c>
      <c r="P2439" s="15">
        <f>IFERROR(__xludf.DUMMYFUNCTION("ARRAYFORMULA(VLOOKUP(A2439,IMPORTRANGE(""https://docs.google.com/spreadsheets/d/1BuTWp7qHGjWhqrnf-OmePP568O4A5Am9ttzvVdP67zw/edit#gid=771602874"" ,""HUMAN RESOURCES!$A$2:$M$2692""), {2,3,4,5,6,7,8,9,10,11,12,13},0))"),0.038)</f>
        <v>0.038</v>
      </c>
      <c r="Q2439" s="14">
        <f>IFERROR(__xludf.DUMMYFUNCTION("""COMPUTED_VALUE"""),0.067)</f>
        <v>0.067</v>
      </c>
      <c r="R2439" s="14">
        <f>IFERROR(__xludf.DUMMYFUNCTION("""COMPUTED_VALUE"""),55.0)</f>
        <v>55</v>
      </c>
      <c r="S2439" s="14">
        <f>IFERROR(__xludf.DUMMYFUNCTION("""COMPUTED_VALUE"""),54.0)</f>
        <v>54</v>
      </c>
      <c r="T2439" s="14">
        <f>IFERROR(__xludf.DUMMYFUNCTION("""COMPUTED_VALUE"""),0.426)</f>
        <v>0.426</v>
      </c>
      <c r="U2439" s="14">
        <f>IFERROR(__xludf.DUMMYFUNCTION("""COMPUTED_VALUE"""),0.546)</f>
        <v>0.546</v>
      </c>
      <c r="V2439" s="14">
        <f>IFERROR(__xludf.DUMMYFUNCTION("""COMPUTED_VALUE"""),0.028)</f>
        <v>0.028</v>
      </c>
      <c r="W2439" s="14">
        <f>IFERROR(__xludf.DUMMYFUNCTION("""COMPUTED_VALUE"""),5685845.0)</f>
        <v>5685845</v>
      </c>
      <c r="X2439" s="14">
        <f>IFERROR(__xludf.DUMMYFUNCTION("""COMPUTED_VALUE"""),0.356)</f>
        <v>0.356</v>
      </c>
      <c r="Y2439" s="14" t="str">
        <f>IFERROR(__xludf.DUMMYFUNCTION("""COMPUTED_VALUE"""),"Togo-Africa")</f>
        <v>Togo-Africa</v>
      </c>
      <c r="Z2439" s="14" t="str">
        <f>IFERROR(__xludf.DUMMYFUNCTION("""COMPUTED_VALUE"""),"Africa")</f>
        <v>Africa</v>
      </c>
      <c r="AA2439" s="14" t="str">
        <f>IFERROR(__xludf.DUMMYFUNCTION("""COMPUTED_VALUE"""),"2006")</f>
        <v>2006</v>
      </c>
      <c r="AB2439" s="15" t="str">
        <f>IFERROR(__xludf.DUMMYFUNCTION("ARRAYFORMULA(VLOOKUP(A2439,IMPORTRANGE(""https://docs.google.com/spreadsheets/d/1BuTWp7qHGjWhqrnf-OmePP568O4A5Am9ttzvVdP67zw/edit#gid=1931367683"" ,""ENERGY!$A$2:$F$2692""), {2,3,4,5,6},0))"),"Africa")</f>
        <v>Africa</v>
      </c>
      <c r="AC2439" s="14" t="str">
        <f>IFERROR(__xludf.DUMMYFUNCTION("""COMPUTED_VALUE"""),"Togo-Africa")</f>
        <v>Togo-Africa</v>
      </c>
      <c r="AD2439" s="14" t="str">
        <f>IFERROR(__xludf.DUMMYFUNCTION("""COMPUTED_VALUE"""),"2005")</f>
        <v>2005</v>
      </c>
      <c r="AE2439" s="14">
        <f>IFERROR(__xludf.DUMMYFUNCTION("""COMPUTED_VALUE"""),2368.0)</f>
        <v>2368</v>
      </c>
      <c r="AF2439" s="14">
        <f>IFERROR(__xludf.DUMMYFUNCTION("""COMPUTED_VALUE"""),1221.0)</f>
        <v>1221</v>
      </c>
    </row>
    <row r="2440">
      <c r="A2440" s="12">
        <v>2439.0</v>
      </c>
      <c r="B2440" s="12" t="s">
        <v>266</v>
      </c>
      <c r="C2440" s="5" t="s">
        <v>77</v>
      </c>
      <c r="D2440" s="11">
        <v>0.526</v>
      </c>
      <c r="E2440" s="11">
        <v>62.0</v>
      </c>
      <c r="F2440" s="8"/>
      <c r="G2440" s="11">
        <v>270.0</v>
      </c>
      <c r="H2440" s="11">
        <v>0.022</v>
      </c>
      <c r="I2440" s="11">
        <v>0.204</v>
      </c>
      <c r="J2440" s="9" t="s">
        <v>68</v>
      </c>
      <c r="K2440" s="14" t="str">
        <f>IFERROR(__xludf.DUMMYFUNCTION("ARRAYFORMULA(VLOOKUP(A2440,IMPORTRANGE(""https://docs.google.com/spreadsheets/d/1BuTWp7qHGjWhqrnf-OmePP568O4A5Am9ttzvVdP67zw/edit#gid=1603210130"", ""TOURISM!$A$2:$F$2692""), {2,3,4,5,6},0))"),"Africa")</f>
        <v>Africa</v>
      </c>
      <c r="L2440" s="14">
        <f>IFERROR(__xludf.DUMMYFUNCTION("""COMPUTED_VALUE"""),3.8E7)</f>
        <v>38000000</v>
      </c>
      <c r="M2440" s="14" t="str">
        <f>IFERROR(__xludf.DUMMYFUNCTION("""COMPUTED_VALUE"""),"Togo-Africa")</f>
        <v>Togo-Africa</v>
      </c>
      <c r="N2440" s="14" t="str">
        <f>IFERROR(__xludf.DUMMYFUNCTION("""COMPUTED_VALUE"""),"2007")</f>
        <v>2007</v>
      </c>
      <c r="O2440" s="14">
        <f>IFERROR(__xludf.DUMMYFUNCTION("""COMPUTED_VALUE"""),5.9E7)</f>
        <v>59000000</v>
      </c>
      <c r="P2440" s="15">
        <f>IFERROR(__xludf.DUMMYFUNCTION("ARRAYFORMULA(VLOOKUP(A2440,IMPORTRANGE(""https://docs.google.com/spreadsheets/d/1BuTWp7qHGjWhqrnf-OmePP568O4A5Am9ttzvVdP67zw/edit#gid=771602874"" ,""HUMAN RESOURCES!$A$2:$M$2692""), {2,3,4,5,6,7,8,9,10,11,12,13},0))"),0.038)</f>
        <v>0.038</v>
      </c>
      <c r="Q2440" s="14">
        <f>IFERROR(__xludf.DUMMYFUNCTION("""COMPUTED_VALUE"""),0.065)</f>
        <v>0.065</v>
      </c>
      <c r="R2440" s="14">
        <f>IFERROR(__xludf.DUMMYFUNCTION("""COMPUTED_VALUE"""),55.0)</f>
        <v>55</v>
      </c>
      <c r="S2440" s="14">
        <f>IFERROR(__xludf.DUMMYFUNCTION("""COMPUTED_VALUE"""),54.0)</f>
        <v>54</v>
      </c>
      <c r="T2440" s="14">
        <f>IFERROR(__xludf.DUMMYFUNCTION("""COMPUTED_VALUE"""),0.425)</f>
        <v>0.425</v>
      </c>
      <c r="U2440" s="14">
        <f>IFERROR(__xludf.DUMMYFUNCTION("""COMPUTED_VALUE"""),0.548)</f>
        <v>0.548</v>
      </c>
      <c r="V2440" s="14">
        <f>IFERROR(__xludf.DUMMYFUNCTION("""COMPUTED_VALUE"""),0.028)</f>
        <v>0.028</v>
      </c>
      <c r="W2440" s="14">
        <f>IFERROR(__xludf.DUMMYFUNCTION("""COMPUTED_VALUE"""),5834806.0)</f>
        <v>5834806</v>
      </c>
      <c r="X2440" s="14">
        <f>IFERROR(__xludf.DUMMYFUNCTION("""COMPUTED_VALUE"""),0.361)</f>
        <v>0.361</v>
      </c>
      <c r="Y2440" s="14" t="str">
        <f>IFERROR(__xludf.DUMMYFUNCTION("""COMPUTED_VALUE"""),"Togo-Africa")</f>
        <v>Togo-Africa</v>
      </c>
      <c r="Z2440" s="14" t="str">
        <f>IFERROR(__xludf.DUMMYFUNCTION("""COMPUTED_VALUE"""),"Africa")</f>
        <v>Africa</v>
      </c>
      <c r="AA2440" s="14" t="str">
        <f>IFERROR(__xludf.DUMMYFUNCTION("""COMPUTED_VALUE"""),"2007")</f>
        <v>2007</v>
      </c>
      <c r="AB2440" s="15" t="str">
        <f>IFERROR(__xludf.DUMMYFUNCTION("ARRAYFORMULA(VLOOKUP(A2440,IMPORTRANGE(""https://docs.google.com/spreadsheets/d/1BuTWp7qHGjWhqrnf-OmePP568O4A5Am9ttzvVdP67zw/edit#gid=1931367683"" ,""ENERGY!$A$2:$F$2692""), {2,3,4,5,6},0))"),"Africa")</f>
        <v>Africa</v>
      </c>
      <c r="AC2440" s="14" t="str">
        <f>IFERROR(__xludf.DUMMYFUNCTION("""COMPUTED_VALUE"""),"Togo-Africa")</f>
        <v>Togo-Africa</v>
      </c>
      <c r="AD2440" s="14" t="str">
        <f>IFERROR(__xludf.DUMMYFUNCTION("""COMPUTED_VALUE"""),"2011")</f>
        <v>2011</v>
      </c>
      <c r="AE2440" s="14">
        <f>IFERROR(__xludf.DUMMYFUNCTION("""COMPUTED_VALUE"""),2372.0)</f>
        <v>2372</v>
      </c>
      <c r="AF2440" s="14">
        <f>IFERROR(__xludf.DUMMYFUNCTION("""COMPUTED_VALUE"""),1338.0)</f>
        <v>1338</v>
      </c>
    </row>
    <row r="2441">
      <c r="A2441" s="12">
        <v>2440.0</v>
      </c>
      <c r="B2441" s="12" t="s">
        <v>266</v>
      </c>
      <c r="C2441" s="5" t="s">
        <v>77</v>
      </c>
      <c r="D2441" s="11">
        <v>0.526</v>
      </c>
      <c r="E2441" s="11">
        <v>62.0</v>
      </c>
      <c r="F2441" s="8"/>
      <c r="G2441" s="11">
        <v>270.0</v>
      </c>
      <c r="H2441" s="11">
        <v>0.024</v>
      </c>
      <c r="I2441" s="11">
        <v>0.259</v>
      </c>
      <c r="J2441" s="9" t="s">
        <v>69</v>
      </c>
      <c r="K2441" s="14" t="str">
        <f>IFERROR(__xludf.DUMMYFUNCTION("ARRAYFORMULA(VLOOKUP(A2441,IMPORTRANGE(""https://docs.google.com/spreadsheets/d/1BuTWp7qHGjWhqrnf-OmePP568O4A5Am9ttzvVdP67zw/edit#gid=1603210130"", ""TOURISM!$A$2:$F$2692""), {2,3,4,5,6},0))"),"Africa")</f>
        <v>Africa</v>
      </c>
      <c r="L2441" s="14">
        <f>IFERROR(__xludf.DUMMYFUNCTION("""COMPUTED_VALUE"""),4.4E7)</f>
        <v>44000000</v>
      </c>
      <c r="M2441" s="14" t="str">
        <f>IFERROR(__xludf.DUMMYFUNCTION("""COMPUTED_VALUE"""),"Togo-Africa")</f>
        <v>Togo-Africa</v>
      </c>
      <c r="N2441" s="14" t="str">
        <f>IFERROR(__xludf.DUMMYFUNCTION("""COMPUTED_VALUE"""),"2008")</f>
        <v>2008</v>
      </c>
      <c r="O2441" s="14">
        <f>IFERROR(__xludf.DUMMYFUNCTION("""COMPUTED_VALUE"""),6.8E7)</f>
        <v>68000000</v>
      </c>
      <c r="P2441" s="15">
        <f>IFERROR(__xludf.DUMMYFUNCTION("ARRAYFORMULA(VLOOKUP(A2441,IMPORTRANGE(""https://docs.google.com/spreadsheets/d/1BuTWp7qHGjWhqrnf-OmePP568O4A5Am9ttzvVdP67zw/edit#gid=771602874"" ,""HUMAN RESOURCES!$A$2:$M$2692""), {2,3,4,5,6,7,8,9,10,11,12,13},0))"),0.038)</f>
        <v>0.038</v>
      </c>
      <c r="Q2441" s="14">
        <f>IFERROR(__xludf.DUMMYFUNCTION("""COMPUTED_VALUE"""),0.064)</f>
        <v>0.064</v>
      </c>
      <c r="R2441" s="14">
        <f>IFERROR(__xludf.DUMMYFUNCTION("""COMPUTED_VALUE"""),56.0)</f>
        <v>56</v>
      </c>
      <c r="S2441" s="14">
        <f>IFERROR(__xludf.DUMMYFUNCTION("""COMPUTED_VALUE"""),54.0)</f>
        <v>54</v>
      </c>
      <c r="T2441" s="14">
        <f>IFERROR(__xludf.DUMMYFUNCTION("""COMPUTED_VALUE"""),0.423)</f>
        <v>0.423</v>
      </c>
      <c r="U2441" s="14">
        <f>IFERROR(__xludf.DUMMYFUNCTION("""COMPUTED_VALUE"""),0.549)</f>
        <v>0.549</v>
      </c>
      <c r="V2441" s="14">
        <f>IFERROR(__xludf.DUMMYFUNCTION("""COMPUTED_VALUE"""),0.028)</f>
        <v>0.028</v>
      </c>
      <c r="W2441" s="14">
        <f>IFERROR(__xludf.DUMMYFUNCTION("""COMPUTED_VALUE"""),5987491.0)</f>
        <v>5987491</v>
      </c>
      <c r="X2441" s="14">
        <f>IFERROR(__xludf.DUMMYFUNCTION("""COMPUTED_VALUE"""),0.366)</f>
        <v>0.366</v>
      </c>
      <c r="Y2441" s="14" t="str">
        <f>IFERROR(__xludf.DUMMYFUNCTION("""COMPUTED_VALUE"""),"Togo-Africa")</f>
        <v>Togo-Africa</v>
      </c>
      <c r="Z2441" s="14" t="str">
        <f>IFERROR(__xludf.DUMMYFUNCTION("""COMPUTED_VALUE"""),"Africa")</f>
        <v>Africa</v>
      </c>
      <c r="AA2441" s="14" t="str">
        <f>IFERROR(__xludf.DUMMYFUNCTION("""COMPUTED_VALUE"""),"2008")</f>
        <v>2008</v>
      </c>
      <c r="AB2441" s="15" t="str">
        <f>IFERROR(__xludf.DUMMYFUNCTION("ARRAYFORMULA(VLOOKUP(A2441,IMPORTRANGE(""https://docs.google.com/spreadsheets/d/1BuTWp7qHGjWhqrnf-OmePP568O4A5Am9ttzvVdP67zw/edit#gid=1931367683"" ,""ENERGY!$A$2:$F$2692""), {2,3,4,5,6},0))"),"Africa")</f>
        <v>Africa</v>
      </c>
      <c r="AC2441" s="14" t="str">
        <f>IFERROR(__xludf.DUMMYFUNCTION("""COMPUTED_VALUE"""),"Togo-Africa")</f>
        <v>Togo-Africa</v>
      </c>
      <c r="AD2441" s="14" t="str">
        <f>IFERROR(__xludf.DUMMYFUNCTION("""COMPUTED_VALUE"""),"2008")</f>
        <v>2008</v>
      </c>
      <c r="AE2441" s="14">
        <f>IFERROR(__xludf.DUMMYFUNCTION("""COMPUTED_VALUE"""),2327.0)</f>
        <v>2327</v>
      </c>
      <c r="AF2441" s="14">
        <f>IFERROR(__xludf.DUMMYFUNCTION("""COMPUTED_VALUE"""),1397.0)</f>
        <v>1397</v>
      </c>
    </row>
    <row r="2442">
      <c r="A2442" s="12">
        <v>2441.0</v>
      </c>
      <c r="B2442" s="12" t="s">
        <v>266</v>
      </c>
      <c r="C2442" s="5" t="s">
        <v>77</v>
      </c>
      <c r="D2442" s="11">
        <v>0.525</v>
      </c>
      <c r="E2442" s="11">
        <v>84.0</v>
      </c>
      <c r="F2442" s="8"/>
      <c r="G2442" s="11">
        <v>270.0</v>
      </c>
      <c r="H2442" s="11">
        <v>0.026</v>
      </c>
      <c r="I2442" s="11">
        <v>0.356</v>
      </c>
      <c r="J2442" s="9" t="s">
        <v>70</v>
      </c>
      <c r="K2442" s="14" t="str">
        <f>IFERROR(__xludf.DUMMYFUNCTION("ARRAYFORMULA(VLOOKUP(A2442,IMPORTRANGE(""https://docs.google.com/spreadsheets/d/1BuTWp7qHGjWhqrnf-OmePP568O4A5Am9ttzvVdP67zw/edit#gid=1603210130"", ""TOURISM!$A$2:$F$2692""), {2,3,4,5,6},0))"),"Africa")</f>
        <v>Africa</v>
      </c>
      <c r="L2442" s="14">
        <f>IFERROR(__xludf.DUMMYFUNCTION("""COMPUTED_VALUE"""),7.3E7)</f>
        <v>73000000</v>
      </c>
      <c r="M2442" s="14" t="str">
        <f>IFERROR(__xludf.DUMMYFUNCTION("""COMPUTED_VALUE"""),"Togo-Africa")</f>
        <v>Togo-Africa</v>
      </c>
      <c r="N2442" s="14" t="str">
        <f>IFERROR(__xludf.DUMMYFUNCTION("""COMPUTED_VALUE"""),"2009")</f>
        <v>2009</v>
      </c>
      <c r="O2442" s="14">
        <f>IFERROR(__xludf.DUMMYFUNCTION("""COMPUTED_VALUE"""),9.4E7)</f>
        <v>94000000</v>
      </c>
      <c r="P2442" s="15">
        <f>IFERROR(__xludf.DUMMYFUNCTION("ARRAYFORMULA(VLOOKUP(A2442,IMPORTRANGE(""https://docs.google.com/spreadsheets/d/1BuTWp7qHGjWhqrnf-OmePP568O4A5Am9ttzvVdP67zw/edit#gid=771602874"" ,""HUMAN RESOURCES!$A$2:$M$2692""), {2,3,4,5,6,7,8,9,10,11,12,13},0))"),0.038)</f>
        <v>0.038</v>
      </c>
      <c r="Q2442" s="14">
        <f>IFERROR(__xludf.DUMMYFUNCTION("""COMPUTED_VALUE"""),0.062)</f>
        <v>0.062</v>
      </c>
      <c r="R2442" s="14">
        <f>IFERROR(__xludf.DUMMYFUNCTION("""COMPUTED_VALUE"""),56.0)</f>
        <v>56</v>
      </c>
      <c r="S2442" s="14">
        <f>IFERROR(__xludf.DUMMYFUNCTION("""COMPUTED_VALUE"""),54.0)</f>
        <v>54</v>
      </c>
      <c r="T2442" s="14">
        <f>IFERROR(__xludf.DUMMYFUNCTION("""COMPUTED_VALUE"""),0.422)</f>
        <v>0.422</v>
      </c>
      <c r="U2442" s="14">
        <f>IFERROR(__xludf.DUMMYFUNCTION("""COMPUTED_VALUE"""),0.551)</f>
        <v>0.551</v>
      </c>
      <c r="V2442" s="14">
        <f>IFERROR(__xludf.DUMMYFUNCTION("""COMPUTED_VALUE"""),0.027)</f>
        <v>0.027</v>
      </c>
      <c r="W2442" s="14">
        <f>IFERROR(__xludf.DUMMYFUNCTION("""COMPUTED_VALUE"""),6144457.0)</f>
        <v>6144457</v>
      </c>
      <c r="X2442" s="14">
        <f>IFERROR(__xludf.DUMMYFUNCTION("""COMPUTED_VALUE"""),0.371)</f>
        <v>0.371</v>
      </c>
      <c r="Y2442" s="14" t="str">
        <f>IFERROR(__xludf.DUMMYFUNCTION("""COMPUTED_VALUE"""),"Togo-Africa")</f>
        <v>Togo-Africa</v>
      </c>
      <c r="Z2442" s="14" t="str">
        <f>IFERROR(__xludf.DUMMYFUNCTION("""COMPUTED_VALUE"""),"Africa")</f>
        <v>Africa</v>
      </c>
      <c r="AA2442" s="14" t="str">
        <f>IFERROR(__xludf.DUMMYFUNCTION("""COMPUTED_VALUE"""),"2009")</f>
        <v>2009</v>
      </c>
      <c r="AB2442" s="15" t="str">
        <f>IFERROR(__xludf.DUMMYFUNCTION("ARRAYFORMULA(VLOOKUP(A2442,IMPORTRANGE(""https://docs.google.com/spreadsheets/d/1BuTWp7qHGjWhqrnf-OmePP568O4A5Am9ttzvVdP67zw/edit#gid=1931367683"" ,""ENERGY!$A$2:$F$2692""), {2,3,4,5,6},0))"),"Africa")</f>
        <v>Africa</v>
      </c>
      <c r="AC2442" s="14" t="str">
        <f>IFERROR(__xludf.DUMMYFUNCTION("""COMPUTED_VALUE"""),"Togo-Africa")</f>
        <v>Togo-Africa</v>
      </c>
      <c r="AD2442" s="14" t="str">
        <f>IFERROR(__xludf.DUMMYFUNCTION("""COMPUTED_VALUE"""),"2012")</f>
        <v>2012</v>
      </c>
      <c r="AE2442" s="14">
        <f>IFERROR(__xludf.DUMMYFUNCTION("""COMPUTED_VALUE"""),2303.0)</f>
        <v>2303</v>
      </c>
      <c r="AF2442" s="14">
        <f>IFERROR(__xludf.DUMMYFUNCTION("""COMPUTED_VALUE"""),1463.0)</f>
        <v>1463</v>
      </c>
    </row>
    <row r="2443">
      <c r="A2443" s="12">
        <v>2442.0</v>
      </c>
      <c r="B2443" s="12" t="s">
        <v>266</v>
      </c>
      <c r="C2443" s="5" t="s">
        <v>77</v>
      </c>
      <c r="D2443" s="11">
        <v>0.503</v>
      </c>
      <c r="E2443" s="11">
        <v>84.0</v>
      </c>
      <c r="F2443" s="8"/>
      <c r="G2443" s="11">
        <v>270.0</v>
      </c>
      <c r="H2443" s="11">
        <v>0.03</v>
      </c>
      <c r="I2443" s="11">
        <v>0.413</v>
      </c>
      <c r="J2443" s="9" t="s">
        <v>71</v>
      </c>
      <c r="K2443" s="14" t="str">
        <f>IFERROR(__xludf.DUMMYFUNCTION("ARRAYFORMULA(VLOOKUP(A2443,IMPORTRANGE(""https://docs.google.com/spreadsheets/d/1BuTWp7qHGjWhqrnf-OmePP568O4A5Am9ttzvVdP67zw/edit#gid=1603210130"", ""TOURISM!$A$2:$F$2692""), {2,3,4,5,6},0))"),"Africa")</f>
        <v>Africa</v>
      </c>
      <c r="L2443" s="14">
        <f>IFERROR(__xludf.DUMMYFUNCTION("""COMPUTED_VALUE"""),1.05E8)</f>
        <v>105000000</v>
      </c>
      <c r="M2443" s="14" t="str">
        <f>IFERROR(__xludf.DUMMYFUNCTION("""COMPUTED_VALUE"""),"Togo-Africa")</f>
        <v>Togo-Africa</v>
      </c>
      <c r="N2443" s="14" t="str">
        <f>IFERROR(__xludf.DUMMYFUNCTION("""COMPUTED_VALUE"""),"2010")</f>
        <v>2010</v>
      </c>
      <c r="O2443" s="14">
        <f>IFERROR(__xludf.DUMMYFUNCTION("""COMPUTED_VALUE"""),8.9E7)</f>
        <v>89000000</v>
      </c>
      <c r="P2443" s="15">
        <f>IFERROR(__xludf.DUMMYFUNCTION("ARRAYFORMULA(VLOOKUP(A2443,IMPORTRANGE(""https://docs.google.com/spreadsheets/d/1BuTWp7qHGjWhqrnf-OmePP568O4A5Am9ttzvVdP67zw/edit#gid=771602874"" ,""HUMAN RESOURCES!$A$2:$M$2692""), {2,3,4,5,6,7,8,9,10,11,12,13},0))"),0.037)</f>
        <v>0.037</v>
      </c>
      <c r="Q2443" s="14">
        <f>IFERROR(__xludf.DUMMYFUNCTION("""COMPUTED_VALUE"""),0.061)</f>
        <v>0.061</v>
      </c>
      <c r="R2443" s="14">
        <f>IFERROR(__xludf.DUMMYFUNCTION("""COMPUTED_VALUE"""),56.0)</f>
        <v>56</v>
      </c>
      <c r="S2443" s="14">
        <f>IFERROR(__xludf.DUMMYFUNCTION("""COMPUTED_VALUE"""),55.0)</f>
        <v>55</v>
      </c>
      <c r="T2443" s="14">
        <f>IFERROR(__xludf.DUMMYFUNCTION("""COMPUTED_VALUE"""),0.421)</f>
        <v>0.421</v>
      </c>
      <c r="U2443" s="14">
        <f>IFERROR(__xludf.DUMMYFUNCTION("""COMPUTED_VALUE"""),0.552)</f>
        <v>0.552</v>
      </c>
      <c r="V2443" s="14">
        <f>IFERROR(__xludf.DUMMYFUNCTION("""COMPUTED_VALUE"""),0.027)</f>
        <v>0.027</v>
      </c>
      <c r="W2443" s="14">
        <f>IFERROR(__xludf.DUMMYFUNCTION("""COMPUTED_VALUE"""),6306014.0)</f>
        <v>6306014</v>
      </c>
      <c r="X2443" s="14">
        <f>IFERROR(__xludf.DUMMYFUNCTION("""COMPUTED_VALUE"""),0.375)</f>
        <v>0.375</v>
      </c>
      <c r="Y2443" s="14" t="str">
        <f>IFERROR(__xludf.DUMMYFUNCTION("""COMPUTED_VALUE"""),"Togo-Africa")</f>
        <v>Togo-Africa</v>
      </c>
      <c r="Z2443" s="14" t="str">
        <f>IFERROR(__xludf.DUMMYFUNCTION("""COMPUTED_VALUE"""),"Africa")</f>
        <v>Africa</v>
      </c>
      <c r="AA2443" s="14" t="str">
        <f>IFERROR(__xludf.DUMMYFUNCTION("""COMPUTED_VALUE"""),"2010")</f>
        <v>2010</v>
      </c>
      <c r="AB2443" s="15" t="str">
        <f>IFERROR(__xludf.DUMMYFUNCTION("ARRAYFORMULA(VLOOKUP(A2443,IMPORTRANGE(""https://docs.google.com/spreadsheets/d/1BuTWp7qHGjWhqrnf-OmePP568O4A5Am9ttzvVdP67zw/edit#gid=1931367683"" ,""ENERGY!$A$2:$F$2692""), {2,3,4,5,6},0))"),"Africa")</f>
        <v>Africa</v>
      </c>
      <c r="AC2443" s="14" t="str">
        <f>IFERROR(__xludf.DUMMYFUNCTION("""COMPUTED_VALUE"""),"Togo-Africa")</f>
        <v>Togo-Africa</v>
      </c>
      <c r="AD2443" s="14" t="str">
        <f>IFERROR(__xludf.DUMMYFUNCTION("""COMPUTED_VALUE"""),"2009")</f>
        <v>2009</v>
      </c>
      <c r="AE2443" s="14">
        <f>IFERROR(__xludf.DUMMYFUNCTION("""COMPUTED_VALUE"""),2182.0)</f>
        <v>2182</v>
      </c>
      <c r="AF2443" s="14">
        <f>IFERROR(__xludf.DUMMYFUNCTION("""COMPUTED_VALUE"""),1232.0)</f>
        <v>1232</v>
      </c>
    </row>
    <row r="2444">
      <c r="A2444" s="12">
        <v>2443.0</v>
      </c>
      <c r="B2444" s="12" t="s">
        <v>266</v>
      </c>
      <c r="C2444" s="5" t="s">
        <v>77</v>
      </c>
      <c r="D2444" s="11">
        <v>0.489</v>
      </c>
      <c r="E2444" s="11">
        <v>84.0</v>
      </c>
      <c r="F2444" s="8"/>
      <c r="G2444" s="11">
        <v>270.0</v>
      </c>
      <c r="H2444" s="11">
        <v>0.035</v>
      </c>
      <c r="I2444" s="11">
        <v>0.416</v>
      </c>
      <c r="J2444" s="9" t="s">
        <v>72</v>
      </c>
      <c r="K2444" s="14" t="str">
        <f>IFERROR(__xludf.DUMMYFUNCTION("ARRAYFORMULA(VLOOKUP(A2444,IMPORTRANGE(""https://docs.google.com/spreadsheets/d/1BuTWp7qHGjWhqrnf-OmePP568O4A5Am9ttzvVdP67zw/edit#gid=1603210130"", ""TOURISM!$A$2:$F$2692""), {2,3,4,5,6},0))"),"Africa")</f>
        <v>Africa</v>
      </c>
      <c r="L2444" s="14"/>
      <c r="M2444" s="14" t="str">
        <f>IFERROR(__xludf.DUMMYFUNCTION("""COMPUTED_VALUE"""),"Togo-Africa")</f>
        <v>Togo-Africa</v>
      </c>
      <c r="N2444" s="14" t="str">
        <f>IFERROR(__xludf.DUMMYFUNCTION("""COMPUTED_VALUE"""),"2011")</f>
        <v>2011</v>
      </c>
      <c r="O2444" s="14"/>
      <c r="P2444" s="15">
        <f>IFERROR(__xludf.DUMMYFUNCTION("ARRAYFORMULA(VLOOKUP(A2444,IMPORTRANGE(""https://docs.google.com/spreadsheets/d/1BuTWp7qHGjWhqrnf-OmePP568O4A5Am9ttzvVdP67zw/edit#gid=771602874"" ,""HUMAN RESOURCES!$A$2:$M$2692""), {2,3,4,5,6,7,8,9,10,11,12,13},0))"),0.037)</f>
        <v>0.037</v>
      </c>
      <c r="Q2444" s="14">
        <f>IFERROR(__xludf.DUMMYFUNCTION("""COMPUTED_VALUE"""),0.059)</f>
        <v>0.059</v>
      </c>
      <c r="R2444" s="14">
        <f>IFERROR(__xludf.DUMMYFUNCTION("""COMPUTED_VALUE"""),57.0)</f>
        <v>57</v>
      </c>
      <c r="S2444" s="14">
        <f>IFERROR(__xludf.DUMMYFUNCTION("""COMPUTED_VALUE"""),55.0)</f>
        <v>55</v>
      </c>
      <c r="T2444" s="14">
        <f>IFERROR(__xludf.DUMMYFUNCTION("""COMPUTED_VALUE"""),0.42)</f>
        <v>0.42</v>
      </c>
      <c r="U2444" s="14">
        <f>IFERROR(__xludf.DUMMYFUNCTION("""COMPUTED_VALUE"""),0.553)</f>
        <v>0.553</v>
      </c>
      <c r="V2444" s="14">
        <f>IFERROR(__xludf.DUMMYFUNCTION("""COMPUTED_VALUE"""),0.027)</f>
        <v>0.027</v>
      </c>
      <c r="W2444" s="14">
        <f>IFERROR(__xludf.DUMMYFUNCTION("""COMPUTED_VALUE"""),6472304.0)</f>
        <v>6472304</v>
      </c>
      <c r="X2444" s="14">
        <f>IFERROR(__xludf.DUMMYFUNCTION("""COMPUTED_VALUE"""),0.38)</f>
        <v>0.38</v>
      </c>
      <c r="Y2444" s="14" t="str">
        <f>IFERROR(__xludf.DUMMYFUNCTION("""COMPUTED_VALUE"""),"Togo-Africa")</f>
        <v>Togo-Africa</v>
      </c>
      <c r="Z2444" s="14" t="str">
        <f>IFERROR(__xludf.DUMMYFUNCTION("""COMPUTED_VALUE"""),"Africa")</f>
        <v>Africa</v>
      </c>
      <c r="AA2444" s="14" t="str">
        <f>IFERROR(__xludf.DUMMYFUNCTION("""COMPUTED_VALUE"""),"2011")</f>
        <v>2011</v>
      </c>
      <c r="AB2444" s="15" t="str">
        <f>IFERROR(__xludf.DUMMYFUNCTION("ARRAYFORMULA(VLOOKUP(A2444,IMPORTRANGE(""https://docs.google.com/spreadsheets/d/1BuTWp7qHGjWhqrnf-OmePP568O4A5Am9ttzvVdP67zw/edit#gid=1931367683"" ,""ENERGY!$A$2:$F$2692""), {2,3,4,5,6},0))"),"Africa")</f>
        <v>Africa</v>
      </c>
      <c r="AC2444" s="14" t="str">
        <f>IFERROR(__xludf.DUMMYFUNCTION("""COMPUTED_VALUE"""),"Togo-Africa")</f>
        <v>Togo-Africa</v>
      </c>
      <c r="AD2444" s="14" t="str">
        <f>IFERROR(__xludf.DUMMYFUNCTION("""COMPUTED_VALUE"""),"2007")</f>
        <v>2007</v>
      </c>
      <c r="AE2444" s="14">
        <f>IFERROR(__xludf.DUMMYFUNCTION("""COMPUTED_VALUE"""),2106.0)</f>
        <v>2106</v>
      </c>
      <c r="AF2444" s="14">
        <f>IFERROR(__xludf.DUMMYFUNCTION("""COMPUTED_VALUE"""),1162.0)</f>
        <v>1162</v>
      </c>
    </row>
    <row r="2445">
      <c r="A2445" s="12">
        <v>2444.0</v>
      </c>
      <c r="B2445" s="12" t="s">
        <v>266</v>
      </c>
      <c r="C2445" s="5" t="s">
        <v>77</v>
      </c>
      <c r="D2445" s="11">
        <v>0.489</v>
      </c>
      <c r="E2445" s="11">
        <v>38.0</v>
      </c>
      <c r="F2445" s="11">
        <v>159.0</v>
      </c>
      <c r="G2445" s="11">
        <v>270.0</v>
      </c>
      <c r="H2445" s="11">
        <v>0.04</v>
      </c>
      <c r="I2445" s="11">
        <v>0.499</v>
      </c>
      <c r="J2445" s="9" t="s">
        <v>73</v>
      </c>
      <c r="K2445" s="14" t="str">
        <f>IFERROR(__xludf.DUMMYFUNCTION("ARRAYFORMULA(VLOOKUP(A2445,IMPORTRANGE(""https://docs.google.com/spreadsheets/d/1BuTWp7qHGjWhqrnf-OmePP568O4A5Am9ttzvVdP67zw/edit#gid=1603210130"", ""TOURISM!$A$2:$F$2692""), {2,3,4,5,6},0))"),"Africa")</f>
        <v>Africa</v>
      </c>
      <c r="L2445" s="14"/>
      <c r="M2445" s="14" t="str">
        <f>IFERROR(__xludf.DUMMYFUNCTION("""COMPUTED_VALUE"""),"Togo-Africa")</f>
        <v>Togo-Africa</v>
      </c>
      <c r="N2445" s="14" t="str">
        <f>IFERROR(__xludf.DUMMYFUNCTION("""COMPUTED_VALUE"""),"2012")</f>
        <v>2012</v>
      </c>
      <c r="O2445" s="14"/>
      <c r="P2445" s="15">
        <f>IFERROR(__xludf.DUMMYFUNCTION("ARRAYFORMULA(VLOOKUP(A2445,IMPORTRANGE(""https://docs.google.com/spreadsheets/d/1BuTWp7qHGjWhqrnf-OmePP568O4A5Am9ttzvVdP67zw/edit#gid=771602874"" ,""HUMAN RESOURCES!$A$2:$M$2692""), {2,3,4,5,6,7,8,9,10,11,12,13},0))"),0.037)</f>
        <v>0.037</v>
      </c>
      <c r="Q2445" s="14">
        <f>IFERROR(__xludf.DUMMYFUNCTION("""COMPUTED_VALUE"""),0.057)</f>
        <v>0.057</v>
      </c>
      <c r="R2445" s="14">
        <f>IFERROR(__xludf.DUMMYFUNCTION("""COMPUTED_VALUE"""),57.0)</f>
        <v>57</v>
      </c>
      <c r="S2445" s="14">
        <f>IFERROR(__xludf.DUMMYFUNCTION("""COMPUTED_VALUE"""),55.0)</f>
        <v>55</v>
      </c>
      <c r="T2445" s="14">
        <f>IFERROR(__xludf.DUMMYFUNCTION("""COMPUTED_VALUE"""),0.419)</f>
        <v>0.419</v>
      </c>
      <c r="U2445" s="14">
        <f>IFERROR(__xludf.DUMMYFUNCTION("""COMPUTED_VALUE"""),0.554)</f>
        <v>0.554</v>
      </c>
      <c r="V2445" s="14">
        <f>IFERROR(__xludf.DUMMYFUNCTION("""COMPUTED_VALUE"""),0.027)</f>
        <v>0.027</v>
      </c>
      <c r="W2445" s="14">
        <f>IFERROR(__xludf.DUMMYFUNCTION("""COMPUTED_VALUE"""),6642928.0)</f>
        <v>6642928</v>
      </c>
      <c r="X2445" s="14">
        <f>IFERROR(__xludf.DUMMYFUNCTION("""COMPUTED_VALUE"""),0.385)</f>
        <v>0.385</v>
      </c>
      <c r="Y2445" s="14" t="str">
        <f>IFERROR(__xludf.DUMMYFUNCTION("""COMPUTED_VALUE"""),"Togo-Africa")</f>
        <v>Togo-Africa</v>
      </c>
      <c r="Z2445" s="14" t="str">
        <f>IFERROR(__xludf.DUMMYFUNCTION("""COMPUTED_VALUE"""),"Africa")</f>
        <v>Africa</v>
      </c>
      <c r="AA2445" s="14" t="str">
        <f>IFERROR(__xludf.DUMMYFUNCTION("""COMPUTED_VALUE"""),"2012")</f>
        <v>2012</v>
      </c>
      <c r="AB2445" s="15" t="str">
        <f>IFERROR(__xludf.DUMMYFUNCTION("ARRAYFORMULA(VLOOKUP(A2445,IMPORTRANGE(""https://docs.google.com/spreadsheets/d/1BuTWp7qHGjWhqrnf-OmePP568O4A5Am9ttzvVdP67zw/edit#gid=1931367683"" ,""ENERGY!$A$2:$F$2692""), {2,3,4,5,6},0))"),"Africa")</f>
        <v>Africa</v>
      </c>
      <c r="AC2445" s="14" t="str">
        <f>IFERROR(__xludf.DUMMYFUNCTION("""COMPUTED_VALUE"""),"Togo-Africa")</f>
        <v>Togo-Africa</v>
      </c>
      <c r="AD2445" s="14" t="str">
        <f>IFERROR(__xludf.DUMMYFUNCTION("""COMPUTED_VALUE"""),"2012")</f>
        <v>2012</v>
      </c>
      <c r="AE2445" s="14">
        <f>IFERROR(__xludf.DUMMYFUNCTION("""COMPUTED_VALUE"""),2111.0)</f>
        <v>2111</v>
      </c>
      <c r="AF2445" s="14">
        <f>IFERROR(__xludf.DUMMYFUNCTION("""COMPUTED_VALUE"""),1357.0)</f>
        <v>1357</v>
      </c>
    </row>
    <row r="2446">
      <c r="A2446" s="12">
        <v>2445.0</v>
      </c>
      <c r="B2446" s="12" t="s">
        <v>267</v>
      </c>
      <c r="C2446" s="5" t="s">
        <v>80</v>
      </c>
      <c r="D2446" s="8"/>
      <c r="E2446" s="8"/>
      <c r="F2446" s="8"/>
      <c r="G2446" s="8"/>
      <c r="H2446" s="11">
        <v>0.024</v>
      </c>
      <c r="I2446" s="11">
        <v>0.002</v>
      </c>
      <c r="J2446" s="9" t="s">
        <v>60</v>
      </c>
      <c r="K2446" s="14" t="str">
        <f>IFERROR(__xludf.DUMMYFUNCTION("ARRAYFORMULA(VLOOKUP(A2446,IMPORTRANGE(""https://docs.google.com/spreadsheets/d/1BuTWp7qHGjWhqrnf-OmePP568O4A5Am9ttzvVdP67zw/edit#gid=1603210130"", ""TOURISM!$A$2:$F$2692""), {2,3,4,5,6},0))"),"Oceania")</f>
        <v>Oceania</v>
      </c>
      <c r="L2446" s="14">
        <f>IFERROR(__xludf.DUMMYFUNCTION("""COMPUTED_VALUE"""),7000000.0)</f>
        <v>7000000</v>
      </c>
      <c r="M2446" s="14" t="str">
        <f>IFERROR(__xludf.DUMMYFUNCTION("""COMPUTED_VALUE"""),"Tonga-Oceania")</f>
        <v>Tonga-Oceania</v>
      </c>
      <c r="N2446" s="14" t="str">
        <f>IFERROR(__xludf.DUMMYFUNCTION("""COMPUTED_VALUE"""),"2000")</f>
        <v>2000</v>
      </c>
      <c r="O2446" s="14"/>
      <c r="P2446" s="15">
        <f>IFERROR(__xludf.DUMMYFUNCTION("ARRAYFORMULA(VLOOKUP(A2446,IMPORTRANGE(""https://docs.google.com/spreadsheets/d/1BuTWp7qHGjWhqrnf-OmePP568O4A5Am9ttzvVdP67zw/edit#gid=771602874"" ,""HUMAN RESOURCES!$A$2:$M$2692""), {2,3,4,5,6,7,8,9,10,11,12,13},0))"),0.028)</f>
        <v>0.028</v>
      </c>
      <c r="Q2446" s="14">
        <f>IFERROR(__xludf.DUMMYFUNCTION("""COMPUTED_VALUE"""),0.015)</f>
        <v>0.015</v>
      </c>
      <c r="R2446" s="14">
        <f>IFERROR(__xludf.DUMMYFUNCTION("""COMPUTED_VALUE"""),73.0)</f>
        <v>73</v>
      </c>
      <c r="S2446" s="14">
        <f>IFERROR(__xludf.DUMMYFUNCTION("""COMPUTED_VALUE"""),69.0)</f>
        <v>69</v>
      </c>
      <c r="T2446" s="14">
        <f>IFERROR(__xludf.DUMMYFUNCTION("""COMPUTED_VALUE"""),0.384)</f>
        <v>0.384</v>
      </c>
      <c r="U2446" s="14">
        <f>IFERROR(__xludf.DUMMYFUNCTION("""COMPUTED_VALUE"""),0.559)</f>
        <v>0.559</v>
      </c>
      <c r="V2446" s="14">
        <f>IFERROR(__xludf.DUMMYFUNCTION("""COMPUTED_VALUE"""),0.057)</f>
        <v>0.057</v>
      </c>
      <c r="W2446" s="14">
        <f>IFERROR(__xludf.DUMMYFUNCTION("""COMPUTED_VALUE"""),97962.0)</f>
        <v>97962</v>
      </c>
      <c r="X2446" s="14">
        <f>IFERROR(__xludf.DUMMYFUNCTION("""COMPUTED_VALUE"""),0.23)</f>
        <v>0.23</v>
      </c>
      <c r="Y2446" s="14" t="str">
        <f>IFERROR(__xludf.DUMMYFUNCTION("""COMPUTED_VALUE"""),"Tonga-Oceania")</f>
        <v>Tonga-Oceania</v>
      </c>
      <c r="Z2446" s="14" t="str">
        <f>IFERROR(__xludf.DUMMYFUNCTION("""COMPUTED_VALUE"""),"Oceania")</f>
        <v>Oceania</v>
      </c>
      <c r="AA2446" s="14" t="str">
        <f>IFERROR(__xludf.DUMMYFUNCTION("""COMPUTED_VALUE"""),"2000")</f>
        <v>2000</v>
      </c>
      <c r="AB2446" s="15" t="str">
        <f>IFERROR(__xludf.DUMMYFUNCTION("ARRAYFORMULA(VLOOKUP(A2446,IMPORTRANGE(""https://docs.google.com/spreadsheets/d/1BuTWp7qHGjWhqrnf-OmePP568O4A5Am9ttzvVdP67zw/edit#gid=1931367683"" ,""ENERGY!$A$2:$F$2692""), {2,3,4,5,6},0))"),"Oceania")</f>
        <v>Oceania</v>
      </c>
      <c r="AC2446" s="14" t="str">
        <f>IFERROR(__xludf.DUMMYFUNCTION("""COMPUTED_VALUE"""),"Tonga-Oceania")</f>
        <v>Tonga-Oceania</v>
      </c>
      <c r="AD2446" s="14" t="str">
        <f>IFERROR(__xludf.DUMMYFUNCTION("""COMPUTED_VALUE"""),"2000")</f>
        <v>2000</v>
      </c>
      <c r="AE2446" s="14"/>
      <c r="AF2446" s="14"/>
    </row>
    <row r="2447">
      <c r="A2447" s="12">
        <v>2446.0</v>
      </c>
      <c r="B2447" s="12" t="s">
        <v>267</v>
      </c>
      <c r="C2447" s="5" t="s">
        <v>80</v>
      </c>
      <c r="D2447" s="8"/>
      <c r="E2447" s="8"/>
      <c r="F2447" s="8"/>
      <c r="G2447" s="8"/>
      <c r="H2447" s="11">
        <v>0.028</v>
      </c>
      <c r="I2447" s="11">
        <v>0.002</v>
      </c>
      <c r="J2447" s="9" t="s">
        <v>62</v>
      </c>
      <c r="K2447" s="14" t="str">
        <f>IFERROR(__xludf.DUMMYFUNCTION("ARRAYFORMULA(VLOOKUP(A2447,IMPORTRANGE(""https://docs.google.com/spreadsheets/d/1BuTWp7qHGjWhqrnf-OmePP568O4A5Am9ttzvVdP67zw/edit#gid=1603210130"", ""TOURISM!$A$2:$F$2692""), {2,3,4,5,6},0))"),"Oceania")</f>
        <v>Oceania</v>
      </c>
      <c r="L2447" s="14">
        <f>IFERROR(__xludf.DUMMYFUNCTION("""COMPUTED_VALUE"""),6800000.0)</f>
        <v>6800000</v>
      </c>
      <c r="M2447" s="14" t="str">
        <f>IFERROR(__xludf.DUMMYFUNCTION("""COMPUTED_VALUE"""),"Tonga-Oceania")</f>
        <v>Tonga-Oceania</v>
      </c>
      <c r="N2447" s="14" t="str">
        <f>IFERROR(__xludf.DUMMYFUNCTION("""COMPUTED_VALUE"""),"2001")</f>
        <v>2001</v>
      </c>
      <c r="O2447" s="14">
        <f>IFERROR(__xludf.DUMMYFUNCTION("""COMPUTED_VALUE"""),3200000.0)</f>
        <v>3200000</v>
      </c>
      <c r="P2447" s="15">
        <f>IFERROR(__xludf.DUMMYFUNCTION("ARRAYFORMULA(VLOOKUP(A2447,IMPORTRANGE(""https://docs.google.com/spreadsheets/d/1BuTWp7qHGjWhqrnf-OmePP568O4A5Am9ttzvVdP67zw/edit#gid=771602874"" ,""HUMAN RESOURCES!$A$2:$M$2692""), {2,3,4,5,6,7,8,9,10,11,12,13},0))"),0.028)</f>
        <v>0.028</v>
      </c>
      <c r="Q2447" s="14">
        <f>IFERROR(__xludf.DUMMYFUNCTION("""COMPUTED_VALUE"""),0.015)</f>
        <v>0.015</v>
      </c>
      <c r="R2447" s="14">
        <f>IFERROR(__xludf.DUMMYFUNCTION("""COMPUTED_VALUE"""),73.0)</f>
        <v>73</v>
      </c>
      <c r="S2447" s="14">
        <f>IFERROR(__xludf.DUMMYFUNCTION("""COMPUTED_VALUE"""),69.0)</f>
        <v>69</v>
      </c>
      <c r="T2447" s="14">
        <f>IFERROR(__xludf.DUMMYFUNCTION("""COMPUTED_VALUE"""),0.382)</f>
        <v>0.382</v>
      </c>
      <c r="U2447" s="14">
        <f>IFERROR(__xludf.DUMMYFUNCTION("""COMPUTED_VALUE"""),0.56)</f>
        <v>0.56</v>
      </c>
      <c r="V2447" s="14">
        <f>IFERROR(__xludf.DUMMYFUNCTION("""COMPUTED_VALUE"""),0.058)</f>
        <v>0.058</v>
      </c>
      <c r="W2447" s="14">
        <f>IFERROR(__xludf.DUMMYFUNCTION("""COMPUTED_VALUE"""),98504.0)</f>
        <v>98504</v>
      </c>
      <c r="X2447" s="14">
        <f>IFERROR(__xludf.DUMMYFUNCTION("""COMPUTED_VALUE"""),0.23)</f>
        <v>0.23</v>
      </c>
      <c r="Y2447" s="14" t="str">
        <f>IFERROR(__xludf.DUMMYFUNCTION("""COMPUTED_VALUE"""),"Tonga-Oceania")</f>
        <v>Tonga-Oceania</v>
      </c>
      <c r="Z2447" s="14" t="str">
        <f>IFERROR(__xludf.DUMMYFUNCTION("""COMPUTED_VALUE"""),"Oceania")</f>
        <v>Oceania</v>
      </c>
      <c r="AA2447" s="14" t="str">
        <f>IFERROR(__xludf.DUMMYFUNCTION("""COMPUTED_VALUE"""),"2001")</f>
        <v>2001</v>
      </c>
      <c r="AB2447" s="15" t="str">
        <f>IFERROR(__xludf.DUMMYFUNCTION("ARRAYFORMULA(VLOOKUP(A2447,IMPORTRANGE(""https://docs.google.com/spreadsheets/d/1BuTWp7qHGjWhqrnf-OmePP568O4A5Am9ttzvVdP67zw/edit#gid=1931367683"" ,""ENERGY!$A$2:$F$2692""), {2,3,4,5,6},0))"),"Oceania")</f>
        <v>Oceania</v>
      </c>
      <c r="AC2447" s="14" t="str">
        <f>IFERROR(__xludf.DUMMYFUNCTION("""COMPUTED_VALUE"""),"Tonga-Oceania")</f>
        <v>Tonga-Oceania</v>
      </c>
      <c r="AD2447" s="14" t="str">
        <f>IFERROR(__xludf.DUMMYFUNCTION("""COMPUTED_VALUE"""),"2001")</f>
        <v>2001</v>
      </c>
      <c r="AE2447" s="14"/>
      <c r="AF2447" s="14"/>
    </row>
    <row r="2448">
      <c r="A2448" s="12">
        <v>2447.0</v>
      </c>
      <c r="B2448" s="12" t="s">
        <v>267</v>
      </c>
      <c r="C2448" s="5" t="s">
        <v>80</v>
      </c>
      <c r="D2448" s="8"/>
      <c r="E2448" s="8"/>
      <c r="F2448" s="8"/>
      <c r="G2448" s="8"/>
      <c r="H2448" s="11">
        <v>0.029</v>
      </c>
      <c r="I2448" s="11">
        <v>0.034</v>
      </c>
      <c r="J2448" s="9" t="s">
        <v>63</v>
      </c>
      <c r="K2448" s="14" t="str">
        <f>IFERROR(__xludf.DUMMYFUNCTION("ARRAYFORMULA(VLOOKUP(A2448,IMPORTRANGE(""https://docs.google.com/spreadsheets/d/1BuTWp7qHGjWhqrnf-OmePP568O4A5Am9ttzvVdP67zw/edit#gid=1603210130"", ""TOURISM!$A$2:$F$2692""), {2,3,4,5,6},0))"),"Oceania")</f>
        <v>Oceania</v>
      </c>
      <c r="L2448" s="14">
        <f>IFERROR(__xludf.DUMMYFUNCTION("""COMPUTED_VALUE"""),5900000.0)</f>
        <v>5900000</v>
      </c>
      <c r="M2448" s="14" t="str">
        <f>IFERROR(__xludf.DUMMYFUNCTION("""COMPUTED_VALUE"""),"Tonga-Oceania")</f>
        <v>Tonga-Oceania</v>
      </c>
      <c r="N2448" s="14" t="str">
        <f>IFERROR(__xludf.DUMMYFUNCTION("""COMPUTED_VALUE"""),"2002")</f>
        <v>2002</v>
      </c>
      <c r="O2448" s="14">
        <f>IFERROR(__xludf.DUMMYFUNCTION("""COMPUTED_VALUE"""),3200000.0)</f>
        <v>3200000</v>
      </c>
      <c r="P2448" s="15">
        <f>IFERROR(__xludf.DUMMYFUNCTION("ARRAYFORMULA(VLOOKUP(A2448,IMPORTRANGE(""https://docs.google.com/spreadsheets/d/1BuTWp7qHGjWhqrnf-OmePP568O4A5Am9ttzvVdP67zw/edit#gid=771602874"" ,""HUMAN RESOURCES!$A$2:$M$2692""), {2,3,4,5,6,7,8,9,10,11,12,13},0))"),0.029)</f>
        <v>0.029</v>
      </c>
      <c r="Q2448" s="14">
        <f>IFERROR(__xludf.DUMMYFUNCTION("""COMPUTED_VALUE"""),0.015)</f>
        <v>0.015</v>
      </c>
      <c r="R2448" s="14">
        <f>IFERROR(__xludf.DUMMYFUNCTION("""COMPUTED_VALUE"""),73.0)</f>
        <v>73</v>
      </c>
      <c r="S2448" s="14">
        <f>IFERROR(__xludf.DUMMYFUNCTION("""COMPUTED_VALUE"""),69.0)</f>
        <v>69</v>
      </c>
      <c r="T2448" s="14">
        <f>IFERROR(__xludf.DUMMYFUNCTION("""COMPUTED_VALUE"""),0.382)</f>
        <v>0.382</v>
      </c>
      <c r="U2448" s="14">
        <f>IFERROR(__xludf.DUMMYFUNCTION("""COMPUTED_VALUE"""),0.559)</f>
        <v>0.559</v>
      </c>
      <c r="V2448" s="14">
        <f>IFERROR(__xludf.DUMMYFUNCTION("""COMPUTED_VALUE"""),0.059)</f>
        <v>0.059</v>
      </c>
      <c r="W2448" s="14">
        <f>IFERROR(__xludf.DUMMYFUNCTION("""COMPUTED_VALUE"""),99083.0)</f>
        <v>99083</v>
      </c>
      <c r="X2448" s="14">
        <f>IFERROR(__xludf.DUMMYFUNCTION("""COMPUTED_VALUE"""),0.231)</f>
        <v>0.231</v>
      </c>
      <c r="Y2448" s="14" t="str">
        <f>IFERROR(__xludf.DUMMYFUNCTION("""COMPUTED_VALUE"""),"Tonga-Oceania")</f>
        <v>Tonga-Oceania</v>
      </c>
      <c r="Z2448" s="14" t="str">
        <f>IFERROR(__xludf.DUMMYFUNCTION("""COMPUTED_VALUE"""),"Oceania")</f>
        <v>Oceania</v>
      </c>
      <c r="AA2448" s="14" t="str">
        <f>IFERROR(__xludf.DUMMYFUNCTION("""COMPUTED_VALUE"""),"2002")</f>
        <v>2002</v>
      </c>
      <c r="AB2448" s="15" t="str">
        <f>IFERROR(__xludf.DUMMYFUNCTION("ARRAYFORMULA(VLOOKUP(A2448,IMPORTRANGE(""https://docs.google.com/spreadsheets/d/1BuTWp7qHGjWhqrnf-OmePP568O4A5Am9ttzvVdP67zw/edit#gid=1931367683"" ,""ENERGY!$A$2:$F$2692""), {2,3,4,5,6},0))"),"Oceania")</f>
        <v>Oceania</v>
      </c>
      <c r="AC2448" s="14" t="str">
        <f>IFERROR(__xludf.DUMMYFUNCTION("""COMPUTED_VALUE"""),"Tonga-Oceania")</f>
        <v>Tonga-Oceania</v>
      </c>
      <c r="AD2448" s="14" t="str">
        <f>IFERROR(__xludf.DUMMYFUNCTION("""COMPUTED_VALUE"""),"2002")</f>
        <v>2002</v>
      </c>
      <c r="AE2448" s="14"/>
      <c r="AF2448" s="14">
        <f>IFERROR(__xludf.DUMMYFUNCTION("""COMPUTED_VALUE"""),158.0)</f>
        <v>158</v>
      </c>
    </row>
    <row r="2449">
      <c r="A2449" s="12">
        <v>2448.0</v>
      </c>
      <c r="B2449" s="12" t="s">
        <v>267</v>
      </c>
      <c r="C2449" s="5" t="s">
        <v>80</v>
      </c>
      <c r="D2449" s="8"/>
      <c r="E2449" s="11">
        <v>32.0</v>
      </c>
      <c r="F2449" s="8"/>
      <c r="G2449" s="8"/>
      <c r="H2449" s="11">
        <v>0.03</v>
      </c>
      <c r="I2449" s="11">
        <v>0.112</v>
      </c>
      <c r="J2449" s="9" t="s">
        <v>64</v>
      </c>
      <c r="K2449" s="14" t="str">
        <f>IFERROR(__xludf.DUMMYFUNCTION("ARRAYFORMULA(VLOOKUP(A2449,IMPORTRANGE(""https://docs.google.com/spreadsheets/d/1BuTWp7qHGjWhqrnf-OmePP568O4A5Am9ttzvVdP67zw/edit#gid=1603210130"", ""TOURISM!$A$2:$F$2692""), {2,3,4,5,6},0))"),"Oceania")</f>
        <v>Oceania</v>
      </c>
      <c r="L2449" s="14">
        <f>IFERROR(__xludf.DUMMYFUNCTION("""COMPUTED_VALUE"""),1.03E7)</f>
        <v>10300000</v>
      </c>
      <c r="M2449" s="14" t="str">
        <f>IFERROR(__xludf.DUMMYFUNCTION("""COMPUTED_VALUE"""),"Tonga-Oceania")</f>
        <v>Tonga-Oceania</v>
      </c>
      <c r="N2449" s="14" t="str">
        <f>IFERROR(__xludf.DUMMYFUNCTION("""COMPUTED_VALUE"""),"2003")</f>
        <v>2003</v>
      </c>
      <c r="O2449" s="14">
        <f>IFERROR(__xludf.DUMMYFUNCTION("""COMPUTED_VALUE"""),1.32E7)</f>
        <v>13200000</v>
      </c>
      <c r="P2449" s="15">
        <f>IFERROR(__xludf.DUMMYFUNCTION("ARRAYFORMULA(VLOOKUP(A2449,IMPORTRANGE(""https://docs.google.com/spreadsheets/d/1BuTWp7qHGjWhqrnf-OmePP568O4A5Am9ttzvVdP67zw/edit#gid=771602874"" ,""HUMAN RESOURCES!$A$2:$M$2692""), {2,3,4,5,6,7,8,9,10,11,12,13},0))"),0.029)</f>
        <v>0.029</v>
      </c>
      <c r="Q2449" s="14">
        <f>IFERROR(__xludf.DUMMYFUNCTION("""COMPUTED_VALUE"""),0.014)</f>
        <v>0.014</v>
      </c>
      <c r="R2449" s="14">
        <f>IFERROR(__xludf.DUMMYFUNCTION("""COMPUTED_VALUE"""),74.0)</f>
        <v>74</v>
      </c>
      <c r="S2449" s="14">
        <f>IFERROR(__xludf.DUMMYFUNCTION("""COMPUTED_VALUE"""),69.0)</f>
        <v>69</v>
      </c>
      <c r="T2449" s="14">
        <f>IFERROR(__xludf.DUMMYFUNCTION("""COMPUTED_VALUE"""),0.382)</f>
        <v>0.382</v>
      </c>
      <c r="U2449" s="14">
        <f>IFERROR(__xludf.DUMMYFUNCTION("""COMPUTED_VALUE"""),0.559)</f>
        <v>0.559</v>
      </c>
      <c r="V2449" s="14">
        <f>IFERROR(__xludf.DUMMYFUNCTION("""COMPUTED_VALUE"""),0.06)</f>
        <v>0.06</v>
      </c>
      <c r="W2449" s="14">
        <f>IFERROR(__xludf.DUMMYFUNCTION("""COMPUTED_VALUE"""),99691.0)</f>
        <v>99691</v>
      </c>
      <c r="X2449" s="14">
        <f>IFERROR(__xludf.DUMMYFUNCTION("""COMPUTED_VALUE"""),0.231)</f>
        <v>0.231</v>
      </c>
      <c r="Y2449" s="14" t="str">
        <f>IFERROR(__xludf.DUMMYFUNCTION("""COMPUTED_VALUE"""),"Tonga-Oceania")</f>
        <v>Tonga-Oceania</v>
      </c>
      <c r="Z2449" s="14" t="str">
        <f>IFERROR(__xludf.DUMMYFUNCTION("""COMPUTED_VALUE"""),"Oceania")</f>
        <v>Oceania</v>
      </c>
      <c r="AA2449" s="14" t="str">
        <f>IFERROR(__xludf.DUMMYFUNCTION("""COMPUTED_VALUE"""),"2003")</f>
        <v>2003</v>
      </c>
      <c r="AB2449" s="15" t="str">
        <f>IFERROR(__xludf.DUMMYFUNCTION("ARRAYFORMULA(VLOOKUP(A2449,IMPORTRANGE(""https://docs.google.com/spreadsheets/d/1BuTWp7qHGjWhqrnf-OmePP568O4A5Am9ttzvVdP67zw/edit#gid=1931367683"" ,""ENERGY!$A$2:$F$2692""), {2,3,4,5,6},0))"),"Oceania")</f>
        <v>Oceania</v>
      </c>
      <c r="AC2449" s="14" t="str">
        <f>IFERROR(__xludf.DUMMYFUNCTION("""COMPUTED_VALUE"""),"Tonga-Oceania")</f>
        <v>Tonga-Oceania</v>
      </c>
      <c r="AD2449" s="14" t="str">
        <f>IFERROR(__xludf.DUMMYFUNCTION("""COMPUTED_VALUE"""),"2003")</f>
        <v>2003</v>
      </c>
      <c r="AE2449" s="14"/>
      <c r="AF2449" s="14">
        <f>IFERROR(__xludf.DUMMYFUNCTION("""COMPUTED_VALUE"""),172.0)</f>
        <v>172</v>
      </c>
    </row>
    <row r="2450">
      <c r="A2450" s="12">
        <v>2449.0</v>
      </c>
      <c r="B2450" s="12" t="s">
        <v>267</v>
      </c>
      <c r="C2450" s="5" t="s">
        <v>80</v>
      </c>
      <c r="D2450" s="8"/>
      <c r="E2450" s="11">
        <v>32.0</v>
      </c>
      <c r="F2450" s="8"/>
      <c r="G2450" s="8"/>
      <c r="H2450" s="11">
        <v>0.04</v>
      </c>
      <c r="I2450" s="11">
        <v>0.163</v>
      </c>
      <c r="J2450" s="9" t="s">
        <v>65</v>
      </c>
      <c r="K2450" s="14" t="str">
        <f>IFERROR(__xludf.DUMMYFUNCTION("ARRAYFORMULA(VLOOKUP(A2450,IMPORTRANGE(""https://docs.google.com/spreadsheets/d/1BuTWp7qHGjWhqrnf-OmePP568O4A5Am9ttzvVdP67zw/edit#gid=1603210130"", ""TOURISM!$A$2:$F$2692""), {2,3,4,5,6},0))"),"Oceania")</f>
        <v>Oceania</v>
      </c>
      <c r="L2450" s="14">
        <f>IFERROR(__xludf.DUMMYFUNCTION("""COMPUTED_VALUE"""),1.31E7)</f>
        <v>13100000</v>
      </c>
      <c r="M2450" s="14" t="str">
        <f>IFERROR(__xludf.DUMMYFUNCTION("""COMPUTED_VALUE"""),"Tonga-Oceania")</f>
        <v>Tonga-Oceania</v>
      </c>
      <c r="N2450" s="14" t="str">
        <f>IFERROR(__xludf.DUMMYFUNCTION("""COMPUTED_VALUE"""),"2004")</f>
        <v>2004</v>
      </c>
      <c r="O2450" s="14">
        <f>IFERROR(__xludf.DUMMYFUNCTION("""COMPUTED_VALUE"""),1.62E7)</f>
        <v>16200000</v>
      </c>
      <c r="P2450" s="15">
        <f>IFERROR(__xludf.DUMMYFUNCTION("ARRAYFORMULA(VLOOKUP(A2450,IMPORTRANGE(""https://docs.google.com/spreadsheets/d/1BuTWp7qHGjWhqrnf-OmePP568O4A5Am9ttzvVdP67zw/edit#gid=771602874"" ,""HUMAN RESOURCES!$A$2:$M$2692""), {2,3,4,5,6,7,8,9,10,11,12,13},0))"),0.029)</f>
        <v>0.029</v>
      </c>
      <c r="Q2450" s="14">
        <f>IFERROR(__xludf.DUMMYFUNCTION("""COMPUTED_VALUE"""),0.014)</f>
        <v>0.014</v>
      </c>
      <c r="R2450" s="14">
        <f>IFERROR(__xludf.DUMMYFUNCTION("""COMPUTED_VALUE"""),74.0)</f>
        <v>74</v>
      </c>
      <c r="S2450" s="14">
        <f>IFERROR(__xludf.DUMMYFUNCTION("""COMPUTED_VALUE"""),69.0)</f>
        <v>69</v>
      </c>
      <c r="T2450" s="14">
        <f>IFERROR(__xludf.DUMMYFUNCTION("""COMPUTED_VALUE"""),0.381)</f>
        <v>0.381</v>
      </c>
      <c r="U2450" s="14">
        <f>IFERROR(__xludf.DUMMYFUNCTION("""COMPUTED_VALUE"""),0.558)</f>
        <v>0.558</v>
      </c>
      <c r="V2450" s="14">
        <f>IFERROR(__xludf.DUMMYFUNCTION("""COMPUTED_VALUE"""),0.06)</f>
        <v>0.06</v>
      </c>
      <c r="W2450" s="14">
        <f>IFERROR(__xludf.DUMMYFUNCTION("""COMPUTED_VALUE"""),100319.0)</f>
        <v>100319</v>
      </c>
      <c r="X2450" s="14">
        <f>IFERROR(__xludf.DUMMYFUNCTION("""COMPUTED_VALUE"""),0.231)</f>
        <v>0.231</v>
      </c>
      <c r="Y2450" s="14" t="str">
        <f>IFERROR(__xludf.DUMMYFUNCTION("""COMPUTED_VALUE"""),"Tonga-Oceania")</f>
        <v>Tonga-Oceania</v>
      </c>
      <c r="Z2450" s="14" t="str">
        <f>IFERROR(__xludf.DUMMYFUNCTION("""COMPUTED_VALUE"""),"Oceania")</f>
        <v>Oceania</v>
      </c>
      <c r="AA2450" s="14" t="str">
        <f>IFERROR(__xludf.DUMMYFUNCTION("""COMPUTED_VALUE"""),"2004")</f>
        <v>2004</v>
      </c>
      <c r="AB2450" s="15" t="str">
        <f>IFERROR(__xludf.DUMMYFUNCTION("ARRAYFORMULA(VLOOKUP(A2450,IMPORTRANGE(""https://docs.google.com/spreadsheets/d/1BuTWp7qHGjWhqrnf-OmePP568O4A5Am9ttzvVdP67zw/edit#gid=1931367683"" ,""ENERGY!$A$2:$F$2692""), {2,3,4,5,6},0))"),"Oceania")</f>
        <v>Oceania</v>
      </c>
      <c r="AC2450" s="14" t="str">
        <f>IFERROR(__xludf.DUMMYFUNCTION("""COMPUTED_VALUE"""),"Tonga-Oceania")</f>
        <v>Tonga-Oceania</v>
      </c>
      <c r="AD2450" s="14" t="str">
        <f>IFERROR(__xludf.DUMMYFUNCTION("""COMPUTED_VALUE"""),"2005")</f>
        <v>2005</v>
      </c>
      <c r="AE2450" s="14"/>
      <c r="AF2450" s="14">
        <f>IFERROR(__xludf.DUMMYFUNCTION("""COMPUTED_VALUE"""),161.0)</f>
        <v>161</v>
      </c>
    </row>
    <row r="2451">
      <c r="A2451" s="12">
        <v>2450.0</v>
      </c>
      <c r="B2451" s="12" t="s">
        <v>267</v>
      </c>
      <c r="C2451" s="5" t="s">
        <v>80</v>
      </c>
      <c r="D2451" s="11">
        <v>0.275</v>
      </c>
      <c r="E2451" s="11">
        <v>32.0</v>
      </c>
      <c r="F2451" s="8"/>
      <c r="G2451" s="11">
        <v>164.0</v>
      </c>
      <c r="H2451" s="11">
        <v>0.049</v>
      </c>
      <c r="I2451" s="11">
        <v>0.296</v>
      </c>
      <c r="J2451" s="9" t="s">
        <v>66</v>
      </c>
      <c r="K2451" s="14" t="str">
        <f>IFERROR(__xludf.DUMMYFUNCTION("ARRAYFORMULA(VLOOKUP(A2451,IMPORTRANGE(""https://docs.google.com/spreadsheets/d/1BuTWp7qHGjWhqrnf-OmePP568O4A5Am9ttzvVdP67zw/edit#gid=1603210130"", ""TOURISM!$A$2:$F$2692""), {2,3,4,5,6},0))"),"Oceania")</f>
        <v>Oceania</v>
      </c>
      <c r="L2451" s="14">
        <f>IFERROR(__xludf.DUMMYFUNCTION("""COMPUTED_VALUE"""),1.5E7)</f>
        <v>15000000</v>
      </c>
      <c r="M2451" s="14" t="str">
        <f>IFERROR(__xludf.DUMMYFUNCTION("""COMPUTED_VALUE"""),"Tonga-Oceania")</f>
        <v>Tonga-Oceania</v>
      </c>
      <c r="N2451" s="14" t="str">
        <f>IFERROR(__xludf.DUMMYFUNCTION("""COMPUTED_VALUE"""),"2005")</f>
        <v>2005</v>
      </c>
      <c r="O2451" s="14">
        <f>IFERROR(__xludf.DUMMYFUNCTION("""COMPUTED_VALUE"""),1.6E7)</f>
        <v>16000000</v>
      </c>
      <c r="P2451" s="15">
        <f>IFERROR(__xludf.DUMMYFUNCTION("ARRAYFORMULA(VLOOKUP(A2451,IMPORTRANGE(""https://docs.google.com/spreadsheets/d/1BuTWp7qHGjWhqrnf-OmePP568O4A5Am9ttzvVdP67zw/edit#gid=771602874"" ,""HUMAN RESOURCES!$A$2:$M$2692""), {2,3,4,5,6,7,8,9,10,11,12,13},0))"),0.029)</f>
        <v>0.029</v>
      </c>
      <c r="Q2451" s="14">
        <f>IFERROR(__xludf.DUMMYFUNCTION("""COMPUTED_VALUE"""),0.013)</f>
        <v>0.013</v>
      </c>
      <c r="R2451" s="14">
        <f>IFERROR(__xludf.DUMMYFUNCTION("""COMPUTED_VALUE"""),74.0)</f>
        <v>74</v>
      </c>
      <c r="S2451" s="14">
        <f>IFERROR(__xludf.DUMMYFUNCTION("""COMPUTED_VALUE"""),69.0)</f>
        <v>69</v>
      </c>
      <c r="T2451" s="14">
        <f>IFERROR(__xludf.DUMMYFUNCTION("""COMPUTED_VALUE"""),0.381)</f>
        <v>0.381</v>
      </c>
      <c r="U2451" s="14">
        <f>IFERROR(__xludf.DUMMYFUNCTION("""COMPUTED_VALUE"""),0.559)</f>
        <v>0.559</v>
      </c>
      <c r="V2451" s="14">
        <f>IFERROR(__xludf.DUMMYFUNCTION("""COMPUTED_VALUE"""),0.06)</f>
        <v>0.06</v>
      </c>
      <c r="W2451" s="14">
        <f>IFERROR(__xludf.DUMMYFUNCTION("""COMPUTED_VALUE"""),100960.0)</f>
        <v>100960</v>
      </c>
      <c r="X2451" s="14">
        <f>IFERROR(__xludf.DUMMYFUNCTION("""COMPUTED_VALUE"""),0.232)</f>
        <v>0.232</v>
      </c>
      <c r="Y2451" s="14" t="str">
        <f>IFERROR(__xludf.DUMMYFUNCTION("""COMPUTED_VALUE"""),"Tonga-Oceania")</f>
        <v>Tonga-Oceania</v>
      </c>
      <c r="Z2451" s="14" t="str">
        <f>IFERROR(__xludf.DUMMYFUNCTION("""COMPUTED_VALUE"""),"Oceania")</f>
        <v>Oceania</v>
      </c>
      <c r="AA2451" s="14" t="str">
        <f>IFERROR(__xludf.DUMMYFUNCTION("""COMPUTED_VALUE"""),"2005")</f>
        <v>2005</v>
      </c>
      <c r="AB2451" s="15" t="str">
        <f>IFERROR(__xludf.DUMMYFUNCTION("ARRAYFORMULA(VLOOKUP(A2451,IMPORTRANGE(""https://docs.google.com/spreadsheets/d/1BuTWp7qHGjWhqrnf-OmePP568O4A5Am9ttzvVdP67zw/edit#gid=1931367683"" ,""ENERGY!$A$2:$F$2692""), {2,3,4,5,6},0))"),"Oceania")</f>
        <v>Oceania</v>
      </c>
      <c r="AC2451" s="14" t="str">
        <f>IFERROR(__xludf.DUMMYFUNCTION("""COMPUTED_VALUE"""),"Tonga-Oceania")</f>
        <v>Tonga-Oceania</v>
      </c>
      <c r="AD2451" s="14" t="str">
        <f>IFERROR(__xludf.DUMMYFUNCTION("""COMPUTED_VALUE"""),"2009")</f>
        <v>2009</v>
      </c>
      <c r="AE2451" s="14">
        <f>IFERROR(__xludf.DUMMYFUNCTION("""COMPUTED_VALUE"""),58.0)</f>
        <v>58</v>
      </c>
      <c r="AF2451" s="14">
        <f>IFERROR(__xludf.DUMMYFUNCTION("""COMPUTED_VALUE"""),154.0)</f>
        <v>154</v>
      </c>
    </row>
    <row r="2452">
      <c r="A2452" s="12">
        <v>2451.0</v>
      </c>
      <c r="B2452" s="12" t="s">
        <v>267</v>
      </c>
      <c r="C2452" s="5" t="s">
        <v>80</v>
      </c>
      <c r="D2452" s="11">
        <v>0.275</v>
      </c>
      <c r="E2452" s="11">
        <v>32.0</v>
      </c>
      <c r="F2452" s="8"/>
      <c r="G2452" s="11">
        <v>164.0</v>
      </c>
      <c r="H2452" s="11">
        <v>0.059</v>
      </c>
      <c r="I2452" s="11">
        <v>0.296</v>
      </c>
      <c r="J2452" s="9" t="s">
        <v>67</v>
      </c>
      <c r="K2452" s="14" t="str">
        <f>IFERROR(__xludf.DUMMYFUNCTION("ARRAYFORMULA(VLOOKUP(A2452,IMPORTRANGE(""https://docs.google.com/spreadsheets/d/1BuTWp7qHGjWhqrnf-OmePP568O4A5Am9ttzvVdP67zw/edit#gid=1603210130"", ""TOURISM!$A$2:$F$2692""), {2,3,4,5,6},0))"),"Oceania")</f>
        <v>Oceania</v>
      </c>
      <c r="L2452" s="14">
        <f>IFERROR(__xludf.DUMMYFUNCTION("""COMPUTED_VALUE"""),1.57E7)</f>
        <v>15700000</v>
      </c>
      <c r="M2452" s="14" t="str">
        <f>IFERROR(__xludf.DUMMYFUNCTION("""COMPUTED_VALUE"""),"Tonga-Oceania")</f>
        <v>Tonga-Oceania</v>
      </c>
      <c r="N2452" s="14" t="str">
        <f>IFERROR(__xludf.DUMMYFUNCTION("""COMPUTED_VALUE"""),"2006")</f>
        <v>2006</v>
      </c>
      <c r="O2452" s="14">
        <f>IFERROR(__xludf.DUMMYFUNCTION("""COMPUTED_VALUE"""),1.64E7)</f>
        <v>16400000</v>
      </c>
      <c r="P2452" s="15">
        <f>IFERROR(__xludf.DUMMYFUNCTION("ARRAYFORMULA(VLOOKUP(A2452,IMPORTRANGE(""https://docs.google.com/spreadsheets/d/1BuTWp7qHGjWhqrnf-OmePP568O4A5Am9ttzvVdP67zw/edit#gid=771602874"" ,""HUMAN RESOURCES!$A$2:$M$2692""), {2,3,4,5,6,7,8,9,10,11,12,13},0))"),0.029)</f>
        <v>0.029</v>
      </c>
      <c r="Q2452" s="14">
        <f>IFERROR(__xludf.DUMMYFUNCTION("""COMPUTED_VALUE"""),0.013)</f>
        <v>0.013</v>
      </c>
      <c r="R2452" s="14">
        <f>IFERROR(__xludf.DUMMYFUNCTION("""COMPUTED_VALUE"""),74.0)</f>
        <v>74</v>
      </c>
      <c r="S2452" s="14">
        <f>IFERROR(__xludf.DUMMYFUNCTION("""COMPUTED_VALUE"""),69.0)</f>
        <v>69</v>
      </c>
      <c r="T2452" s="14">
        <f>IFERROR(__xludf.DUMMYFUNCTION("""COMPUTED_VALUE"""),0.38)</f>
        <v>0.38</v>
      </c>
      <c r="U2452" s="14">
        <f>IFERROR(__xludf.DUMMYFUNCTION("""COMPUTED_VALUE"""),0.56)</f>
        <v>0.56</v>
      </c>
      <c r="V2452" s="14">
        <f>IFERROR(__xludf.DUMMYFUNCTION("""COMPUTED_VALUE"""),0.06)</f>
        <v>0.06</v>
      </c>
      <c r="W2452" s="14">
        <f>IFERROR(__xludf.DUMMYFUNCTION("""COMPUTED_VALUE"""),101617.0)</f>
        <v>101617</v>
      </c>
      <c r="X2452" s="14">
        <f>IFERROR(__xludf.DUMMYFUNCTION("""COMPUTED_VALUE"""),0.232)</f>
        <v>0.232</v>
      </c>
      <c r="Y2452" s="14" t="str">
        <f>IFERROR(__xludf.DUMMYFUNCTION("""COMPUTED_VALUE"""),"Tonga-Oceania")</f>
        <v>Tonga-Oceania</v>
      </c>
      <c r="Z2452" s="14" t="str">
        <f>IFERROR(__xludf.DUMMYFUNCTION("""COMPUTED_VALUE"""),"Oceania")</f>
        <v>Oceania</v>
      </c>
      <c r="AA2452" s="14" t="str">
        <f>IFERROR(__xludf.DUMMYFUNCTION("""COMPUTED_VALUE"""),"2006")</f>
        <v>2006</v>
      </c>
      <c r="AB2452" s="15" t="str">
        <f>IFERROR(__xludf.DUMMYFUNCTION("ARRAYFORMULA(VLOOKUP(A2452,IMPORTRANGE(""https://docs.google.com/spreadsheets/d/1BuTWp7qHGjWhqrnf-OmePP568O4A5Am9ttzvVdP67zw/edit#gid=1931367683"" ,""ENERGY!$A$2:$F$2692""), {2,3,4,5,6},0))"),"Oceania")</f>
        <v>Oceania</v>
      </c>
      <c r="AC2452" s="14" t="str">
        <f>IFERROR(__xludf.DUMMYFUNCTION("""COMPUTED_VALUE"""),"Tonga-Oceania")</f>
        <v>Tonga-Oceania</v>
      </c>
      <c r="AD2452" s="14" t="str">
        <f>IFERROR(__xludf.DUMMYFUNCTION("""COMPUTED_VALUE"""),"2005")</f>
        <v>2005</v>
      </c>
      <c r="AE2452" s="14">
        <f>IFERROR(__xludf.DUMMYFUNCTION("""COMPUTED_VALUE"""),57.0)</f>
        <v>57</v>
      </c>
      <c r="AF2452" s="14">
        <f>IFERROR(__xludf.DUMMYFUNCTION("""COMPUTED_VALUE"""),176.0)</f>
        <v>176</v>
      </c>
    </row>
    <row r="2453">
      <c r="A2453" s="12">
        <v>2452.0</v>
      </c>
      <c r="B2453" s="12" t="s">
        <v>267</v>
      </c>
      <c r="C2453" s="5" t="s">
        <v>80</v>
      </c>
      <c r="D2453" s="11">
        <v>0.275</v>
      </c>
      <c r="E2453" s="11">
        <v>32.0</v>
      </c>
      <c r="F2453" s="8"/>
      <c r="G2453" s="11">
        <v>164.0</v>
      </c>
      <c r="H2453" s="11">
        <v>0.072</v>
      </c>
      <c r="I2453" s="11">
        <v>0.455</v>
      </c>
      <c r="J2453" s="9" t="s">
        <v>68</v>
      </c>
      <c r="K2453" s="14" t="str">
        <f>IFERROR(__xludf.DUMMYFUNCTION("ARRAYFORMULA(VLOOKUP(A2453,IMPORTRANGE(""https://docs.google.com/spreadsheets/d/1BuTWp7qHGjWhqrnf-OmePP568O4A5Am9ttzvVdP67zw/edit#gid=1603210130"", ""TOURISM!$A$2:$F$2692""), {2,3,4,5,6},0))"),"Oceania")</f>
        <v>Oceania</v>
      </c>
      <c r="L2453" s="14">
        <f>IFERROR(__xludf.DUMMYFUNCTION("""COMPUTED_VALUE"""),1.52E7)</f>
        <v>15200000</v>
      </c>
      <c r="M2453" s="14" t="str">
        <f>IFERROR(__xludf.DUMMYFUNCTION("""COMPUTED_VALUE"""),"Tonga-Oceania")</f>
        <v>Tonga-Oceania</v>
      </c>
      <c r="N2453" s="14" t="str">
        <f>IFERROR(__xludf.DUMMYFUNCTION("""COMPUTED_VALUE"""),"2007")</f>
        <v>2007</v>
      </c>
      <c r="O2453" s="14">
        <f>IFERROR(__xludf.DUMMYFUNCTION("""COMPUTED_VALUE"""),1.92E7)</f>
        <v>19200000</v>
      </c>
      <c r="P2453" s="15">
        <f>IFERROR(__xludf.DUMMYFUNCTION("ARRAYFORMULA(VLOOKUP(A2453,IMPORTRANGE(""https://docs.google.com/spreadsheets/d/1BuTWp7qHGjWhqrnf-OmePP568O4A5Am9ttzvVdP67zw/edit#gid=771602874"" ,""HUMAN RESOURCES!$A$2:$M$2692""), {2,3,4,5,6,7,8,9,10,11,12,13},0))"),0.028)</f>
        <v>0.028</v>
      </c>
      <c r="Q2453" s="14">
        <f>IFERROR(__xludf.DUMMYFUNCTION("""COMPUTED_VALUE"""),0.013)</f>
        <v>0.013</v>
      </c>
      <c r="R2453" s="14">
        <f>IFERROR(__xludf.DUMMYFUNCTION("""COMPUTED_VALUE"""),75.0)</f>
        <v>75</v>
      </c>
      <c r="S2453" s="14">
        <f>IFERROR(__xludf.DUMMYFUNCTION("""COMPUTED_VALUE"""),69.0)</f>
        <v>69</v>
      </c>
      <c r="T2453" s="14">
        <f>IFERROR(__xludf.DUMMYFUNCTION("""COMPUTED_VALUE"""),0.379)</f>
        <v>0.379</v>
      </c>
      <c r="U2453" s="14">
        <f>IFERROR(__xludf.DUMMYFUNCTION("""COMPUTED_VALUE"""),0.561)</f>
        <v>0.561</v>
      </c>
      <c r="V2453" s="14">
        <f>IFERROR(__xludf.DUMMYFUNCTION("""COMPUTED_VALUE"""),0.06)</f>
        <v>0.06</v>
      </c>
      <c r="W2453" s="14">
        <f>IFERROR(__xludf.DUMMYFUNCTION("""COMPUTED_VALUE"""),102289.0)</f>
        <v>102289</v>
      </c>
      <c r="X2453" s="14">
        <f>IFERROR(__xludf.DUMMYFUNCTION("""COMPUTED_VALUE"""),0.232)</f>
        <v>0.232</v>
      </c>
      <c r="Y2453" s="14" t="str">
        <f>IFERROR(__xludf.DUMMYFUNCTION("""COMPUTED_VALUE"""),"Tonga-Oceania")</f>
        <v>Tonga-Oceania</v>
      </c>
      <c r="Z2453" s="14" t="str">
        <f>IFERROR(__xludf.DUMMYFUNCTION("""COMPUTED_VALUE"""),"Oceania")</f>
        <v>Oceania</v>
      </c>
      <c r="AA2453" s="14" t="str">
        <f>IFERROR(__xludf.DUMMYFUNCTION("""COMPUTED_VALUE"""),"2007")</f>
        <v>2007</v>
      </c>
      <c r="AB2453" s="15" t="str">
        <f>IFERROR(__xludf.DUMMYFUNCTION("ARRAYFORMULA(VLOOKUP(A2453,IMPORTRANGE(""https://docs.google.com/spreadsheets/d/1BuTWp7qHGjWhqrnf-OmePP568O4A5Am9ttzvVdP67zw/edit#gid=1931367683"" ,""ENERGY!$A$2:$F$2692""), {2,3,4,5,6},0))"),"Oceania")</f>
        <v>Oceania</v>
      </c>
      <c r="AC2453" s="14" t="str">
        <f>IFERROR(__xludf.DUMMYFUNCTION("""COMPUTED_VALUE"""),"Tonga-Oceania")</f>
        <v>Tonga-Oceania</v>
      </c>
      <c r="AD2453" s="14" t="str">
        <f>IFERROR(__xludf.DUMMYFUNCTION("""COMPUTED_VALUE"""),"2011")</f>
        <v>2011</v>
      </c>
      <c r="AE2453" s="14">
        <f>IFERROR(__xludf.DUMMYFUNCTION("""COMPUTED_VALUE"""),57.0)</f>
        <v>57</v>
      </c>
      <c r="AF2453" s="14">
        <f>IFERROR(__xludf.DUMMYFUNCTION("""COMPUTED_VALUE"""),158.0)</f>
        <v>158</v>
      </c>
    </row>
    <row r="2454">
      <c r="A2454" s="12">
        <v>2453.0</v>
      </c>
      <c r="B2454" s="12" t="s">
        <v>267</v>
      </c>
      <c r="C2454" s="5" t="s">
        <v>80</v>
      </c>
      <c r="D2454" s="11">
        <v>0.275</v>
      </c>
      <c r="E2454" s="11">
        <v>25.0</v>
      </c>
      <c r="F2454" s="8"/>
      <c r="G2454" s="11">
        <v>164.0</v>
      </c>
      <c r="H2454" s="11">
        <v>0.081</v>
      </c>
      <c r="I2454" s="11">
        <v>0.49</v>
      </c>
      <c r="J2454" s="9" t="s">
        <v>69</v>
      </c>
      <c r="K2454" s="14" t="str">
        <f>IFERROR(__xludf.DUMMYFUNCTION("ARRAYFORMULA(VLOOKUP(A2454,IMPORTRANGE(""https://docs.google.com/spreadsheets/d/1BuTWp7qHGjWhqrnf-OmePP568O4A5Am9ttzvVdP67zw/edit#gid=1603210130"", ""TOURISM!$A$2:$F$2692""), {2,3,4,5,6},0))"),"Oceania")</f>
        <v>Oceania</v>
      </c>
      <c r="L2454" s="14">
        <f>IFERROR(__xludf.DUMMYFUNCTION("""COMPUTED_VALUE"""),1.95E7)</f>
        <v>19500000</v>
      </c>
      <c r="M2454" s="14" t="str">
        <f>IFERROR(__xludf.DUMMYFUNCTION("""COMPUTED_VALUE"""),"Tonga-Oceania")</f>
        <v>Tonga-Oceania</v>
      </c>
      <c r="N2454" s="14" t="str">
        <f>IFERROR(__xludf.DUMMYFUNCTION("""COMPUTED_VALUE"""),"2008")</f>
        <v>2008</v>
      </c>
      <c r="O2454" s="14">
        <f>IFERROR(__xludf.DUMMYFUNCTION("""COMPUTED_VALUE"""),2.51E7)</f>
        <v>25100000</v>
      </c>
      <c r="P2454" s="15">
        <f>IFERROR(__xludf.DUMMYFUNCTION("ARRAYFORMULA(VLOOKUP(A2454,IMPORTRANGE(""https://docs.google.com/spreadsheets/d/1BuTWp7qHGjWhqrnf-OmePP568O4A5Am9ttzvVdP67zw/edit#gid=771602874"" ,""HUMAN RESOURCES!$A$2:$M$2692""), {2,3,4,5,6,7,8,9,10,11,12,13},0))"),0.028)</f>
        <v>0.028</v>
      </c>
      <c r="Q2454" s="14">
        <f>IFERROR(__xludf.DUMMYFUNCTION("""COMPUTED_VALUE"""),0.012)</f>
        <v>0.012</v>
      </c>
      <c r="R2454" s="14">
        <f>IFERROR(__xludf.DUMMYFUNCTION("""COMPUTED_VALUE"""),75.0)</f>
        <v>75</v>
      </c>
      <c r="S2454" s="14">
        <f>IFERROR(__xludf.DUMMYFUNCTION("""COMPUTED_VALUE"""),69.0)</f>
        <v>69</v>
      </c>
      <c r="T2454" s="14">
        <f>IFERROR(__xludf.DUMMYFUNCTION("""COMPUTED_VALUE"""),0.377)</f>
        <v>0.377</v>
      </c>
      <c r="U2454" s="14">
        <f>IFERROR(__xludf.DUMMYFUNCTION("""COMPUTED_VALUE"""),0.563)</f>
        <v>0.563</v>
      </c>
      <c r="V2454" s="14">
        <f>IFERROR(__xludf.DUMMYFUNCTION("""COMPUTED_VALUE"""),0.059)</f>
        <v>0.059</v>
      </c>
      <c r="W2454" s="14">
        <f>IFERROR(__xludf.DUMMYFUNCTION("""COMPUTED_VALUE"""),102947.0)</f>
        <v>102947</v>
      </c>
      <c r="X2454" s="14">
        <f>IFERROR(__xludf.DUMMYFUNCTION("""COMPUTED_VALUE"""),0.233)</f>
        <v>0.233</v>
      </c>
      <c r="Y2454" s="14" t="str">
        <f>IFERROR(__xludf.DUMMYFUNCTION("""COMPUTED_VALUE"""),"Tonga-Oceania")</f>
        <v>Tonga-Oceania</v>
      </c>
      <c r="Z2454" s="14" t="str">
        <f>IFERROR(__xludf.DUMMYFUNCTION("""COMPUTED_VALUE"""),"Oceania")</f>
        <v>Oceania</v>
      </c>
      <c r="AA2454" s="14" t="str">
        <f>IFERROR(__xludf.DUMMYFUNCTION("""COMPUTED_VALUE"""),"2008")</f>
        <v>2008</v>
      </c>
      <c r="AB2454" s="15" t="str">
        <f>IFERROR(__xludf.DUMMYFUNCTION("ARRAYFORMULA(VLOOKUP(A2454,IMPORTRANGE(""https://docs.google.com/spreadsheets/d/1BuTWp7qHGjWhqrnf-OmePP568O4A5Am9ttzvVdP67zw/edit#gid=1931367683"" ,""ENERGY!$A$2:$F$2692""), {2,3,4,5,6},0))"),"Oceania")</f>
        <v>Oceania</v>
      </c>
      <c r="AC2454" s="14" t="str">
        <f>IFERROR(__xludf.DUMMYFUNCTION("""COMPUTED_VALUE"""),"Tonga-Oceania")</f>
        <v>Tonga-Oceania</v>
      </c>
      <c r="AD2454" s="14" t="str">
        <f>IFERROR(__xludf.DUMMYFUNCTION("""COMPUTED_VALUE"""),"2008")</f>
        <v>2008</v>
      </c>
      <c r="AE2454" s="14">
        <f>IFERROR(__xludf.DUMMYFUNCTION("""COMPUTED_VALUE"""),57.0)</f>
        <v>57</v>
      </c>
      <c r="AF2454" s="14">
        <f>IFERROR(__xludf.DUMMYFUNCTION("""COMPUTED_VALUE"""),172.0)</f>
        <v>172</v>
      </c>
    </row>
    <row r="2455">
      <c r="A2455" s="12">
        <v>2454.0</v>
      </c>
      <c r="B2455" s="12" t="s">
        <v>267</v>
      </c>
      <c r="C2455" s="5" t="s">
        <v>80</v>
      </c>
      <c r="D2455" s="11">
        <v>0.275</v>
      </c>
      <c r="E2455" s="11">
        <v>25.0</v>
      </c>
      <c r="F2455" s="8"/>
      <c r="G2455" s="11">
        <v>164.0</v>
      </c>
      <c r="H2455" s="11">
        <v>0.1</v>
      </c>
      <c r="I2455" s="11">
        <v>0.512</v>
      </c>
      <c r="J2455" s="9" t="s">
        <v>70</v>
      </c>
      <c r="K2455" s="14" t="str">
        <f>IFERROR(__xludf.DUMMYFUNCTION("ARRAYFORMULA(VLOOKUP(A2455,IMPORTRANGE(""https://docs.google.com/spreadsheets/d/1BuTWp7qHGjWhqrnf-OmePP568O4A5Am9ttzvVdP67zw/edit#gid=1603210130"", ""TOURISM!$A$2:$F$2692""), {2,3,4,5,6},0))"),"Oceania")</f>
        <v>Oceania</v>
      </c>
      <c r="L2455" s="14">
        <f>IFERROR(__xludf.DUMMYFUNCTION("""COMPUTED_VALUE"""),1.68E7)</f>
        <v>16800000</v>
      </c>
      <c r="M2455" s="14" t="str">
        <f>IFERROR(__xludf.DUMMYFUNCTION("""COMPUTED_VALUE"""),"Tonga-Oceania")</f>
        <v>Tonga-Oceania</v>
      </c>
      <c r="N2455" s="14" t="str">
        <f>IFERROR(__xludf.DUMMYFUNCTION("""COMPUTED_VALUE"""),"2009")</f>
        <v>2009</v>
      </c>
      <c r="O2455" s="14">
        <f>IFERROR(__xludf.DUMMYFUNCTION("""COMPUTED_VALUE"""),1.91E7)</f>
        <v>19100000</v>
      </c>
      <c r="P2455" s="15">
        <f>IFERROR(__xludf.DUMMYFUNCTION("ARRAYFORMULA(VLOOKUP(A2455,IMPORTRANGE(""https://docs.google.com/spreadsheets/d/1BuTWp7qHGjWhqrnf-OmePP568O4A5Am9ttzvVdP67zw/edit#gid=771602874"" ,""HUMAN RESOURCES!$A$2:$M$2692""), {2,3,4,5,6,7,8,9,10,11,12,13},0))"),0.028)</f>
        <v>0.028</v>
      </c>
      <c r="Q2455" s="14">
        <f>IFERROR(__xludf.DUMMYFUNCTION("""COMPUTED_VALUE"""),0.012)</f>
        <v>0.012</v>
      </c>
      <c r="R2455" s="14">
        <f>IFERROR(__xludf.DUMMYFUNCTION("""COMPUTED_VALUE"""),75.0)</f>
        <v>75</v>
      </c>
      <c r="S2455" s="14">
        <f>IFERROR(__xludf.DUMMYFUNCTION("""COMPUTED_VALUE"""),69.0)</f>
        <v>69</v>
      </c>
      <c r="T2455" s="14">
        <f>IFERROR(__xludf.DUMMYFUNCTION("""COMPUTED_VALUE"""),0.376)</f>
        <v>0.376</v>
      </c>
      <c r="U2455" s="14">
        <f>IFERROR(__xludf.DUMMYFUNCTION("""COMPUTED_VALUE"""),0.565)</f>
        <v>0.565</v>
      </c>
      <c r="V2455" s="14">
        <f>IFERROR(__xludf.DUMMYFUNCTION("""COMPUTED_VALUE"""),0.059)</f>
        <v>0.059</v>
      </c>
      <c r="W2455" s="14">
        <f>IFERROR(__xludf.DUMMYFUNCTION("""COMPUTED_VALUE"""),103557.0)</f>
        <v>103557</v>
      </c>
      <c r="X2455" s="14">
        <f>IFERROR(__xludf.DUMMYFUNCTION("""COMPUTED_VALUE"""),0.233)</f>
        <v>0.233</v>
      </c>
      <c r="Y2455" s="14" t="str">
        <f>IFERROR(__xludf.DUMMYFUNCTION("""COMPUTED_VALUE"""),"Tonga-Oceania")</f>
        <v>Tonga-Oceania</v>
      </c>
      <c r="Z2455" s="14" t="str">
        <f>IFERROR(__xludf.DUMMYFUNCTION("""COMPUTED_VALUE"""),"Oceania")</f>
        <v>Oceania</v>
      </c>
      <c r="AA2455" s="14" t="str">
        <f>IFERROR(__xludf.DUMMYFUNCTION("""COMPUTED_VALUE"""),"2009")</f>
        <v>2009</v>
      </c>
      <c r="AB2455" s="15" t="str">
        <f>IFERROR(__xludf.DUMMYFUNCTION("ARRAYFORMULA(VLOOKUP(A2455,IMPORTRANGE(""https://docs.google.com/spreadsheets/d/1BuTWp7qHGjWhqrnf-OmePP568O4A5Am9ttzvVdP67zw/edit#gid=1931367683"" ,""ENERGY!$A$2:$F$2692""), {2,3,4,5,6},0))"),"Oceania")</f>
        <v>Oceania</v>
      </c>
      <c r="AC2455" s="14" t="str">
        <f>IFERROR(__xludf.DUMMYFUNCTION("""COMPUTED_VALUE"""),"Tonga-Oceania")</f>
        <v>Tonga-Oceania</v>
      </c>
      <c r="AD2455" s="14" t="str">
        <f>IFERROR(__xludf.DUMMYFUNCTION("""COMPUTED_VALUE"""),"2012")</f>
        <v>2012</v>
      </c>
      <c r="AE2455" s="14"/>
      <c r="AF2455" s="14">
        <f>IFERROR(__xludf.DUMMYFUNCTION("""COMPUTED_VALUE"""),176.0)</f>
        <v>176</v>
      </c>
    </row>
    <row r="2456">
      <c r="A2456" s="12">
        <v>2455.0</v>
      </c>
      <c r="B2456" s="12" t="s">
        <v>267</v>
      </c>
      <c r="C2456" s="5" t="s">
        <v>80</v>
      </c>
      <c r="D2456" s="11">
        <v>0.254</v>
      </c>
      <c r="E2456" s="11">
        <v>25.0</v>
      </c>
      <c r="F2456" s="8"/>
      <c r="G2456" s="11">
        <v>164.0</v>
      </c>
      <c r="H2456" s="11">
        <v>0.16</v>
      </c>
      <c r="I2456" s="11">
        <v>0.522</v>
      </c>
      <c r="J2456" s="9" t="s">
        <v>71</v>
      </c>
      <c r="K2456" s="14" t="str">
        <f>IFERROR(__xludf.DUMMYFUNCTION("ARRAYFORMULA(VLOOKUP(A2456,IMPORTRANGE(""https://docs.google.com/spreadsheets/d/1BuTWp7qHGjWhqrnf-OmePP568O4A5Am9ttzvVdP67zw/edit#gid=1603210130"", ""TOURISM!$A$2:$F$2692""), {2,3,4,5,6},0))"),"Oceania")</f>
        <v>Oceania</v>
      </c>
      <c r="L2456" s="14"/>
      <c r="M2456" s="14" t="str">
        <f>IFERROR(__xludf.DUMMYFUNCTION("""COMPUTED_VALUE"""),"Tonga-Oceania")</f>
        <v>Tonga-Oceania</v>
      </c>
      <c r="N2456" s="14" t="str">
        <f>IFERROR(__xludf.DUMMYFUNCTION("""COMPUTED_VALUE"""),"2010")</f>
        <v>2010</v>
      </c>
      <c r="O2456" s="14"/>
      <c r="P2456" s="15">
        <f>IFERROR(__xludf.DUMMYFUNCTION("ARRAYFORMULA(VLOOKUP(A2456,IMPORTRANGE(""https://docs.google.com/spreadsheets/d/1BuTWp7qHGjWhqrnf-OmePP568O4A5Am9ttzvVdP67zw/edit#gid=771602874"" ,""HUMAN RESOURCES!$A$2:$M$2692""), {2,3,4,5,6,7,8,9,10,11,12,13},0))"),0.027)</f>
        <v>0.027</v>
      </c>
      <c r="Q2456" s="14">
        <f>IFERROR(__xludf.DUMMYFUNCTION("""COMPUTED_VALUE"""),0.012)</f>
        <v>0.012</v>
      </c>
      <c r="R2456" s="14">
        <f>IFERROR(__xludf.DUMMYFUNCTION("""COMPUTED_VALUE"""),75.0)</f>
        <v>75</v>
      </c>
      <c r="S2456" s="14">
        <f>IFERROR(__xludf.DUMMYFUNCTION("""COMPUTED_VALUE"""),69.0)</f>
        <v>69</v>
      </c>
      <c r="T2456" s="14">
        <f>IFERROR(__xludf.DUMMYFUNCTION("""COMPUTED_VALUE"""),0.375)</f>
        <v>0.375</v>
      </c>
      <c r="U2456" s="14">
        <f>IFERROR(__xludf.DUMMYFUNCTION("""COMPUTED_VALUE"""),0.567)</f>
        <v>0.567</v>
      </c>
      <c r="V2456" s="14">
        <f>IFERROR(__xludf.DUMMYFUNCTION("""COMPUTED_VALUE"""),0.059)</f>
        <v>0.059</v>
      </c>
      <c r="W2456" s="14">
        <f>IFERROR(__xludf.DUMMYFUNCTION("""COMPUTED_VALUE"""),104098.0)</f>
        <v>104098</v>
      </c>
      <c r="X2456" s="14">
        <f>IFERROR(__xludf.DUMMYFUNCTION("""COMPUTED_VALUE"""),0.234)</f>
        <v>0.234</v>
      </c>
      <c r="Y2456" s="14" t="str">
        <f>IFERROR(__xludf.DUMMYFUNCTION("""COMPUTED_VALUE"""),"Tonga-Oceania")</f>
        <v>Tonga-Oceania</v>
      </c>
      <c r="Z2456" s="14" t="str">
        <f>IFERROR(__xludf.DUMMYFUNCTION("""COMPUTED_VALUE"""),"Oceania")</f>
        <v>Oceania</v>
      </c>
      <c r="AA2456" s="14" t="str">
        <f>IFERROR(__xludf.DUMMYFUNCTION("""COMPUTED_VALUE"""),"2010")</f>
        <v>2010</v>
      </c>
      <c r="AB2456" s="15" t="str">
        <f>IFERROR(__xludf.DUMMYFUNCTION("ARRAYFORMULA(VLOOKUP(A2456,IMPORTRANGE(""https://docs.google.com/spreadsheets/d/1BuTWp7qHGjWhqrnf-OmePP568O4A5Am9ttzvVdP67zw/edit#gid=1931367683"" ,""ENERGY!$A$2:$F$2692""), {2,3,4,5,6},0))"),"Oceania")</f>
        <v>Oceania</v>
      </c>
      <c r="AC2456" s="14" t="str">
        <f>IFERROR(__xludf.DUMMYFUNCTION("""COMPUTED_VALUE"""),"Tonga-Oceania")</f>
        <v>Tonga-Oceania</v>
      </c>
      <c r="AD2456" s="14" t="str">
        <f>IFERROR(__xludf.DUMMYFUNCTION("""COMPUTED_VALUE"""),"2009")</f>
        <v>2009</v>
      </c>
      <c r="AE2456" s="14"/>
      <c r="AF2456" s="14">
        <f>IFERROR(__xludf.DUMMYFUNCTION("""COMPUTED_VALUE"""),147.0)</f>
        <v>147</v>
      </c>
    </row>
    <row r="2457">
      <c r="A2457" s="12">
        <v>2456.0</v>
      </c>
      <c r="B2457" s="12" t="s">
        <v>267</v>
      </c>
      <c r="C2457" s="5" t="s">
        <v>80</v>
      </c>
      <c r="D2457" s="11">
        <v>0.254</v>
      </c>
      <c r="E2457" s="11">
        <v>16.0</v>
      </c>
      <c r="F2457" s="8"/>
      <c r="G2457" s="11">
        <v>164.0</v>
      </c>
      <c r="H2457" s="11">
        <v>0.25</v>
      </c>
      <c r="I2457" s="11">
        <v>0.526</v>
      </c>
      <c r="J2457" s="9" t="s">
        <v>72</v>
      </c>
      <c r="K2457" s="14" t="str">
        <f>IFERROR(__xludf.DUMMYFUNCTION("ARRAYFORMULA(VLOOKUP(A2457,IMPORTRANGE(""https://docs.google.com/spreadsheets/d/1BuTWp7qHGjWhqrnf-OmePP568O4A5Am9ttzvVdP67zw/edit#gid=1603210130"", ""TOURISM!$A$2:$F$2692""), {2,3,4,5,6},0))"),"Oceania")</f>
        <v>Oceania</v>
      </c>
      <c r="L2457" s="14"/>
      <c r="M2457" s="14" t="str">
        <f>IFERROR(__xludf.DUMMYFUNCTION("""COMPUTED_VALUE"""),"Tonga-Oceania")</f>
        <v>Tonga-Oceania</v>
      </c>
      <c r="N2457" s="14" t="str">
        <f>IFERROR(__xludf.DUMMYFUNCTION("""COMPUTED_VALUE"""),"2011")</f>
        <v>2011</v>
      </c>
      <c r="O2457" s="14"/>
      <c r="P2457" s="15">
        <f>IFERROR(__xludf.DUMMYFUNCTION("ARRAYFORMULA(VLOOKUP(A2457,IMPORTRANGE(""https://docs.google.com/spreadsheets/d/1BuTWp7qHGjWhqrnf-OmePP568O4A5Am9ttzvVdP67zw/edit#gid=771602874"" ,""HUMAN RESOURCES!$A$2:$M$2692""), {2,3,4,5,6,7,8,9,10,11,12,13},0))"),0.027)</f>
        <v>0.027</v>
      </c>
      <c r="Q2457" s="14">
        <f>IFERROR(__xludf.DUMMYFUNCTION("""COMPUTED_VALUE"""),0.011)</f>
        <v>0.011</v>
      </c>
      <c r="R2457" s="14">
        <f>IFERROR(__xludf.DUMMYFUNCTION("""COMPUTED_VALUE"""),75.0)</f>
        <v>75</v>
      </c>
      <c r="S2457" s="14">
        <f>IFERROR(__xludf.DUMMYFUNCTION("""COMPUTED_VALUE"""),69.0)</f>
        <v>69</v>
      </c>
      <c r="T2457" s="14">
        <f>IFERROR(__xludf.DUMMYFUNCTION("""COMPUTED_VALUE"""),0.374)</f>
        <v>0.374</v>
      </c>
      <c r="U2457" s="14">
        <f>IFERROR(__xludf.DUMMYFUNCTION("""COMPUTED_VALUE"""),0.568)</f>
        <v>0.568</v>
      </c>
      <c r="V2457" s="14">
        <f>IFERROR(__xludf.DUMMYFUNCTION("""COMPUTED_VALUE"""),0.058)</f>
        <v>0.058</v>
      </c>
      <c r="W2457" s="14">
        <f>IFERROR(__xludf.DUMMYFUNCTION("""COMPUTED_VALUE"""),104554.0)</f>
        <v>104554</v>
      </c>
      <c r="X2457" s="14">
        <f>IFERROR(__xludf.DUMMYFUNCTION("""COMPUTED_VALUE"""),0.234)</f>
        <v>0.234</v>
      </c>
      <c r="Y2457" s="14" t="str">
        <f>IFERROR(__xludf.DUMMYFUNCTION("""COMPUTED_VALUE"""),"Tonga-Oceania")</f>
        <v>Tonga-Oceania</v>
      </c>
      <c r="Z2457" s="14" t="str">
        <f>IFERROR(__xludf.DUMMYFUNCTION("""COMPUTED_VALUE"""),"Oceania")</f>
        <v>Oceania</v>
      </c>
      <c r="AA2457" s="14" t="str">
        <f>IFERROR(__xludf.DUMMYFUNCTION("""COMPUTED_VALUE"""),"2011")</f>
        <v>2011</v>
      </c>
      <c r="AB2457" s="15" t="str">
        <f>IFERROR(__xludf.DUMMYFUNCTION("ARRAYFORMULA(VLOOKUP(A2457,IMPORTRANGE(""https://docs.google.com/spreadsheets/d/1BuTWp7qHGjWhqrnf-OmePP568O4A5Am9ttzvVdP67zw/edit#gid=1931367683"" ,""ENERGY!$A$2:$F$2692""), {2,3,4,5,6},0))"),"Oceania")</f>
        <v>Oceania</v>
      </c>
      <c r="AC2457" s="14" t="str">
        <f>IFERROR(__xludf.DUMMYFUNCTION("""COMPUTED_VALUE"""),"Tonga-Oceania")</f>
        <v>Tonga-Oceania</v>
      </c>
      <c r="AD2457" s="14" t="str">
        <f>IFERROR(__xludf.DUMMYFUNCTION("""COMPUTED_VALUE"""),"2007")</f>
        <v>2007</v>
      </c>
      <c r="AE2457" s="14"/>
      <c r="AF2457" s="14">
        <f>IFERROR(__xludf.DUMMYFUNCTION("""COMPUTED_VALUE"""),143.0)</f>
        <v>143</v>
      </c>
    </row>
    <row r="2458">
      <c r="A2458" s="12">
        <v>2457.0</v>
      </c>
      <c r="B2458" s="12" t="s">
        <v>267</v>
      </c>
      <c r="C2458" s="5" t="s">
        <v>80</v>
      </c>
      <c r="D2458" s="11">
        <v>0.254</v>
      </c>
      <c r="E2458" s="11">
        <v>16.0</v>
      </c>
      <c r="F2458" s="11">
        <v>60.0</v>
      </c>
      <c r="G2458" s="11">
        <v>164.0</v>
      </c>
      <c r="H2458" s="11">
        <v>0.349</v>
      </c>
      <c r="I2458" s="11">
        <v>0.534</v>
      </c>
      <c r="J2458" s="9" t="s">
        <v>73</v>
      </c>
      <c r="K2458" s="14" t="str">
        <f>IFERROR(__xludf.DUMMYFUNCTION("ARRAYFORMULA(VLOOKUP(A2458,IMPORTRANGE(""https://docs.google.com/spreadsheets/d/1BuTWp7qHGjWhqrnf-OmePP568O4A5Am9ttzvVdP67zw/edit#gid=1603210130"", ""TOURISM!$A$2:$F$2692""), {2,3,4,5,6},0))"),"Oceania")</f>
        <v>Oceania</v>
      </c>
      <c r="L2458" s="14"/>
      <c r="M2458" s="14" t="str">
        <f>IFERROR(__xludf.DUMMYFUNCTION("""COMPUTED_VALUE"""),"Tonga-Oceania")</f>
        <v>Tonga-Oceania</v>
      </c>
      <c r="N2458" s="14" t="str">
        <f>IFERROR(__xludf.DUMMYFUNCTION("""COMPUTED_VALUE"""),"2012")</f>
        <v>2012</v>
      </c>
      <c r="O2458" s="14"/>
      <c r="P2458" s="15">
        <f>IFERROR(__xludf.DUMMYFUNCTION("ARRAYFORMULA(VLOOKUP(A2458,IMPORTRANGE(""https://docs.google.com/spreadsheets/d/1BuTWp7qHGjWhqrnf-OmePP568O4A5Am9ttzvVdP67zw/edit#gid=771602874"" ,""HUMAN RESOURCES!$A$2:$M$2692""), {2,3,4,5,6,7,8,9,10,11,12,13},0))"),0.026)</f>
        <v>0.026</v>
      </c>
      <c r="Q2458" s="14">
        <f>IFERROR(__xludf.DUMMYFUNCTION("""COMPUTED_VALUE"""),0.011)</f>
        <v>0.011</v>
      </c>
      <c r="R2458" s="14">
        <f>IFERROR(__xludf.DUMMYFUNCTION("""COMPUTED_VALUE"""),75.0)</f>
        <v>75</v>
      </c>
      <c r="S2458" s="14">
        <f>IFERROR(__xludf.DUMMYFUNCTION("""COMPUTED_VALUE"""),70.0)</f>
        <v>70</v>
      </c>
      <c r="T2458" s="14">
        <f>IFERROR(__xludf.DUMMYFUNCTION("""COMPUTED_VALUE"""),0.373)</f>
        <v>0.373</v>
      </c>
      <c r="U2458" s="14">
        <f>IFERROR(__xludf.DUMMYFUNCTION("""COMPUTED_VALUE"""),0.568)</f>
        <v>0.568</v>
      </c>
      <c r="V2458" s="14">
        <f>IFERROR(__xludf.DUMMYFUNCTION("""COMPUTED_VALUE"""),0.058)</f>
        <v>0.058</v>
      </c>
      <c r="W2458" s="14">
        <f>IFERROR(__xludf.DUMMYFUNCTION("""COMPUTED_VALUE"""),104941.0)</f>
        <v>104941</v>
      </c>
      <c r="X2458" s="14">
        <f>IFERROR(__xludf.DUMMYFUNCTION("""COMPUTED_VALUE"""),0.235)</f>
        <v>0.235</v>
      </c>
      <c r="Y2458" s="14" t="str">
        <f>IFERROR(__xludf.DUMMYFUNCTION("""COMPUTED_VALUE"""),"Tonga-Oceania")</f>
        <v>Tonga-Oceania</v>
      </c>
      <c r="Z2458" s="14" t="str">
        <f>IFERROR(__xludf.DUMMYFUNCTION("""COMPUTED_VALUE"""),"Oceania")</f>
        <v>Oceania</v>
      </c>
      <c r="AA2458" s="14" t="str">
        <f>IFERROR(__xludf.DUMMYFUNCTION("""COMPUTED_VALUE"""),"2012")</f>
        <v>2012</v>
      </c>
      <c r="AB2458" s="15" t="str">
        <f>IFERROR(__xludf.DUMMYFUNCTION("ARRAYFORMULA(VLOOKUP(A2458,IMPORTRANGE(""https://docs.google.com/spreadsheets/d/1BuTWp7qHGjWhqrnf-OmePP568O4A5Am9ttzvVdP67zw/edit#gid=1931367683"" ,""ENERGY!$A$2:$F$2692""), {2,3,4,5,6},0))"),"Oceania")</f>
        <v>Oceania</v>
      </c>
      <c r="AC2458" s="14" t="str">
        <f>IFERROR(__xludf.DUMMYFUNCTION("""COMPUTED_VALUE"""),"Tonga-Oceania")</f>
        <v>Tonga-Oceania</v>
      </c>
      <c r="AD2458" s="14" t="str">
        <f>IFERROR(__xludf.DUMMYFUNCTION("""COMPUTED_VALUE"""),"2012")</f>
        <v>2012</v>
      </c>
      <c r="AE2458" s="14"/>
      <c r="AF2458" s="14">
        <f>IFERROR(__xludf.DUMMYFUNCTION("""COMPUTED_VALUE"""),121.0)</f>
        <v>121</v>
      </c>
    </row>
    <row r="2459">
      <c r="A2459" s="12">
        <v>2458.0</v>
      </c>
      <c r="B2459" s="12" t="s">
        <v>268</v>
      </c>
      <c r="C2459" s="5" t="s">
        <v>84</v>
      </c>
      <c r="D2459" s="8"/>
      <c r="E2459" s="8"/>
      <c r="F2459" s="8"/>
      <c r="G2459" s="8"/>
      <c r="H2459" s="11">
        <v>0.077</v>
      </c>
      <c r="I2459" s="11">
        <v>0.128</v>
      </c>
      <c r="J2459" s="9" t="s">
        <v>60</v>
      </c>
      <c r="K2459" s="14" t="str">
        <f>IFERROR(__xludf.DUMMYFUNCTION("ARRAYFORMULA(VLOOKUP(A2459,IMPORTRANGE(""https://docs.google.com/spreadsheets/d/1BuTWp7qHGjWhqrnf-OmePP568O4A5Am9ttzvVdP67zw/edit#gid=1603210130"", ""TOURISM!$A$2:$F$2692""), {2,3,4,5,6},0))"),"The Americas")</f>
        <v>The Americas</v>
      </c>
      <c r="L2459" s="14">
        <f>IFERROR(__xludf.DUMMYFUNCTION("""COMPUTED_VALUE"""),3.71E8)</f>
        <v>371000000</v>
      </c>
      <c r="M2459" s="14" t="str">
        <f>IFERROR(__xludf.DUMMYFUNCTION("""COMPUTED_VALUE"""),"Trinidad and Tobago-The Americas")</f>
        <v>Trinidad and Tobago-The Americas</v>
      </c>
      <c r="N2459" s="14" t="str">
        <f>IFERROR(__xludf.DUMMYFUNCTION("""COMPUTED_VALUE"""),"2000")</f>
        <v>2000</v>
      </c>
      <c r="O2459" s="14">
        <f>IFERROR(__xludf.DUMMYFUNCTION("""COMPUTED_VALUE"""),1.9E8)</f>
        <v>190000000</v>
      </c>
      <c r="P2459" s="15">
        <f>IFERROR(__xludf.DUMMYFUNCTION("ARRAYFORMULA(VLOOKUP(A2459,IMPORTRANGE(""https://docs.google.com/spreadsheets/d/1BuTWp7qHGjWhqrnf-OmePP568O4A5Am9ttzvVdP67zw/edit#gid=771602874"" ,""HUMAN RESOURCES!$A$2:$M$2692""), {2,3,4,5,6,7,8,9,10,11,12,13},0))"),0.015)</f>
        <v>0.015</v>
      </c>
      <c r="Q2459" s="14">
        <f>IFERROR(__xludf.DUMMYFUNCTION("""COMPUTED_VALUE"""),0.025)</f>
        <v>0.025</v>
      </c>
      <c r="R2459" s="14">
        <f>IFERROR(__xludf.DUMMYFUNCTION("""COMPUTED_VALUE"""),72.0)</f>
        <v>72</v>
      </c>
      <c r="S2459" s="14">
        <f>IFERROR(__xludf.DUMMYFUNCTION("""COMPUTED_VALUE"""),65.0)</f>
        <v>65</v>
      </c>
      <c r="T2459" s="14">
        <f>IFERROR(__xludf.DUMMYFUNCTION("""COMPUTED_VALUE"""),0.256)</f>
        <v>0.256</v>
      </c>
      <c r="U2459" s="14">
        <f>IFERROR(__xludf.DUMMYFUNCTION("""COMPUTED_VALUE"""),0.679)</f>
        <v>0.679</v>
      </c>
      <c r="V2459" s="14">
        <f>IFERROR(__xludf.DUMMYFUNCTION("""COMPUTED_VALUE"""),0.065)</f>
        <v>0.065</v>
      </c>
      <c r="W2459" s="14">
        <f>IFERROR(__xludf.DUMMYFUNCTION("""COMPUTED_VALUE"""),1267980.0)</f>
        <v>1267980</v>
      </c>
      <c r="X2459" s="14">
        <f>IFERROR(__xludf.DUMMYFUNCTION("""COMPUTED_VALUE"""),0.108)</f>
        <v>0.108</v>
      </c>
      <c r="Y2459" s="14" t="str">
        <f>IFERROR(__xludf.DUMMYFUNCTION("""COMPUTED_VALUE"""),"Trinidad and Tobago-The Americas")</f>
        <v>Trinidad and Tobago-The Americas</v>
      </c>
      <c r="Z2459" s="14" t="str">
        <f>IFERROR(__xludf.DUMMYFUNCTION("""COMPUTED_VALUE"""),"The Americas")</f>
        <v>The Americas</v>
      </c>
      <c r="AA2459" s="14" t="str">
        <f>IFERROR(__xludf.DUMMYFUNCTION("""COMPUTED_VALUE"""),"2000")</f>
        <v>2000</v>
      </c>
      <c r="AB2459" s="15" t="str">
        <f>IFERROR(__xludf.DUMMYFUNCTION("ARRAYFORMULA(VLOOKUP(A2459,IMPORTRANGE(""https://docs.google.com/spreadsheets/d/1BuTWp7qHGjWhqrnf-OmePP568O4A5Am9ttzvVdP67zw/edit#gid=1931367683"" ,""ENERGY!$A$2:$F$2692""), {2,3,4,5,6},0))"),"The Americas")</f>
        <v>The Americas</v>
      </c>
      <c r="AC2459" s="14" t="str">
        <f>IFERROR(__xludf.DUMMYFUNCTION("""COMPUTED_VALUE"""),"Trinidad and Tobago-The Americas")</f>
        <v>Trinidad and Tobago-The Americas</v>
      </c>
      <c r="AD2459" s="14" t="str">
        <f>IFERROR(__xludf.DUMMYFUNCTION("""COMPUTED_VALUE"""),"2000")</f>
        <v>2000</v>
      </c>
      <c r="AE2459" s="14"/>
      <c r="AF2459" s="14"/>
    </row>
    <row r="2460">
      <c r="A2460" s="12">
        <v>2459.0</v>
      </c>
      <c r="B2460" s="12" t="s">
        <v>268</v>
      </c>
      <c r="C2460" s="5" t="s">
        <v>84</v>
      </c>
      <c r="D2460" s="8"/>
      <c r="E2460" s="8"/>
      <c r="F2460" s="8"/>
      <c r="G2460" s="8"/>
      <c r="H2460" s="11">
        <v>0.154</v>
      </c>
      <c r="I2460" s="11">
        <v>0.201</v>
      </c>
      <c r="J2460" s="9" t="s">
        <v>62</v>
      </c>
      <c r="K2460" s="14" t="str">
        <f>IFERROR(__xludf.DUMMYFUNCTION("ARRAYFORMULA(VLOOKUP(A2460,IMPORTRANGE(""https://docs.google.com/spreadsheets/d/1BuTWp7qHGjWhqrnf-OmePP568O4A5Am9ttzvVdP67zw/edit#gid=1603210130"", ""TOURISM!$A$2:$F$2692""), {2,3,4,5,6},0))"),"The Americas")</f>
        <v>The Americas</v>
      </c>
      <c r="L2460" s="14">
        <f>IFERROR(__xludf.DUMMYFUNCTION("""COMPUTED_VALUE"""),3.61E8)</f>
        <v>361000000</v>
      </c>
      <c r="M2460" s="14" t="str">
        <f>IFERROR(__xludf.DUMMYFUNCTION("""COMPUTED_VALUE"""),"Trinidad and Tobago-The Americas")</f>
        <v>Trinidad and Tobago-The Americas</v>
      </c>
      <c r="N2460" s="14" t="str">
        <f>IFERROR(__xludf.DUMMYFUNCTION("""COMPUTED_VALUE"""),"2001")</f>
        <v>2001</v>
      </c>
      <c r="O2460" s="14">
        <f>IFERROR(__xludf.DUMMYFUNCTION("""COMPUTED_VALUE"""),1.72E8)</f>
        <v>172000000</v>
      </c>
      <c r="P2460" s="15">
        <f>IFERROR(__xludf.DUMMYFUNCTION("ARRAYFORMULA(VLOOKUP(A2460,IMPORTRANGE(""https://docs.google.com/spreadsheets/d/1BuTWp7qHGjWhqrnf-OmePP568O4A5Am9ttzvVdP67zw/edit#gid=771602874"" ,""HUMAN RESOURCES!$A$2:$M$2692""), {2,3,4,5,6,7,8,9,10,11,12,13},0))"),0.015)</f>
        <v>0.015</v>
      </c>
      <c r="Q2460" s="14">
        <f>IFERROR(__xludf.DUMMYFUNCTION("""COMPUTED_VALUE"""),0.025)</f>
        <v>0.025</v>
      </c>
      <c r="R2460" s="14">
        <f>IFERROR(__xludf.DUMMYFUNCTION("""COMPUTED_VALUE"""),72.0)</f>
        <v>72</v>
      </c>
      <c r="S2460" s="14">
        <f>IFERROR(__xludf.DUMMYFUNCTION("""COMPUTED_VALUE"""),65.0)</f>
        <v>65</v>
      </c>
      <c r="T2460" s="14">
        <f>IFERROR(__xludf.DUMMYFUNCTION("""COMPUTED_VALUE"""),0.246)</f>
        <v>0.246</v>
      </c>
      <c r="U2460" s="14">
        <f>IFERROR(__xludf.DUMMYFUNCTION("""COMPUTED_VALUE"""),0.687)</f>
        <v>0.687</v>
      </c>
      <c r="V2460" s="14">
        <f>IFERROR(__xludf.DUMMYFUNCTION("""COMPUTED_VALUE"""),0.067)</f>
        <v>0.067</v>
      </c>
      <c r="W2460" s="14">
        <f>IFERROR(__xludf.DUMMYFUNCTION("""COMPUTED_VALUE"""),1272347.0)</f>
        <v>1272347</v>
      </c>
      <c r="X2460" s="14">
        <f>IFERROR(__xludf.DUMMYFUNCTION("""COMPUTED_VALUE"""),0.106)</f>
        <v>0.106</v>
      </c>
      <c r="Y2460" s="14" t="str">
        <f>IFERROR(__xludf.DUMMYFUNCTION("""COMPUTED_VALUE"""),"Trinidad and Tobago-The Americas")</f>
        <v>Trinidad and Tobago-The Americas</v>
      </c>
      <c r="Z2460" s="14" t="str">
        <f>IFERROR(__xludf.DUMMYFUNCTION("""COMPUTED_VALUE"""),"The Americas")</f>
        <v>The Americas</v>
      </c>
      <c r="AA2460" s="14" t="str">
        <f>IFERROR(__xludf.DUMMYFUNCTION("""COMPUTED_VALUE"""),"2001")</f>
        <v>2001</v>
      </c>
      <c r="AB2460" s="15" t="str">
        <f>IFERROR(__xludf.DUMMYFUNCTION("ARRAYFORMULA(VLOOKUP(A2460,IMPORTRANGE(""https://docs.google.com/spreadsheets/d/1BuTWp7qHGjWhqrnf-OmePP568O4A5Am9ttzvVdP67zw/edit#gid=1931367683"" ,""ENERGY!$A$2:$F$2692""), {2,3,4,5,6},0))"),"The Americas")</f>
        <v>The Americas</v>
      </c>
      <c r="AC2460" s="14" t="str">
        <f>IFERROR(__xludf.DUMMYFUNCTION("""COMPUTED_VALUE"""),"Trinidad and Tobago-The Americas")</f>
        <v>Trinidad and Tobago-The Americas</v>
      </c>
      <c r="AD2460" s="14" t="str">
        <f>IFERROR(__xludf.DUMMYFUNCTION("""COMPUTED_VALUE"""),"2001")</f>
        <v>2001</v>
      </c>
      <c r="AE2460" s="14">
        <f>IFERROR(__xludf.DUMMYFUNCTION("""COMPUTED_VALUE"""),20918.0)</f>
        <v>20918</v>
      </c>
      <c r="AF2460" s="14"/>
    </row>
    <row r="2461">
      <c r="A2461" s="12">
        <v>2460.0</v>
      </c>
      <c r="B2461" s="12" t="s">
        <v>268</v>
      </c>
      <c r="C2461" s="5" t="s">
        <v>84</v>
      </c>
      <c r="D2461" s="8"/>
      <c r="E2461" s="8"/>
      <c r="F2461" s="8"/>
      <c r="G2461" s="8"/>
      <c r="H2461" s="11">
        <v>0.22</v>
      </c>
      <c r="I2461" s="11">
        <v>0.206</v>
      </c>
      <c r="J2461" s="9" t="s">
        <v>63</v>
      </c>
      <c r="K2461" s="14" t="str">
        <f>IFERROR(__xludf.DUMMYFUNCTION("ARRAYFORMULA(VLOOKUP(A2461,IMPORTRANGE(""https://docs.google.com/spreadsheets/d/1BuTWp7qHGjWhqrnf-OmePP568O4A5Am9ttzvVdP67zw/edit#gid=1603210130"", ""TOURISM!$A$2:$F$2692""), {2,3,4,5,6},0))"),"The Americas")</f>
        <v>The Americas</v>
      </c>
      <c r="L2461" s="14">
        <f>IFERROR(__xludf.DUMMYFUNCTION("""COMPUTED_VALUE"""),4.02E8)</f>
        <v>402000000</v>
      </c>
      <c r="M2461" s="14" t="str">
        <f>IFERROR(__xludf.DUMMYFUNCTION("""COMPUTED_VALUE"""),"Trinidad and Tobago-The Americas")</f>
        <v>Trinidad and Tobago-The Americas</v>
      </c>
      <c r="N2461" s="14" t="str">
        <f>IFERROR(__xludf.DUMMYFUNCTION("""COMPUTED_VALUE"""),"2002")</f>
        <v>2002</v>
      </c>
      <c r="O2461" s="14">
        <f>IFERROR(__xludf.DUMMYFUNCTION("""COMPUTED_VALUE"""),2.08E8)</f>
        <v>208000000</v>
      </c>
      <c r="P2461" s="15">
        <f>IFERROR(__xludf.DUMMYFUNCTION("ARRAYFORMULA(VLOOKUP(A2461,IMPORTRANGE(""https://docs.google.com/spreadsheets/d/1BuTWp7qHGjWhqrnf-OmePP568O4A5Am9ttzvVdP67zw/edit#gid=771602874"" ,""HUMAN RESOURCES!$A$2:$M$2692""), {2,3,4,5,6,7,8,9,10,11,12,13},0))"),0.015)</f>
        <v>0.015</v>
      </c>
      <c r="Q2461" s="14">
        <f>IFERROR(__xludf.DUMMYFUNCTION("""COMPUTED_VALUE"""),0.025)</f>
        <v>0.025</v>
      </c>
      <c r="R2461" s="14">
        <f>IFERROR(__xludf.DUMMYFUNCTION("""COMPUTED_VALUE"""),73.0)</f>
        <v>73</v>
      </c>
      <c r="S2461" s="14">
        <f>IFERROR(__xludf.DUMMYFUNCTION("""COMPUTED_VALUE"""),65.0)</f>
        <v>65</v>
      </c>
      <c r="T2461" s="14">
        <f>IFERROR(__xludf.DUMMYFUNCTION("""COMPUTED_VALUE"""),0.238)</f>
        <v>0.238</v>
      </c>
      <c r="U2461" s="14">
        <f>IFERROR(__xludf.DUMMYFUNCTION("""COMPUTED_VALUE"""),0.694)</f>
        <v>0.694</v>
      </c>
      <c r="V2461" s="14">
        <f>IFERROR(__xludf.DUMMYFUNCTION("""COMPUTED_VALUE"""),0.068)</f>
        <v>0.068</v>
      </c>
      <c r="W2461" s="14">
        <f>IFERROR(__xludf.DUMMYFUNCTION("""COMPUTED_VALUE"""),1277723.0)</f>
        <v>1277723</v>
      </c>
      <c r="X2461" s="14">
        <f>IFERROR(__xludf.DUMMYFUNCTION("""COMPUTED_VALUE"""),0.104)</f>
        <v>0.104</v>
      </c>
      <c r="Y2461" s="14" t="str">
        <f>IFERROR(__xludf.DUMMYFUNCTION("""COMPUTED_VALUE"""),"Trinidad and Tobago-The Americas")</f>
        <v>Trinidad and Tobago-The Americas</v>
      </c>
      <c r="Z2461" s="14" t="str">
        <f>IFERROR(__xludf.DUMMYFUNCTION("""COMPUTED_VALUE"""),"The Americas")</f>
        <v>The Americas</v>
      </c>
      <c r="AA2461" s="14" t="str">
        <f>IFERROR(__xludf.DUMMYFUNCTION("""COMPUTED_VALUE"""),"2002")</f>
        <v>2002</v>
      </c>
      <c r="AB2461" s="15" t="str">
        <f>IFERROR(__xludf.DUMMYFUNCTION("ARRAYFORMULA(VLOOKUP(A2461,IMPORTRANGE(""https://docs.google.com/spreadsheets/d/1BuTWp7qHGjWhqrnf-OmePP568O4A5Am9ttzvVdP67zw/edit#gid=1931367683"" ,""ENERGY!$A$2:$F$2692""), {2,3,4,5,6},0))"),"The Americas")</f>
        <v>The Americas</v>
      </c>
      <c r="AC2461" s="14" t="str">
        <f>IFERROR(__xludf.DUMMYFUNCTION("""COMPUTED_VALUE"""),"Trinidad and Tobago-The Americas")</f>
        <v>Trinidad and Tobago-The Americas</v>
      </c>
      <c r="AD2461" s="14" t="str">
        <f>IFERROR(__xludf.DUMMYFUNCTION("""COMPUTED_VALUE"""),"2002")</f>
        <v>2002</v>
      </c>
      <c r="AE2461" s="14">
        <f>IFERROR(__xludf.DUMMYFUNCTION("""COMPUTED_VALUE"""),21370.0)</f>
        <v>21370</v>
      </c>
      <c r="AF2461" s="14">
        <f>IFERROR(__xludf.DUMMYFUNCTION("""COMPUTED_VALUE"""),50682.0)</f>
        <v>50682</v>
      </c>
    </row>
    <row r="2462">
      <c r="A2462" s="12">
        <v>2461.0</v>
      </c>
      <c r="B2462" s="12" t="s">
        <v>268</v>
      </c>
      <c r="C2462" s="5" t="s">
        <v>84</v>
      </c>
      <c r="D2462" s="8"/>
      <c r="E2462" s="8"/>
      <c r="F2462" s="8"/>
      <c r="G2462" s="8"/>
      <c r="H2462" s="11">
        <v>0.26</v>
      </c>
      <c r="I2462" s="11">
        <v>0.262</v>
      </c>
      <c r="J2462" s="9" t="s">
        <v>64</v>
      </c>
      <c r="K2462" s="14" t="str">
        <f>IFERROR(__xludf.DUMMYFUNCTION("ARRAYFORMULA(VLOOKUP(A2462,IMPORTRANGE(""https://docs.google.com/spreadsheets/d/1BuTWp7qHGjWhqrnf-OmePP568O4A5Am9ttzvVdP67zw/edit#gid=1603210130"", ""TOURISM!$A$2:$F$2692""), {2,3,4,5,6},0))"),"The Americas")</f>
        <v>The Americas</v>
      </c>
      <c r="L2462" s="14">
        <f>IFERROR(__xludf.DUMMYFUNCTION("""COMPUTED_VALUE"""),4.37E8)</f>
        <v>437000000</v>
      </c>
      <c r="M2462" s="14" t="str">
        <f>IFERROR(__xludf.DUMMYFUNCTION("""COMPUTED_VALUE"""),"Trinidad and Tobago-The Americas")</f>
        <v>Trinidad and Tobago-The Americas</v>
      </c>
      <c r="N2462" s="14" t="str">
        <f>IFERROR(__xludf.DUMMYFUNCTION("""COMPUTED_VALUE"""),"2003")</f>
        <v>2003</v>
      </c>
      <c r="O2462" s="14">
        <f>IFERROR(__xludf.DUMMYFUNCTION("""COMPUTED_VALUE"""),1.43E8)</f>
        <v>143000000</v>
      </c>
      <c r="P2462" s="15">
        <f>IFERROR(__xludf.DUMMYFUNCTION("ARRAYFORMULA(VLOOKUP(A2462,IMPORTRANGE(""https://docs.google.com/spreadsheets/d/1BuTWp7qHGjWhqrnf-OmePP568O4A5Am9ttzvVdP67zw/edit#gid=771602874"" ,""HUMAN RESOURCES!$A$2:$M$2692""), {2,3,4,5,6,7,8,9,10,11,12,13},0))"),0.015)</f>
        <v>0.015</v>
      </c>
      <c r="Q2462" s="14">
        <f>IFERROR(__xludf.DUMMYFUNCTION("""COMPUTED_VALUE"""),0.025)</f>
        <v>0.025</v>
      </c>
      <c r="R2462" s="14">
        <f>IFERROR(__xludf.DUMMYFUNCTION("""COMPUTED_VALUE"""),73.0)</f>
        <v>73</v>
      </c>
      <c r="S2462" s="14">
        <f>IFERROR(__xludf.DUMMYFUNCTION("""COMPUTED_VALUE"""),65.0)</f>
        <v>65</v>
      </c>
      <c r="T2462" s="14">
        <f>IFERROR(__xludf.DUMMYFUNCTION("""COMPUTED_VALUE"""),0.23)</f>
        <v>0.23</v>
      </c>
      <c r="U2462" s="14">
        <f>IFERROR(__xludf.DUMMYFUNCTION("""COMPUTED_VALUE"""),0.701)</f>
        <v>0.701</v>
      </c>
      <c r="V2462" s="14">
        <f>IFERROR(__xludf.DUMMYFUNCTION("""COMPUTED_VALUE"""),0.069)</f>
        <v>0.069</v>
      </c>
      <c r="W2462" s="14">
        <f>IFERROR(__xludf.DUMMYFUNCTION("""COMPUTED_VALUE"""),1283868.0)</f>
        <v>1283868</v>
      </c>
      <c r="X2462" s="14">
        <f>IFERROR(__xludf.DUMMYFUNCTION("""COMPUTED_VALUE"""),0.102)</f>
        <v>0.102</v>
      </c>
      <c r="Y2462" s="14" t="str">
        <f>IFERROR(__xludf.DUMMYFUNCTION("""COMPUTED_VALUE"""),"Trinidad and Tobago-The Americas")</f>
        <v>Trinidad and Tobago-The Americas</v>
      </c>
      <c r="Z2462" s="14" t="str">
        <f>IFERROR(__xludf.DUMMYFUNCTION("""COMPUTED_VALUE"""),"The Americas")</f>
        <v>The Americas</v>
      </c>
      <c r="AA2462" s="14" t="str">
        <f>IFERROR(__xludf.DUMMYFUNCTION("""COMPUTED_VALUE"""),"2003")</f>
        <v>2003</v>
      </c>
      <c r="AB2462" s="15" t="str">
        <f>IFERROR(__xludf.DUMMYFUNCTION("ARRAYFORMULA(VLOOKUP(A2462,IMPORTRANGE(""https://docs.google.com/spreadsheets/d/1BuTWp7qHGjWhqrnf-OmePP568O4A5Am9ttzvVdP67zw/edit#gid=1931367683"" ,""ENERGY!$A$2:$F$2692""), {2,3,4,5,6},0))"),"The Americas")</f>
        <v>The Americas</v>
      </c>
      <c r="AC2462" s="14" t="str">
        <f>IFERROR(__xludf.DUMMYFUNCTION("""COMPUTED_VALUE"""),"Trinidad and Tobago-The Americas")</f>
        <v>Trinidad and Tobago-The Americas</v>
      </c>
      <c r="AD2462" s="14" t="str">
        <f>IFERROR(__xludf.DUMMYFUNCTION("""COMPUTED_VALUE"""),"2003")</f>
        <v>2003</v>
      </c>
      <c r="AE2462" s="14">
        <f>IFERROR(__xludf.DUMMYFUNCTION("""COMPUTED_VALUE"""),20277.0)</f>
        <v>20277</v>
      </c>
      <c r="AF2462" s="14">
        <f>IFERROR(__xludf.DUMMYFUNCTION("""COMPUTED_VALUE"""),48177.0)</f>
        <v>48177</v>
      </c>
    </row>
    <row r="2463">
      <c r="A2463" s="12">
        <v>2462.0</v>
      </c>
      <c r="B2463" s="12" t="s">
        <v>268</v>
      </c>
      <c r="C2463" s="5" t="s">
        <v>84</v>
      </c>
      <c r="D2463" s="8"/>
      <c r="E2463" s="8"/>
      <c r="F2463" s="8"/>
      <c r="G2463" s="8"/>
      <c r="H2463" s="11">
        <v>0.27</v>
      </c>
      <c r="I2463" s="11">
        <v>0.505</v>
      </c>
      <c r="J2463" s="9" t="s">
        <v>65</v>
      </c>
      <c r="K2463" s="14" t="str">
        <f>IFERROR(__xludf.DUMMYFUNCTION("ARRAYFORMULA(VLOOKUP(A2463,IMPORTRANGE(""https://docs.google.com/spreadsheets/d/1BuTWp7qHGjWhqrnf-OmePP568O4A5Am9ttzvVdP67zw/edit#gid=1603210130"", ""TOURISM!$A$2:$F$2692""), {2,3,4,5,6},0))"),"The Americas")</f>
        <v>The Americas</v>
      </c>
      <c r="L2463" s="14">
        <f>IFERROR(__xludf.DUMMYFUNCTION("""COMPUTED_VALUE"""),5.68E8)</f>
        <v>568000000</v>
      </c>
      <c r="M2463" s="14" t="str">
        <f>IFERROR(__xludf.DUMMYFUNCTION("""COMPUTED_VALUE"""),"Trinidad and Tobago-The Americas")</f>
        <v>Trinidad and Tobago-The Americas</v>
      </c>
      <c r="N2463" s="14" t="str">
        <f>IFERROR(__xludf.DUMMYFUNCTION("""COMPUTED_VALUE"""),"2004")</f>
        <v>2004</v>
      </c>
      <c r="O2463" s="14">
        <f>IFERROR(__xludf.DUMMYFUNCTION("""COMPUTED_VALUE"""),1.41E8)</f>
        <v>141000000</v>
      </c>
      <c r="P2463" s="15">
        <f>IFERROR(__xludf.DUMMYFUNCTION("ARRAYFORMULA(VLOOKUP(A2463,IMPORTRANGE(""https://docs.google.com/spreadsheets/d/1BuTWp7qHGjWhqrnf-OmePP568O4A5Am9ttzvVdP67zw/edit#gid=771602874"" ,""HUMAN RESOURCES!$A$2:$M$2692""), {2,3,4,5,6,7,8,9,10,11,12,13},0))"),0.015)</f>
        <v>0.015</v>
      </c>
      <c r="Q2463" s="14">
        <f>IFERROR(__xludf.DUMMYFUNCTION("""COMPUTED_VALUE"""),0.024)</f>
        <v>0.024</v>
      </c>
      <c r="R2463" s="14">
        <f>IFERROR(__xludf.DUMMYFUNCTION("""COMPUTED_VALUE"""),73.0)</f>
        <v>73</v>
      </c>
      <c r="S2463" s="14">
        <f>IFERROR(__xludf.DUMMYFUNCTION("""COMPUTED_VALUE"""),65.0)</f>
        <v>65</v>
      </c>
      <c r="T2463" s="14">
        <f>IFERROR(__xludf.DUMMYFUNCTION("""COMPUTED_VALUE"""),0.224)</f>
        <v>0.224</v>
      </c>
      <c r="U2463" s="14">
        <f>IFERROR(__xludf.DUMMYFUNCTION("""COMPUTED_VALUE"""),0.706)</f>
        <v>0.706</v>
      </c>
      <c r="V2463" s="14">
        <f>IFERROR(__xludf.DUMMYFUNCTION("""COMPUTED_VALUE"""),0.071)</f>
        <v>0.071</v>
      </c>
      <c r="W2463" s="14">
        <f>IFERROR(__xludf.DUMMYFUNCTION("""COMPUTED_VALUE"""),1290379.0)</f>
        <v>1290379</v>
      </c>
      <c r="X2463" s="14">
        <f>IFERROR(__xludf.DUMMYFUNCTION("""COMPUTED_VALUE"""),0.101)</f>
        <v>0.101</v>
      </c>
      <c r="Y2463" s="14" t="str">
        <f>IFERROR(__xludf.DUMMYFUNCTION("""COMPUTED_VALUE"""),"Trinidad and Tobago-The Americas")</f>
        <v>Trinidad and Tobago-The Americas</v>
      </c>
      <c r="Z2463" s="14" t="str">
        <f>IFERROR(__xludf.DUMMYFUNCTION("""COMPUTED_VALUE"""),"The Americas")</f>
        <v>The Americas</v>
      </c>
      <c r="AA2463" s="14" t="str">
        <f>IFERROR(__xludf.DUMMYFUNCTION("""COMPUTED_VALUE"""),"2004")</f>
        <v>2004</v>
      </c>
      <c r="AB2463" s="15" t="str">
        <f>IFERROR(__xludf.DUMMYFUNCTION("ARRAYFORMULA(VLOOKUP(A2463,IMPORTRANGE(""https://docs.google.com/spreadsheets/d/1BuTWp7qHGjWhqrnf-OmePP568O4A5Am9ttzvVdP67zw/edit#gid=1931367683"" ,""ENERGY!$A$2:$F$2692""), {2,3,4,5,6},0))"),"The Americas")</f>
        <v>The Americas</v>
      </c>
      <c r="AC2463" s="14" t="str">
        <f>IFERROR(__xludf.DUMMYFUNCTION("""COMPUTED_VALUE"""),"Trinidad and Tobago-The Americas")</f>
        <v>Trinidad and Tobago-The Americas</v>
      </c>
      <c r="AD2463" s="14" t="str">
        <f>IFERROR(__xludf.DUMMYFUNCTION("""COMPUTED_VALUE"""),"2005")</f>
        <v>2005</v>
      </c>
      <c r="AE2463" s="14">
        <f>IFERROR(__xludf.DUMMYFUNCTION("""COMPUTED_VALUE"""),19563.0)</f>
        <v>19563</v>
      </c>
      <c r="AF2463" s="14">
        <f>IFERROR(__xludf.DUMMYFUNCTION("""COMPUTED_VALUE"""),42541.0)</f>
        <v>42541</v>
      </c>
    </row>
    <row r="2464">
      <c r="A2464" s="12">
        <v>2463.0</v>
      </c>
      <c r="B2464" s="12" t="s">
        <v>268</v>
      </c>
      <c r="C2464" s="5" t="s">
        <v>84</v>
      </c>
      <c r="D2464" s="11">
        <v>0.37</v>
      </c>
      <c r="E2464" s="11">
        <v>43.0</v>
      </c>
      <c r="F2464" s="8"/>
      <c r="G2464" s="11">
        <v>210.0</v>
      </c>
      <c r="H2464" s="11">
        <v>0.29</v>
      </c>
      <c r="I2464" s="11">
        <v>0.713</v>
      </c>
      <c r="J2464" s="9" t="s">
        <v>66</v>
      </c>
      <c r="K2464" s="14" t="str">
        <f>IFERROR(__xludf.DUMMYFUNCTION("ARRAYFORMULA(VLOOKUP(A2464,IMPORTRANGE(""https://docs.google.com/spreadsheets/d/1BuTWp7qHGjWhqrnf-OmePP568O4A5Am9ttzvVdP67zw/edit#gid=1603210130"", ""TOURISM!$A$2:$F$2692""), {2,3,4,5,6},0))"),"The Americas")</f>
        <v>The Americas</v>
      </c>
      <c r="L2464" s="14">
        <f>IFERROR(__xludf.DUMMYFUNCTION("""COMPUTED_VALUE"""),5.93E8)</f>
        <v>593000000</v>
      </c>
      <c r="M2464" s="14" t="str">
        <f>IFERROR(__xludf.DUMMYFUNCTION("""COMPUTED_VALUE"""),"Trinidad and Tobago-The Americas")</f>
        <v>Trinidad and Tobago-The Americas</v>
      </c>
      <c r="N2464" s="14" t="str">
        <f>IFERROR(__xludf.DUMMYFUNCTION("""COMPUTED_VALUE"""),"2005")</f>
        <v>2005</v>
      </c>
      <c r="O2464" s="14">
        <f>IFERROR(__xludf.DUMMYFUNCTION("""COMPUTED_VALUE"""),2.34E8)</f>
        <v>234000000</v>
      </c>
      <c r="P2464" s="15">
        <f>IFERROR(__xludf.DUMMYFUNCTION("ARRAYFORMULA(VLOOKUP(A2464,IMPORTRANGE(""https://docs.google.com/spreadsheets/d/1BuTWp7qHGjWhqrnf-OmePP568O4A5Am9ttzvVdP67zw/edit#gid=771602874"" ,""HUMAN RESOURCES!$A$2:$M$2692""), {2,3,4,5,6,7,8,9,10,11,12,13},0))"),0.015)</f>
        <v>0.015</v>
      </c>
      <c r="Q2464" s="14">
        <f>IFERROR(__xludf.DUMMYFUNCTION("""COMPUTED_VALUE"""),0.024)</f>
        <v>0.024</v>
      </c>
      <c r="R2464" s="14">
        <f>IFERROR(__xludf.DUMMYFUNCTION("""COMPUTED_VALUE"""),73.0)</f>
        <v>73</v>
      </c>
      <c r="S2464" s="14">
        <f>IFERROR(__xludf.DUMMYFUNCTION("""COMPUTED_VALUE"""),65.0)</f>
        <v>65</v>
      </c>
      <c r="T2464" s="14">
        <f>IFERROR(__xludf.DUMMYFUNCTION("""COMPUTED_VALUE"""),0.218)</f>
        <v>0.218</v>
      </c>
      <c r="U2464" s="14">
        <f>IFERROR(__xludf.DUMMYFUNCTION("""COMPUTED_VALUE"""),0.709)</f>
        <v>0.709</v>
      </c>
      <c r="V2464" s="14">
        <f>IFERROR(__xludf.DUMMYFUNCTION("""COMPUTED_VALUE"""),0.072)</f>
        <v>0.072</v>
      </c>
      <c r="W2464" s="14">
        <f>IFERROR(__xludf.DUMMYFUNCTION("""COMPUTED_VALUE"""),1296933.0)</f>
        <v>1296933</v>
      </c>
      <c r="X2464" s="14">
        <f>IFERROR(__xludf.DUMMYFUNCTION("""COMPUTED_VALUE"""),0.099)</f>
        <v>0.099</v>
      </c>
      <c r="Y2464" s="14" t="str">
        <f>IFERROR(__xludf.DUMMYFUNCTION("""COMPUTED_VALUE"""),"Trinidad and Tobago-The Americas")</f>
        <v>Trinidad and Tobago-The Americas</v>
      </c>
      <c r="Z2464" s="14" t="str">
        <f>IFERROR(__xludf.DUMMYFUNCTION("""COMPUTED_VALUE"""),"The Americas")</f>
        <v>The Americas</v>
      </c>
      <c r="AA2464" s="14" t="str">
        <f>IFERROR(__xludf.DUMMYFUNCTION("""COMPUTED_VALUE"""),"2005")</f>
        <v>2005</v>
      </c>
      <c r="AB2464" s="15" t="str">
        <f>IFERROR(__xludf.DUMMYFUNCTION("ARRAYFORMULA(VLOOKUP(A2464,IMPORTRANGE(""https://docs.google.com/spreadsheets/d/1BuTWp7qHGjWhqrnf-OmePP568O4A5Am9ttzvVdP67zw/edit#gid=1931367683"" ,""ENERGY!$A$2:$F$2692""), {2,3,4,5,6},0))"),"The Americas")</f>
        <v>The Americas</v>
      </c>
      <c r="AC2464" s="14" t="str">
        <f>IFERROR(__xludf.DUMMYFUNCTION("""COMPUTED_VALUE"""),"Trinidad and Tobago-The Americas")</f>
        <v>Trinidad and Tobago-The Americas</v>
      </c>
      <c r="AD2464" s="14" t="str">
        <f>IFERROR(__xludf.DUMMYFUNCTION("""COMPUTED_VALUE"""),"2009")</f>
        <v>2009</v>
      </c>
      <c r="AE2464" s="14">
        <f>IFERROR(__xludf.DUMMYFUNCTION("""COMPUTED_VALUE"""),20331.0)</f>
        <v>20331</v>
      </c>
      <c r="AF2464" s="14">
        <f>IFERROR(__xludf.DUMMYFUNCTION("""COMPUTED_VALUE"""),46461.0)</f>
        <v>46461</v>
      </c>
    </row>
    <row r="2465">
      <c r="A2465" s="12">
        <v>2464.0</v>
      </c>
      <c r="B2465" s="12" t="s">
        <v>268</v>
      </c>
      <c r="C2465" s="5" t="s">
        <v>84</v>
      </c>
      <c r="D2465" s="11">
        <v>0.372</v>
      </c>
      <c r="E2465" s="11">
        <v>43.0</v>
      </c>
      <c r="F2465" s="8"/>
      <c r="G2465" s="11">
        <v>210.0</v>
      </c>
      <c r="H2465" s="11">
        <v>0.3</v>
      </c>
      <c r="I2465" s="11">
        <v>1.165</v>
      </c>
      <c r="J2465" s="9" t="s">
        <v>67</v>
      </c>
      <c r="K2465" s="14" t="str">
        <f>IFERROR(__xludf.DUMMYFUNCTION("ARRAYFORMULA(VLOOKUP(A2465,IMPORTRANGE(""https://docs.google.com/spreadsheets/d/1BuTWp7qHGjWhqrnf-OmePP568O4A5Am9ttzvVdP67zw/edit#gid=1603210130"", ""TOURISM!$A$2:$F$2692""), {2,3,4,5,6},0))"),"The Americas")</f>
        <v>The Americas</v>
      </c>
      <c r="L2465" s="14">
        <f>IFERROR(__xludf.DUMMYFUNCTION("""COMPUTED_VALUE"""),5.17E8)</f>
        <v>517000000</v>
      </c>
      <c r="M2465" s="14" t="str">
        <f>IFERROR(__xludf.DUMMYFUNCTION("""COMPUTED_VALUE"""),"Trinidad and Tobago-The Americas")</f>
        <v>Trinidad and Tobago-The Americas</v>
      </c>
      <c r="N2465" s="14" t="str">
        <f>IFERROR(__xludf.DUMMYFUNCTION("""COMPUTED_VALUE"""),"2006")</f>
        <v>2006</v>
      </c>
      <c r="O2465" s="14">
        <f>IFERROR(__xludf.DUMMYFUNCTION("""COMPUTED_VALUE"""),1.46E8)</f>
        <v>146000000</v>
      </c>
      <c r="P2465" s="15">
        <f>IFERROR(__xludf.DUMMYFUNCTION("ARRAYFORMULA(VLOOKUP(A2465,IMPORTRANGE(""https://docs.google.com/spreadsheets/d/1BuTWp7qHGjWhqrnf-OmePP568O4A5Am9ttzvVdP67zw/edit#gid=771602874"" ,""HUMAN RESOURCES!$A$2:$M$2692""), {2,3,4,5,6,7,8,9,10,11,12,13},0))"),0.015)</f>
        <v>0.015</v>
      </c>
      <c r="Q2465" s="14">
        <f>IFERROR(__xludf.DUMMYFUNCTION("""COMPUTED_VALUE"""),0.023)</f>
        <v>0.023</v>
      </c>
      <c r="R2465" s="14">
        <f>IFERROR(__xludf.DUMMYFUNCTION("""COMPUTED_VALUE"""),73.0)</f>
        <v>73</v>
      </c>
      <c r="S2465" s="14">
        <f>IFERROR(__xludf.DUMMYFUNCTION("""COMPUTED_VALUE"""),66.0)</f>
        <v>66</v>
      </c>
      <c r="T2465" s="14">
        <f>IFERROR(__xludf.DUMMYFUNCTION("""COMPUTED_VALUE"""),0.214)</f>
        <v>0.214</v>
      </c>
      <c r="U2465" s="14">
        <f>IFERROR(__xludf.DUMMYFUNCTION("""COMPUTED_VALUE"""),0.712)</f>
        <v>0.712</v>
      </c>
      <c r="V2465" s="14">
        <f>IFERROR(__xludf.DUMMYFUNCTION("""COMPUTED_VALUE"""),0.074)</f>
        <v>0.074</v>
      </c>
      <c r="W2465" s="14">
        <f>IFERROR(__xludf.DUMMYFUNCTION("""COMPUTED_VALUE"""),1303478.0)</f>
        <v>1303478</v>
      </c>
      <c r="X2465" s="14">
        <f>IFERROR(__xludf.DUMMYFUNCTION("""COMPUTED_VALUE"""),0.097)</f>
        <v>0.097</v>
      </c>
      <c r="Y2465" s="14" t="str">
        <f>IFERROR(__xludf.DUMMYFUNCTION("""COMPUTED_VALUE"""),"Trinidad and Tobago-The Americas")</f>
        <v>Trinidad and Tobago-The Americas</v>
      </c>
      <c r="Z2465" s="14" t="str">
        <f>IFERROR(__xludf.DUMMYFUNCTION("""COMPUTED_VALUE"""),"The Americas")</f>
        <v>The Americas</v>
      </c>
      <c r="AA2465" s="14" t="str">
        <f>IFERROR(__xludf.DUMMYFUNCTION("""COMPUTED_VALUE"""),"2006")</f>
        <v>2006</v>
      </c>
      <c r="AB2465" s="15" t="str">
        <f>IFERROR(__xludf.DUMMYFUNCTION("ARRAYFORMULA(VLOOKUP(A2465,IMPORTRANGE(""https://docs.google.com/spreadsheets/d/1BuTWp7qHGjWhqrnf-OmePP568O4A5Am9ttzvVdP67zw/edit#gid=1931367683"" ,""ENERGY!$A$2:$F$2692""), {2,3,4,5,6},0))"),"The Americas")</f>
        <v>The Americas</v>
      </c>
      <c r="AC2465" s="14" t="str">
        <f>IFERROR(__xludf.DUMMYFUNCTION("""COMPUTED_VALUE"""),"Trinidad and Tobago-The Americas")</f>
        <v>Trinidad and Tobago-The Americas</v>
      </c>
      <c r="AD2465" s="14" t="str">
        <f>IFERROR(__xludf.DUMMYFUNCTION("""COMPUTED_VALUE"""),"2005")</f>
        <v>2005</v>
      </c>
      <c r="AE2465" s="14">
        <f>IFERROR(__xludf.DUMMYFUNCTION("""COMPUTED_VALUE"""),19585.0)</f>
        <v>19585</v>
      </c>
      <c r="AF2465" s="14">
        <f>IFERROR(__xludf.DUMMYFUNCTION("""COMPUTED_VALUE"""),32152.0)</f>
        <v>32152</v>
      </c>
    </row>
    <row r="2466">
      <c r="A2466" s="12">
        <v>2465.0</v>
      </c>
      <c r="B2466" s="12" t="s">
        <v>268</v>
      </c>
      <c r="C2466" s="5" t="s">
        <v>84</v>
      </c>
      <c r="D2466" s="11">
        <v>0.331</v>
      </c>
      <c r="E2466" s="11">
        <v>43.0</v>
      </c>
      <c r="F2466" s="8"/>
      <c r="G2466" s="11">
        <v>210.0</v>
      </c>
      <c r="H2466" s="11">
        <v>0.323</v>
      </c>
      <c r="I2466" s="11">
        <v>1.152</v>
      </c>
      <c r="J2466" s="9" t="s">
        <v>68</v>
      </c>
      <c r="K2466" s="14" t="str">
        <f>IFERROR(__xludf.DUMMYFUNCTION("ARRAYFORMULA(VLOOKUP(A2466,IMPORTRANGE(""https://docs.google.com/spreadsheets/d/1BuTWp7qHGjWhqrnf-OmePP568O4A5Am9ttzvVdP67zw/edit#gid=1603210130"", ""TOURISM!$A$2:$F$2692""), {2,3,4,5,6},0))"),"The Americas")</f>
        <v>The Americas</v>
      </c>
      <c r="L2466" s="14">
        <f>IFERROR(__xludf.DUMMYFUNCTION("""COMPUTED_VALUE"""),6.21E8)</f>
        <v>621000000</v>
      </c>
      <c r="M2466" s="14" t="str">
        <f>IFERROR(__xludf.DUMMYFUNCTION("""COMPUTED_VALUE"""),"Trinidad and Tobago-The Americas")</f>
        <v>Trinidad and Tobago-The Americas</v>
      </c>
      <c r="N2466" s="14" t="str">
        <f>IFERROR(__xludf.DUMMYFUNCTION("""COMPUTED_VALUE"""),"2007")</f>
        <v>2007</v>
      </c>
      <c r="O2466" s="14">
        <f>IFERROR(__xludf.DUMMYFUNCTION("""COMPUTED_VALUE"""),1.55E8)</f>
        <v>155000000</v>
      </c>
      <c r="P2466" s="15">
        <f>IFERROR(__xludf.DUMMYFUNCTION("ARRAYFORMULA(VLOOKUP(A2466,IMPORTRANGE(""https://docs.google.com/spreadsheets/d/1BuTWp7qHGjWhqrnf-OmePP568O4A5Am9ttzvVdP67zw/edit#gid=771602874"" ,""HUMAN RESOURCES!$A$2:$M$2692""), {2,3,4,5,6,7,8,9,10,11,12,13},0))"),0.015)</f>
        <v>0.015</v>
      </c>
      <c r="Q2466" s="14">
        <f>IFERROR(__xludf.DUMMYFUNCTION("""COMPUTED_VALUE"""),0.023)</f>
        <v>0.023</v>
      </c>
      <c r="R2466" s="14">
        <f>IFERROR(__xludf.DUMMYFUNCTION("""COMPUTED_VALUE"""),73.0)</f>
        <v>73</v>
      </c>
      <c r="S2466" s="14">
        <f>IFERROR(__xludf.DUMMYFUNCTION("""COMPUTED_VALUE"""),66.0)</f>
        <v>66</v>
      </c>
      <c r="T2466" s="14">
        <f>IFERROR(__xludf.DUMMYFUNCTION("""COMPUTED_VALUE"""),0.211)</f>
        <v>0.211</v>
      </c>
      <c r="U2466" s="14">
        <f>IFERROR(__xludf.DUMMYFUNCTION("""COMPUTED_VALUE"""),0.713)</f>
        <v>0.713</v>
      </c>
      <c r="V2466" s="14">
        <f>IFERROR(__xludf.DUMMYFUNCTION("""COMPUTED_VALUE"""),0.076)</f>
        <v>0.076</v>
      </c>
      <c r="W2466" s="14">
        <f>IFERROR(__xludf.DUMMYFUNCTION("""COMPUTED_VALUE"""),1310040.0)</f>
        <v>1310040</v>
      </c>
      <c r="X2466" s="14">
        <f>IFERROR(__xludf.DUMMYFUNCTION("""COMPUTED_VALUE"""),0.096)</f>
        <v>0.096</v>
      </c>
      <c r="Y2466" s="14" t="str">
        <f>IFERROR(__xludf.DUMMYFUNCTION("""COMPUTED_VALUE"""),"Trinidad and Tobago-The Americas")</f>
        <v>Trinidad and Tobago-The Americas</v>
      </c>
      <c r="Z2466" s="14" t="str">
        <f>IFERROR(__xludf.DUMMYFUNCTION("""COMPUTED_VALUE"""),"The Americas")</f>
        <v>The Americas</v>
      </c>
      <c r="AA2466" s="14" t="str">
        <f>IFERROR(__xludf.DUMMYFUNCTION("""COMPUTED_VALUE"""),"2007")</f>
        <v>2007</v>
      </c>
      <c r="AB2466" s="15" t="str">
        <f>IFERROR(__xludf.DUMMYFUNCTION("ARRAYFORMULA(VLOOKUP(A2466,IMPORTRANGE(""https://docs.google.com/spreadsheets/d/1BuTWp7qHGjWhqrnf-OmePP568O4A5Am9ttzvVdP67zw/edit#gid=1931367683"" ,""ENERGY!$A$2:$F$2692""), {2,3,4,5,6},0))"),"The Americas")</f>
        <v>The Americas</v>
      </c>
      <c r="AC2466" s="14" t="str">
        <f>IFERROR(__xludf.DUMMYFUNCTION("""COMPUTED_VALUE"""),"Trinidad and Tobago-The Americas")</f>
        <v>Trinidad and Tobago-The Americas</v>
      </c>
      <c r="AD2466" s="14" t="str">
        <f>IFERROR(__xludf.DUMMYFUNCTION("""COMPUTED_VALUE"""),"2011")</f>
        <v>2011</v>
      </c>
      <c r="AE2466" s="14">
        <f>IFERROR(__xludf.DUMMYFUNCTION("""COMPUTED_VALUE"""),16880.0)</f>
        <v>16880</v>
      </c>
      <c r="AF2466" s="14">
        <f>IFERROR(__xludf.DUMMYFUNCTION("""COMPUTED_VALUE"""),28581.0)</f>
        <v>28581</v>
      </c>
    </row>
    <row r="2467">
      <c r="A2467" s="12">
        <v>2466.0</v>
      </c>
      <c r="B2467" s="12" t="s">
        <v>268</v>
      </c>
      <c r="C2467" s="5" t="s">
        <v>84</v>
      </c>
      <c r="D2467" s="11">
        <v>0.331</v>
      </c>
      <c r="E2467" s="11">
        <v>43.0</v>
      </c>
      <c r="F2467" s="8"/>
      <c r="G2467" s="11">
        <v>210.0</v>
      </c>
      <c r="H2467" s="11">
        <v>0.348</v>
      </c>
      <c r="I2467" s="11">
        <v>1.372</v>
      </c>
      <c r="J2467" s="9" t="s">
        <v>69</v>
      </c>
      <c r="K2467" s="14" t="str">
        <f>IFERROR(__xludf.DUMMYFUNCTION("ARRAYFORMULA(VLOOKUP(A2467,IMPORTRANGE(""https://docs.google.com/spreadsheets/d/1BuTWp7qHGjWhqrnf-OmePP568O4A5Am9ttzvVdP67zw/edit#gid=1603210130"", ""TOURISM!$A$2:$F$2692""), {2,3,4,5,6},0))"),"The Americas")</f>
        <v>The Americas</v>
      </c>
      <c r="L2467" s="14">
        <f>IFERROR(__xludf.DUMMYFUNCTION("""COMPUTED_VALUE"""),5.57E8)</f>
        <v>557000000</v>
      </c>
      <c r="M2467" s="14" t="str">
        <f>IFERROR(__xludf.DUMMYFUNCTION("""COMPUTED_VALUE"""),"Trinidad and Tobago-The Americas")</f>
        <v>Trinidad and Tobago-The Americas</v>
      </c>
      <c r="N2467" s="14" t="str">
        <f>IFERROR(__xludf.DUMMYFUNCTION("""COMPUTED_VALUE"""),"2008")</f>
        <v>2008</v>
      </c>
      <c r="O2467" s="14">
        <f>IFERROR(__xludf.DUMMYFUNCTION("""COMPUTED_VALUE"""),1.02E8)</f>
        <v>102000000</v>
      </c>
      <c r="P2467" s="15">
        <f>IFERROR(__xludf.DUMMYFUNCTION("ARRAYFORMULA(VLOOKUP(A2467,IMPORTRANGE(""https://docs.google.com/spreadsheets/d/1BuTWp7qHGjWhqrnf-OmePP568O4A5Am9ttzvVdP67zw/edit#gid=771602874"" ,""HUMAN RESOURCES!$A$2:$M$2692""), {2,3,4,5,6,7,8,9,10,11,12,13},0))"),0.015)</f>
        <v>0.015</v>
      </c>
      <c r="Q2467" s="14">
        <f>IFERROR(__xludf.DUMMYFUNCTION("""COMPUTED_VALUE"""),0.022)</f>
        <v>0.022</v>
      </c>
      <c r="R2467" s="14">
        <f>IFERROR(__xludf.DUMMYFUNCTION("""COMPUTED_VALUE"""),73.0)</f>
        <v>73</v>
      </c>
      <c r="S2467" s="14">
        <f>IFERROR(__xludf.DUMMYFUNCTION("""COMPUTED_VALUE"""),66.0)</f>
        <v>66</v>
      </c>
      <c r="T2467" s="14">
        <f>IFERROR(__xludf.DUMMYFUNCTION("""COMPUTED_VALUE"""),0.209)</f>
        <v>0.209</v>
      </c>
      <c r="U2467" s="14">
        <f>IFERROR(__xludf.DUMMYFUNCTION("""COMPUTED_VALUE"""),0.712)</f>
        <v>0.712</v>
      </c>
      <c r="V2467" s="14">
        <f>IFERROR(__xludf.DUMMYFUNCTION("""COMPUTED_VALUE"""),0.078)</f>
        <v>0.078</v>
      </c>
      <c r="W2467" s="14">
        <f>IFERROR(__xludf.DUMMYFUNCTION("""COMPUTED_VALUE"""),1316449.0)</f>
        <v>1316449</v>
      </c>
      <c r="X2467" s="14">
        <f>IFERROR(__xludf.DUMMYFUNCTION("""COMPUTED_VALUE"""),0.094)</f>
        <v>0.094</v>
      </c>
      <c r="Y2467" s="14" t="str">
        <f>IFERROR(__xludf.DUMMYFUNCTION("""COMPUTED_VALUE"""),"Trinidad and Tobago-The Americas")</f>
        <v>Trinidad and Tobago-The Americas</v>
      </c>
      <c r="Z2467" s="14" t="str">
        <f>IFERROR(__xludf.DUMMYFUNCTION("""COMPUTED_VALUE"""),"The Americas")</f>
        <v>The Americas</v>
      </c>
      <c r="AA2467" s="14" t="str">
        <f>IFERROR(__xludf.DUMMYFUNCTION("""COMPUTED_VALUE"""),"2008")</f>
        <v>2008</v>
      </c>
      <c r="AB2467" s="15" t="str">
        <f>IFERROR(__xludf.DUMMYFUNCTION("ARRAYFORMULA(VLOOKUP(A2467,IMPORTRANGE(""https://docs.google.com/spreadsheets/d/1BuTWp7qHGjWhqrnf-OmePP568O4A5Am9ttzvVdP67zw/edit#gid=1931367683"" ,""ENERGY!$A$2:$F$2692""), {2,3,4,5,6},0))"),"The Americas")</f>
        <v>The Americas</v>
      </c>
      <c r="AC2467" s="14" t="str">
        <f>IFERROR(__xludf.DUMMYFUNCTION("""COMPUTED_VALUE"""),"Trinidad and Tobago-The Americas")</f>
        <v>Trinidad and Tobago-The Americas</v>
      </c>
      <c r="AD2467" s="14" t="str">
        <f>IFERROR(__xludf.DUMMYFUNCTION("""COMPUTED_VALUE"""),"2008")</f>
        <v>2008</v>
      </c>
      <c r="AE2467" s="14">
        <f>IFERROR(__xludf.DUMMYFUNCTION("""COMPUTED_VALUE"""),14115.0)</f>
        <v>14115</v>
      </c>
      <c r="AF2467" s="14">
        <f>IFERROR(__xludf.DUMMYFUNCTION("""COMPUTED_VALUE"""),30993.0)</f>
        <v>30993</v>
      </c>
    </row>
    <row r="2468">
      <c r="A2468" s="12">
        <v>2467.0</v>
      </c>
      <c r="B2468" s="12" t="s">
        <v>268</v>
      </c>
      <c r="C2468" s="5" t="s">
        <v>84</v>
      </c>
      <c r="D2468" s="11">
        <v>0.331</v>
      </c>
      <c r="E2468" s="11">
        <v>43.0</v>
      </c>
      <c r="F2468" s="8"/>
      <c r="G2468" s="11">
        <v>210.0</v>
      </c>
      <c r="H2468" s="11">
        <v>0.443</v>
      </c>
      <c r="I2468" s="11">
        <v>1.396</v>
      </c>
      <c r="J2468" s="9" t="s">
        <v>70</v>
      </c>
      <c r="K2468" s="14" t="str">
        <f>IFERROR(__xludf.DUMMYFUNCTION("ARRAYFORMULA(VLOOKUP(A2468,IMPORTRANGE(""https://docs.google.com/spreadsheets/d/1BuTWp7qHGjWhqrnf-OmePP568O4A5Am9ttzvVdP67zw/edit#gid=1603210130"", ""TOURISM!$A$2:$F$2692""), {2,3,4,5,6},0))"),"The Americas")</f>
        <v>The Americas</v>
      </c>
      <c r="L2468" s="14">
        <f>IFERROR(__xludf.DUMMYFUNCTION("""COMPUTED_VALUE"""),5.48E8)</f>
        <v>548000000</v>
      </c>
      <c r="M2468" s="14" t="str">
        <f>IFERROR(__xludf.DUMMYFUNCTION("""COMPUTED_VALUE"""),"Trinidad and Tobago-The Americas")</f>
        <v>Trinidad and Tobago-The Americas</v>
      </c>
      <c r="N2468" s="14" t="str">
        <f>IFERROR(__xludf.DUMMYFUNCTION("""COMPUTED_VALUE"""),"2009")</f>
        <v>2009</v>
      </c>
      <c r="O2468" s="14">
        <f>IFERROR(__xludf.DUMMYFUNCTION("""COMPUTED_VALUE"""),1.36E8)</f>
        <v>136000000</v>
      </c>
      <c r="P2468" s="15">
        <f>IFERROR(__xludf.DUMMYFUNCTION("ARRAYFORMULA(VLOOKUP(A2468,IMPORTRANGE(""https://docs.google.com/spreadsheets/d/1BuTWp7qHGjWhqrnf-OmePP568O4A5Am9ttzvVdP67zw/edit#gid=771602874"" ,""HUMAN RESOURCES!$A$2:$M$2692""), {2,3,4,5,6,7,8,9,10,11,12,13},0))"),0.015)</f>
        <v>0.015</v>
      </c>
      <c r="Q2468" s="14">
        <f>IFERROR(__xludf.DUMMYFUNCTION("""COMPUTED_VALUE"""),0.021)</f>
        <v>0.021</v>
      </c>
      <c r="R2468" s="14">
        <f>IFERROR(__xludf.DUMMYFUNCTION("""COMPUTED_VALUE"""),73.0)</f>
        <v>73</v>
      </c>
      <c r="S2468" s="14">
        <f>IFERROR(__xludf.DUMMYFUNCTION("""COMPUTED_VALUE"""),66.0)</f>
        <v>66</v>
      </c>
      <c r="T2468" s="14">
        <f>IFERROR(__xludf.DUMMYFUNCTION("""COMPUTED_VALUE"""),0.208)</f>
        <v>0.208</v>
      </c>
      <c r="U2468" s="14">
        <f>IFERROR(__xludf.DUMMYFUNCTION("""COMPUTED_VALUE"""),0.711)</f>
        <v>0.711</v>
      </c>
      <c r="V2468" s="14">
        <f>IFERROR(__xludf.DUMMYFUNCTION("""COMPUTED_VALUE"""),0.081)</f>
        <v>0.081</v>
      </c>
      <c r="W2468" s="14">
        <f>IFERROR(__xludf.DUMMYFUNCTION("""COMPUTED_VALUE"""),1322518.0)</f>
        <v>1322518</v>
      </c>
      <c r="X2468" s="14">
        <f>IFERROR(__xludf.DUMMYFUNCTION("""COMPUTED_VALUE"""),0.092)</f>
        <v>0.092</v>
      </c>
      <c r="Y2468" s="14" t="str">
        <f>IFERROR(__xludf.DUMMYFUNCTION("""COMPUTED_VALUE"""),"Trinidad and Tobago-The Americas")</f>
        <v>Trinidad and Tobago-The Americas</v>
      </c>
      <c r="Z2468" s="14" t="str">
        <f>IFERROR(__xludf.DUMMYFUNCTION("""COMPUTED_VALUE"""),"The Americas")</f>
        <v>The Americas</v>
      </c>
      <c r="AA2468" s="14" t="str">
        <f>IFERROR(__xludf.DUMMYFUNCTION("""COMPUTED_VALUE"""),"2009")</f>
        <v>2009</v>
      </c>
      <c r="AB2468" s="15" t="str">
        <f>IFERROR(__xludf.DUMMYFUNCTION("ARRAYFORMULA(VLOOKUP(A2468,IMPORTRANGE(""https://docs.google.com/spreadsheets/d/1BuTWp7qHGjWhqrnf-OmePP568O4A5Am9ttzvVdP67zw/edit#gid=1931367683"" ,""ENERGY!$A$2:$F$2692""), {2,3,4,5,6},0))"),"The Americas")</f>
        <v>The Americas</v>
      </c>
      <c r="AC2468" s="14" t="str">
        <f>IFERROR(__xludf.DUMMYFUNCTION("""COMPUTED_VALUE"""),"Trinidad and Tobago-The Americas")</f>
        <v>Trinidad and Tobago-The Americas</v>
      </c>
      <c r="AD2468" s="14" t="str">
        <f>IFERROR(__xludf.DUMMYFUNCTION("""COMPUTED_VALUE"""),"2012")</f>
        <v>2012</v>
      </c>
      <c r="AE2468" s="14">
        <f>IFERROR(__xludf.DUMMYFUNCTION("""COMPUTED_VALUE"""),13541.0)</f>
        <v>13541</v>
      </c>
      <c r="AF2468" s="14">
        <f>IFERROR(__xludf.DUMMYFUNCTION("""COMPUTED_VALUE"""),27697.0)</f>
        <v>27697</v>
      </c>
    </row>
    <row r="2469">
      <c r="A2469" s="12">
        <v>2468.0</v>
      </c>
      <c r="B2469" s="12" t="s">
        <v>268</v>
      </c>
      <c r="C2469" s="5" t="s">
        <v>84</v>
      </c>
      <c r="D2469" s="11">
        <v>0.331</v>
      </c>
      <c r="E2469" s="11">
        <v>41.0</v>
      </c>
      <c r="F2469" s="8"/>
      <c r="G2469" s="11">
        <v>210.0</v>
      </c>
      <c r="H2469" s="11">
        <v>0.485</v>
      </c>
      <c r="I2469" s="11">
        <v>1.426</v>
      </c>
      <c r="J2469" s="9" t="s">
        <v>71</v>
      </c>
      <c r="K2469" s="14" t="str">
        <f>IFERROR(__xludf.DUMMYFUNCTION("ARRAYFORMULA(VLOOKUP(A2469,IMPORTRANGE(""https://docs.google.com/spreadsheets/d/1BuTWp7qHGjWhqrnf-OmePP568O4A5Am9ttzvVdP67zw/edit#gid=1603210130"", ""TOURISM!$A$2:$F$2692""), {2,3,4,5,6},0))"),"The Americas")</f>
        <v>The Americas</v>
      </c>
      <c r="L2469" s="14">
        <f>IFERROR(__xludf.DUMMYFUNCTION("""COMPUTED_VALUE"""),6.3E8)</f>
        <v>630000000</v>
      </c>
      <c r="M2469" s="14" t="str">
        <f>IFERROR(__xludf.DUMMYFUNCTION("""COMPUTED_VALUE"""),"Trinidad and Tobago-The Americas")</f>
        <v>Trinidad and Tobago-The Americas</v>
      </c>
      <c r="N2469" s="14" t="str">
        <f>IFERROR(__xludf.DUMMYFUNCTION("""COMPUTED_VALUE"""),"2010")</f>
        <v>2010</v>
      </c>
      <c r="O2469" s="14">
        <f>IFERROR(__xludf.DUMMYFUNCTION("""COMPUTED_VALUE"""),9.7E7)</f>
        <v>97000000</v>
      </c>
      <c r="P2469" s="15">
        <f>IFERROR(__xludf.DUMMYFUNCTION("ARRAYFORMULA(VLOOKUP(A2469,IMPORTRANGE(""https://docs.google.com/spreadsheets/d/1BuTWp7qHGjWhqrnf-OmePP568O4A5Am9ttzvVdP67zw/edit#gid=771602874"" ,""HUMAN RESOURCES!$A$2:$M$2692""), {2,3,4,5,6,7,8,9,10,11,12,13},0))"),0.015)</f>
        <v>0.015</v>
      </c>
      <c r="Q2469" s="14">
        <f>IFERROR(__xludf.DUMMYFUNCTION("""COMPUTED_VALUE"""),0.021)</f>
        <v>0.021</v>
      </c>
      <c r="R2469" s="14">
        <f>IFERROR(__xludf.DUMMYFUNCTION("""COMPUTED_VALUE"""),73.0)</f>
        <v>73</v>
      </c>
      <c r="S2469" s="14">
        <f>IFERROR(__xludf.DUMMYFUNCTION("""COMPUTED_VALUE"""),66.0)</f>
        <v>66</v>
      </c>
      <c r="T2469" s="14">
        <f>IFERROR(__xludf.DUMMYFUNCTION("""COMPUTED_VALUE"""),0.207)</f>
        <v>0.207</v>
      </c>
      <c r="U2469" s="14">
        <f>IFERROR(__xludf.DUMMYFUNCTION("""COMPUTED_VALUE"""),0.71)</f>
        <v>0.71</v>
      </c>
      <c r="V2469" s="14">
        <f>IFERROR(__xludf.DUMMYFUNCTION("""COMPUTED_VALUE"""),0.083)</f>
        <v>0.083</v>
      </c>
      <c r="W2469" s="14">
        <f>IFERROR(__xludf.DUMMYFUNCTION("""COMPUTED_VALUE"""),1328095.0)</f>
        <v>1328095</v>
      </c>
      <c r="X2469" s="14">
        <f>IFERROR(__xludf.DUMMYFUNCTION("""COMPUTED_VALUE"""),0.091)</f>
        <v>0.091</v>
      </c>
      <c r="Y2469" s="14" t="str">
        <f>IFERROR(__xludf.DUMMYFUNCTION("""COMPUTED_VALUE"""),"Trinidad and Tobago-The Americas")</f>
        <v>Trinidad and Tobago-The Americas</v>
      </c>
      <c r="Z2469" s="14" t="str">
        <f>IFERROR(__xludf.DUMMYFUNCTION("""COMPUTED_VALUE"""),"The Americas")</f>
        <v>The Americas</v>
      </c>
      <c r="AA2469" s="14" t="str">
        <f>IFERROR(__xludf.DUMMYFUNCTION("""COMPUTED_VALUE"""),"2010")</f>
        <v>2010</v>
      </c>
      <c r="AB2469" s="15" t="str">
        <f>IFERROR(__xludf.DUMMYFUNCTION("ARRAYFORMULA(VLOOKUP(A2469,IMPORTRANGE(""https://docs.google.com/spreadsheets/d/1BuTWp7qHGjWhqrnf-OmePP568O4A5Am9ttzvVdP67zw/edit#gid=1931367683"" ,""ENERGY!$A$2:$F$2692""), {2,3,4,5,6},0))"),"The Americas")</f>
        <v>The Americas</v>
      </c>
      <c r="AC2469" s="14" t="str">
        <f>IFERROR(__xludf.DUMMYFUNCTION("""COMPUTED_VALUE"""),"Trinidad and Tobago-The Americas")</f>
        <v>Trinidad and Tobago-The Americas</v>
      </c>
      <c r="AD2469" s="14" t="str">
        <f>IFERROR(__xludf.DUMMYFUNCTION("""COMPUTED_VALUE"""),"2010")</f>
        <v>2010</v>
      </c>
      <c r="AE2469" s="14">
        <f>IFERROR(__xludf.DUMMYFUNCTION("""COMPUTED_VALUE"""),12540.0)</f>
        <v>12540</v>
      </c>
      <c r="AF2469" s="14">
        <f>IFERROR(__xludf.DUMMYFUNCTION("""COMPUTED_VALUE"""),26890.0)</f>
        <v>26890</v>
      </c>
    </row>
    <row r="2470">
      <c r="A2470" s="12">
        <v>2469.0</v>
      </c>
      <c r="B2470" s="12" t="s">
        <v>268</v>
      </c>
      <c r="C2470" s="5" t="s">
        <v>84</v>
      </c>
      <c r="D2470" s="11">
        <v>0.291</v>
      </c>
      <c r="E2470" s="11">
        <v>41.0</v>
      </c>
      <c r="F2470" s="8"/>
      <c r="G2470" s="11">
        <v>210.0</v>
      </c>
      <c r="H2470" s="11">
        <v>0.552</v>
      </c>
      <c r="I2470" s="11">
        <v>1.37</v>
      </c>
      <c r="J2470" s="9" t="s">
        <v>72</v>
      </c>
      <c r="K2470" s="14" t="str">
        <f>IFERROR(__xludf.DUMMYFUNCTION("ARRAYFORMULA(VLOOKUP(A2470,IMPORTRANGE(""https://docs.google.com/spreadsheets/d/1BuTWp7qHGjWhqrnf-OmePP568O4A5Am9ttzvVdP67zw/edit#gid=1603210130"", ""TOURISM!$A$2:$F$2692""), {2,3,4,5,6},0))"),"The Americas")</f>
        <v>The Americas</v>
      </c>
      <c r="L2470" s="14">
        <f>IFERROR(__xludf.DUMMYFUNCTION("""COMPUTED_VALUE"""),6.5E8)</f>
        <v>650000000</v>
      </c>
      <c r="M2470" s="14" t="str">
        <f>IFERROR(__xludf.DUMMYFUNCTION("""COMPUTED_VALUE"""),"Trinidad and Tobago-The Americas")</f>
        <v>Trinidad and Tobago-The Americas</v>
      </c>
      <c r="N2470" s="14" t="str">
        <f>IFERROR(__xludf.DUMMYFUNCTION("""COMPUTED_VALUE"""),"2011")</f>
        <v>2011</v>
      </c>
      <c r="O2470" s="14">
        <f>IFERROR(__xludf.DUMMYFUNCTION("""COMPUTED_VALUE"""),1.92E8)</f>
        <v>192000000</v>
      </c>
      <c r="P2470" s="15">
        <f>IFERROR(__xludf.DUMMYFUNCTION("ARRAYFORMULA(VLOOKUP(A2470,IMPORTRANGE(""https://docs.google.com/spreadsheets/d/1BuTWp7qHGjWhqrnf-OmePP568O4A5Am9ttzvVdP67zw/edit#gid=771602874"" ,""HUMAN RESOURCES!$A$2:$M$2692""), {2,3,4,5,6,7,8,9,10,11,12,13},0))"),0.015)</f>
        <v>0.015</v>
      </c>
      <c r="Q2470" s="14">
        <f>IFERROR(__xludf.DUMMYFUNCTION("""COMPUTED_VALUE"""),0.02)</f>
        <v>0.02</v>
      </c>
      <c r="R2470" s="14">
        <f>IFERROR(__xludf.DUMMYFUNCTION("""COMPUTED_VALUE"""),73.0)</f>
        <v>73</v>
      </c>
      <c r="S2470" s="14">
        <f>IFERROR(__xludf.DUMMYFUNCTION("""COMPUTED_VALUE"""),66.0)</f>
        <v>66</v>
      </c>
      <c r="T2470" s="14">
        <f>IFERROR(__xludf.DUMMYFUNCTION("""COMPUTED_VALUE"""),0.207)</f>
        <v>0.207</v>
      </c>
      <c r="U2470" s="14">
        <f>IFERROR(__xludf.DUMMYFUNCTION("""COMPUTED_VALUE"""),0.708)</f>
        <v>0.708</v>
      </c>
      <c r="V2470" s="14">
        <f>IFERROR(__xludf.DUMMYFUNCTION("""COMPUTED_VALUE"""),0.085)</f>
        <v>0.085</v>
      </c>
      <c r="W2470" s="14">
        <f>IFERROR(__xludf.DUMMYFUNCTION("""COMPUTED_VALUE"""),1333082.0)</f>
        <v>1333082</v>
      </c>
      <c r="X2470" s="14">
        <f>IFERROR(__xludf.DUMMYFUNCTION("""COMPUTED_VALUE"""),0.089)</f>
        <v>0.089</v>
      </c>
      <c r="Y2470" s="14" t="str">
        <f>IFERROR(__xludf.DUMMYFUNCTION("""COMPUTED_VALUE"""),"Trinidad and Tobago-The Americas")</f>
        <v>Trinidad and Tobago-The Americas</v>
      </c>
      <c r="Z2470" s="14" t="str">
        <f>IFERROR(__xludf.DUMMYFUNCTION("""COMPUTED_VALUE"""),"The Americas")</f>
        <v>The Americas</v>
      </c>
      <c r="AA2470" s="14" t="str">
        <f>IFERROR(__xludf.DUMMYFUNCTION("""COMPUTED_VALUE"""),"2011")</f>
        <v>2011</v>
      </c>
      <c r="AB2470" s="15" t="str">
        <f>IFERROR(__xludf.DUMMYFUNCTION("ARRAYFORMULA(VLOOKUP(A2470,IMPORTRANGE(""https://docs.google.com/spreadsheets/d/1BuTWp7qHGjWhqrnf-OmePP568O4A5Am9ttzvVdP67zw/edit#gid=1931367683"" ,""ENERGY!$A$2:$F$2692""), {2,3,4,5,6},0))"),"The Americas")</f>
        <v>The Americas</v>
      </c>
      <c r="AC2470" s="14" t="str">
        <f>IFERROR(__xludf.DUMMYFUNCTION("""COMPUTED_VALUE"""),"Trinidad and Tobago-The Americas")</f>
        <v>Trinidad and Tobago-The Americas</v>
      </c>
      <c r="AD2470" s="14" t="str">
        <f>IFERROR(__xludf.DUMMYFUNCTION("""COMPUTED_VALUE"""),"2007")</f>
        <v>2007</v>
      </c>
      <c r="AE2470" s="14">
        <f>IFERROR(__xludf.DUMMYFUNCTION("""COMPUTED_VALUE"""),11762.0)</f>
        <v>11762</v>
      </c>
      <c r="AF2470" s="14">
        <f>IFERROR(__xludf.DUMMYFUNCTION("""COMPUTED_VALUE"""),25024.0)</f>
        <v>25024</v>
      </c>
    </row>
    <row r="2471">
      <c r="A2471" s="12">
        <v>2470.0</v>
      </c>
      <c r="B2471" s="12" t="s">
        <v>268</v>
      </c>
      <c r="C2471" s="5" t="s">
        <v>84</v>
      </c>
      <c r="D2471" s="11">
        <v>0.291</v>
      </c>
      <c r="E2471" s="11">
        <v>41.0</v>
      </c>
      <c r="F2471" s="11">
        <v>63.0</v>
      </c>
      <c r="G2471" s="11">
        <v>210.0</v>
      </c>
      <c r="H2471" s="11">
        <v>0.595</v>
      </c>
      <c r="I2471" s="11">
        <v>1.408</v>
      </c>
      <c r="J2471" s="9" t="s">
        <v>73</v>
      </c>
      <c r="K2471" s="14" t="str">
        <f>IFERROR(__xludf.DUMMYFUNCTION("ARRAYFORMULA(VLOOKUP(A2471,IMPORTRANGE(""https://docs.google.com/spreadsheets/d/1BuTWp7qHGjWhqrnf-OmePP568O4A5Am9ttzvVdP67zw/edit#gid=1603210130"", ""TOURISM!$A$2:$F$2692""), {2,3,4,5,6},0))"),"The Americas")</f>
        <v>The Americas</v>
      </c>
      <c r="L2471" s="14"/>
      <c r="M2471" s="14" t="str">
        <f>IFERROR(__xludf.DUMMYFUNCTION("""COMPUTED_VALUE"""),"Trinidad and Tobago-The Americas")</f>
        <v>Trinidad and Tobago-The Americas</v>
      </c>
      <c r="N2471" s="14" t="str">
        <f>IFERROR(__xludf.DUMMYFUNCTION("""COMPUTED_VALUE"""),"2012")</f>
        <v>2012</v>
      </c>
      <c r="O2471" s="14"/>
      <c r="P2471" s="15">
        <f>IFERROR(__xludf.DUMMYFUNCTION("ARRAYFORMULA(VLOOKUP(A2471,IMPORTRANGE(""https://docs.google.com/spreadsheets/d/1BuTWp7qHGjWhqrnf-OmePP568O4A5Am9ttzvVdP67zw/edit#gid=771602874"" ,""HUMAN RESOURCES!$A$2:$M$2692""), {2,3,4,5,6,7,8,9,10,11,12,13},0))"),0.015)</f>
        <v>0.015</v>
      </c>
      <c r="Q2471" s="14">
        <f>IFERROR(__xludf.DUMMYFUNCTION("""COMPUTED_VALUE"""),0.02)</f>
        <v>0.02</v>
      </c>
      <c r="R2471" s="14">
        <f>IFERROR(__xludf.DUMMYFUNCTION("""COMPUTED_VALUE"""),74.0)</f>
        <v>74</v>
      </c>
      <c r="S2471" s="14">
        <f>IFERROR(__xludf.DUMMYFUNCTION("""COMPUTED_VALUE"""),66.0)</f>
        <v>66</v>
      </c>
      <c r="T2471" s="14">
        <f>IFERROR(__xludf.DUMMYFUNCTION("""COMPUTED_VALUE"""),0.207)</f>
        <v>0.207</v>
      </c>
      <c r="U2471" s="14">
        <f>IFERROR(__xludf.DUMMYFUNCTION("""COMPUTED_VALUE"""),0.705)</f>
        <v>0.705</v>
      </c>
      <c r="V2471" s="14">
        <f>IFERROR(__xludf.DUMMYFUNCTION("""COMPUTED_VALUE"""),0.088)</f>
        <v>0.088</v>
      </c>
      <c r="W2471" s="14">
        <f>IFERROR(__xludf.DUMMYFUNCTION("""COMPUTED_VALUE"""),1337439.0)</f>
        <v>1337439</v>
      </c>
      <c r="X2471" s="14">
        <f>IFERROR(__xludf.DUMMYFUNCTION("""COMPUTED_VALUE"""),0.088)</f>
        <v>0.088</v>
      </c>
      <c r="Y2471" s="14" t="str">
        <f>IFERROR(__xludf.DUMMYFUNCTION("""COMPUTED_VALUE"""),"Trinidad and Tobago-The Americas")</f>
        <v>Trinidad and Tobago-The Americas</v>
      </c>
      <c r="Z2471" s="14" t="str">
        <f>IFERROR(__xludf.DUMMYFUNCTION("""COMPUTED_VALUE"""),"The Americas")</f>
        <v>The Americas</v>
      </c>
      <c r="AA2471" s="14" t="str">
        <f>IFERROR(__xludf.DUMMYFUNCTION("""COMPUTED_VALUE"""),"2012")</f>
        <v>2012</v>
      </c>
      <c r="AB2471" s="15" t="str">
        <f>IFERROR(__xludf.DUMMYFUNCTION("ARRAYFORMULA(VLOOKUP(A2471,IMPORTRANGE(""https://docs.google.com/spreadsheets/d/1BuTWp7qHGjWhqrnf-OmePP568O4A5Am9ttzvVdP67zw/edit#gid=1931367683"" ,""ENERGY!$A$2:$F$2692""), {2,3,4,5,6},0))"),"The Americas")</f>
        <v>The Americas</v>
      </c>
      <c r="AC2471" s="14" t="str">
        <f>IFERROR(__xludf.DUMMYFUNCTION("""COMPUTED_VALUE"""),"Trinidad and Tobago-The Americas")</f>
        <v>Trinidad and Tobago-The Americas</v>
      </c>
      <c r="AD2471" s="14" t="str">
        <f>IFERROR(__xludf.DUMMYFUNCTION("""COMPUTED_VALUE"""),"2012")</f>
        <v>2012</v>
      </c>
      <c r="AE2471" s="14">
        <f>IFERROR(__xludf.DUMMYFUNCTION("""COMPUTED_VALUE"""),10854.0)</f>
        <v>10854</v>
      </c>
      <c r="AF2471" s="14">
        <f>IFERROR(__xludf.DUMMYFUNCTION("""COMPUTED_VALUE"""),24514.0)</f>
        <v>24514</v>
      </c>
    </row>
    <row r="2472">
      <c r="A2472" s="12">
        <v>2471.0</v>
      </c>
      <c r="B2472" s="12" t="s">
        <v>269</v>
      </c>
      <c r="C2472" s="5" t="s">
        <v>77</v>
      </c>
      <c r="D2472" s="8"/>
      <c r="E2472" s="8"/>
      <c r="F2472" s="8"/>
      <c r="G2472" s="8"/>
      <c r="H2472" s="11">
        <v>0.028</v>
      </c>
      <c r="I2472" s="11">
        <v>0.012</v>
      </c>
      <c r="J2472" s="9" t="s">
        <v>60</v>
      </c>
      <c r="K2472" s="14" t="str">
        <f>IFERROR(__xludf.DUMMYFUNCTION("ARRAYFORMULA(VLOOKUP(A2472,IMPORTRANGE(""https://docs.google.com/spreadsheets/d/1BuTWp7qHGjWhqrnf-OmePP568O4A5Am9ttzvVdP67zw/edit#gid=1603210130"", ""TOURISM!$A$2:$F$2692""), {2,3,4,5,6},0))"),"Africa")</f>
        <v>Africa</v>
      </c>
      <c r="L2472" s="14">
        <f>IFERROR(__xludf.DUMMYFUNCTION("""COMPUTED_VALUE"""),1.977E9)</f>
        <v>1977000000</v>
      </c>
      <c r="M2472" s="14" t="str">
        <f>IFERROR(__xludf.DUMMYFUNCTION("""COMPUTED_VALUE"""),"Tunisia-Africa")</f>
        <v>Tunisia-Africa</v>
      </c>
      <c r="N2472" s="14" t="str">
        <f>IFERROR(__xludf.DUMMYFUNCTION("""COMPUTED_VALUE"""),"2000")</f>
        <v>2000</v>
      </c>
      <c r="O2472" s="14">
        <f>IFERROR(__xludf.DUMMYFUNCTION("""COMPUTED_VALUE"""),3.1E8)</f>
        <v>310000000</v>
      </c>
      <c r="P2472" s="15">
        <f>IFERROR(__xludf.DUMMYFUNCTION("ARRAYFORMULA(VLOOKUP(A2472,IMPORTRANGE(""https://docs.google.com/spreadsheets/d/1BuTWp7qHGjWhqrnf-OmePP568O4A5Am9ttzvVdP67zw/edit#gid=771602874"" ,""HUMAN RESOURCES!$A$2:$M$2692""), {2,3,4,5,6,7,8,9,10,11,12,13},0))"),0.017)</f>
        <v>0.017</v>
      </c>
      <c r="Q2472" s="14">
        <f>IFERROR(__xludf.DUMMYFUNCTION("""COMPUTED_VALUE"""),0.026)</f>
        <v>0.026</v>
      </c>
      <c r="R2472" s="14">
        <f>IFERROR(__xludf.DUMMYFUNCTION("""COMPUTED_VALUE"""),75.0)</f>
        <v>75</v>
      </c>
      <c r="S2472" s="14">
        <f>IFERROR(__xludf.DUMMYFUNCTION("""COMPUTED_VALUE"""),71.0)</f>
        <v>71</v>
      </c>
      <c r="T2472" s="14">
        <f>IFERROR(__xludf.DUMMYFUNCTION("""COMPUTED_VALUE"""),0.298)</f>
        <v>0.298</v>
      </c>
      <c r="U2472" s="14">
        <f>IFERROR(__xludf.DUMMYFUNCTION("""COMPUTED_VALUE"""),0.641)</f>
        <v>0.641</v>
      </c>
      <c r="V2472" s="14">
        <f>IFERROR(__xludf.DUMMYFUNCTION("""COMPUTED_VALUE"""),0.06)</f>
        <v>0.06</v>
      </c>
      <c r="W2472" s="14">
        <f>IFERROR(__xludf.DUMMYFUNCTION("""COMPUTED_VALUE"""),9563500.0)</f>
        <v>9563500</v>
      </c>
      <c r="X2472" s="14">
        <f>IFERROR(__xludf.DUMMYFUNCTION("""COMPUTED_VALUE"""),0.634)</f>
        <v>0.634</v>
      </c>
      <c r="Y2472" s="14" t="str">
        <f>IFERROR(__xludf.DUMMYFUNCTION("""COMPUTED_VALUE"""),"Tunisia-Africa")</f>
        <v>Tunisia-Africa</v>
      </c>
      <c r="Z2472" s="14" t="str">
        <f>IFERROR(__xludf.DUMMYFUNCTION("""COMPUTED_VALUE"""),"Africa")</f>
        <v>Africa</v>
      </c>
      <c r="AA2472" s="14" t="str">
        <f>IFERROR(__xludf.DUMMYFUNCTION("""COMPUTED_VALUE"""),"2000")</f>
        <v>2000</v>
      </c>
      <c r="AB2472" s="15" t="str">
        <f>IFERROR(__xludf.DUMMYFUNCTION("ARRAYFORMULA(VLOOKUP(A2472,IMPORTRANGE(""https://docs.google.com/spreadsheets/d/1BuTWp7qHGjWhqrnf-OmePP568O4A5Am9ttzvVdP67zw/edit#gid=1931367683"" ,""ENERGY!$A$2:$F$2692""), {2,3,4,5,6},0))"),"Africa")</f>
        <v>Africa</v>
      </c>
      <c r="AC2472" s="14" t="str">
        <f>IFERROR(__xludf.DUMMYFUNCTION("""COMPUTED_VALUE"""),"Tunisia-Africa")</f>
        <v>Tunisia-Africa</v>
      </c>
      <c r="AD2472" s="14" t="str">
        <f>IFERROR(__xludf.DUMMYFUNCTION("""COMPUTED_VALUE"""),"2000")</f>
        <v>2000</v>
      </c>
      <c r="AE2472" s="14"/>
      <c r="AF2472" s="14"/>
    </row>
    <row r="2473">
      <c r="A2473" s="12">
        <v>2472.0</v>
      </c>
      <c r="B2473" s="12" t="s">
        <v>269</v>
      </c>
      <c r="C2473" s="5" t="s">
        <v>77</v>
      </c>
      <c r="D2473" s="8"/>
      <c r="E2473" s="8"/>
      <c r="F2473" s="8"/>
      <c r="G2473" s="8"/>
      <c r="H2473" s="11">
        <v>0.043</v>
      </c>
      <c r="I2473" s="11">
        <v>0.04</v>
      </c>
      <c r="J2473" s="9" t="s">
        <v>62</v>
      </c>
      <c r="K2473" s="14" t="str">
        <f>IFERROR(__xludf.DUMMYFUNCTION("ARRAYFORMULA(VLOOKUP(A2473,IMPORTRANGE(""https://docs.google.com/spreadsheets/d/1BuTWp7qHGjWhqrnf-OmePP568O4A5Am9ttzvVdP67zw/edit#gid=1603210130"", ""TOURISM!$A$2:$F$2692""), {2,3,4,5,6},0))"),"Africa")</f>
        <v>Africa</v>
      </c>
      <c r="L2473" s="14">
        <f>IFERROR(__xludf.DUMMYFUNCTION("""COMPUTED_VALUE"""),2.061E9)</f>
        <v>2061000000</v>
      </c>
      <c r="M2473" s="14" t="str">
        <f>IFERROR(__xludf.DUMMYFUNCTION("""COMPUTED_VALUE"""),"Tunisia-Africa")</f>
        <v>Tunisia-Africa</v>
      </c>
      <c r="N2473" s="14" t="str">
        <f>IFERROR(__xludf.DUMMYFUNCTION("""COMPUTED_VALUE"""),"2001")</f>
        <v>2001</v>
      </c>
      <c r="O2473" s="14">
        <f>IFERROR(__xludf.DUMMYFUNCTION("""COMPUTED_VALUE"""),3.22E8)</f>
        <v>322000000</v>
      </c>
      <c r="P2473" s="15">
        <f>IFERROR(__xludf.DUMMYFUNCTION("ARRAYFORMULA(VLOOKUP(A2473,IMPORTRANGE(""https://docs.google.com/spreadsheets/d/1BuTWp7qHGjWhqrnf-OmePP568O4A5Am9ttzvVdP67zw/edit#gid=771602874"" ,""HUMAN RESOURCES!$A$2:$M$2692""), {2,3,4,5,6,7,8,9,10,11,12,13},0))"),0.017)</f>
        <v>0.017</v>
      </c>
      <c r="Q2473" s="14">
        <f>IFERROR(__xludf.DUMMYFUNCTION("""COMPUTED_VALUE"""),0.024)</f>
        <v>0.024</v>
      </c>
      <c r="R2473" s="14">
        <f>IFERROR(__xludf.DUMMYFUNCTION("""COMPUTED_VALUE"""),75.0)</f>
        <v>75</v>
      </c>
      <c r="S2473" s="14">
        <f>IFERROR(__xludf.DUMMYFUNCTION("""COMPUTED_VALUE"""),71.0)</f>
        <v>71</v>
      </c>
      <c r="T2473" s="14">
        <f>IFERROR(__xludf.DUMMYFUNCTION("""COMPUTED_VALUE"""),0.289)</f>
        <v>0.289</v>
      </c>
      <c r="U2473" s="14">
        <f>IFERROR(__xludf.DUMMYFUNCTION("""COMPUTED_VALUE"""),0.649)</f>
        <v>0.649</v>
      </c>
      <c r="V2473" s="14">
        <f>IFERROR(__xludf.DUMMYFUNCTION("""COMPUTED_VALUE"""),0.062)</f>
        <v>0.062</v>
      </c>
      <c r="W2473" s="14">
        <f>IFERROR(__xludf.DUMMYFUNCTION("""COMPUTED_VALUE"""),9673600.0)</f>
        <v>9673600</v>
      </c>
      <c r="X2473" s="14">
        <f>IFERROR(__xludf.DUMMYFUNCTION("""COMPUTED_VALUE"""),0.638)</f>
        <v>0.638</v>
      </c>
      <c r="Y2473" s="14" t="str">
        <f>IFERROR(__xludf.DUMMYFUNCTION("""COMPUTED_VALUE"""),"Tunisia-Africa")</f>
        <v>Tunisia-Africa</v>
      </c>
      <c r="Z2473" s="14" t="str">
        <f>IFERROR(__xludf.DUMMYFUNCTION("""COMPUTED_VALUE"""),"Africa")</f>
        <v>Africa</v>
      </c>
      <c r="AA2473" s="14" t="str">
        <f>IFERROR(__xludf.DUMMYFUNCTION("""COMPUTED_VALUE"""),"2001")</f>
        <v>2001</v>
      </c>
      <c r="AB2473" s="15" t="str">
        <f>IFERROR(__xludf.DUMMYFUNCTION("ARRAYFORMULA(VLOOKUP(A2473,IMPORTRANGE(""https://docs.google.com/spreadsheets/d/1BuTWp7qHGjWhqrnf-OmePP568O4A5Am9ttzvVdP67zw/edit#gid=1931367683"" ,""ENERGY!$A$2:$F$2692""), {2,3,4,5,6},0))"),"Africa")</f>
        <v>Africa</v>
      </c>
      <c r="AC2473" s="14" t="str">
        <f>IFERROR(__xludf.DUMMYFUNCTION("""COMPUTED_VALUE"""),"Tunisia-Africa")</f>
        <v>Tunisia-Africa</v>
      </c>
      <c r="AD2473" s="14" t="str">
        <f>IFERROR(__xludf.DUMMYFUNCTION("""COMPUTED_VALUE"""),"2001")</f>
        <v>2001</v>
      </c>
      <c r="AE2473" s="14">
        <f>IFERROR(__xludf.DUMMYFUNCTION("""COMPUTED_VALUE"""),9504.0)</f>
        <v>9504</v>
      </c>
      <c r="AF2473" s="14"/>
    </row>
    <row r="2474">
      <c r="A2474" s="12">
        <v>2473.0</v>
      </c>
      <c r="B2474" s="12" t="s">
        <v>269</v>
      </c>
      <c r="C2474" s="5" t="s">
        <v>77</v>
      </c>
      <c r="D2474" s="8"/>
      <c r="E2474" s="8"/>
      <c r="F2474" s="8"/>
      <c r="G2474" s="8"/>
      <c r="H2474" s="11">
        <v>0.053</v>
      </c>
      <c r="I2474" s="11">
        <v>0.059</v>
      </c>
      <c r="J2474" s="9" t="s">
        <v>63</v>
      </c>
      <c r="K2474" s="14" t="str">
        <f>IFERROR(__xludf.DUMMYFUNCTION("ARRAYFORMULA(VLOOKUP(A2474,IMPORTRANGE(""https://docs.google.com/spreadsheets/d/1BuTWp7qHGjWhqrnf-OmePP568O4A5Am9ttzvVdP67zw/edit#gid=1603210130"", ""TOURISM!$A$2:$F$2692""), {2,3,4,5,6},0))"),"Africa")</f>
        <v>Africa</v>
      </c>
      <c r="L2474" s="14">
        <f>IFERROR(__xludf.DUMMYFUNCTION("""COMPUTED_VALUE"""),1.831E9)</f>
        <v>1831000000</v>
      </c>
      <c r="M2474" s="14" t="str">
        <f>IFERROR(__xludf.DUMMYFUNCTION("""COMPUTED_VALUE"""),"Tunisia-Africa")</f>
        <v>Tunisia-Africa</v>
      </c>
      <c r="N2474" s="14" t="str">
        <f>IFERROR(__xludf.DUMMYFUNCTION("""COMPUTED_VALUE"""),"2002")</f>
        <v>2002</v>
      </c>
      <c r="O2474" s="14">
        <f>IFERROR(__xludf.DUMMYFUNCTION("""COMPUTED_VALUE"""),3.03E8)</f>
        <v>303000000</v>
      </c>
      <c r="P2474" s="15">
        <f>IFERROR(__xludf.DUMMYFUNCTION("ARRAYFORMULA(VLOOKUP(A2474,IMPORTRANGE(""https://docs.google.com/spreadsheets/d/1BuTWp7qHGjWhqrnf-OmePP568O4A5Am9ttzvVdP67zw/edit#gid=771602874"" ,""HUMAN RESOURCES!$A$2:$M$2692""), {2,3,4,5,6,7,8,9,10,11,12,13},0))"),0.017)</f>
        <v>0.017</v>
      </c>
      <c r="Q2474" s="14">
        <f>IFERROR(__xludf.DUMMYFUNCTION("""COMPUTED_VALUE"""),0.023)</f>
        <v>0.023</v>
      </c>
      <c r="R2474" s="14">
        <f>IFERROR(__xludf.DUMMYFUNCTION("""COMPUTED_VALUE"""),75.0)</f>
        <v>75</v>
      </c>
      <c r="S2474" s="14">
        <f>IFERROR(__xludf.DUMMYFUNCTION("""COMPUTED_VALUE"""),71.0)</f>
        <v>71</v>
      </c>
      <c r="T2474" s="14">
        <f>IFERROR(__xludf.DUMMYFUNCTION("""COMPUTED_VALUE"""),0.281)</f>
        <v>0.281</v>
      </c>
      <c r="U2474" s="14">
        <f>IFERROR(__xludf.DUMMYFUNCTION("""COMPUTED_VALUE"""),0.656)</f>
        <v>0.656</v>
      </c>
      <c r="V2474" s="14">
        <f>IFERROR(__xludf.DUMMYFUNCTION("""COMPUTED_VALUE"""),0.064)</f>
        <v>0.064</v>
      </c>
      <c r="W2474" s="14">
        <f>IFERROR(__xludf.DUMMYFUNCTION("""COMPUTED_VALUE"""),9781900.0)</f>
        <v>9781900</v>
      </c>
      <c r="X2474" s="14">
        <f>IFERROR(__xludf.DUMMYFUNCTION("""COMPUTED_VALUE"""),0.642)</f>
        <v>0.642</v>
      </c>
      <c r="Y2474" s="14" t="str">
        <f>IFERROR(__xludf.DUMMYFUNCTION("""COMPUTED_VALUE"""),"Tunisia-Africa")</f>
        <v>Tunisia-Africa</v>
      </c>
      <c r="Z2474" s="14" t="str">
        <f>IFERROR(__xludf.DUMMYFUNCTION("""COMPUTED_VALUE"""),"Africa")</f>
        <v>Africa</v>
      </c>
      <c r="AA2474" s="14" t="str">
        <f>IFERROR(__xludf.DUMMYFUNCTION("""COMPUTED_VALUE"""),"2002")</f>
        <v>2002</v>
      </c>
      <c r="AB2474" s="15" t="str">
        <f>IFERROR(__xludf.DUMMYFUNCTION("ARRAYFORMULA(VLOOKUP(A2474,IMPORTRANGE(""https://docs.google.com/spreadsheets/d/1BuTWp7qHGjWhqrnf-OmePP568O4A5Am9ttzvVdP67zw/edit#gid=1931367683"" ,""ENERGY!$A$2:$F$2692""), {2,3,4,5,6},0))"),"Africa")</f>
        <v>Africa</v>
      </c>
      <c r="AC2474" s="14" t="str">
        <f>IFERROR(__xludf.DUMMYFUNCTION("""COMPUTED_VALUE"""),"Tunisia-Africa")</f>
        <v>Tunisia-Africa</v>
      </c>
      <c r="AD2474" s="14" t="str">
        <f>IFERROR(__xludf.DUMMYFUNCTION("""COMPUTED_VALUE"""),"2002")</f>
        <v>2002</v>
      </c>
      <c r="AE2474" s="14">
        <f>IFERROR(__xludf.DUMMYFUNCTION("""COMPUTED_VALUE"""),9674.0)</f>
        <v>9674</v>
      </c>
      <c r="AF2474" s="14">
        <f>IFERROR(__xludf.DUMMYFUNCTION("""COMPUTED_VALUE"""),25878.0)</f>
        <v>25878</v>
      </c>
    </row>
    <row r="2475">
      <c r="A2475" s="12">
        <v>2474.0</v>
      </c>
      <c r="B2475" s="12" t="s">
        <v>269</v>
      </c>
      <c r="C2475" s="5" t="s">
        <v>77</v>
      </c>
      <c r="D2475" s="8"/>
      <c r="E2475" s="11">
        <v>11.0</v>
      </c>
      <c r="F2475" s="8"/>
      <c r="G2475" s="8"/>
      <c r="H2475" s="11">
        <v>0.065</v>
      </c>
      <c r="I2475" s="11">
        <v>0.195</v>
      </c>
      <c r="J2475" s="9" t="s">
        <v>64</v>
      </c>
      <c r="K2475" s="14" t="str">
        <f>IFERROR(__xludf.DUMMYFUNCTION("ARRAYFORMULA(VLOOKUP(A2475,IMPORTRANGE(""https://docs.google.com/spreadsheets/d/1BuTWp7qHGjWhqrnf-OmePP568O4A5Am9ttzvVdP67zw/edit#gid=1603210130"", ""TOURISM!$A$2:$F$2692""), {2,3,4,5,6},0))"),"Africa")</f>
        <v>Africa</v>
      </c>
      <c r="L2475" s="14">
        <f>IFERROR(__xludf.DUMMYFUNCTION("""COMPUTED_VALUE"""),1.935E9)</f>
        <v>1935000000</v>
      </c>
      <c r="M2475" s="14" t="str">
        <f>IFERROR(__xludf.DUMMYFUNCTION("""COMPUTED_VALUE"""),"Tunisia-Africa")</f>
        <v>Tunisia-Africa</v>
      </c>
      <c r="N2475" s="14" t="str">
        <f>IFERROR(__xludf.DUMMYFUNCTION("""COMPUTED_VALUE"""),"2003")</f>
        <v>2003</v>
      </c>
      <c r="O2475" s="14">
        <f>IFERROR(__xludf.DUMMYFUNCTION("""COMPUTED_VALUE"""),3.55E8)</f>
        <v>355000000</v>
      </c>
      <c r="P2475" s="15">
        <f>IFERROR(__xludf.DUMMYFUNCTION("ARRAYFORMULA(VLOOKUP(A2475,IMPORTRANGE(""https://docs.google.com/spreadsheets/d/1BuTWp7qHGjWhqrnf-OmePP568O4A5Am9ttzvVdP67zw/edit#gid=771602874"" ,""HUMAN RESOURCES!$A$2:$M$2692""), {2,3,4,5,6,7,8,9,10,11,12,13},0))"),0.017)</f>
        <v>0.017</v>
      </c>
      <c r="Q2475" s="14">
        <f>IFERROR(__xludf.DUMMYFUNCTION("""COMPUTED_VALUE"""),0.022)</f>
        <v>0.022</v>
      </c>
      <c r="R2475" s="14">
        <f>IFERROR(__xludf.DUMMYFUNCTION("""COMPUTED_VALUE"""),75.0)</f>
        <v>75</v>
      </c>
      <c r="S2475" s="14">
        <f>IFERROR(__xludf.DUMMYFUNCTION("""COMPUTED_VALUE"""),71.0)</f>
        <v>71</v>
      </c>
      <c r="T2475" s="14">
        <f>IFERROR(__xludf.DUMMYFUNCTION("""COMPUTED_VALUE"""),0.272)</f>
        <v>0.272</v>
      </c>
      <c r="U2475" s="14">
        <f>IFERROR(__xludf.DUMMYFUNCTION("""COMPUTED_VALUE"""),0.663)</f>
        <v>0.663</v>
      </c>
      <c r="V2475" s="14">
        <f>IFERROR(__xludf.DUMMYFUNCTION("""COMPUTED_VALUE"""),0.065)</f>
        <v>0.065</v>
      </c>
      <c r="W2475" s="14">
        <f>IFERROR(__xludf.DUMMYFUNCTION("""COMPUTED_VALUE"""),9839800.0)</f>
        <v>9839800</v>
      </c>
      <c r="X2475" s="14">
        <f>IFERROR(__xludf.DUMMYFUNCTION("""COMPUTED_VALUE"""),0.646)</f>
        <v>0.646</v>
      </c>
      <c r="Y2475" s="14" t="str">
        <f>IFERROR(__xludf.DUMMYFUNCTION("""COMPUTED_VALUE"""),"Tunisia-Africa")</f>
        <v>Tunisia-Africa</v>
      </c>
      <c r="Z2475" s="14" t="str">
        <f>IFERROR(__xludf.DUMMYFUNCTION("""COMPUTED_VALUE"""),"Africa")</f>
        <v>Africa</v>
      </c>
      <c r="AA2475" s="14" t="str">
        <f>IFERROR(__xludf.DUMMYFUNCTION("""COMPUTED_VALUE"""),"2003")</f>
        <v>2003</v>
      </c>
      <c r="AB2475" s="15" t="str">
        <f>IFERROR(__xludf.DUMMYFUNCTION("ARRAYFORMULA(VLOOKUP(A2475,IMPORTRANGE(""https://docs.google.com/spreadsheets/d/1BuTWp7qHGjWhqrnf-OmePP568O4A5Am9ttzvVdP67zw/edit#gid=1931367683"" ,""ENERGY!$A$2:$F$2692""), {2,3,4,5,6},0))"),"Africa")</f>
        <v>Africa</v>
      </c>
      <c r="AC2475" s="14" t="str">
        <f>IFERROR(__xludf.DUMMYFUNCTION("""COMPUTED_VALUE"""),"Tunisia-Africa")</f>
        <v>Tunisia-Africa</v>
      </c>
      <c r="AD2475" s="14" t="str">
        <f>IFERROR(__xludf.DUMMYFUNCTION("""COMPUTED_VALUE"""),"2003")</f>
        <v>2003</v>
      </c>
      <c r="AE2475" s="14">
        <f>IFERROR(__xludf.DUMMYFUNCTION("""COMPUTED_VALUE"""),9193.0)</f>
        <v>9193</v>
      </c>
      <c r="AF2475" s="14">
        <f>IFERROR(__xludf.DUMMYFUNCTION("""COMPUTED_VALUE"""),24807.0)</f>
        <v>24807</v>
      </c>
    </row>
    <row r="2476">
      <c r="A2476" s="12">
        <v>2475.0</v>
      </c>
      <c r="B2476" s="12" t="s">
        <v>269</v>
      </c>
      <c r="C2476" s="5" t="s">
        <v>77</v>
      </c>
      <c r="D2476" s="8"/>
      <c r="E2476" s="11">
        <v>11.0</v>
      </c>
      <c r="F2476" s="8"/>
      <c r="G2476" s="8"/>
      <c r="H2476" s="11">
        <v>0.085</v>
      </c>
      <c r="I2476" s="11">
        <v>0.376</v>
      </c>
      <c r="J2476" s="9" t="s">
        <v>65</v>
      </c>
      <c r="K2476" s="14" t="str">
        <f>IFERROR(__xludf.DUMMYFUNCTION("ARRAYFORMULA(VLOOKUP(A2476,IMPORTRANGE(""https://docs.google.com/spreadsheets/d/1BuTWp7qHGjWhqrnf-OmePP568O4A5Am9ttzvVdP67zw/edit#gid=1603210130"", ""TOURISM!$A$2:$F$2692""), {2,3,4,5,6},0))"),"Africa")</f>
        <v>Africa</v>
      </c>
      <c r="L2476" s="14">
        <f>IFERROR(__xludf.DUMMYFUNCTION("""COMPUTED_VALUE"""),2.432E9)</f>
        <v>2432000000</v>
      </c>
      <c r="M2476" s="14" t="str">
        <f>IFERROR(__xludf.DUMMYFUNCTION("""COMPUTED_VALUE"""),"Tunisia-Africa")</f>
        <v>Tunisia-Africa</v>
      </c>
      <c r="N2476" s="14" t="str">
        <f>IFERROR(__xludf.DUMMYFUNCTION("""COMPUTED_VALUE"""),"2004")</f>
        <v>2004</v>
      </c>
      <c r="O2476" s="14">
        <f>IFERROR(__xludf.DUMMYFUNCTION("""COMPUTED_VALUE"""),4.27E8)</f>
        <v>427000000</v>
      </c>
      <c r="P2476" s="15">
        <f>IFERROR(__xludf.DUMMYFUNCTION("ARRAYFORMULA(VLOOKUP(A2476,IMPORTRANGE(""https://docs.google.com/spreadsheets/d/1BuTWp7qHGjWhqrnf-OmePP568O4A5Am9ttzvVdP67zw/edit#gid=771602874"" ,""HUMAN RESOURCES!$A$2:$M$2692""), {2,3,4,5,6,7,8,9,10,11,12,13},0))"),0.017)</f>
        <v>0.017</v>
      </c>
      <c r="Q2476" s="14">
        <f>IFERROR(__xludf.DUMMYFUNCTION("""COMPUTED_VALUE"""),0.021)</f>
        <v>0.021</v>
      </c>
      <c r="R2476" s="14">
        <f>IFERROR(__xludf.DUMMYFUNCTION("""COMPUTED_VALUE"""),75.0)</f>
        <v>75</v>
      </c>
      <c r="S2476" s="14">
        <f>IFERROR(__xludf.DUMMYFUNCTION("""COMPUTED_VALUE"""),71.0)</f>
        <v>71</v>
      </c>
      <c r="T2476" s="14">
        <f>IFERROR(__xludf.DUMMYFUNCTION("""COMPUTED_VALUE"""),0.265)</f>
        <v>0.265</v>
      </c>
      <c r="U2476" s="14">
        <f>IFERROR(__xludf.DUMMYFUNCTION("""COMPUTED_VALUE"""),0.669)</f>
        <v>0.669</v>
      </c>
      <c r="V2476" s="14">
        <f>IFERROR(__xludf.DUMMYFUNCTION("""COMPUTED_VALUE"""),0.066)</f>
        <v>0.066</v>
      </c>
      <c r="W2476" s="14">
        <f>IFERROR(__xludf.DUMMYFUNCTION("""COMPUTED_VALUE"""),9932400.0)</f>
        <v>9932400</v>
      </c>
      <c r="X2476" s="14">
        <f>IFERROR(__xludf.DUMMYFUNCTION("""COMPUTED_VALUE"""),0.649)</f>
        <v>0.649</v>
      </c>
      <c r="Y2476" s="14" t="str">
        <f>IFERROR(__xludf.DUMMYFUNCTION("""COMPUTED_VALUE"""),"Tunisia-Africa")</f>
        <v>Tunisia-Africa</v>
      </c>
      <c r="Z2476" s="14" t="str">
        <f>IFERROR(__xludf.DUMMYFUNCTION("""COMPUTED_VALUE"""),"Africa")</f>
        <v>Africa</v>
      </c>
      <c r="AA2476" s="14" t="str">
        <f>IFERROR(__xludf.DUMMYFUNCTION("""COMPUTED_VALUE"""),"2004")</f>
        <v>2004</v>
      </c>
      <c r="AB2476" s="15" t="str">
        <f>IFERROR(__xludf.DUMMYFUNCTION("ARRAYFORMULA(VLOOKUP(A2476,IMPORTRANGE(""https://docs.google.com/spreadsheets/d/1BuTWp7qHGjWhqrnf-OmePP568O4A5Am9ttzvVdP67zw/edit#gid=1931367683"" ,""ENERGY!$A$2:$F$2692""), {2,3,4,5,6},0))"),"Africa")</f>
        <v>Africa</v>
      </c>
      <c r="AC2476" s="14" t="str">
        <f>IFERROR(__xludf.DUMMYFUNCTION("""COMPUTED_VALUE"""),"Tunisia-Africa")</f>
        <v>Tunisia-Africa</v>
      </c>
      <c r="AD2476" s="14" t="str">
        <f>IFERROR(__xludf.DUMMYFUNCTION("""COMPUTED_VALUE"""),"2005")</f>
        <v>2005</v>
      </c>
      <c r="AE2476" s="14">
        <f>IFERROR(__xludf.DUMMYFUNCTION("""COMPUTED_VALUE"""),9427.0)</f>
        <v>9427</v>
      </c>
      <c r="AF2476" s="14">
        <f>IFERROR(__xludf.DUMMYFUNCTION("""COMPUTED_VALUE"""),25013.0)</f>
        <v>25013</v>
      </c>
    </row>
    <row r="2477">
      <c r="A2477" s="12">
        <v>2476.0</v>
      </c>
      <c r="B2477" s="12" t="s">
        <v>269</v>
      </c>
      <c r="C2477" s="5" t="s">
        <v>77</v>
      </c>
      <c r="D2477" s="11">
        <v>0.606</v>
      </c>
      <c r="E2477" s="11">
        <v>11.0</v>
      </c>
      <c r="F2477" s="8"/>
      <c r="G2477" s="11">
        <v>268.0</v>
      </c>
      <c r="H2477" s="11">
        <v>0.097</v>
      </c>
      <c r="I2477" s="11">
        <v>0.565</v>
      </c>
      <c r="J2477" s="9" t="s">
        <v>66</v>
      </c>
      <c r="K2477" s="14" t="str">
        <f>IFERROR(__xludf.DUMMYFUNCTION("ARRAYFORMULA(VLOOKUP(A2477,IMPORTRANGE(""https://docs.google.com/spreadsheets/d/1BuTWp7qHGjWhqrnf-OmePP568O4A5Am9ttzvVdP67zw/edit#gid=1603210130"", ""TOURISM!$A$2:$F$2692""), {2,3,4,5,6},0))"),"Africa")</f>
        <v>Africa</v>
      </c>
      <c r="L2477" s="14">
        <f>IFERROR(__xludf.DUMMYFUNCTION("""COMPUTED_VALUE"""),2.8E9)</f>
        <v>2800000000</v>
      </c>
      <c r="M2477" s="14" t="str">
        <f>IFERROR(__xludf.DUMMYFUNCTION("""COMPUTED_VALUE"""),"Tunisia-Africa")</f>
        <v>Tunisia-Africa</v>
      </c>
      <c r="N2477" s="14" t="str">
        <f>IFERROR(__xludf.DUMMYFUNCTION("""COMPUTED_VALUE"""),"2005")</f>
        <v>2005</v>
      </c>
      <c r="O2477" s="14">
        <f>IFERROR(__xludf.DUMMYFUNCTION("""COMPUTED_VALUE"""),4.52E8)</f>
        <v>452000000</v>
      </c>
      <c r="P2477" s="15">
        <f>IFERROR(__xludf.DUMMYFUNCTION("ARRAYFORMULA(VLOOKUP(A2477,IMPORTRANGE(""https://docs.google.com/spreadsheets/d/1BuTWp7qHGjWhqrnf-OmePP568O4A5Am9ttzvVdP67zw/edit#gid=771602874"" ,""HUMAN RESOURCES!$A$2:$M$2692""), {2,3,4,5,6,7,8,9,10,11,12,13},0))"),0.017)</f>
        <v>0.017</v>
      </c>
      <c r="Q2477" s="14">
        <f>IFERROR(__xludf.DUMMYFUNCTION("""COMPUTED_VALUE"""),0.02)</f>
        <v>0.02</v>
      </c>
      <c r="R2477" s="14">
        <f>IFERROR(__xludf.DUMMYFUNCTION("""COMPUTED_VALUE"""),76.0)</f>
        <v>76</v>
      </c>
      <c r="S2477" s="14">
        <f>IFERROR(__xludf.DUMMYFUNCTION("""COMPUTED_VALUE"""),72.0)</f>
        <v>72</v>
      </c>
      <c r="T2477" s="14">
        <f>IFERROR(__xludf.DUMMYFUNCTION("""COMPUTED_VALUE"""),0.258)</f>
        <v>0.258</v>
      </c>
      <c r="U2477" s="14">
        <f>IFERROR(__xludf.DUMMYFUNCTION("""COMPUTED_VALUE"""),0.675)</f>
        <v>0.675</v>
      </c>
      <c r="V2477" s="14">
        <f>IFERROR(__xludf.DUMMYFUNCTION("""COMPUTED_VALUE"""),0.067)</f>
        <v>0.067</v>
      </c>
      <c r="W2477" s="14">
        <f>IFERROR(__xludf.DUMMYFUNCTION("""COMPUTED_VALUE"""),1.0029E7)</f>
        <v>10029000</v>
      </c>
      <c r="X2477" s="14">
        <f>IFERROR(__xludf.DUMMYFUNCTION("""COMPUTED_VALUE"""),0.651)</f>
        <v>0.651</v>
      </c>
      <c r="Y2477" s="14" t="str">
        <f>IFERROR(__xludf.DUMMYFUNCTION("""COMPUTED_VALUE"""),"Tunisia-Africa")</f>
        <v>Tunisia-Africa</v>
      </c>
      <c r="Z2477" s="14" t="str">
        <f>IFERROR(__xludf.DUMMYFUNCTION("""COMPUTED_VALUE"""),"Africa")</f>
        <v>Africa</v>
      </c>
      <c r="AA2477" s="14" t="str">
        <f>IFERROR(__xludf.DUMMYFUNCTION("""COMPUTED_VALUE"""),"2005")</f>
        <v>2005</v>
      </c>
      <c r="AB2477" s="15" t="str">
        <f>IFERROR(__xludf.DUMMYFUNCTION("ARRAYFORMULA(VLOOKUP(A2477,IMPORTRANGE(""https://docs.google.com/spreadsheets/d/1BuTWp7qHGjWhqrnf-OmePP568O4A5Am9ttzvVdP67zw/edit#gid=1931367683"" ,""ENERGY!$A$2:$F$2692""), {2,3,4,5,6},0))"),"Africa")</f>
        <v>Africa</v>
      </c>
      <c r="AC2477" s="14" t="str">
        <f>IFERROR(__xludf.DUMMYFUNCTION("""COMPUTED_VALUE"""),"Tunisia-Africa")</f>
        <v>Tunisia-Africa</v>
      </c>
      <c r="AD2477" s="14" t="str">
        <f>IFERROR(__xludf.DUMMYFUNCTION("""COMPUTED_VALUE"""),"2009")</f>
        <v>2009</v>
      </c>
      <c r="AE2477" s="14">
        <f>IFERROR(__xludf.DUMMYFUNCTION("""COMPUTED_VALUE"""),9039.0)</f>
        <v>9039</v>
      </c>
      <c r="AF2477" s="14">
        <f>IFERROR(__xludf.DUMMYFUNCTION("""COMPUTED_VALUE"""),23869.0)</f>
        <v>23869</v>
      </c>
    </row>
    <row r="2478">
      <c r="A2478" s="12">
        <v>2477.0</v>
      </c>
      <c r="B2478" s="12" t="s">
        <v>269</v>
      </c>
      <c r="C2478" s="5" t="s">
        <v>77</v>
      </c>
      <c r="D2478" s="11">
        <v>0.606</v>
      </c>
      <c r="E2478" s="11">
        <v>11.0</v>
      </c>
      <c r="F2478" s="8"/>
      <c r="G2478" s="11">
        <v>268.0</v>
      </c>
      <c r="H2478" s="11">
        <v>0.13</v>
      </c>
      <c r="I2478" s="11">
        <v>0.722</v>
      </c>
      <c r="J2478" s="9" t="s">
        <v>67</v>
      </c>
      <c r="K2478" s="14" t="str">
        <f>IFERROR(__xludf.DUMMYFUNCTION("ARRAYFORMULA(VLOOKUP(A2478,IMPORTRANGE(""https://docs.google.com/spreadsheets/d/1BuTWp7qHGjWhqrnf-OmePP568O4A5Am9ttzvVdP67zw/edit#gid=1603210130"", ""TOURISM!$A$2:$F$2692""), {2,3,4,5,6},0))"),"Africa")</f>
        <v>Africa</v>
      </c>
      <c r="L2478" s="14">
        <f>IFERROR(__xludf.DUMMYFUNCTION("""COMPUTED_VALUE"""),2.999E9)</f>
        <v>2999000000</v>
      </c>
      <c r="M2478" s="14" t="str">
        <f>IFERROR(__xludf.DUMMYFUNCTION("""COMPUTED_VALUE"""),"Tunisia-Africa")</f>
        <v>Tunisia-Africa</v>
      </c>
      <c r="N2478" s="14" t="str">
        <f>IFERROR(__xludf.DUMMYFUNCTION("""COMPUTED_VALUE"""),"2006")</f>
        <v>2006</v>
      </c>
      <c r="O2478" s="14">
        <f>IFERROR(__xludf.DUMMYFUNCTION("""COMPUTED_VALUE"""),4.98E8)</f>
        <v>498000000</v>
      </c>
      <c r="P2478" s="15">
        <f>IFERROR(__xludf.DUMMYFUNCTION("ARRAYFORMULA(VLOOKUP(A2478,IMPORTRANGE(""https://docs.google.com/spreadsheets/d/1BuTWp7qHGjWhqrnf-OmePP568O4A5Am9ttzvVdP67zw/edit#gid=771602874"" ,""HUMAN RESOURCES!$A$2:$M$2692""), {2,3,4,5,6,7,8,9,10,11,12,13},0))"),0.017)</f>
        <v>0.017</v>
      </c>
      <c r="Q2478" s="14">
        <f>IFERROR(__xludf.DUMMYFUNCTION("""COMPUTED_VALUE"""),0.019)</f>
        <v>0.019</v>
      </c>
      <c r="R2478" s="14">
        <f>IFERROR(__xludf.DUMMYFUNCTION("""COMPUTED_VALUE"""),76.0)</f>
        <v>76</v>
      </c>
      <c r="S2478" s="14">
        <f>IFERROR(__xludf.DUMMYFUNCTION("""COMPUTED_VALUE"""),72.0)</f>
        <v>72</v>
      </c>
      <c r="T2478" s="14">
        <f>IFERROR(__xludf.DUMMYFUNCTION("""COMPUTED_VALUE"""),0.252)</f>
        <v>0.252</v>
      </c>
      <c r="U2478" s="14">
        <f>IFERROR(__xludf.DUMMYFUNCTION("""COMPUTED_VALUE"""),0.681)</f>
        <v>0.681</v>
      </c>
      <c r="V2478" s="14">
        <f>IFERROR(__xludf.DUMMYFUNCTION("""COMPUTED_VALUE"""),0.068)</f>
        <v>0.068</v>
      </c>
      <c r="W2478" s="14">
        <f>IFERROR(__xludf.DUMMYFUNCTION("""COMPUTED_VALUE"""),1.01279E7)</f>
        <v>10127900</v>
      </c>
      <c r="X2478" s="14">
        <f>IFERROR(__xludf.DUMMYFUNCTION("""COMPUTED_VALUE"""),0.653)</f>
        <v>0.653</v>
      </c>
      <c r="Y2478" s="14" t="str">
        <f>IFERROR(__xludf.DUMMYFUNCTION("""COMPUTED_VALUE"""),"Tunisia-Africa")</f>
        <v>Tunisia-Africa</v>
      </c>
      <c r="Z2478" s="14" t="str">
        <f>IFERROR(__xludf.DUMMYFUNCTION("""COMPUTED_VALUE"""),"Africa")</f>
        <v>Africa</v>
      </c>
      <c r="AA2478" s="14" t="str">
        <f>IFERROR(__xludf.DUMMYFUNCTION("""COMPUTED_VALUE"""),"2006")</f>
        <v>2006</v>
      </c>
      <c r="AB2478" s="15" t="str">
        <f>IFERROR(__xludf.DUMMYFUNCTION("ARRAYFORMULA(VLOOKUP(A2478,IMPORTRANGE(""https://docs.google.com/spreadsheets/d/1BuTWp7qHGjWhqrnf-OmePP568O4A5Am9ttzvVdP67zw/edit#gid=1931367683"" ,""ENERGY!$A$2:$F$2692""), {2,3,4,5,6},0))"),"Africa")</f>
        <v>Africa</v>
      </c>
      <c r="AC2478" s="14" t="str">
        <f>IFERROR(__xludf.DUMMYFUNCTION("""COMPUTED_VALUE"""),"Tunisia-Africa")</f>
        <v>Tunisia-Africa</v>
      </c>
      <c r="AD2478" s="14" t="str">
        <f>IFERROR(__xludf.DUMMYFUNCTION("""COMPUTED_VALUE"""),"2005")</f>
        <v>2005</v>
      </c>
      <c r="AE2478" s="14">
        <f>IFERROR(__xludf.DUMMYFUNCTION("""COMPUTED_VALUE"""),8752.0)</f>
        <v>8752</v>
      </c>
      <c r="AF2478" s="14">
        <f>IFERROR(__xludf.DUMMYFUNCTION("""COMPUTED_VALUE"""),23128.0)</f>
        <v>23128</v>
      </c>
    </row>
    <row r="2479">
      <c r="A2479" s="12">
        <v>2478.0</v>
      </c>
      <c r="B2479" s="12" t="s">
        <v>269</v>
      </c>
      <c r="C2479" s="5" t="s">
        <v>77</v>
      </c>
      <c r="D2479" s="11">
        <v>0.606</v>
      </c>
      <c r="E2479" s="11">
        <v>11.0</v>
      </c>
      <c r="F2479" s="8"/>
      <c r="G2479" s="11">
        <v>268.0</v>
      </c>
      <c r="H2479" s="11">
        <v>0.171</v>
      </c>
      <c r="I2479" s="11">
        <v>0.763</v>
      </c>
      <c r="J2479" s="9" t="s">
        <v>68</v>
      </c>
      <c r="K2479" s="14" t="str">
        <f>IFERROR(__xludf.DUMMYFUNCTION("ARRAYFORMULA(VLOOKUP(A2479,IMPORTRANGE(""https://docs.google.com/spreadsheets/d/1BuTWp7qHGjWhqrnf-OmePP568O4A5Am9ttzvVdP67zw/edit#gid=1603210130"", ""TOURISM!$A$2:$F$2692""), {2,3,4,5,6},0))"),"Africa")</f>
        <v>Africa</v>
      </c>
      <c r="L2479" s="14">
        <f>IFERROR(__xludf.DUMMYFUNCTION("""COMPUTED_VALUE"""),3.373E9)</f>
        <v>3373000000</v>
      </c>
      <c r="M2479" s="14" t="str">
        <f>IFERROR(__xludf.DUMMYFUNCTION("""COMPUTED_VALUE"""),"Tunisia-Africa")</f>
        <v>Tunisia-Africa</v>
      </c>
      <c r="N2479" s="14" t="str">
        <f>IFERROR(__xludf.DUMMYFUNCTION("""COMPUTED_VALUE"""),"2007")</f>
        <v>2007</v>
      </c>
      <c r="O2479" s="14">
        <f>IFERROR(__xludf.DUMMYFUNCTION("""COMPUTED_VALUE"""),5.3E8)</f>
        <v>530000000</v>
      </c>
      <c r="P2479" s="15">
        <f>IFERROR(__xludf.DUMMYFUNCTION("ARRAYFORMULA(VLOOKUP(A2479,IMPORTRANGE(""https://docs.google.com/spreadsheets/d/1BuTWp7qHGjWhqrnf-OmePP568O4A5Am9ttzvVdP67zw/edit#gid=771602874"" ,""HUMAN RESOURCES!$A$2:$M$2692""), {2,3,4,5,6,7,8,9,10,11,12,13},0))"),0.017)</f>
        <v>0.017</v>
      </c>
      <c r="Q2479" s="14">
        <f>IFERROR(__xludf.DUMMYFUNCTION("""COMPUTED_VALUE"""),0.018)</f>
        <v>0.018</v>
      </c>
      <c r="R2479" s="14">
        <f>IFERROR(__xludf.DUMMYFUNCTION("""COMPUTED_VALUE"""),76.0)</f>
        <v>76</v>
      </c>
      <c r="S2479" s="14">
        <f>IFERROR(__xludf.DUMMYFUNCTION("""COMPUTED_VALUE"""),72.0)</f>
        <v>72</v>
      </c>
      <c r="T2479" s="14">
        <f>IFERROR(__xludf.DUMMYFUNCTION("""COMPUTED_VALUE"""),0.246)</f>
        <v>0.246</v>
      </c>
      <c r="U2479" s="14">
        <f>IFERROR(__xludf.DUMMYFUNCTION("""COMPUTED_VALUE"""),0.686)</f>
        <v>0.686</v>
      </c>
      <c r="V2479" s="14">
        <f>IFERROR(__xludf.DUMMYFUNCTION("""COMPUTED_VALUE"""),0.068)</f>
        <v>0.068</v>
      </c>
      <c r="W2479" s="14">
        <f>IFERROR(__xludf.DUMMYFUNCTION("""COMPUTED_VALUE"""),1.02251E7)</f>
        <v>10225100</v>
      </c>
      <c r="X2479" s="14">
        <f>IFERROR(__xludf.DUMMYFUNCTION("""COMPUTED_VALUE"""),0.654)</f>
        <v>0.654</v>
      </c>
      <c r="Y2479" s="14" t="str">
        <f>IFERROR(__xludf.DUMMYFUNCTION("""COMPUTED_VALUE"""),"Tunisia-Africa")</f>
        <v>Tunisia-Africa</v>
      </c>
      <c r="Z2479" s="14" t="str">
        <f>IFERROR(__xludf.DUMMYFUNCTION("""COMPUTED_VALUE"""),"Africa")</f>
        <v>Africa</v>
      </c>
      <c r="AA2479" s="14" t="str">
        <f>IFERROR(__xludf.DUMMYFUNCTION("""COMPUTED_VALUE"""),"2007")</f>
        <v>2007</v>
      </c>
      <c r="AB2479" s="15" t="str">
        <f>IFERROR(__xludf.DUMMYFUNCTION("ARRAYFORMULA(VLOOKUP(A2479,IMPORTRANGE(""https://docs.google.com/spreadsheets/d/1BuTWp7qHGjWhqrnf-OmePP568O4A5Am9ttzvVdP67zw/edit#gid=1931367683"" ,""ENERGY!$A$2:$F$2692""), {2,3,4,5,6},0))"),"Africa")</f>
        <v>Africa</v>
      </c>
      <c r="AC2479" s="14" t="str">
        <f>IFERROR(__xludf.DUMMYFUNCTION("""COMPUTED_VALUE"""),"Tunisia-Africa")</f>
        <v>Tunisia-Africa</v>
      </c>
      <c r="AD2479" s="14" t="str">
        <f>IFERROR(__xludf.DUMMYFUNCTION("""COMPUTED_VALUE"""),"2011")</f>
        <v>2011</v>
      </c>
      <c r="AE2479" s="14">
        <f>IFERROR(__xludf.DUMMYFUNCTION("""COMPUTED_VALUE"""),8314.0)</f>
        <v>8314</v>
      </c>
      <c r="AF2479" s="14">
        <f>IFERROR(__xludf.DUMMYFUNCTION("""COMPUTED_VALUE"""),22801.0)</f>
        <v>22801</v>
      </c>
    </row>
    <row r="2480">
      <c r="A2480" s="12">
        <v>2479.0</v>
      </c>
      <c r="B2480" s="12" t="s">
        <v>269</v>
      </c>
      <c r="C2480" s="5" t="s">
        <v>77</v>
      </c>
      <c r="D2480" s="11">
        <v>0.586</v>
      </c>
      <c r="E2480" s="11">
        <v>11.0</v>
      </c>
      <c r="F2480" s="8"/>
      <c r="G2480" s="11">
        <v>228.0</v>
      </c>
      <c r="H2480" s="11">
        <v>0.275</v>
      </c>
      <c r="I2480" s="11">
        <v>0.828</v>
      </c>
      <c r="J2480" s="9" t="s">
        <v>69</v>
      </c>
      <c r="K2480" s="14" t="str">
        <f>IFERROR(__xludf.DUMMYFUNCTION("ARRAYFORMULA(VLOOKUP(A2480,IMPORTRANGE(""https://docs.google.com/spreadsheets/d/1BuTWp7qHGjWhqrnf-OmePP568O4A5Am9ttzvVdP67zw/edit#gid=1603210130"", ""TOURISM!$A$2:$F$2692""), {2,3,4,5,6},0))"),"Africa")</f>
        <v>Africa</v>
      </c>
      <c r="L2480" s="14">
        <f>IFERROR(__xludf.DUMMYFUNCTION("""COMPUTED_VALUE"""),3.909E9)</f>
        <v>3909000000</v>
      </c>
      <c r="M2480" s="14" t="str">
        <f>IFERROR(__xludf.DUMMYFUNCTION("""COMPUTED_VALUE"""),"Tunisia-Africa")</f>
        <v>Tunisia-Africa</v>
      </c>
      <c r="N2480" s="14" t="str">
        <f>IFERROR(__xludf.DUMMYFUNCTION("""COMPUTED_VALUE"""),"2008")</f>
        <v>2008</v>
      </c>
      <c r="O2480" s="14">
        <f>IFERROR(__xludf.DUMMYFUNCTION("""COMPUTED_VALUE"""),5.55E8)</f>
        <v>555000000</v>
      </c>
      <c r="P2480" s="15">
        <f>IFERROR(__xludf.DUMMYFUNCTION("ARRAYFORMULA(VLOOKUP(A2480,IMPORTRANGE(""https://docs.google.com/spreadsheets/d/1BuTWp7qHGjWhqrnf-OmePP568O4A5Am9ttzvVdP67zw/edit#gid=771602874"" ,""HUMAN RESOURCES!$A$2:$M$2692""), {2,3,4,5,6,7,8,9,10,11,12,13},0))"),0.018)</f>
        <v>0.018</v>
      </c>
      <c r="Q2480" s="14">
        <f>IFERROR(__xludf.DUMMYFUNCTION("""COMPUTED_VALUE"""),0.017)</f>
        <v>0.017</v>
      </c>
      <c r="R2480" s="14">
        <f>IFERROR(__xludf.DUMMYFUNCTION("""COMPUTED_VALUE"""),76.0)</f>
        <v>76</v>
      </c>
      <c r="S2480" s="14">
        <f>IFERROR(__xludf.DUMMYFUNCTION("""COMPUTED_VALUE"""),72.0)</f>
        <v>72</v>
      </c>
      <c r="T2480" s="14">
        <f>IFERROR(__xludf.DUMMYFUNCTION("""COMPUTED_VALUE"""),0.241)</f>
        <v>0.241</v>
      </c>
      <c r="U2480" s="14">
        <f>IFERROR(__xludf.DUMMYFUNCTION("""COMPUTED_VALUE"""),0.69)</f>
        <v>0.69</v>
      </c>
      <c r="V2480" s="14">
        <f>IFERROR(__xludf.DUMMYFUNCTION("""COMPUTED_VALUE"""),0.069)</f>
        <v>0.069</v>
      </c>
      <c r="W2480" s="14">
        <f>IFERROR(__xludf.DUMMYFUNCTION("""COMPUTED_VALUE"""),1.03289E7)</f>
        <v>10328900</v>
      </c>
      <c r="X2480" s="14">
        <f>IFERROR(__xludf.DUMMYFUNCTION("""COMPUTED_VALUE"""),0.656)</f>
        <v>0.656</v>
      </c>
      <c r="Y2480" s="14" t="str">
        <f>IFERROR(__xludf.DUMMYFUNCTION("""COMPUTED_VALUE"""),"Tunisia-Africa")</f>
        <v>Tunisia-Africa</v>
      </c>
      <c r="Z2480" s="14" t="str">
        <f>IFERROR(__xludf.DUMMYFUNCTION("""COMPUTED_VALUE"""),"Africa")</f>
        <v>Africa</v>
      </c>
      <c r="AA2480" s="14" t="str">
        <f>IFERROR(__xludf.DUMMYFUNCTION("""COMPUTED_VALUE"""),"2008")</f>
        <v>2008</v>
      </c>
      <c r="AB2480" s="15" t="str">
        <f>IFERROR(__xludf.DUMMYFUNCTION("ARRAYFORMULA(VLOOKUP(A2480,IMPORTRANGE(""https://docs.google.com/spreadsheets/d/1BuTWp7qHGjWhqrnf-OmePP568O4A5Am9ttzvVdP67zw/edit#gid=1931367683"" ,""ENERGY!$A$2:$F$2692""), {2,3,4,5,6},0))"),"Africa")</f>
        <v>Africa</v>
      </c>
      <c r="AC2480" s="14" t="str">
        <f>IFERROR(__xludf.DUMMYFUNCTION("""COMPUTED_VALUE"""),"Tunisia-Africa")</f>
        <v>Tunisia-Africa</v>
      </c>
      <c r="AD2480" s="14" t="str">
        <f>IFERROR(__xludf.DUMMYFUNCTION("""COMPUTED_VALUE"""),"2008")</f>
        <v>2008</v>
      </c>
      <c r="AE2480" s="14">
        <f>IFERROR(__xludf.DUMMYFUNCTION("""COMPUTED_VALUE"""),8463.0)</f>
        <v>8463</v>
      </c>
      <c r="AF2480" s="14">
        <f>IFERROR(__xludf.DUMMYFUNCTION("""COMPUTED_VALUE"""),22446.0)</f>
        <v>22446</v>
      </c>
    </row>
    <row r="2481">
      <c r="A2481" s="12">
        <v>2480.0</v>
      </c>
      <c r="B2481" s="12" t="s">
        <v>269</v>
      </c>
      <c r="C2481" s="5" t="s">
        <v>77</v>
      </c>
      <c r="D2481" s="11">
        <v>0.623</v>
      </c>
      <c r="E2481" s="11">
        <v>11.0</v>
      </c>
      <c r="F2481" s="8"/>
      <c r="G2481" s="11">
        <v>228.0</v>
      </c>
      <c r="H2481" s="11">
        <v>0.341</v>
      </c>
      <c r="I2481" s="11">
        <v>0.932</v>
      </c>
      <c r="J2481" s="9" t="s">
        <v>70</v>
      </c>
      <c r="K2481" s="14" t="str">
        <f>IFERROR(__xludf.DUMMYFUNCTION("ARRAYFORMULA(VLOOKUP(A2481,IMPORTRANGE(""https://docs.google.com/spreadsheets/d/1BuTWp7qHGjWhqrnf-OmePP568O4A5Am9ttzvVdP67zw/edit#gid=1603210130"", ""TOURISM!$A$2:$F$2692""), {2,3,4,5,6},0))"),"Africa")</f>
        <v>Africa</v>
      </c>
      <c r="L2481" s="14">
        <f>IFERROR(__xludf.DUMMYFUNCTION("""COMPUTED_VALUE"""),3.526E9)</f>
        <v>3526000000</v>
      </c>
      <c r="M2481" s="14" t="str">
        <f>IFERROR(__xludf.DUMMYFUNCTION("""COMPUTED_VALUE"""),"Tunisia-Africa")</f>
        <v>Tunisia-Africa</v>
      </c>
      <c r="N2481" s="14" t="str">
        <f>IFERROR(__xludf.DUMMYFUNCTION("""COMPUTED_VALUE"""),"2009")</f>
        <v>2009</v>
      </c>
      <c r="O2481" s="14">
        <f>IFERROR(__xludf.DUMMYFUNCTION("""COMPUTED_VALUE"""),4.78E8)</f>
        <v>478000000</v>
      </c>
      <c r="P2481" s="15">
        <f>IFERROR(__xludf.DUMMYFUNCTION("ARRAYFORMULA(VLOOKUP(A2481,IMPORTRANGE(""https://docs.google.com/spreadsheets/d/1BuTWp7qHGjWhqrnf-OmePP568O4A5Am9ttzvVdP67zw/edit#gid=771602874"" ,""HUMAN RESOURCES!$A$2:$M$2692""), {2,3,4,5,6,7,8,9,10,11,12,13},0))"),0.018)</f>
        <v>0.018</v>
      </c>
      <c r="Q2481" s="14">
        <f>IFERROR(__xludf.DUMMYFUNCTION("""COMPUTED_VALUE"""),0.016)</f>
        <v>0.016</v>
      </c>
      <c r="R2481" s="14">
        <f>IFERROR(__xludf.DUMMYFUNCTION("""COMPUTED_VALUE"""),77.0)</f>
        <v>77</v>
      </c>
      <c r="S2481" s="14">
        <f>IFERROR(__xludf.DUMMYFUNCTION("""COMPUTED_VALUE"""),73.0)</f>
        <v>73</v>
      </c>
      <c r="T2481" s="14">
        <f>IFERROR(__xludf.DUMMYFUNCTION("""COMPUTED_VALUE"""),0.238)</f>
        <v>0.238</v>
      </c>
      <c r="U2481" s="14">
        <f>IFERROR(__xludf.DUMMYFUNCTION("""COMPUTED_VALUE"""),0.693)</f>
        <v>0.693</v>
      </c>
      <c r="V2481" s="14">
        <f>IFERROR(__xludf.DUMMYFUNCTION("""COMPUTED_VALUE"""),0.069)</f>
        <v>0.069</v>
      </c>
      <c r="W2481" s="14">
        <f>IFERROR(__xludf.DUMMYFUNCTION("""COMPUTED_VALUE"""),1.04396E7)</f>
        <v>10439600</v>
      </c>
      <c r="X2481" s="14">
        <f>IFERROR(__xludf.DUMMYFUNCTION("""COMPUTED_VALUE"""),0.658)</f>
        <v>0.658</v>
      </c>
      <c r="Y2481" s="14" t="str">
        <f>IFERROR(__xludf.DUMMYFUNCTION("""COMPUTED_VALUE"""),"Tunisia-Africa")</f>
        <v>Tunisia-Africa</v>
      </c>
      <c r="Z2481" s="14" t="str">
        <f>IFERROR(__xludf.DUMMYFUNCTION("""COMPUTED_VALUE"""),"Africa")</f>
        <v>Africa</v>
      </c>
      <c r="AA2481" s="14" t="str">
        <f>IFERROR(__xludf.DUMMYFUNCTION("""COMPUTED_VALUE"""),"2009")</f>
        <v>2009</v>
      </c>
      <c r="AB2481" s="15" t="str">
        <f>IFERROR(__xludf.DUMMYFUNCTION("ARRAYFORMULA(VLOOKUP(A2481,IMPORTRANGE(""https://docs.google.com/spreadsheets/d/1BuTWp7qHGjWhqrnf-OmePP568O4A5Am9ttzvVdP67zw/edit#gid=1931367683"" ,""ENERGY!$A$2:$F$2692""), {2,3,4,5,6},0))"),"Africa")</f>
        <v>Africa</v>
      </c>
      <c r="AC2481" s="14" t="str">
        <f>IFERROR(__xludf.DUMMYFUNCTION("""COMPUTED_VALUE"""),"Tunisia-Africa")</f>
        <v>Tunisia-Africa</v>
      </c>
      <c r="AD2481" s="14" t="str">
        <f>IFERROR(__xludf.DUMMYFUNCTION("""COMPUTED_VALUE"""),"2012")</f>
        <v>2012</v>
      </c>
      <c r="AE2481" s="14">
        <f>IFERROR(__xludf.DUMMYFUNCTION("""COMPUTED_VALUE"""),8028.0)</f>
        <v>8028</v>
      </c>
      <c r="AF2481" s="14">
        <f>IFERROR(__xludf.DUMMYFUNCTION("""COMPUTED_VALUE"""),21397.0)</f>
        <v>21397</v>
      </c>
    </row>
    <row r="2482">
      <c r="A2482" s="12">
        <v>2481.0</v>
      </c>
      <c r="B2482" s="12" t="s">
        <v>269</v>
      </c>
      <c r="C2482" s="5" t="s">
        <v>77</v>
      </c>
      <c r="D2482" s="11">
        <v>0.623</v>
      </c>
      <c r="E2482" s="11">
        <v>11.0</v>
      </c>
      <c r="F2482" s="8"/>
      <c r="G2482" s="11">
        <v>144.0</v>
      </c>
      <c r="H2482" s="11">
        <v>0.368</v>
      </c>
      <c r="I2482" s="11">
        <v>1.045</v>
      </c>
      <c r="J2482" s="9" t="s">
        <v>71</v>
      </c>
      <c r="K2482" s="14" t="str">
        <f>IFERROR(__xludf.DUMMYFUNCTION("ARRAYFORMULA(VLOOKUP(A2482,IMPORTRANGE(""https://docs.google.com/spreadsheets/d/1BuTWp7qHGjWhqrnf-OmePP568O4A5Am9ttzvVdP67zw/edit#gid=1603210130"", ""TOURISM!$A$2:$F$2692""), {2,3,4,5,6},0))"),"Africa")</f>
        <v>Africa</v>
      </c>
      <c r="L2482" s="14">
        <f>IFERROR(__xludf.DUMMYFUNCTION("""COMPUTED_VALUE"""),3.477E9)</f>
        <v>3477000000</v>
      </c>
      <c r="M2482" s="14" t="str">
        <f>IFERROR(__xludf.DUMMYFUNCTION("""COMPUTED_VALUE"""),"Tunisia-Africa")</f>
        <v>Tunisia-Africa</v>
      </c>
      <c r="N2482" s="14" t="str">
        <f>IFERROR(__xludf.DUMMYFUNCTION("""COMPUTED_VALUE"""),"2010")</f>
        <v>2010</v>
      </c>
      <c r="O2482" s="14">
        <f>IFERROR(__xludf.DUMMYFUNCTION("""COMPUTED_VALUE"""),6.11E8)</f>
        <v>611000000</v>
      </c>
      <c r="P2482" s="15">
        <f>IFERROR(__xludf.DUMMYFUNCTION("ARRAYFORMULA(VLOOKUP(A2482,IMPORTRANGE(""https://docs.google.com/spreadsheets/d/1BuTWp7qHGjWhqrnf-OmePP568O4A5Am9ttzvVdP67zw/edit#gid=771602874"" ,""HUMAN RESOURCES!$A$2:$M$2692""), {2,3,4,5,6,7,8,9,10,11,12,13},0))"),0.019)</f>
        <v>0.019</v>
      </c>
      <c r="Q2482" s="14">
        <f>IFERROR(__xludf.DUMMYFUNCTION("""COMPUTED_VALUE"""),0.015)</f>
        <v>0.015</v>
      </c>
      <c r="R2482" s="14">
        <f>IFERROR(__xludf.DUMMYFUNCTION("""COMPUTED_VALUE"""),77.0)</f>
        <v>77</v>
      </c>
      <c r="S2482" s="14">
        <f>IFERROR(__xludf.DUMMYFUNCTION("""COMPUTED_VALUE"""),73.0)</f>
        <v>73</v>
      </c>
      <c r="T2482" s="14">
        <f>IFERROR(__xludf.DUMMYFUNCTION("""COMPUTED_VALUE"""),0.235)</f>
        <v>0.235</v>
      </c>
      <c r="U2482" s="14">
        <f>IFERROR(__xludf.DUMMYFUNCTION("""COMPUTED_VALUE"""),0.696)</f>
        <v>0.696</v>
      </c>
      <c r="V2482" s="14">
        <f>IFERROR(__xludf.DUMMYFUNCTION("""COMPUTED_VALUE"""),0.069)</f>
        <v>0.069</v>
      </c>
      <c r="W2482" s="14">
        <f>IFERROR(__xludf.DUMMYFUNCTION("""COMPUTED_VALUE"""),1.05491E7)</f>
        <v>10549100</v>
      </c>
      <c r="X2482" s="14">
        <f>IFERROR(__xludf.DUMMYFUNCTION("""COMPUTED_VALUE"""),0.659)</f>
        <v>0.659</v>
      </c>
      <c r="Y2482" s="14" t="str">
        <f>IFERROR(__xludf.DUMMYFUNCTION("""COMPUTED_VALUE"""),"Tunisia-Africa")</f>
        <v>Tunisia-Africa</v>
      </c>
      <c r="Z2482" s="14" t="str">
        <f>IFERROR(__xludf.DUMMYFUNCTION("""COMPUTED_VALUE"""),"Africa")</f>
        <v>Africa</v>
      </c>
      <c r="AA2482" s="14" t="str">
        <f>IFERROR(__xludf.DUMMYFUNCTION("""COMPUTED_VALUE"""),"2010")</f>
        <v>2010</v>
      </c>
      <c r="AB2482" s="15" t="str">
        <f>IFERROR(__xludf.DUMMYFUNCTION("ARRAYFORMULA(VLOOKUP(A2482,IMPORTRANGE(""https://docs.google.com/spreadsheets/d/1BuTWp7qHGjWhqrnf-OmePP568O4A5Am9ttzvVdP67zw/edit#gid=1931367683"" ,""ENERGY!$A$2:$F$2692""), {2,3,4,5,6},0))"),"Africa")</f>
        <v>Africa</v>
      </c>
      <c r="AC2482" s="14" t="str">
        <f>IFERROR(__xludf.DUMMYFUNCTION("""COMPUTED_VALUE"""),"Tunisia-Africa")</f>
        <v>Tunisia-Africa</v>
      </c>
      <c r="AD2482" s="14" t="str">
        <f>IFERROR(__xludf.DUMMYFUNCTION("""COMPUTED_VALUE"""),"2010")</f>
        <v>2010</v>
      </c>
      <c r="AE2482" s="14">
        <f>IFERROR(__xludf.DUMMYFUNCTION("""COMPUTED_VALUE"""),7814.0)</f>
        <v>7814</v>
      </c>
      <c r="AF2482" s="14">
        <f>IFERROR(__xludf.DUMMYFUNCTION("""COMPUTED_VALUE"""),21016.0)</f>
        <v>21016</v>
      </c>
    </row>
    <row r="2483">
      <c r="A2483" s="12">
        <v>2482.0</v>
      </c>
      <c r="B2483" s="12" t="s">
        <v>269</v>
      </c>
      <c r="C2483" s="5" t="s">
        <v>77</v>
      </c>
      <c r="D2483" s="11">
        <v>0.624</v>
      </c>
      <c r="E2483" s="11">
        <v>11.0</v>
      </c>
      <c r="F2483" s="8"/>
      <c r="G2483" s="11">
        <v>144.0</v>
      </c>
      <c r="H2483" s="11">
        <v>0.391</v>
      </c>
      <c r="I2483" s="11">
        <v>1.152</v>
      </c>
      <c r="J2483" s="9" t="s">
        <v>72</v>
      </c>
      <c r="K2483" s="14" t="str">
        <f>IFERROR(__xludf.DUMMYFUNCTION("ARRAYFORMULA(VLOOKUP(A2483,IMPORTRANGE(""https://docs.google.com/spreadsheets/d/1BuTWp7qHGjWhqrnf-OmePP568O4A5Am9ttzvVdP67zw/edit#gid=1603210130"", ""TOURISM!$A$2:$F$2692""), {2,3,4,5,6},0))"),"Africa")</f>
        <v>Africa</v>
      </c>
      <c r="L2483" s="14">
        <f>IFERROR(__xludf.DUMMYFUNCTION("""COMPUTED_VALUE"""),2.529E9)</f>
        <v>2529000000</v>
      </c>
      <c r="M2483" s="14" t="str">
        <f>IFERROR(__xludf.DUMMYFUNCTION("""COMPUTED_VALUE"""),"Tunisia-Africa")</f>
        <v>Tunisia-Africa</v>
      </c>
      <c r="N2483" s="14" t="str">
        <f>IFERROR(__xludf.DUMMYFUNCTION("""COMPUTED_VALUE"""),"2011")</f>
        <v>2011</v>
      </c>
      <c r="O2483" s="14">
        <f>IFERROR(__xludf.DUMMYFUNCTION("""COMPUTED_VALUE"""),6.78E8)</f>
        <v>678000000</v>
      </c>
      <c r="P2483" s="15">
        <f>IFERROR(__xludf.DUMMYFUNCTION("ARRAYFORMULA(VLOOKUP(A2483,IMPORTRANGE(""https://docs.google.com/spreadsheets/d/1BuTWp7qHGjWhqrnf-OmePP568O4A5Am9ttzvVdP67zw/edit#gid=771602874"" ,""HUMAN RESOURCES!$A$2:$M$2692""), {2,3,4,5,6,7,8,9,10,11,12,13},0))"),0.019)</f>
        <v>0.019</v>
      </c>
      <c r="Q2483" s="14">
        <f>IFERROR(__xludf.DUMMYFUNCTION("""COMPUTED_VALUE"""),0.014)</f>
        <v>0.014</v>
      </c>
      <c r="R2483" s="14">
        <f>IFERROR(__xludf.DUMMYFUNCTION("""COMPUTED_VALUE"""),77.0)</f>
        <v>77</v>
      </c>
      <c r="S2483" s="14">
        <f>IFERROR(__xludf.DUMMYFUNCTION("""COMPUTED_VALUE"""),73.0)</f>
        <v>73</v>
      </c>
      <c r="T2483" s="14">
        <f>IFERROR(__xludf.DUMMYFUNCTION("""COMPUTED_VALUE"""),0.233)</f>
        <v>0.233</v>
      </c>
      <c r="U2483" s="14">
        <f>IFERROR(__xludf.DUMMYFUNCTION("""COMPUTED_VALUE"""),0.697)</f>
        <v>0.697</v>
      </c>
      <c r="V2483" s="14">
        <f>IFERROR(__xludf.DUMMYFUNCTION("""COMPUTED_VALUE"""),0.07)</f>
        <v>0.07</v>
      </c>
      <c r="W2483" s="14">
        <f>IFERROR(__xludf.DUMMYFUNCTION("""COMPUTED_VALUE"""),1.06738E7)</f>
        <v>10673800</v>
      </c>
      <c r="X2483" s="14">
        <f>IFERROR(__xludf.DUMMYFUNCTION("""COMPUTED_VALUE"""),0.661)</f>
        <v>0.661</v>
      </c>
      <c r="Y2483" s="14" t="str">
        <f>IFERROR(__xludf.DUMMYFUNCTION("""COMPUTED_VALUE"""),"Tunisia-Africa")</f>
        <v>Tunisia-Africa</v>
      </c>
      <c r="Z2483" s="14" t="str">
        <f>IFERROR(__xludf.DUMMYFUNCTION("""COMPUTED_VALUE"""),"Africa")</f>
        <v>Africa</v>
      </c>
      <c r="AA2483" s="14" t="str">
        <f>IFERROR(__xludf.DUMMYFUNCTION("""COMPUTED_VALUE"""),"2011")</f>
        <v>2011</v>
      </c>
      <c r="AB2483" s="15" t="str">
        <f>IFERROR(__xludf.DUMMYFUNCTION("ARRAYFORMULA(VLOOKUP(A2483,IMPORTRANGE(""https://docs.google.com/spreadsheets/d/1BuTWp7qHGjWhqrnf-OmePP568O4A5Am9ttzvVdP67zw/edit#gid=1931367683"" ,""ENERGY!$A$2:$F$2692""), {2,3,4,5,6},0))"),"Africa")</f>
        <v>Africa</v>
      </c>
      <c r="AC2483" s="14" t="str">
        <f>IFERROR(__xludf.DUMMYFUNCTION("""COMPUTED_VALUE"""),"Tunisia-Africa")</f>
        <v>Tunisia-Africa</v>
      </c>
      <c r="AD2483" s="14" t="str">
        <f>IFERROR(__xludf.DUMMYFUNCTION("""COMPUTED_VALUE"""),"2007")</f>
        <v>2007</v>
      </c>
      <c r="AE2483" s="14">
        <f>IFERROR(__xludf.DUMMYFUNCTION("""COMPUTED_VALUE"""),7711.0)</f>
        <v>7711</v>
      </c>
      <c r="AF2483" s="14">
        <f>IFERROR(__xludf.DUMMYFUNCTION("""COMPUTED_VALUE"""),20818.0)</f>
        <v>20818</v>
      </c>
    </row>
    <row r="2484">
      <c r="A2484" s="12">
        <v>2483.0</v>
      </c>
      <c r="B2484" s="12" t="s">
        <v>269</v>
      </c>
      <c r="C2484" s="5" t="s">
        <v>77</v>
      </c>
      <c r="D2484" s="11">
        <v>0.624</v>
      </c>
      <c r="E2484" s="11">
        <v>11.0</v>
      </c>
      <c r="F2484" s="11">
        <v>49.0</v>
      </c>
      <c r="G2484" s="11">
        <v>144.0</v>
      </c>
      <c r="H2484" s="11">
        <v>0.414</v>
      </c>
      <c r="I2484" s="11">
        <v>1.181</v>
      </c>
      <c r="J2484" s="9" t="s">
        <v>73</v>
      </c>
      <c r="K2484" s="14" t="str">
        <f>IFERROR(__xludf.DUMMYFUNCTION("ARRAYFORMULA(VLOOKUP(A2484,IMPORTRANGE(""https://docs.google.com/spreadsheets/d/1BuTWp7qHGjWhqrnf-OmePP568O4A5Am9ttzvVdP67zw/edit#gid=1603210130"", ""TOURISM!$A$2:$F$2692""), {2,3,4,5,6},0))"),"Africa")</f>
        <v>Africa</v>
      </c>
      <c r="L2484" s="14">
        <f>IFERROR(__xludf.DUMMYFUNCTION("""COMPUTED_VALUE"""),2.931E9)</f>
        <v>2931000000</v>
      </c>
      <c r="M2484" s="14" t="str">
        <f>IFERROR(__xludf.DUMMYFUNCTION("""COMPUTED_VALUE"""),"Tunisia-Africa")</f>
        <v>Tunisia-Africa</v>
      </c>
      <c r="N2484" s="14" t="str">
        <f>IFERROR(__xludf.DUMMYFUNCTION("""COMPUTED_VALUE"""),"2012")</f>
        <v>2012</v>
      </c>
      <c r="O2484" s="14">
        <f>IFERROR(__xludf.DUMMYFUNCTION("""COMPUTED_VALUE"""),6.73E8)</f>
        <v>673000000</v>
      </c>
      <c r="P2484" s="15">
        <f>IFERROR(__xludf.DUMMYFUNCTION("ARRAYFORMULA(VLOOKUP(A2484,IMPORTRANGE(""https://docs.google.com/spreadsheets/d/1BuTWp7qHGjWhqrnf-OmePP568O4A5Am9ttzvVdP67zw/edit#gid=771602874"" ,""HUMAN RESOURCES!$A$2:$M$2692""), {2,3,4,5,6,7,8,9,10,11,12,13},0))"),0.019)</f>
        <v>0.019</v>
      </c>
      <c r="Q2484" s="14">
        <f>IFERROR(__xludf.DUMMYFUNCTION("""COMPUTED_VALUE"""),0.014)</f>
        <v>0.014</v>
      </c>
      <c r="R2484" s="14">
        <f>IFERROR(__xludf.DUMMYFUNCTION("""COMPUTED_VALUE"""),77.0)</f>
        <v>77</v>
      </c>
      <c r="S2484" s="14">
        <f>IFERROR(__xludf.DUMMYFUNCTION("""COMPUTED_VALUE"""),73.0)</f>
        <v>73</v>
      </c>
      <c r="T2484" s="14">
        <f>IFERROR(__xludf.DUMMYFUNCTION("""COMPUTED_VALUE"""),0.232)</f>
        <v>0.232</v>
      </c>
      <c r="U2484" s="14">
        <f>IFERROR(__xludf.DUMMYFUNCTION("""COMPUTED_VALUE"""),0.697)</f>
        <v>0.697</v>
      </c>
      <c r="V2484" s="14">
        <f>IFERROR(__xludf.DUMMYFUNCTION("""COMPUTED_VALUE"""),0.071)</f>
        <v>0.071</v>
      </c>
      <c r="W2484" s="14">
        <f>IFERROR(__xludf.DUMMYFUNCTION("""COMPUTED_VALUE"""),1.07775E7)</f>
        <v>10777500</v>
      </c>
      <c r="X2484" s="14">
        <f>IFERROR(__xludf.DUMMYFUNCTION("""COMPUTED_VALUE"""),0.663)</f>
        <v>0.663</v>
      </c>
      <c r="Y2484" s="14" t="str">
        <f>IFERROR(__xludf.DUMMYFUNCTION("""COMPUTED_VALUE"""),"Tunisia-Africa")</f>
        <v>Tunisia-Africa</v>
      </c>
      <c r="Z2484" s="14" t="str">
        <f>IFERROR(__xludf.DUMMYFUNCTION("""COMPUTED_VALUE"""),"Africa")</f>
        <v>Africa</v>
      </c>
      <c r="AA2484" s="14" t="str">
        <f>IFERROR(__xludf.DUMMYFUNCTION("""COMPUTED_VALUE"""),"2012")</f>
        <v>2012</v>
      </c>
      <c r="AB2484" s="15" t="str">
        <f>IFERROR(__xludf.DUMMYFUNCTION("ARRAYFORMULA(VLOOKUP(A2484,IMPORTRANGE(""https://docs.google.com/spreadsheets/d/1BuTWp7qHGjWhqrnf-OmePP568O4A5Am9ttzvVdP67zw/edit#gid=1931367683"" ,""ENERGY!$A$2:$F$2692""), {2,3,4,5,6},0))"),"Africa")</f>
        <v>Africa</v>
      </c>
      <c r="AC2484" s="14" t="str">
        <f>IFERROR(__xludf.DUMMYFUNCTION("""COMPUTED_VALUE"""),"Tunisia-Africa")</f>
        <v>Tunisia-Africa</v>
      </c>
      <c r="AD2484" s="14" t="str">
        <f>IFERROR(__xludf.DUMMYFUNCTION("""COMPUTED_VALUE"""),"2012")</f>
        <v>2012</v>
      </c>
      <c r="AE2484" s="14">
        <f>IFERROR(__xludf.DUMMYFUNCTION("""COMPUTED_VALUE"""),7306.0)</f>
        <v>7306</v>
      </c>
      <c r="AF2484" s="14">
        <f>IFERROR(__xludf.DUMMYFUNCTION("""COMPUTED_VALUE"""),19923.0)</f>
        <v>19923</v>
      </c>
    </row>
    <row r="2485">
      <c r="A2485" s="12">
        <v>2484.0</v>
      </c>
      <c r="B2485" s="12" t="s">
        <v>270</v>
      </c>
      <c r="C2485" s="5" t="s">
        <v>75</v>
      </c>
      <c r="D2485" s="8"/>
      <c r="E2485" s="8"/>
      <c r="F2485" s="8"/>
      <c r="G2485" s="8"/>
      <c r="H2485" s="11">
        <v>0.038</v>
      </c>
      <c r="I2485" s="11">
        <v>0.255</v>
      </c>
      <c r="J2485" s="9" t="s">
        <v>60</v>
      </c>
      <c r="K2485" s="14" t="str">
        <f>IFERROR(__xludf.DUMMYFUNCTION("ARRAYFORMULA(VLOOKUP(A2485,IMPORTRANGE(""https://docs.google.com/spreadsheets/d/1BuTWp7qHGjWhqrnf-OmePP568O4A5Am9ttzvVdP67zw/edit#gid=1603210130"", ""TOURISM!$A$2:$F$2692""), {2,3,4,5,6},0))"),"Europe")</f>
        <v>Europe</v>
      </c>
      <c r="L2485" s="14">
        <f>IFERROR(__xludf.DUMMYFUNCTION("""COMPUTED_VALUE"""),7.636E9)</f>
        <v>7636000000</v>
      </c>
      <c r="M2485" s="14" t="str">
        <f>IFERROR(__xludf.DUMMYFUNCTION("""COMPUTED_VALUE"""),"Turkey-Europe")</f>
        <v>Turkey-Europe</v>
      </c>
      <c r="N2485" s="14" t="str">
        <f>IFERROR(__xludf.DUMMYFUNCTION("""COMPUTED_VALUE"""),"2000")</f>
        <v>2000</v>
      </c>
      <c r="O2485" s="14">
        <f>IFERROR(__xludf.DUMMYFUNCTION("""COMPUTED_VALUE"""),1.713E9)</f>
        <v>1713000000</v>
      </c>
      <c r="P2485" s="15">
        <f>IFERROR(__xludf.DUMMYFUNCTION("ARRAYFORMULA(VLOOKUP(A2485,IMPORTRANGE(""https://docs.google.com/spreadsheets/d/1BuTWp7qHGjWhqrnf-OmePP568O4A5Am9ttzvVdP67zw/edit#gid=771602874"" ,""HUMAN RESOURCES!$A$2:$M$2692""), {2,3,4,5,6,7,8,9,10,11,12,13},0))"),0.021)</f>
        <v>0.021</v>
      </c>
      <c r="Q2485" s="14">
        <f>IFERROR(__xludf.DUMMYFUNCTION("""COMPUTED_VALUE"""),0.034)</f>
        <v>0.034</v>
      </c>
      <c r="R2485" s="14">
        <f>IFERROR(__xludf.DUMMYFUNCTION("""COMPUTED_VALUE"""),74.0)</f>
        <v>74</v>
      </c>
      <c r="S2485" s="14">
        <f>IFERROR(__xludf.DUMMYFUNCTION("""COMPUTED_VALUE"""),66.0)</f>
        <v>66</v>
      </c>
      <c r="T2485" s="14">
        <f>IFERROR(__xludf.DUMMYFUNCTION("""COMPUTED_VALUE"""),0.307)</f>
        <v>0.307</v>
      </c>
      <c r="U2485" s="14">
        <f>IFERROR(__xludf.DUMMYFUNCTION("""COMPUTED_VALUE"""),0.634)</f>
        <v>0.634</v>
      </c>
      <c r="V2485" s="14">
        <f>IFERROR(__xludf.DUMMYFUNCTION("""COMPUTED_VALUE"""),0.06)</f>
        <v>0.06</v>
      </c>
      <c r="W2485" s="14">
        <f>IFERROR(__xludf.DUMMYFUNCTION("""COMPUTED_VALUE"""),6.3174483E7)</f>
        <v>63174483</v>
      </c>
      <c r="X2485" s="14">
        <f>IFERROR(__xludf.DUMMYFUNCTION("""COMPUTED_VALUE"""),0.647)</f>
        <v>0.647</v>
      </c>
      <c r="Y2485" s="14" t="str">
        <f>IFERROR(__xludf.DUMMYFUNCTION("""COMPUTED_VALUE"""),"Turkey-Europe")</f>
        <v>Turkey-Europe</v>
      </c>
      <c r="Z2485" s="14" t="str">
        <f>IFERROR(__xludf.DUMMYFUNCTION("""COMPUTED_VALUE"""),"Europe")</f>
        <v>Europe</v>
      </c>
      <c r="AA2485" s="14" t="str">
        <f>IFERROR(__xludf.DUMMYFUNCTION("""COMPUTED_VALUE"""),"2000")</f>
        <v>2000</v>
      </c>
      <c r="AB2485" s="15" t="str">
        <f>IFERROR(__xludf.DUMMYFUNCTION("ARRAYFORMULA(VLOOKUP(A2485,IMPORTRANGE(""https://docs.google.com/spreadsheets/d/1BuTWp7qHGjWhqrnf-OmePP568O4A5Am9ttzvVdP67zw/edit#gid=1931367683"" ,""ENERGY!$A$2:$F$2692""), {2,3,4,5,6},0))"),"Europe")</f>
        <v>Europe</v>
      </c>
      <c r="AC2485" s="14" t="str">
        <f>IFERROR(__xludf.DUMMYFUNCTION("""COMPUTED_VALUE"""),"Turkey-Europe")</f>
        <v>Turkey-Europe</v>
      </c>
      <c r="AD2485" s="14" t="str">
        <f>IFERROR(__xludf.DUMMYFUNCTION("""COMPUTED_VALUE"""),"2000")</f>
        <v>2000</v>
      </c>
      <c r="AE2485" s="14">
        <f>IFERROR(__xludf.DUMMYFUNCTION("""COMPUTED_VALUE"""),115701.0)</f>
        <v>115701</v>
      </c>
      <c r="AF2485" s="14"/>
    </row>
    <row r="2486">
      <c r="A2486" s="12">
        <v>2485.0</v>
      </c>
      <c r="B2486" s="12" t="s">
        <v>270</v>
      </c>
      <c r="C2486" s="5" t="s">
        <v>75</v>
      </c>
      <c r="D2486" s="8"/>
      <c r="E2486" s="8"/>
      <c r="F2486" s="8"/>
      <c r="G2486" s="8"/>
      <c r="H2486" s="11">
        <v>0.052</v>
      </c>
      <c r="I2486" s="11">
        <v>0.305</v>
      </c>
      <c r="J2486" s="9" t="s">
        <v>62</v>
      </c>
      <c r="K2486" s="14" t="str">
        <f>IFERROR(__xludf.DUMMYFUNCTION("ARRAYFORMULA(VLOOKUP(A2486,IMPORTRANGE(""https://docs.google.com/spreadsheets/d/1BuTWp7qHGjWhqrnf-OmePP568O4A5Am9ttzvVdP67zw/edit#gid=1603210130"", ""TOURISM!$A$2:$F$2692""), {2,3,4,5,6},0))"),"Europe")</f>
        <v>Europe</v>
      </c>
      <c r="L2486" s="14">
        <f>IFERROR(__xludf.DUMMYFUNCTION("""COMPUTED_VALUE"""),1.0067E10)</f>
        <v>10067000000</v>
      </c>
      <c r="M2486" s="14" t="str">
        <f>IFERROR(__xludf.DUMMYFUNCTION("""COMPUTED_VALUE"""),"Turkey-Europe")</f>
        <v>Turkey-Europe</v>
      </c>
      <c r="N2486" s="14" t="str">
        <f>IFERROR(__xludf.DUMMYFUNCTION("""COMPUTED_VALUE"""),"2001")</f>
        <v>2001</v>
      </c>
      <c r="O2486" s="14">
        <f>IFERROR(__xludf.DUMMYFUNCTION("""COMPUTED_VALUE"""),1.738E9)</f>
        <v>1738000000</v>
      </c>
      <c r="P2486" s="15">
        <f>IFERROR(__xludf.DUMMYFUNCTION("ARRAYFORMULA(VLOOKUP(A2486,IMPORTRANGE(""https://docs.google.com/spreadsheets/d/1BuTWp7qHGjWhqrnf-OmePP568O4A5Am9ttzvVdP67zw/edit#gid=771602874"" ,""HUMAN RESOURCES!$A$2:$M$2692""), {2,3,4,5,6,7,8,9,10,11,12,13},0))"),0.021)</f>
        <v>0.021</v>
      </c>
      <c r="Q2486" s="14">
        <f>IFERROR(__xludf.DUMMYFUNCTION("""COMPUTED_VALUE"""),0.032)</f>
        <v>0.032</v>
      </c>
      <c r="R2486" s="14">
        <f>IFERROR(__xludf.DUMMYFUNCTION("""COMPUTED_VALUE"""),74.0)</f>
        <v>74</v>
      </c>
      <c r="S2486" s="14">
        <f>IFERROR(__xludf.DUMMYFUNCTION("""COMPUTED_VALUE"""),67.0)</f>
        <v>67</v>
      </c>
      <c r="T2486" s="14">
        <f>IFERROR(__xludf.DUMMYFUNCTION("""COMPUTED_VALUE"""),0.302)</f>
        <v>0.302</v>
      </c>
      <c r="U2486" s="14">
        <f>IFERROR(__xludf.DUMMYFUNCTION("""COMPUTED_VALUE"""),0.637)</f>
        <v>0.637</v>
      </c>
      <c r="V2486" s="14">
        <f>IFERROR(__xludf.DUMMYFUNCTION("""COMPUTED_VALUE"""),0.061)</f>
        <v>0.061</v>
      </c>
      <c r="W2486" s="14">
        <f>IFERROR(__xludf.DUMMYFUNCTION("""COMPUTED_VALUE"""),6.4100297E7)</f>
        <v>64100297</v>
      </c>
      <c r="X2486" s="14">
        <f>IFERROR(__xludf.DUMMYFUNCTION("""COMPUTED_VALUE"""),0.653)</f>
        <v>0.653</v>
      </c>
      <c r="Y2486" s="14" t="str">
        <f>IFERROR(__xludf.DUMMYFUNCTION("""COMPUTED_VALUE"""),"Turkey-Europe")</f>
        <v>Turkey-Europe</v>
      </c>
      <c r="Z2486" s="14" t="str">
        <f>IFERROR(__xludf.DUMMYFUNCTION("""COMPUTED_VALUE"""),"Europe")</f>
        <v>Europe</v>
      </c>
      <c r="AA2486" s="14" t="str">
        <f>IFERROR(__xludf.DUMMYFUNCTION("""COMPUTED_VALUE"""),"2001")</f>
        <v>2001</v>
      </c>
      <c r="AB2486" s="15" t="str">
        <f>IFERROR(__xludf.DUMMYFUNCTION("ARRAYFORMULA(VLOOKUP(A2486,IMPORTRANGE(""https://docs.google.com/spreadsheets/d/1BuTWp7qHGjWhqrnf-OmePP568O4A5Am9ttzvVdP67zw/edit#gid=1931367683"" ,""ENERGY!$A$2:$F$2692""), {2,3,4,5,6},0))"),"Europe")</f>
        <v>Europe</v>
      </c>
      <c r="AC2486" s="14" t="str">
        <f>IFERROR(__xludf.DUMMYFUNCTION("""COMPUTED_VALUE"""),"Turkey-Europe")</f>
        <v>Turkey-Europe</v>
      </c>
      <c r="AD2486" s="14" t="str">
        <f>IFERROR(__xludf.DUMMYFUNCTION("""COMPUTED_VALUE"""),"2001")</f>
        <v>2001</v>
      </c>
      <c r="AE2486" s="14">
        <f>IFERROR(__xludf.DUMMYFUNCTION("""COMPUTED_VALUE"""),112459.0)</f>
        <v>112459</v>
      </c>
      <c r="AF2486" s="14"/>
    </row>
    <row r="2487">
      <c r="A2487" s="12">
        <v>2486.0</v>
      </c>
      <c r="B2487" s="12" t="s">
        <v>270</v>
      </c>
      <c r="C2487" s="5" t="s">
        <v>75</v>
      </c>
      <c r="D2487" s="8"/>
      <c r="E2487" s="8"/>
      <c r="F2487" s="8"/>
      <c r="G2487" s="8"/>
      <c r="H2487" s="11">
        <v>0.114</v>
      </c>
      <c r="I2487" s="11">
        <v>0.359</v>
      </c>
      <c r="J2487" s="9" t="s">
        <v>63</v>
      </c>
      <c r="K2487" s="14" t="str">
        <f>IFERROR(__xludf.DUMMYFUNCTION("ARRAYFORMULA(VLOOKUP(A2487,IMPORTRANGE(""https://docs.google.com/spreadsheets/d/1BuTWp7qHGjWhqrnf-OmePP568O4A5Am9ttzvVdP67zw/edit#gid=1603210130"", ""TOURISM!$A$2:$F$2692""), {2,3,4,5,6},0))"),"Europe")</f>
        <v>Europe</v>
      </c>
      <c r="L2487" s="14">
        <f>IFERROR(__xludf.DUMMYFUNCTION("""COMPUTED_VALUE"""),1.1901E10)</f>
        <v>11901000000</v>
      </c>
      <c r="M2487" s="14" t="str">
        <f>IFERROR(__xludf.DUMMYFUNCTION("""COMPUTED_VALUE"""),"Turkey-Europe")</f>
        <v>Turkey-Europe</v>
      </c>
      <c r="N2487" s="14" t="str">
        <f>IFERROR(__xludf.DUMMYFUNCTION("""COMPUTED_VALUE"""),"2002")</f>
        <v>2002</v>
      </c>
      <c r="O2487" s="14">
        <f>IFERROR(__xludf.DUMMYFUNCTION("""COMPUTED_VALUE"""),1.88E9)</f>
        <v>1880000000</v>
      </c>
      <c r="P2487" s="15">
        <f>IFERROR(__xludf.DUMMYFUNCTION("ARRAYFORMULA(VLOOKUP(A2487,IMPORTRANGE(""https://docs.google.com/spreadsheets/d/1BuTWp7qHGjWhqrnf-OmePP568O4A5Am9ttzvVdP67zw/edit#gid=771602874"" ,""HUMAN RESOURCES!$A$2:$M$2692""), {2,3,4,5,6,7,8,9,10,11,12,13},0))"),0.021)</f>
        <v>0.021</v>
      </c>
      <c r="Q2487" s="14">
        <f>IFERROR(__xludf.DUMMYFUNCTION("""COMPUTED_VALUE"""),0.03)</f>
        <v>0.03</v>
      </c>
      <c r="R2487" s="14">
        <f>IFERROR(__xludf.DUMMYFUNCTION("""COMPUTED_VALUE"""),75.0)</f>
        <v>75</v>
      </c>
      <c r="S2487" s="14">
        <f>IFERROR(__xludf.DUMMYFUNCTION("""COMPUTED_VALUE"""),68.0)</f>
        <v>68</v>
      </c>
      <c r="T2487" s="14">
        <f>IFERROR(__xludf.DUMMYFUNCTION("""COMPUTED_VALUE"""),0.297)</f>
        <v>0.297</v>
      </c>
      <c r="U2487" s="14">
        <f>IFERROR(__xludf.DUMMYFUNCTION("""COMPUTED_VALUE"""),0.64)</f>
        <v>0.64</v>
      </c>
      <c r="V2487" s="14">
        <f>IFERROR(__xludf.DUMMYFUNCTION("""COMPUTED_VALUE"""),0.063)</f>
        <v>0.063</v>
      </c>
      <c r="W2487" s="14">
        <f>IFERROR(__xludf.DUMMYFUNCTION("""COMPUTED_VALUE"""),6.50223E7)</f>
        <v>65022300</v>
      </c>
      <c r="X2487" s="14">
        <f>IFERROR(__xludf.DUMMYFUNCTION("""COMPUTED_VALUE"""),0.66)</f>
        <v>0.66</v>
      </c>
      <c r="Y2487" s="14" t="str">
        <f>IFERROR(__xludf.DUMMYFUNCTION("""COMPUTED_VALUE"""),"Turkey-Europe")</f>
        <v>Turkey-Europe</v>
      </c>
      <c r="Z2487" s="14" t="str">
        <f>IFERROR(__xludf.DUMMYFUNCTION("""COMPUTED_VALUE"""),"Europe")</f>
        <v>Europe</v>
      </c>
      <c r="AA2487" s="14" t="str">
        <f>IFERROR(__xludf.DUMMYFUNCTION("""COMPUTED_VALUE"""),"2002")</f>
        <v>2002</v>
      </c>
      <c r="AB2487" s="15" t="str">
        <f>IFERROR(__xludf.DUMMYFUNCTION("ARRAYFORMULA(VLOOKUP(A2487,IMPORTRANGE(""https://docs.google.com/spreadsheets/d/1BuTWp7qHGjWhqrnf-OmePP568O4A5Am9ttzvVdP67zw/edit#gid=1931367683"" ,""ENERGY!$A$2:$F$2692""), {2,3,4,5,6},0))"),"Europe")</f>
        <v>Europe</v>
      </c>
      <c r="AC2487" s="14" t="str">
        <f>IFERROR(__xludf.DUMMYFUNCTION("""COMPUTED_VALUE"""),"Turkey-Europe")</f>
        <v>Turkey-Europe</v>
      </c>
      <c r="AD2487" s="14" t="str">
        <f>IFERROR(__xludf.DUMMYFUNCTION("""COMPUTED_VALUE"""),"2002")</f>
        <v>2002</v>
      </c>
      <c r="AE2487" s="14">
        <f>IFERROR(__xludf.DUMMYFUNCTION("""COMPUTED_VALUE"""),105133.0)</f>
        <v>105133</v>
      </c>
      <c r="AF2487" s="14">
        <f>IFERROR(__xludf.DUMMYFUNCTION("""COMPUTED_VALUE"""),298002.0)</f>
        <v>298002</v>
      </c>
    </row>
    <row r="2488">
      <c r="A2488" s="12">
        <v>2487.0</v>
      </c>
      <c r="B2488" s="12" t="s">
        <v>270</v>
      </c>
      <c r="C2488" s="5" t="s">
        <v>75</v>
      </c>
      <c r="D2488" s="8"/>
      <c r="E2488" s="11">
        <v>38.0</v>
      </c>
      <c r="F2488" s="8"/>
      <c r="G2488" s="8"/>
      <c r="H2488" s="11">
        <v>0.123</v>
      </c>
      <c r="I2488" s="11">
        <v>0.423</v>
      </c>
      <c r="J2488" s="9" t="s">
        <v>64</v>
      </c>
      <c r="K2488" s="14" t="str">
        <f>IFERROR(__xludf.DUMMYFUNCTION("ARRAYFORMULA(VLOOKUP(A2488,IMPORTRANGE(""https://docs.google.com/spreadsheets/d/1BuTWp7qHGjWhqrnf-OmePP568O4A5Am9ttzvVdP67zw/edit#gid=1603210130"", ""TOURISM!$A$2:$F$2692""), {2,3,4,5,6},0))"),"Europe")</f>
        <v>Europe</v>
      </c>
      <c r="L2488" s="14">
        <f>IFERROR(__xludf.DUMMYFUNCTION("""COMPUTED_VALUE"""),1.3203E10)</f>
        <v>13203000000</v>
      </c>
      <c r="M2488" s="14" t="str">
        <f>IFERROR(__xludf.DUMMYFUNCTION("""COMPUTED_VALUE"""),"Turkey-Europe")</f>
        <v>Turkey-Europe</v>
      </c>
      <c r="N2488" s="14" t="str">
        <f>IFERROR(__xludf.DUMMYFUNCTION("""COMPUTED_VALUE"""),"2003")</f>
        <v>2003</v>
      </c>
      <c r="O2488" s="14">
        <f>IFERROR(__xludf.DUMMYFUNCTION("""COMPUTED_VALUE"""),2.113E9)</f>
        <v>2113000000</v>
      </c>
      <c r="P2488" s="15">
        <f>IFERROR(__xludf.DUMMYFUNCTION("ARRAYFORMULA(VLOOKUP(A2488,IMPORTRANGE(""https://docs.google.com/spreadsheets/d/1BuTWp7qHGjWhqrnf-OmePP568O4A5Am9ttzvVdP67zw/edit#gid=771602874"" ,""HUMAN RESOURCES!$A$2:$M$2692""), {2,3,4,5,6,7,8,9,10,11,12,13},0))"),0.02)</f>
        <v>0.02</v>
      </c>
      <c r="Q2488" s="14">
        <f>IFERROR(__xludf.DUMMYFUNCTION("""COMPUTED_VALUE"""),0.029)</f>
        <v>0.029</v>
      </c>
      <c r="R2488" s="14">
        <f>IFERROR(__xludf.DUMMYFUNCTION("""COMPUTED_VALUE"""),75.0)</f>
        <v>75</v>
      </c>
      <c r="S2488" s="14">
        <f>IFERROR(__xludf.DUMMYFUNCTION("""COMPUTED_VALUE"""),68.0)</f>
        <v>68</v>
      </c>
      <c r="T2488" s="14">
        <f>IFERROR(__xludf.DUMMYFUNCTION("""COMPUTED_VALUE"""),0.293)</f>
        <v>0.293</v>
      </c>
      <c r="U2488" s="14">
        <f>IFERROR(__xludf.DUMMYFUNCTION("""COMPUTED_VALUE"""),0.643)</f>
        <v>0.643</v>
      </c>
      <c r="V2488" s="14">
        <f>IFERROR(__xludf.DUMMYFUNCTION("""COMPUTED_VALUE"""),0.064)</f>
        <v>0.064</v>
      </c>
      <c r="W2488" s="14">
        <f>IFERROR(__xludf.DUMMYFUNCTION("""COMPUTED_VALUE"""),6.5938265E7)</f>
        <v>65938265</v>
      </c>
      <c r="X2488" s="14">
        <f>IFERROR(__xludf.DUMMYFUNCTION("""COMPUTED_VALUE"""),0.666)</f>
        <v>0.666</v>
      </c>
      <c r="Y2488" s="14" t="str">
        <f>IFERROR(__xludf.DUMMYFUNCTION("""COMPUTED_VALUE"""),"Turkey-Europe")</f>
        <v>Turkey-Europe</v>
      </c>
      <c r="Z2488" s="14" t="str">
        <f>IFERROR(__xludf.DUMMYFUNCTION("""COMPUTED_VALUE"""),"Europe")</f>
        <v>Europe</v>
      </c>
      <c r="AA2488" s="14" t="str">
        <f>IFERROR(__xludf.DUMMYFUNCTION("""COMPUTED_VALUE"""),"2003")</f>
        <v>2003</v>
      </c>
      <c r="AB2488" s="15" t="str">
        <f>IFERROR(__xludf.DUMMYFUNCTION("ARRAYFORMULA(VLOOKUP(A2488,IMPORTRANGE(""https://docs.google.com/spreadsheets/d/1BuTWp7qHGjWhqrnf-OmePP568O4A5Am9ttzvVdP67zw/edit#gid=1931367683"" ,""ENERGY!$A$2:$F$2692""), {2,3,4,5,6},0))"),"Europe")</f>
        <v>Europe</v>
      </c>
      <c r="AC2488" s="14" t="str">
        <f>IFERROR(__xludf.DUMMYFUNCTION("""COMPUTED_VALUE"""),"Turkey-Europe")</f>
        <v>Turkey-Europe</v>
      </c>
      <c r="AD2488" s="14" t="str">
        <f>IFERROR(__xludf.DUMMYFUNCTION("""COMPUTED_VALUE"""),"2003")</f>
        <v>2003</v>
      </c>
      <c r="AE2488" s="14">
        <f>IFERROR(__xludf.DUMMYFUNCTION("""COMPUTED_VALUE"""),97661.0)</f>
        <v>97661</v>
      </c>
      <c r="AF2488" s="14">
        <f>IFERROR(__xludf.DUMMYFUNCTION("""COMPUTED_VALUE"""),277845.0)</f>
        <v>277845</v>
      </c>
    </row>
    <row r="2489">
      <c r="A2489" s="12">
        <v>2488.0</v>
      </c>
      <c r="B2489" s="12" t="s">
        <v>270</v>
      </c>
      <c r="C2489" s="5" t="s">
        <v>75</v>
      </c>
      <c r="D2489" s="8"/>
      <c r="E2489" s="11">
        <v>6.0</v>
      </c>
      <c r="F2489" s="8"/>
      <c r="G2489" s="8"/>
      <c r="H2489" s="11">
        <v>0.146</v>
      </c>
      <c r="I2489" s="11">
        <v>0.519</v>
      </c>
      <c r="J2489" s="9" t="s">
        <v>65</v>
      </c>
      <c r="K2489" s="14" t="str">
        <f>IFERROR(__xludf.DUMMYFUNCTION("ARRAYFORMULA(VLOOKUP(A2489,IMPORTRANGE(""https://docs.google.com/spreadsheets/d/1BuTWp7qHGjWhqrnf-OmePP568O4A5Am9ttzvVdP67zw/edit#gid=1603210130"", ""TOURISM!$A$2:$F$2692""), {2,3,4,5,6},0))"),"Europe")</f>
        <v>Europe</v>
      </c>
      <c r="L2489" s="14">
        <f>IFERROR(__xludf.DUMMYFUNCTION("""COMPUTED_VALUE"""),1.5888E10)</f>
        <v>15888000000</v>
      </c>
      <c r="M2489" s="14" t="str">
        <f>IFERROR(__xludf.DUMMYFUNCTION("""COMPUTED_VALUE"""),"Turkey-Europe")</f>
        <v>Turkey-Europe</v>
      </c>
      <c r="N2489" s="14" t="str">
        <f>IFERROR(__xludf.DUMMYFUNCTION("""COMPUTED_VALUE"""),"2004")</f>
        <v>2004</v>
      </c>
      <c r="O2489" s="14">
        <f>IFERROR(__xludf.DUMMYFUNCTION("""COMPUTED_VALUE"""),2.524E9)</f>
        <v>2524000000</v>
      </c>
      <c r="P2489" s="15">
        <f>IFERROR(__xludf.DUMMYFUNCTION("ARRAYFORMULA(VLOOKUP(A2489,IMPORTRANGE(""https://docs.google.com/spreadsheets/d/1BuTWp7qHGjWhqrnf-OmePP568O4A5Am9ttzvVdP67zw/edit#gid=771602874"" ,""HUMAN RESOURCES!$A$2:$M$2692""), {2,3,4,5,6,7,8,9,10,11,12,13},0))"),0.02)</f>
        <v>0.02</v>
      </c>
      <c r="Q2489" s="14">
        <f>IFERROR(__xludf.DUMMYFUNCTION("""COMPUTED_VALUE"""),0.027)</f>
        <v>0.027</v>
      </c>
      <c r="R2489" s="14">
        <f>IFERROR(__xludf.DUMMYFUNCTION("""COMPUTED_VALUE"""),76.0)</f>
        <v>76</v>
      </c>
      <c r="S2489" s="14">
        <f>IFERROR(__xludf.DUMMYFUNCTION("""COMPUTED_VALUE"""),69.0)</f>
        <v>69</v>
      </c>
      <c r="T2489" s="14">
        <f>IFERROR(__xludf.DUMMYFUNCTION("""COMPUTED_VALUE"""),0.289)</f>
        <v>0.289</v>
      </c>
      <c r="U2489" s="14">
        <f>IFERROR(__xludf.DUMMYFUNCTION("""COMPUTED_VALUE"""),0.646)</f>
        <v>0.646</v>
      </c>
      <c r="V2489" s="14">
        <f>IFERROR(__xludf.DUMMYFUNCTION("""COMPUTED_VALUE"""),0.065)</f>
        <v>0.065</v>
      </c>
      <c r="W2489" s="14">
        <f>IFERROR(__xludf.DUMMYFUNCTION("""COMPUTED_VALUE"""),6.6845635E7)</f>
        <v>66845635</v>
      </c>
      <c r="X2489" s="14">
        <f>IFERROR(__xludf.DUMMYFUNCTION("""COMPUTED_VALUE"""),0.672)</f>
        <v>0.672</v>
      </c>
      <c r="Y2489" s="14" t="str">
        <f>IFERROR(__xludf.DUMMYFUNCTION("""COMPUTED_VALUE"""),"Turkey-Europe")</f>
        <v>Turkey-Europe</v>
      </c>
      <c r="Z2489" s="14" t="str">
        <f>IFERROR(__xludf.DUMMYFUNCTION("""COMPUTED_VALUE"""),"Europe")</f>
        <v>Europe</v>
      </c>
      <c r="AA2489" s="14" t="str">
        <f>IFERROR(__xludf.DUMMYFUNCTION("""COMPUTED_VALUE"""),"2004")</f>
        <v>2004</v>
      </c>
      <c r="AB2489" s="15" t="str">
        <f>IFERROR(__xludf.DUMMYFUNCTION("ARRAYFORMULA(VLOOKUP(A2489,IMPORTRANGE(""https://docs.google.com/spreadsheets/d/1BuTWp7qHGjWhqrnf-OmePP568O4A5Am9ttzvVdP67zw/edit#gid=1931367683"" ,""ENERGY!$A$2:$F$2692""), {2,3,4,5,6},0))"),"Europe")</f>
        <v>Europe</v>
      </c>
      <c r="AC2489" s="14" t="str">
        <f>IFERROR(__xludf.DUMMYFUNCTION("""COMPUTED_VALUE"""),"Turkey-Europe")</f>
        <v>Turkey-Europe</v>
      </c>
      <c r="AD2489" s="14" t="str">
        <f>IFERROR(__xludf.DUMMYFUNCTION("""COMPUTED_VALUE"""),"2005")</f>
        <v>2005</v>
      </c>
      <c r="AE2489" s="14">
        <f>IFERROR(__xludf.DUMMYFUNCTION("""COMPUTED_VALUE"""),98502.0)</f>
        <v>98502</v>
      </c>
      <c r="AF2489" s="14">
        <f>IFERROR(__xludf.DUMMYFUNCTION("""COMPUTED_VALUE"""),285274.0)</f>
        <v>285274</v>
      </c>
    </row>
    <row r="2490">
      <c r="A2490" s="12">
        <v>2489.0</v>
      </c>
      <c r="B2490" s="12" t="s">
        <v>270</v>
      </c>
      <c r="C2490" s="5" t="s">
        <v>75</v>
      </c>
      <c r="D2490" s="11">
        <v>0.528</v>
      </c>
      <c r="E2490" s="11">
        <v>6.0</v>
      </c>
      <c r="F2490" s="8"/>
      <c r="G2490" s="11">
        <v>254.0</v>
      </c>
      <c r="H2490" s="11">
        <v>0.155</v>
      </c>
      <c r="I2490" s="11">
        <v>0.644</v>
      </c>
      <c r="J2490" s="9" t="s">
        <v>66</v>
      </c>
      <c r="K2490" s="14" t="str">
        <f>IFERROR(__xludf.DUMMYFUNCTION("ARRAYFORMULA(VLOOKUP(A2490,IMPORTRANGE(""https://docs.google.com/spreadsheets/d/1BuTWp7qHGjWhqrnf-OmePP568O4A5Am9ttzvVdP67zw/edit#gid=1603210130"", ""TOURISM!$A$2:$F$2692""), {2,3,4,5,6},0))"),"Europe")</f>
        <v>Europe</v>
      </c>
      <c r="L2490" s="14">
        <f>IFERROR(__xludf.DUMMYFUNCTION("""COMPUTED_VALUE"""),2.076E10)</f>
        <v>20760000000</v>
      </c>
      <c r="M2490" s="14" t="str">
        <f>IFERROR(__xludf.DUMMYFUNCTION("""COMPUTED_VALUE"""),"Turkey-Europe")</f>
        <v>Turkey-Europe</v>
      </c>
      <c r="N2490" s="14" t="str">
        <f>IFERROR(__xludf.DUMMYFUNCTION("""COMPUTED_VALUE"""),"2005")</f>
        <v>2005</v>
      </c>
      <c r="O2490" s="14">
        <f>IFERROR(__xludf.DUMMYFUNCTION("""COMPUTED_VALUE"""),3.563E9)</f>
        <v>3563000000</v>
      </c>
      <c r="P2490" s="15">
        <f>IFERROR(__xludf.DUMMYFUNCTION("ARRAYFORMULA(VLOOKUP(A2490,IMPORTRANGE(""https://docs.google.com/spreadsheets/d/1BuTWp7qHGjWhqrnf-OmePP568O4A5Am9ttzvVdP67zw/edit#gid=771602874"" ,""HUMAN RESOURCES!$A$2:$M$2692""), {2,3,4,5,6,7,8,9,10,11,12,13},0))"),0.019)</f>
        <v>0.019</v>
      </c>
      <c r="Q2490" s="14">
        <f>IFERROR(__xludf.DUMMYFUNCTION("""COMPUTED_VALUE"""),0.026)</f>
        <v>0.026</v>
      </c>
      <c r="R2490" s="14">
        <f>IFERROR(__xludf.DUMMYFUNCTION("""COMPUTED_VALUE"""),76.0)</f>
        <v>76</v>
      </c>
      <c r="S2490" s="14">
        <f>IFERROR(__xludf.DUMMYFUNCTION("""COMPUTED_VALUE"""),69.0)</f>
        <v>69</v>
      </c>
      <c r="T2490" s="14">
        <f>IFERROR(__xludf.DUMMYFUNCTION("""COMPUTED_VALUE"""),0.285)</f>
        <v>0.285</v>
      </c>
      <c r="U2490" s="14">
        <f>IFERROR(__xludf.DUMMYFUNCTION("""COMPUTED_VALUE"""),0.649)</f>
        <v>0.649</v>
      </c>
      <c r="V2490" s="14">
        <f>IFERROR(__xludf.DUMMYFUNCTION("""COMPUTED_VALUE"""),0.066)</f>
        <v>0.066</v>
      </c>
      <c r="W2490" s="14">
        <f>IFERROR(__xludf.DUMMYFUNCTION("""COMPUTED_VALUE"""),6.7743052E7)</f>
        <v>67743052</v>
      </c>
      <c r="X2490" s="14">
        <f>IFERROR(__xludf.DUMMYFUNCTION("""COMPUTED_VALUE"""),0.678)</f>
        <v>0.678</v>
      </c>
      <c r="Y2490" s="14" t="str">
        <f>IFERROR(__xludf.DUMMYFUNCTION("""COMPUTED_VALUE"""),"Turkey-Europe")</f>
        <v>Turkey-Europe</v>
      </c>
      <c r="Z2490" s="14" t="str">
        <f>IFERROR(__xludf.DUMMYFUNCTION("""COMPUTED_VALUE"""),"Europe")</f>
        <v>Europe</v>
      </c>
      <c r="AA2490" s="14" t="str">
        <f>IFERROR(__xludf.DUMMYFUNCTION("""COMPUTED_VALUE"""),"2005")</f>
        <v>2005</v>
      </c>
      <c r="AB2490" s="15" t="str">
        <f>IFERROR(__xludf.DUMMYFUNCTION("ARRAYFORMULA(VLOOKUP(A2490,IMPORTRANGE(""https://docs.google.com/spreadsheets/d/1BuTWp7qHGjWhqrnf-OmePP568O4A5Am9ttzvVdP67zw/edit#gid=1931367683"" ,""ENERGY!$A$2:$F$2692""), {2,3,4,5,6},0))"),"Europe")</f>
        <v>Europe</v>
      </c>
      <c r="AC2490" s="14" t="str">
        <f>IFERROR(__xludf.DUMMYFUNCTION("""COMPUTED_VALUE"""),"Turkey-Europe")</f>
        <v>Turkey-Europe</v>
      </c>
      <c r="AD2490" s="14" t="str">
        <f>IFERROR(__xludf.DUMMYFUNCTION("""COMPUTED_VALUE"""),"2009")</f>
        <v>2009</v>
      </c>
      <c r="AE2490" s="14">
        <f>IFERROR(__xludf.DUMMYFUNCTION("""COMPUTED_VALUE"""),100005.0)</f>
        <v>100005</v>
      </c>
      <c r="AF2490" s="14">
        <f>IFERROR(__xludf.DUMMYFUNCTION("""COMPUTED_VALUE"""),284658.0)</f>
        <v>284658</v>
      </c>
    </row>
    <row r="2491">
      <c r="A2491" s="12">
        <v>2490.0</v>
      </c>
      <c r="B2491" s="12" t="s">
        <v>270</v>
      </c>
      <c r="C2491" s="5" t="s">
        <v>75</v>
      </c>
      <c r="D2491" s="11">
        <v>0.524</v>
      </c>
      <c r="E2491" s="11">
        <v>6.0</v>
      </c>
      <c r="F2491" s="8"/>
      <c r="G2491" s="11">
        <v>254.0</v>
      </c>
      <c r="H2491" s="11">
        <v>0.182</v>
      </c>
      <c r="I2491" s="11">
        <v>0.767</v>
      </c>
      <c r="J2491" s="9" t="s">
        <v>67</v>
      </c>
      <c r="K2491" s="14" t="str">
        <f>IFERROR(__xludf.DUMMYFUNCTION("ARRAYFORMULA(VLOOKUP(A2491,IMPORTRANGE(""https://docs.google.com/spreadsheets/d/1BuTWp7qHGjWhqrnf-OmePP568O4A5Am9ttzvVdP67zw/edit#gid=1603210130"", ""TOURISM!$A$2:$F$2692""), {2,3,4,5,6},0))"),"Europe")</f>
        <v>Europe</v>
      </c>
      <c r="L2491" s="14">
        <f>IFERROR(__xludf.DUMMYFUNCTION("""COMPUTED_VALUE"""),1.9137E10)</f>
        <v>19137000000</v>
      </c>
      <c r="M2491" s="14" t="str">
        <f>IFERROR(__xludf.DUMMYFUNCTION("""COMPUTED_VALUE"""),"Turkey-Europe")</f>
        <v>Turkey-Europe</v>
      </c>
      <c r="N2491" s="14" t="str">
        <f>IFERROR(__xludf.DUMMYFUNCTION("""COMPUTED_VALUE"""),"2006")</f>
        <v>2006</v>
      </c>
      <c r="O2491" s="14">
        <f>IFERROR(__xludf.DUMMYFUNCTION("""COMPUTED_VALUE"""),3.517E9)</f>
        <v>3517000000</v>
      </c>
      <c r="P2491" s="15">
        <f>IFERROR(__xludf.DUMMYFUNCTION("ARRAYFORMULA(VLOOKUP(A2491,IMPORTRANGE(""https://docs.google.com/spreadsheets/d/1BuTWp7qHGjWhqrnf-OmePP568O4A5Am9ttzvVdP67zw/edit#gid=771602874"" ,""HUMAN RESOURCES!$A$2:$M$2692""), {2,3,4,5,6,7,8,9,10,11,12,13},0))"),0.019)</f>
        <v>0.019</v>
      </c>
      <c r="Q2491" s="14">
        <f>IFERROR(__xludf.DUMMYFUNCTION("""COMPUTED_VALUE"""),0.024)</f>
        <v>0.024</v>
      </c>
      <c r="R2491" s="14">
        <f>IFERROR(__xludf.DUMMYFUNCTION("""COMPUTED_VALUE"""),76.0)</f>
        <v>76</v>
      </c>
      <c r="S2491" s="14">
        <f>IFERROR(__xludf.DUMMYFUNCTION("""COMPUTED_VALUE"""),69.0)</f>
        <v>69</v>
      </c>
      <c r="T2491" s="14">
        <f>IFERROR(__xludf.DUMMYFUNCTION("""COMPUTED_VALUE"""),0.281)</f>
        <v>0.281</v>
      </c>
      <c r="U2491" s="14">
        <f>IFERROR(__xludf.DUMMYFUNCTION("""COMPUTED_VALUE"""),0.652)</f>
        <v>0.652</v>
      </c>
      <c r="V2491" s="14">
        <f>IFERROR(__xludf.DUMMYFUNCTION("""COMPUTED_VALUE"""),0.067)</f>
        <v>0.067</v>
      </c>
      <c r="W2491" s="14">
        <f>IFERROR(__xludf.DUMMYFUNCTION("""COMPUTED_VALUE"""),6.8626337E7)</f>
        <v>68626337</v>
      </c>
      <c r="X2491" s="14">
        <f>IFERROR(__xludf.DUMMYFUNCTION("""COMPUTED_VALUE"""),0.684)</f>
        <v>0.684</v>
      </c>
      <c r="Y2491" s="14" t="str">
        <f>IFERROR(__xludf.DUMMYFUNCTION("""COMPUTED_VALUE"""),"Turkey-Europe")</f>
        <v>Turkey-Europe</v>
      </c>
      <c r="Z2491" s="14" t="str">
        <f>IFERROR(__xludf.DUMMYFUNCTION("""COMPUTED_VALUE"""),"Europe")</f>
        <v>Europe</v>
      </c>
      <c r="AA2491" s="14" t="str">
        <f>IFERROR(__xludf.DUMMYFUNCTION("""COMPUTED_VALUE"""),"2006")</f>
        <v>2006</v>
      </c>
      <c r="AB2491" s="15" t="str">
        <f>IFERROR(__xludf.DUMMYFUNCTION("ARRAYFORMULA(VLOOKUP(A2491,IMPORTRANGE(""https://docs.google.com/spreadsheets/d/1BuTWp7qHGjWhqrnf-OmePP568O4A5Am9ttzvVdP67zw/edit#gid=1931367683"" ,""ENERGY!$A$2:$F$2692""), {2,3,4,5,6},0))"),"Europe")</f>
        <v>Europe</v>
      </c>
      <c r="AC2491" s="14" t="str">
        <f>IFERROR(__xludf.DUMMYFUNCTION("""COMPUTED_VALUE"""),"Turkey-Europe")</f>
        <v>Turkey-Europe</v>
      </c>
      <c r="AD2491" s="14" t="str">
        <f>IFERROR(__xludf.DUMMYFUNCTION("""COMPUTED_VALUE"""),"2005")</f>
        <v>2005</v>
      </c>
      <c r="AE2491" s="14">
        <f>IFERROR(__xludf.DUMMYFUNCTION("""COMPUTED_VALUE"""),93035.0)</f>
        <v>93035</v>
      </c>
      <c r="AF2491" s="14">
        <f>IFERROR(__xludf.DUMMYFUNCTION("""COMPUTED_VALUE"""),261571.0)</f>
        <v>261571</v>
      </c>
    </row>
    <row r="2492">
      <c r="A2492" s="12">
        <v>2491.0</v>
      </c>
      <c r="B2492" s="12" t="s">
        <v>270</v>
      </c>
      <c r="C2492" s="5" t="s">
        <v>75</v>
      </c>
      <c r="D2492" s="11">
        <v>0.443</v>
      </c>
      <c r="E2492" s="11">
        <v>6.0</v>
      </c>
      <c r="F2492" s="8"/>
      <c r="G2492" s="11">
        <v>223.0</v>
      </c>
      <c r="H2492" s="11">
        <v>0.286</v>
      </c>
      <c r="I2492" s="11">
        <v>0.892</v>
      </c>
      <c r="J2492" s="9" t="s">
        <v>68</v>
      </c>
      <c r="K2492" s="14" t="str">
        <f>IFERROR(__xludf.DUMMYFUNCTION("ARRAYFORMULA(VLOOKUP(A2492,IMPORTRANGE(""https://docs.google.com/spreadsheets/d/1BuTWp7qHGjWhqrnf-OmePP568O4A5Am9ttzvVdP67zw/edit#gid=1603210130"", ""TOURISM!$A$2:$F$2692""), {2,3,4,5,6},0))"),"Europe")</f>
        <v>Europe</v>
      </c>
      <c r="L2492" s="14">
        <f>IFERROR(__xludf.DUMMYFUNCTION("""COMPUTED_VALUE"""),2.1662E10)</f>
        <v>21662000000</v>
      </c>
      <c r="M2492" s="14" t="str">
        <f>IFERROR(__xludf.DUMMYFUNCTION("""COMPUTED_VALUE"""),"Turkey-Europe")</f>
        <v>Turkey-Europe</v>
      </c>
      <c r="N2492" s="14" t="str">
        <f>IFERROR(__xludf.DUMMYFUNCTION("""COMPUTED_VALUE"""),"2007")</f>
        <v>2007</v>
      </c>
      <c r="O2492" s="14">
        <f>IFERROR(__xludf.DUMMYFUNCTION("""COMPUTED_VALUE"""),4.254E9)</f>
        <v>4254000000</v>
      </c>
      <c r="P2492" s="15">
        <f>IFERROR(__xludf.DUMMYFUNCTION("ARRAYFORMULA(VLOOKUP(A2492,IMPORTRANGE(""https://docs.google.com/spreadsheets/d/1BuTWp7qHGjWhqrnf-OmePP568O4A5Am9ttzvVdP67zw/edit#gid=771602874"" ,""HUMAN RESOURCES!$A$2:$M$2692""), {2,3,4,5,6,7,8,9,10,11,12,13},0))"),0.019)</f>
        <v>0.019</v>
      </c>
      <c r="Q2492" s="14">
        <f>IFERROR(__xludf.DUMMYFUNCTION("""COMPUTED_VALUE"""),0.023)</f>
        <v>0.023</v>
      </c>
      <c r="R2492" s="14">
        <f>IFERROR(__xludf.DUMMYFUNCTION("""COMPUTED_VALUE"""),77.0)</f>
        <v>77</v>
      </c>
      <c r="S2492" s="14">
        <f>IFERROR(__xludf.DUMMYFUNCTION("""COMPUTED_VALUE"""),70.0)</f>
        <v>70</v>
      </c>
      <c r="T2492" s="14">
        <f>IFERROR(__xludf.DUMMYFUNCTION("""COMPUTED_VALUE"""),0.278)</f>
        <v>0.278</v>
      </c>
      <c r="U2492" s="14">
        <f>IFERROR(__xludf.DUMMYFUNCTION("""COMPUTED_VALUE"""),0.655)</f>
        <v>0.655</v>
      </c>
      <c r="V2492" s="14">
        <f>IFERROR(__xludf.DUMMYFUNCTION("""COMPUTED_VALUE"""),0.068)</f>
        <v>0.068</v>
      </c>
      <c r="W2492" s="14">
        <f>IFERROR(__xludf.DUMMYFUNCTION("""COMPUTED_VALUE"""),6.9496513E7)</f>
        <v>69496513</v>
      </c>
      <c r="X2492" s="14">
        <f>IFERROR(__xludf.DUMMYFUNCTION("""COMPUTED_VALUE"""),0.69)</f>
        <v>0.69</v>
      </c>
      <c r="Y2492" s="14" t="str">
        <f>IFERROR(__xludf.DUMMYFUNCTION("""COMPUTED_VALUE"""),"Turkey-Europe")</f>
        <v>Turkey-Europe</v>
      </c>
      <c r="Z2492" s="14" t="str">
        <f>IFERROR(__xludf.DUMMYFUNCTION("""COMPUTED_VALUE"""),"Europe")</f>
        <v>Europe</v>
      </c>
      <c r="AA2492" s="14" t="str">
        <f>IFERROR(__xludf.DUMMYFUNCTION("""COMPUTED_VALUE"""),"2007")</f>
        <v>2007</v>
      </c>
      <c r="AB2492" s="15" t="str">
        <f>IFERROR(__xludf.DUMMYFUNCTION("ARRAYFORMULA(VLOOKUP(A2492,IMPORTRANGE(""https://docs.google.com/spreadsheets/d/1BuTWp7qHGjWhqrnf-OmePP568O4A5Am9ttzvVdP67zw/edit#gid=1931367683"" ,""ENERGY!$A$2:$F$2692""), {2,3,4,5,6},0))"),"Europe")</f>
        <v>Europe</v>
      </c>
      <c r="AC2492" s="14" t="str">
        <f>IFERROR(__xludf.DUMMYFUNCTION("""COMPUTED_VALUE"""),"Turkey-Europe")</f>
        <v>Turkey-Europe</v>
      </c>
      <c r="AD2492" s="14" t="str">
        <f>IFERROR(__xludf.DUMMYFUNCTION("""COMPUTED_VALUE"""),"2011")</f>
        <v>2011</v>
      </c>
      <c r="AE2492" s="14">
        <f>IFERROR(__xludf.DUMMYFUNCTION("""COMPUTED_VALUE"""),84379.0)</f>
        <v>84379</v>
      </c>
      <c r="AF2492" s="14">
        <f>IFERROR(__xludf.DUMMYFUNCTION("""COMPUTED_VALUE"""),237369.0)</f>
        <v>237369</v>
      </c>
    </row>
    <row r="2493">
      <c r="A2493" s="12">
        <v>2492.0</v>
      </c>
      <c r="B2493" s="12" t="s">
        <v>270</v>
      </c>
      <c r="C2493" s="5" t="s">
        <v>75</v>
      </c>
      <c r="D2493" s="11">
        <v>0.443</v>
      </c>
      <c r="E2493" s="11">
        <v>6.0</v>
      </c>
      <c r="F2493" s="8"/>
      <c r="G2493" s="11">
        <v>223.0</v>
      </c>
      <c r="H2493" s="11">
        <v>0.344</v>
      </c>
      <c r="I2493" s="11">
        <v>0.935</v>
      </c>
      <c r="J2493" s="9" t="s">
        <v>69</v>
      </c>
      <c r="K2493" s="14" t="str">
        <f>IFERROR(__xludf.DUMMYFUNCTION("ARRAYFORMULA(VLOOKUP(A2493,IMPORTRANGE(""https://docs.google.com/spreadsheets/d/1BuTWp7qHGjWhqrnf-OmePP568O4A5Am9ttzvVdP67zw/edit#gid=1603210130"", ""TOURISM!$A$2:$F$2692""), {2,3,4,5,6},0))"),"Europe")</f>
        <v>Europe</v>
      </c>
      <c r="L2493" s="14">
        <f>IFERROR(__xludf.DUMMYFUNCTION("""COMPUTED_VALUE"""),2.6446E10)</f>
        <v>26446000000</v>
      </c>
      <c r="M2493" s="14" t="str">
        <f>IFERROR(__xludf.DUMMYFUNCTION("""COMPUTED_VALUE"""),"Turkey-Europe")</f>
        <v>Turkey-Europe</v>
      </c>
      <c r="N2493" s="14" t="str">
        <f>IFERROR(__xludf.DUMMYFUNCTION("""COMPUTED_VALUE"""),"2008")</f>
        <v>2008</v>
      </c>
      <c r="O2493" s="14">
        <f>IFERROR(__xludf.DUMMYFUNCTION("""COMPUTED_VALUE"""),4.509E9)</f>
        <v>4509000000</v>
      </c>
      <c r="P2493" s="15">
        <f>IFERROR(__xludf.DUMMYFUNCTION("ARRAYFORMULA(VLOOKUP(A2493,IMPORTRANGE(""https://docs.google.com/spreadsheets/d/1BuTWp7qHGjWhqrnf-OmePP568O4A5Am9ttzvVdP67zw/edit#gid=771602874"" ,""HUMAN RESOURCES!$A$2:$M$2692""), {2,3,4,5,6,7,8,9,10,11,12,13},0))"),0.018)</f>
        <v>0.018</v>
      </c>
      <c r="Q2493" s="14">
        <f>IFERROR(__xludf.DUMMYFUNCTION("""COMPUTED_VALUE"""),0.022)</f>
        <v>0.022</v>
      </c>
      <c r="R2493" s="14">
        <f>IFERROR(__xludf.DUMMYFUNCTION("""COMPUTED_VALUE"""),77.0)</f>
        <v>77</v>
      </c>
      <c r="S2493" s="14">
        <f>IFERROR(__xludf.DUMMYFUNCTION("""COMPUTED_VALUE"""),70.0)</f>
        <v>70</v>
      </c>
      <c r="T2493" s="14">
        <f>IFERROR(__xludf.DUMMYFUNCTION("""COMPUTED_VALUE"""),0.274)</f>
        <v>0.274</v>
      </c>
      <c r="U2493" s="14">
        <f>IFERROR(__xludf.DUMMYFUNCTION("""COMPUTED_VALUE"""),0.657)</f>
        <v>0.657</v>
      </c>
      <c r="V2493" s="14">
        <f>IFERROR(__xludf.DUMMYFUNCTION("""COMPUTED_VALUE"""),0.069)</f>
        <v>0.069</v>
      </c>
      <c r="W2493" s="14">
        <f>IFERROR(__xludf.DUMMYFUNCTION("""COMPUTED_VALUE"""),7.0363511E7)</f>
        <v>70363511</v>
      </c>
      <c r="X2493" s="14">
        <f>IFERROR(__xludf.DUMMYFUNCTION("""COMPUTED_VALUE"""),0.696)</f>
        <v>0.696</v>
      </c>
      <c r="Y2493" s="14" t="str">
        <f>IFERROR(__xludf.DUMMYFUNCTION("""COMPUTED_VALUE"""),"Turkey-Europe")</f>
        <v>Turkey-Europe</v>
      </c>
      <c r="Z2493" s="14" t="str">
        <f>IFERROR(__xludf.DUMMYFUNCTION("""COMPUTED_VALUE"""),"Europe")</f>
        <v>Europe</v>
      </c>
      <c r="AA2493" s="14" t="str">
        <f>IFERROR(__xludf.DUMMYFUNCTION("""COMPUTED_VALUE"""),"2008")</f>
        <v>2008</v>
      </c>
      <c r="AB2493" s="15" t="str">
        <f>IFERROR(__xludf.DUMMYFUNCTION("ARRAYFORMULA(VLOOKUP(A2493,IMPORTRANGE(""https://docs.google.com/spreadsheets/d/1BuTWp7qHGjWhqrnf-OmePP568O4A5Am9ttzvVdP67zw/edit#gid=1931367683"" ,""ENERGY!$A$2:$F$2692""), {2,3,4,5,6},0))"),"Europe")</f>
        <v>Europe</v>
      </c>
      <c r="AC2493" s="14" t="str">
        <f>IFERROR(__xludf.DUMMYFUNCTION("""COMPUTED_VALUE"""),"Turkey-Europe")</f>
        <v>Turkey-Europe</v>
      </c>
      <c r="AD2493" s="14" t="str">
        <f>IFERROR(__xludf.DUMMYFUNCTION("""COMPUTED_VALUE"""),"2008")</f>
        <v>2008</v>
      </c>
      <c r="AE2493" s="14">
        <f>IFERROR(__xludf.DUMMYFUNCTION("""COMPUTED_VALUE"""),80858.0)</f>
        <v>80858</v>
      </c>
      <c r="AF2493" s="14">
        <f>IFERROR(__xludf.DUMMYFUNCTION("""COMPUTED_VALUE"""),225407.0)</f>
        <v>225407</v>
      </c>
    </row>
    <row r="2494">
      <c r="A2494" s="12">
        <v>2493.0</v>
      </c>
      <c r="B2494" s="12" t="s">
        <v>270</v>
      </c>
      <c r="C2494" s="5" t="s">
        <v>75</v>
      </c>
      <c r="D2494" s="11">
        <v>0.433</v>
      </c>
      <c r="E2494" s="11">
        <v>6.0</v>
      </c>
      <c r="F2494" s="8"/>
      <c r="G2494" s="11">
        <v>223.0</v>
      </c>
      <c r="H2494" s="11">
        <v>0.364</v>
      </c>
      <c r="I2494" s="11">
        <v>0.881</v>
      </c>
      <c r="J2494" s="9" t="s">
        <v>70</v>
      </c>
      <c r="K2494" s="14" t="str">
        <f>IFERROR(__xludf.DUMMYFUNCTION("ARRAYFORMULA(VLOOKUP(A2494,IMPORTRANGE(""https://docs.google.com/spreadsheets/d/1BuTWp7qHGjWhqrnf-OmePP568O4A5Am9ttzvVdP67zw/edit#gid=1603210130"", ""TOURISM!$A$2:$F$2692""), {2,3,4,5,6},0))"),"Europe")</f>
        <v>Europe</v>
      </c>
      <c r="L2494" s="14">
        <f>IFERROR(__xludf.DUMMYFUNCTION("""COMPUTED_VALUE"""),2.6331E10)</f>
        <v>26331000000</v>
      </c>
      <c r="M2494" s="14" t="str">
        <f>IFERROR(__xludf.DUMMYFUNCTION("""COMPUTED_VALUE"""),"Turkey-Europe")</f>
        <v>Turkey-Europe</v>
      </c>
      <c r="N2494" s="14" t="str">
        <f>IFERROR(__xludf.DUMMYFUNCTION("""COMPUTED_VALUE"""),"2009")</f>
        <v>2009</v>
      </c>
      <c r="O2494" s="14">
        <f>IFERROR(__xludf.DUMMYFUNCTION("""COMPUTED_VALUE"""),5.061E9)</f>
        <v>5061000000</v>
      </c>
      <c r="P2494" s="15">
        <f>IFERROR(__xludf.DUMMYFUNCTION("ARRAYFORMULA(VLOOKUP(A2494,IMPORTRANGE(""https://docs.google.com/spreadsheets/d/1BuTWp7qHGjWhqrnf-OmePP568O4A5Am9ttzvVdP67zw/edit#gid=771602874"" ,""HUMAN RESOURCES!$A$2:$M$2692""), {2,3,4,5,6,7,8,9,10,11,12,13},0))"),0.018)</f>
        <v>0.018</v>
      </c>
      <c r="Q2494" s="14">
        <f>IFERROR(__xludf.DUMMYFUNCTION("""COMPUTED_VALUE"""),0.021)</f>
        <v>0.021</v>
      </c>
      <c r="R2494" s="14">
        <f>IFERROR(__xludf.DUMMYFUNCTION("""COMPUTED_VALUE"""),77.0)</f>
        <v>77</v>
      </c>
      <c r="S2494" s="14">
        <f>IFERROR(__xludf.DUMMYFUNCTION("""COMPUTED_VALUE"""),70.0)</f>
        <v>70</v>
      </c>
      <c r="T2494" s="14">
        <f>IFERROR(__xludf.DUMMYFUNCTION("""COMPUTED_VALUE"""),0.271)</f>
        <v>0.271</v>
      </c>
      <c r="U2494" s="14">
        <f>IFERROR(__xludf.DUMMYFUNCTION("""COMPUTED_VALUE"""),0.66)</f>
        <v>0.66</v>
      </c>
      <c r="V2494" s="14">
        <f>IFERROR(__xludf.DUMMYFUNCTION("""COMPUTED_VALUE"""),0.069)</f>
        <v>0.069</v>
      </c>
      <c r="W2494" s="14">
        <f>IFERROR(__xludf.DUMMYFUNCTION("""COMPUTED_VALUE"""),7.124108E7)</f>
        <v>71241080</v>
      </c>
      <c r="X2494" s="14">
        <f>IFERROR(__xludf.DUMMYFUNCTION("""COMPUTED_VALUE"""),0.701)</f>
        <v>0.701</v>
      </c>
      <c r="Y2494" s="14" t="str">
        <f>IFERROR(__xludf.DUMMYFUNCTION("""COMPUTED_VALUE"""),"Turkey-Europe")</f>
        <v>Turkey-Europe</v>
      </c>
      <c r="Z2494" s="14" t="str">
        <f>IFERROR(__xludf.DUMMYFUNCTION("""COMPUTED_VALUE"""),"Europe")</f>
        <v>Europe</v>
      </c>
      <c r="AA2494" s="14" t="str">
        <f>IFERROR(__xludf.DUMMYFUNCTION("""COMPUTED_VALUE"""),"2009")</f>
        <v>2009</v>
      </c>
      <c r="AB2494" s="15" t="str">
        <f>IFERROR(__xludf.DUMMYFUNCTION("ARRAYFORMULA(VLOOKUP(A2494,IMPORTRANGE(""https://docs.google.com/spreadsheets/d/1BuTWp7qHGjWhqrnf-OmePP568O4A5Am9ttzvVdP67zw/edit#gid=1931367683"" ,""ENERGY!$A$2:$F$2692""), {2,3,4,5,6},0))"),"Europe")</f>
        <v>Europe</v>
      </c>
      <c r="AC2494" s="14" t="str">
        <f>IFERROR(__xludf.DUMMYFUNCTION("""COMPUTED_VALUE"""),"Turkey-Europe")</f>
        <v>Turkey-Europe</v>
      </c>
      <c r="AD2494" s="14" t="str">
        <f>IFERROR(__xludf.DUMMYFUNCTION("""COMPUTED_VALUE"""),"2012")</f>
        <v>2012</v>
      </c>
      <c r="AE2494" s="14">
        <f>IFERROR(__xludf.DUMMYFUNCTION("""COMPUTED_VALUE"""),77833.0)</f>
        <v>77833</v>
      </c>
      <c r="AF2494" s="14">
        <f>IFERROR(__xludf.DUMMYFUNCTION("""COMPUTED_VALUE"""),218509.0)</f>
        <v>218509</v>
      </c>
    </row>
    <row r="2495">
      <c r="A2495" s="12">
        <v>2494.0</v>
      </c>
      <c r="B2495" s="12" t="s">
        <v>270</v>
      </c>
      <c r="C2495" s="5" t="s">
        <v>75</v>
      </c>
      <c r="D2495" s="11">
        <v>0.433</v>
      </c>
      <c r="E2495" s="11">
        <v>6.0</v>
      </c>
      <c r="F2495" s="8"/>
      <c r="G2495" s="11">
        <v>226.0</v>
      </c>
      <c r="H2495" s="11">
        <v>0.398</v>
      </c>
      <c r="I2495" s="11">
        <v>0.856</v>
      </c>
      <c r="J2495" s="9" t="s">
        <v>71</v>
      </c>
      <c r="K2495" s="14" t="str">
        <f>IFERROR(__xludf.DUMMYFUNCTION("ARRAYFORMULA(VLOOKUP(A2495,IMPORTRANGE(""https://docs.google.com/spreadsheets/d/1BuTWp7qHGjWhqrnf-OmePP568O4A5Am9ttzvVdP67zw/edit#gid=1603210130"", ""TOURISM!$A$2:$F$2692""), {2,3,4,5,6},0))"),"Europe")</f>
        <v>Europe</v>
      </c>
      <c r="L2495" s="14">
        <f>IFERROR(__xludf.DUMMYFUNCTION("""COMPUTED_VALUE"""),2.6318E10)</f>
        <v>26318000000</v>
      </c>
      <c r="M2495" s="14" t="str">
        <f>IFERROR(__xludf.DUMMYFUNCTION("""COMPUTED_VALUE"""),"Turkey-Europe")</f>
        <v>Turkey-Europe</v>
      </c>
      <c r="N2495" s="14" t="str">
        <f>IFERROR(__xludf.DUMMYFUNCTION("""COMPUTED_VALUE"""),"2010")</f>
        <v>2010</v>
      </c>
      <c r="O2495" s="14">
        <f>IFERROR(__xludf.DUMMYFUNCTION("""COMPUTED_VALUE"""),5.817E9)</f>
        <v>5817000000</v>
      </c>
      <c r="P2495" s="15">
        <f>IFERROR(__xludf.DUMMYFUNCTION("ARRAYFORMULA(VLOOKUP(A2495,IMPORTRANGE(""https://docs.google.com/spreadsheets/d/1BuTWp7qHGjWhqrnf-OmePP568O4A5Am9ttzvVdP67zw/edit#gid=771602874"" ,""HUMAN RESOURCES!$A$2:$M$2692""), {2,3,4,5,6,7,8,9,10,11,12,13},0))"),0.018)</f>
        <v>0.018</v>
      </c>
      <c r="Q2495" s="14">
        <f>IFERROR(__xludf.DUMMYFUNCTION("""COMPUTED_VALUE"""),0.02)</f>
        <v>0.02</v>
      </c>
      <c r="R2495" s="14">
        <f>IFERROR(__xludf.DUMMYFUNCTION("""COMPUTED_VALUE"""),78.0)</f>
        <v>78</v>
      </c>
      <c r="S2495" s="14">
        <f>IFERROR(__xludf.DUMMYFUNCTION("""COMPUTED_VALUE"""),71.0)</f>
        <v>71</v>
      </c>
      <c r="T2495" s="14">
        <f>IFERROR(__xludf.DUMMYFUNCTION("""COMPUTED_VALUE"""),0.267)</f>
        <v>0.267</v>
      </c>
      <c r="U2495" s="14">
        <f>IFERROR(__xludf.DUMMYFUNCTION("""COMPUTED_VALUE"""),0.662)</f>
        <v>0.662</v>
      </c>
      <c r="V2495" s="14">
        <f>IFERROR(__xludf.DUMMYFUNCTION("""COMPUTED_VALUE"""),0.071)</f>
        <v>0.071</v>
      </c>
      <c r="W2495" s="14">
        <f>IFERROR(__xludf.DUMMYFUNCTION("""COMPUTED_VALUE"""),7.2137546E7)</f>
        <v>72137546</v>
      </c>
      <c r="X2495" s="14">
        <f>IFERROR(__xludf.DUMMYFUNCTION("""COMPUTED_VALUE"""),0.707)</f>
        <v>0.707</v>
      </c>
      <c r="Y2495" s="14" t="str">
        <f>IFERROR(__xludf.DUMMYFUNCTION("""COMPUTED_VALUE"""),"Turkey-Europe")</f>
        <v>Turkey-Europe</v>
      </c>
      <c r="Z2495" s="14" t="str">
        <f>IFERROR(__xludf.DUMMYFUNCTION("""COMPUTED_VALUE"""),"Europe")</f>
        <v>Europe</v>
      </c>
      <c r="AA2495" s="14" t="str">
        <f>IFERROR(__xludf.DUMMYFUNCTION("""COMPUTED_VALUE"""),"2010")</f>
        <v>2010</v>
      </c>
      <c r="AB2495" s="15" t="str">
        <f>IFERROR(__xludf.DUMMYFUNCTION("ARRAYFORMULA(VLOOKUP(A2495,IMPORTRANGE(""https://docs.google.com/spreadsheets/d/1BuTWp7qHGjWhqrnf-OmePP568O4A5Am9ttzvVdP67zw/edit#gid=1931367683"" ,""ENERGY!$A$2:$F$2692""), {2,3,4,5,6},0))"),"Europe")</f>
        <v>Europe</v>
      </c>
      <c r="AC2495" s="14" t="str">
        <f>IFERROR(__xludf.DUMMYFUNCTION("""COMPUTED_VALUE"""),"Turkey-Europe")</f>
        <v>Turkey-Europe</v>
      </c>
      <c r="AD2495" s="14" t="str">
        <f>IFERROR(__xludf.DUMMYFUNCTION("""COMPUTED_VALUE"""),"2010")</f>
        <v>2010</v>
      </c>
      <c r="AE2495" s="14">
        <f>IFERROR(__xludf.DUMMYFUNCTION("""COMPUTED_VALUE"""),74248.0)</f>
        <v>74248</v>
      </c>
      <c r="AF2495" s="14">
        <f>IFERROR(__xludf.DUMMYFUNCTION("""COMPUTED_VALUE"""),205678.0)</f>
        <v>205678</v>
      </c>
    </row>
    <row r="2496">
      <c r="A2496" s="12">
        <v>2495.0</v>
      </c>
      <c r="B2496" s="12" t="s">
        <v>270</v>
      </c>
      <c r="C2496" s="5" t="s">
        <v>75</v>
      </c>
      <c r="D2496" s="11">
        <v>0.4</v>
      </c>
      <c r="E2496" s="11">
        <v>6.0</v>
      </c>
      <c r="F2496" s="8"/>
      <c r="G2496" s="11">
        <v>226.0</v>
      </c>
      <c r="H2496" s="11">
        <v>0.431</v>
      </c>
      <c r="I2496" s="11">
        <v>0.894</v>
      </c>
      <c r="J2496" s="9" t="s">
        <v>72</v>
      </c>
      <c r="K2496" s="14" t="str">
        <f>IFERROR(__xludf.DUMMYFUNCTION("ARRAYFORMULA(VLOOKUP(A2496,IMPORTRANGE(""https://docs.google.com/spreadsheets/d/1BuTWp7qHGjWhqrnf-OmePP568O4A5Am9ttzvVdP67zw/edit#gid=1603210130"", ""TOURISM!$A$2:$F$2692""), {2,3,4,5,6},0))"),"Europe")</f>
        <v>Europe</v>
      </c>
      <c r="L2496" s="14">
        <f>IFERROR(__xludf.DUMMYFUNCTION("""COMPUTED_VALUE"""),3.0093E10)</f>
        <v>30093000000</v>
      </c>
      <c r="M2496" s="14" t="str">
        <f>IFERROR(__xludf.DUMMYFUNCTION("""COMPUTED_VALUE"""),"Turkey-Europe")</f>
        <v>Turkey-Europe</v>
      </c>
      <c r="N2496" s="14" t="str">
        <f>IFERROR(__xludf.DUMMYFUNCTION("""COMPUTED_VALUE"""),"2011")</f>
        <v>2011</v>
      </c>
      <c r="O2496" s="14">
        <f>IFERROR(__xludf.DUMMYFUNCTION("""COMPUTED_VALUE"""),5.372E9)</f>
        <v>5372000000</v>
      </c>
      <c r="P2496" s="15">
        <f>IFERROR(__xludf.DUMMYFUNCTION("ARRAYFORMULA(VLOOKUP(A2496,IMPORTRANGE(""https://docs.google.com/spreadsheets/d/1BuTWp7qHGjWhqrnf-OmePP568O4A5Am9ttzvVdP67zw/edit#gid=771602874"" ,""HUMAN RESOURCES!$A$2:$M$2692""), {2,3,4,5,6,7,8,9,10,11,12,13},0))"),0.017)</f>
        <v>0.017</v>
      </c>
      <c r="Q2496" s="14">
        <f>IFERROR(__xludf.DUMMYFUNCTION("""COMPUTED_VALUE"""),0.019)</f>
        <v>0.019</v>
      </c>
      <c r="R2496" s="14">
        <f>IFERROR(__xludf.DUMMYFUNCTION("""COMPUTED_VALUE"""),78.0)</f>
        <v>78</v>
      </c>
      <c r="S2496" s="14">
        <f>IFERROR(__xludf.DUMMYFUNCTION("""COMPUTED_VALUE"""),71.0)</f>
        <v>71</v>
      </c>
      <c r="T2496" s="14">
        <f>IFERROR(__xludf.DUMMYFUNCTION("""COMPUTED_VALUE"""),0.264)</f>
        <v>0.264</v>
      </c>
      <c r="U2496" s="14">
        <f>IFERROR(__xludf.DUMMYFUNCTION("""COMPUTED_VALUE"""),0.665)</f>
        <v>0.665</v>
      </c>
      <c r="V2496" s="14">
        <f>IFERROR(__xludf.DUMMYFUNCTION("""COMPUTED_VALUE"""),0.072)</f>
        <v>0.072</v>
      </c>
      <c r="W2496" s="14">
        <f>IFERROR(__xludf.DUMMYFUNCTION("""COMPUTED_VALUE"""),7.3058638E7)</f>
        <v>73058638</v>
      </c>
      <c r="X2496" s="14">
        <f>IFERROR(__xludf.DUMMYFUNCTION("""COMPUTED_VALUE"""),0.713)</f>
        <v>0.713</v>
      </c>
      <c r="Y2496" s="14" t="str">
        <f>IFERROR(__xludf.DUMMYFUNCTION("""COMPUTED_VALUE"""),"Turkey-Europe")</f>
        <v>Turkey-Europe</v>
      </c>
      <c r="Z2496" s="14" t="str">
        <f>IFERROR(__xludf.DUMMYFUNCTION("""COMPUTED_VALUE"""),"Europe")</f>
        <v>Europe</v>
      </c>
      <c r="AA2496" s="14" t="str">
        <f>IFERROR(__xludf.DUMMYFUNCTION("""COMPUTED_VALUE"""),"2011")</f>
        <v>2011</v>
      </c>
      <c r="AB2496" s="15" t="str">
        <f>IFERROR(__xludf.DUMMYFUNCTION("ARRAYFORMULA(VLOOKUP(A2496,IMPORTRANGE(""https://docs.google.com/spreadsheets/d/1BuTWp7qHGjWhqrnf-OmePP568O4A5Am9ttzvVdP67zw/edit#gid=1931367683"" ,""ENERGY!$A$2:$F$2692""), {2,3,4,5,6},0))"),"Europe")</f>
        <v>Europe</v>
      </c>
      <c r="AC2496" s="14" t="str">
        <f>IFERROR(__xludf.DUMMYFUNCTION("""COMPUTED_VALUE"""),"Turkey-Europe")</f>
        <v>Turkey-Europe</v>
      </c>
      <c r="AD2496" s="14" t="str">
        <f>IFERROR(__xludf.DUMMYFUNCTION("""COMPUTED_VALUE"""),"2007")</f>
        <v>2007</v>
      </c>
      <c r="AE2496" s="14">
        <f>IFERROR(__xludf.DUMMYFUNCTION("""COMPUTED_VALUE"""),70402.0)</f>
        <v>70402</v>
      </c>
      <c r="AF2496" s="14">
        <f>IFERROR(__xludf.DUMMYFUNCTION("""COMPUTED_VALUE"""),194538.0)</f>
        <v>194538</v>
      </c>
    </row>
    <row r="2497">
      <c r="A2497" s="12">
        <v>2496.0</v>
      </c>
      <c r="B2497" s="12" t="s">
        <v>270</v>
      </c>
      <c r="C2497" s="5" t="s">
        <v>75</v>
      </c>
      <c r="D2497" s="11">
        <v>0.4</v>
      </c>
      <c r="E2497" s="11">
        <v>6.0</v>
      </c>
      <c r="F2497" s="11">
        <v>72.0</v>
      </c>
      <c r="G2497" s="11">
        <v>226.0</v>
      </c>
      <c r="H2497" s="11">
        <v>0.451</v>
      </c>
      <c r="I2497" s="11">
        <v>0.915</v>
      </c>
      <c r="J2497" s="9" t="s">
        <v>73</v>
      </c>
      <c r="K2497" s="14" t="str">
        <f>IFERROR(__xludf.DUMMYFUNCTION("ARRAYFORMULA(VLOOKUP(A2497,IMPORTRANGE(""https://docs.google.com/spreadsheets/d/1BuTWp7qHGjWhqrnf-OmePP568O4A5Am9ttzvVdP67zw/edit#gid=1603210130"", ""TOURISM!$A$2:$F$2692""), {2,3,4,5,6},0))"),"Europe")</f>
        <v>Europe</v>
      </c>
      <c r="L2497" s="14">
        <f>IFERROR(__xludf.DUMMYFUNCTION("""COMPUTED_VALUE"""),3.2249E10)</f>
        <v>32249000000</v>
      </c>
      <c r="M2497" s="14" t="str">
        <f>IFERROR(__xludf.DUMMYFUNCTION("""COMPUTED_VALUE"""),"Turkey-Europe")</f>
        <v>Turkey-Europe</v>
      </c>
      <c r="N2497" s="14" t="str">
        <f>IFERROR(__xludf.DUMMYFUNCTION("""COMPUTED_VALUE"""),"2012")</f>
        <v>2012</v>
      </c>
      <c r="O2497" s="14">
        <f>IFERROR(__xludf.DUMMYFUNCTION("""COMPUTED_VALUE"""),4.604E9)</f>
        <v>4604000000</v>
      </c>
      <c r="P2497" s="15">
        <f>IFERROR(__xludf.DUMMYFUNCTION("ARRAYFORMULA(VLOOKUP(A2497,IMPORTRANGE(""https://docs.google.com/spreadsheets/d/1BuTWp7qHGjWhqrnf-OmePP568O4A5Am9ttzvVdP67zw/edit#gid=771602874"" ,""HUMAN RESOURCES!$A$2:$M$2692""), {2,3,4,5,6,7,8,9,10,11,12,13},0))"),0.017)</f>
        <v>0.017</v>
      </c>
      <c r="Q2497" s="14">
        <f>IFERROR(__xludf.DUMMYFUNCTION("""COMPUTED_VALUE"""),0.017)</f>
        <v>0.017</v>
      </c>
      <c r="R2497" s="14">
        <f>IFERROR(__xludf.DUMMYFUNCTION("""COMPUTED_VALUE"""),78.0)</f>
        <v>78</v>
      </c>
      <c r="S2497" s="14">
        <f>IFERROR(__xludf.DUMMYFUNCTION("""COMPUTED_VALUE"""),72.0)</f>
        <v>72</v>
      </c>
      <c r="T2497" s="14">
        <f>IFERROR(__xludf.DUMMYFUNCTION("""COMPUTED_VALUE"""),0.26)</f>
        <v>0.26</v>
      </c>
      <c r="U2497" s="14">
        <f>IFERROR(__xludf.DUMMYFUNCTION("""COMPUTED_VALUE"""),0.667)</f>
        <v>0.667</v>
      </c>
      <c r="V2497" s="14">
        <f>IFERROR(__xludf.DUMMYFUNCTION("""COMPUTED_VALUE"""),0.073)</f>
        <v>0.073</v>
      </c>
      <c r="W2497" s="14">
        <f>IFERROR(__xludf.DUMMYFUNCTION("""COMPUTED_VALUE"""),7.3997128E7)</f>
        <v>73997128</v>
      </c>
      <c r="X2497" s="14">
        <f>IFERROR(__xludf.DUMMYFUNCTION("""COMPUTED_VALUE"""),0.718)</f>
        <v>0.718</v>
      </c>
      <c r="Y2497" s="14" t="str">
        <f>IFERROR(__xludf.DUMMYFUNCTION("""COMPUTED_VALUE"""),"Turkey-Europe")</f>
        <v>Turkey-Europe</v>
      </c>
      <c r="Z2497" s="14" t="str">
        <f>IFERROR(__xludf.DUMMYFUNCTION("""COMPUTED_VALUE"""),"Europe")</f>
        <v>Europe</v>
      </c>
      <c r="AA2497" s="14" t="str">
        <f>IFERROR(__xludf.DUMMYFUNCTION("""COMPUTED_VALUE"""),"2012")</f>
        <v>2012</v>
      </c>
      <c r="AB2497" s="15" t="str">
        <f>IFERROR(__xludf.DUMMYFUNCTION("ARRAYFORMULA(VLOOKUP(A2497,IMPORTRANGE(""https://docs.google.com/spreadsheets/d/1BuTWp7qHGjWhqrnf-OmePP568O4A5Am9ttzvVdP67zw/edit#gid=1931367683"" ,""ENERGY!$A$2:$F$2692""), {2,3,4,5,6},0))"),"Europe")</f>
        <v>Europe</v>
      </c>
      <c r="AC2497" s="14" t="str">
        <f>IFERROR(__xludf.DUMMYFUNCTION("""COMPUTED_VALUE"""),"Turkey-Europe")</f>
        <v>Turkey-Europe</v>
      </c>
      <c r="AD2497" s="14" t="str">
        <f>IFERROR(__xludf.DUMMYFUNCTION("""COMPUTED_VALUE"""),"2012")</f>
        <v>2012</v>
      </c>
      <c r="AE2497" s="14">
        <f>IFERROR(__xludf.DUMMYFUNCTION("""COMPUTED_VALUE"""),76348.0)</f>
        <v>76348</v>
      </c>
      <c r="AF2497" s="14">
        <f>IFERROR(__xludf.DUMMYFUNCTION("""COMPUTED_VALUE"""),216148.0)</f>
        <v>216148</v>
      </c>
    </row>
    <row r="2498">
      <c r="A2498" s="12">
        <v>2497.0</v>
      </c>
      <c r="B2498" s="12" t="s">
        <v>271</v>
      </c>
      <c r="C2498" s="5" t="s">
        <v>61</v>
      </c>
      <c r="D2498" s="8"/>
      <c r="E2498" s="8"/>
      <c r="F2498" s="8"/>
      <c r="G2498" s="8"/>
      <c r="H2498" s="11">
        <v>0.001</v>
      </c>
      <c r="I2498" s="11">
        <v>0.002</v>
      </c>
      <c r="J2498" s="9" t="s">
        <v>60</v>
      </c>
      <c r="K2498" s="14" t="str">
        <f>IFERROR(__xludf.DUMMYFUNCTION("ARRAYFORMULA(VLOOKUP(A2498,IMPORTRANGE(""https://docs.google.com/spreadsheets/d/1BuTWp7qHGjWhqrnf-OmePP568O4A5Am9ttzvVdP67zw/edit#gid=1603210130"", ""TOURISM!$A$2:$F$2692""), {2,3,4,5,6},0))"),"Asia")</f>
        <v>Asia</v>
      </c>
      <c r="L2498" s="14"/>
      <c r="M2498" s="14" t="str">
        <f>IFERROR(__xludf.DUMMYFUNCTION("""COMPUTED_VALUE"""),"Turkmenistan-Asia")</f>
        <v>Turkmenistan-Asia</v>
      </c>
      <c r="N2498" s="14" t="str">
        <f>IFERROR(__xludf.DUMMYFUNCTION("""COMPUTED_VALUE"""),"2000")</f>
        <v>2000</v>
      </c>
      <c r="O2498" s="14"/>
      <c r="P2498" s="15">
        <f>IFERROR(__xludf.DUMMYFUNCTION("ARRAYFORMULA(VLOOKUP(A2498,IMPORTRANGE(""https://docs.google.com/spreadsheets/d/1BuTWp7qHGjWhqrnf-OmePP568O4A5Am9ttzvVdP67zw/edit#gid=771602874"" ,""HUMAN RESOURCES!$A$2:$M$2692""), {2,3,4,5,6,7,8,9,10,11,12,13},0))"),0.024)</f>
        <v>0.024</v>
      </c>
      <c r="Q2498" s="14">
        <f>IFERROR(__xludf.DUMMYFUNCTION("""COMPUTED_VALUE"""),0.066)</f>
        <v>0.066</v>
      </c>
      <c r="R2498" s="14">
        <f>IFERROR(__xludf.DUMMYFUNCTION("""COMPUTED_VALUE"""),68.0)</f>
        <v>68</v>
      </c>
      <c r="S2498" s="14">
        <f>IFERROR(__xludf.DUMMYFUNCTION("""COMPUTED_VALUE"""),60.0)</f>
        <v>60</v>
      </c>
      <c r="T2498" s="14">
        <f>IFERROR(__xludf.DUMMYFUNCTION("""COMPUTED_VALUE"""),0.363)</f>
        <v>0.363</v>
      </c>
      <c r="U2498" s="14">
        <f>IFERROR(__xludf.DUMMYFUNCTION("""COMPUTED_VALUE"""),0.594)</f>
        <v>0.594</v>
      </c>
      <c r="V2498" s="14">
        <f>IFERROR(__xludf.DUMMYFUNCTION("""COMPUTED_VALUE"""),0.043)</f>
        <v>0.043</v>
      </c>
      <c r="W2498" s="14">
        <f>IFERROR(__xludf.DUMMYFUNCTION("""COMPUTED_VALUE"""),4501419.0)</f>
        <v>4501419</v>
      </c>
      <c r="X2498" s="14">
        <f>IFERROR(__xludf.DUMMYFUNCTION("""COMPUTED_VALUE"""),0.459)</f>
        <v>0.459</v>
      </c>
      <c r="Y2498" s="14" t="str">
        <f>IFERROR(__xludf.DUMMYFUNCTION("""COMPUTED_VALUE"""),"Turkmenistan-Asia")</f>
        <v>Turkmenistan-Asia</v>
      </c>
      <c r="Z2498" s="14" t="str">
        <f>IFERROR(__xludf.DUMMYFUNCTION("""COMPUTED_VALUE"""),"Asia")</f>
        <v>Asia</v>
      </c>
      <c r="AA2498" s="14" t="str">
        <f>IFERROR(__xludf.DUMMYFUNCTION("""COMPUTED_VALUE"""),"2000")</f>
        <v>2000</v>
      </c>
      <c r="AB2498" s="15" t="str">
        <f>IFERROR(__xludf.DUMMYFUNCTION("ARRAYFORMULA(VLOOKUP(A2498,IMPORTRANGE(""https://docs.google.com/spreadsheets/d/1BuTWp7qHGjWhqrnf-OmePP568O4A5Am9ttzvVdP67zw/edit#gid=1931367683"" ,""ENERGY!$A$2:$F$2692""), {2,3,4,5,6},0))"),"Asia")</f>
        <v>Asia</v>
      </c>
      <c r="AC2498" s="14" t="str">
        <f>IFERROR(__xludf.DUMMYFUNCTION("""COMPUTED_VALUE"""),"Turkmenistan-Asia")</f>
        <v>Turkmenistan-Asia</v>
      </c>
      <c r="AD2498" s="14" t="str">
        <f>IFERROR(__xludf.DUMMYFUNCTION("""COMPUTED_VALUE"""),"2000")</f>
        <v>2000</v>
      </c>
      <c r="AE2498" s="14"/>
      <c r="AF2498" s="14"/>
    </row>
    <row r="2499">
      <c r="A2499" s="12">
        <v>2498.0</v>
      </c>
      <c r="B2499" s="12" t="s">
        <v>271</v>
      </c>
      <c r="C2499" s="5" t="s">
        <v>61</v>
      </c>
      <c r="D2499" s="8"/>
      <c r="E2499" s="8"/>
      <c r="F2499" s="8"/>
      <c r="G2499" s="8"/>
      <c r="H2499" s="11">
        <v>0.002</v>
      </c>
      <c r="I2499" s="11">
        <v>0.002</v>
      </c>
      <c r="J2499" s="9" t="s">
        <v>62</v>
      </c>
      <c r="K2499" s="14" t="str">
        <f>IFERROR(__xludf.DUMMYFUNCTION("ARRAYFORMULA(VLOOKUP(A2499,IMPORTRANGE(""https://docs.google.com/spreadsheets/d/1BuTWp7qHGjWhqrnf-OmePP568O4A5Am9ttzvVdP67zw/edit#gid=1603210130"", ""TOURISM!$A$2:$F$2692""), {2,3,4,5,6},0))"),"Asia")</f>
        <v>Asia</v>
      </c>
      <c r="L2499" s="14"/>
      <c r="M2499" s="14" t="str">
        <f>IFERROR(__xludf.DUMMYFUNCTION("""COMPUTED_VALUE"""),"Turkmenistan-Asia")</f>
        <v>Turkmenistan-Asia</v>
      </c>
      <c r="N2499" s="14" t="str">
        <f>IFERROR(__xludf.DUMMYFUNCTION("""COMPUTED_VALUE"""),"2001")</f>
        <v>2001</v>
      </c>
      <c r="O2499" s="14"/>
      <c r="P2499" s="15">
        <f>IFERROR(__xludf.DUMMYFUNCTION("ARRAYFORMULA(VLOOKUP(A2499,IMPORTRANGE(""https://docs.google.com/spreadsheets/d/1BuTWp7qHGjWhqrnf-OmePP568O4A5Am9ttzvVdP67zw/edit#gid=771602874"" ,""HUMAN RESOURCES!$A$2:$M$2692""), {2,3,4,5,6,7,8,9,10,11,12,13},0))"),0.023)</f>
        <v>0.023</v>
      </c>
      <c r="Q2499" s="14">
        <f>IFERROR(__xludf.DUMMYFUNCTION("""COMPUTED_VALUE"""),0.065)</f>
        <v>0.065</v>
      </c>
      <c r="R2499" s="14">
        <f>IFERROR(__xludf.DUMMYFUNCTION("""COMPUTED_VALUE"""),68.0)</f>
        <v>68</v>
      </c>
      <c r="S2499" s="14">
        <f>IFERROR(__xludf.DUMMYFUNCTION("""COMPUTED_VALUE"""),60.0)</f>
        <v>60</v>
      </c>
      <c r="T2499" s="14">
        <f>IFERROR(__xludf.DUMMYFUNCTION("""COMPUTED_VALUE"""),0.356)</f>
        <v>0.356</v>
      </c>
      <c r="U2499" s="14">
        <f>IFERROR(__xludf.DUMMYFUNCTION("""COMPUTED_VALUE"""),0.6)</f>
        <v>0.6</v>
      </c>
      <c r="V2499" s="14">
        <f>IFERROR(__xludf.DUMMYFUNCTION("""COMPUTED_VALUE"""),0.044)</f>
        <v>0.044</v>
      </c>
      <c r="W2499" s="14">
        <f>IFERROR(__xludf.DUMMYFUNCTION("""COMPUTED_VALUE"""),4551762.0)</f>
        <v>4551762</v>
      </c>
      <c r="X2499" s="14">
        <f>IFERROR(__xludf.DUMMYFUNCTION("""COMPUTED_VALUE"""),0.461)</f>
        <v>0.461</v>
      </c>
      <c r="Y2499" s="14" t="str">
        <f>IFERROR(__xludf.DUMMYFUNCTION("""COMPUTED_VALUE"""),"Turkmenistan-Asia")</f>
        <v>Turkmenistan-Asia</v>
      </c>
      <c r="Z2499" s="14" t="str">
        <f>IFERROR(__xludf.DUMMYFUNCTION("""COMPUTED_VALUE"""),"Asia")</f>
        <v>Asia</v>
      </c>
      <c r="AA2499" s="14" t="str">
        <f>IFERROR(__xludf.DUMMYFUNCTION("""COMPUTED_VALUE"""),"2001")</f>
        <v>2001</v>
      </c>
      <c r="AB2499" s="15" t="str">
        <f>IFERROR(__xludf.DUMMYFUNCTION("ARRAYFORMULA(VLOOKUP(A2499,IMPORTRANGE(""https://docs.google.com/spreadsheets/d/1BuTWp7qHGjWhqrnf-OmePP568O4A5Am9ttzvVdP67zw/edit#gid=1931367683"" ,""ENERGY!$A$2:$F$2692""), {2,3,4,5,6},0))"),"Asia")</f>
        <v>Asia</v>
      </c>
      <c r="AC2499" s="14" t="str">
        <f>IFERROR(__xludf.DUMMYFUNCTION("""COMPUTED_VALUE"""),"Turkmenistan-Asia")</f>
        <v>Turkmenistan-Asia</v>
      </c>
      <c r="AD2499" s="14" t="str">
        <f>IFERROR(__xludf.DUMMYFUNCTION("""COMPUTED_VALUE"""),"2001")</f>
        <v>2001</v>
      </c>
      <c r="AE2499" s="14">
        <f>IFERROR(__xludf.DUMMYFUNCTION("""COMPUTED_VALUE"""),24710.0)</f>
        <v>24710</v>
      </c>
      <c r="AF2499" s="14"/>
    </row>
    <row r="2500">
      <c r="A2500" s="12">
        <v>2499.0</v>
      </c>
      <c r="B2500" s="12" t="s">
        <v>271</v>
      </c>
      <c r="C2500" s="5" t="s">
        <v>61</v>
      </c>
      <c r="D2500" s="8"/>
      <c r="E2500" s="8"/>
      <c r="F2500" s="8"/>
      <c r="G2500" s="8"/>
      <c r="H2500" s="11">
        <v>0.003</v>
      </c>
      <c r="I2500" s="11">
        <v>0.002</v>
      </c>
      <c r="J2500" s="9" t="s">
        <v>63</v>
      </c>
      <c r="K2500" s="14" t="str">
        <f>IFERROR(__xludf.DUMMYFUNCTION("ARRAYFORMULA(VLOOKUP(A2500,IMPORTRANGE(""https://docs.google.com/spreadsheets/d/1BuTWp7qHGjWhqrnf-OmePP568O4A5Am9ttzvVdP67zw/edit#gid=1603210130"", ""TOURISM!$A$2:$F$2692""), {2,3,4,5,6},0))"),"Asia")</f>
        <v>Asia</v>
      </c>
      <c r="L2500" s="14"/>
      <c r="M2500" s="14" t="str">
        <f>IFERROR(__xludf.DUMMYFUNCTION("""COMPUTED_VALUE"""),"Turkmenistan-Asia")</f>
        <v>Turkmenistan-Asia</v>
      </c>
      <c r="N2500" s="14" t="str">
        <f>IFERROR(__xludf.DUMMYFUNCTION("""COMPUTED_VALUE"""),"2002")</f>
        <v>2002</v>
      </c>
      <c r="O2500" s="14"/>
      <c r="P2500" s="15">
        <f>IFERROR(__xludf.DUMMYFUNCTION("ARRAYFORMULA(VLOOKUP(A2500,IMPORTRANGE(""https://docs.google.com/spreadsheets/d/1BuTWp7qHGjWhqrnf-OmePP568O4A5Am9ttzvVdP67zw/edit#gid=771602874"" ,""HUMAN RESOURCES!$A$2:$M$2692""), {2,3,4,5,6,7,8,9,10,11,12,13},0))"),0.023)</f>
        <v>0.023</v>
      </c>
      <c r="Q2500" s="14">
        <f>IFERROR(__xludf.DUMMYFUNCTION("""COMPUTED_VALUE"""),0.063)</f>
        <v>0.063</v>
      </c>
      <c r="R2500" s="14">
        <f>IFERROR(__xludf.DUMMYFUNCTION("""COMPUTED_VALUE"""),68.0)</f>
        <v>68</v>
      </c>
      <c r="S2500" s="14">
        <f>IFERROR(__xludf.DUMMYFUNCTION("""COMPUTED_VALUE"""),60.0)</f>
        <v>60</v>
      </c>
      <c r="T2500" s="14">
        <f>IFERROR(__xludf.DUMMYFUNCTION("""COMPUTED_VALUE"""),0.349)</f>
        <v>0.349</v>
      </c>
      <c r="U2500" s="14">
        <f>IFERROR(__xludf.DUMMYFUNCTION("""COMPUTED_VALUE"""),0.607)</f>
        <v>0.607</v>
      </c>
      <c r="V2500" s="14">
        <f>IFERROR(__xludf.DUMMYFUNCTION("""COMPUTED_VALUE"""),0.044)</f>
        <v>0.044</v>
      </c>
      <c r="W2500" s="14">
        <f>IFERROR(__xludf.DUMMYFUNCTION("""COMPUTED_VALUE"""),4600171.0)</f>
        <v>4600171</v>
      </c>
      <c r="X2500" s="14">
        <f>IFERROR(__xludf.DUMMYFUNCTION("""COMPUTED_VALUE"""),0.464)</f>
        <v>0.464</v>
      </c>
      <c r="Y2500" s="14" t="str">
        <f>IFERROR(__xludf.DUMMYFUNCTION("""COMPUTED_VALUE"""),"Turkmenistan-Asia")</f>
        <v>Turkmenistan-Asia</v>
      </c>
      <c r="Z2500" s="14" t="str">
        <f>IFERROR(__xludf.DUMMYFUNCTION("""COMPUTED_VALUE"""),"Asia")</f>
        <v>Asia</v>
      </c>
      <c r="AA2500" s="14" t="str">
        <f>IFERROR(__xludf.DUMMYFUNCTION("""COMPUTED_VALUE"""),"2002")</f>
        <v>2002</v>
      </c>
      <c r="AB2500" s="15" t="str">
        <f>IFERROR(__xludf.DUMMYFUNCTION("ARRAYFORMULA(VLOOKUP(A2500,IMPORTRANGE(""https://docs.google.com/spreadsheets/d/1BuTWp7qHGjWhqrnf-OmePP568O4A5Am9ttzvVdP67zw/edit#gid=1931367683"" ,""ENERGY!$A$2:$F$2692""), {2,3,4,5,6},0))"),"Asia")</f>
        <v>Asia</v>
      </c>
      <c r="AC2500" s="14" t="str">
        <f>IFERROR(__xludf.DUMMYFUNCTION("""COMPUTED_VALUE"""),"Turkmenistan-Asia")</f>
        <v>Turkmenistan-Asia</v>
      </c>
      <c r="AD2500" s="14" t="str">
        <f>IFERROR(__xludf.DUMMYFUNCTION("""COMPUTED_VALUE"""),"2002")</f>
        <v>2002</v>
      </c>
      <c r="AE2500" s="14">
        <f>IFERROR(__xludf.DUMMYFUNCTION("""COMPUTED_VALUE"""),22675.0)</f>
        <v>22675</v>
      </c>
      <c r="AF2500" s="14">
        <f>IFERROR(__xludf.DUMMYFUNCTION("""COMPUTED_VALUE"""),53054.0)</f>
        <v>53054</v>
      </c>
    </row>
    <row r="2501">
      <c r="A2501" s="12">
        <v>2500.0</v>
      </c>
      <c r="B2501" s="12" t="s">
        <v>271</v>
      </c>
      <c r="C2501" s="5" t="s">
        <v>61</v>
      </c>
      <c r="D2501" s="8"/>
      <c r="E2501" s="8"/>
      <c r="F2501" s="8"/>
      <c r="G2501" s="8"/>
      <c r="H2501" s="11">
        <v>0.004</v>
      </c>
      <c r="I2501" s="11">
        <v>0.002</v>
      </c>
      <c r="J2501" s="9" t="s">
        <v>64</v>
      </c>
      <c r="K2501" s="14" t="str">
        <f>IFERROR(__xludf.DUMMYFUNCTION("ARRAYFORMULA(VLOOKUP(A2501,IMPORTRANGE(""https://docs.google.com/spreadsheets/d/1BuTWp7qHGjWhqrnf-OmePP568O4A5Am9ttzvVdP67zw/edit#gid=1603210130"", ""TOURISM!$A$2:$F$2692""), {2,3,4,5,6},0))"),"Asia")</f>
        <v>Asia</v>
      </c>
      <c r="L2501" s="14"/>
      <c r="M2501" s="14" t="str">
        <f>IFERROR(__xludf.DUMMYFUNCTION("""COMPUTED_VALUE"""),"Turkmenistan-Asia")</f>
        <v>Turkmenistan-Asia</v>
      </c>
      <c r="N2501" s="14" t="str">
        <f>IFERROR(__xludf.DUMMYFUNCTION("""COMPUTED_VALUE"""),"2003")</f>
        <v>2003</v>
      </c>
      <c r="O2501" s="14"/>
      <c r="P2501" s="15">
        <f>IFERROR(__xludf.DUMMYFUNCTION("ARRAYFORMULA(VLOOKUP(A2501,IMPORTRANGE(""https://docs.google.com/spreadsheets/d/1BuTWp7qHGjWhqrnf-OmePP568O4A5Am9ttzvVdP67zw/edit#gid=771602874"" ,""HUMAN RESOURCES!$A$2:$M$2692""), {2,3,4,5,6,7,8,9,10,11,12,13},0))"),0.023)</f>
        <v>0.023</v>
      </c>
      <c r="Q2501" s="14">
        <f>IFERROR(__xludf.DUMMYFUNCTION("""COMPUTED_VALUE"""),0.062)</f>
        <v>0.062</v>
      </c>
      <c r="R2501" s="14">
        <f>IFERROR(__xludf.DUMMYFUNCTION("""COMPUTED_VALUE"""),68.0)</f>
        <v>68</v>
      </c>
      <c r="S2501" s="14">
        <f>IFERROR(__xludf.DUMMYFUNCTION("""COMPUTED_VALUE"""),60.0)</f>
        <v>60</v>
      </c>
      <c r="T2501" s="14">
        <f>IFERROR(__xludf.DUMMYFUNCTION("""COMPUTED_VALUE"""),0.342)</f>
        <v>0.342</v>
      </c>
      <c r="U2501" s="14">
        <f>IFERROR(__xludf.DUMMYFUNCTION("""COMPUTED_VALUE"""),0.613)</f>
        <v>0.613</v>
      </c>
      <c r="V2501" s="14">
        <f>IFERROR(__xludf.DUMMYFUNCTION("""COMPUTED_VALUE"""),0.045)</f>
        <v>0.045</v>
      </c>
      <c r="W2501" s="14">
        <f>IFERROR(__xludf.DUMMYFUNCTION("""COMPUTED_VALUE"""),4648037.0)</f>
        <v>4648037</v>
      </c>
      <c r="X2501" s="14">
        <f>IFERROR(__xludf.DUMMYFUNCTION("""COMPUTED_VALUE"""),0.466)</f>
        <v>0.466</v>
      </c>
      <c r="Y2501" s="14" t="str">
        <f>IFERROR(__xludf.DUMMYFUNCTION("""COMPUTED_VALUE"""),"Turkmenistan-Asia")</f>
        <v>Turkmenistan-Asia</v>
      </c>
      <c r="Z2501" s="14" t="str">
        <f>IFERROR(__xludf.DUMMYFUNCTION("""COMPUTED_VALUE"""),"Asia")</f>
        <v>Asia</v>
      </c>
      <c r="AA2501" s="14" t="str">
        <f>IFERROR(__xludf.DUMMYFUNCTION("""COMPUTED_VALUE"""),"2003")</f>
        <v>2003</v>
      </c>
      <c r="AB2501" s="15" t="str">
        <f>IFERROR(__xludf.DUMMYFUNCTION("ARRAYFORMULA(VLOOKUP(A2501,IMPORTRANGE(""https://docs.google.com/spreadsheets/d/1BuTWp7qHGjWhqrnf-OmePP568O4A5Am9ttzvVdP67zw/edit#gid=1931367683"" ,""ENERGY!$A$2:$F$2692""), {2,3,4,5,6},0))"),"Asia")</f>
        <v>Asia</v>
      </c>
      <c r="AC2501" s="14" t="str">
        <f>IFERROR(__xludf.DUMMYFUNCTION("""COMPUTED_VALUE"""),"Turkmenistan-Asia")</f>
        <v>Turkmenistan-Asia</v>
      </c>
      <c r="AD2501" s="14" t="str">
        <f>IFERROR(__xludf.DUMMYFUNCTION("""COMPUTED_VALUE"""),"2003")</f>
        <v>2003</v>
      </c>
      <c r="AE2501" s="14">
        <f>IFERROR(__xludf.DUMMYFUNCTION("""COMPUTED_VALUE"""),19873.0)</f>
        <v>19873</v>
      </c>
      <c r="AF2501" s="14">
        <f>IFERROR(__xludf.DUMMYFUNCTION("""COMPUTED_VALUE"""),48525.0)</f>
        <v>48525</v>
      </c>
    </row>
    <row r="2502">
      <c r="A2502" s="12">
        <v>2501.0</v>
      </c>
      <c r="B2502" s="12" t="s">
        <v>271</v>
      </c>
      <c r="C2502" s="5" t="s">
        <v>61</v>
      </c>
      <c r="D2502" s="8"/>
      <c r="E2502" s="8"/>
      <c r="F2502" s="8"/>
      <c r="G2502" s="8"/>
      <c r="H2502" s="11">
        <v>0.008</v>
      </c>
      <c r="I2502" s="11">
        <v>0.011</v>
      </c>
      <c r="J2502" s="9" t="s">
        <v>65</v>
      </c>
      <c r="K2502" s="14" t="str">
        <f>IFERROR(__xludf.DUMMYFUNCTION("ARRAYFORMULA(VLOOKUP(A2502,IMPORTRANGE(""https://docs.google.com/spreadsheets/d/1BuTWp7qHGjWhqrnf-OmePP568O4A5Am9ttzvVdP67zw/edit#gid=1603210130"", ""TOURISM!$A$2:$F$2692""), {2,3,4,5,6},0))"),"Asia")</f>
        <v>Asia</v>
      </c>
      <c r="L2502" s="14"/>
      <c r="M2502" s="14" t="str">
        <f>IFERROR(__xludf.DUMMYFUNCTION("""COMPUTED_VALUE"""),"Turkmenistan-Asia")</f>
        <v>Turkmenistan-Asia</v>
      </c>
      <c r="N2502" s="14" t="str">
        <f>IFERROR(__xludf.DUMMYFUNCTION("""COMPUTED_VALUE"""),"2004")</f>
        <v>2004</v>
      </c>
      <c r="O2502" s="14"/>
      <c r="P2502" s="15">
        <f>IFERROR(__xludf.DUMMYFUNCTION("ARRAYFORMULA(VLOOKUP(A2502,IMPORTRANGE(""https://docs.google.com/spreadsheets/d/1BuTWp7qHGjWhqrnf-OmePP568O4A5Am9ttzvVdP67zw/edit#gid=771602874"" ,""HUMAN RESOURCES!$A$2:$M$2692""), {2,3,4,5,6,7,8,9,10,11,12,13},0))"),0.023)</f>
        <v>0.023</v>
      </c>
      <c r="Q2502" s="14">
        <f>IFERROR(__xludf.DUMMYFUNCTION("""COMPUTED_VALUE"""),0.06)</f>
        <v>0.06</v>
      </c>
      <c r="R2502" s="14">
        <f>IFERROR(__xludf.DUMMYFUNCTION("""COMPUTED_VALUE"""),68.0)</f>
        <v>68</v>
      </c>
      <c r="S2502" s="14">
        <f>IFERROR(__xludf.DUMMYFUNCTION("""COMPUTED_VALUE"""),60.0)</f>
        <v>60</v>
      </c>
      <c r="T2502" s="14">
        <f>IFERROR(__xludf.DUMMYFUNCTION("""COMPUTED_VALUE"""),0.334)</f>
        <v>0.334</v>
      </c>
      <c r="U2502" s="14">
        <f>IFERROR(__xludf.DUMMYFUNCTION("""COMPUTED_VALUE"""),0.62)</f>
        <v>0.62</v>
      </c>
      <c r="V2502" s="14">
        <f>IFERROR(__xludf.DUMMYFUNCTION("""COMPUTED_VALUE"""),0.046)</f>
        <v>0.046</v>
      </c>
      <c r="W2502" s="14">
        <f>IFERROR(__xludf.DUMMYFUNCTION("""COMPUTED_VALUE"""),4696876.0)</f>
        <v>4696876</v>
      </c>
      <c r="X2502" s="14">
        <f>IFERROR(__xludf.DUMMYFUNCTION("""COMPUTED_VALUE"""),0.468)</f>
        <v>0.468</v>
      </c>
      <c r="Y2502" s="14" t="str">
        <f>IFERROR(__xludf.DUMMYFUNCTION("""COMPUTED_VALUE"""),"Turkmenistan-Asia")</f>
        <v>Turkmenistan-Asia</v>
      </c>
      <c r="Z2502" s="14" t="str">
        <f>IFERROR(__xludf.DUMMYFUNCTION("""COMPUTED_VALUE"""),"Asia")</f>
        <v>Asia</v>
      </c>
      <c r="AA2502" s="14" t="str">
        <f>IFERROR(__xludf.DUMMYFUNCTION("""COMPUTED_VALUE"""),"2004")</f>
        <v>2004</v>
      </c>
      <c r="AB2502" s="15" t="str">
        <f>IFERROR(__xludf.DUMMYFUNCTION("ARRAYFORMULA(VLOOKUP(A2502,IMPORTRANGE(""https://docs.google.com/spreadsheets/d/1BuTWp7qHGjWhqrnf-OmePP568O4A5Am9ttzvVdP67zw/edit#gid=1931367683"" ,""ENERGY!$A$2:$F$2692""), {2,3,4,5,6},0))"),"Asia")</f>
        <v>Asia</v>
      </c>
      <c r="AC2502" s="14" t="str">
        <f>IFERROR(__xludf.DUMMYFUNCTION("""COMPUTED_VALUE"""),"Turkmenistan-Asia")</f>
        <v>Turkmenistan-Asia</v>
      </c>
      <c r="AD2502" s="14" t="str">
        <f>IFERROR(__xludf.DUMMYFUNCTION("""COMPUTED_VALUE"""),"2005")</f>
        <v>2005</v>
      </c>
      <c r="AE2502" s="14">
        <f>IFERROR(__xludf.DUMMYFUNCTION("""COMPUTED_VALUE"""),22669.0)</f>
        <v>22669</v>
      </c>
      <c r="AF2502" s="14">
        <f>IFERROR(__xludf.DUMMYFUNCTION("""COMPUTED_VALUE"""),55093.0)</f>
        <v>55093</v>
      </c>
    </row>
    <row r="2503">
      <c r="A2503" s="12">
        <v>2502.0</v>
      </c>
      <c r="B2503" s="12" t="s">
        <v>271</v>
      </c>
      <c r="C2503" s="5" t="s">
        <v>61</v>
      </c>
      <c r="D2503" s="8"/>
      <c r="E2503" s="8"/>
      <c r="F2503" s="8"/>
      <c r="G2503" s="8"/>
      <c r="H2503" s="11">
        <v>0.01</v>
      </c>
      <c r="I2503" s="11">
        <v>0.022</v>
      </c>
      <c r="J2503" s="9" t="s">
        <v>66</v>
      </c>
      <c r="K2503" s="14" t="str">
        <f>IFERROR(__xludf.DUMMYFUNCTION("ARRAYFORMULA(VLOOKUP(A2503,IMPORTRANGE(""https://docs.google.com/spreadsheets/d/1BuTWp7qHGjWhqrnf-OmePP568O4A5Am9ttzvVdP67zw/edit#gid=1603210130"", ""TOURISM!$A$2:$F$2692""), {2,3,4,5,6},0))"),"Asia")</f>
        <v>Asia</v>
      </c>
      <c r="L2503" s="14"/>
      <c r="M2503" s="14" t="str">
        <f>IFERROR(__xludf.DUMMYFUNCTION("""COMPUTED_VALUE"""),"Turkmenistan-Asia")</f>
        <v>Turkmenistan-Asia</v>
      </c>
      <c r="N2503" s="14" t="str">
        <f>IFERROR(__xludf.DUMMYFUNCTION("""COMPUTED_VALUE"""),"2005")</f>
        <v>2005</v>
      </c>
      <c r="O2503" s="14"/>
      <c r="P2503" s="15">
        <f>IFERROR(__xludf.DUMMYFUNCTION("ARRAYFORMULA(VLOOKUP(A2503,IMPORTRANGE(""https://docs.google.com/spreadsheets/d/1BuTWp7qHGjWhqrnf-OmePP568O4A5Am9ttzvVdP67zw/edit#gid=771602874"" ,""HUMAN RESOURCES!$A$2:$M$2692""), {2,3,4,5,6,7,8,9,10,11,12,13},0))"),0.023)</f>
        <v>0.023</v>
      </c>
      <c r="Q2503" s="14">
        <f>IFERROR(__xludf.DUMMYFUNCTION("""COMPUTED_VALUE"""),0.058)</f>
        <v>0.058</v>
      </c>
      <c r="R2503" s="14">
        <f>IFERROR(__xludf.DUMMYFUNCTION("""COMPUTED_VALUE"""),69.0)</f>
        <v>69</v>
      </c>
      <c r="S2503" s="14">
        <f>IFERROR(__xludf.DUMMYFUNCTION("""COMPUTED_VALUE"""),60.0)</f>
        <v>60</v>
      </c>
      <c r="T2503" s="14">
        <f>IFERROR(__xludf.DUMMYFUNCTION("""COMPUTED_VALUE"""),0.327)</f>
        <v>0.327</v>
      </c>
      <c r="U2503" s="14">
        <f>IFERROR(__xludf.DUMMYFUNCTION("""COMPUTED_VALUE"""),0.627)</f>
        <v>0.627</v>
      </c>
      <c r="V2503" s="14">
        <f>IFERROR(__xludf.DUMMYFUNCTION("""COMPUTED_VALUE"""),0.046)</f>
        <v>0.046</v>
      </c>
      <c r="W2503" s="14">
        <f>IFERROR(__xludf.DUMMYFUNCTION("""COMPUTED_VALUE"""),4747839.0)</f>
        <v>4747839</v>
      </c>
      <c r="X2503" s="14">
        <f>IFERROR(__xludf.DUMMYFUNCTION("""COMPUTED_VALUE"""),0.47)</f>
        <v>0.47</v>
      </c>
      <c r="Y2503" s="14" t="str">
        <f>IFERROR(__xludf.DUMMYFUNCTION("""COMPUTED_VALUE"""),"Turkmenistan-Asia")</f>
        <v>Turkmenistan-Asia</v>
      </c>
      <c r="Z2503" s="14" t="str">
        <f>IFERROR(__xludf.DUMMYFUNCTION("""COMPUTED_VALUE"""),"Asia")</f>
        <v>Asia</v>
      </c>
      <c r="AA2503" s="14" t="str">
        <f>IFERROR(__xludf.DUMMYFUNCTION("""COMPUTED_VALUE"""),"2005")</f>
        <v>2005</v>
      </c>
      <c r="AB2503" s="15" t="str">
        <f>IFERROR(__xludf.DUMMYFUNCTION("ARRAYFORMULA(VLOOKUP(A2503,IMPORTRANGE(""https://docs.google.com/spreadsheets/d/1BuTWp7qHGjWhqrnf-OmePP568O4A5Am9ttzvVdP67zw/edit#gid=1931367683"" ,""ENERGY!$A$2:$F$2692""), {2,3,4,5,6},0))"),"Asia")</f>
        <v>Asia</v>
      </c>
      <c r="AC2503" s="14" t="str">
        <f>IFERROR(__xludf.DUMMYFUNCTION("""COMPUTED_VALUE"""),"Turkmenistan-Asia")</f>
        <v>Turkmenistan-Asia</v>
      </c>
      <c r="AD2503" s="14" t="str">
        <f>IFERROR(__xludf.DUMMYFUNCTION("""COMPUTED_VALUE"""),"2009")</f>
        <v>2009</v>
      </c>
      <c r="AE2503" s="14">
        <f>IFERROR(__xludf.DUMMYFUNCTION("""COMPUTED_VALUE"""),22367.0)</f>
        <v>22367</v>
      </c>
      <c r="AF2503" s="14">
        <f>IFERROR(__xludf.DUMMYFUNCTION("""COMPUTED_VALUE"""),53516.0)</f>
        <v>53516</v>
      </c>
    </row>
    <row r="2504">
      <c r="A2504" s="12">
        <v>2503.0</v>
      </c>
      <c r="B2504" s="12" t="s">
        <v>271</v>
      </c>
      <c r="C2504" s="5" t="s">
        <v>61</v>
      </c>
      <c r="D2504" s="8"/>
      <c r="E2504" s="8"/>
      <c r="F2504" s="8"/>
      <c r="G2504" s="8"/>
      <c r="H2504" s="11">
        <v>0.013</v>
      </c>
      <c r="I2504" s="11">
        <v>0.045</v>
      </c>
      <c r="J2504" s="9" t="s">
        <v>67</v>
      </c>
      <c r="K2504" s="14" t="str">
        <f>IFERROR(__xludf.DUMMYFUNCTION("ARRAYFORMULA(VLOOKUP(A2504,IMPORTRANGE(""https://docs.google.com/spreadsheets/d/1BuTWp7qHGjWhqrnf-OmePP568O4A5Am9ttzvVdP67zw/edit#gid=1603210130"", ""TOURISM!$A$2:$F$2692""), {2,3,4,5,6},0))"),"Asia")</f>
        <v>Asia</v>
      </c>
      <c r="L2504" s="14"/>
      <c r="M2504" s="14" t="str">
        <f>IFERROR(__xludf.DUMMYFUNCTION("""COMPUTED_VALUE"""),"Turkmenistan-Asia")</f>
        <v>Turkmenistan-Asia</v>
      </c>
      <c r="N2504" s="14" t="str">
        <f>IFERROR(__xludf.DUMMYFUNCTION("""COMPUTED_VALUE"""),"2006")</f>
        <v>2006</v>
      </c>
      <c r="O2504" s="14"/>
      <c r="P2504" s="15">
        <f>IFERROR(__xludf.DUMMYFUNCTION("ARRAYFORMULA(VLOOKUP(A2504,IMPORTRANGE(""https://docs.google.com/spreadsheets/d/1BuTWp7qHGjWhqrnf-OmePP568O4A5Am9ttzvVdP67zw/edit#gid=771602874"" ,""HUMAN RESOURCES!$A$2:$M$2692""), {2,3,4,5,6,7,8,9,10,11,12,13},0))"),0.022)</f>
        <v>0.022</v>
      </c>
      <c r="Q2504" s="14">
        <f>IFERROR(__xludf.DUMMYFUNCTION("""COMPUTED_VALUE"""),0.057)</f>
        <v>0.057</v>
      </c>
      <c r="R2504" s="14">
        <f>IFERROR(__xludf.DUMMYFUNCTION("""COMPUTED_VALUE"""),69.0)</f>
        <v>69</v>
      </c>
      <c r="S2504" s="14">
        <f>IFERROR(__xludf.DUMMYFUNCTION("""COMPUTED_VALUE"""),61.0)</f>
        <v>61</v>
      </c>
      <c r="T2504" s="14">
        <f>IFERROR(__xludf.DUMMYFUNCTION("""COMPUTED_VALUE"""),0.319)</f>
        <v>0.319</v>
      </c>
      <c r="U2504" s="14">
        <f>IFERROR(__xludf.DUMMYFUNCTION("""COMPUTED_VALUE"""),0.636)</f>
        <v>0.636</v>
      </c>
      <c r="V2504" s="14">
        <f>IFERROR(__xludf.DUMMYFUNCTION("""COMPUTED_VALUE"""),0.045)</f>
        <v>0.045</v>
      </c>
      <c r="W2504" s="14">
        <f>IFERROR(__xludf.DUMMYFUNCTION("""COMPUTED_VALUE"""),4801595.0)</f>
        <v>4801595</v>
      </c>
      <c r="X2504" s="14">
        <f>IFERROR(__xludf.DUMMYFUNCTION("""COMPUTED_VALUE"""),0.473)</f>
        <v>0.473</v>
      </c>
      <c r="Y2504" s="14" t="str">
        <f>IFERROR(__xludf.DUMMYFUNCTION("""COMPUTED_VALUE"""),"Turkmenistan-Asia")</f>
        <v>Turkmenistan-Asia</v>
      </c>
      <c r="Z2504" s="14" t="str">
        <f>IFERROR(__xludf.DUMMYFUNCTION("""COMPUTED_VALUE"""),"Asia")</f>
        <v>Asia</v>
      </c>
      <c r="AA2504" s="14" t="str">
        <f>IFERROR(__xludf.DUMMYFUNCTION("""COMPUTED_VALUE"""),"2006")</f>
        <v>2006</v>
      </c>
      <c r="AB2504" s="15" t="str">
        <f>IFERROR(__xludf.DUMMYFUNCTION("ARRAYFORMULA(VLOOKUP(A2504,IMPORTRANGE(""https://docs.google.com/spreadsheets/d/1BuTWp7qHGjWhqrnf-OmePP568O4A5Am9ttzvVdP67zw/edit#gid=1931367683"" ,""ENERGY!$A$2:$F$2692""), {2,3,4,5,6},0))"),"Asia")</f>
        <v>Asia</v>
      </c>
      <c r="AC2504" s="14" t="str">
        <f>IFERROR(__xludf.DUMMYFUNCTION("""COMPUTED_VALUE"""),"Turkmenistan-Asia")</f>
        <v>Turkmenistan-Asia</v>
      </c>
      <c r="AD2504" s="14" t="str">
        <f>IFERROR(__xludf.DUMMYFUNCTION("""COMPUTED_VALUE"""),"2005")</f>
        <v>2005</v>
      </c>
      <c r="AE2504" s="14">
        <f>IFERROR(__xludf.DUMMYFUNCTION("""COMPUTED_VALUE"""),19628.0)</f>
        <v>19628</v>
      </c>
      <c r="AF2504" s="14">
        <f>IFERROR(__xludf.DUMMYFUNCTION("""COMPUTED_VALUE"""),46256.0)</f>
        <v>46256</v>
      </c>
    </row>
    <row r="2505">
      <c r="A2505" s="12">
        <v>2504.0</v>
      </c>
      <c r="B2505" s="12" t="s">
        <v>271</v>
      </c>
      <c r="C2505" s="5" t="s">
        <v>61</v>
      </c>
      <c r="D2505" s="8"/>
      <c r="E2505" s="8"/>
      <c r="F2505" s="8"/>
      <c r="G2505" s="8"/>
      <c r="H2505" s="11">
        <v>0.014</v>
      </c>
      <c r="I2505" s="11">
        <v>0.079</v>
      </c>
      <c r="J2505" s="9" t="s">
        <v>68</v>
      </c>
      <c r="K2505" s="14" t="str">
        <f>IFERROR(__xludf.DUMMYFUNCTION("ARRAYFORMULA(VLOOKUP(A2505,IMPORTRANGE(""https://docs.google.com/spreadsheets/d/1BuTWp7qHGjWhqrnf-OmePP568O4A5Am9ttzvVdP67zw/edit#gid=1603210130"", ""TOURISM!$A$2:$F$2692""), {2,3,4,5,6},0))"),"Asia")</f>
        <v>Asia</v>
      </c>
      <c r="L2505" s="14"/>
      <c r="M2505" s="14" t="str">
        <f>IFERROR(__xludf.DUMMYFUNCTION("""COMPUTED_VALUE"""),"Turkmenistan-Asia")</f>
        <v>Turkmenistan-Asia</v>
      </c>
      <c r="N2505" s="14" t="str">
        <f>IFERROR(__xludf.DUMMYFUNCTION("""COMPUTED_VALUE"""),"2007")</f>
        <v>2007</v>
      </c>
      <c r="O2505" s="14"/>
      <c r="P2505" s="15">
        <f>IFERROR(__xludf.DUMMYFUNCTION("ARRAYFORMULA(VLOOKUP(A2505,IMPORTRANGE(""https://docs.google.com/spreadsheets/d/1BuTWp7qHGjWhqrnf-OmePP568O4A5Am9ttzvVdP67zw/edit#gid=771602874"" ,""HUMAN RESOURCES!$A$2:$M$2692""), {2,3,4,5,6,7,8,9,10,11,12,13},0))"),0.022)</f>
        <v>0.022</v>
      </c>
      <c r="Q2505" s="14">
        <f>IFERROR(__xludf.DUMMYFUNCTION("""COMPUTED_VALUE"""),0.055)</f>
        <v>0.055</v>
      </c>
      <c r="R2505" s="14">
        <f>IFERROR(__xludf.DUMMYFUNCTION("""COMPUTED_VALUE"""),69.0)</f>
        <v>69</v>
      </c>
      <c r="S2505" s="14">
        <f>IFERROR(__xludf.DUMMYFUNCTION("""COMPUTED_VALUE"""),61.0)</f>
        <v>61</v>
      </c>
      <c r="T2505" s="14">
        <f>IFERROR(__xludf.DUMMYFUNCTION("""COMPUTED_VALUE"""),0.311)</f>
        <v>0.311</v>
      </c>
      <c r="U2505" s="14">
        <f>IFERROR(__xludf.DUMMYFUNCTION("""COMPUTED_VALUE"""),0.645)</f>
        <v>0.645</v>
      </c>
      <c r="V2505" s="14">
        <f>IFERROR(__xludf.DUMMYFUNCTION("""COMPUTED_VALUE"""),0.044)</f>
        <v>0.044</v>
      </c>
      <c r="W2505" s="14">
        <f>IFERROR(__xludf.DUMMYFUNCTION("""COMPUTED_VALUE"""),4858236.0)</f>
        <v>4858236</v>
      </c>
      <c r="X2505" s="14">
        <f>IFERROR(__xludf.DUMMYFUNCTION("""COMPUTED_VALUE"""),0.476)</f>
        <v>0.476</v>
      </c>
      <c r="Y2505" s="14" t="str">
        <f>IFERROR(__xludf.DUMMYFUNCTION("""COMPUTED_VALUE"""),"Turkmenistan-Asia")</f>
        <v>Turkmenistan-Asia</v>
      </c>
      <c r="Z2505" s="14" t="str">
        <f>IFERROR(__xludf.DUMMYFUNCTION("""COMPUTED_VALUE"""),"Asia")</f>
        <v>Asia</v>
      </c>
      <c r="AA2505" s="14" t="str">
        <f>IFERROR(__xludf.DUMMYFUNCTION("""COMPUTED_VALUE"""),"2007")</f>
        <v>2007</v>
      </c>
      <c r="AB2505" s="15" t="str">
        <f>IFERROR(__xludf.DUMMYFUNCTION("ARRAYFORMULA(VLOOKUP(A2505,IMPORTRANGE(""https://docs.google.com/spreadsheets/d/1BuTWp7qHGjWhqrnf-OmePP568O4A5Am9ttzvVdP67zw/edit#gid=1931367683"" ,""ENERGY!$A$2:$F$2692""), {2,3,4,5,6},0))"),"Asia")</f>
        <v>Asia</v>
      </c>
      <c r="AC2505" s="14" t="str">
        <f>IFERROR(__xludf.DUMMYFUNCTION("""COMPUTED_VALUE"""),"Turkmenistan-Asia")</f>
        <v>Turkmenistan-Asia</v>
      </c>
      <c r="AD2505" s="14" t="str">
        <f>IFERROR(__xludf.DUMMYFUNCTION("""COMPUTED_VALUE"""),"2011")</f>
        <v>2011</v>
      </c>
      <c r="AE2505" s="14">
        <f>IFERROR(__xludf.DUMMYFUNCTION("""COMPUTED_VALUE"""),19166.0)</f>
        <v>19166</v>
      </c>
      <c r="AF2505" s="14">
        <f>IFERROR(__xludf.DUMMYFUNCTION("""COMPUTED_VALUE"""),45375.0)</f>
        <v>45375</v>
      </c>
    </row>
    <row r="2506">
      <c r="A2506" s="12">
        <v>2505.0</v>
      </c>
      <c r="B2506" s="12" t="s">
        <v>271</v>
      </c>
      <c r="C2506" s="5" t="s">
        <v>61</v>
      </c>
      <c r="D2506" s="8"/>
      <c r="E2506" s="8"/>
      <c r="F2506" s="8"/>
      <c r="G2506" s="8"/>
      <c r="H2506" s="11">
        <v>0.018</v>
      </c>
      <c r="I2506" s="11">
        <v>0.231</v>
      </c>
      <c r="J2506" s="9" t="s">
        <v>69</v>
      </c>
      <c r="K2506" s="14" t="str">
        <f>IFERROR(__xludf.DUMMYFUNCTION("ARRAYFORMULA(VLOOKUP(A2506,IMPORTRANGE(""https://docs.google.com/spreadsheets/d/1BuTWp7qHGjWhqrnf-OmePP568O4A5Am9ttzvVdP67zw/edit#gid=1603210130"", ""TOURISM!$A$2:$F$2692""), {2,3,4,5,6},0))"),"Asia")</f>
        <v>Asia</v>
      </c>
      <c r="L2506" s="14"/>
      <c r="M2506" s="14" t="str">
        <f>IFERROR(__xludf.DUMMYFUNCTION("""COMPUTED_VALUE"""),"Turkmenistan-Asia")</f>
        <v>Turkmenistan-Asia</v>
      </c>
      <c r="N2506" s="14" t="str">
        <f>IFERROR(__xludf.DUMMYFUNCTION("""COMPUTED_VALUE"""),"2008")</f>
        <v>2008</v>
      </c>
      <c r="O2506" s="14"/>
      <c r="P2506" s="15">
        <f>IFERROR(__xludf.DUMMYFUNCTION("ARRAYFORMULA(VLOOKUP(A2506,IMPORTRANGE(""https://docs.google.com/spreadsheets/d/1BuTWp7qHGjWhqrnf-OmePP568O4A5Am9ttzvVdP67zw/edit#gid=771602874"" ,""HUMAN RESOURCES!$A$2:$M$2692""), {2,3,4,5,6,7,8,9,10,11,12,13},0))"),0.022)</f>
        <v>0.022</v>
      </c>
      <c r="Q2506" s="14">
        <f>IFERROR(__xludf.DUMMYFUNCTION("""COMPUTED_VALUE"""),0.054)</f>
        <v>0.054</v>
      </c>
      <c r="R2506" s="14">
        <f>IFERROR(__xludf.DUMMYFUNCTION("""COMPUTED_VALUE"""),69.0)</f>
        <v>69</v>
      </c>
      <c r="S2506" s="14">
        <f>IFERROR(__xludf.DUMMYFUNCTION("""COMPUTED_VALUE"""),61.0)</f>
        <v>61</v>
      </c>
      <c r="T2506" s="14">
        <f>IFERROR(__xludf.DUMMYFUNCTION("""COMPUTED_VALUE"""),0.304)</f>
        <v>0.304</v>
      </c>
      <c r="U2506" s="14">
        <f>IFERROR(__xludf.DUMMYFUNCTION("""COMPUTED_VALUE"""),0.653)</f>
        <v>0.653</v>
      </c>
      <c r="V2506" s="14">
        <f>IFERROR(__xludf.DUMMYFUNCTION("""COMPUTED_VALUE"""),0.043)</f>
        <v>0.043</v>
      </c>
      <c r="W2506" s="14">
        <f>IFERROR(__xludf.DUMMYFUNCTION("""COMPUTED_VALUE"""),4917543.0)</f>
        <v>4917543</v>
      </c>
      <c r="X2506" s="14">
        <f>IFERROR(__xludf.DUMMYFUNCTION("""COMPUTED_VALUE"""),0.478)</f>
        <v>0.478</v>
      </c>
      <c r="Y2506" s="14" t="str">
        <f>IFERROR(__xludf.DUMMYFUNCTION("""COMPUTED_VALUE"""),"Turkmenistan-Asia")</f>
        <v>Turkmenistan-Asia</v>
      </c>
      <c r="Z2506" s="14" t="str">
        <f>IFERROR(__xludf.DUMMYFUNCTION("""COMPUTED_VALUE"""),"Asia")</f>
        <v>Asia</v>
      </c>
      <c r="AA2506" s="14" t="str">
        <f>IFERROR(__xludf.DUMMYFUNCTION("""COMPUTED_VALUE"""),"2008")</f>
        <v>2008</v>
      </c>
      <c r="AB2506" s="15" t="str">
        <f>IFERROR(__xludf.DUMMYFUNCTION("ARRAYFORMULA(VLOOKUP(A2506,IMPORTRANGE(""https://docs.google.com/spreadsheets/d/1BuTWp7qHGjWhqrnf-OmePP568O4A5Am9ttzvVdP67zw/edit#gid=1931367683"" ,""ENERGY!$A$2:$F$2692""), {2,3,4,5,6},0))"),"Asia")</f>
        <v>Asia</v>
      </c>
      <c r="AC2506" s="14" t="str">
        <f>IFERROR(__xludf.DUMMYFUNCTION("""COMPUTED_VALUE"""),"Turkmenistan-Asia")</f>
        <v>Turkmenistan-Asia</v>
      </c>
      <c r="AD2506" s="14" t="str">
        <f>IFERROR(__xludf.DUMMYFUNCTION("""COMPUTED_VALUE"""),"2008")</f>
        <v>2008</v>
      </c>
      <c r="AE2506" s="14">
        <f>IFERROR(__xludf.DUMMYFUNCTION("""COMPUTED_VALUE"""),18406.0)</f>
        <v>18406</v>
      </c>
      <c r="AF2506" s="14">
        <f>IFERROR(__xludf.DUMMYFUNCTION("""COMPUTED_VALUE"""),43337.0)</f>
        <v>43337</v>
      </c>
    </row>
    <row r="2507">
      <c r="A2507" s="12">
        <v>2506.0</v>
      </c>
      <c r="B2507" s="12" t="s">
        <v>271</v>
      </c>
      <c r="C2507" s="5" t="s">
        <v>61</v>
      </c>
      <c r="D2507" s="8"/>
      <c r="E2507" s="8"/>
      <c r="F2507" s="8"/>
      <c r="G2507" s="8"/>
      <c r="H2507" s="11">
        <v>0.02</v>
      </c>
      <c r="I2507" s="11">
        <v>0.428</v>
      </c>
      <c r="J2507" s="9" t="s">
        <v>70</v>
      </c>
      <c r="K2507" s="14" t="str">
        <f>IFERROR(__xludf.DUMMYFUNCTION("ARRAYFORMULA(VLOOKUP(A2507,IMPORTRANGE(""https://docs.google.com/spreadsheets/d/1BuTWp7qHGjWhqrnf-OmePP568O4A5Am9ttzvVdP67zw/edit#gid=1603210130"", ""TOURISM!$A$2:$F$2692""), {2,3,4,5,6},0))"),"Asia")</f>
        <v>Asia</v>
      </c>
      <c r="L2507" s="14"/>
      <c r="M2507" s="14" t="str">
        <f>IFERROR(__xludf.DUMMYFUNCTION("""COMPUTED_VALUE"""),"Turkmenistan-Asia")</f>
        <v>Turkmenistan-Asia</v>
      </c>
      <c r="N2507" s="14" t="str">
        <f>IFERROR(__xludf.DUMMYFUNCTION("""COMPUTED_VALUE"""),"2009")</f>
        <v>2009</v>
      </c>
      <c r="O2507" s="14"/>
      <c r="P2507" s="15">
        <f>IFERROR(__xludf.DUMMYFUNCTION("ARRAYFORMULA(VLOOKUP(A2507,IMPORTRANGE(""https://docs.google.com/spreadsheets/d/1BuTWp7qHGjWhqrnf-OmePP568O4A5Am9ttzvVdP67zw/edit#gid=771602874"" ,""HUMAN RESOURCES!$A$2:$M$2692""), {2,3,4,5,6,7,8,9,10,11,12,13},0))"),0.022)</f>
        <v>0.022</v>
      </c>
      <c r="Q2507" s="14">
        <f>IFERROR(__xludf.DUMMYFUNCTION("""COMPUTED_VALUE"""),0.052)</f>
        <v>0.052</v>
      </c>
      <c r="R2507" s="14">
        <f>IFERROR(__xludf.DUMMYFUNCTION("""COMPUTED_VALUE"""),69.0)</f>
        <v>69</v>
      </c>
      <c r="S2507" s="14">
        <f>IFERROR(__xludf.DUMMYFUNCTION("""COMPUTED_VALUE"""),61.0)</f>
        <v>61</v>
      </c>
      <c r="T2507" s="14">
        <f>IFERROR(__xludf.DUMMYFUNCTION("""COMPUTED_VALUE"""),0.297)</f>
        <v>0.297</v>
      </c>
      <c r="U2507" s="14">
        <f>IFERROR(__xludf.DUMMYFUNCTION("""COMPUTED_VALUE"""),0.661)</f>
        <v>0.661</v>
      </c>
      <c r="V2507" s="14">
        <f>IFERROR(__xludf.DUMMYFUNCTION("""COMPUTED_VALUE"""),0.042)</f>
        <v>0.042</v>
      </c>
      <c r="W2507" s="14">
        <f>IFERROR(__xludf.DUMMYFUNCTION("""COMPUTED_VALUE"""),4978962.0)</f>
        <v>4978962</v>
      </c>
      <c r="X2507" s="14">
        <f>IFERROR(__xludf.DUMMYFUNCTION("""COMPUTED_VALUE"""),0.481)</f>
        <v>0.481</v>
      </c>
      <c r="Y2507" s="14" t="str">
        <f>IFERROR(__xludf.DUMMYFUNCTION("""COMPUTED_VALUE"""),"Turkmenistan-Asia")</f>
        <v>Turkmenistan-Asia</v>
      </c>
      <c r="Z2507" s="14" t="str">
        <f>IFERROR(__xludf.DUMMYFUNCTION("""COMPUTED_VALUE"""),"Asia")</f>
        <v>Asia</v>
      </c>
      <c r="AA2507" s="14" t="str">
        <f>IFERROR(__xludf.DUMMYFUNCTION("""COMPUTED_VALUE"""),"2009")</f>
        <v>2009</v>
      </c>
      <c r="AB2507" s="15" t="str">
        <f>IFERROR(__xludf.DUMMYFUNCTION("ARRAYFORMULA(VLOOKUP(A2507,IMPORTRANGE(""https://docs.google.com/spreadsheets/d/1BuTWp7qHGjWhqrnf-OmePP568O4A5Am9ttzvVdP67zw/edit#gid=1931367683"" ,""ENERGY!$A$2:$F$2692""), {2,3,4,5,6},0))"),"Asia")</f>
        <v>Asia</v>
      </c>
      <c r="AC2507" s="14" t="str">
        <f>IFERROR(__xludf.DUMMYFUNCTION("""COMPUTED_VALUE"""),"Turkmenistan-Asia")</f>
        <v>Turkmenistan-Asia</v>
      </c>
      <c r="AD2507" s="14" t="str">
        <f>IFERROR(__xludf.DUMMYFUNCTION("""COMPUTED_VALUE"""),"2012")</f>
        <v>2012</v>
      </c>
      <c r="AE2507" s="14">
        <f>IFERROR(__xludf.DUMMYFUNCTION("""COMPUTED_VALUE"""),17629.0)</f>
        <v>17629</v>
      </c>
      <c r="AF2507" s="14">
        <f>IFERROR(__xludf.DUMMYFUNCTION("""COMPUTED_VALUE"""),42215.0)</f>
        <v>42215</v>
      </c>
    </row>
    <row r="2508">
      <c r="A2508" s="12">
        <v>2507.0</v>
      </c>
      <c r="B2508" s="12" t="s">
        <v>271</v>
      </c>
      <c r="C2508" s="5" t="s">
        <v>61</v>
      </c>
      <c r="D2508" s="8"/>
      <c r="E2508" s="8"/>
      <c r="F2508" s="8"/>
      <c r="G2508" s="8"/>
      <c r="H2508" s="11">
        <v>0.03</v>
      </c>
      <c r="I2508" s="11">
        <v>0.634</v>
      </c>
      <c r="J2508" s="9" t="s">
        <v>71</v>
      </c>
      <c r="K2508" s="14" t="str">
        <f>IFERROR(__xludf.DUMMYFUNCTION("ARRAYFORMULA(VLOOKUP(A2508,IMPORTRANGE(""https://docs.google.com/spreadsheets/d/1BuTWp7qHGjWhqrnf-OmePP568O4A5Am9ttzvVdP67zw/edit#gid=1603210130"", ""TOURISM!$A$2:$F$2692""), {2,3,4,5,6},0))"),"Asia")</f>
        <v>Asia</v>
      </c>
      <c r="L2508" s="14"/>
      <c r="M2508" s="14" t="str">
        <f>IFERROR(__xludf.DUMMYFUNCTION("""COMPUTED_VALUE"""),"Turkmenistan-Asia")</f>
        <v>Turkmenistan-Asia</v>
      </c>
      <c r="N2508" s="14" t="str">
        <f>IFERROR(__xludf.DUMMYFUNCTION("""COMPUTED_VALUE"""),"2010")</f>
        <v>2010</v>
      </c>
      <c r="O2508" s="14"/>
      <c r="P2508" s="15">
        <f>IFERROR(__xludf.DUMMYFUNCTION("ARRAYFORMULA(VLOOKUP(A2508,IMPORTRANGE(""https://docs.google.com/spreadsheets/d/1BuTWp7qHGjWhqrnf-OmePP568O4A5Am9ttzvVdP67zw/edit#gid=771602874"" ,""HUMAN RESOURCES!$A$2:$M$2692""), {2,3,4,5,6,7,8,9,10,11,12,13},0))"),0.022)</f>
        <v>0.022</v>
      </c>
      <c r="Q2508" s="14">
        <f>IFERROR(__xludf.DUMMYFUNCTION("""COMPUTED_VALUE"""),0.051)</f>
        <v>0.051</v>
      </c>
      <c r="R2508" s="14">
        <f>IFERROR(__xludf.DUMMYFUNCTION("""COMPUTED_VALUE"""),69.0)</f>
        <v>69</v>
      </c>
      <c r="S2508" s="14">
        <f>IFERROR(__xludf.DUMMYFUNCTION("""COMPUTED_VALUE"""),61.0)</f>
        <v>61</v>
      </c>
      <c r="T2508" s="14">
        <f>IFERROR(__xludf.DUMMYFUNCTION("""COMPUTED_VALUE"""),0.292)</f>
        <v>0.292</v>
      </c>
      <c r="U2508" s="14">
        <f>IFERROR(__xludf.DUMMYFUNCTION("""COMPUTED_VALUE"""),0.666)</f>
        <v>0.666</v>
      </c>
      <c r="V2508" s="14">
        <f>IFERROR(__xludf.DUMMYFUNCTION("""COMPUTED_VALUE"""),0.041)</f>
        <v>0.041</v>
      </c>
      <c r="W2508" s="14">
        <f>IFERROR(__xludf.DUMMYFUNCTION("""COMPUTED_VALUE"""),5041995.0)</f>
        <v>5041995</v>
      </c>
      <c r="X2508" s="14">
        <f>IFERROR(__xludf.DUMMYFUNCTION("""COMPUTED_VALUE"""),0.484)</f>
        <v>0.484</v>
      </c>
      <c r="Y2508" s="14" t="str">
        <f>IFERROR(__xludf.DUMMYFUNCTION("""COMPUTED_VALUE"""),"Turkmenistan-Asia")</f>
        <v>Turkmenistan-Asia</v>
      </c>
      <c r="Z2508" s="14" t="str">
        <f>IFERROR(__xludf.DUMMYFUNCTION("""COMPUTED_VALUE"""),"Asia")</f>
        <v>Asia</v>
      </c>
      <c r="AA2508" s="14" t="str">
        <f>IFERROR(__xludf.DUMMYFUNCTION("""COMPUTED_VALUE"""),"2010")</f>
        <v>2010</v>
      </c>
      <c r="AB2508" s="15" t="str">
        <f>IFERROR(__xludf.DUMMYFUNCTION("ARRAYFORMULA(VLOOKUP(A2508,IMPORTRANGE(""https://docs.google.com/spreadsheets/d/1BuTWp7qHGjWhqrnf-OmePP568O4A5Am9ttzvVdP67zw/edit#gid=1931367683"" ,""ENERGY!$A$2:$F$2692""), {2,3,4,5,6},0))"),"Asia")</f>
        <v>Asia</v>
      </c>
      <c r="AC2508" s="14" t="str">
        <f>IFERROR(__xludf.DUMMYFUNCTION("""COMPUTED_VALUE"""),"Turkmenistan-Asia")</f>
        <v>Turkmenistan-Asia</v>
      </c>
      <c r="AD2508" s="14" t="str">
        <f>IFERROR(__xludf.DUMMYFUNCTION("""COMPUTED_VALUE"""),"2010")</f>
        <v>2010</v>
      </c>
      <c r="AE2508" s="14">
        <f>IFERROR(__xludf.DUMMYFUNCTION("""COMPUTED_VALUE"""),15811.0)</f>
        <v>15811</v>
      </c>
      <c r="AF2508" s="14">
        <f>IFERROR(__xludf.DUMMYFUNCTION("""COMPUTED_VALUE"""),40245.0)</f>
        <v>40245</v>
      </c>
    </row>
    <row r="2509">
      <c r="A2509" s="12">
        <v>2508.0</v>
      </c>
      <c r="B2509" s="12" t="s">
        <v>271</v>
      </c>
      <c r="C2509" s="5" t="s">
        <v>61</v>
      </c>
      <c r="D2509" s="8"/>
      <c r="E2509" s="8"/>
      <c r="F2509" s="8"/>
      <c r="G2509" s="8"/>
      <c r="H2509" s="11">
        <v>0.05</v>
      </c>
      <c r="I2509" s="11">
        <v>1.038</v>
      </c>
      <c r="J2509" s="9" t="s">
        <v>72</v>
      </c>
      <c r="K2509" s="14" t="str">
        <f>IFERROR(__xludf.DUMMYFUNCTION("ARRAYFORMULA(VLOOKUP(A2509,IMPORTRANGE(""https://docs.google.com/spreadsheets/d/1BuTWp7qHGjWhqrnf-OmePP568O4A5Am9ttzvVdP67zw/edit#gid=1603210130"", ""TOURISM!$A$2:$F$2692""), {2,3,4,5,6},0))"),"Asia")</f>
        <v>Asia</v>
      </c>
      <c r="L2509" s="14"/>
      <c r="M2509" s="14" t="str">
        <f>IFERROR(__xludf.DUMMYFUNCTION("""COMPUTED_VALUE"""),"Turkmenistan-Asia")</f>
        <v>Turkmenistan-Asia</v>
      </c>
      <c r="N2509" s="14" t="str">
        <f>IFERROR(__xludf.DUMMYFUNCTION("""COMPUTED_VALUE"""),"2011")</f>
        <v>2011</v>
      </c>
      <c r="O2509" s="14"/>
      <c r="P2509" s="15">
        <f>IFERROR(__xludf.DUMMYFUNCTION("ARRAYFORMULA(VLOOKUP(A2509,IMPORTRANGE(""https://docs.google.com/spreadsheets/d/1BuTWp7qHGjWhqrnf-OmePP568O4A5Am9ttzvVdP67zw/edit#gid=771602874"" ,""HUMAN RESOURCES!$A$2:$M$2692""), {2,3,4,5,6,7,8,9,10,11,12,13},0))"),0.022)</f>
        <v>0.022</v>
      </c>
      <c r="Q2509" s="14">
        <f>IFERROR(__xludf.DUMMYFUNCTION("""COMPUTED_VALUE"""),0.05)</f>
        <v>0.05</v>
      </c>
      <c r="R2509" s="14">
        <f>IFERROR(__xludf.DUMMYFUNCTION("""COMPUTED_VALUE"""),69.0)</f>
        <v>69</v>
      </c>
      <c r="S2509" s="14">
        <f>IFERROR(__xludf.DUMMYFUNCTION("""COMPUTED_VALUE"""),61.0)</f>
        <v>61</v>
      </c>
      <c r="T2509" s="14">
        <f>IFERROR(__xludf.DUMMYFUNCTION("""COMPUTED_VALUE"""),0.289)</f>
        <v>0.289</v>
      </c>
      <c r="U2509" s="14">
        <f>IFERROR(__xludf.DUMMYFUNCTION("""COMPUTED_VALUE"""),0.671)</f>
        <v>0.671</v>
      </c>
      <c r="V2509" s="14">
        <f>IFERROR(__xludf.DUMMYFUNCTION("""COMPUTED_VALUE"""),0.041)</f>
        <v>0.041</v>
      </c>
      <c r="W2509" s="14">
        <f>IFERROR(__xludf.DUMMYFUNCTION("""COMPUTED_VALUE"""),5106668.0)</f>
        <v>5106668</v>
      </c>
      <c r="X2509" s="14">
        <f>IFERROR(__xludf.DUMMYFUNCTION("""COMPUTED_VALUE"""),0.487)</f>
        <v>0.487</v>
      </c>
      <c r="Y2509" s="14" t="str">
        <f>IFERROR(__xludf.DUMMYFUNCTION("""COMPUTED_VALUE"""),"Turkmenistan-Asia")</f>
        <v>Turkmenistan-Asia</v>
      </c>
      <c r="Z2509" s="14" t="str">
        <f>IFERROR(__xludf.DUMMYFUNCTION("""COMPUTED_VALUE"""),"Asia")</f>
        <v>Asia</v>
      </c>
      <c r="AA2509" s="14" t="str">
        <f>IFERROR(__xludf.DUMMYFUNCTION("""COMPUTED_VALUE"""),"2011")</f>
        <v>2011</v>
      </c>
      <c r="AB2509" s="15" t="str">
        <f>IFERROR(__xludf.DUMMYFUNCTION("ARRAYFORMULA(VLOOKUP(A2509,IMPORTRANGE(""https://docs.google.com/spreadsheets/d/1BuTWp7qHGjWhqrnf-OmePP568O4A5Am9ttzvVdP67zw/edit#gid=1931367683"" ,""ENERGY!$A$2:$F$2692""), {2,3,4,5,6},0))"),"Asia")</f>
        <v>Asia</v>
      </c>
      <c r="AC2509" s="14" t="str">
        <f>IFERROR(__xludf.DUMMYFUNCTION("""COMPUTED_VALUE"""),"Turkmenistan-Asia")</f>
        <v>Turkmenistan-Asia</v>
      </c>
      <c r="AD2509" s="14" t="str">
        <f>IFERROR(__xludf.DUMMYFUNCTION("""COMPUTED_VALUE"""),"2007")</f>
        <v>2007</v>
      </c>
      <c r="AE2509" s="14">
        <f>IFERROR(__xludf.DUMMYFUNCTION("""COMPUTED_VALUE"""),15153.0)</f>
        <v>15153</v>
      </c>
      <c r="AF2509" s="14">
        <f>IFERROR(__xludf.DUMMYFUNCTION("""COMPUTED_VALUE"""),39270.0)</f>
        <v>39270</v>
      </c>
    </row>
    <row r="2510">
      <c r="A2510" s="12">
        <v>2509.0</v>
      </c>
      <c r="B2510" s="12" t="s">
        <v>271</v>
      </c>
      <c r="C2510" s="5" t="s">
        <v>61</v>
      </c>
      <c r="D2510" s="8"/>
      <c r="E2510" s="8"/>
      <c r="F2510" s="8"/>
      <c r="G2510" s="8"/>
      <c r="H2510" s="11">
        <v>0.072</v>
      </c>
      <c r="I2510" s="11">
        <v>1.141</v>
      </c>
      <c r="J2510" s="9" t="s">
        <v>73</v>
      </c>
      <c r="K2510" s="14" t="str">
        <f>IFERROR(__xludf.DUMMYFUNCTION("ARRAYFORMULA(VLOOKUP(A2510,IMPORTRANGE(""https://docs.google.com/spreadsheets/d/1BuTWp7qHGjWhqrnf-OmePP568O4A5Am9ttzvVdP67zw/edit#gid=1603210130"", ""TOURISM!$A$2:$F$2692""), {2,3,4,5,6},0))"),"Asia")</f>
        <v>Asia</v>
      </c>
      <c r="L2510" s="14"/>
      <c r="M2510" s="14" t="str">
        <f>IFERROR(__xludf.DUMMYFUNCTION("""COMPUTED_VALUE"""),"Turkmenistan-Asia")</f>
        <v>Turkmenistan-Asia</v>
      </c>
      <c r="N2510" s="14" t="str">
        <f>IFERROR(__xludf.DUMMYFUNCTION("""COMPUTED_VALUE"""),"2012")</f>
        <v>2012</v>
      </c>
      <c r="O2510" s="14"/>
      <c r="P2510" s="15">
        <f>IFERROR(__xludf.DUMMYFUNCTION("ARRAYFORMULA(VLOOKUP(A2510,IMPORTRANGE(""https://docs.google.com/spreadsheets/d/1BuTWp7qHGjWhqrnf-OmePP568O4A5Am9ttzvVdP67zw/edit#gid=771602874"" ,""HUMAN RESOURCES!$A$2:$M$2692""), {2,3,4,5,6,7,8,9,10,11,12,13},0))"),0.022)</f>
        <v>0.022</v>
      </c>
      <c r="Q2510" s="14">
        <f>IFERROR(__xludf.DUMMYFUNCTION("""COMPUTED_VALUE"""),0.048)</f>
        <v>0.048</v>
      </c>
      <c r="R2510" s="14">
        <f>IFERROR(__xludf.DUMMYFUNCTION("""COMPUTED_VALUE"""),70.0)</f>
        <v>70</v>
      </c>
      <c r="S2510" s="14">
        <f>IFERROR(__xludf.DUMMYFUNCTION("""COMPUTED_VALUE"""),61.0)</f>
        <v>61</v>
      </c>
      <c r="T2510" s="14">
        <f>IFERROR(__xludf.DUMMYFUNCTION("""COMPUTED_VALUE"""),0.286)</f>
        <v>0.286</v>
      </c>
      <c r="U2510" s="14">
        <f>IFERROR(__xludf.DUMMYFUNCTION("""COMPUTED_VALUE"""),0.673)</f>
        <v>0.673</v>
      </c>
      <c r="V2510" s="14">
        <f>IFERROR(__xludf.DUMMYFUNCTION("""COMPUTED_VALUE"""),0.041)</f>
        <v>0.041</v>
      </c>
      <c r="W2510" s="14">
        <f>IFERROR(__xludf.DUMMYFUNCTION("""COMPUTED_VALUE"""),5172931.0)</f>
        <v>5172931</v>
      </c>
      <c r="X2510" s="14">
        <f>IFERROR(__xludf.DUMMYFUNCTION("""COMPUTED_VALUE"""),0.49)</f>
        <v>0.49</v>
      </c>
      <c r="Y2510" s="14" t="str">
        <f>IFERROR(__xludf.DUMMYFUNCTION("""COMPUTED_VALUE"""),"Turkmenistan-Asia")</f>
        <v>Turkmenistan-Asia</v>
      </c>
      <c r="Z2510" s="14" t="str">
        <f>IFERROR(__xludf.DUMMYFUNCTION("""COMPUTED_VALUE"""),"Asia")</f>
        <v>Asia</v>
      </c>
      <c r="AA2510" s="14" t="str">
        <f>IFERROR(__xludf.DUMMYFUNCTION("""COMPUTED_VALUE"""),"2012")</f>
        <v>2012</v>
      </c>
      <c r="AB2510" s="15" t="str">
        <f>IFERROR(__xludf.DUMMYFUNCTION("ARRAYFORMULA(VLOOKUP(A2510,IMPORTRANGE(""https://docs.google.com/spreadsheets/d/1BuTWp7qHGjWhqrnf-OmePP568O4A5Am9ttzvVdP67zw/edit#gid=1931367683"" ,""ENERGY!$A$2:$F$2692""), {2,3,4,5,6},0))"),"Asia")</f>
        <v>Asia</v>
      </c>
      <c r="AC2510" s="14" t="str">
        <f>IFERROR(__xludf.DUMMYFUNCTION("""COMPUTED_VALUE"""),"Turkmenistan-Asia")</f>
        <v>Turkmenistan-Asia</v>
      </c>
      <c r="AD2510" s="14" t="str">
        <f>IFERROR(__xludf.DUMMYFUNCTION("""COMPUTED_VALUE"""),"2012")</f>
        <v>2012</v>
      </c>
      <c r="AE2510" s="14">
        <f>IFERROR(__xludf.DUMMYFUNCTION("""COMPUTED_VALUE"""),14871.0)</f>
        <v>14871</v>
      </c>
      <c r="AF2510" s="14">
        <f>IFERROR(__xludf.DUMMYFUNCTION("""COMPUTED_VALUE"""),35365.0)</f>
        <v>35365</v>
      </c>
    </row>
    <row r="2511">
      <c r="A2511" s="12">
        <v>2510.0</v>
      </c>
      <c r="B2511" s="12" t="s">
        <v>272</v>
      </c>
      <c r="C2511" s="5" t="s">
        <v>84</v>
      </c>
      <c r="D2511" s="8"/>
      <c r="E2511" s="8"/>
      <c r="F2511" s="8"/>
      <c r="G2511" s="8"/>
      <c r="H2511" s="8"/>
      <c r="I2511" s="8"/>
      <c r="J2511" s="9" t="s">
        <v>60</v>
      </c>
      <c r="K2511" s="14" t="str">
        <f>IFERROR(__xludf.DUMMYFUNCTION("ARRAYFORMULA(VLOOKUP(A2511,IMPORTRANGE(""https://docs.google.com/spreadsheets/d/1BuTWp7qHGjWhqrnf-OmePP568O4A5Am9ttzvVdP67zw/edit#gid=1603210130"", ""TOURISM!$A$2:$F$2692""), {2,3,4,5,6},0))"),"The Americas")</f>
        <v>The Americas</v>
      </c>
      <c r="L2511" s="14">
        <f>IFERROR(__xludf.DUMMYFUNCTION("""COMPUTED_VALUE"""),2.85E8)</f>
        <v>285000000</v>
      </c>
      <c r="M2511" s="14" t="str">
        <f>IFERROR(__xludf.DUMMYFUNCTION("""COMPUTED_VALUE"""),"Turks and Caicos Islands-The Americas")</f>
        <v>Turks and Caicos Islands-The Americas</v>
      </c>
      <c r="N2511" s="14" t="str">
        <f>IFERROR(__xludf.DUMMYFUNCTION("""COMPUTED_VALUE"""),"2000")</f>
        <v>2000</v>
      </c>
      <c r="O2511" s="14"/>
      <c r="P2511" s="15" t="str">
        <f>IFERROR(__xludf.DUMMYFUNCTION("ARRAYFORMULA(VLOOKUP(A2511,IMPORTRANGE(""https://docs.google.com/spreadsheets/d/1BuTWp7qHGjWhqrnf-OmePP568O4A5Am9ttzvVdP67zw/edit#gid=771602874"" ,""HUMAN RESOURCES!$A$2:$M$2692""), {2,3,4,5,6,7,8,9,10,11,12,13},0))"),"")</f>
        <v/>
      </c>
      <c r="Q2511" s="14"/>
      <c r="R2511" s="14"/>
      <c r="S2511" s="14"/>
      <c r="T2511" s="14"/>
      <c r="U2511" s="14"/>
      <c r="V2511" s="14"/>
      <c r="W2511" s="14">
        <f>IFERROR(__xludf.DUMMYFUNCTION("""COMPUTED_VALUE"""),18876.0)</f>
        <v>18876</v>
      </c>
      <c r="X2511" s="14">
        <f>IFERROR(__xludf.DUMMYFUNCTION("""COMPUTED_VALUE"""),0.846)</f>
        <v>0.846</v>
      </c>
      <c r="Y2511" s="14" t="str">
        <f>IFERROR(__xludf.DUMMYFUNCTION("""COMPUTED_VALUE"""),"Turks and Caicos Islands-The Americas")</f>
        <v>Turks and Caicos Islands-The Americas</v>
      </c>
      <c r="Z2511" s="14" t="str">
        <f>IFERROR(__xludf.DUMMYFUNCTION("""COMPUTED_VALUE"""),"The Americas")</f>
        <v>The Americas</v>
      </c>
      <c r="AA2511" s="14" t="str">
        <f>IFERROR(__xludf.DUMMYFUNCTION("""COMPUTED_VALUE"""),"2000")</f>
        <v>2000</v>
      </c>
      <c r="AB2511" s="15" t="str">
        <f>IFERROR(__xludf.DUMMYFUNCTION("ARRAYFORMULA(VLOOKUP(A2511,IMPORTRANGE(""https://docs.google.com/spreadsheets/d/1BuTWp7qHGjWhqrnf-OmePP568O4A5Am9ttzvVdP67zw/edit#gid=1931367683"" ,""ENERGY!$A$2:$F$2692""), {2,3,4,5,6},0))"),"The Americas")</f>
        <v>The Americas</v>
      </c>
      <c r="AC2511" s="14" t="str">
        <f>IFERROR(__xludf.DUMMYFUNCTION("""COMPUTED_VALUE"""),"Turks and Caicos Islands-The Americas")</f>
        <v>Turks and Caicos Islands-The Americas</v>
      </c>
      <c r="AD2511" s="14" t="str">
        <f>IFERROR(__xludf.DUMMYFUNCTION("""COMPUTED_VALUE"""),"2000")</f>
        <v>2000</v>
      </c>
      <c r="AE2511" s="14"/>
      <c r="AF2511" s="14"/>
    </row>
    <row r="2512">
      <c r="A2512" s="12">
        <v>2511.0</v>
      </c>
      <c r="B2512" s="12" t="s">
        <v>272</v>
      </c>
      <c r="C2512" s="5" t="s">
        <v>84</v>
      </c>
      <c r="D2512" s="8"/>
      <c r="E2512" s="8"/>
      <c r="F2512" s="8"/>
      <c r="G2512" s="8"/>
      <c r="H2512" s="8"/>
      <c r="I2512" s="8"/>
      <c r="J2512" s="9" t="s">
        <v>62</v>
      </c>
      <c r="K2512" s="14" t="str">
        <f>IFERROR(__xludf.DUMMYFUNCTION("ARRAYFORMULA(VLOOKUP(A2512,IMPORTRANGE(""https://docs.google.com/spreadsheets/d/1BuTWp7qHGjWhqrnf-OmePP568O4A5Am9ttzvVdP67zw/edit#gid=1603210130"", ""TOURISM!$A$2:$F$2692""), {2,3,4,5,6},0))"),"The Americas")</f>
        <v>The Americas</v>
      </c>
      <c r="L2512" s="14">
        <f>IFERROR(__xludf.DUMMYFUNCTION("""COMPUTED_VALUE"""),3.11E8)</f>
        <v>311000000</v>
      </c>
      <c r="M2512" s="14" t="str">
        <f>IFERROR(__xludf.DUMMYFUNCTION("""COMPUTED_VALUE"""),"Turks and Caicos Islands-The Americas")</f>
        <v>Turks and Caicos Islands-The Americas</v>
      </c>
      <c r="N2512" s="14" t="str">
        <f>IFERROR(__xludf.DUMMYFUNCTION("""COMPUTED_VALUE"""),"2001")</f>
        <v>2001</v>
      </c>
      <c r="O2512" s="14"/>
      <c r="P2512" s="15" t="str">
        <f>IFERROR(__xludf.DUMMYFUNCTION("ARRAYFORMULA(VLOOKUP(A2512,IMPORTRANGE(""https://docs.google.com/spreadsheets/d/1BuTWp7qHGjWhqrnf-OmePP568O4A5Am9ttzvVdP67zw/edit#gid=771602874"" ,""HUMAN RESOURCES!$A$2:$M$2692""), {2,3,4,5,6,7,8,9,10,11,12,13},0))"),"")</f>
        <v/>
      </c>
      <c r="Q2512" s="14"/>
      <c r="R2512" s="14"/>
      <c r="S2512" s="14"/>
      <c r="T2512" s="14"/>
      <c r="U2512" s="14"/>
      <c r="V2512" s="14"/>
      <c r="W2512" s="14">
        <f>IFERROR(__xludf.DUMMYFUNCTION("""COMPUTED_VALUE"""),20186.0)</f>
        <v>20186</v>
      </c>
      <c r="X2512" s="14">
        <f>IFERROR(__xludf.DUMMYFUNCTION("""COMPUTED_VALUE"""),0.854)</f>
        <v>0.854</v>
      </c>
      <c r="Y2512" s="14" t="str">
        <f>IFERROR(__xludf.DUMMYFUNCTION("""COMPUTED_VALUE"""),"Turks and Caicos Islands-The Americas")</f>
        <v>Turks and Caicos Islands-The Americas</v>
      </c>
      <c r="Z2512" s="14" t="str">
        <f>IFERROR(__xludf.DUMMYFUNCTION("""COMPUTED_VALUE"""),"The Americas")</f>
        <v>The Americas</v>
      </c>
      <c r="AA2512" s="14" t="str">
        <f>IFERROR(__xludf.DUMMYFUNCTION("""COMPUTED_VALUE"""),"2001")</f>
        <v>2001</v>
      </c>
      <c r="AB2512" s="15" t="str">
        <f>IFERROR(__xludf.DUMMYFUNCTION("ARRAYFORMULA(VLOOKUP(A2512,IMPORTRANGE(""https://docs.google.com/spreadsheets/d/1BuTWp7qHGjWhqrnf-OmePP568O4A5Am9ttzvVdP67zw/edit#gid=1931367683"" ,""ENERGY!$A$2:$F$2692""), {2,3,4,5,6},0))"),"The Americas")</f>
        <v>The Americas</v>
      </c>
      <c r="AC2512" s="14" t="str">
        <f>IFERROR(__xludf.DUMMYFUNCTION("""COMPUTED_VALUE"""),"Turks and Caicos Islands-The Americas")</f>
        <v>Turks and Caicos Islands-The Americas</v>
      </c>
      <c r="AD2512" s="14" t="str">
        <f>IFERROR(__xludf.DUMMYFUNCTION("""COMPUTED_VALUE"""),"2001")</f>
        <v>2001</v>
      </c>
      <c r="AE2512" s="14"/>
      <c r="AF2512" s="14"/>
    </row>
    <row r="2513">
      <c r="A2513" s="12">
        <v>2512.0</v>
      </c>
      <c r="B2513" s="12" t="s">
        <v>272</v>
      </c>
      <c r="C2513" s="5" t="s">
        <v>84</v>
      </c>
      <c r="D2513" s="8"/>
      <c r="E2513" s="8"/>
      <c r="F2513" s="8"/>
      <c r="G2513" s="8"/>
      <c r="H2513" s="8"/>
      <c r="I2513" s="8"/>
      <c r="J2513" s="9" t="s">
        <v>63</v>
      </c>
      <c r="K2513" s="14" t="str">
        <f>IFERROR(__xludf.DUMMYFUNCTION("ARRAYFORMULA(VLOOKUP(A2513,IMPORTRANGE(""https://docs.google.com/spreadsheets/d/1BuTWp7qHGjWhqrnf-OmePP568O4A5Am9ttzvVdP67zw/edit#gid=1603210130"", ""TOURISM!$A$2:$F$2692""), {2,3,4,5,6},0))"),"The Americas")</f>
        <v>The Americas</v>
      </c>
      <c r="L2513" s="14">
        <f>IFERROR(__xludf.DUMMYFUNCTION("""COMPUTED_VALUE"""),2.92E8)</f>
        <v>292000000</v>
      </c>
      <c r="M2513" s="14" t="str">
        <f>IFERROR(__xludf.DUMMYFUNCTION("""COMPUTED_VALUE"""),"Turks and Caicos Islands-The Americas")</f>
        <v>Turks and Caicos Islands-The Americas</v>
      </c>
      <c r="N2513" s="14" t="str">
        <f>IFERROR(__xludf.DUMMYFUNCTION("""COMPUTED_VALUE"""),"2002")</f>
        <v>2002</v>
      </c>
      <c r="O2513" s="14"/>
      <c r="P2513" s="15" t="str">
        <f>IFERROR(__xludf.DUMMYFUNCTION("ARRAYFORMULA(VLOOKUP(A2513,IMPORTRANGE(""https://docs.google.com/spreadsheets/d/1BuTWp7qHGjWhqrnf-OmePP568O4A5Am9ttzvVdP67zw/edit#gid=771602874"" ,""HUMAN RESOURCES!$A$2:$M$2692""), {2,3,4,5,6,7,8,9,10,11,12,13},0))"),"")</f>
        <v/>
      </c>
      <c r="Q2513" s="14"/>
      <c r="R2513" s="14"/>
      <c r="S2513" s="14"/>
      <c r="T2513" s="14"/>
      <c r="U2513" s="14"/>
      <c r="V2513" s="14"/>
      <c r="W2513" s="14">
        <f>IFERROR(__xludf.DUMMYFUNCTION("""COMPUTED_VALUE"""),21740.0)</f>
        <v>21740</v>
      </c>
      <c r="X2513" s="14">
        <f>IFERROR(__xludf.DUMMYFUNCTION("""COMPUTED_VALUE"""),0.86)</f>
        <v>0.86</v>
      </c>
      <c r="Y2513" s="14" t="str">
        <f>IFERROR(__xludf.DUMMYFUNCTION("""COMPUTED_VALUE"""),"Turks and Caicos Islands-The Americas")</f>
        <v>Turks and Caicos Islands-The Americas</v>
      </c>
      <c r="Z2513" s="14" t="str">
        <f>IFERROR(__xludf.DUMMYFUNCTION("""COMPUTED_VALUE"""),"The Americas")</f>
        <v>The Americas</v>
      </c>
      <c r="AA2513" s="14" t="str">
        <f>IFERROR(__xludf.DUMMYFUNCTION("""COMPUTED_VALUE"""),"2002")</f>
        <v>2002</v>
      </c>
      <c r="AB2513" s="15" t="str">
        <f>IFERROR(__xludf.DUMMYFUNCTION("ARRAYFORMULA(VLOOKUP(A2513,IMPORTRANGE(""https://docs.google.com/spreadsheets/d/1BuTWp7qHGjWhqrnf-OmePP568O4A5Am9ttzvVdP67zw/edit#gid=1931367683"" ,""ENERGY!$A$2:$F$2692""), {2,3,4,5,6},0))"),"The Americas")</f>
        <v>The Americas</v>
      </c>
      <c r="AC2513" s="14" t="str">
        <f>IFERROR(__xludf.DUMMYFUNCTION("""COMPUTED_VALUE"""),"Turks and Caicos Islands-The Americas")</f>
        <v>Turks and Caicos Islands-The Americas</v>
      </c>
      <c r="AD2513" s="14" t="str">
        <f>IFERROR(__xludf.DUMMYFUNCTION("""COMPUTED_VALUE"""),"2002")</f>
        <v>2002</v>
      </c>
      <c r="AE2513" s="14"/>
      <c r="AF2513" s="14">
        <f>IFERROR(__xludf.DUMMYFUNCTION("""COMPUTED_VALUE"""),161.0)</f>
        <v>161</v>
      </c>
    </row>
    <row r="2514">
      <c r="A2514" s="12">
        <v>2513.0</v>
      </c>
      <c r="B2514" s="12" t="s">
        <v>272</v>
      </c>
      <c r="C2514" s="5" t="s">
        <v>84</v>
      </c>
      <c r="D2514" s="8"/>
      <c r="E2514" s="8"/>
      <c r="F2514" s="8"/>
      <c r="G2514" s="8"/>
      <c r="H2514" s="8"/>
      <c r="I2514" s="8"/>
      <c r="J2514" s="9" t="s">
        <v>64</v>
      </c>
      <c r="K2514" s="14" t="str">
        <f>IFERROR(__xludf.DUMMYFUNCTION("ARRAYFORMULA(VLOOKUP(A2514,IMPORTRANGE(""https://docs.google.com/spreadsheets/d/1BuTWp7qHGjWhqrnf-OmePP568O4A5Am9ttzvVdP67zw/edit#gid=1603210130"", ""TOURISM!$A$2:$F$2692""), {2,3,4,5,6},0))"),"The Americas")</f>
        <v>The Americas</v>
      </c>
      <c r="L2514" s="14"/>
      <c r="M2514" s="14" t="str">
        <f>IFERROR(__xludf.DUMMYFUNCTION("""COMPUTED_VALUE"""),"Turks and Caicos Islands-The Americas")</f>
        <v>Turks and Caicos Islands-The Americas</v>
      </c>
      <c r="N2514" s="14" t="str">
        <f>IFERROR(__xludf.DUMMYFUNCTION("""COMPUTED_VALUE"""),"2003")</f>
        <v>2003</v>
      </c>
      <c r="O2514" s="14"/>
      <c r="P2514" s="15" t="str">
        <f>IFERROR(__xludf.DUMMYFUNCTION("ARRAYFORMULA(VLOOKUP(A2514,IMPORTRANGE(""https://docs.google.com/spreadsheets/d/1BuTWp7qHGjWhqrnf-OmePP568O4A5Am9ttzvVdP67zw/edit#gid=771602874"" ,""HUMAN RESOURCES!$A$2:$M$2692""), {2,3,4,5,6,7,8,9,10,11,12,13},0))"),"")</f>
        <v/>
      </c>
      <c r="Q2514" s="14"/>
      <c r="R2514" s="14"/>
      <c r="S2514" s="14"/>
      <c r="T2514" s="14"/>
      <c r="U2514" s="14"/>
      <c r="V2514" s="14"/>
      <c r="W2514" s="14">
        <f>IFERROR(__xludf.DUMMYFUNCTION("""COMPUTED_VALUE"""),23412.0)</f>
        <v>23412</v>
      </c>
      <c r="X2514" s="14">
        <f>IFERROR(__xludf.DUMMYFUNCTION("""COMPUTED_VALUE"""),0.866)</f>
        <v>0.866</v>
      </c>
      <c r="Y2514" s="14" t="str">
        <f>IFERROR(__xludf.DUMMYFUNCTION("""COMPUTED_VALUE"""),"Turks and Caicos Islands-The Americas")</f>
        <v>Turks and Caicos Islands-The Americas</v>
      </c>
      <c r="Z2514" s="14" t="str">
        <f>IFERROR(__xludf.DUMMYFUNCTION("""COMPUTED_VALUE"""),"The Americas")</f>
        <v>The Americas</v>
      </c>
      <c r="AA2514" s="14" t="str">
        <f>IFERROR(__xludf.DUMMYFUNCTION("""COMPUTED_VALUE"""),"2003")</f>
        <v>2003</v>
      </c>
      <c r="AB2514" s="15" t="str">
        <f>IFERROR(__xludf.DUMMYFUNCTION("ARRAYFORMULA(VLOOKUP(A2514,IMPORTRANGE(""https://docs.google.com/spreadsheets/d/1BuTWp7qHGjWhqrnf-OmePP568O4A5Am9ttzvVdP67zw/edit#gid=1931367683"" ,""ENERGY!$A$2:$F$2692""), {2,3,4,5,6},0))"),"The Americas")</f>
        <v>The Americas</v>
      </c>
      <c r="AC2514" s="14" t="str">
        <f>IFERROR(__xludf.DUMMYFUNCTION("""COMPUTED_VALUE"""),"Turks and Caicos Islands-The Americas")</f>
        <v>Turks and Caicos Islands-The Americas</v>
      </c>
      <c r="AD2514" s="14" t="str">
        <f>IFERROR(__xludf.DUMMYFUNCTION("""COMPUTED_VALUE"""),"2003")</f>
        <v>2003</v>
      </c>
      <c r="AE2514" s="14"/>
      <c r="AF2514" s="14">
        <f>IFERROR(__xludf.DUMMYFUNCTION("""COMPUTED_VALUE"""),161.0)</f>
        <v>161</v>
      </c>
    </row>
    <row r="2515">
      <c r="A2515" s="12">
        <v>2514.0</v>
      </c>
      <c r="B2515" s="12" t="s">
        <v>272</v>
      </c>
      <c r="C2515" s="5" t="s">
        <v>84</v>
      </c>
      <c r="D2515" s="8"/>
      <c r="E2515" s="8"/>
      <c r="F2515" s="8"/>
      <c r="G2515" s="8"/>
      <c r="H2515" s="8"/>
      <c r="I2515" s="8"/>
      <c r="J2515" s="9" t="s">
        <v>65</v>
      </c>
      <c r="K2515" s="14" t="str">
        <f>IFERROR(__xludf.DUMMYFUNCTION("ARRAYFORMULA(VLOOKUP(A2515,IMPORTRANGE(""https://docs.google.com/spreadsheets/d/1BuTWp7qHGjWhqrnf-OmePP568O4A5Am9ttzvVdP67zw/edit#gid=1603210130"", ""TOURISM!$A$2:$F$2692""), {2,3,4,5,6},0))"),"The Americas")</f>
        <v>The Americas</v>
      </c>
      <c r="L2515" s="14"/>
      <c r="M2515" s="14" t="str">
        <f>IFERROR(__xludf.DUMMYFUNCTION("""COMPUTED_VALUE"""),"Turks and Caicos Islands-The Americas")</f>
        <v>Turks and Caicos Islands-The Americas</v>
      </c>
      <c r="N2515" s="14" t="str">
        <f>IFERROR(__xludf.DUMMYFUNCTION("""COMPUTED_VALUE"""),"2004")</f>
        <v>2004</v>
      </c>
      <c r="O2515" s="14"/>
      <c r="P2515" s="15" t="str">
        <f>IFERROR(__xludf.DUMMYFUNCTION("ARRAYFORMULA(VLOOKUP(A2515,IMPORTRANGE(""https://docs.google.com/spreadsheets/d/1BuTWp7qHGjWhqrnf-OmePP568O4A5Am9ttzvVdP67zw/edit#gid=771602874"" ,""HUMAN RESOURCES!$A$2:$M$2692""), {2,3,4,5,6,7,8,9,10,11,12,13},0))"),"")</f>
        <v/>
      </c>
      <c r="Q2515" s="14"/>
      <c r="R2515" s="14"/>
      <c r="S2515" s="14"/>
      <c r="T2515" s="14"/>
      <c r="U2515" s="14"/>
      <c r="V2515" s="14"/>
      <c r="W2515" s="14">
        <f>IFERROR(__xludf.DUMMYFUNCTION("""COMPUTED_VALUE"""),25025.0)</f>
        <v>25025</v>
      </c>
      <c r="X2515" s="14">
        <f>IFERROR(__xludf.DUMMYFUNCTION("""COMPUTED_VALUE"""),0.872)</f>
        <v>0.872</v>
      </c>
      <c r="Y2515" s="14" t="str">
        <f>IFERROR(__xludf.DUMMYFUNCTION("""COMPUTED_VALUE"""),"Turks and Caicos Islands-The Americas")</f>
        <v>Turks and Caicos Islands-The Americas</v>
      </c>
      <c r="Z2515" s="14" t="str">
        <f>IFERROR(__xludf.DUMMYFUNCTION("""COMPUTED_VALUE"""),"The Americas")</f>
        <v>The Americas</v>
      </c>
      <c r="AA2515" s="14" t="str">
        <f>IFERROR(__xludf.DUMMYFUNCTION("""COMPUTED_VALUE"""),"2004")</f>
        <v>2004</v>
      </c>
      <c r="AB2515" s="15" t="str">
        <f>IFERROR(__xludf.DUMMYFUNCTION("ARRAYFORMULA(VLOOKUP(A2515,IMPORTRANGE(""https://docs.google.com/spreadsheets/d/1BuTWp7qHGjWhqrnf-OmePP568O4A5Am9ttzvVdP67zw/edit#gid=1931367683"" ,""ENERGY!$A$2:$F$2692""), {2,3,4,5,6},0))"),"The Americas")</f>
        <v>The Americas</v>
      </c>
      <c r="AC2515" s="14" t="str">
        <f>IFERROR(__xludf.DUMMYFUNCTION("""COMPUTED_VALUE"""),"Turks and Caicos Islands-The Americas")</f>
        <v>Turks and Caicos Islands-The Americas</v>
      </c>
      <c r="AD2515" s="14" t="str">
        <f>IFERROR(__xludf.DUMMYFUNCTION("""COMPUTED_VALUE"""),"2005")</f>
        <v>2005</v>
      </c>
      <c r="AE2515" s="14"/>
      <c r="AF2515" s="14">
        <f>IFERROR(__xludf.DUMMYFUNCTION("""COMPUTED_VALUE"""),158.0)</f>
        <v>158</v>
      </c>
    </row>
    <row r="2516">
      <c r="A2516" s="12">
        <v>2515.0</v>
      </c>
      <c r="B2516" s="12" t="s">
        <v>272</v>
      </c>
      <c r="C2516" s="5" t="s">
        <v>84</v>
      </c>
      <c r="D2516" s="8"/>
      <c r="E2516" s="8"/>
      <c r="F2516" s="8"/>
      <c r="G2516" s="8"/>
      <c r="H2516" s="8"/>
      <c r="I2516" s="8"/>
      <c r="J2516" s="9" t="s">
        <v>66</v>
      </c>
      <c r="K2516" s="14" t="str">
        <f>IFERROR(__xludf.DUMMYFUNCTION("ARRAYFORMULA(VLOOKUP(A2516,IMPORTRANGE(""https://docs.google.com/spreadsheets/d/1BuTWp7qHGjWhqrnf-OmePP568O4A5Am9ttzvVdP67zw/edit#gid=1603210130"", ""TOURISM!$A$2:$F$2692""), {2,3,4,5,6},0))"),"The Americas")</f>
        <v>The Americas</v>
      </c>
      <c r="L2516" s="14"/>
      <c r="M2516" s="14" t="str">
        <f>IFERROR(__xludf.DUMMYFUNCTION("""COMPUTED_VALUE"""),"Turks and Caicos Islands-The Americas")</f>
        <v>Turks and Caicos Islands-The Americas</v>
      </c>
      <c r="N2516" s="14" t="str">
        <f>IFERROR(__xludf.DUMMYFUNCTION("""COMPUTED_VALUE"""),"2005")</f>
        <v>2005</v>
      </c>
      <c r="O2516" s="14"/>
      <c r="P2516" s="15" t="str">
        <f>IFERROR(__xludf.DUMMYFUNCTION("ARRAYFORMULA(VLOOKUP(A2516,IMPORTRANGE(""https://docs.google.com/spreadsheets/d/1BuTWp7qHGjWhqrnf-OmePP568O4A5Am9ttzvVdP67zw/edit#gid=771602874"" ,""HUMAN RESOURCES!$A$2:$M$2692""), {2,3,4,5,6,7,8,9,10,11,12,13},0))"),"")</f>
        <v/>
      </c>
      <c r="Q2516" s="14"/>
      <c r="R2516" s="14"/>
      <c r="S2516" s="14"/>
      <c r="T2516" s="14"/>
      <c r="U2516" s="14"/>
      <c r="V2516" s="14"/>
      <c r="W2516" s="14">
        <f>IFERROR(__xludf.DUMMYFUNCTION("""COMPUTED_VALUE"""),26450.0)</f>
        <v>26450</v>
      </c>
      <c r="X2516" s="14">
        <f>IFERROR(__xludf.DUMMYFUNCTION("""COMPUTED_VALUE"""),0.877)</f>
        <v>0.877</v>
      </c>
      <c r="Y2516" s="14" t="str">
        <f>IFERROR(__xludf.DUMMYFUNCTION("""COMPUTED_VALUE"""),"Turks and Caicos Islands-The Americas")</f>
        <v>Turks and Caicos Islands-The Americas</v>
      </c>
      <c r="Z2516" s="14" t="str">
        <f>IFERROR(__xludf.DUMMYFUNCTION("""COMPUTED_VALUE"""),"The Americas")</f>
        <v>The Americas</v>
      </c>
      <c r="AA2516" s="14" t="str">
        <f>IFERROR(__xludf.DUMMYFUNCTION("""COMPUTED_VALUE"""),"2005")</f>
        <v>2005</v>
      </c>
      <c r="AB2516" s="15" t="str">
        <f>IFERROR(__xludf.DUMMYFUNCTION("ARRAYFORMULA(VLOOKUP(A2516,IMPORTRANGE(""https://docs.google.com/spreadsheets/d/1BuTWp7qHGjWhqrnf-OmePP568O4A5Am9ttzvVdP67zw/edit#gid=1931367683"" ,""ENERGY!$A$2:$F$2692""), {2,3,4,5,6},0))"),"The Americas")</f>
        <v>The Americas</v>
      </c>
      <c r="AC2516" s="14" t="str">
        <f>IFERROR(__xludf.DUMMYFUNCTION("""COMPUTED_VALUE"""),"Turks and Caicos Islands-The Americas")</f>
        <v>Turks and Caicos Islands-The Americas</v>
      </c>
      <c r="AD2516" s="14" t="str">
        <f>IFERROR(__xludf.DUMMYFUNCTION("""COMPUTED_VALUE"""),"2009")</f>
        <v>2009</v>
      </c>
      <c r="AE2516" s="14"/>
      <c r="AF2516" s="14">
        <f>IFERROR(__xludf.DUMMYFUNCTION("""COMPUTED_VALUE"""),158.0)</f>
        <v>158</v>
      </c>
    </row>
    <row r="2517">
      <c r="A2517" s="12">
        <v>2516.0</v>
      </c>
      <c r="B2517" s="12" t="s">
        <v>272</v>
      </c>
      <c r="C2517" s="5" t="s">
        <v>84</v>
      </c>
      <c r="D2517" s="8"/>
      <c r="E2517" s="8"/>
      <c r="F2517" s="8"/>
      <c r="G2517" s="8"/>
      <c r="H2517" s="8"/>
      <c r="I2517" s="8"/>
      <c r="J2517" s="9" t="s">
        <v>67</v>
      </c>
      <c r="K2517" s="14" t="str">
        <f>IFERROR(__xludf.DUMMYFUNCTION("ARRAYFORMULA(VLOOKUP(A2517,IMPORTRANGE(""https://docs.google.com/spreadsheets/d/1BuTWp7qHGjWhqrnf-OmePP568O4A5Am9ttzvVdP67zw/edit#gid=1603210130"", ""TOURISM!$A$2:$F$2692""), {2,3,4,5,6},0))"),"The Americas")</f>
        <v>The Americas</v>
      </c>
      <c r="L2517" s="14"/>
      <c r="M2517" s="14" t="str">
        <f>IFERROR(__xludf.DUMMYFUNCTION("""COMPUTED_VALUE"""),"Turks and Caicos Islands-The Americas")</f>
        <v>Turks and Caicos Islands-The Americas</v>
      </c>
      <c r="N2517" s="14" t="str">
        <f>IFERROR(__xludf.DUMMYFUNCTION("""COMPUTED_VALUE"""),"2006")</f>
        <v>2006</v>
      </c>
      <c r="O2517" s="14"/>
      <c r="P2517" s="15" t="str">
        <f>IFERROR(__xludf.DUMMYFUNCTION("ARRAYFORMULA(VLOOKUP(A2517,IMPORTRANGE(""https://docs.google.com/spreadsheets/d/1BuTWp7qHGjWhqrnf-OmePP568O4A5Am9ttzvVdP67zw/edit#gid=771602874"" ,""HUMAN RESOURCES!$A$2:$M$2692""), {2,3,4,5,6,7,8,9,10,11,12,13},0))"),"")</f>
        <v/>
      </c>
      <c r="Q2517" s="14"/>
      <c r="R2517" s="14"/>
      <c r="S2517" s="14"/>
      <c r="T2517" s="14"/>
      <c r="U2517" s="14"/>
      <c r="V2517" s="14"/>
      <c r="W2517" s="14">
        <f>IFERROR(__xludf.DUMMYFUNCTION("""COMPUTED_VALUE"""),27642.0)</f>
        <v>27642</v>
      </c>
      <c r="X2517" s="14">
        <f>IFERROR(__xludf.DUMMYFUNCTION("""COMPUTED_VALUE"""),0.883)</f>
        <v>0.883</v>
      </c>
      <c r="Y2517" s="14" t="str">
        <f>IFERROR(__xludf.DUMMYFUNCTION("""COMPUTED_VALUE"""),"Turks and Caicos Islands-The Americas")</f>
        <v>Turks and Caicos Islands-The Americas</v>
      </c>
      <c r="Z2517" s="14" t="str">
        <f>IFERROR(__xludf.DUMMYFUNCTION("""COMPUTED_VALUE"""),"The Americas")</f>
        <v>The Americas</v>
      </c>
      <c r="AA2517" s="14" t="str">
        <f>IFERROR(__xludf.DUMMYFUNCTION("""COMPUTED_VALUE"""),"2006")</f>
        <v>2006</v>
      </c>
      <c r="AB2517" s="15" t="str">
        <f>IFERROR(__xludf.DUMMYFUNCTION("ARRAYFORMULA(VLOOKUP(A2517,IMPORTRANGE(""https://docs.google.com/spreadsheets/d/1BuTWp7qHGjWhqrnf-OmePP568O4A5Am9ttzvVdP67zw/edit#gid=1931367683"" ,""ENERGY!$A$2:$F$2692""), {2,3,4,5,6},0))"),"The Americas")</f>
        <v>The Americas</v>
      </c>
      <c r="AC2517" s="14" t="str">
        <f>IFERROR(__xludf.DUMMYFUNCTION("""COMPUTED_VALUE"""),"Turks and Caicos Islands-The Americas")</f>
        <v>Turks and Caicos Islands-The Americas</v>
      </c>
      <c r="AD2517" s="14" t="str">
        <f>IFERROR(__xludf.DUMMYFUNCTION("""COMPUTED_VALUE"""),"2005")</f>
        <v>2005</v>
      </c>
      <c r="AE2517" s="14"/>
      <c r="AF2517" s="14">
        <f>IFERROR(__xludf.DUMMYFUNCTION("""COMPUTED_VALUE"""),143.0)</f>
        <v>143</v>
      </c>
    </row>
    <row r="2518">
      <c r="A2518" s="12">
        <v>2517.0</v>
      </c>
      <c r="B2518" s="12" t="s">
        <v>272</v>
      </c>
      <c r="C2518" s="5" t="s">
        <v>84</v>
      </c>
      <c r="D2518" s="8"/>
      <c r="E2518" s="8"/>
      <c r="F2518" s="8"/>
      <c r="G2518" s="8"/>
      <c r="H2518" s="8"/>
      <c r="I2518" s="8"/>
      <c r="J2518" s="9" t="s">
        <v>68</v>
      </c>
      <c r="K2518" s="14" t="str">
        <f>IFERROR(__xludf.DUMMYFUNCTION("ARRAYFORMULA(VLOOKUP(A2518,IMPORTRANGE(""https://docs.google.com/spreadsheets/d/1BuTWp7qHGjWhqrnf-OmePP568O4A5Am9ttzvVdP67zw/edit#gid=1603210130"", ""TOURISM!$A$2:$F$2692""), {2,3,4,5,6},0))"),"The Americas")</f>
        <v>The Americas</v>
      </c>
      <c r="L2518" s="14"/>
      <c r="M2518" s="14" t="str">
        <f>IFERROR(__xludf.DUMMYFUNCTION("""COMPUTED_VALUE"""),"Turks and Caicos Islands-The Americas")</f>
        <v>Turks and Caicos Islands-The Americas</v>
      </c>
      <c r="N2518" s="14" t="str">
        <f>IFERROR(__xludf.DUMMYFUNCTION("""COMPUTED_VALUE"""),"2007")</f>
        <v>2007</v>
      </c>
      <c r="O2518" s="14"/>
      <c r="P2518" s="15" t="str">
        <f>IFERROR(__xludf.DUMMYFUNCTION("ARRAYFORMULA(VLOOKUP(A2518,IMPORTRANGE(""https://docs.google.com/spreadsheets/d/1BuTWp7qHGjWhqrnf-OmePP568O4A5Am9ttzvVdP67zw/edit#gid=771602874"" ,""HUMAN RESOURCES!$A$2:$M$2692""), {2,3,4,5,6,7,8,9,10,11,12,13},0))"),"")</f>
        <v/>
      </c>
      <c r="Q2518" s="14"/>
      <c r="R2518" s="14"/>
      <c r="S2518" s="14"/>
      <c r="T2518" s="14"/>
      <c r="U2518" s="14"/>
      <c r="V2518" s="14"/>
      <c r="W2518" s="14">
        <f>IFERROR(__xludf.DUMMYFUNCTION("""COMPUTED_VALUE"""),28638.0)</f>
        <v>28638</v>
      </c>
      <c r="X2518" s="14">
        <f>IFERROR(__xludf.DUMMYFUNCTION("""COMPUTED_VALUE"""),0.888)</f>
        <v>0.888</v>
      </c>
      <c r="Y2518" s="14" t="str">
        <f>IFERROR(__xludf.DUMMYFUNCTION("""COMPUTED_VALUE"""),"Turks and Caicos Islands-The Americas")</f>
        <v>Turks and Caicos Islands-The Americas</v>
      </c>
      <c r="Z2518" s="14" t="str">
        <f>IFERROR(__xludf.DUMMYFUNCTION("""COMPUTED_VALUE"""),"The Americas")</f>
        <v>The Americas</v>
      </c>
      <c r="AA2518" s="14" t="str">
        <f>IFERROR(__xludf.DUMMYFUNCTION("""COMPUTED_VALUE"""),"2007")</f>
        <v>2007</v>
      </c>
      <c r="AB2518" s="15" t="str">
        <f>IFERROR(__xludf.DUMMYFUNCTION("ARRAYFORMULA(VLOOKUP(A2518,IMPORTRANGE(""https://docs.google.com/spreadsheets/d/1BuTWp7qHGjWhqrnf-OmePP568O4A5Am9ttzvVdP67zw/edit#gid=1931367683"" ,""ENERGY!$A$2:$F$2692""), {2,3,4,5,6},0))"),"The Americas")</f>
        <v>The Americas</v>
      </c>
      <c r="AC2518" s="14" t="str">
        <f>IFERROR(__xludf.DUMMYFUNCTION("""COMPUTED_VALUE"""),"Turks and Caicos Islands-The Americas")</f>
        <v>Turks and Caicos Islands-The Americas</v>
      </c>
      <c r="AD2518" s="14" t="str">
        <f>IFERROR(__xludf.DUMMYFUNCTION("""COMPUTED_VALUE"""),"2011")</f>
        <v>2011</v>
      </c>
      <c r="AE2518" s="14"/>
      <c r="AF2518" s="14">
        <f>IFERROR(__xludf.DUMMYFUNCTION("""COMPUTED_VALUE"""),121.0)</f>
        <v>121</v>
      </c>
    </row>
    <row r="2519">
      <c r="A2519" s="12">
        <v>2518.0</v>
      </c>
      <c r="B2519" s="12" t="s">
        <v>272</v>
      </c>
      <c r="C2519" s="5" t="s">
        <v>84</v>
      </c>
      <c r="D2519" s="8"/>
      <c r="E2519" s="8"/>
      <c r="F2519" s="8"/>
      <c r="G2519" s="8"/>
      <c r="H2519" s="8"/>
      <c r="I2519" s="8"/>
      <c r="J2519" s="9" t="s">
        <v>69</v>
      </c>
      <c r="K2519" s="14" t="str">
        <f>IFERROR(__xludf.DUMMYFUNCTION("ARRAYFORMULA(VLOOKUP(A2519,IMPORTRANGE(""https://docs.google.com/spreadsheets/d/1BuTWp7qHGjWhqrnf-OmePP568O4A5Am9ttzvVdP67zw/edit#gid=1603210130"", ""TOURISM!$A$2:$F$2692""), {2,3,4,5,6},0))"),"The Americas")</f>
        <v>The Americas</v>
      </c>
      <c r="L2519" s="14"/>
      <c r="M2519" s="14" t="str">
        <f>IFERROR(__xludf.DUMMYFUNCTION("""COMPUTED_VALUE"""),"Turks and Caicos Islands-The Americas")</f>
        <v>Turks and Caicos Islands-The Americas</v>
      </c>
      <c r="N2519" s="14" t="str">
        <f>IFERROR(__xludf.DUMMYFUNCTION("""COMPUTED_VALUE"""),"2008")</f>
        <v>2008</v>
      </c>
      <c r="O2519" s="14"/>
      <c r="P2519" s="15" t="str">
        <f>IFERROR(__xludf.DUMMYFUNCTION("ARRAYFORMULA(VLOOKUP(A2519,IMPORTRANGE(""https://docs.google.com/spreadsheets/d/1BuTWp7qHGjWhqrnf-OmePP568O4A5Am9ttzvVdP67zw/edit#gid=771602874"" ,""HUMAN RESOURCES!$A$2:$M$2692""), {2,3,4,5,6,7,8,9,10,11,12,13},0))"),"")</f>
        <v/>
      </c>
      <c r="Q2519" s="14"/>
      <c r="R2519" s="14"/>
      <c r="S2519" s="14"/>
      <c r="T2519" s="14"/>
      <c r="U2519" s="14"/>
      <c r="V2519" s="14"/>
      <c r="W2519" s="14">
        <f>IFERROR(__xludf.DUMMYFUNCTION("""COMPUTED_VALUE"""),29481.0)</f>
        <v>29481</v>
      </c>
      <c r="X2519" s="14">
        <f>IFERROR(__xludf.DUMMYFUNCTION("""COMPUTED_VALUE"""),0.893)</f>
        <v>0.893</v>
      </c>
      <c r="Y2519" s="14" t="str">
        <f>IFERROR(__xludf.DUMMYFUNCTION("""COMPUTED_VALUE"""),"Turks and Caicos Islands-The Americas")</f>
        <v>Turks and Caicos Islands-The Americas</v>
      </c>
      <c r="Z2519" s="14" t="str">
        <f>IFERROR(__xludf.DUMMYFUNCTION("""COMPUTED_VALUE"""),"The Americas")</f>
        <v>The Americas</v>
      </c>
      <c r="AA2519" s="14" t="str">
        <f>IFERROR(__xludf.DUMMYFUNCTION("""COMPUTED_VALUE"""),"2008")</f>
        <v>2008</v>
      </c>
      <c r="AB2519" s="15" t="str">
        <f>IFERROR(__xludf.DUMMYFUNCTION("ARRAYFORMULA(VLOOKUP(A2519,IMPORTRANGE(""https://docs.google.com/spreadsheets/d/1BuTWp7qHGjWhqrnf-OmePP568O4A5Am9ttzvVdP67zw/edit#gid=1931367683"" ,""ENERGY!$A$2:$F$2692""), {2,3,4,5,6},0))"),"The Americas")</f>
        <v>The Americas</v>
      </c>
      <c r="AC2519" s="14" t="str">
        <f>IFERROR(__xludf.DUMMYFUNCTION("""COMPUTED_VALUE"""),"Turks and Caicos Islands-The Americas")</f>
        <v>Turks and Caicos Islands-The Americas</v>
      </c>
      <c r="AD2519" s="14" t="str">
        <f>IFERROR(__xludf.DUMMYFUNCTION("""COMPUTED_VALUE"""),"2008")</f>
        <v>2008</v>
      </c>
      <c r="AE2519" s="14"/>
      <c r="AF2519" s="14">
        <f>IFERROR(__xludf.DUMMYFUNCTION("""COMPUTED_VALUE"""),103.0)</f>
        <v>103</v>
      </c>
    </row>
    <row r="2520">
      <c r="A2520" s="12">
        <v>2519.0</v>
      </c>
      <c r="B2520" s="12" t="s">
        <v>272</v>
      </c>
      <c r="C2520" s="5" t="s">
        <v>84</v>
      </c>
      <c r="D2520" s="8"/>
      <c r="E2520" s="8"/>
      <c r="F2520" s="8"/>
      <c r="G2520" s="8"/>
      <c r="H2520" s="8"/>
      <c r="I2520" s="8"/>
      <c r="J2520" s="9" t="s">
        <v>70</v>
      </c>
      <c r="K2520" s="14" t="str">
        <f>IFERROR(__xludf.DUMMYFUNCTION("ARRAYFORMULA(VLOOKUP(A2520,IMPORTRANGE(""https://docs.google.com/spreadsheets/d/1BuTWp7qHGjWhqrnf-OmePP568O4A5Am9ttzvVdP67zw/edit#gid=1603210130"", ""TOURISM!$A$2:$F$2692""), {2,3,4,5,6},0))"),"The Americas")</f>
        <v>The Americas</v>
      </c>
      <c r="L2520" s="14"/>
      <c r="M2520" s="14" t="str">
        <f>IFERROR(__xludf.DUMMYFUNCTION("""COMPUTED_VALUE"""),"Turks and Caicos Islands-The Americas")</f>
        <v>Turks and Caicos Islands-The Americas</v>
      </c>
      <c r="N2520" s="14" t="str">
        <f>IFERROR(__xludf.DUMMYFUNCTION("""COMPUTED_VALUE"""),"2009")</f>
        <v>2009</v>
      </c>
      <c r="O2520" s="14"/>
      <c r="P2520" s="15" t="str">
        <f>IFERROR(__xludf.DUMMYFUNCTION("ARRAYFORMULA(VLOOKUP(A2520,IMPORTRANGE(""https://docs.google.com/spreadsheets/d/1BuTWp7qHGjWhqrnf-OmePP568O4A5Am9ttzvVdP67zw/edit#gid=771602874"" ,""HUMAN RESOURCES!$A$2:$M$2692""), {2,3,4,5,6,7,8,9,10,11,12,13},0))"),"")</f>
        <v/>
      </c>
      <c r="Q2520" s="14"/>
      <c r="R2520" s="14"/>
      <c r="S2520" s="14"/>
      <c r="T2520" s="14"/>
      <c r="U2520" s="14"/>
      <c r="V2520" s="14"/>
      <c r="W2520" s="14">
        <f>IFERROR(__xludf.DUMMYFUNCTION("""COMPUTED_VALUE"""),30247.0)</f>
        <v>30247</v>
      </c>
      <c r="X2520" s="14">
        <f>IFERROR(__xludf.DUMMYFUNCTION("""COMPUTED_VALUE"""),0.898)</f>
        <v>0.898</v>
      </c>
      <c r="Y2520" s="14" t="str">
        <f>IFERROR(__xludf.DUMMYFUNCTION("""COMPUTED_VALUE"""),"Turks and Caicos Islands-The Americas")</f>
        <v>Turks and Caicos Islands-The Americas</v>
      </c>
      <c r="Z2520" s="14" t="str">
        <f>IFERROR(__xludf.DUMMYFUNCTION("""COMPUTED_VALUE"""),"The Americas")</f>
        <v>The Americas</v>
      </c>
      <c r="AA2520" s="14" t="str">
        <f>IFERROR(__xludf.DUMMYFUNCTION("""COMPUTED_VALUE"""),"2009")</f>
        <v>2009</v>
      </c>
      <c r="AB2520" s="15" t="str">
        <f>IFERROR(__xludf.DUMMYFUNCTION("ARRAYFORMULA(VLOOKUP(A2520,IMPORTRANGE(""https://docs.google.com/spreadsheets/d/1BuTWp7qHGjWhqrnf-OmePP568O4A5Am9ttzvVdP67zw/edit#gid=1931367683"" ,""ENERGY!$A$2:$F$2692""), {2,3,4,5,6},0))"),"The Americas")</f>
        <v>The Americas</v>
      </c>
      <c r="AC2520" s="14" t="str">
        <f>IFERROR(__xludf.DUMMYFUNCTION("""COMPUTED_VALUE"""),"Turks and Caicos Islands-The Americas")</f>
        <v>Turks and Caicos Islands-The Americas</v>
      </c>
      <c r="AD2520" s="14" t="str">
        <f>IFERROR(__xludf.DUMMYFUNCTION("""COMPUTED_VALUE"""),"2012")</f>
        <v>2012</v>
      </c>
      <c r="AE2520" s="14"/>
      <c r="AF2520" s="14">
        <f>IFERROR(__xludf.DUMMYFUNCTION("""COMPUTED_VALUE"""),103.0)</f>
        <v>103</v>
      </c>
    </row>
    <row r="2521">
      <c r="A2521" s="12">
        <v>2520.0</v>
      </c>
      <c r="B2521" s="12" t="s">
        <v>272</v>
      </c>
      <c r="C2521" s="5" t="s">
        <v>84</v>
      </c>
      <c r="D2521" s="8"/>
      <c r="E2521" s="8"/>
      <c r="F2521" s="8"/>
      <c r="G2521" s="8"/>
      <c r="H2521" s="8"/>
      <c r="I2521" s="8"/>
      <c r="J2521" s="9" t="s">
        <v>71</v>
      </c>
      <c r="K2521" s="14" t="str">
        <f>IFERROR(__xludf.DUMMYFUNCTION("ARRAYFORMULA(VLOOKUP(A2521,IMPORTRANGE(""https://docs.google.com/spreadsheets/d/1BuTWp7qHGjWhqrnf-OmePP568O4A5Am9ttzvVdP67zw/edit#gid=1603210130"", ""TOURISM!$A$2:$F$2692""), {2,3,4,5,6},0))"),"The Americas")</f>
        <v>The Americas</v>
      </c>
      <c r="L2521" s="14"/>
      <c r="M2521" s="14" t="str">
        <f>IFERROR(__xludf.DUMMYFUNCTION("""COMPUTED_VALUE"""),"Turks and Caicos Islands-The Americas")</f>
        <v>Turks and Caicos Islands-The Americas</v>
      </c>
      <c r="N2521" s="14" t="str">
        <f>IFERROR(__xludf.DUMMYFUNCTION("""COMPUTED_VALUE"""),"2010")</f>
        <v>2010</v>
      </c>
      <c r="O2521" s="14"/>
      <c r="P2521" s="15" t="str">
        <f>IFERROR(__xludf.DUMMYFUNCTION("ARRAYFORMULA(VLOOKUP(A2521,IMPORTRANGE(""https://docs.google.com/spreadsheets/d/1BuTWp7qHGjWhqrnf-OmePP568O4A5Am9ttzvVdP67zw/edit#gid=771602874"" ,""HUMAN RESOURCES!$A$2:$M$2692""), {2,3,4,5,6,7,8,9,10,11,12,13},0))"),"")</f>
        <v/>
      </c>
      <c r="Q2521" s="14"/>
      <c r="R2521" s="14"/>
      <c r="S2521" s="14"/>
      <c r="T2521" s="14"/>
      <c r="U2521" s="14"/>
      <c r="V2521" s="14"/>
      <c r="W2521" s="14">
        <f>IFERROR(__xludf.DUMMYFUNCTION("""COMPUTED_VALUE"""),30993.0)</f>
        <v>30993</v>
      </c>
      <c r="X2521" s="14">
        <f>IFERROR(__xludf.DUMMYFUNCTION("""COMPUTED_VALUE"""),0.902)</f>
        <v>0.902</v>
      </c>
      <c r="Y2521" s="14" t="str">
        <f>IFERROR(__xludf.DUMMYFUNCTION("""COMPUTED_VALUE"""),"Turks and Caicos Islands-The Americas")</f>
        <v>Turks and Caicos Islands-The Americas</v>
      </c>
      <c r="Z2521" s="14" t="str">
        <f>IFERROR(__xludf.DUMMYFUNCTION("""COMPUTED_VALUE"""),"The Americas")</f>
        <v>The Americas</v>
      </c>
      <c r="AA2521" s="14" t="str">
        <f>IFERROR(__xludf.DUMMYFUNCTION("""COMPUTED_VALUE"""),"2010")</f>
        <v>2010</v>
      </c>
      <c r="AB2521" s="15" t="str">
        <f>IFERROR(__xludf.DUMMYFUNCTION("ARRAYFORMULA(VLOOKUP(A2521,IMPORTRANGE(""https://docs.google.com/spreadsheets/d/1BuTWp7qHGjWhqrnf-OmePP568O4A5Am9ttzvVdP67zw/edit#gid=1931367683"" ,""ENERGY!$A$2:$F$2692""), {2,3,4,5,6},0))"),"The Americas")</f>
        <v>The Americas</v>
      </c>
      <c r="AC2521" s="14" t="str">
        <f>IFERROR(__xludf.DUMMYFUNCTION("""COMPUTED_VALUE"""),"Turks and Caicos Islands-The Americas")</f>
        <v>Turks and Caicos Islands-The Americas</v>
      </c>
      <c r="AD2521" s="14" t="str">
        <f>IFERROR(__xludf.DUMMYFUNCTION("""COMPUTED_VALUE"""),"2010")</f>
        <v>2010</v>
      </c>
      <c r="AE2521" s="14"/>
      <c r="AF2521" s="14">
        <f>IFERROR(__xludf.DUMMYFUNCTION("""COMPUTED_VALUE"""),99.0)</f>
        <v>99</v>
      </c>
    </row>
    <row r="2522">
      <c r="A2522" s="12">
        <v>2521.0</v>
      </c>
      <c r="B2522" s="12" t="s">
        <v>272</v>
      </c>
      <c r="C2522" s="5" t="s">
        <v>84</v>
      </c>
      <c r="D2522" s="8"/>
      <c r="E2522" s="8"/>
      <c r="F2522" s="8"/>
      <c r="G2522" s="8"/>
      <c r="H2522" s="8"/>
      <c r="I2522" s="8"/>
      <c r="J2522" s="9" t="s">
        <v>72</v>
      </c>
      <c r="K2522" s="14" t="str">
        <f>IFERROR(__xludf.DUMMYFUNCTION("ARRAYFORMULA(VLOOKUP(A2522,IMPORTRANGE(""https://docs.google.com/spreadsheets/d/1BuTWp7qHGjWhqrnf-OmePP568O4A5Am9ttzvVdP67zw/edit#gid=1603210130"", ""TOURISM!$A$2:$F$2692""), {2,3,4,5,6},0))"),"The Americas")</f>
        <v>The Americas</v>
      </c>
      <c r="L2522" s="14"/>
      <c r="M2522" s="14" t="str">
        <f>IFERROR(__xludf.DUMMYFUNCTION("""COMPUTED_VALUE"""),"Turks and Caicos Islands-The Americas")</f>
        <v>Turks and Caicos Islands-The Americas</v>
      </c>
      <c r="N2522" s="14" t="str">
        <f>IFERROR(__xludf.DUMMYFUNCTION("""COMPUTED_VALUE"""),"2011")</f>
        <v>2011</v>
      </c>
      <c r="O2522" s="14"/>
      <c r="P2522" s="15" t="str">
        <f>IFERROR(__xludf.DUMMYFUNCTION("ARRAYFORMULA(VLOOKUP(A2522,IMPORTRANGE(""https://docs.google.com/spreadsheets/d/1BuTWp7qHGjWhqrnf-OmePP568O4A5Am9ttzvVdP67zw/edit#gid=771602874"" ,""HUMAN RESOURCES!$A$2:$M$2692""), {2,3,4,5,6,7,8,9,10,11,12,13},0))"),"")</f>
        <v/>
      </c>
      <c r="Q2522" s="14"/>
      <c r="R2522" s="14"/>
      <c r="S2522" s="14"/>
      <c r="T2522" s="14"/>
      <c r="U2522" s="14"/>
      <c r="V2522" s="14"/>
      <c r="W2522" s="14">
        <f>IFERROR(__xludf.DUMMYFUNCTION("""COMPUTED_VALUE"""),31726.0)</f>
        <v>31726</v>
      </c>
      <c r="X2522" s="14">
        <f>IFERROR(__xludf.DUMMYFUNCTION("""COMPUTED_VALUE"""),0.907)</f>
        <v>0.907</v>
      </c>
      <c r="Y2522" s="14" t="str">
        <f>IFERROR(__xludf.DUMMYFUNCTION("""COMPUTED_VALUE"""),"Turks and Caicos Islands-The Americas")</f>
        <v>Turks and Caicos Islands-The Americas</v>
      </c>
      <c r="Z2522" s="14" t="str">
        <f>IFERROR(__xludf.DUMMYFUNCTION("""COMPUTED_VALUE"""),"The Americas")</f>
        <v>The Americas</v>
      </c>
      <c r="AA2522" s="14" t="str">
        <f>IFERROR(__xludf.DUMMYFUNCTION("""COMPUTED_VALUE"""),"2011")</f>
        <v>2011</v>
      </c>
      <c r="AB2522" s="15" t="str">
        <f>IFERROR(__xludf.DUMMYFUNCTION("ARRAYFORMULA(VLOOKUP(A2522,IMPORTRANGE(""https://docs.google.com/spreadsheets/d/1BuTWp7qHGjWhqrnf-OmePP568O4A5Am9ttzvVdP67zw/edit#gid=1931367683"" ,""ENERGY!$A$2:$F$2692""), {2,3,4,5,6},0))"),"The Americas")</f>
        <v>The Americas</v>
      </c>
      <c r="AC2522" s="14" t="str">
        <f>IFERROR(__xludf.DUMMYFUNCTION("""COMPUTED_VALUE"""),"Turks and Caicos Islands-The Americas")</f>
        <v>Turks and Caicos Islands-The Americas</v>
      </c>
      <c r="AD2522" s="14" t="str">
        <f>IFERROR(__xludf.DUMMYFUNCTION("""COMPUTED_VALUE"""),"2007")</f>
        <v>2007</v>
      </c>
      <c r="AE2522" s="14"/>
      <c r="AF2522" s="14">
        <f>IFERROR(__xludf.DUMMYFUNCTION("""COMPUTED_VALUE"""),15.0)</f>
        <v>15</v>
      </c>
    </row>
    <row r="2523">
      <c r="A2523" s="12">
        <v>2522.0</v>
      </c>
      <c r="B2523" s="12" t="s">
        <v>272</v>
      </c>
      <c r="C2523" s="5" t="s">
        <v>84</v>
      </c>
      <c r="D2523" s="8"/>
      <c r="E2523" s="8"/>
      <c r="F2523" s="8"/>
      <c r="G2523" s="8"/>
      <c r="H2523" s="8"/>
      <c r="I2523" s="8"/>
      <c r="J2523" s="9" t="s">
        <v>73</v>
      </c>
      <c r="K2523" s="14" t="str">
        <f>IFERROR(__xludf.DUMMYFUNCTION("ARRAYFORMULA(VLOOKUP(A2523,IMPORTRANGE(""https://docs.google.com/spreadsheets/d/1BuTWp7qHGjWhqrnf-OmePP568O4A5Am9ttzvVdP67zw/edit#gid=1603210130"", ""TOURISM!$A$2:$F$2692""), {2,3,4,5,6},0))"),"The Americas")</f>
        <v>The Americas</v>
      </c>
      <c r="L2523" s="14"/>
      <c r="M2523" s="14" t="str">
        <f>IFERROR(__xludf.DUMMYFUNCTION("""COMPUTED_VALUE"""),"Turks and Caicos Islands-The Americas")</f>
        <v>Turks and Caicos Islands-The Americas</v>
      </c>
      <c r="N2523" s="14" t="str">
        <f>IFERROR(__xludf.DUMMYFUNCTION("""COMPUTED_VALUE"""),"2012")</f>
        <v>2012</v>
      </c>
      <c r="O2523" s="14"/>
      <c r="P2523" s="15" t="str">
        <f>IFERROR(__xludf.DUMMYFUNCTION("ARRAYFORMULA(VLOOKUP(A2523,IMPORTRANGE(""https://docs.google.com/spreadsheets/d/1BuTWp7qHGjWhqrnf-OmePP568O4A5Am9ttzvVdP67zw/edit#gid=771602874"" ,""HUMAN RESOURCES!$A$2:$M$2692""), {2,3,4,5,6,7,8,9,10,11,12,13},0))"),"")</f>
        <v/>
      </c>
      <c r="Q2523" s="14"/>
      <c r="R2523" s="14"/>
      <c r="S2523" s="14"/>
      <c r="T2523" s="14"/>
      <c r="U2523" s="14"/>
      <c r="V2523" s="14"/>
      <c r="W2523" s="14">
        <f>IFERROR(__xludf.DUMMYFUNCTION("""COMPUTED_VALUE"""),32427.0)</f>
        <v>32427</v>
      </c>
      <c r="X2523" s="14">
        <f>IFERROR(__xludf.DUMMYFUNCTION("""COMPUTED_VALUE"""),0.911)</f>
        <v>0.911</v>
      </c>
      <c r="Y2523" s="14" t="str">
        <f>IFERROR(__xludf.DUMMYFUNCTION("""COMPUTED_VALUE"""),"Turks and Caicos Islands-The Americas")</f>
        <v>Turks and Caicos Islands-The Americas</v>
      </c>
      <c r="Z2523" s="14" t="str">
        <f>IFERROR(__xludf.DUMMYFUNCTION("""COMPUTED_VALUE"""),"The Americas")</f>
        <v>The Americas</v>
      </c>
      <c r="AA2523" s="14" t="str">
        <f>IFERROR(__xludf.DUMMYFUNCTION("""COMPUTED_VALUE"""),"2012")</f>
        <v>2012</v>
      </c>
      <c r="AB2523" s="15" t="str">
        <f>IFERROR(__xludf.DUMMYFUNCTION("ARRAYFORMULA(VLOOKUP(A2523,IMPORTRANGE(""https://docs.google.com/spreadsheets/d/1BuTWp7qHGjWhqrnf-OmePP568O4A5Am9ttzvVdP67zw/edit#gid=1931367683"" ,""ENERGY!$A$2:$F$2692""), {2,3,4,5,6},0))"),"The Americas")</f>
        <v>The Americas</v>
      </c>
      <c r="AC2523" s="14" t="str">
        <f>IFERROR(__xludf.DUMMYFUNCTION("""COMPUTED_VALUE"""),"Turks and Caicos Islands-The Americas")</f>
        <v>Turks and Caicos Islands-The Americas</v>
      </c>
      <c r="AD2523" s="14" t="str">
        <f>IFERROR(__xludf.DUMMYFUNCTION("""COMPUTED_VALUE"""),"2012")</f>
        <v>2012</v>
      </c>
      <c r="AE2523" s="14"/>
      <c r="AF2523" s="14">
        <f>IFERROR(__xludf.DUMMYFUNCTION("""COMPUTED_VALUE"""),15.0)</f>
        <v>15</v>
      </c>
    </row>
    <row r="2524">
      <c r="A2524" s="12">
        <v>2523.0</v>
      </c>
      <c r="B2524" s="12" t="s">
        <v>273</v>
      </c>
      <c r="C2524" s="5" t="s">
        <v>77</v>
      </c>
      <c r="D2524" s="8"/>
      <c r="E2524" s="8"/>
      <c r="F2524" s="8"/>
      <c r="G2524" s="8"/>
      <c r="H2524" s="11">
        <v>0.002</v>
      </c>
      <c r="I2524" s="11">
        <v>0.005</v>
      </c>
      <c r="J2524" s="9" t="s">
        <v>60</v>
      </c>
      <c r="K2524" s="14" t="str">
        <f>IFERROR(__xludf.DUMMYFUNCTION("ARRAYFORMULA(VLOOKUP(A2524,IMPORTRANGE(""https://docs.google.com/spreadsheets/d/1BuTWp7qHGjWhqrnf-OmePP568O4A5Am9ttzvVdP67zw/edit#gid=1603210130"", ""TOURISM!$A$2:$F$2692""), {2,3,4,5,6},0))"),"Africa")</f>
        <v>Africa</v>
      </c>
      <c r="L2524" s="14">
        <f>IFERROR(__xludf.DUMMYFUNCTION("""COMPUTED_VALUE"""),1.65E8)</f>
        <v>165000000</v>
      </c>
      <c r="M2524" s="14" t="str">
        <f>IFERROR(__xludf.DUMMYFUNCTION("""COMPUTED_VALUE"""),"Uganda-Africa")</f>
        <v>Uganda-Africa</v>
      </c>
      <c r="N2524" s="14" t="str">
        <f>IFERROR(__xludf.DUMMYFUNCTION("""COMPUTED_VALUE"""),"2000")</f>
        <v>2000</v>
      </c>
      <c r="O2524" s="14"/>
      <c r="P2524" s="15">
        <f>IFERROR(__xludf.DUMMYFUNCTION("ARRAYFORMULA(VLOOKUP(A2524,IMPORTRANGE(""https://docs.google.com/spreadsheets/d/1BuTWp7qHGjWhqrnf-OmePP568O4A5Am9ttzvVdP67zw/edit#gid=771602874"" ,""HUMAN RESOURCES!$A$2:$M$2692""), {2,3,4,5,6,7,8,9,10,11,12,13},0))"),0.048)</f>
        <v>0.048</v>
      </c>
      <c r="Q2524" s="14">
        <f>IFERROR(__xludf.DUMMYFUNCTION("""COMPUTED_VALUE"""),0.089)</f>
        <v>0.089</v>
      </c>
      <c r="R2524" s="14">
        <f>IFERROR(__xludf.DUMMYFUNCTION("""COMPUTED_VALUE"""),48.0)</f>
        <v>48</v>
      </c>
      <c r="S2524" s="14">
        <f>IFERROR(__xludf.DUMMYFUNCTION("""COMPUTED_VALUE"""),48.0)</f>
        <v>48</v>
      </c>
      <c r="T2524" s="14">
        <f>IFERROR(__xludf.DUMMYFUNCTION("""COMPUTED_VALUE"""),0.493)</f>
        <v>0.493</v>
      </c>
      <c r="U2524" s="14">
        <f>IFERROR(__xludf.DUMMYFUNCTION("""COMPUTED_VALUE"""),0.481)</f>
        <v>0.481</v>
      </c>
      <c r="V2524" s="14">
        <f>IFERROR(__xludf.DUMMYFUNCTION("""COMPUTED_VALUE"""),0.027)</f>
        <v>0.027</v>
      </c>
      <c r="W2524" s="14">
        <f>IFERROR(__xludf.DUMMYFUNCTION("""COMPUTED_VALUE"""),2.4275641E7)</f>
        <v>24275641</v>
      </c>
      <c r="X2524" s="14">
        <f>IFERROR(__xludf.DUMMYFUNCTION("""COMPUTED_VALUE"""),0.121)</f>
        <v>0.121</v>
      </c>
      <c r="Y2524" s="14" t="str">
        <f>IFERROR(__xludf.DUMMYFUNCTION("""COMPUTED_VALUE"""),"Uganda-Africa")</f>
        <v>Uganda-Africa</v>
      </c>
      <c r="Z2524" s="14" t="str">
        <f>IFERROR(__xludf.DUMMYFUNCTION("""COMPUTED_VALUE"""),"Africa")</f>
        <v>Africa</v>
      </c>
      <c r="AA2524" s="14" t="str">
        <f>IFERROR(__xludf.DUMMYFUNCTION("""COMPUTED_VALUE"""),"2000")</f>
        <v>2000</v>
      </c>
      <c r="AB2524" s="15" t="str">
        <f>IFERROR(__xludf.DUMMYFUNCTION("ARRAYFORMULA(VLOOKUP(A2524,IMPORTRANGE(""https://docs.google.com/spreadsheets/d/1BuTWp7qHGjWhqrnf-OmePP568O4A5Am9ttzvVdP67zw/edit#gid=1931367683"" ,""ENERGY!$A$2:$F$2692""), {2,3,4,5,6},0))"),"Africa")</f>
        <v>Africa</v>
      </c>
      <c r="AC2524" s="14" t="str">
        <f>IFERROR(__xludf.DUMMYFUNCTION("""COMPUTED_VALUE"""),"Uganda-Africa")</f>
        <v>Uganda-Africa</v>
      </c>
      <c r="AD2524" s="14" t="str">
        <f>IFERROR(__xludf.DUMMYFUNCTION("""COMPUTED_VALUE"""),"2000")</f>
        <v>2000</v>
      </c>
      <c r="AE2524" s="14"/>
      <c r="AF2524" s="14"/>
    </row>
    <row r="2525">
      <c r="A2525" s="12">
        <v>2524.0</v>
      </c>
      <c r="B2525" s="12" t="s">
        <v>273</v>
      </c>
      <c r="C2525" s="5" t="s">
        <v>77</v>
      </c>
      <c r="D2525" s="8"/>
      <c r="E2525" s="8"/>
      <c r="F2525" s="8"/>
      <c r="G2525" s="8"/>
      <c r="H2525" s="11">
        <v>0.002</v>
      </c>
      <c r="I2525" s="11">
        <v>0.011</v>
      </c>
      <c r="J2525" s="9" t="s">
        <v>62</v>
      </c>
      <c r="K2525" s="14" t="str">
        <f>IFERROR(__xludf.DUMMYFUNCTION("ARRAYFORMULA(VLOOKUP(A2525,IMPORTRANGE(""https://docs.google.com/spreadsheets/d/1BuTWp7qHGjWhqrnf-OmePP568O4A5Am9ttzvVdP67zw/edit#gid=1603210130"", ""TOURISM!$A$2:$F$2692""), {2,3,4,5,6},0))"),"Africa")</f>
        <v>Africa</v>
      </c>
      <c r="L2525" s="14">
        <f>IFERROR(__xludf.DUMMYFUNCTION("""COMPUTED_VALUE"""),1.87E8)</f>
        <v>187000000</v>
      </c>
      <c r="M2525" s="14" t="str">
        <f>IFERROR(__xludf.DUMMYFUNCTION("""COMPUTED_VALUE"""),"Uganda-Africa")</f>
        <v>Uganda-Africa</v>
      </c>
      <c r="N2525" s="14" t="str">
        <f>IFERROR(__xludf.DUMMYFUNCTION("""COMPUTED_VALUE"""),"2001")</f>
        <v>2001</v>
      </c>
      <c r="O2525" s="14"/>
      <c r="P2525" s="15">
        <f>IFERROR(__xludf.DUMMYFUNCTION("ARRAYFORMULA(VLOOKUP(A2525,IMPORTRANGE(""https://docs.google.com/spreadsheets/d/1BuTWp7qHGjWhqrnf-OmePP568O4A5Am9ttzvVdP67zw/edit#gid=771602874"" ,""HUMAN RESOURCES!$A$2:$M$2692""), {2,3,4,5,6,7,8,9,10,11,12,13},0))"),0.048)</f>
        <v>0.048</v>
      </c>
      <c r="Q2525" s="14">
        <f>IFERROR(__xludf.DUMMYFUNCTION("""COMPUTED_VALUE"""),0.085)</f>
        <v>0.085</v>
      </c>
      <c r="R2525" s="14">
        <f>IFERROR(__xludf.DUMMYFUNCTION("""COMPUTED_VALUE"""),49.0)</f>
        <v>49</v>
      </c>
      <c r="S2525" s="14">
        <f>IFERROR(__xludf.DUMMYFUNCTION("""COMPUTED_VALUE"""),49.0)</f>
        <v>49</v>
      </c>
      <c r="T2525" s="14">
        <f>IFERROR(__xludf.DUMMYFUNCTION("""COMPUTED_VALUE"""),0.493)</f>
        <v>0.493</v>
      </c>
      <c r="U2525" s="14">
        <f>IFERROR(__xludf.DUMMYFUNCTION("""COMPUTED_VALUE"""),0.48)</f>
        <v>0.48</v>
      </c>
      <c r="V2525" s="14">
        <f>IFERROR(__xludf.DUMMYFUNCTION("""COMPUTED_VALUE"""),0.027)</f>
        <v>0.027</v>
      </c>
      <c r="W2525" s="14">
        <f>IFERROR(__xludf.DUMMYFUNCTION("""COMPUTED_VALUE"""),2.5088033E7)</f>
        <v>25088033</v>
      </c>
      <c r="X2525" s="14">
        <f>IFERROR(__xludf.DUMMYFUNCTION("""COMPUTED_VALUE"""),0.122)</f>
        <v>0.122</v>
      </c>
      <c r="Y2525" s="14" t="str">
        <f>IFERROR(__xludf.DUMMYFUNCTION("""COMPUTED_VALUE"""),"Uganda-Africa")</f>
        <v>Uganda-Africa</v>
      </c>
      <c r="Z2525" s="14" t="str">
        <f>IFERROR(__xludf.DUMMYFUNCTION("""COMPUTED_VALUE"""),"Africa")</f>
        <v>Africa</v>
      </c>
      <c r="AA2525" s="14" t="str">
        <f>IFERROR(__xludf.DUMMYFUNCTION("""COMPUTED_VALUE"""),"2001")</f>
        <v>2001</v>
      </c>
      <c r="AB2525" s="15" t="str">
        <f>IFERROR(__xludf.DUMMYFUNCTION("ARRAYFORMULA(VLOOKUP(A2525,IMPORTRANGE(""https://docs.google.com/spreadsheets/d/1BuTWp7qHGjWhqrnf-OmePP568O4A5Am9ttzvVdP67zw/edit#gid=1931367683"" ,""ENERGY!$A$2:$F$2692""), {2,3,4,5,6},0))"),"Africa")</f>
        <v>Africa</v>
      </c>
      <c r="AC2525" s="14" t="str">
        <f>IFERROR(__xludf.DUMMYFUNCTION("""COMPUTED_VALUE"""),"Uganda-Africa")</f>
        <v>Uganda-Africa</v>
      </c>
      <c r="AD2525" s="14" t="str">
        <f>IFERROR(__xludf.DUMMYFUNCTION("""COMPUTED_VALUE"""),"2001")</f>
        <v>2001</v>
      </c>
      <c r="AE2525" s="14"/>
      <c r="AF2525" s="14"/>
    </row>
    <row r="2526">
      <c r="A2526" s="12">
        <v>2525.0</v>
      </c>
      <c r="B2526" s="12" t="s">
        <v>273</v>
      </c>
      <c r="C2526" s="5" t="s">
        <v>77</v>
      </c>
      <c r="D2526" s="8"/>
      <c r="E2526" s="8"/>
      <c r="F2526" s="8"/>
      <c r="G2526" s="8"/>
      <c r="H2526" s="11">
        <v>0.004</v>
      </c>
      <c r="I2526" s="11">
        <v>0.015</v>
      </c>
      <c r="J2526" s="9" t="s">
        <v>63</v>
      </c>
      <c r="K2526" s="14" t="str">
        <f>IFERROR(__xludf.DUMMYFUNCTION("ARRAYFORMULA(VLOOKUP(A2526,IMPORTRANGE(""https://docs.google.com/spreadsheets/d/1BuTWp7qHGjWhqrnf-OmePP568O4A5Am9ttzvVdP67zw/edit#gid=1603210130"", ""TOURISM!$A$2:$F$2692""), {2,3,4,5,6},0))"),"Africa")</f>
        <v>Africa</v>
      </c>
      <c r="L2526" s="14">
        <f>IFERROR(__xludf.DUMMYFUNCTION("""COMPUTED_VALUE"""),1.94E8)</f>
        <v>194000000</v>
      </c>
      <c r="M2526" s="14" t="str">
        <f>IFERROR(__xludf.DUMMYFUNCTION("""COMPUTED_VALUE"""),"Uganda-Africa")</f>
        <v>Uganda-Africa</v>
      </c>
      <c r="N2526" s="14" t="str">
        <f>IFERROR(__xludf.DUMMYFUNCTION("""COMPUTED_VALUE"""),"2002")</f>
        <v>2002</v>
      </c>
      <c r="O2526" s="14"/>
      <c r="P2526" s="15">
        <f>IFERROR(__xludf.DUMMYFUNCTION("ARRAYFORMULA(VLOOKUP(A2526,IMPORTRANGE(""https://docs.google.com/spreadsheets/d/1BuTWp7qHGjWhqrnf-OmePP568O4A5Am9ttzvVdP67zw/edit#gid=771602874"" ,""HUMAN RESOURCES!$A$2:$M$2692""), {2,3,4,5,6,7,8,9,10,11,12,13},0))"),0.048)</f>
        <v>0.048</v>
      </c>
      <c r="Q2526" s="14">
        <f>IFERROR(__xludf.DUMMYFUNCTION("""COMPUTED_VALUE"""),0.081)</f>
        <v>0.081</v>
      </c>
      <c r="R2526" s="14">
        <f>IFERROR(__xludf.DUMMYFUNCTION("""COMPUTED_VALUE"""),50.0)</f>
        <v>50</v>
      </c>
      <c r="S2526" s="14">
        <f>IFERROR(__xludf.DUMMYFUNCTION("""COMPUTED_VALUE"""),50.0)</f>
        <v>50</v>
      </c>
      <c r="T2526" s="14">
        <f>IFERROR(__xludf.DUMMYFUNCTION("""COMPUTED_VALUE"""),0.494)</f>
        <v>0.494</v>
      </c>
      <c r="U2526" s="14">
        <f>IFERROR(__xludf.DUMMYFUNCTION("""COMPUTED_VALUE"""),0.48)</f>
        <v>0.48</v>
      </c>
      <c r="V2526" s="14">
        <f>IFERROR(__xludf.DUMMYFUNCTION("""COMPUTED_VALUE"""),0.026)</f>
        <v>0.026</v>
      </c>
      <c r="W2526" s="14">
        <f>IFERROR(__xludf.DUMMYFUNCTION("""COMPUTED_VALUE"""),2.5943441E7)</f>
        <v>25943441</v>
      </c>
      <c r="X2526" s="14">
        <f>IFERROR(__xludf.DUMMYFUNCTION("""COMPUTED_VALUE"""),0.123)</f>
        <v>0.123</v>
      </c>
      <c r="Y2526" s="14" t="str">
        <f>IFERROR(__xludf.DUMMYFUNCTION("""COMPUTED_VALUE"""),"Uganda-Africa")</f>
        <v>Uganda-Africa</v>
      </c>
      <c r="Z2526" s="14" t="str">
        <f>IFERROR(__xludf.DUMMYFUNCTION("""COMPUTED_VALUE"""),"Africa")</f>
        <v>Africa</v>
      </c>
      <c r="AA2526" s="14" t="str">
        <f>IFERROR(__xludf.DUMMYFUNCTION("""COMPUTED_VALUE"""),"2002")</f>
        <v>2002</v>
      </c>
      <c r="AB2526" s="15" t="str">
        <f>IFERROR(__xludf.DUMMYFUNCTION("ARRAYFORMULA(VLOOKUP(A2526,IMPORTRANGE(""https://docs.google.com/spreadsheets/d/1BuTWp7qHGjWhqrnf-OmePP568O4A5Am9ttzvVdP67zw/edit#gid=1931367683"" ,""ENERGY!$A$2:$F$2692""), {2,3,4,5,6},0))"),"Africa")</f>
        <v>Africa</v>
      </c>
      <c r="AC2526" s="14" t="str">
        <f>IFERROR(__xludf.DUMMYFUNCTION("""COMPUTED_VALUE"""),"Uganda-Africa")</f>
        <v>Uganda-Africa</v>
      </c>
      <c r="AD2526" s="14" t="str">
        <f>IFERROR(__xludf.DUMMYFUNCTION("""COMPUTED_VALUE"""),"2002")</f>
        <v>2002</v>
      </c>
      <c r="AE2526" s="14"/>
      <c r="AF2526" s="14">
        <f>IFERROR(__xludf.DUMMYFUNCTION("""COMPUTED_VALUE"""),3784.0)</f>
        <v>3784</v>
      </c>
    </row>
    <row r="2527">
      <c r="A2527" s="12">
        <v>2526.0</v>
      </c>
      <c r="B2527" s="12" t="s">
        <v>273</v>
      </c>
      <c r="C2527" s="5" t="s">
        <v>77</v>
      </c>
      <c r="D2527" s="8"/>
      <c r="E2527" s="11">
        <v>34.0</v>
      </c>
      <c r="F2527" s="8"/>
      <c r="G2527" s="8"/>
      <c r="H2527" s="11">
        <v>0.005</v>
      </c>
      <c r="I2527" s="11">
        <v>0.029</v>
      </c>
      <c r="J2527" s="9" t="s">
        <v>64</v>
      </c>
      <c r="K2527" s="14" t="str">
        <f>IFERROR(__xludf.DUMMYFUNCTION("ARRAYFORMULA(VLOOKUP(A2527,IMPORTRANGE(""https://docs.google.com/spreadsheets/d/1BuTWp7qHGjWhqrnf-OmePP568O4A5Am9ttzvVdP67zw/edit#gid=1603210130"", ""TOURISM!$A$2:$F$2692""), {2,3,4,5,6},0))"),"Africa")</f>
        <v>Africa</v>
      </c>
      <c r="L2527" s="14">
        <f>IFERROR(__xludf.DUMMYFUNCTION("""COMPUTED_VALUE"""),1.85E8)</f>
        <v>185000000</v>
      </c>
      <c r="M2527" s="14" t="str">
        <f>IFERROR(__xludf.DUMMYFUNCTION("""COMPUTED_VALUE"""),"Uganda-Africa")</f>
        <v>Uganda-Africa</v>
      </c>
      <c r="N2527" s="14" t="str">
        <f>IFERROR(__xludf.DUMMYFUNCTION("""COMPUTED_VALUE"""),"2003")</f>
        <v>2003</v>
      </c>
      <c r="O2527" s="14"/>
      <c r="P2527" s="15">
        <f>IFERROR(__xludf.DUMMYFUNCTION("ARRAYFORMULA(VLOOKUP(A2527,IMPORTRANGE(""https://docs.google.com/spreadsheets/d/1BuTWp7qHGjWhqrnf-OmePP568O4A5Am9ttzvVdP67zw/edit#gid=771602874"" ,""HUMAN RESOURCES!$A$2:$M$2692""), {2,3,4,5,6,7,8,9,10,11,12,13},0))"),0.047)</f>
        <v>0.047</v>
      </c>
      <c r="Q2527" s="14">
        <f>IFERROR(__xludf.DUMMYFUNCTION("""COMPUTED_VALUE"""),0.077)</f>
        <v>0.077</v>
      </c>
      <c r="R2527" s="14">
        <f>IFERROR(__xludf.DUMMYFUNCTION("""COMPUTED_VALUE"""),51.0)</f>
        <v>51</v>
      </c>
      <c r="S2527" s="14">
        <f>IFERROR(__xludf.DUMMYFUNCTION("""COMPUTED_VALUE"""),51.0)</f>
        <v>51</v>
      </c>
      <c r="T2527" s="14">
        <f>IFERROR(__xludf.DUMMYFUNCTION("""COMPUTED_VALUE"""),0.494)</f>
        <v>0.494</v>
      </c>
      <c r="U2527" s="14">
        <f>IFERROR(__xludf.DUMMYFUNCTION("""COMPUTED_VALUE"""),0.481)</f>
        <v>0.481</v>
      </c>
      <c r="V2527" s="14">
        <f>IFERROR(__xludf.DUMMYFUNCTION("""COMPUTED_VALUE"""),0.026)</f>
        <v>0.026</v>
      </c>
      <c r="W2527" s="14">
        <f>IFERROR(__xludf.DUMMYFUNCTION("""COMPUTED_VALUE"""),2.6838428E7)</f>
        <v>26838428</v>
      </c>
      <c r="X2527" s="14">
        <f>IFERROR(__xludf.DUMMYFUNCTION("""COMPUTED_VALUE"""),0.125)</f>
        <v>0.125</v>
      </c>
      <c r="Y2527" s="14" t="str">
        <f>IFERROR(__xludf.DUMMYFUNCTION("""COMPUTED_VALUE"""),"Uganda-Africa")</f>
        <v>Uganda-Africa</v>
      </c>
      <c r="Z2527" s="14" t="str">
        <f>IFERROR(__xludf.DUMMYFUNCTION("""COMPUTED_VALUE"""),"Africa")</f>
        <v>Africa</v>
      </c>
      <c r="AA2527" s="14" t="str">
        <f>IFERROR(__xludf.DUMMYFUNCTION("""COMPUTED_VALUE"""),"2003")</f>
        <v>2003</v>
      </c>
      <c r="AB2527" s="15" t="str">
        <f>IFERROR(__xludf.DUMMYFUNCTION("ARRAYFORMULA(VLOOKUP(A2527,IMPORTRANGE(""https://docs.google.com/spreadsheets/d/1BuTWp7qHGjWhqrnf-OmePP568O4A5Am9ttzvVdP67zw/edit#gid=1931367683"" ,""ENERGY!$A$2:$F$2692""), {2,3,4,5,6},0))"),"Africa")</f>
        <v>Africa</v>
      </c>
      <c r="AC2527" s="14" t="str">
        <f>IFERROR(__xludf.DUMMYFUNCTION("""COMPUTED_VALUE"""),"Uganda-Africa")</f>
        <v>Uganda-Africa</v>
      </c>
      <c r="AD2527" s="14" t="str">
        <f>IFERROR(__xludf.DUMMYFUNCTION("""COMPUTED_VALUE"""),"2003")</f>
        <v>2003</v>
      </c>
      <c r="AE2527" s="14"/>
      <c r="AF2527" s="14">
        <f>IFERROR(__xludf.DUMMYFUNCTION("""COMPUTED_VALUE"""),3366.0)</f>
        <v>3366</v>
      </c>
    </row>
    <row r="2528">
      <c r="A2528" s="12">
        <v>2527.0</v>
      </c>
      <c r="B2528" s="12" t="s">
        <v>273</v>
      </c>
      <c r="C2528" s="5" t="s">
        <v>77</v>
      </c>
      <c r="D2528" s="8"/>
      <c r="E2528" s="11">
        <v>34.0</v>
      </c>
      <c r="F2528" s="8"/>
      <c r="G2528" s="8"/>
      <c r="H2528" s="11">
        <v>0.007</v>
      </c>
      <c r="I2528" s="11">
        <v>0.042</v>
      </c>
      <c r="J2528" s="9" t="s">
        <v>65</v>
      </c>
      <c r="K2528" s="14" t="str">
        <f>IFERROR(__xludf.DUMMYFUNCTION("ARRAYFORMULA(VLOOKUP(A2528,IMPORTRANGE(""https://docs.google.com/spreadsheets/d/1BuTWp7qHGjWhqrnf-OmePP568O4A5Am9ttzvVdP67zw/edit#gid=1603210130"", ""TOURISM!$A$2:$F$2692""), {2,3,4,5,6},0))"),"Africa")</f>
        <v>Africa</v>
      </c>
      <c r="L2528" s="14">
        <f>IFERROR(__xludf.DUMMYFUNCTION("""COMPUTED_VALUE"""),2.68E8)</f>
        <v>268000000</v>
      </c>
      <c r="M2528" s="14" t="str">
        <f>IFERROR(__xludf.DUMMYFUNCTION("""COMPUTED_VALUE"""),"Uganda-Africa")</f>
        <v>Uganda-Africa</v>
      </c>
      <c r="N2528" s="14" t="str">
        <f>IFERROR(__xludf.DUMMYFUNCTION("""COMPUTED_VALUE"""),"2004")</f>
        <v>2004</v>
      </c>
      <c r="O2528" s="14">
        <f>IFERROR(__xludf.DUMMYFUNCTION("""COMPUTED_VALUE"""),1.58E8)</f>
        <v>158000000</v>
      </c>
      <c r="P2528" s="15">
        <f>IFERROR(__xludf.DUMMYFUNCTION("ARRAYFORMULA(VLOOKUP(A2528,IMPORTRANGE(""https://docs.google.com/spreadsheets/d/1BuTWp7qHGjWhqrnf-OmePP568O4A5Am9ttzvVdP67zw/edit#gid=771602874"" ,""HUMAN RESOURCES!$A$2:$M$2692""), {2,3,4,5,6,7,8,9,10,11,12,13},0))"),0.047)</f>
        <v>0.047</v>
      </c>
      <c r="Q2528" s="14">
        <f>IFERROR(__xludf.DUMMYFUNCTION("""COMPUTED_VALUE"""),0.073)</f>
        <v>0.073</v>
      </c>
      <c r="R2528" s="14">
        <f>IFERROR(__xludf.DUMMYFUNCTION("""COMPUTED_VALUE"""),52.0)</f>
        <v>52</v>
      </c>
      <c r="S2528" s="14">
        <f>IFERROR(__xludf.DUMMYFUNCTION("""COMPUTED_VALUE"""),52.0)</f>
        <v>52</v>
      </c>
      <c r="T2528" s="14">
        <f>IFERROR(__xludf.DUMMYFUNCTION("""COMPUTED_VALUE"""),0.494)</f>
        <v>0.494</v>
      </c>
      <c r="U2528" s="14">
        <f>IFERROR(__xludf.DUMMYFUNCTION("""COMPUTED_VALUE"""),0.481)</f>
        <v>0.481</v>
      </c>
      <c r="V2528" s="14">
        <f>IFERROR(__xludf.DUMMYFUNCTION("""COMPUTED_VALUE"""),0.025)</f>
        <v>0.025</v>
      </c>
      <c r="W2528" s="14">
        <f>IFERROR(__xludf.DUMMYFUNCTION("""COMPUTED_VALUE"""),2.7766986E7)</f>
        <v>27766986</v>
      </c>
      <c r="X2528" s="14">
        <f>IFERROR(__xludf.DUMMYFUNCTION("""COMPUTED_VALUE"""),0.128)</f>
        <v>0.128</v>
      </c>
      <c r="Y2528" s="14" t="str">
        <f>IFERROR(__xludf.DUMMYFUNCTION("""COMPUTED_VALUE"""),"Uganda-Africa")</f>
        <v>Uganda-Africa</v>
      </c>
      <c r="Z2528" s="14" t="str">
        <f>IFERROR(__xludf.DUMMYFUNCTION("""COMPUTED_VALUE"""),"Africa")</f>
        <v>Africa</v>
      </c>
      <c r="AA2528" s="14" t="str">
        <f>IFERROR(__xludf.DUMMYFUNCTION("""COMPUTED_VALUE"""),"2004")</f>
        <v>2004</v>
      </c>
      <c r="AB2528" s="15" t="str">
        <f>IFERROR(__xludf.DUMMYFUNCTION("ARRAYFORMULA(VLOOKUP(A2528,IMPORTRANGE(""https://docs.google.com/spreadsheets/d/1BuTWp7qHGjWhqrnf-OmePP568O4A5Am9ttzvVdP67zw/edit#gid=1931367683"" ,""ENERGY!$A$2:$F$2692""), {2,3,4,5,6},0))"),"Africa")</f>
        <v>Africa</v>
      </c>
      <c r="AC2528" s="14" t="str">
        <f>IFERROR(__xludf.DUMMYFUNCTION("""COMPUTED_VALUE"""),"Uganda-Africa")</f>
        <v>Uganda-Africa</v>
      </c>
      <c r="AD2528" s="14" t="str">
        <f>IFERROR(__xludf.DUMMYFUNCTION("""COMPUTED_VALUE"""),"2005")</f>
        <v>2005</v>
      </c>
      <c r="AE2528" s="14"/>
      <c r="AF2528" s="14">
        <f>IFERROR(__xludf.DUMMYFUNCTION("""COMPUTED_VALUE"""),3161.0)</f>
        <v>3161</v>
      </c>
    </row>
    <row r="2529">
      <c r="A2529" s="12">
        <v>2528.0</v>
      </c>
      <c r="B2529" s="12" t="s">
        <v>273</v>
      </c>
      <c r="C2529" s="5" t="s">
        <v>77</v>
      </c>
      <c r="D2529" s="11">
        <v>0.369</v>
      </c>
      <c r="E2529" s="11">
        <v>34.0</v>
      </c>
      <c r="F2529" s="8"/>
      <c r="G2529" s="11">
        <v>237.0</v>
      </c>
      <c r="H2529" s="11">
        <v>0.017</v>
      </c>
      <c r="I2529" s="11">
        <v>0.046</v>
      </c>
      <c r="J2529" s="9" t="s">
        <v>66</v>
      </c>
      <c r="K2529" s="14" t="str">
        <f>IFERROR(__xludf.DUMMYFUNCTION("ARRAYFORMULA(VLOOKUP(A2529,IMPORTRANGE(""https://docs.google.com/spreadsheets/d/1BuTWp7qHGjWhqrnf-OmePP568O4A5Am9ttzvVdP67zw/edit#gid=1603210130"", ""TOURISM!$A$2:$F$2692""), {2,3,4,5,6},0))"),"Africa")</f>
        <v>Africa</v>
      </c>
      <c r="L2529" s="14">
        <f>IFERROR(__xludf.DUMMYFUNCTION("""COMPUTED_VALUE"""),3.82E8)</f>
        <v>382000000</v>
      </c>
      <c r="M2529" s="14" t="str">
        <f>IFERROR(__xludf.DUMMYFUNCTION("""COMPUTED_VALUE"""),"Uganda-Africa")</f>
        <v>Uganda-Africa</v>
      </c>
      <c r="N2529" s="14" t="str">
        <f>IFERROR(__xludf.DUMMYFUNCTION("""COMPUTED_VALUE"""),"2005")</f>
        <v>2005</v>
      </c>
      <c r="O2529" s="14">
        <f>IFERROR(__xludf.DUMMYFUNCTION("""COMPUTED_VALUE"""),1.85E8)</f>
        <v>185000000</v>
      </c>
      <c r="P2529" s="15">
        <f>IFERROR(__xludf.DUMMYFUNCTION("ARRAYFORMULA(VLOOKUP(A2529,IMPORTRANGE(""https://docs.google.com/spreadsheets/d/1BuTWp7qHGjWhqrnf-OmePP568O4A5Am9ttzvVdP67zw/edit#gid=771602874"" ,""HUMAN RESOURCES!$A$2:$M$2692""), {2,3,4,5,6,7,8,9,10,11,12,13},0))"),0.047)</f>
        <v>0.047</v>
      </c>
      <c r="Q2529" s="14">
        <f>IFERROR(__xludf.DUMMYFUNCTION("""COMPUTED_VALUE"""),0.068)</f>
        <v>0.068</v>
      </c>
      <c r="R2529" s="14">
        <f>IFERROR(__xludf.DUMMYFUNCTION("""COMPUTED_VALUE"""),53.0)</f>
        <v>53</v>
      </c>
      <c r="S2529" s="14">
        <f>IFERROR(__xludf.DUMMYFUNCTION("""COMPUTED_VALUE"""),52.0)</f>
        <v>52</v>
      </c>
      <c r="T2529" s="14">
        <f>IFERROR(__xludf.DUMMYFUNCTION("""COMPUTED_VALUE"""),0.494)</f>
        <v>0.494</v>
      </c>
      <c r="U2529" s="14">
        <f>IFERROR(__xludf.DUMMYFUNCTION("""COMPUTED_VALUE"""),0.481)</f>
        <v>0.481</v>
      </c>
      <c r="V2529" s="14">
        <f>IFERROR(__xludf.DUMMYFUNCTION("""COMPUTED_VALUE"""),0.025)</f>
        <v>0.025</v>
      </c>
      <c r="W2529" s="14">
        <f>IFERROR(__xludf.DUMMYFUNCTION("""COMPUTED_VALUE"""),2.8724869E7)</f>
        <v>28724869</v>
      </c>
      <c r="X2529" s="14">
        <f>IFERROR(__xludf.DUMMYFUNCTION("""COMPUTED_VALUE"""),0.13)</f>
        <v>0.13</v>
      </c>
      <c r="Y2529" s="14" t="str">
        <f>IFERROR(__xludf.DUMMYFUNCTION("""COMPUTED_VALUE"""),"Uganda-Africa")</f>
        <v>Uganda-Africa</v>
      </c>
      <c r="Z2529" s="14" t="str">
        <f>IFERROR(__xludf.DUMMYFUNCTION("""COMPUTED_VALUE"""),"Africa")</f>
        <v>Africa</v>
      </c>
      <c r="AA2529" s="14" t="str">
        <f>IFERROR(__xludf.DUMMYFUNCTION("""COMPUTED_VALUE"""),"2005")</f>
        <v>2005</v>
      </c>
      <c r="AB2529" s="15" t="str">
        <f>IFERROR(__xludf.DUMMYFUNCTION("ARRAYFORMULA(VLOOKUP(A2529,IMPORTRANGE(""https://docs.google.com/spreadsheets/d/1BuTWp7qHGjWhqrnf-OmePP568O4A5Am9ttzvVdP67zw/edit#gid=1931367683"" ,""ENERGY!$A$2:$F$2692""), {2,3,4,5,6},0))"),"Africa")</f>
        <v>Africa</v>
      </c>
      <c r="AC2529" s="14" t="str">
        <f>IFERROR(__xludf.DUMMYFUNCTION("""COMPUTED_VALUE"""),"Uganda-Africa")</f>
        <v>Uganda-Africa</v>
      </c>
      <c r="AD2529" s="14" t="str">
        <f>IFERROR(__xludf.DUMMYFUNCTION("""COMPUTED_VALUE"""),"2009")</f>
        <v>2009</v>
      </c>
      <c r="AE2529" s="14"/>
      <c r="AF2529" s="14">
        <f>IFERROR(__xludf.DUMMYFUNCTION("""COMPUTED_VALUE"""),3128.0)</f>
        <v>3128</v>
      </c>
    </row>
    <row r="2530">
      <c r="A2530" s="12">
        <v>2529.0</v>
      </c>
      <c r="B2530" s="12" t="s">
        <v>273</v>
      </c>
      <c r="C2530" s="5" t="s">
        <v>77</v>
      </c>
      <c r="D2530" s="11">
        <v>0.352</v>
      </c>
      <c r="E2530" s="11">
        <v>28.0</v>
      </c>
      <c r="F2530" s="8"/>
      <c r="G2530" s="11">
        <v>237.0</v>
      </c>
      <c r="H2530" s="11">
        <v>0.025</v>
      </c>
      <c r="I2530" s="11">
        <v>0.068</v>
      </c>
      <c r="J2530" s="9" t="s">
        <v>67</v>
      </c>
      <c r="K2530" s="14" t="str">
        <f>IFERROR(__xludf.DUMMYFUNCTION("ARRAYFORMULA(VLOOKUP(A2530,IMPORTRANGE(""https://docs.google.com/spreadsheets/d/1BuTWp7qHGjWhqrnf-OmePP568O4A5Am9ttzvVdP67zw/edit#gid=1603210130"", ""TOURISM!$A$2:$F$2692""), {2,3,4,5,6},0))"),"Africa")</f>
        <v>Africa</v>
      </c>
      <c r="L2530" s="14">
        <f>IFERROR(__xludf.DUMMYFUNCTION("""COMPUTED_VALUE"""),3.47E8)</f>
        <v>347000000</v>
      </c>
      <c r="M2530" s="14" t="str">
        <f>IFERROR(__xludf.DUMMYFUNCTION("""COMPUTED_VALUE"""),"Uganda-Africa")</f>
        <v>Uganda-Africa</v>
      </c>
      <c r="N2530" s="14" t="str">
        <f>IFERROR(__xludf.DUMMYFUNCTION("""COMPUTED_VALUE"""),"2006")</f>
        <v>2006</v>
      </c>
      <c r="O2530" s="14">
        <f>IFERROR(__xludf.DUMMYFUNCTION("""COMPUTED_VALUE"""),1.96E8)</f>
        <v>196000000</v>
      </c>
      <c r="P2530" s="15">
        <f>IFERROR(__xludf.DUMMYFUNCTION("ARRAYFORMULA(VLOOKUP(A2530,IMPORTRANGE(""https://docs.google.com/spreadsheets/d/1BuTWp7qHGjWhqrnf-OmePP568O4A5Am9ttzvVdP67zw/edit#gid=771602874"" ,""HUMAN RESOURCES!$A$2:$M$2692""), {2,3,4,5,6,7,8,9,10,11,12,13},0))"),0.046)</f>
        <v>0.046</v>
      </c>
      <c r="Q2530" s="14">
        <f>IFERROR(__xludf.DUMMYFUNCTION("""COMPUTED_VALUE"""),0.064)</f>
        <v>0.064</v>
      </c>
      <c r="R2530" s="14">
        <f>IFERROR(__xludf.DUMMYFUNCTION("""COMPUTED_VALUE"""),54.0)</f>
        <v>54</v>
      </c>
      <c r="S2530" s="14">
        <f>IFERROR(__xludf.DUMMYFUNCTION("""COMPUTED_VALUE"""),53.0)</f>
        <v>53</v>
      </c>
      <c r="T2530" s="14">
        <f>IFERROR(__xludf.DUMMYFUNCTION("""COMPUTED_VALUE"""),0.493)</f>
        <v>0.493</v>
      </c>
      <c r="U2530" s="14">
        <f>IFERROR(__xludf.DUMMYFUNCTION("""COMPUTED_VALUE"""),0.482)</f>
        <v>0.482</v>
      </c>
      <c r="V2530" s="14">
        <f>IFERROR(__xludf.DUMMYFUNCTION("""COMPUTED_VALUE"""),0.025)</f>
        <v>0.025</v>
      </c>
      <c r="W2530" s="14">
        <f>IFERROR(__xludf.DUMMYFUNCTION("""COMPUTED_VALUE"""),2.9711397E7)</f>
        <v>29711397</v>
      </c>
      <c r="X2530" s="14">
        <f>IFERROR(__xludf.DUMMYFUNCTION("""COMPUTED_VALUE"""),0.133)</f>
        <v>0.133</v>
      </c>
      <c r="Y2530" s="14" t="str">
        <f>IFERROR(__xludf.DUMMYFUNCTION("""COMPUTED_VALUE"""),"Uganda-Africa")</f>
        <v>Uganda-Africa</v>
      </c>
      <c r="Z2530" s="14" t="str">
        <f>IFERROR(__xludf.DUMMYFUNCTION("""COMPUTED_VALUE"""),"Africa")</f>
        <v>Africa</v>
      </c>
      <c r="AA2530" s="14" t="str">
        <f>IFERROR(__xludf.DUMMYFUNCTION("""COMPUTED_VALUE"""),"2006")</f>
        <v>2006</v>
      </c>
      <c r="AB2530" s="15" t="str">
        <f>IFERROR(__xludf.DUMMYFUNCTION("ARRAYFORMULA(VLOOKUP(A2530,IMPORTRANGE(""https://docs.google.com/spreadsheets/d/1BuTWp7qHGjWhqrnf-OmePP568O4A5Am9ttzvVdP67zw/edit#gid=1931367683"" ,""ENERGY!$A$2:$F$2692""), {2,3,4,5,6},0))"),"Africa")</f>
        <v>Africa</v>
      </c>
      <c r="AC2530" s="14" t="str">
        <f>IFERROR(__xludf.DUMMYFUNCTION("""COMPUTED_VALUE"""),"Uganda-Africa")</f>
        <v>Uganda-Africa</v>
      </c>
      <c r="AD2530" s="14" t="str">
        <f>IFERROR(__xludf.DUMMYFUNCTION("""COMPUTED_VALUE"""),"2005")</f>
        <v>2005</v>
      </c>
      <c r="AE2530" s="14"/>
      <c r="AF2530" s="14">
        <f>IFERROR(__xludf.DUMMYFUNCTION("""COMPUTED_VALUE"""),2655.0)</f>
        <v>2655</v>
      </c>
    </row>
    <row r="2531">
      <c r="A2531" s="12">
        <v>2530.0</v>
      </c>
      <c r="B2531" s="12" t="s">
        <v>273</v>
      </c>
      <c r="C2531" s="5" t="s">
        <v>77</v>
      </c>
      <c r="D2531" s="11">
        <v>0.368</v>
      </c>
      <c r="E2531" s="11">
        <v>28.0</v>
      </c>
      <c r="F2531" s="8"/>
      <c r="G2531" s="11">
        <v>237.0</v>
      </c>
      <c r="H2531" s="11">
        <v>0.037</v>
      </c>
      <c r="I2531" s="11">
        <v>0.137</v>
      </c>
      <c r="J2531" s="9" t="s">
        <v>68</v>
      </c>
      <c r="K2531" s="14" t="str">
        <f>IFERROR(__xludf.DUMMYFUNCTION("ARRAYFORMULA(VLOOKUP(A2531,IMPORTRANGE(""https://docs.google.com/spreadsheets/d/1BuTWp7qHGjWhqrnf-OmePP568O4A5Am9ttzvVdP67zw/edit#gid=1603210130"", ""TOURISM!$A$2:$F$2692""), {2,3,4,5,6},0))"),"Africa")</f>
        <v>Africa</v>
      </c>
      <c r="L2531" s="14">
        <f>IFERROR(__xludf.DUMMYFUNCTION("""COMPUTED_VALUE"""),4.02E8)</f>
        <v>402000000</v>
      </c>
      <c r="M2531" s="14" t="str">
        <f>IFERROR(__xludf.DUMMYFUNCTION("""COMPUTED_VALUE"""),"Uganda-Africa")</f>
        <v>Uganda-Africa</v>
      </c>
      <c r="N2531" s="14" t="str">
        <f>IFERROR(__xludf.DUMMYFUNCTION("""COMPUTED_VALUE"""),"2007")</f>
        <v>2007</v>
      </c>
      <c r="O2531" s="14">
        <f>IFERROR(__xludf.DUMMYFUNCTION("""COMPUTED_VALUE"""),2.2E8)</f>
        <v>220000000</v>
      </c>
      <c r="P2531" s="15">
        <f>IFERROR(__xludf.DUMMYFUNCTION("ARRAYFORMULA(VLOOKUP(A2531,IMPORTRANGE(""https://docs.google.com/spreadsheets/d/1BuTWp7qHGjWhqrnf-OmePP568O4A5Am9ttzvVdP67zw/edit#gid=771602874"" ,""HUMAN RESOURCES!$A$2:$M$2692""), {2,3,4,5,6,7,8,9,10,11,12,13},0))"),0.046)</f>
        <v>0.046</v>
      </c>
      <c r="Q2531" s="14">
        <f>IFERROR(__xludf.DUMMYFUNCTION("""COMPUTED_VALUE"""),0.061)</f>
        <v>0.061</v>
      </c>
      <c r="R2531" s="14">
        <f>IFERROR(__xludf.DUMMYFUNCTION("""COMPUTED_VALUE"""),55.0)</f>
        <v>55</v>
      </c>
      <c r="S2531" s="14">
        <f>IFERROR(__xludf.DUMMYFUNCTION("""COMPUTED_VALUE"""),54.0)</f>
        <v>54</v>
      </c>
      <c r="T2531" s="14">
        <f>IFERROR(__xludf.DUMMYFUNCTION("""COMPUTED_VALUE"""),0.492)</f>
        <v>0.492</v>
      </c>
      <c r="U2531" s="14">
        <f>IFERROR(__xludf.DUMMYFUNCTION("""COMPUTED_VALUE"""),0.483)</f>
        <v>0.483</v>
      </c>
      <c r="V2531" s="14">
        <f>IFERROR(__xludf.DUMMYFUNCTION("""COMPUTED_VALUE"""),0.025)</f>
        <v>0.025</v>
      </c>
      <c r="W2531" s="14">
        <f>IFERROR(__xludf.DUMMYFUNCTION("""COMPUTED_VALUE"""),3.0728747E7)</f>
        <v>30728747</v>
      </c>
      <c r="X2531" s="14">
        <f>IFERROR(__xludf.DUMMYFUNCTION("""COMPUTED_VALUE"""),0.136)</f>
        <v>0.136</v>
      </c>
      <c r="Y2531" s="14" t="str">
        <f>IFERROR(__xludf.DUMMYFUNCTION("""COMPUTED_VALUE"""),"Uganda-Africa")</f>
        <v>Uganda-Africa</v>
      </c>
      <c r="Z2531" s="14" t="str">
        <f>IFERROR(__xludf.DUMMYFUNCTION("""COMPUTED_VALUE"""),"Africa")</f>
        <v>Africa</v>
      </c>
      <c r="AA2531" s="14" t="str">
        <f>IFERROR(__xludf.DUMMYFUNCTION("""COMPUTED_VALUE"""),"2007")</f>
        <v>2007</v>
      </c>
      <c r="AB2531" s="15" t="str">
        <f>IFERROR(__xludf.DUMMYFUNCTION("ARRAYFORMULA(VLOOKUP(A2531,IMPORTRANGE(""https://docs.google.com/spreadsheets/d/1BuTWp7qHGjWhqrnf-OmePP568O4A5Am9ttzvVdP67zw/edit#gid=1931367683"" ,""ENERGY!$A$2:$F$2692""), {2,3,4,5,6},0))"),"Africa")</f>
        <v>Africa</v>
      </c>
      <c r="AC2531" s="14" t="str">
        <f>IFERROR(__xludf.DUMMYFUNCTION("""COMPUTED_VALUE"""),"Uganda-Africa")</f>
        <v>Uganda-Africa</v>
      </c>
      <c r="AD2531" s="14" t="str">
        <f>IFERROR(__xludf.DUMMYFUNCTION("""COMPUTED_VALUE"""),"2011")</f>
        <v>2011</v>
      </c>
      <c r="AE2531" s="14"/>
      <c r="AF2531" s="14">
        <f>IFERROR(__xludf.DUMMYFUNCTION("""COMPUTED_VALUE"""),2285.0)</f>
        <v>2285</v>
      </c>
    </row>
    <row r="2532">
      <c r="A2532" s="12">
        <v>2531.0</v>
      </c>
      <c r="B2532" s="12" t="s">
        <v>273</v>
      </c>
      <c r="C2532" s="5" t="s">
        <v>77</v>
      </c>
      <c r="D2532" s="11">
        <v>0.34</v>
      </c>
      <c r="E2532" s="11">
        <v>25.0</v>
      </c>
      <c r="F2532" s="8"/>
      <c r="G2532" s="11">
        <v>222.0</v>
      </c>
      <c r="H2532" s="11">
        <v>0.079</v>
      </c>
      <c r="I2532" s="11">
        <v>0.269</v>
      </c>
      <c r="J2532" s="9" t="s">
        <v>69</v>
      </c>
      <c r="K2532" s="14" t="str">
        <f>IFERROR(__xludf.DUMMYFUNCTION("ARRAYFORMULA(VLOOKUP(A2532,IMPORTRANGE(""https://docs.google.com/spreadsheets/d/1BuTWp7qHGjWhqrnf-OmePP568O4A5Am9ttzvVdP67zw/edit#gid=1603210130"", ""TOURISM!$A$2:$F$2692""), {2,3,4,5,6},0))"),"Africa")</f>
        <v>Africa</v>
      </c>
      <c r="L2532" s="14">
        <f>IFERROR(__xludf.DUMMYFUNCTION("""COMPUTED_VALUE"""),5.36E8)</f>
        <v>536000000</v>
      </c>
      <c r="M2532" s="14" t="str">
        <f>IFERROR(__xludf.DUMMYFUNCTION("""COMPUTED_VALUE"""),"Uganda-Africa")</f>
        <v>Uganda-Africa</v>
      </c>
      <c r="N2532" s="14" t="str">
        <f>IFERROR(__xludf.DUMMYFUNCTION("""COMPUTED_VALUE"""),"2008")</f>
        <v>2008</v>
      </c>
      <c r="O2532" s="14">
        <f>IFERROR(__xludf.DUMMYFUNCTION("""COMPUTED_VALUE"""),3.15E8)</f>
        <v>315000000</v>
      </c>
      <c r="P2532" s="15">
        <f>IFERROR(__xludf.DUMMYFUNCTION("ARRAYFORMULA(VLOOKUP(A2532,IMPORTRANGE(""https://docs.google.com/spreadsheets/d/1BuTWp7qHGjWhqrnf-OmePP568O4A5Am9ttzvVdP67zw/edit#gid=771602874"" ,""HUMAN RESOURCES!$A$2:$M$2692""), {2,3,4,5,6,7,8,9,10,11,12,13},0))"),0.046)</f>
        <v>0.046</v>
      </c>
      <c r="Q2532" s="14">
        <f>IFERROR(__xludf.DUMMYFUNCTION("""COMPUTED_VALUE"""),0.057)</f>
        <v>0.057</v>
      </c>
      <c r="R2532" s="14">
        <f>IFERROR(__xludf.DUMMYFUNCTION("""COMPUTED_VALUE"""),56.0)</f>
        <v>56</v>
      </c>
      <c r="S2532" s="14">
        <f>IFERROR(__xludf.DUMMYFUNCTION("""COMPUTED_VALUE"""),55.0)</f>
        <v>55</v>
      </c>
      <c r="T2532" s="14">
        <f>IFERROR(__xludf.DUMMYFUNCTION("""COMPUTED_VALUE"""),0.491)</f>
        <v>0.491</v>
      </c>
      <c r="U2532" s="14">
        <f>IFERROR(__xludf.DUMMYFUNCTION("""COMPUTED_VALUE"""),0.484)</f>
        <v>0.484</v>
      </c>
      <c r="V2532" s="14">
        <f>IFERROR(__xludf.DUMMYFUNCTION("""COMPUTED_VALUE"""),0.025)</f>
        <v>0.025</v>
      </c>
      <c r="W2532" s="14">
        <f>IFERROR(__xludf.DUMMYFUNCTION("""COMPUTED_VALUE"""),3.1778799E7)</f>
        <v>31778799</v>
      </c>
      <c r="X2532" s="14">
        <f>IFERROR(__xludf.DUMMYFUNCTION("""COMPUTED_VALUE"""),0.139)</f>
        <v>0.139</v>
      </c>
      <c r="Y2532" s="14" t="str">
        <f>IFERROR(__xludf.DUMMYFUNCTION("""COMPUTED_VALUE"""),"Uganda-Africa")</f>
        <v>Uganda-Africa</v>
      </c>
      <c r="Z2532" s="14" t="str">
        <f>IFERROR(__xludf.DUMMYFUNCTION("""COMPUTED_VALUE"""),"Africa")</f>
        <v>Africa</v>
      </c>
      <c r="AA2532" s="14" t="str">
        <f>IFERROR(__xludf.DUMMYFUNCTION("""COMPUTED_VALUE"""),"2008")</f>
        <v>2008</v>
      </c>
      <c r="AB2532" s="15" t="str">
        <f>IFERROR(__xludf.DUMMYFUNCTION("ARRAYFORMULA(VLOOKUP(A2532,IMPORTRANGE(""https://docs.google.com/spreadsheets/d/1BuTWp7qHGjWhqrnf-OmePP568O4A5Am9ttzvVdP67zw/edit#gid=1931367683"" ,""ENERGY!$A$2:$F$2692""), {2,3,4,5,6},0))"),"Africa")</f>
        <v>Africa</v>
      </c>
      <c r="AC2532" s="14" t="str">
        <f>IFERROR(__xludf.DUMMYFUNCTION("""COMPUTED_VALUE"""),"Uganda-Africa")</f>
        <v>Uganda-Africa</v>
      </c>
      <c r="AD2532" s="14" t="str">
        <f>IFERROR(__xludf.DUMMYFUNCTION("""COMPUTED_VALUE"""),"2008")</f>
        <v>2008</v>
      </c>
      <c r="AE2532" s="14"/>
      <c r="AF2532" s="14">
        <f>IFERROR(__xludf.DUMMYFUNCTION("""COMPUTED_VALUE"""),1852.0)</f>
        <v>1852</v>
      </c>
    </row>
    <row r="2533">
      <c r="A2533" s="12">
        <v>2532.0</v>
      </c>
      <c r="B2533" s="12" t="s">
        <v>273</v>
      </c>
      <c r="C2533" s="5" t="s">
        <v>77</v>
      </c>
      <c r="D2533" s="11">
        <v>0.35</v>
      </c>
      <c r="E2533" s="11">
        <v>25.0</v>
      </c>
      <c r="F2533" s="8"/>
      <c r="G2533" s="11">
        <v>161.0</v>
      </c>
      <c r="H2533" s="11">
        <v>0.098</v>
      </c>
      <c r="I2533" s="11">
        <v>0.286</v>
      </c>
      <c r="J2533" s="9" t="s">
        <v>70</v>
      </c>
      <c r="K2533" s="14" t="str">
        <f>IFERROR(__xludf.DUMMYFUNCTION("ARRAYFORMULA(VLOOKUP(A2533,IMPORTRANGE(""https://docs.google.com/spreadsheets/d/1BuTWp7qHGjWhqrnf-OmePP568O4A5Am9ttzvVdP67zw/edit#gid=1603210130"", ""TOURISM!$A$2:$F$2692""), {2,3,4,5,6},0))"),"Africa")</f>
        <v>Africa</v>
      </c>
      <c r="L2533" s="14">
        <f>IFERROR(__xludf.DUMMYFUNCTION("""COMPUTED_VALUE"""),6.83E8)</f>
        <v>683000000</v>
      </c>
      <c r="M2533" s="14" t="str">
        <f>IFERROR(__xludf.DUMMYFUNCTION("""COMPUTED_VALUE"""),"Uganda-Africa")</f>
        <v>Uganda-Africa</v>
      </c>
      <c r="N2533" s="14" t="str">
        <f>IFERROR(__xludf.DUMMYFUNCTION("""COMPUTED_VALUE"""),"2009")</f>
        <v>2009</v>
      </c>
      <c r="O2533" s="14">
        <f>IFERROR(__xludf.DUMMYFUNCTION("""COMPUTED_VALUE"""),3.51E8)</f>
        <v>351000000</v>
      </c>
      <c r="P2533" s="15">
        <f>IFERROR(__xludf.DUMMYFUNCTION("ARRAYFORMULA(VLOOKUP(A2533,IMPORTRANGE(""https://docs.google.com/spreadsheets/d/1BuTWp7qHGjWhqrnf-OmePP568O4A5Am9ttzvVdP67zw/edit#gid=771602874"" ,""HUMAN RESOURCES!$A$2:$M$2692""), {2,3,4,5,6,7,8,9,10,11,12,13},0))"),0.045)</f>
        <v>0.045</v>
      </c>
      <c r="Q2533" s="14">
        <f>IFERROR(__xludf.DUMMYFUNCTION("""COMPUTED_VALUE"""),0.054)</f>
        <v>0.054</v>
      </c>
      <c r="R2533" s="14">
        <f>IFERROR(__xludf.DUMMYFUNCTION("""COMPUTED_VALUE"""),57.0)</f>
        <v>57</v>
      </c>
      <c r="S2533" s="14">
        <f>IFERROR(__xludf.DUMMYFUNCTION("""COMPUTED_VALUE"""),56.0)</f>
        <v>56</v>
      </c>
      <c r="T2533" s="14">
        <f>IFERROR(__xludf.DUMMYFUNCTION("""COMPUTED_VALUE"""),0.49)</f>
        <v>0.49</v>
      </c>
      <c r="U2533" s="14">
        <f>IFERROR(__xludf.DUMMYFUNCTION("""COMPUTED_VALUE"""),0.486)</f>
        <v>0.486</v>
      </c>
      <c r="V2533" s="14">
        <f>IFERROR(__xludf.DUMMYFUNCTION("""COMPUTED_VALUE"""),0.025)</f>
        <v>0.025</v>
      </c>
      <c r="W2533" s="14">
        <f>IFERROR(__xludf.DUMMYFUNCTION("""COMPUTED_VALUE"""),3.2864328E7)</f>
        <v>32864328</v>
      </c>
      <c r="X2533" s="14">
        <f>IFERROR(__xludf.DUMMYFUNCTION("""COMPUTED_VALUE"""),0.142)</f>
        <v>0.142</v>
      </c>
      <c r="Y2533" s="14" t="str">
        <f>IFERROR(__xludf.DUMMYFUNCTION("""COMPUTED_VALUE"""),"Uganda-Africa")</f>
        <v>Uganda-Africa</v>
      </c>
      <c r="Z2533" s="14" t="str">
        <f>IFERROR(__xludf.DUMMYFUNCTION("""COMPUTED_VALUE"""),"Africa")</f>
        <v>Africa</v>
      </c>
      <c r="AA2533" s="14" t="str">
        <f>IFERROR(__xludf.DUMMYFUNCTION("""COMPUTED_VALUE"""),"2009")</f>
        <v>2009</v>
      </c>
      <c r="AB2533" s="15" t="str">
        <f>IFERROR(__xludf.DUMMYFUNCTION("ARRAYFORMULA(VLOOKUP(A2533,IMPORTRANGE(""https://docs.google.com/spreadsheets/d/1BuTWp7qHGjWhqrnf-OmePP568O4A5Am9ttzvVdP67zw/edit#gid=1931367683"" ,""ENERGY!$A$2:$F$2692""), {2,3,4,5,6},0))"),"Africa")</f>
        <v>Africa</v>
      </c>
      <c r="AC2533" s="14" t="str">
        <f>IFERROR(__xludf.DUMMYFUNCTION("""COMPUTED_VALUE"""),"Uganda-Africa")</f>
        <v>Uganda-Africa</v>
      </c>
      <c r="AD2533" s="14" t="str">
        <f>IFERROR(__xludf.DUMMYFUNCTION("""COMPUTED_VALUE"""),"2012")</f>
        <v>2012</v>
      </c>
      <c r="AE2533" s="14"/>
      <c r="AF2533" s="14">
        <f>IFERROR(__xludf.DUMMYFUNCTION("""COMPUTED_VALUE"""),1709.0)</f>
        <v>1709</v>
      </c>
    </row>
    <row r="2534">
      <c r="A2534" s="12">
        <v>2533.0</v>
      </c>
      <c r="B2534" s="12" t="s">
        <v>273</v>
      </c>
      <c r="C2534" s="5" t="s">
        <v>77</v>
      </c>
      <c r="D2534" s="11">
        <v>0.35</v>
      </c>
      <c r="E2534" s="11">
        <v>24.0</v>
      </c>
      <c r="F2534" s="8"/>
      <c r="G2534" s="11">
        <v>161.0</v>
      </c>
      <c r="H2534" s="11">
        <v>0.125</v>
      </c>
      <c r="I2534" s="11">
        <v>0.377</v>
      </c>
      <c r="J2534" s="9" t="s">
        <v>71</v>
      </c>
      <c r="K2534" s="14" t="str">
        <f>IFERROR(__xludf.DUMMYFUNCTION("ARRAYFORMULA(VLOOKUP(A2534,IMPORTRANGE(""https://docs.google.com/spreadsheets/d/1BuTWp7qHGjWhqrnf-OmePP568O4A5Am9ttzvVdP67zw/edit#gid=1603210130"", ""TOURISM!$A$2:$F$2692""), {2,3,4,5,6},0))"),"Africa")</f>
        <v>Africa</v>
      </c>
      <c r="L2534" s="14">
        <f>IFERROR(__xludf.DUMMYFUNCTION("""COMPUTED_VALUE"""),8.02E8)</f>
        <v>802000000</v>
      </c>
      <c r="M2534" s="14" t="str">
        <f>IFERROR(__xludf.DUMMYFUNCTION("""COMPUTED_VALUE"""),"Uganda-Africa")</f>
        <v>Uganda-Africa</v>
      </c>
      <c r="N2534" s="14" t="str">
        <f>IFERROR(__xludf.DUMMYFUNCTION("""COMPUTED_VALUE"""),"2010")</f>
        <v>2010</v>
      </c>
      <c r="O2534" s="14">
        <f>IFERROR(__xludf.DUMMYFUNCTION("""COMPUTED_VALUE"""),4.64E8)</f>
        <v>464000000</v>
      </c>
      <c r="P2534" s="15">
        <f>IFERROR(__xludf.DUMMYFUNCTION("ARRAYFORMULA(VLOOKUP(A2534,IMPORTRANGE(""https://docs.google.com/spreadsheets/d/1BuTWp7qHGjWhqrnf-OmePP568O4A5Am9ttzvVdP67zw/edit#gid=771602874"" ,""HUMAN RESOURCES!$A$2:$M$2692""), {2,3,4,5,6,7,8,9,10,11,12,13},0))"),0.045)</f>
        <v>0.045</v>
      </c>
      <c r="Q2534" s="14">
        <f>IFERROR(__xludf.DUMMYFUNCTION("""COMPUTED_VALUE"""),0.051)</f>
        <v>0.051</v>
      </c>
      <c r="R2534" s="14">
        <f>IFERROR(__xludf.DUMMYFUNCTION("""COMPUTED_VALUE"""),58.0)</f>
        <v>58</v>
      </c>
      <c r="S2534" s="14">
        <f>IFERROR(__xludf.DUMMYFUNCTION("""COMPUTED_VALUE"""),56.0)</f>
        <v>56</v>
      </c>
      <c r="T2534" s="14">
        <f>IFERROR(__xludf.DUMMYFUNCTION("""COMPUTED_VALUE"""),0.489)</f>
        <v>0.489</v>
      </c>
      <c r="U2534" s="14">
        <f>IFERROR(__xludf.DUMMYFUNCTION("""COMPUTED_VALUE"""),0.487)</f>
        <v>0.487</v>
      </c>
      <c r="V2534" s="14">
        <f>IFERROR(__xludf.DUMMYFUNCTION("""COMPUTED_VALUE"""),0.024)</f>
        <v>0.024</v>
      </c>
      <c r="W2534" s="14">
        <f>IFERROR(__xludf.DUMMYFUNCTION("""COMPUTED_VALUE"""),3.3987213E7)</f>
        <v>33987213</v>
      </c>
      <c r="X2534" s="14">
        <f>IFERROR(__xludf.DUMMYFUNCTION("""COMPUTED_VALUE"""),0.145)</f>
        <v>0.145</v>
      </c>
      <c r="Y2534" s="14" t="str">
        <f>IFERROR(__xludf.DUMMYFUNCTION("""COMPUTED_VALUE"""),"Uganda-Africa")</f>
        <v>Uganda-Africa</v>
      </c>
      <c r="Z2534" s="14" t="str">
        <f>IFERROR(__xludf.DUMMYFUNCTION("""COMPUTED_VALUE"""),"Africa")</f>
        <v>Africa</v>
      </c>
      <c r="AA2534" s="14" t="str">
        <f>IFERROR(__xludf.DUMMYFUNCTION("""COMPUTED_VALUE"""),"2010")</f>
        <v>2010</v>
      </c>
      <c r="AB2534" s="15" t="str">
        <f>IFERROR(__xludf.DUMMYFUNCTION("ARRAYFORMULA(VLOOKUP(A2534,IMPORTRANGE(""https://docs.google.com/spreadsheets/d/1BuTWp7qHGjWhqrnf-OmePP568O4A5Am9ttzvVdP67zw/edit#gid=1931367683"" ,""ENERGY!$A$2:$F$2692""), {2,3,4,5,6},0))"),"Africa")</f>
        <v>Africa</v>
      </c>
      <c r="AC2534" s="14" t="str">
        <f>IFERROR(__xludf.DUMMYFUNCTION("""COMPUTED_VALUE"""),"Uganda-Africa")</f>
        <v>Uganda-Africa</v>
      </c>
      <c r="AD2534" s="14" t="str">
        <f>IFERROR(__xludf.DUMMYFUNCTION("""COMPUTED_VALUE"""),"2010")</f>
        <v>2010</v>
      </c>
      <c r="AE2534" s="14"/>
      <c r="AF2534" s="14">
        <f>IFERROR(__xludf.DUMMYFUNCTION("""COMPUTED_VALUE"""),1668.0)</f>
        <v>1668</v>
      </c>
    </row>
    <row r="2535">
      <c r="A2535" s="12">
        <v>2534.0</v>
      </c>
      <c r="B2535" s="12" t="s">
        <v>273</v>
      </c>
      <c r="C2535" s="5" t="s">
        <v>77</v>
      </c>
      <c r="D2535" s="11">
        <v>0.35</v>
      </c>
      <c r="E2535" s="11">
        <v>33.0</v>
      </c>
      <c r="F2535" s="8"/>
      <c r="G2535" s="11">
        <v>213.0</v>
      </c>
      <c r="H2535" s="11">
        <v>0.13</v>
      </c>
      <c r="I2535" s="11">
        <v>0.475</v>
      </c>
      <c r="J2535" s="9" t="s">
        <v>72</v>
      </c>
      <c r="K2535" s="14" t="str">
        <f>IFERROR(__xludf.DUMMYFUNCTION("ARRAYFORMULA(VLOOKUP(A2535,IMPORTRANGE(""https://docs.google.com/spreadsheets/d/1BuTWp7qHGjWhqrnf-OmePP568O4A5Am9ttzvVdP67zw/edit#gid=1603210130"", ""TOURISM!$A$2:$F$2692""), {2,3,4,5,6},0))"),"Africa")</f>
        <v>Africa</v>
      </c>
      <c r="L2535" s="14">
        <f>IFERROR(__xludf.DUMMYFUNCTION("""COMPUTED_VALUE"""),9.67E8)</f>
        <v>967000000</v>
      </c>
      <c r="M2535" s="14" t="str">
        <f>IFERROR(__xludf.DUMMYFUNCTION("""COMPUTED_VALUE"""),"Uganda-Africa")</f>
        <v>Uganda-Africa</v>
      </c>
      <c r="N2535" s="14" t="str">
        <f>IFERROR(__xludf.DUMMYFUNCTION("""COMPUTED_VALUE"""),"2011")</f>
        <v>2011</v>
      </c>
      <c r="O2535" s="14">
        <f>IFERROR(__xludf.DUMMYFUNCTION("""COMPUTED_VALUE"""),5.28E8)</f>
        <v>528000000</v>
      </c>
      <c r="P2535" s="15">
        <f>IFERROR(__xludf.DUMMYFUNCTION("ARRAYFORMULA(VLOOKUP(A2535,IMPORTRANGE(""https://docs.google.com/spreadsheets/d/1BuTWp7qHGjWhqrnf-OmePP568O4A5Am9ttzvVdP67zw/edit#gid=771602874"" ,""HUMAN RESOURCES!$A$2:$M$2692""), {2,3,4,5,6,7,8,9,10,11,12,13},0))"),0.044)</f>
        <v>0.044</v>
      </c>
      <c r="Q2535" s="14">
        <f>IFERROR(__xludf.DUMMYFUNCTION("""COMPUTED_VALUE"""),0.049)</f>
        <v>0.049</v>
      </c>
      <c r="R2535" s="14">
        <f>IFERROR(__xludf.DUMMYFUNCTION("""COMPUTED_VALUE"""),59.0)</f>
        <v>59</v>
      </c>
      <c r="S2535" s="14">
        <f>IFERROR(__xludf.DUMMYFUNCTION("""COMPUTED_VALUE"""),57.0)</f>
        <v>57</v>
      </c>
      <c r="T2535" s="14">
        <f>IFERROR(__xludf.DUMMYFUNCTION("""COMPUTED_VALUE"""),0.487)</f>
        <v>0.487</v>
      </c>
      <c r="U2535" s="14">
        <f>IFERROR(__xludf.DUMMYFUNCTION("""COMPUTED_VALUE"""),0.489)</f>
        <v>0.489</v>
      </c>
      <c r="V2535" s="14">
        <f>IFERROR(__xludf.DUMMYFUNCTION("""COMPUTED_VALUE"""),0.024)</f>
        <v>0.024</v>
      </c>
      <c r="W2535" s="14">
        <f>IFERROR(__xludf.DUMMYFUNCTION("""COMPUTED_VALUE"""),3.5148064E7)</f>
        <v>35148064</v>
      </c>
      <c r="X2535" s="14">
        <f>IFERROR(__xludf.DUMMYFUNCTION("""COMPUTED_VALUE"""),0.148)</f>
        <v>0.148</v>
      </c>
      <c r="Y2535" s="14" t="str">
        <f>IFERROR(__xludf.DUMMYFUNCTION("""COMPUTED_VALUE"""),"Uganda-Africa")</f>
        <v>Uganda-Africa</v>
      </c>
      <c r="Z2535" s="14" t="str">
        <f>IFERROR(__xludf.DUMMYFUNCTION("""COMPUTED_VALUE"""),"Africa")</f>
        <v>Africa</v>
      </c>
      <c r="AA2535" s="14" t="str">
        <f>IFERROR(__xludf.DUMMYFUNCTION("""COMPUTED_VALUE"""),"2011")</f>
        <v>2011</v>
      </c>
      <c r="AB2535" s="15" t="str">
        <f>IFERROR(__xludf.DUMMYFUNCTION("ARRAYFORMULA(VLOOKUP(A2535,IMPORTRANGE(""https://docs.google.com/spreadsheets/d/1BuTWp7qHGjWhqrnf-OmePP568O4A5Am9ttzvVdP67zw/edit#gid=1931367683"" ,""ENERGY!$A$2:$F$2692""), {2,3,4,5,6},0))"),"Africa")</f>
        <v>Africa</v>
      </c>
      <c r="AC2535" s="14" t="str">
        <f>IFERROR(__xludf.DUMMYFUNCTION("""COMPUTED_VALUE"""),"Uganda-Africa")</f>
        <v>Uganda-Africa</v>
      </c>
      <c r="AD2535" s="14" t="str">
        <f>IFERROR(__xludf.DUMMYFUNCTION("""COMPUTED_VALUE"""),"2008")</f>
        <v>2008</v>
      </c>
      <c r="AE2535" s="14"/>
      <c r="AF2535" s="14">
        <f>IFERROR(__xludf.DUMMYFUNCTION("""COMPUTED_VALUE"""),1621.0)</f>
        <v>1621</v>
      </c>
    </row>
    <row r="2536">
      <c r="A2536" s="12">
        <v>2535.0</v>
      </c>
      <c r="B2536" s="12" t="s">
        <v>273</v>
      </c>
      <c r="C2536" s="5" t="s">
        <v>77</v>
      </c>
      <c r="D2536" s="11">
        <v>0.366</v>
      </c>
      <c r="E2536" s="11">
        <v>33.0</v>
      </c>
      <c r="F2536" s="11">
        <v>126.0</v>
      </c>
      <c r="G2536" s="11">
        <v>213.0</v>
      </c>
      <c r="H2536" s="11">
        <v>0.147</v>
      </c>
      <c r="I2536" s="11">
        <v>0.45</v>
      </c>
      <c r="J2536" s="9" t="s">
        <v>73</v>
      </c>
      <c r="K2536" s="14" t="str">
        <f>IFERROR(__xludf.DUMMYFUNCTION("ARRAYFORMULA(VLOOKUP(A2536,IMPORTRANGE(""https://docs.google.com/spreadsheets/d/1BuTWp7qHGjWhqrnf-OmePP568O4A5Am9ttzvVdP67zw/edit#gid=1603210130"", ""TOURISM!$A$2:$F$2692""), {2,3,4,5,6},0))"),"Africa")</f>
        <v>Africa</v>
      </c>
      <c r="L2536" s="14">
        <f>IFERROR(__xludf.DUMMYFUNCTION("""COMPUTED_VALUE"""),1.105E9)</f>
        <v>1105000000</v>
      </c>
      <c r="M2536" s="14" t="str">
        <f>IFERROR(__xludf.DUMMYFUNCTION("""COMPUTED_VALUE"""),"Uganda-Africa")</f>
        <v>Uganda-Africa</v>
      </c>
      <c r="N2536" s="14" t="str">
        <f>IFERROR(__xludf.DUMMYFUNCTION("""COMPUTED_VALUE"""),"2012")</f>
        <v>2012</v>
      </c>
      <c r="O2536" s="14">
        <f>IFERROR(__xludf.DUMMYFUNCTION("""COMPUTED_VALUE"""),6.04E8)</f>
        <v>604000000</v>
      </c>
      <c r="P2536" s="15">
        <f>IFERROR(__xludf.DUMMYFUNCTION("ARRAYFORMULA(VLOOKUP(A2536,IMPORTRANGE(""https://docs.google.com/spreadsheets/d/1BuTWp7qHGjWhqrnf-OmePP568O4A5Am9ttzvVdP67zw/edit#gid=771602874"" ,""HUMAN RESOURCES!$A$2:$M$2692""), {2,3,4,5,6,7,8,9,10,11,12,13},0))"),0.044)</f>
        <v>0.044</v>
      </c>
      <c r="Q2536" s="14">
        <f>IFERROR(__xludf.DUMMYFUNCTION("""COMPUTED_VALUE"""),0.045)</f>
        <v>0.045</v>
      </c>
      <c r="R2536" s="14">
        <f>IFERROR(__xludf.DUMMYFUNCTION("""COMPUTED_VALUE"""),60.0)</f>
        <v>60</v>
      </c>
      <c r="S2536" s="14">
        <f>IFERROR(__xludf.DUMMYFUNCTION("""COMPUTED_VALUE"""),58.0)</f>
        <v>58</v>
      </c>
      <c r="T2536" s="14">
        <f>IFERROR(__xludf.DUMMYFUNCTION("""COMPUTED_VALUE"""),0.485)</f>
        <v>0.485</v>
      </c>
      <c r="U2536" s="14">
        <f>IFERROR(__xludf.DUMMYFUNCTION("""COMPUTED_VALUE"""),0.49)</f>
        <v>0.49</v>
      </c>
      <c r="V2536" s="14">
        <f>IFERROR(__xludf.DUMMYFUNCTION("""COMPUTED_VALUE"""),0.024)</f>
        <v>0.024</v>
      </c>
      <c r="W2536" s="14">
        <f>IFERROR(__xludf.DUMMYFUNCTION("""COMPUTED_VALUE"""),3.634586E7)</f>
        <v>36345860</v>
      </c>
      <c r="X2536" s="14">
        <f>IFERROR(__xludf.DUMMYFUNCTION("""COMPUTED_VALUE"""),0.151)</f>
        <v>0.151</v>
      </c>
      <c r="Y2536" s="14" t="str">
        <f>IFERROR(__xludf.DUMMYFUNCTION("""COMPUTED_VALUE"""),"Uganda-Africa")</f>
        <v>Uganda-Africa</v>
      </c>
      <c r="Z2536" s="14" t="str">
        <f>IFERROR(__xludf.DUMMYFUNCTION("""COMPUTED_VALUE"""),"Africa")</f>
        <v>Africa</v>
      </c>
      <c r="AA2536" s="14" t="str">
        <f>IFERROR(__xludf.DUMMYFUNCTION("""COMPUTED_VALUE"""),"2012")</f>
        <v>2012</v>
      </c>
      <c r="AB2536" s="15" t="str">
        <f>IFERROR(__xludf.DUMMYFUNCTION("ARRAYFORMULA(VLOOKUP(A2536,IMPORTRANGE(""https://docs.google.com/spreadsheets/d/1BuTWp7qHGjWhqrnf-OmePP568O4A5Am9ttzvVdP67zw/edit#gid=1931367683"" ,""ENERGY!$A$2:$F$2692""), {2,3,4,5,6},0))"),"Africa")</f>
        <v>Africa</v>
      </c>
      <c r="AC2536" s="14" t="str">
        <f>IFERROR(__xludf.DUMMYFUNCTION("""COMPUTED_VALUE"""),"Uganda-Africa")</f>
        <v>Uganda-Africa</v>
      </c>
      <c r="AD2536" s="14" t="str">
        <f>IFERROR(__xludf.DUMMYFUNCTION("""COMPUTED_VALUE"""),"2012")</f>
        <v>2012</v>
      </c>
      <c r="AE2536" s="14"/>
      <c r="AF2536" s="14">
        <f>IFERROR(__xludf.DUMMYFUNCTION("""COMPUTED_VALUE"""),1533.0)</f>
        <v>1533</v>
      </c>
    </row>
    <row r="2537">
      <c r="A2537" s="12">
        <v>2536.0</v>
      </c>
      <c r="B2537" s="12" t="s">
        <v>274</v>
      </c>
      <c r="C2537" s="5" t="s">
        <v>75</v>
      </c>
      <c r="D2537" s="8"/>
      <c r="E2537" s="8"/>
      <c r="F2537" s="8"/>
      <c r="G2537" s="8"/>
      <c r="H2537" s="11">
        <v>0.007</v>
      </c>
      <c r="I2537" s="11">
        <v>0.017</v>
      </c>
      <c r="J2537" s="9" t="s">
        <v>60</v>
      </c>
      <c r="K2537" s="14" t="str">
        <f>IFERROR(__xludf.DUMMYFUNCTION("ARRAYFORMULA(VLOOKUP(A2537,IMPORTRANGE(""https://docs.google.com/spreadsheets/d/1BuTWp7qHGjWhqrnf-OmePP568O4A5Am9ttzvVdP67zw/edit#gid=1603210130"", ""TOURISM!$A$2:$F$2692""), {2,3,4,5,6},0))"),"Europe")</f>
        <v>Europe</v>
      </c>
      <c r="L2537" s="14">
        <f>IFERROR(__xludf.DUMMYFUNCTION("""COMPUTED_VALUE"""),5.63E8)</f>
        <v>563000000</v>
      </c>
      <c r="M2537" s="14" t="str">
        <f>IFERROR(__xludf.DUMMYFUNCTION("""COMPUTED_VALUE"""),"Ukraine-Europe")</f>
        <v>Ukraine-Europe</v>
      </c>
      <c r="N2537" s="14" t="str">
        <f>IFERROR(__xludf.DUMMYFUNCTION("""COMPUTED_VALUE"""),"2000")</f>
        <v>2000</v>
      </c>
      <c r="O2537" s="14">
        <f>IFERROR(__xludf.DUMMYFUNCTION("""COMPUTED_VALUE"""),5.61E8)</f>
        <v>561000000</v>
      </c>
      <c r="P2537" s="15">
        <f>IFERROR(__xludf.DUMMYFUNCTION("ARRAYFORMULA(VLOOKUP(A2537,IMPORTRANGE(""https://docs.google.com/spreadsheets/d/1BuTWp7qHGjWhqrnf-OmePP568O4A5Am9ttzvVdP67zw/edit#gid=771602874"" ,""HUMAN RESOURCES!$A$2:$M$2692""), {2,3,4,5,6,7,8,9,10,11,12,13},0))"),0.008)</f>
        <v>0.008</v>
      </c>
      <c r="Q2537" s="14">
        <f>IFERROR(__xludf.DUMMYFUNCTION("""COMPUTED_VALUE"""),0.016)</f>
        <v>0.016</v>
      </c>
      <c r="R2537" s="14">
        <f>IFERROR(__xludf.DUMMYFUNCTION("""COMPUTED_VALUE"""),74.0)</f>
        <v>74</v>
      </c>
      <c r="S2537" s="14">
        <f>IFERROR(__xludf.DUMMYFUNCTION("""COMPUTED_VALUE"""),62.0)</f>
        <v>62</v>
      </c>
      <c r="T2537" s="14">
        <f>IFERROR(__xludf.DUMMYFUNCTION("""COMPUTED_VALUE"""),0.175)</f>
        <v>0.175</v>
      </c>
      <c r="U2537" s="14">
        <f>IFERROR(__xludf.DUMMYFUNCTION("""COMPUTED_VALUE"""),0.688)</f>
        <v>0.688</v>
      </c>
      <c r="V2537" s="14">
        <f>IFERROR(__xludf.DUMMYFUNCTION("""COMPUTED_VALUE"""),0.138)</f>
        <v>0.138</v>
      </c>
      <c r="W2537" s="14">
        <f>IFERROR(__xludf.DUMMYFUNCTION("""COMPUTED_VALUE"""),4.9175848E7)</f>
        <v>49175848</v>
      </c>
      <c r="X2537" s="14">
        <f>IFERROR(__xludf.DUMMYFUNCTION("""COMPUTED_VALUE"""),0.671)</f>
        <v>0.671</v>
      </c>
      <c r="Y2537" s="14" t="str">
        <f>IFERROR(__xludf.DUMMYFUNCTION("""COMPUTED_VALUE"""),"Ukraine-Europe")</f>
        <v>Ukraine-Europe</v>
      </c>
      <c r="Z2537" s="14" t="str">
        <f>IFERROR(__xludf.DUMMYFUNCTION("""COMPUTED_VALUE"""),"Europe")</f>
        <v>Europe</v>
      </c>
      <c r="AA2537" s="14" t="str">
        <f>IFERROR(__xludf.DUMMYFUNCTION("""COMPUTED_VALUE"""),"2000")</f>
        <v>2000</v>
      </c>
      <c r="AB2537" s="15" t="str">
        <f>IFERROR(__xludf.DUMMYFUNCTION("ARRAYFORMULA(VLOOKUP(A2537,IMPORTRANGE(""https://docs.google.com/spreadsheets/d/1BuTWp7qHGjWhqrnf-OmePP568O4A5Am9ttzvVdP67zw/edit#gid=1931367683"" ,""ENERGY!$A$2:$F$2692""), {2,3,4,5,6},0))"),"Europe")</f>
        <v>Europe</v>
      </c>
      <c r="AC2537" s="14" t="str">
        <f>IFERROR(__xludf.DUMMYFUNCTION("""COMPUTED_VALUE"""),"Ukraine-Europe")</f>
        <v>Ukraine-Europe</v>
      </c>
      <c r="AD2537" s="14" t="str">
        <f>IFERROR(__xludf.DUMMYFUNCTION("""COMPUTED_VALUE"""),"2000")</f>
        <v>2000</v>
      </c>
      <c r="AE2537" s="14"/>
      <c r="AF2537" s="14"/>
    </row>
    <row r="2538">
      <c r="A2538" s="12">
        <v>2537.0</v>
      </c>
      <c r="B2538" s="12" t="s">
        <v>274</v>
      </c>
      <c r="C2538" s="5" t="s">
        <v>75</v>
      </c>
      <c r="D2538" s="8"/>
      <c r="E2538" s="8"/>
      <c r="F2538" s="8"/>
      <c r="G2538" s="8"/>
      <c r="H2538" s="11">
        <v>0.012</v>
      </c>
      <c r="I2538" s="11">
        <v>0.046</v>
      </c>
      <c r="J2538" s="9" t="s">
        <v>62</v>
      </c>
      <c r="K2538" s="14" t="str">
        <f>IFERROR(__xludf.DUMMYFUNCTION("ARRAYFORMULA(VLOOKUP(A2538,IMPORTRANGE(""https://docs.google.com/spreadsheets/d/1BuTWp7qHGjWhqrnf-OmePP568O4A5Am9ttzvVdP67zw/edit#gid=1603210130"", ""TOURISM!$A$2:$F$2692""), {2,3,4,5,6},0))"),"Europe")</f>
        <v>Europe</v>
      </c>
      <c r="L2538" s="14">
        <f>IFERROR(__xludf.DUMMYFUNCTION("""COMPUTED_VALUE"""),7.59E8)</f>
        <v>759000000</v>
      </c>
      <c r="M2538" s="14" t="str">
        <f>IFERROR(__xludf.DUMMYFUNCTION("""COMPUTED_VALUE"""),"Ukraine-Europe")</f>
        <v>Ukraine-Europe</v>
      </c>
      <c r="N2538" s="14" t="str">
        <f>IFERROR(__xludf.DUMMYFUNCTION("""COMPUTED_VALUE"""),"2001")</f>
        <v>2001</v>
      </c>
      <c r="O2538" s="14">
        <f>IFERROR(__xludf.DUMMYFUNCTION("""COMPUTED_VALUE"""),6.76E8)</f>
        <v>676000000</v>
      </c>
      <c r="P2538" s="15">
        <f>IFERROR(__xludf.DUMMYFUNCTION("ARRAYFORMULA(VLOOKUP(A2538,IMPORTRANGE(""https://docs.google.com/spreadsheets/d/1BuTWp7qHGjWhqrnf-OmePP568O4A5Am9ttzvVdP67zw/edit#gid=771602874"" ,""HUMAN RESOURCES!$A$2:$M$2692""), {2,3,4,5,6,7,8,9,10,11,12,13},0))"),0.008)</f>
        <v>0.008</v>
      </c>
      <c r="Q2538" s="14">
        <f>IFERROR(__xludf.DUMMYFUNCTION("""COMPUTED_VALUE"""),0.015)</f>
        <v>0.015</v>
      </c>
      <c r="R2538" s="14">
        <f>IFERROR(__xludf.DUMMYFUNCTION("""COMPUTED_VALUE"""),74.0)</f>
        <v>74</v>
      </c>
      <c r="S2538" s="14">
        <f>IFERROR(__xludf.DUMMYFUNCTION("""COMPUTED_VALUE"""),63.0)</f>
        <v>63</v>
      </c>
      <c r="T2538" s="14">
        <f>IFERROR(__xludf.DUMMYFUNCTION("""COMPUTED_VALUE"""),0.168)</f>
        <v>0.168</v>
      </c>
      <c r="U2538" s="14">
        <f>IFERROR(__xludf.DUMMYFUNCTION("""COMPUTED_VALUE"""),0.691)</f>
        <v>0.691</v>
      </c>
      <c r="V2538" s="14">
        <f>IFERROR(__xludf.DUMMYFUNCTION("""COMPUTED_VALUE"""),0.141)</f>
        <v>0.141</v>
      </c>
      <c r="W2538" s="14">
        <f>IFERROR(__xludf.DUMMYFUNCTION("""COMPUTED_VALUE"""),4.8683865E7)</f>
        <v>48683865</v>
      </c>
      <c r="X2538" s="14">
        <f>IFERROR(__xludf.DUMMYFUNCTION("""COMPUTED_VALUE"""),0.672)</f>
        <v>0.672</v>
      </c>
      <c r="Y2538" s="14" t="str">
        <f>IFERROR(__xludf.DUMMYFUNCTION("""COMPUTED_VALUE"""),"Ukraine-Europe")</f>
        <v>Ukraine-Europe</v>
      </c>
      <c r="Z2538" s="14" t="str">
        <f>IFERROR(__xludf.DUMMYFUNCTION("""COMPUTED_VALUE"""),"Europe")</f>
        <v>Europe</v>
      </c>
      <c r="AA2538" s="14" t="str">
        <f>IFERROR(__xludf.DUMMYFUNCTION("""COMPUTED_VALUE"""),"2001")</f>
        <v>2001</v>
      </c>
      <c r="AB2538" s="15" t="str">
        <f>IFERROR(__xludf.DUMMYFUNCTION("ARRAYFORMULA(VLOOKUP(A2538,IMPORTRANGE(""https://docs.google.com/spreadsheets/d/1BuTWp7qHGjWhqrnf-OmePP568O4A5Am9ttzvVdP67zw/edit#gid=1931367683"" ,""ENERGY!$A$2:$F$2692""), {2,3,4,5,6},0))"),"Europe")</f>
        <v>Europe</v>
      </c>
      <c r="AC2538" s="14" t="str">
        <f>IFERROR(__xludf.DUMMYFUNCTION("""COMPUTED_VALUE"""),"Ukraine-Europe")</f>
        <v>Ukraine-Europe</v>
      </c>
      <c r="AD2538" s="14" t="str">
        <f>IFERROR(__xludf.DUMMYFUNCTION("""COMPUTED_VALUE"""),"2001")</f>
        <v>2001</v>
      </c>
      <c r="AE2538" s="14">
        <f>IFERROR(__xludf.DUMMYFUNCTION("""COMPUTED_VALUE"""),126438.0)</f>
        <v>126438</v>
      </c>
      <c r="AF2538" s="14"/>
    </row>
    <row r="2539">
      <c r="A2539" s="12">
        <v>2538.0</v>
      </c>
      <c r="B2539" s="12" t="s">
        <v>274</v>
      </c>
      <c r="C2539" s="5" t="s">
        <v>75</v>
      </c>
      <c r="D2539" s="8"/>
      <c r="E2539" s="8"/>
      <c r="F2539" s="8"/>
      <c r="G2539" s="8"/>
      <c r="H2539" s="11">
        <v>0.019</v>
      </c>
      <c r="I2539" s="11">
        <v>0.077</v>
      </c>
      <c r="J2539" s="9" t="s">
        <v>63</v>
      </c>
      <c r="K2539" s="14" t="str">
        <f>IFERROR(__xludf.DUMMYFUNCTION("ARRAYFORMULA(VLOOKUP(A2539,IMPORTRANGE(""https://docs.google.com/spreadsheets/d/1BuTWp7qHGjWhqrnf-OmePP568O4A5Am9ttzvVdP67zw/edit#gid=1603210130"", ""TOURISM!$A$2:$F$2692""), {2,3,4,5,6},0))"),"Europe")</f>
        <v>Europe</v>
      </c>
      <c r="L2539" s="14">
        <f>IFERROR(__xludf.DUMMYFUNCTION("""COMPUTED_VALUE"""),1.001E9)</f>
        <v>1001000000</v>
      </c>
      <c r="M2539" s="14" t="str">
        <f>IFERROR(__xludf.DUMMYFUNCTION("""COMPUTED_VALUE"""),"Ukraine-Europe")</f>
        <v>Ukraine-Europe</v>
      </c>
      <c r="N2539" s="14" t="str">
        <f>IFERROR(__xludf.DUMMYFUNCTION("""COMPUTED_VALUE"""),"2002")</f>
        <v>2002</v>
      </c>
      <c r="O2539" s="14">
        <f>IFERROR(__xludf.DUMMYFUNCTION("""COMPUTED_VALUE"""),7.94E8)</f>
        <v>794000000</v>
      </c>
      <c r="P2539" s="15">
        <f>IFERROR(__xludf.DUMMYFUNCTION("ARRAYFORMULA(VLOOKUP(A2539,IMPORTRANGE(""https://docs.google.com/spreadsheets/d/1BuTWp7qHGjWhqrnf-OmePP568O4A5Am9ttzvVdP67zw/edit#gid=771602874"" ,""HUMAN RESOURCES!$A$2:$M$2692""), {2,3,4,5,6,7,8,9,10,11,12,13},0))"),0.009)</f>
        <v>0.009</v>
      </c>
      <c r="Q2539" s="14">
        <f>IFERROR(__xludf.DUMMYFUNCTION("""COMPUTED_VALUE"""),0.014)</f>
        <v>0.014</v>
      </c>
      <c r="R2539" s="14">
        <f>IFERROR(__xludf.DUMMYFUNCTION("""COMPUTED_VALUE"""),74.0)</f>
        <v>74</v>
      </c>
      <c r="S2539" s="14">
        <f>IFERROR(__xludf.DUMMYFUNCTION("""COMPUTED_VALUE"""),63.0)</f>
        <v>63</v>
      </c>
      <c r="T2539" s="14">
        <f>IFERROR(__xludf.DUMMYFUNCTION("""COMPUTED_VALUE"""),0.162)</f>
        <v>0.162</v>
      </c>
      <c r="U2539" s="14">
        <f>IFERROR(__xludf.DUMMYFUNCTION("""COMPUTED_VALUE"""),0.692)</f>
        <v>0.692</v>
      </c>
      <c r="V2539" s="14">
        <f>IFERROR(__xludf.DUMMYFUNCTION("""COMPUTED_VALUE"""),0.145)</f>
        <v>0.145</v>
      </c>
      <c r="W2539" s="14">
        <f>IFERROR(__xludf.DUMMYFUNCTION("""COMPUTED_VALUE"""),4.82025E7)</f>
        <v>48202500</v>
      </c>
      <c r="X2539" s="14">
        <f>IFERROR(__xludf.DUMMYFUNCTION("""COMPUTED_VALUE"""),0.673)</f>
        <v>0.673</v>
      </c>
      <c r="Y2539" s="14" t="str">
        <f>IFERROR(__xludf.DUMMYFUNCTION("""COMPUTED_VALUE"""),"Ukraine-Europe")</f>
        <v>Ukraine-Europe</v>
      </c>
      <c r="Z2539" s="14" t="str">
        <f>IFERROR(__xludf.DUMMYFUNCTION("""COMPUTED_VALUE"""),"Europe")</f>
        <v>Europe</v>
      </c>
      <c r="AA2539" s="14" t="str">
        <f>IFERROR(__xludf.DUMMYFUNCTION("""COMPUTED_VALUE"""),"2002")</f>
        <v>2002</v>
      </c>
      <c r="AB2539" s="15" t="str">
        <f>IFERROR(__xludf.DUMMYFUNCTION("ARRAYFORMULA(VLOOKUP(A2539,IMPORTRANGE(""https://docs.google.com/spreadsheets/d/1BuTWp7qHGjWhqrnf-OmePP568O4A5Am9ttzvVdP67zw/edit#gid=1931367683"" ,""ENERGY!$A$2:$F$2692""), {2,3,4,5,6},0))"),"Europe")</f>
        <v>Europe</v>
      </c>
      <c r="AC2539" s="14" t="str">
        <f>IFERROR(__xludf.DUMMYFUNCTION("""COMPUTED_VALUE"""),"Ukraine-Europe")</f>
        <v>Ukraine-Europe</v>
      </c>
      <c r="AD2539" s="14" t="str">
        <f>IFERROR(__xludf.DUMMYFUNCTION("""COMPUTED_VALUE"""),"2002")</f>
        <v>2002</v>
      </c>
      <c r="AE2539" s="14">
        <f>IFERROR(__xludf.DUMMYFUNCTION("""COMPUTED_VALUE"""),132308.0)</f>
        <v>132308</v>
      </c>
      <c r="AF2539" s="14">
        <f>IFERROR(__xludf.DUMMYFUNCTION("""COMPUTED_VALUE"""),304805.0)</f>
        <v>304805</v>
      </c>
    </row>
    <row r="2540">
      <c r="A2540" s="12">
        <v>2539.0</v>
      </c>
      <c r="B2540" s="12" t="s">
        <v>274</v>
      </c>
      <c r="C2540" s="5" t="s">
        <v>75</v>
      </c>
      <c r="D2540" s="8"/>
      <c r="E2540" s="11">
        <v>40.0</v>
      </c>
      <c r="F2540" s="8"/>
      <c r="G2540" s="8"/>
      <c r="H2540" s="11">
        <v>0.031</v>
      </c>
      <c r="I2540" s="11">
        <v>0.136</v>
      </c>
      <c r="J2540" s="9" t="s">
        <v>64</v>
      </c>
      <c r="K2540" s="14" t="str">
        <f>IFERROR(__xludf.DUMMYFUNCTION("ARRAYFORMULA(VLOOKUP(A2540,IMPORTRANGE(""https://docs.google.com/spreadsheets/d/1BuTWp7qHGjWhqrnf-OmePP568O4A5Am9ttzvVdP67zw/edit#gid=1603210130"", ""TOURISM!$A$2:$F$2692""), {2,3,4,5,6},0))"),"Europe")</f>
        <v>Europe</v>
      </c>
      <c r="L2540" s="14">
        <f>IFERROR(__xludf.DUMMYFUNCTION("""COMPUTED_VALUE"""),1.204E9)</f>
        <v>1204000000</v>
      </c>
      <c r="M2540" s="14" t="str">
        <f>IFERROR(__xludf.DUMMYFUNCTION("""COMPUTED_VALUE"""),"Ukraine-Europe")</f>
        <v>Ukraine-Europe</v>
      </c>
      <c r="N2540" s="14" t="str">
        <f>IFERROR(__xludf.DUMMYFUNCTION("""COMPUTED_VALUE"""),"2003")</f>
        <v>2003</v>
      </c>
      <c r="O2540" s="14">
        <f>IFERROR(__xludf.DUMMYFUNCTION("""COMPUTED_VALUE"""),9.53E8)</f>
        <v>953000000</v>
      </c>
      <c r="P2540" s="15">
        <f>IFERROR(__xludf.DUMMYFUNCTION("ARRAYFORMULA(VLOOKUP(A2540,IMPORTRANGE(""https://docs.google.com/spreadsheets/d/1BuTWp7qHGjWhqrnf-OmePP568O4A5Am9ttzvVdP67zw/edit#gid=771602874"" ,""HUMAN RESOURCES!$A$2:$M$2692""), {2,3,4,5,6,7,8,9,10,11,12,13},0))"),0.009)</f>
        <v>0.009</v>
      </c>
      <c r="Q2540" s="14">
        <f>IFERROR(__xludf.DUMMYFUNCTION("""COMPUTED_VALUE"""),0.014)</f>
        <v>0.014</v>
      </c>
      <c r="R2540" s="14">
        <f>IFERROR(__xludf.DUMMYFUNCTION("""COMPUTED_VALUE"""),74.0)</f>
        <v>74</v>
      </c>
      <c r="S2540" s="14">
        <f>IFERROR(__xludf.DUMMYFUNCTION("""COMPUTED_VALUE"""),63.0)</f>
        <v>63</v>
      </c>
      <c r="T2540" s="14">
        <f>IFERROR(__xludf.DUMMYFUNCTION("""COMPUTED_VALUE"""),0.156)</f>
        <v>0.156</v>
      </c>
      <c r="U2540" s="14">
        <f>IFERROR(__xludf.DUMMYFUNCTION("""COMPUTED_VALUE"""),0.693)</f>
        <v>0.693</v>
      </c>
      <c r="V2540" s="14">
        <f>IFERROR(__xludf.DUMMYFUNCTION("""COMPUTED_VALUE"""),0.15)</f>
        <v>0.15</v>
      </c>
      <c r="W2540" s="14">
        <f>IFERROR(__xludf.DUMMYFUNCTION("""COMPUTED_VALUE"""),4.781295E7)</f>
        <v>47812950</v>
      </c>
      <c r="X2540" s="14">
        <f>IFERROR(__xludf.DUMMYFUNCTION("""COMPUTED_VALUE"""),0.674)</f>
        <v>0.674</v>
      </c>
      <c r="Y2540" s="14" t="str">
        <f>IFERROR(__xludf.DUMMYFUNCTION("""COMPUTED_VALUE"""),"Ukraine-Europe")</f>
        <v>Ukraine-Europe</v>
      </c>
      <c r="Z2540" s="14" t="str">
        <f>IFERROR(__xludf.DUMMYFUNCTION("""COMPUTED_VALUE"""),"Europe")</f>
        <v>Europe</v>
      </c>
      <c r="AA2540" s="14" t="str">
        <f>IFERROR(__xludf.DUMMYFUNCTION("""COMPUTED_VALUE"""),"2003")</f>
        <v>2003</v>
      </c>
      <c r="AB2540" s="15" t="str">
        <f>IFERROR(__xludf.DUMMYFUNCTION("ARRAYFORMULA(VLOOKUP(A2540,IMPORTRANGE(""https://docs.google.com/spreadsheets/d/1BuTWp7qHGjWhqrnf-OmePP568O4A5Am9ttzvVdP67zw/edit#gid=1931367683"" ,""ENERGY!$A$2:$F$2692""), {2,3,4,5,6},0))"),"Europe")</f>
        <v>Europe</v>
      </c>
      <c r="AC2540" s="14" t="str">
        <f>IFERROR(__xludf.DUMMYFUNCTION("""COMPUTED_VALUE"""),"Ukraine-Europe")</f>
        <v>Ukraine-Europe</v>
      </c>
      <c r="AD2540" s="14" t="str">
        <f>IFERROR(__xludf.DUMMYFUNCTION("""COMPUTED_VALUE"""),"2003")</f>
        <v>2003</v>
      </c>
      <c r="AE2540" s="14">
        <f>IFERROR(__xludf.DUMMYFUNCTION("""COMPUTED_VALUE"""),114420.0)</f>
        <v>114420</v>
      </c>
      <c r="AF2540" s="14">
        <f>IFERROR(__xludf.DUMMYFUNCTION("""COMPUTED_VALUE"""),261813.0)</f>
        <v>261813</v>
      </c>
    </row>
    <row r="2541">
      <c r="A2541" s="12">
        <v>2540.0</v>
      </c>
      <c r="B2541" s="12" t="s">
        <v>274</v>
      </c>
      <c r="C2541" s="5" t="s">
        <v>75</v>
      </c>
      <c r="D2541" s="8"/>
      <c r="E2541" s="11">
        <v>34.0</v>
      </c>
      <c r="F2541" s="8"/>
      <c r="G2541" s="8"/>
      <c r="H2541" s="11">
        <v>0.035</v>
      </c>
      <c r="I2541" s="11">
        <v>0.289</v>
      </c>
      <c r="J2541" s="9" t="s">
        <v>65</v>
      </c>
      <c r="K2541" s="14" t="str">
        <f>IFERROR(__xludf.DUMMYFUNCTION("ARRAYFORMULA(VLOOKUP(A2541,IMPORTRANGE(""https://docs.google.com/spreadsheets/d/1BuTWp7qHGjWhqrnf-OmePP568O4A5Am9ttzvVdP67zw/edit#gid=1603210130"", ""TOURISM!$A$2:$F$2692""), {2,3,4,5,6},0))"),"Europe")</f>
        <v>Europe</v>
      </c>
      <c r="L2541" s="14">
        <f>IFERROR(__xludf.DUMMYFUNCTION("""COMPUTED_VALUE"""),2.931E9)</f>
        <v>2931000000</v>
      </c>
      <c r="M2541" s="14" t="str">
        <f>IFERROR(__xludf.DUMMYFUNCTION("""COMPUTED_VALUE"""),"Ukraine-Europe")</f>
        <v>Ukraine-Europe</v>
      </c>
      <c r="N2541" s="14" t="str">
        <f>IFERROR(__xludf.DUMMYFUNCTION("""COMPUTED_VALUE"""),"2004")</f>
        <v>2004</v>
      </c>
      <c r="O2541" s="14">
        <f>IFERROR(__xludf.DUMMYFUNCTION("""COMPUTED_VALUE"""),2.66E9)</f>
        <v>2660000000</v>
      </c>
      <c r="P2541" s="15">
        <f>IFERROR(__xludf.DUMMYFUNCTION("ARRAYFORMULA(VLOOKUP(A2541,IMPORTRANGE(""https://docs.google.com/spreadsheets/d/1BuTWp7qHGjWhqrnf-OmePP568O4A5Am9ttzvVdP67zw/edit#gid=771602874"" ,""HUMAN RESOURCES!$A$2:$M$2692""), {2,3,4,5,6,7,8,9,10,11,12,13},0))"),0.009)</f>
        <v>0.009</v>
      </c>
      <c r="Q2541" s="14">
        <f>IFERROR(__xludf.DUMMYFUNCTION("""COMPUTED_VALUE"""),0.013)</f>
        <v>0.013</v>
      </c>
      <c r="R2541" s="14">
        <f>IFERROR(__xludf.DUMMYFUNCTION("""COMPUTED_VALUE"""),74.0)</f>
        <v>74</v>
      </c>
      <c r="S2541" s="14">
        <f>IFERROR(__xludf.DUMMYFUNCTION("""COMPUTED_VALUE"""),63.0)</f>
        <v>63</v>
      </c>
      <c r="T2541" s="14">
        <f>IFERROR(__xludf.DUMMYFUNCTION("""COMPUTED_VALUE"""),0.151)</f>
        <v>0.151</v>
      </c>
      <c r="U2541" s="14">
        <f>IFERROR(__xludf.DUMMYFUNCTION("""COMPUTED_VALUE"""),0.694)</f>
        <v>0.694</v>
      </c>
      <c r="V2541" s="14">
        <f>IFERROR(__xludf.DUMMYFUNCTION("""COMPUTED_VALUE"""),0.155)</f>
        <v>0.155</v>
      </c>
      <c r="W2541" s="14">
        <f>IFERROR(__xludf.DUMMYFUNCTION("""COMPUTED_VALUE"""),4.74516E7)</f>
        <v>47451600</v>
      </c>
      <c r="X2541" s="14">
        <f>IFERROR(__xludf.DUMMYFUNCTION("""COMPUTED_VALUE"""),0.676)</f>
        <v>0.676</v>
      </c>
      <c r="Y2541" s="14" t="str">
        <f>IFERROR(__xludf.DUMMYFUNCTION("""COMPUTED_VALUE"""),"Ukraine-Europe")</f>
        <v>Ukraine-Europe</v>
      </c>
      <c r="Z2541" s="14" t="str">
        <f>IFERROR(__xludf.DUMMYFUNCTION("""COMPUTED_VALUE"""),"Europe")</f>
        <v>Europe</v>
      </c>
      <c r="AA2541" s="14" t="str">
        <f>IFERROR(__xludf.DUMMYFUNCTION("""COMPUTED_VALUE"""),"2004")</f>
        <v>2004</v>
      </c>
      <c r="AB2541" s="15" t="str">
        <f>IFERROR(__xludf.DUMMYFUNCTION("ARRAYFORMULA(VLOOKUP(A2541,IMPORTRANGE(""https://docs.google.com/spreadsheets/d/1BuTWp7qHGjWhqrnf-OmePP568O4A5Am9ttzvVdP67zw/edit#gid=1931367683"" ,""ENERGY!$A$2:$F$2692""), {2,3,4,5,6},0))"),"Europe")</f>
        <v>Europe</v>
      </c>
      <c r="AC2541" s="14" t="str">
        <f>IFERROR(__xludf.DUMMYFUNCTION("""COMPUTED_VALUE"""),"Ukraine-Europe")</f>
        <v>Ukraine-Europe</v>
      </c>
      <c r="AD2541" s="14" t="str">
        <f>IFERROR(__xludf.DUMMYFUNCTION("""COMPUTED_VALUE"""),"2005")</f>
        <v>2005</v>
      </c>
      <c r="AE2541" s="14">
        <f>IFERROR(__xludf.DUMMYFUNCTION("""COMPUTED_VALUE"""),134562.0)</f>
        <v>134562</v>
      </c>
      <c r="AF2541" s="14">
        <f>IFERROR(__xludf.DUMMYFUNCTION("""COMPUTED_VALUE"""),323459.0)</f>
        <v>323459</v>
      </c>
    </row>
    <row r="2542">
      <c r="A2542" s="12">
        <v>2541.0</v>
      </c>
      <c r="B2542" s="12" t="s">
        <v>274</v>
      </c>
      <c r="C2542" s="5" t="s">
        <v>75</v>
      </c>
      <c r="D2542" s="11">
        <v>0.573</v>
      </c>
      <c r="E2542" s="11">
        <v>34.0</v>
      </c>
      <c r="F2542" s="8"/>
      <c r="G2542" s="11">
        <v>2085.0</v>
      </c>
      <c r="H2542" s="11">
        <v>0.037</v>
      </c>
      <c r="I2542" s="11">
        <v>0.637</v>
      </c>
      <c r="J2542" s="9" t="s">
        <v>66</v>
      </c>
      <c r="K2542" s="14" t="str">
        <f>IFERROR(__xludf.DUMMYFUNCTION("ARRAYFORMULA(VLOOKUP(A2542,IMPORTRANGE(""https://docs.google.com/spreadsheets/d/1BuTWp7qHGjWhqrnf-OmePP568O4A5Am9ttzvVdP67zw/edit#gid=1603210130"", ""TOURISM!$A$2:$F$2692""), {2,3,4,5,6},0))"),"Europe")</f>
        <v>Europe</v>
      </c>
      <c r="L2542" s="14">
        <f>IFERROR(__xludf.DUMMYFUNCTION("""COMPUTED_VALUE"""),3.542E9)</f>
        <v>3542000000</v>
      </c>
      <c r="M2542" s="14" t="str">
        <f>IFERROR(__xludf.DUMMYFUNCTION("""COMPUTED_VALUE"""),"Ukraine-Europe")</f>
        <v>Ukraine-Europe</v>
      </c>
      <c r="N2542" s="14" t="str">
        <f>IFERROR(__xludf.DUMMYFUNCTION("""COMPUTED_VALUE"""),"2005")</f>
        <v>2005</v>
      </c>
      <c r="O2542" s="14">
        <f>IFERROR(__xludf.DUMMYFUNCTION("""COMPUTED_VALUE"""),3.078E9)</f>
        <v>3078000000</v>
      </c>
      <c r="P2542" s="15">
        <f>IFERROR(__xludf.DUMMYFUNCTION("ARRAYFORMULA(VLOOKUP(A2542,IMPORTRANGE(""https://docs.google.com/spreadsheets/d/1BuTWp7qHGjWhqrnf-OmePP568O4A5Am9ttzvVdP67zw/edit#gid=771602874"" ,""HUMAN RESOURCES!$A$2:$M$2692""), {2,3,4,5,6,7,8,9,10,11,12,13},0))"),0.009)</f>
        <v>0.009</v>
      </c>
      <c r="Q2542" s="14">
        <f>IFERROR(__xludf.DUMMYFUNCTION("""COMPUTED_VALUE"""),0.013)</f>
        <v>0.013</v>
      </c>
      <c r="R2542" s="14">
        <f>IFERROR(__xludf.DUMMYFUNCTION("""COMPUTED_VALUE"""),74.0)</f>
        <v>74</v>
      </c>
      <c r="S2542" s="14">
        <f>IFERROR(__xludf.DUMMYFUNCTION("""COMPUTED_VALUE"""),62.0)</f>
        <v>62</v>
      </c>
      <c r="T2542" s="14">
        <f>IFERROR(__xludf.DUMMYFUNCTION("""COMPUTED_VALUE"""),0.147)</f>
        <v>0.147</v>
      </c>
      <c r="U2542" s="14">
        <f>IFERROR(__xludf.DUMMYFUNCTION("""COMPUTED_VALUE"""),0.695)</f>
        <v>0.695</v>
      </c>
      <c r="V2542" s="14">
        <f>IFERROR(__xludf.DUMMYFUNCTION("""COMPUTED_VALUE"""),0.158)</f>
        <v>0.158</v>
      </c>
      <c r="W2542" s="14">
        <f>IFERROR(__xludf.DUMMYFUNCTION("""COMPUTED_VALUE"""),4.710515E7)</f>
        <v>47105150</v>
      </c>
      <c r="X2542" s="14">
        <f>IFERROR(__xludf.DUMMYFUNCTION("""COMPUTED_VALUE"""),0.678)</f>
        <v>0.678</v>
      </c>
      <c r="Y2542" s="14" t="str">
        <f>IFERROR(__xludf.DUMMYFUNCTION("""COMPUTED_VALUE"""),"Ukraine-Europe")</f>
        <v>Ukraine-Europe</v>
      </c>
      <c r="Z2542" s="14" t="str">
        <f>IFERROR(__xludf.DUMMYFUNCTION("""COMPUTED_VALUE"""),"Europe")</f>
        <v>Europe</v>
      </c>
      <c r="AA2542" s="14" t="str">
        <f>IFERROR(__xludf.DUMMYFUNCTION("""COMPUTED_VALUE"""),"2005")</f>
        <v>2005</v>
      </c>
      <c r="AB2542" s="15" t="str">
        <f>IFERROR(__xludf.DUMMYFUNCTION("ARRAYFORMULA(VLOOKUP(A2542,IMPORTRANGE(""https://docs.google.com/spreadsheets/d/1BuTWp7qHGjWhqrnf-OmePP568O4A5Am9ttzvVdP67zw/edit#gid=1931367683"" ,""ENERGY!$A$2:$F$2692""), {2,3,4,5,6},0))"),"Europe")</f>
        <v>Europe</v>
      </c>
      <c r="AC2542" s="14" t="str">
        <f>IFERROR(__xludf.DUMMYFUNCTION("""COMPUTED_VALUE"""),"Ukraine-Europe")</f>
        <v>Ukraine-Europe</v>
      </c>
      <c r="AD2542" s="14" t="str">
        <f>IFERROR(__xludf.DUMMYFUNCTION("""COMPUTED_VALUE"""),"2009")</f>
        <v>2009</v>
      </c>
      <c r="AE2542" s="14">
        <f>IFERROR(__xludf.DUMMYFUNCTION("""COMPUTED_VALUE"""),137343.0)</f>
        <v>137343</v>
      </c>
      <c r="AF2542" s="14">
        <f>IFERROR(__xludf.DUMMYFUNCTION("""COMPUTED_VALUE"""),327595.0)</f>
        <v>327595</v>
      </c>
    </row>
    <row r="2543">
      <c r="A2543" s="12">
        <v>2542.0</v>
      </c>
      <c r="B2543" s="12" t="s">
        <v>274</v>
      </c>
      <c r="C2543" s="5" t="s">
        <v>75</v>
      </c>
      <c r="D2543" s="11">
        <v>0.57</v>
      </c>
      <c r="E2543" s="11">
        <v>33.0</v>
      </c>
      <c r="F2543" s="8"/>
      <c r="G2543" s="11">
        <v>2085.0</v>
      </c>
      <c r="H2543" s="11">
        <v>0.045</v>
      </c>
      <c r="I2543" s="11">
        <v>1.047</v>
      </c>
      <c r="J2543" s="9" t="s">
        <v>67</v>
      </c>
      <c r="K2543" s="14" t="str">
        <f>IFERROR(__xludf.DUMMYFUNCTION("ARRAYFORMULA(VLOOKUP(A2543,IMPORTRANGE(""https://docs.google.com/spreadsheets/d/1BuTWp7qHGjWhqrnf-OmePP568O4A5Am9ttzvVdP67zw/edit#gid=1603210130"", ""TOURISM!$A$2:$F$2692""), {2,3,4,5,6},0))"),"Europe")</f>
        <v>Europe</v>
      </c>
      <c r="L2543" s="14">
        <f>IFERROR(__xludf.DUMMYFUNCTION("""COMPUTED_VALUE"""),4.018E9)</f>
        <v>4018000000</v>
      </c>
      <c r="M2543" s="14" t="str">
        <f>IFERROR(__xludf.DUMMYFUNCTION("""COMPUTED_VALUE"""),"Ukraine-Europe")</f>
        <v>Ukraine-Europe</v>
      </c>
      <c r="N2543" s="14" t="str">
        <f>IFERROR(__xludf.DUMMYFUNCTION("""COMPUTED_VALUE"""),"2006")</f>
        <v>2006</v>
      </c>
      <c r="O2543" s="14">
        <f>IFERROR(__xludf.DUMMYFUNCTION("""COMPUTED_VALUE"""),3.202E9)</f>
        <v>3202000000</v>
      </c>
      <c r="P2543" s="15">
        <f>IFERROR(__xludf.DUMMYFUNCTION("ARRAYFORMULA(VLOOKUP(A2543,IMPORTRANGE(""https://docs.google.com/spreadsheets/d/1BuTWp7qHGjWhqrnf-OmePP568O4A5Am9ttzvVdP67zw/edit#gid=771602874"" ,""HUMAN RESOURCES!$A$2:$M$2692""), {2,3,4,5,6,7,8,9,10,11,12,13},0))"),0.01)</f>
        <v>0.01</v>
      </c>
      <c r="Q2543" s="14">
        <f>IFERROR(__xludf.DUMMYFUNCTION("""COMPUTED_VALUE"""),0.012)</f>
        <v>0.012</v>
      </c>
      <c r="R2543" s="14">
        <f>IFERROR(__xludf.DUMMYFUNCTION("""COMPUTED_VALUE"""),74.0)</f>
        <v>74</v>
      </c>
      <c r="S2543" s="14">
        <f>IFERROR(__xludf.DUMMYFUNCTION("""COMPUTED_VALUE"""),62.0)</f>
        <v>62</v>
      </c>
      <c r="T2543" s="14">
        <f>IFERROR(__xludf.DUMMYFUNCTION("""COMPUTED_VALUE"""),0.143)</f>
        <v>0.143</v>
      </c>
      <c r="U2543" s="14">
        <f>IFERROR(__xludf.DUMMYFUNCTION("""COMPUTED_VALUE"""),0.697)</f>
        <v>0.697</v>
      </c>
      <c r="V2543" s="14">
        <f>IFERROR(__xludf.DUMMYFUNCTION("""COMPUTED_VALUE"""),0.16)</f>
        <v>0.16</v>
      </c>
      <c r="W2543" s="14">
        <f>IFERROR(__xludf.DUMMYFUNCTION("""COMPUTED_VALUE"""),4.678775E7)</f>
        <v>46787750</v>
      </c>
      <c r="X2543" s="14">
        <f>IFERROR(__xludf.DUMMYFUNCTION("""COMPUTED_VALUE"""),0.68)</f>
        <v>0.68</v>
      </c>
      <c r="Y2543" s="14" t="str">
        <f>IFERROR(__xludf.DUMMYFUNCTION("""COMPUTED_VALUE"""),"Ukraine-Europe")</f>
        <v>Ukraine-Europe</v>
      </c>
      <c r="Z2543" s="14" t="str">
        <f>IFERROR(__xludf.DUMMYFUNCTION("""COMPUTED_VALUE"""),"Europe")</f>
        <v>Europe</v>
      </c>
      <c r="AA2543" s="14" t="str">
        <f>IFERROR(__xludf.DUMMYFUNCTION("""COMPUTED_VALUE"""),"2006")</f>
        <v>2006</v>
      </c>
      <c r="AB2543" s="15" t="str">
        <f>IFERROR(__xludf.DUMMYFUNCTION("ARRAYFORMULA(VLOOKUP(A2543,IMPORTRANGE(""https://docs.google.com/spreadsheets/d/1BuTWp7qHGjWhqrnf-OmePP568O4A5Am9ttzvVdP67zw/edit#gid=1931367683"" ,""ENERGY!$A$2:$F$2692""), {2,3,4,5,6},0))"),"Europe")</f>
        <v>Europe</v>
      </c>
      <c r="AC2543" s="14" t="str">
        <f>IFERROR(__xludf.DUMMYFUNCTION("""COMPUTED_VALUE"""),"Ukraine-Europe")</f>
        <v>Ukraine-Europe</v>
      </c>
      <c r="AD2543" s="14" t="str">
        <f>IFERROR(__xludf.DUMMYFUNCTION("""COMPUTED_VALUE"""),"2005")</f>
        <v>2005</v>
      </c>
      <c r="AE2543" s="14">
        <f>IFERROR(__xludf.DUMMYFUNCTION("""COMPUTED_VALUE"""),137333.0)</f>
        <v>137333</v>
      </c>
      <c r="AF2543" s="14">
        <f>IFERROR(__xludf.DUMMYFUNCTION("""COMPUTED_VALUE"""),326480.0)</f>
        <v>326480</v>
      </c>
    </row>
    <row r="2544">
      <c r="A2544" s="12">
        <v>2543.0</v>
      </c>
      <c r="B2544" s="12" t="s">
        <v>274</v>
      </c>
      <c r="C2544" s="5" t="s">
        <v>75</v>
      </c>
      <c r="D2544" s="11">
        <v>0.566</v>
      </c>
      <c r="E2544" s="11">
        <v>27.0</v>
      </c>
      <c r="F2544" s="8"/>
      <c r="G2544" s="11">
        <v>2085.0</v>
      </c>
      <c r="H2544" s="11">
        <v>0.066</v>
      </c>
      <c r="I2544" s="11">
        <v>1.184</v>
      </c>
      <c r="J2544" s="9" t="s">
        <v>68</v>
      </c>
      <c r="K2544" s="14" t="str">
        <f>IFERROR(__xludf.DUMMYFUNCTION("ARRAYFORMULA(VLOOKUP(A2544,IMPORTRANGE(""https://docs.google.com/spreadsheets/d/1BuTWp7qHGjWhqrnf-OmePP568O4A5Am9ttzvVdP67zw/edit#gid=1603210130"", ""TOURISM!$A$2:$F$2692""), {2,3,4,5,6},0))"),"Europe")</f>
        <v>Europe</v>
      </c>
      <c r="L2544" s="14">
        <f>IFERROR(__xludf.DUMMYFUNCTION("""COMPUTED_VALUE"""),5.32E9)</f>
        <v>5320000000</v>
      </c>
      <c r="M2544" s="14" t="str">
        <f>IFERROR(__xludf.DUMMYFUNCTION("""COMPUTED_VALUE"""),"Ukraine-Europe")</f>
        <v>Ukraine-Europe</v>
      </c>
      <c r="N2544" s="14" t="str">
        <f>IFERROR(__xludf.DUMMYFUNCTION("""COMPUTED_VALUE"""),"2007")</f>
        <v>2007</v>
      </c>
      <c r="O2544" s="14">
        <f>IFERROR(__xludf.DUMMYFUNCTION("""COMPUTED_VALUE"""),4.022E9)</f>
        <v>4022000000</v>
      </c>
      <c r="P2544" s="15">
        <f>IFERROR(__xludf.DUMMYFUNCTION("ARRAYFORMULA(VLOOKUP(A2544,IMPORTRANGE(""https://docs.google.com/spreadsheets/d/1BuTWp7qHGjWhqrnf-OmePP568O4A5Am9ttzvVdP67zw/edit#gid=771602874"" ,""HUMAN RESOURCES!$A$2:$M$2692""), {2,3,4,5,6,7,8,9,10,11,12,13},0))"),0.01)</f>
        <v>0.01</v>
      </c>
      <c r="Q2544" s="14">
        <f>IFERROR(__xludf.DUMMYFUNCTION("""COMPUTED_VALUE"""),0.012)</f>
        <v>0.012</v>
      </c>
      <c r="R2544" s="14">
        <f>IFERROR(__xludf.DUMMYFUNCTION("""COMPUTED_VALUE"""),74.0)</f>
        <v>74</v>
      </c>
      <c r="S2544" s="14">
        <f>IFERROR(__xludf.DUMMYFUNCTION("""COMPUTED_VALUE"""),63.0)</f>
        <v>63</v>
      </c>
      <c r="T2544" s="14">
        <f>IFERROR(__xludf.DUMMYFUNCTION("""COMPUTED_VALUE"""),0.141)</f>
        <v>0.141</v>
      </c>
      <c r="U2544" s="14">
        <f>IFERROR(__xludf.DUMMYFUNCTION("""COMPUTED_VALUE"""),0.698)</f>
        <v>0.698</v>
      </c>
      <c r="V2544" s="14">
        <f>IFERROR(__xludf.DUMMYFUNCTION("""COMPUTED_VALUE"""),0.161)</f>
        <v>0.161</v>
      </c>
      <c r="W2544" s="14">
        <f>IFERROR(__xludf.DUMMYFUNCTION("""COMPUTED_VALUE"""),4.650935E7)</f>
        <v>46509350</v>
      </c>
      <c r="X2544" s="14">
        <f>IFERROR(__xludf.DUMMYFUNCTION("""COMPUTED_VALUE"""),0.681)</f>
        <v>0.681</v>
      </c>
      <c r="Y2544" s="14" t="str">
        <f>IFERROR(__xludf.DUMMYFUNCTION("""COMPUTED_VALUE"""),"Ukraine-Europe")</f>
        <v>Ukraine-Europe</v>
      </c>
      <c r="Z2544" s="14" t="str">
        <f>IFERROR(__xludf.DUMMYFUNCTION("""COMPUTED_VALUE"""),"Europe")</f>
        <v>Europe</v>
      </c>
      <c r="AA2544" s="14" t="str">
        <f>IFERROR(__xludf.DUMMYFUNCTION("""COMPUTED_VALUE"""),"2007")</f>
        <v>2007</v>
      </c>
      <c r="AB2544" s="15" t="str">
        <f>IFERROR(__xludf.DUMMYFUNCTION("ARRAYFORMULA(VLOOKUP(A2544,IMPORTRANGE(""https://docs.google.com/spreadsheets/d/1BuTWp7qHGjWhqrnf-OmePP568O4A5Am9ttzvVdP67zw/edit#gid=1931367683"" ,""ENERGY!$A$2:$F$2692""), {2,3,4,5,6},0))"),"Europe")</f>
        <v>Europe</v>
      </c>
      <c r="AC2544" s="14" t="str">
        <f>IFERROR(__xludf.DUMMYFUNCTION("""COMPUTED_VALUE"""),"Ukraine-Europe")</f>
        <v>Ukraine-Europe</v>
      </c>
      <c r="AD2544" s="14" t="str">
        <f>IFERROR(__xludf.DUMMYFUNCTION("""COMPUTED_VALUE"""),"2011")</f>
        <v>2011</v>
      </c>
      <c r="AE2544" s="14">
        <f>IFERROR(__xludf.DUMMYFUNCTION("""COMPUTED_VALUE"""),142883.0)</f>
        <v>142883</v>
      </c>
      <c r="AF2544" s="14">
        <f>IFERROR(__xludf.DUMMYFUNCTION("""COMPUTED_VALUE"""),333869.0)</f>
        <v>333869</v>
      </c>
    </row>
    <row r="2545">
      <c r="A2545" s="12">
        <v>2544.0</v>
      </c>
      <c r="B2545" s="12" t="s">
        <v>274</v>
      </c>
      <c r="C2545" s="5" t="s">
        <v>75</v>
      </c>
      <c r="D2545" s="11">
        <v>0.572</v>
      </c>
      <c r="E2545" s="11">
        <v>27.0</v>
      </c>
      <c r="F2545" s="8"/>
      <c r="G2545" s="11">
        <v>848.0</v>
      </c>
      <c r="H2545" s="11">
        <v>0.11</v>
      </c>
      <c r="I2545" s="11">
        <v>1.198</v>
      </c>
      <c r="J2545" s="9" t="s">
        <v>69</v>
      </c>
      <c r="K2545" s="14" t="str">
        <f>IFERROR(__xludf.DUMMYFUNCTION("ARRAYFORMULA(VLOOKUP(A2545,IMPORTRANGE(""https://docs.google.com/spreadsheets/d/1BuTWp7qHGjWhqrnf-OmePP568O4A5Am9ttzvVdP67zw/edit#gid=1603210130"", ""TOURISM!$A$2:$F$2692""), {2,3,4,5,6},0))"),"Europe")</f>
        <v>Europe</v>
      </c>
      <c r="L2545" s="14">
        <f>IFERROR(__xludf.DUMMYFUNCTION("""COMPUTED_VALUE"""),6.722E9)</f>
        <v>6722000000</v>
      </c>
      <c r="M2545" s="14" t="str">
        <f>IFERROR(__xludf.DUMMYFUNCTION("""COMPUTED_VALUE"""),"Ukraine-Europe")</f>
        <v>Ukraine-Europe</v>
      </c>
      <c r="N2545" s="14" t="str">
        <f>IFERROR(__xludf.DUMMYFUNCTION("""COMPUTED_VALUE"""),"2008")</f>
        <v>2008</v>
      </c>
      <c r="O2545" s="14">
        <f>IFERROR(__xludf.DUMMYFUNCTION("""COMPUTED_VALUE"""),4.585E9)</f>
        <v>4585000000</v>
      </c>
      <c r="P2545" s="15">
        <f>IFERROR(__xludf.DUMMYFUNCTION("ARRAYFORMULA(VLOOKUP(A2545,IMPORTRANGE(""https://docs.google.com/spreadsheets/d/1BuTWp7qHGjWhqrnf-OmePP568O4A5Am9ttzvVdP67zw/edit#gid=771602874"" ,""HUMAN RESOURCES!$A$2:$M$2692""), {2,3,4,5,6,7,8,9,10,11,12,13},0))"),0.011)</f>
        <v>0.011</v>
      </c>
      <c r="Q2545" s="14">
        <f>IFERROR(__xludf.DUMMYFUNCTION("""COMPUTED_VALUE"""),0.011)</f>
        <v>0.011</v>
      </c>
      <c r="R2545" s="14">
        <f>IFERROR(__xludf.DUMMYFUNCTION("""COMPUTED_VALUE"""),74.0)</f>
        <v>74</v>
      </c>
      <c r="S2545" s="14">
        <f>IFERROR(__xludf.DUMMYFUNCTION("""COMPUTED_VALUE"""),63.0)</f>
        <v>63</v>
      </c>
      <c r="T2545" s="14">
        <f>IFERROR(__xludf.DUMMYFUNCTION("""COMPUTED_VALUE"""),0.139)</f>
        <v>0.139</v>
      </c>
      <c r="U2545" s="14">
        <f>IFERROR(__xludf.DUMMYFUNCTION("""COMPUTED_VALUE"""),0.7)</f>
        <v>0.7</v>
      </c>
      <c r="V2545" s="14">
        <f>IFERROR(__xludf.DUMMYFUNCTION("""COMPUTED_VALUE"""),0.16)</f>
        <v>0.16</v>
      </c>
      <c r="W2545" s="14">
        <f>IFERROR(__xludf.DUMMYFUNCTION("""COMPUTED_VALUE"""),4.62582E7)</f>
        <v>46258200</v>
      </c>
      <c r="X2545" s="14">
        <f>IFERROR(__xludf.DUMMYFUNCTION("""COMPUTED_VALUE"""),0.683)</f>
        <v>0.683</v>
      </c>
      <c r="Y2545" s="14" t="str">
        <f>IFERROR(__xludf.DUMMYFUNCTION("""COMPUTED_VALUE"""),"Ukraine-Europe")</f>
        <v>Ukraine-Europe</v>
      </c>
      <c r="Z2545" s="14" t="str">
        <f>IFERROR(__xludf.DUMMYFUNCTION("""COMPUTED_VALUE"""),"Europe")</f>
        <v>Europe</v>
      </c>
      <c r="AA2545" s="14" t="str">
        <f>IFERROR(__xludf.DUMMYFUNCTION("""COMPUTED_VALUE"""),"2008")</f>
        <v>2008</v>
      </c>
      <c r="AB2545" s="15" t="str">
        <f>IFERROR(__xludf.DUMMYFUNCTION("ARRAYFORMULA(VLOOKUP(A2545,IMPORTRANGE(""https://docs.google.com/spreadsheets/d/1BuTWp7qHGjWhqrnf-OmePP568O4A5Am9ttzvVdP67zw/edit#gid=1931367683"" ,""ENERGY!$A$2:$F$2692""), {2,3,4,5,6},0))"),"Europe")</f>
        <v>Europe</v>
      </c>
      <c r="AC2545" s="14" t="str">
        <f>IFERROR(__xludf.DUMMYFUNCTION("""COMPUTED_VALUE"""),"Ukraine-Europe")</f>
        <v>Ukraine-Europe</v>
      </c>
      <c r="AD2545" s="14" t="str">
        <f>IFERROR(__xludf.DUMMYFUNCTION("""COMPUTED_VALUE"""),"2008")</f>
        <v>2008</v>
      </c>
      <c r="AE2545" s="14">
        <f>IFERROR(__xludf.DUMMYFUNCTION("""COMPUTED_VALUE"""),143843.0)</f>
        <v>143843</v>
      </c>
      <c r="AF2545" s="14">
        <f>IFERROR(__xludf.DUMMYFUNCTION("""COMPUTED_VALUE"""),343121.0)</f>
        <v>343121</v>
      </c>
    </row>
    <row r="2546">
      <c r="A2546" s="12">
        <v>2545.0</v>
      </c>
      <c r="B2546" s="12" t="s">
        <v>274</v>
      </c>
      <c r="C2546" s="5" t="s">
        <v>75</v>
      </c>
      <c r="D2546" s="11">
        <v>0.572</v>
      </c>
      <c r="E2546" s="11">
        <v>27.0</v>
      </c>
      <c r="F2546" s="8"/>
      <c r="G2546" s="11">
        <v>736.0</v>
      </c>
      <c r="H2546" s="11">
        <v>0.179</v>
      </c>
      <c r="I2546" s="11">
        <v>1.188</v>
      </c>
      <c r="J2546" s="9" t="s">
        <v>70</v>
      </c>
      <c r="K2546" s="14" t="str">
        <f>IFERROR(__xludf.DUMMYFUNCTION("ARRAYFORMULA(VLOOKUP(A2546,IMPORTRANGE(""https://docs.google.com/spreadsheets/d/1BuTWp7qHGjWhqrnf-OmePP568O4A5Am9ttzvVdP67zw/edit#gid=1603210130"", ""TOURISM!$A$2:$F$2692""), {2,3,4,5,6},0))"),"Europe")</f>
        <v>Europe</v>
      </c>
      <c r="L2546" s="14">
        <f>IFERROR(__xludf.DUMMYFUNCTION("""COMPUTED_VALUE"""),4.349E9)</f>
        <v>4349000000</v>
      </c>
      <c r="M2546" s="14" t="str">
        <f>IFERROR(__xludf.DUMMYFUNCTION("""COMPUTED_VALUE"""),"Ukraine-Europe")</f>
        <v>Ukraine-Europe</v>
      </c>
      <c r="N2546" s="14" t="str">
        <f>IFERROR(__xludf.DUMMYFUNCTION("""COMPUTED_VALUE"""),"2009")</f>
        <v>2009</v>
      </c>
      <c r="O2546" s="14">
        <f>IFERROR(__xludf.DUMMYFUNCTION("""COMPUTED_VALUE"""),3.751E9)</f>
        <v>3751000000</v>
      </c>
      <c r="P2546" s="15">
        <f>IFERROR(__xludf.DUMMYFUNCTION("ARRAYFORMULA(VLOOKUP(A2546,IMPORTRANGE(""https://docs.google.com/spreadsheets/d/1BuTWp7qHGjWhqrnf-OmePP568O4A5Am9ttzvVdP67zw/edit#gid=771602874"" ,""HUMAN RESOURCES!$A$2:$M$2692""), {2,3,4,5,6,7,8,9,10,11,12,13},0))"),0.011)</f>
        <v>0.011</v>
      </c>
      <c r="Q2546" s="14">
        <f>IFERROR(__xludf.DUMMYFUNCTION("""COMPUTED_VALUE"""),0.011)</f>
        <v>0.011</v>
      </c>
      <c r="R2546" s="14">
        <f>IFERROR(__xludf.DUMMYFUNCTION("""COMPUTED_VALUE"""),75.0)</f>
        <v>75</v>
      </c>
      <c r="S2546" s="14">
        <f>IFERROR(__xludf.DUMMYFUNCTION("""COMPUTED_VALUE"""),64.0)</f>
        <v>64</v>
      </c>
      <c r="T2546" s="14">
        <f>IFERROR(__xludf.DUMMYFUNCTION("""COMPUTED_VALUE"""),0.139)</f>
        <v>0.139</v>
      </c>
      <c r="U2546" s="14">
        <f>IFERROR(__xludf.DUMMYFUNCTION("""COMPUTED_VALUE"""),0.702)</f>
        <v>0.702</v>
      </c>
      <c r="V2546" s="14">
        <f>IFERROR(__xludf.DUMMYFUNCTION("""COMPUTED_VALUE"""),0.159)</f>
        <v>0.159</v>
      </c>
      <c r="W2546" s="14">
        <f>IFERROR(__xludf.DUMMYFUNCTION("""COMPUTED_VALUE"""),4.60533E7)</f>
        <v>46053300</v>
      </c>
      <c r="X2546" s="14">
        <f>IFERROR(__xludf.DUMMYFUNCTION("""COMPUTED_VALUE"""),0.685)</f>
        <v>0.685</v>
      </c>
      <c r="Y2546" s="14" t="str">
        <f>IFERROR(__xludf.DUMMYFUNCTION("""COMPUTED_VALUE"""),"Ukraine-Europe")</f>
        <v>Ukraine-Europe</v>
      </c>
      <c r="Z2546" s="14" t="str">
        <f>IFERROR(__xludf.DUMMYFUNCTION("""COMPUTED_VALUE"""),"Europe")</f>
        <v>Europe</v>
      </c>
      <c r="AA2546" s="14" t="str">
        <f>IFERROR(__xludf.DUMMYFUNCTION("""COMPUTED_VALUE"""),"2009")</f>
        <v>2009</v>
      </c>
      <c r="AB2546" s="15" t="str">
        <f>IFERROR(__xludf.DUMMYFUNCTION("ARRAYFORMULA(VLOOKUP(A2546,IMPORTRANGE(""https://docs.google.com/spreadsheets/d/1BuTWp7qHGjWhqrnf-OmePP568O4A5Am9ttzvVdP67zw/edit#gid=1931367683"" ,""ENERGY!$A$2:$F$2692""), {2,3,4,5,6},0))"),"Europe")</f>
        <v>Europe</v>
      </c>
      <c r="AC2546" s="14" t="str">
        <f>IFERROR(__xludf.DUMMYFUNCTION("""COMPUTED_VALUE"""),"Ukraine-Europe")</f>
        <v>Ukraine-Europe</v>
      </c>
      <c r="AD2546" s="14" t="str">
        <f>IFERROR(__xludf.DUMMYFUNCTION("""COMPUTED_VALUE"""),"2012")</f>
        <v>2012</v>
      </c>
      <c r="AE2546" s="14">
        <f>IFERROR(__xludf.DUMMYFUNCTION("""COMPUTED_VALUE"""),144641.0)</f>
        <v>144641</v>
      </c>
      <c r="AF2546" s="14">
        <f>IFERROR(__xludf.DUMMYFUNCTION("""COMPUTED_VALUE"""),352259.0)</f>
        <v>352259</v>
      </c>
    </row>
    <row r="2547">
      <c r="A2547" s="12">
        <v>2546.0</v>
      </c>
      <c r="B2547" s="12" t="s">
        <v>274</v>
      </c>
      <c r="C2547" s="5" t="s">
        <v>75</v>
      </c>
      <c r="D2547" s="11">
        <v>0.555</v>
      </c>
      <c r="E2547" s="11">
        <v>27.0</v>
      </c>
      <c r="F2547" s="8"/>
      <c r="G2547" s="11">
        <v>657.0</v>
      </c>
      <c r="H2547" s="11">
        <v>0.233</v>
      </c>
      <c r="I2547" s="11">
        <v>1.171</v>
      </c>
      <c r="J2547" s="9" t="s">
        <v>71</v>
      </c>
      <c r="K2547" s="14" t="str">
        <f>IFERROR(__xludf.DUMMYFUNCTION("ARRAYFORMULA(VLOOKUP(A2547,IMPORTRANGE(""https://docs.google.com/spreadsheets/d/1BuTWp7qHGjWhqrnf-OmePP568O4A5Am9ttzvVdP67zw/edit#gid=1603210130"", ""TOURISM!$A$2:$F$2692""), {2,3,4,5,6},0))"),"Europe")</f>
        <v>Europe</v>
      </c>
      <c r="L2547" s="14">
        <f>IFERROR(__xludf.DUMMYFUNCTION("""COMPUTED_VALUE"""),4.696E9)</f>
        <v>4696000000</v>
      </c>
      <c r="M2547" s="14" t="str">
        <f>IFERROR(__xludf.DUMMYFUNCTION("""COMPUTED_VALUE"""),"Ukraine-Europe")</f>
        <v>Ukraine-Europe</v>
      </c>
      <c r="N2547" s="14" t="str">
        <f>IFERROR(__xludf.DUMMYFUNCTION("""COMPUTED_VALUE"""),"2010")</f>
        <v>2010</v>
      </c>
      <c r="O2547" s="14">
        <f>IFERROR(__xludf.DUMMYFUNCTION("""COMPUTED_VALUE"""),4.134E9)</f>
        <v>4134000000</v>
      </c>
      <c r="P2547" s="15">
        <f>IFERROR(__xludf.DUMMYFUNCTION("ARRAYFORMULA(VLOOKUP(A2547,IMPORTRANGE(""https://docs.google.com/spreadsheets/d/1BuTWp7qHGjWhqrnf-OmePP568O4A5Am9ttzvVdP67zw/edit#gid=771602874"" ,""HUMAN RESOURCES!$A$2:$M$2692""), {2,3,4,5,6,7,8,9,10,11,12,13},0))"),0.011)</f>
        <v>0.011</v>
      </c>
      <c r="Q2547" s="14">
        <f>IFERROR(__xludf.DUMMYFUNCTION("""COMPUTED_VALUE"""),0.01)</f>
        <v>0.01</v>
      </c>
      <c r="R2547" s="14">
        <f>IFERROR(__xludf.DUMMYFUNCTION("""COMPUTED_VALUE"""),76.0)</f>
        <v>76</v>
      </c>
      <c r="S2547" s="14">
        <f>IFERROR(__xludf.DUMMYFUNCTION("""COMPUTED_VALUE"""),65.0)</f>
        <v>65</v>
      </c>
      <c r="T2547" s="14">
        <f>IFERROR(__xludf.DUMMYFUNCTION("""COMPUTED_VALUE"""),0.139)</f>
        <v>0.139</v>
      </c>
      <c r="U2547" s="14">
        <f>IFERROR(__xludf.DUMMYFUNCTION("""COMPUTED_VALUE"""),0.703)</f>
        <v>0.703</v>
      </c>
      <c r="V2547" s="14">
        <f>IFERROR(__xludf.DUMMYFUNCTION("""COMPUTED_VALUE"""),0.158)</f>
        <v>0.158</v>
      </c>
      <c r="W2547" s="14">
        <f>IFERROR(__xludf.DUMMYFUNCTION("""COMPUTED_VALUE"""),4.58707E7)</f>
        <v>45870700</v>
      </c>
      <c r="X2547" s="14">
        <f>IFERROR(__xludf.DUMMYFUNCTION("""COMPUTED_VALUE"""),0.687)</f>
        <v>0.687</v>
      </c>
      <c r="Y2547" s="14" t="str">
        <f>IFERROR(__xludf.DUMMYFUNCTION("""COMPUTED_VALUE"""),"Ukraine-Europe")</f>
        <v>Ukraine-Europe</v>
      </c>
      <c r="Z2547" s="14" t="str">
        <f>IFERROR(__xludf.DUMMYFUNCTION("""COMPUTED_VALUE"""),"Europe")</f>
        <v>Europe</v>
      </c>
      <c r="AA2547" s="14" t="str">
        <f>IFERROR(__xludf.DUMMYFUNCTION("""COMPUTED_VALUE"""),"2010")</f>
        <v>2010</v>
      </c>
      <c r="AB2547" s="15" t="str">
        <f>IFERROR(__xludf.DUMMYFUNCTION("ARRAYFORMULA(VLOOKUP(A2547,IMPORTRANGE(""https://docs.google.com/spreadsheets/d/1BuTWp7qHGjWhqrnf-OmePP568O4A5Am9ttzvVdP67zw/edit#gid=1931367683"" ,""ENERGY!$A$2:$F$2692""), {2,3,4,5,6},0))"),"Europe")</f>
        <v>Europe</v>
      </c>
      <c r="AC2547" s="14" t="str">
        <f>IFERROR(__xludf.DUMMYFUNCTION("""COMPUTED_VALUE"""),"Ukraine-Europe")</f>
        <v>Ukraine-Europe</v>
      </c>
      <c r="AD2547" s="14" t="str">
        <f>IFERROR(__xludf.DUMMYFUNCTION("""COMPUTED_VALUE"""),"2010")</f>
        <v>2010</v>
      </c>
      <c r="AE2547" s="14">
        <f>IFERROR(__xludf.DUMMYFUNCTION("""COMPUTED_VALUE"""),135601.0)</f>
        <v>135601</v>
      </c>
      <c r="AF2547" s="14">
        <f>IFERROR(__xludf.DUMMYFUNCTION("""COMPUTED_VALUE"""),318684.0)</f>
        <v>318684</v>
      </c>
    </row>
    <row r="2548">
      <c r="A2548" s="12">
        <v>2547.0</v>
      </c>
      <c r="B2548" s="12" t="s">
        <v>274</v>
      </c>
      <c r="C2548" s="5" t="s">
        <v>75</v>
      </c>
      <c r="D2548" s="11">
        <v>0.571</v>
      </c>
      <c r="E2548" s="11">
        <v>24.0</v>
      </c>
      <c r="F2548" s="8"/>
      <c r="G2548" s="11">
        <v>657.0</v>
      </c>
      <c r="H2548" s="11">
        <v>0.287</v>
      </c>
      <c r="I2548" s="11">
        <v>1.213</v>
      </c>
      <c r="J2548" s="9" t="s">
        <v>72</v>
      </c>
      <c r="K2548" s="14" t="str">
        <f>IFERROR(__xludf.DUMMYFUNCTION("ARRAYFORMULA(VLOOKUP(A2548,IMPORTRANGE(""https://docs.google.com/spreadsheets/d/1BuTWp7qHGjWhqrnf-OmePP568O4A5Am9ttzvVdP67zw/edit#gid=1603210130"", ""TOURISM!$A$2:$F$2692""), {2,3,4,5,6},0))"),"Europe")</f>
        <v>Europe</v>
      </c>
      <c r="L2548" s="14">
        <f>IFERROR(__xludf.DUMMYFUNCTION("""COMPUTED_VALUE"""),5.406E9)</f>
        <v>5406000000</v>
      </c>
      <c r="M2548" s="14" t="str">
        <f>IFERROR(__xludf.DUMMYFUNCTION("""COMPUTED_VALUE"""),"Ukraine-Europe")</f>
        <v>Ukraine-Europe</v>
      </c>
      <c r="N2548" s="14" t="str">
        <f>IFERROR(__xludf.DUMMYFUNCTION("""COMPUTED_VALUE"""),"2011")</f>
        <v>2011</v>
      </c>
      <c r="O2548" s="14">
        <f>IFERROR(__xludf.DUMMYFUNCTION("""COMPUTED_VALUE"""),4.829E9)</f>
        <v>4829000000</v>
      </c>
      <c r="P2548" s="15">
        <f>IFERROR(__xludf.DUMMYFUNCTION("ARRAYFORMULA(VLOOKUP(A2548,IMPORTRANGE(""https://docs.google.com/spreadsheets/d/1BuTWp7qHGjWhqrnf-OmePP568O4A5Am9ttzvVdP67zw/edit#gid=771602874"" ,""HUMAN RESOURCES!$A$2:$M$2692""), {2,3,4,5,6,7,8,9,10,11,12,13},0))"),0.011)</f>
        <v>0.011</v>
      </c>
      <c r="Q2548" s="14">
        <f>IFERROR(__xludf.DUMMYFUNCTION("""COMPUTED_VALUE"""),0.01)</f>
        <v>0.01</v>
      </c>
      <c r="R2548" s="14">
        <f>IFERROR(__xludf.DUMMYFUNCTION("""COMPUTED_VALUE"""),76.0)</f>
        <v>76</v>
      </c>
      <c r="S2548" s="14">
        <f>IFERROR(__xludf.DUMMYFUNCTION("""COMPUTED_VALUE"""),66.0)</f>
        <v>66</v>
      </c>
      <c r="T2548" s="14">
        <f>IFERROR(__xludf.DUMMYFUNCTION("""COMPUTED_VALUE"""),0.14)</f>
        <v>0.14</v>
      </c>
      <c r="U2548" s="14">
        <f>IFERROR(__xludf.DUMMYFUNCTION("""COMPUTED_VALUE"""),0.704)</f>
        <v>0.704</v>
      </c>
      <c r="V2548" s="14">
        <f>IFERROR(__xludf.DUMMYFUNCTION("""COMPUTED_VALUE"""),0.156)</f>
        <v>0.156</v>
      </c>
      <c r="W2548" s="14">
        <f>IFERROR(__xludf.DUMMYFUNCTION("""COMPUTED_VALUE"""),4.57061E7)</f>
        <v>45706100</v>
      </c>
      <c r="X2548" s="14">
        <f>IFERROR(__xludf.DUMMYFUNCTION("""COMPUTED_VALUE"""),0.689)</f>
        <v>0.689</v>
      </c>
      <c r="Y2548" s="14" t="str">
        <f>IFERROR(__xludf.DUMMYFUNCTION("""COMPUTED_VALUE"""),"Ukraine-Europe")</f>
        <v>Ukraine-Europe</v>
      </c>
      <c r="Z2548" s="14" t="str">
        <f>IFERROR(__xludf.DUMMYFUNCTION("""COMPUTED_VALUE"""),"Europe")</f>
        <v>Europe</v>
      </c>
      <c r="AA2548" s="14" t="str">
        <f>IFERROR(__xludf.DUMMYFUNCTION("""COMPUTED_VALUE"""),"2011")</f>
        <v>2011</v>
      </c>
      <c r="AB2548" s="15" t="str">
        <f>IFERROR(__xludf.DUMMYFUNCTION("ARRAYFORMULA(VLOOKUP(A2548,IMPORTRANGE(""https://docs.google.com/spreadsheets/d/1BuTWp7qHGjWhqrnf-OmePP568O4A5Am9ttzvVdP67zw/edit#gid=1931367683"" ,""ENERGY!$A$2:$F$2692""), {2,3,4,5,6},0))"),"Europe")</f>
        <v>Europe</v>
      </c>
      <c r="AC2548" s="14" t="str">
        <f>IFERROR(__xludf.DUMMYFUNCTION("""COMPUTED_VALUE"""),"Ukraine-Europe")</f>
        <v>Ukraine-Europe</v>
      </c>
      <c r="AD2548" s="14" t="str">
        <f>IFERROR(__xludf.DUMMYFUNCTION("""COMPUTED_VALUE"""),"2008")</f>
        <v>2008</v>
      </c>
      <c r="AE2548" s="14">
        <f>IFERROR(__xludf.DUMMYFUNCTION("""COMPUTED_VALUE"""),134096.0)</f>
        <v>134096</v>
      </c>
      <c r="AF2548" s="14">
        <f>IFERROR(__xludf.DUMMYFUNCTION("""COMPUTED_VALUE"""),321651.0)</f>
        <v>321651</v>
      </c>
    </row>
    <row r="2549">
      <c r="A2549" s="12">
        <v>2548.0</v>
      </c>
      <c r="B2549" s="12" t="s">
        <v>274</v>
      </c>
      <c r="C2549" s="5" t="s">
        <v>75</v>
      </c>
      <c r="D2549" s="11">
        <v>0.554</v>
      </c>
      <c r="E2549" s="11">
        <v>22.0</v>
      </c>
      <c r="F2549" s="11">
        <v>140.0</v>
      </c>
      <c r="G2549" s="11">
        <v>491.0</v>
      </c>
      <c r="H2549" s="11">
        <v>0.353</v>
      </c>
      <c r="I2549" s="11">
        <v>1.303</v>
      </c>
      <c r="J2549" s="9" t="s">
        <v>73</v>
      </c>
      <c r="K2549" s="14" t="str">
        <f>IFERROR(__xludf.DUMMYFUNCTION("ARRAYFORMULA(VLOOKUP(A2549,IMPORTRANGE(""https://docs.google.com/spreadsheets/d/1BuTWp7qHGjWhqrnf-OmePP568O4A5Am9ttzvVdP67zw/edit#gid=1603210130"", ""TOURISM!$A$2:$F$2692""), {2,3,4,5,6},0))"),"Europe")</f>
        <v>Europe</v>
      </c>
      <c r="L2549" s="14">
        <f>IFERROR(__xludf.DUMMYFUNCTION("""COMPUTED_VALUE"""),5.988E9)</f>
        <v>5988000000</v>
      </c>
      <c r="M2549" s="14" t="str">
        <f>IFERROR(__xludf.DUMMYFUNCTION("""COMPUTED_VALUE"""),"Ukraine-Europe")</f>
        <v>Ukraine-Europe</v>
      </c>
      <c r="N2549" s="14" t="str">
        <f>IFERROR(__xludf.DUMMYFUNCTION("""COMPUTED_VALUE"""),"2012")</f>
        <v>2012</v>
      </c>
      <c r="O2549" s="14">
        <f>IFERROR(__xludf.DUMMYFUNCTION("""COMPUTED_VALUE"""),5.536E9)</f>
        <v>5536000000</v>
      </c>
      <c r="P2549" s="15">
        <f>IFERROR(__xludf.DUMMYFUNCTION("ARRAYFORMULA(VLOOKUP(A2549,IMPORTRANGE(""https://docs.google.com/spreadsheets/d/1BuTWp7qHGjWhqrnf-OmePP568O4A5Am9ttzvVdP67zw/edit#gid=771602874"" ,""HUMAN RESOURCES!$A$2:$M$2692""), {2,3,4,5,6,7,8,9,10,11,12,13},0))"),0.011)</f>
        <v>0.011</v>
      </c>
      <c r="Q2549" s="14">
        <f>IFERROR(__xludf.DUMMYFUNCTION("""COMPUTED_VALUE"""),0.009)</f>
        <v>0.009</v>
      </c>
      <c r="R2549" s="14">
        <f>IFERROR(__xludf.DUMMYFUNCTION("""COMPUTED_VALUE"""),76.0)</f>
        <v>76</v>
      </c>
      <c r="S2549" s="14">
        <f>IFERROR(__xludf.DUMMYFUNCTION("""COMPUTED_VALUE"""),66.0)</f>
        <v>66</v>
      </c>
      <c r="T2549" s="14">
        <f>IFERROR(__xludf.DUMMYFUNCTION("""COMPUTED_VALUE"""),0.142)</f>
        <v>0.142</v>
      </c>
      <c r="U2549" s="14">
        <f>IFERROR(__xludf.DUMMYFUNCTION("""COMPUTED_VALUE"""),0.705)</f>
        <v>0.705</v>
      </c>
      <c r="V2549" s="14">
        <f>IFERROR(__xludf.DUMMYFUNCTION("""COMPUTED_VALUE"""),0.153)</f>
        <v>0.153</v>
      </c>
      <c r="W2549" s="14">
        <f>IFERROR(__xludf.DUMMYFUNCTION("""COMPUTED_VALUE"""),4.55933E7)</f>
        <v>45593300</v>
      </c>
      <c r="X2549" s="14">
        <f>IFERROR(__xludf.DUMMYFUNCTION("""COMPUTED_VALUE"""),0.691)</f>
        <v>0.691</v>
      </c>
      <c r="Y2549" s="14" t="str">
        <f>IFERROR(__xludf.DUMMYFUNCTION("""COMPUTED_VALUE"""),"Ukraine-Europe")</f>
        <v>Ukraine-Europe</v>
      </c>
      <c r="Z2549" s="14" t="str">
        <f>IFERROR(__xludf.DUMMYFUNCTION("""COMPUTED_VALUE"""),"Europe")</f>
        <v>Europe</v>
      </c>
      <c r="AA2549" s="14" t="str">
        <f>IFERROR(__xludf.DUMMYFUNCTION("""COMPUTED_VALUE"""),"2012")</f>
        <v>2012</v>
      </c>
      <c r="AB2549" s="15" t="str">
        <f>IFERROR(__xludf.DUMMYFUNCTION("ARRAYFORMULA(VLOOKUP(A2549,IMPORTRANGE(""https://docs.google.com/spreadsheets/d/1BuTWp7qHGjWhqrnf-OmePP568O4A5Am9ttzvVdP67zw/edit#gid=1931367683"" ,""ENERGY!$A$2:$F$2692""), {2,3,4,5,6},0))"),"Europe")</f>
        <v>Europe</v>
      </c>
      <c r="AC2549" s="14" t="str">
        <f>IFERROR(__xludf.DUMMYFUNCTION("""COMPUTED_VALUE"""),"Ukraine-Europe")</f>
        <v>Ukraine-Europe</v>
      </c>
      <c r="AD2549" s="14" t="str">
        <f>IFERROR(__xludf.DUMMYFUNCTION("""COMPUTED_VALUE"""),"2012")</f>
        <v>2012</v>
      </c>
      <c r="AE2549" s="14">
        <f>IFERROR(__xludf.DUMMYFUNCTION("""COMPUTED_VALUE"""),133794.0)</f>
        <v>133794</v>
      </c>
      <c r="AF2549" s="14">
        <f>IFERROR(__xludf.DUMMYFUNCTION("""COMPUTED_VALUE"""),320774.0)</f>
        <v>320774</v>
      </c>
    </row>
    <row r="2550">
      <c r="A2550" s="12">
        <v>2549.0</v>
      </c>
      <c r="B2550" s="12" t="s">
        <v>275</v>
      </c>
      <c r="C2550" s="5" t="s">
        <v>93</v>
      </c>
      <c r="D2550" s="8"/>
      <c r="E2550" s="8"/>
      <c r="F2550" s="8"/>
      <c r="G2550" s="8"/>
      <c r="H2550" s="11">
        <v>0.236</v>
      </c>
      <c r="I2550" s="11">
        <v>0.472</v>
      </c>
      <c r="J2550" s="9" t="s">
        <v>60</v>
      </c>
      <c r="K2550" s="14" t="str">
        <f>IFERROR(__xludf.DUMMYFUNCTION("ARRAYFORMULA(VLOOKUP(A2550,IMPORTRANGE(""https://docs.google.com/spreadsheets/d/1BuTWp7qHGjWhqrnf-OmePP568O4A5Am9ttzvVdP67zw/edit#gid=1603210130"", ""TOURISM!$A$2:$F$2692""), {2,3,4,5,6},0))"),"Middle East")</f>
        <v>Middle East</v>
      </c>
      <c r="L2550" s="14">
        <f>IFERROR(__xludf.DUMMYFUNCTION("""COMPUTED_VALUE"""),1.063E9)</f>
        <v>1063000000</v>
      </c>
      <c r="M2550" s="14" t="str">
        <f>IFERROR(__xludf.DUMMYFUNCTION("""COMPUTED_VALUE"""),"United Arab Emirates-Middle East")</f>
        <v>United Arab Emirates-Middle East</v>
      </c>
      <c r="N2550" s="14" t="str">
        <f>IFERROR(__xludf.DUMMYFUNCTION("""COMPUTED_VALUE"""),"2000")</f>
        <v>2000</v>
      </c>
      <c r="O2550" s="14">
        <f>IFERROR(__xludf.DUMMYFUNCTION("""COMPUTED_VALUE"""),3.019E9)</f>
        <v>3019000000</v>
      </c>
      <c r="P2550" s="15">
        <f>IFERROR(__xludf.DUMMYFUNCTION("ARRAYFORMULA(VLOOKUP(A2550,IMPORTRANGE(""https://docs.google.com/spreadsheets/d/1BuTWp7qHGjWhqrnf-OmePP568O4A5Am9ttzvVdP67zw/edit#gid=771602874"" ,""HUMAN RESOURCES!$A$2:$M$2692""), {2,3,4,5,6,7,8,9,10,11,12,13},0))"),0.017)</f>
        <v>0.017</v>
      </c>
      <c r="Q2550" s="14">
        <f>IFERROR(__xludf.DUMMYFUNCTION("""COMPUTED_VALUE"""),0.01)</f>
        <v>0.01</v>
      </c>
      <c r="R2550" s="14">
        <f>IFERROR(__xludf.DUMMYFUNCTION("""COMPUTED_VALUE"""),75.0)</f>
        <v>75</v>
      </c>
      <c r="S2550" s="14">
        <f>IFERROR(__xludf.DUMMYFUNCTION("""COMPUTED_VALUE"""),73.0)</f>
        <v>73</v>
      </c>
      <c r="T2550" s="14">
        <f>IFERROR(__xludf.DUMMYFUNCTION("""COMPUTED_VALUE"""),0.254)</f>
        <v>0.254</v>
      </c>
      <c r="U2550" s="14">
        <f>IFERROR(__xludf.DUMMYFUNCTION("""COMPUTED_VALUE"""),0.736)</f>
        <v>0.736</v>
      </c>
      <c r="V2550" s="14">
        <f>IFERROR(__xludf.DUMMYFUNCTION("""COMPUTED_VALUE"""),0.01)</f>
        <v>0.01</v>
      </c>
      <c r="W2550" s="14">
        <f>IFERROR(__xludf.DUMMYFUNCTION("""COMPUTED_VALUE"""),3026352.0)</f>
        <v>3026352</v>
      </c>
      <c r="X2550" s="14">
        <f>IFERROR(__xludf.DUMMYFUNCTION("""COMPUTED_VALUE"""),0.802)</f>
        <v>0.802</v>
      </c>
      <c r="Y2550" s="14" t="str">
        <f>IFERROR(__xludf.DUMMYFUNCTION("""COMPUTED_VALUE"""),"United Arab Emirates-Middle East")</f>
        <v>United Arab Emirates-Middle East</v>
      </c>
      <c r="Z2550" s="14" t="str">
        <f>IFERROR(__xludf.DUMMYFUNCTION("""COMPUTED_VALUE"""),"Middle East")</f>
        <v>Middle East</v>
      </c>
      <c r="AA2550" s="14" t="str">
        <f>IFERROR(__xludf.DUMMYFUNCTION("""COMPUTED_VALUE"""),"2000")</f>
        <v>2000</v>
      </c>
      <c r="AB2550" s="15" t="str">
        <f>IFERROR(__xludf.DUMMYFUNCTION("ARRAYFORMULA(VLOOKUP(A2550,IMPORTRANGE(""https://docs.google.com/spreadsheets/d/1BuTWp7qHGjWhqrnf-OmePP568O4A5Am9ttzvVdP67zw/edit#gid=1931367683"" ,""ENERGY!$A$2:$F$2692""), {2,3,4,5,6},0))"),"Middle East")</f>
        <v>Middle East</v>
      </c>
      <c r="AC2550" s="14" t="str">
        <f>IFERROR(__xludf.DUMMYFUNCTION("""COMPUTED_VALUE"""),"United Arab Emirates-Middle East")</f>
        <v>United Arab Emirates-Middle East</v>
      </c>
      <c r="AD2550" s="14" t="str">
        <f>IFERROR(__xludf.DUMMYFUNCTION("""COMPUTED_VALUE"""),"2000")</f>
        <v>2000</v>
      </c>
      <c r="AE2550" s="14"/>
      <c r="AF2550" s="14"/>
    </row>
    <row r="2551">
      <c r="A2551" s="12">
        <v>2550.0</v>
      </c>
      <c r="B2551" s="12" t="s">
        <v>275</v>
      </c>
      <c r="C2551" s="5" t="s">
        <v>93</v>
      </c>
      <c r="D2551" s="8"/>
      <c r="E2551" s="8"/>
      <c r="F2551" s="8"/>
      <c r="G2551" s="8"/>
      <c r="H2551" s="11">
        <v>0.263</v>
      </c>
      <c r="I2551" s="11">
        <v>0.61</v>
      </c>
      <c r="J2551" s="9" t="s">
        <v>62</v>
      </c>
      <c r="K2551" s="14" t="str">
        <f>IFERROR(__xludf.DUMMYFUNCTION("ARRAYFORMULA(VLOOKUP(A2551,IMPORTRANGE(""https://docs.google.com/spreadsheets/d/1BuTWp7qHGjWhqrnf-OmePP568O4A5Am9ttzvVdP67zw/edit#gid=1603210130"", ""TOURISM!$A$2:$F$2692""), {2,3,4,5,6},0))"),"Middle East")</f>
        <v>Middle East</v>
      </c>
      <c r="L2551" s="14">
        <f>IFERROR(__xludf.DUMMYFUNCTION("""COMPUTED_VALUE"""),1.2E9)</f>
        <v>1200000000</v>
      </c>
      <c r="M2551" s="14" t="str">
        <f>IFERROR(__xludf.DUMMYFUNCTION("""COMPUTED_VALUE"""),"United Arab Emirates-Middle East")</f>
        <v>United Arab Emirates-Middle East</v>
      </c>
      <c r="N2551" s="14" t="str">
        <f>IFERROR(__xludf.DUMMYFUNCTION("""COMPUTED_VALUE"""),"2001")</f>
        <v>2001</v>
      </c>
      <c r="O2551" s="14">
        <f>IFERROR(__xludf.DUMMYFUNCTION("""COMPUTED_VALUE"""),3.321E9)</f>
        <v>3321000000</v>
      </c>
      <c r="P2551" s="15">
        <f>IFERROR(__xludf.DUMMYFUNCTION("ARRAYFORMULA(VLOOKUP(A2551,IMPORTRANGE(""https://docs.google.com/spreadsheets/d/1BuTWp7qHGjWhqrnf-OmePP568O4A5Am9ttzvVdP67zw/edit#gid=771602874"" ,""HUMAN RESOURCES!$A$2:$M$2692""), {2,3,4,5,6,7,8,9,10,11,12,13},0))"),0.016)</f>
        <v>0.016</v>
      </c>
      <c r="Q2551" s="14">
        <f>IFERROR(__xludf.DUMMYFUNCTION("""COMPUTED_VALUE"""),0.009)</f>
        <v>0.009</v>
      </c>
      <c r="R2551" s="14">
        <f>IFERROR(__xludf.DUMMYFUNCTION("""COMPUTED_VALUE"""),76.0)</f>
        <v>76</v>
      </c>
      <c r="S2551" s="14">
        <f>IFERROR(__xludf.DUMMYFUNCTION("""COMPUTED_VALUE"""),74.0)</f>
        <v>74</v>
      </c>
      <c r="T2551" s="14">
        <f>IFERROR(__xludf.DUMMYFUNCTION("""COMPUTED_VALUE"""),0.249)</f>
        <v>0.249</v>
      </c>
      <c r="U2551" s="14">
        <f>IFERROR(__xludf.DUMMYFUNCTION("""COMPUTED_VALUE"""),0.741)</f>
        <v>0.741</v>
      </c>
      <c r="V2551" s="14">
        <f>IFERROR(__xludf.DUMMYFUNCTION("""COMPUTED_VALUE"""),0.01)</f>
        <v>0.01</v>
      </c>
      <c r="W2551" s="14">
        <f>IFERROR(__xludf.DUMMYFUNCTION("""COMPUTED_VALUE"""),3132104.0)</f>
        <v>3132104</v>
      </c>
      <c r="X2551" s="14">
        <f>IFERROR(__xludf.DUMMYFUNCTION("""COMPUTED_VALUE"""),0.807)</f>
        <v>0.807</v>
      </c>
      <c r="Y2551" s="14" t="str">
        <f>IFERROR(__xludf.DUMMYFUNCTION("""COMPUTED_VALUE"""),"United Arab Emirates-Middle East")</f>
        <v>United Arab Emirates-Middle East</v>
      </c>
      <c r="Z2551" s="14" t="str">
        <f>IFERROR(__xludf.DUMMYFUNCTION("""COMPUTED_VALUE"""),"Middle East")</f>
        <v>Middle East</v>
      </c>
      <c r="AA2551" s="14" t="str">
        <f>IFERROR(__xludf.DUMMYFUNCTION("""COMPUTED_VALUE"""),"2001")</f>
        <v>2001</v>
      </c>
      <c r="AB2551" s="15" t="str">
        <f>IFERROR(__xludf.DUMMYFUNCTION("ARRAYFORMULA(VLOOKUP(A2551,IMPORTRANGE(""https://docs.google.com/spreadsheets/d/1BuTWp7qHGjWhqrnf-OmePP568O4A5Am9ttzvVdP67zw/edit#gid=1931367683"" ,""ENERGY!$A$2:$F$2692""), {2,3,4,5,6},0))"),"Middle East")</f>
        <v>Middle East</v>
      </c>
      <c r="AC2551" s="14" t="str">
        <f>IFERROR(__xludf.DUMMYFUNCTION("""COMPUTED_VALUE"""),"United Arab Emirates-Middle East")</f>
        <v>United Arab Emirates-Middle East</v>
      </c>
      <c r="AD2551" s="14" t="str">
        <f>IFERROR(__xludf.DUMMYFUNCTION("""COMPUTED_VALUE"""),"2001")</f>
        <v>2001</v>
      </c>
      <c r="AE2551" s="14">
        <f>IFERROR(__xludf.DUMMYFUNCTION("""COMPUTED_VALUE"""),66108.0)</f>
        <v>66108</v>
      </c>
      <c r="AF2551" s="14"/>
    </row>
    <row r="2552">
      <c r="A2552" s="12">
        <v>2551.0</v>
      </c>
      <c r="B2552" s="12" t="s">
        <v>275</v>
      </c>
      <c r="C2552" s="5" t="s">
        <v>93</v>
      </c>
      <c r="D2552" s="8"/>
      <c r="E2552" s="8"/>
      <c r="F2552" s="8"/>
      <c r="G2552" s="8"/>
      <c r="H2552" s="11">
        <v>0.283</v>
      </c>
      <c r="I2552" s="11">
        <v>0.753</v>
      </c>
      <c r="J2552" s="9" t="s">
        <v>63</v>
      </c>
      <c r="K2552" s="14" t="str">
        <f>IFERROR(__xludf.DUMMYFUNCTION("ARRAYFORMULA(VLOOKUP(A2552,IMPORTRANGE(""https://docs.google.com/spreadsheets/d/1BuTWp7qHGjWhqrnf-OmePP568O4A5Am9ttzvVdP67zw/edit#gid=1603210130"", ""TOURISM!$A$2:$F$2692""), {2,3,4,5,6},0))"),"Middle East")</f>
        <v>Middle East</v>
      </c>
      <c r="L2552" s="14">
        <f>IFERROR(__xludf.DUMMYFUNCTION("""COMPUTED_VALUE"""),1.332E9)</f>
        <v>1332000000</v>
      </c>
      <c r="M2552" s="14" t="str">
        <f>IFERROR(__xludf.DUMMYFUNCTION("""COMPUTED_VALUE"""),"United Arab Emirates-Middle East")</f>
        <v>United Arab Emirates-Middle East</v>
      </c>
      <c r="N2552" s="14" t="str">
        <f>IFERROR(__xludf.DUMMYFUNCTION("""COMPUTED_VALUE"""),"2002")</f>
        <v>2002</v>
      </c>
      <c r="O2552" s="14">
        <f>IFERROR(__xludf.DUMMYFUNCTION("""COMPUTED_VALUE"""),3.651E9)</f>
        <v>3651000000</v>
      </c>
      <c r="P2552" s="15">
        <f>IFERROR(__xludf.DUMMYFUNCTION("ARRAYFORMULA(VLOOKUP(A2552,IMPORTRANGE(""https://docs.google.com/spreadsheets/d/1BuTWp7qHGjWhqrnf-OmePP568O4A5Am9ttzvVdP67zw/edit#gid=771602874"" ,""HUMAN RESOURCES!$A$2:$M$2692""), {2,3,4,5,6,7,8,9,10,11,12,13},0))"),0.016)</f>
        <v>0.016</v>
      </c>
      <c r="Q2552" s="14">
        <f>IFERROR(__xludf.DUMMYFUNCTION("""COMPUTED_VALUE"""),0.009)</f>
        <v>0.009</v>
      </c>
      <c r="R2552" s="14">
        <f>IFERROR(__xludf.DUMMYFUNCTION("""COMPUTED_VALUE"""),76.0)</f>
        <v>76</v>
      </c>
      <c r="S2552" s="14">
        <f>IFERROR(__xludf.DUMMYFUNCTION("""COMPUTED_VALUE"""),74.0)</f>
        <v>74</v>
      </c>
      <c r="T2552" s="14">
        <f>IFERROR(__xludf.DUMMYFUNCTION("""COMPUTED_VALUE"""),0.243)</f>
        <v>0.243</v>
      </c>
      <c r="U2552" s="14">
        <f>IFERROR(__xludf.DUMMYFUNCTION("""COMPUTED_VALUE"""),0.746)</f>
        <v>0.746</v>
      </c>
      <c r="V2552" s="14">
        <f>IFERROR(__xludf.DUMMYFUNCTION("""COMPUTED_VALUE"""),0.01)</f>
        <v>0.01</v>
      </c>
      <c r="W2552" s="14">
        <f>IFERROR(__xludf.DUMMYFUNCTION("""COMPUTED_VALUE"""),3223969.0)</f>
        <v>3223969</v>
      </c>
      <c r="X2552" s="14">
        <f>IFERROR(__xludf.DUMMYFUNCTION("""COMPUTED_VALUE"""),0.811)</f>
        <v>0.811</v>
      </c>
      <c r="Y2552" s="14" t="str">
        <f>IFERROR(__xludf.DUMMYFUNCTION("""COMPUTED_VALUE"""),"United Arab Emirates-Middle East")</f>
        <v>United Arab Emirates-Middle East</v>
      </c>
      <c r="Z2552" s="14" t="str">
        <f>IFERROR(__xludf.DUMMYFUNCTION("""COMPUTED_VALUE"""),"Middle East")</f>
        <v>Middle East</v>
      </c>
      <c r="AA2552" s="14" t="str">
        <f>IFERROR(__xludf.DUMMYFUNCTION("""COMPUTED_VALUE"""),"2002")</f>
        <v>2002</v>
      </c>
      <c r="AB2552" s="15" t="str">
        <f>IFERROR(__xludf.DUMMYFUNCTION("ARRAYFORMULA(VLOOKUP(A2552,IMPORTRANGE(""https://docs.google.com/spreadsheets/d/1BuTWp7qHGjWhqrnf-OmePP568O4A5Am9ttzvVdP67zw/edit#gid=1931367683"" ,""ENERGY!$A$2:$F$2692""), {2,3,4,5,6},0))"),"Middle East")</f>
        <v>Middle East</v>
      </c>
      <c r="AC2552" s="14" t="str">
        <f>IFERROR(__xludf.DUMMYFUNCTION("""COMPUTED_VALUE"""),"United Arab Emirates-Middle East")</f>
        <v>United Arab Emirates-Middle East</v>
      </c>
      <c r="AD2552" s="14" t="str">
        <f>IFERROR(__xludf.DUMMYFUNCTION("""COMPUTED_VALUE"""),"2002")</f>
        <v>2002</v>
      </c>
      <c r="AE2552" s="14">
        <f>IFERROR(__xludf.DUMMYFUNCTION("""COMPUTED_VALUE"""),63099.0)</f>
        <v>63099</v>
      </c>
      <c r="AF2552" s="14">
        <f>IFERROR(__xludf.DUMMYFUNCTION("""COMPUTED_VALUE"""),167597.0)</f>
        <v>167597</v>
      </c>
    </row>
    <row r="2553">
      <c r="A2553" s="12">
        <v>2552.0</v>
      </c>
      <c r="B2553" s="12" t="s">
        <v>275</v>
      </c>
      <c r="C2553" s="5" t="s">
        <v>93</v>
      </c>
      <c r="D2553" s="8"/>
      <c r="E2553" s="11">
        <v>19.0</v>
      </c>
      <c r="F2553" s="8"/>
      <c r="G2553" s="8"/>
      <c r="H2553" s="11">
        <v>0.295</v>
      </c>
      <c r="I2553" s="11">
        <v>0.882</v>
      </c>
      <c r="J2553" s="9" t="s">
        <v>64</v>
      </c>
      <c r="K2553" s="14" t="str">
        <f>IFERROR(__xludf.DUMMYFUNCTION("ARRAYFORMULA(VLOOKUP(A2553,IMPORTRANGE(""https://docs.google.com/spreadsheets/d/1BuTWp7qHGjWhqrnf-OmePP568O4A5Am9ttzvVdP67zw/edit#gid=1603210130"", ""TOURISM!$A$2:$F$2692""), {2,3,4,5,6},0))"),"Middle East")</f>
        <v>Middle East</v>
      </c>
      <c r="L2553" s="14">
        <f>IFERROR(__xludf.DUMMYFUNCTION("""COMPUTED_VALUE"""),1.438E9)</f>
        <v>1438000000</v>
      </c>
      <c r="M2553" s="14" t="str">
        <f>IFERROR(__xludf.DUMMYFUNCTION("""COMPUTED_VALUE"""),"United Arab Emirates-Middle East")</f>
        <v>United Arab Emirates-Middle East</v>
      </c>
      <c r="N2553" s="14" t="str">
        <f>IFERROR(__xludf.DUMMYFUNCTION("""COMPUTED_VALUE"""),"2003")</f>
        <v>2003</v>
      </c>
      <c r="O2553" s="14">
        <f>IFERROR(__xludf.DUMMYFUNCTION("""COMPUTED_VALUE"""),3.956E9)</f>
        <v>3956000000</v>
      </c>
      <c r="P2553" s="15">
        <f>IFERROR(__xludf.DUMMYFUNCTION("ARRAYFORMULA(VLOOKUP(A2553,IMPORTRANGE(""https://docs.google.com/spreadsheets/d/1BuTWp7qHGjWhqrnf-OmePP568O4A5Am9ttzvVdP67zw/edit#gid=771602874"" ,""HUMAN RESOURCES!$A$2:$M$2692""), {2,3,4,5,6,7,8,9,10,11,12,13},0))"),0.016)</f>
        <v>0.016</v>
      </c>
      <c r="Q2553" s="14">
        <f>IFERROR(__xludf.DUMMYFUNCTION("""COMPUTED_VALUE"""),0.009)</f>
        <v>0.009</v>
      </c>
      <c r="R2553" s="14">
        <f>IFERROR(__xludf.DUMMYFUNCTION("""COMPUTED_VALUE"""),76.0)</f>
        <v>76</v>
      </c>
      <c r="S2553" s="14">
        <f>IFERROR(__xludf.DUMMYFUNCTION("""COMPUTED_VALUE"""),74.0)</f>
        <v>74</v>
      </c>
      <c r="T2553" s="14">
        <f>IFERROR(__xludf.DUMMYFUNCTION("""COMPUTED_VALUE"""),0.234)</f>
        <v>0.234</v>
      </c>
      <c r="U2553" s="14">
        <f>IFERROR(__xludf.DUMMYFUNCTION("""COMPUTED_VALUE"""),0.756)</f>
        <v>0.756</v>
      </c>
      <c r="V2553" s="14">
        <f>IFERROR(__xludf.DUMMYFUNCTION("""COMPUTED_VALUE"""),0.01)</f>
        <v>0.01</v>
      </c>
      <c r="W2553" s="14">
        <f>IFERROR(__xludf.DUMMYFUNCTION("""COMPUTED_VALUE"""),3369254.0)</f>
        <v>3369254</v>
      </c>
      <c r="X2553" s="14">
        <f>IFERROR(__xludf.DUMMYFUNCTION("""COMPUTED_VALUE"""),0.815)</f>
        <v>0.815</v>
      </c>
      <c r="Y2553" s="14" t="str">
        <f>IFERROR(__xludf.DUMMYFUNCTION("""COMPUTED_VALUE"""),"United Arab Emirates-Middle East")</f>
        <v>United Arab Emirates-Middle East</v>
      </c>
      <c r="Z2553" s="14" t="str">
        <f>IFERROR(__xludf.DUMMYFUNCTION("""COMPUTED_VALUE"""),"Middle East")</f>
        <v>Middle East</v>
      </c>
      <c r="AA2553" s="14" t="str">
        <f>IFERROR(__xludf.DUMMYFUNCTION("""COMPUTED_VALUE"""),"2003")</f>
        <v>2003</v>
      </c>
      <c r="AB2553" s="15" t="str">
        <f>IFERROR(__xludf.DUMMYFUNCTION("ARRAYFORMULA(VLOOKUP(A2553,IMPORTRANGE(""https://docs.google.com/spreadsheets/d/1BuTWp7qHGjWhqrnf-OmePP568O4A5Am9ttzvVdP67zw/edit#gid=1931367683"" ,""ENERGY!$A$2:$F$2692""), {2,3,4,5,6},0))"),"Middle East")</f>
        <v>Middle East</v>
      </c>
      <c r="AC2553" s="14" t="str">
        <f>IFERROR(__xludf.DUMMYFUNCTION("""COMPUTED_VALUE"""),"United Arab Emirates-Middle East")</f>
        <v>United Arab Emirates-Middle East</v>
      </c>
      <c r="AD2553" s="14" t="str">
        <f>IFERROR(__xludf.DUMMYFUNCTION("""COMPUTED_VALUE"""),"2003")</f>
        <v>2003</v>
      </c>
      <c r="AE2553" s="14">
        <f>IFERROR(__xludf.DUMMYFUNCTION("""COMPUTED_VALUE"""),60672.0)</f>
        <v>60672</v>
      </c>
      <c r="AF2553" s="14">
        <f>IFERROR(__xludf.DUMMYFUNCTION("""COMPUTED_VALUE"""),162602.0)</f>
        <v>162602</v>
      </c>
    </row>
    <row r="2554">
      <c r="A2554" s="12">
        <v>2553.0</v>
      </c>
      <c r="B2554" s="12" t="s">
        <v>275</v>
      </c>
      <c r="C2554" s="5" t="s">
        <v>93</v>
      </c>
      <c r="D2554" s="8"/>
      <c r="E2554" s="11">
        <v>19.0</v>
      </c>
      <c r="F2554" s="8"/>
      <c r="G2554" s="8"/>
      <c r="H2554" s="11">
        <v>0.301</v>
      </c>
      <c r="I2554" s="11">
        <v>1.007</v>
      </c>
      <c r="J2554" s="9" t="s">
        <v>65</v>
      </c>
      <c r="K2554" s="14" t="str">
        <f>IFERROR(__xludf.DUMMYFUNCTION("ARRAYFORMULA(VLOOKUP(A2554,IMPORTRANGE(""https://docs.google.com/spreadsheets/d/1BuTWp7qHGjWhqrnf-OmePP568O4A5Am9ttzvVdP67zw/edit#gid=1603210130"", ""TOURISM!$A$2:$F$2692""), {2,3,4,5,6},0))"),"Middle East")</f>
        <v>Middle East</v>
      </c>
      <c r="L2554" s="14">
        <f>IFERROR(__xludf.DUMMYFUNCTION("""COMPUTED_VALUE"""),1.593E9)</f>
        <v>1593000000</v>
      </c>
      <c r="M2554" s="14" t="str">
        <f>IFERROR(__xludf.DUMMYFUNCTION("""COMPUTED_VALUE"""),"United Arab Emirates-Middle East")</f>
        <v>United Arab Emirates-Middle East</v>
      </c>
      <c r="N2554" s="14" t="str">
        <f>IFERROR(__xludf.DUMMYFUNCTION("""COMPUTED_VALUE"""),"2004")</f>
        <v>2004</v>
      </c>
      <c r="O2554" s="14">
        <f>IFERROR(__xludf.DUMMYFUNCTION("""COMPUTED_VALUE"""),4.472E9)</f>
        <v>4472000000</v>
      </c>
      <c r="P2554" s="15">
        <f>IFERROR(__xludf.DUMMYFUNCTION("ARRAYFORMULA(VLOOKUP(A2554,IMPORTRANGE(""https://docs.google.com/spreadsheets/d/1BuTWp7qHGjWhqrnf-OmePP568O4A5Am9ttzvVdP67zw/edit#gid=771602874"" ,""HUMAN RESOURCES!$A$2:$M$2692""), {2,3,4,5,6,7,8,9,10,11,12,13},0))"),0.016)</f>
        <v>0.016</v>
      </c>
      <c r="Q2554" s="14">
        <f>IFERROR(__xludf.DUMMYFUNCTION("""COMPUTED_VALUE"""),0.009)</f>
        <v>0.009</v>
      </c>
      <c r="R2554" s="14">
        <f>IFERROR(__xludf.DUMMYFUNCTION("""COMPUTED_VALUE"""),76.0)</f>
        <v>76</v>
      </c>
      <c r="S2554" s="14">
        <f>IFERROR(__xludf.DUMMYFUNCTION("""COMPUTED_VALUE"""),74.0)</f>
        <v>74</v>
      </c>
      <c r="T2554" s="14">
        <f>IFERROR(__xludf.DUMMYFUNCTION("""COMPUTED_VALUE"""),0.219)</f>
        <v>0.219</v>
      </c>
      <c r="U2554" s="14">
        <f>IFERROR(__xludf.DUMMYFUNCTION("""COMPUTED_VALUE"""),0.771)</f>
        <v>0.771</v>
      </c>
      <c r="V2554" s="14">
        <f>IFERROR(__xludf.DUMMYFUNCTION("""COMPUTED_VALUE"""),0.009)</f>
        <v>0.009</v>
      </c>
      <c r="W2554" s="14">
        <f>IFERROR(__xludf.DUMMYFUNCTION("""COMPUTED_VALUE"""),3658658.0)</f>
        <v>3658658</v>
      </c>
      <c r="X2554" s="14">
        <f>IFERROR(__xludf.DUMMYFUNCTION("""COMPUTED_VALUE"""),0.819)</f>
        <v>0.819</v>
      </c>
      <c r="Y2554" s="14" t="str">
        <f>IFERROR(__xludf.DUMMYFUNCTION("""COMPUTED_VALUE"""),"United Arab Emirates-Middle East")</f>
        <v>United Arab Emirates-Middle East</v>
      </c>
      <c r="Z2554" s="14" t="str">
        <f>IFERROR(__xludf.DUMMYFUNCTION("""COMPUTED_VALUE"""),"Middle East")</f>
        <v>Middle East</v>
      </c>
      <c r="AA2554" s="14" t="str">
        <f>IFERROR(__xludf.DUMMYFUNCTION("""COMPUTED_VALUE"""),"2004")</f>
        <v>2004</v>
      </c>
      <c r="AB2554" s="15" t="str">
        <f>IFERROR(__xludf.DUMMYFUNCTION("ARRAYFORMULA(VLOOKUP(A2554,IMPORTRANGE(""https://docs.google.com/spreadsheets/d/1BuTWp7qHGjWhqrnf-OmePP568O4A5Am9ttzvVdP67zw/edit#gid=1931367683"" ,""ENERGY!$A$2:$F$2692""), {2,3,4,5,6},0))"),"Middle East")</f>
        <v>Middle East</v>
      </c>
      <c r="AC2554" s="14" t="str">
        <f>IFERROR(__xludf.DUMMYFUNCTION("""COMPUTED_VALUE"""),"United Arab Emirates-Middle East")</f>
        <v>United Arab Emirates-Middle East</v>
      </c>
      <c r="AD2554" s="14" t="str">
        <f>IFERROR(__xludf.DUMMYFUNCTION("""COMPUTED_VALUE"""),"2005")</f>
        <v>2005</v>
      </c>
      <c r="AE2554" s="14">
        <f>IFERROR(__xludf.DUMMYFUNCTION("""COMPUTED_VALUE"""),58347.0)</f>
        <v>58347</v>
      </c>
      <c r="AF2554" s="14">
        <f>IFERROR(__xludf.DUMMYFUNCTION("""COMPUTED_VALUE"""),158935.0)</f>
        <v>158935</v>
      </c>
    </row>
    <row r="2555">
      <c r="A2555" s="12">
        <v>2554.0</v>
      </c>
      <c r="B2555" s="12" t="s">
        <v>275</v>
      </c>
      <c r="C2555" s="5" t="s">
        <v>93</v>
      </c>
      <c r="D2555" s="11">
        <v>0.144</v>
      </c>
      <c r="E2555" s="11">
        <v>19.0</v>
      </c>
      <c r="F2555" s="8"/>
      <c r="G2555" s="11">
        <v>12.0</v>
      </c>
      <c r="H2555" s="11">
        <v>0.4</v>
      </c>
      <c r="I2555" s="11">
        <v>1.093</v>
      </c>
      <c r="J2555" s="9" t="s">
        <v>66</v>
      </c>
      <c r="K2555" s="14" t="str">
        <f>IFERROR(__xludf.DUMMYFUNCTION("ARRAYFORMULA(VLOOKUP(A2555,IMPORTRANGE(""https://docs.google.com/spreadsheets/d/1BuTWp7qHGjWhqrnf-OmePP568O4A5Am9ttzvVdP67zw/edit#gid=1603210130"", ""TOURISM!$A$2:$F$2692""), {2,3,4,5,6},0))"),"Middle East")</f>
        <v>Middle East</v>
      </c>
      <c r="L2555" s="14">
        <f>IFERROR(__xludf.DUMMYFUNCTION("""COMPUTED_VALUE"""),3.218E9)</f>
        <v>3218000000</v>
      </c>
      <c r="M2555" s="14" t="str">
        <f>IFERROR(__xludf.DUMMYFUNCTION("""COMPUTED_VALUE"""),"United Arab Emirates-Middle East")</f>
        <v>United Arab Emirates-Middle East</v>
      </c>
      <c r="N2555" s="14" t="str">
        <f>IFERROR(__xludf.DUMMYFUNCTION("""COMPUTED_VALUE"""),"2005")</f>
        <v>2005</v>
      </c>
      <c r="O2555" s="14">
        <f>IFERROR(__xludf.DUMMYFUNCTION("""COMPUTED_VALUE"""),6.186E9)</f>
        <v>6186000000</v>
      </c>
      <c r="P2555" s="15">
        <f>IFERROR(__xludf.DUMMYFUNCTION("ARRAYFORMULA(VLOOKUP(A2555,IMPORTRANGE(""https://docs.google.com/spreadsheets/d/1BuTWp7qHGjWhqrnf-OmePP568O4A5Am9ttzvVdP67zw/edit#gid=771602874"" ,""HUMAN RESOURCES!$A$2:$M$2692""), {2,3,4,5,6,7,8,9,10,11,12,13},0))"),0.016)</f>
        <v>0.016</v>
      </c>
      <c r="Q2555" s="14">
        <f>IFERROR(__xludf.DUMMYFUNCTION("""COMPUTED_VALUE"""),0.008)</f>
        <v>0.008</v>
      </c>
      <c r="R2555" s="14">
        <f>IFERROR(__xludf.DUMMYFUNCTION("""COMPUTED_VALUE"""),77.0)</f>
        <v>77</v>
      </c>
      <c r="S2555" s="14">
        <f>IFERROR(__xludf.DUMMYFUNCTION("""COMPUTED_VALUE"""),75.0)</f>
        <v>75</v>
      </c>
      <c r="T2555" s="14">
        <f>IFERROR(__xludf.DUMMYFUNCTION("""COMPUTED_VALUE"""),0.2)</f>
        <v>0.2</v>
      </c>
      <c r="U2555" s="14">
        <f>IFERROR(__xludf.DUMMYFUNCTION("""COMPUTED_VALUE"""),0.791)</f>
        <v>0.791</v>
      </c>
      <c r="V2555" s="14">
        <f>IFERROR(__xludf.DUMMYFUNCTION("""COMPUTED_VALUE"""),0.008)</f>
        <v>0.008</v>
      </c>
      <c r="W2555" s="14">
        <f>IFERROR(__xludf.DUMMYFUNCTION("""COMPUTED_VALUE"""),4148883.0)</f>
        <v>4148883</v>
      </c>
      <c r="X2555" s="14">
        <f>IFERROR(__xludf.DUMMYFUNCTION("""COMPUTED_VALUE"""),0.823)</f>
        <v>0.823</v>
      </c>
      <c r="Y2555" s="14" t="str">
        <f>IFERROR(__xludf.DUMMYFUNCTION("""COMPUTED_VALUE"""),"United Arab Emirates-Middle East")</f>
        <v>United Arab Emirates-Middle East</v>
      </c>
      <c r="Z2555" s="14" t="str">
        <f>IFERROR(__xludf.DUMMYFUNCTION("""COMPUTED_VALUE"""),"Middle East")</f>
        <v>Middle East</v>
      </c>
      <c r="AA2555" s="14" t="str">
        <f>IFERROR(__xludf.DUMMYFUNCTION("""COMPUTED_VALUE"""),"2005")</f>
        <v>2005</v>
      </c>
      <c r="AB2555" s="15" t="str">
        <f>IFERROR(__xludf.DUMMYFUNCTION("ARRAYFORMULA(VLOOKUP(A2555,IMPORTRANGE(""https://docs.google.com/spreadsheets/d/1BuTWp7qHGjWhqrnf-OmePP568O4A5Am9ttzvVdP67zw/edit#gid=1931367683"" ,""ENERGY!$A$2:$F$2692""), {2,3,4,5,6},0))"),"Middle East")</f>
        <v>Middle East</v>
      </c>
      <c r="AC2555" s="14" t="str">
        <f>IFERROR(__xludf.DUMMYFUNCTION("""COMPUTED_VALUE"""),"United Arab Emirates-Middle East")</f>
        <v>United Arab Emirates-Middle East</v>
      </c>
      <c r="AD2555" s="14" t="str">
        <f>IFERROR(__xludf.DUMMYFUNCTION("""COMPUTED_VALUE"""),"2009")</f>
        <v>2009</v>
      </c>
      <c r="AE2555" s="14">
        <f>IFERROR(__xludf.DUMMYFUNCTION("""COMPUTED_VALUE"""),51975.0)</f>
        <v>51975</v>
      </c>
      <c r="AF2555" s="14">
        <f>IFERROR(__xludf.DUMMYFUNCTION("""COMPUTED_VALUE"""),139405.0)</f>
        <v>139405</v>
      </c>
    </row>
    <row r="2556">
      <c r="A2556" s="12">
        <v>2555.0</v>
      </c>
      <c r="B2556" s="12" t="s">
        <v>275</v>
      </c>
      <c r="C2556" s="5" t="s">
        <v>93</v>
      </c>
      <c r="D2556" s="11">
        <v>0.144</v>
      </c>
      <c r="E2556" s="11">
        <v>19.0</v>
      </c>
      <c r="F2556" s="8"/>
      <c r="G2556" s="11">
        <v>12.0</v>
      </c>
      <c r="H2556" s="11">
        <v>0.52</v>
      </c>
      <c r="I2556" s="11">
        <v>1.132</v>
      </c>
      <c r="J2556" s="9" t="s">
        <v>67</v>
      </c>
      <c r="K2556" s="14" t="str">
        <f>IFERROR(__xludf.DUMMYFUNCTION("ARRAYFORMULA(VLOOKUP(A2556,IMPORTRANGE(""https://docs.google.com/spreadsheets/d/1BuTWp7qHGjWhqrnf-OmePP568O4A5Am9ttzvVdP67zw/edit#gid=1603210130"", ""TOURISM!$A$2:$F$2692""), {2,3,4,5,6},0))"),"Middle East")</f>
        <v>Middle East</v>
      </c>
      <c r="L2556" s="14">
        <f>IFERROR(__xludf.DUMMYFUNCTION("""COMPUTED_VALUE"""),4.972E9)</f>
        <v>4972000000</v>
      </c>
      <c r="M2556" s="14" t="str">
        <f>IFERROR(__xludf.DUMMYFUNCTION("""COMPUTED_VALUE"""),"United Arab Emirates-Middle East")</f>
        <v>United Arab Emirates-Middle East</v>
      </c>
      <c r="N2556" s="14" t="str">
        <f>IFERROR(__xludf.DUMMYFUNCTION("""COMPUTED_VALUE"""),"2006")</f>
        <v>2006</v>
      </c>
      <c r="O2556" s="14">
        <f>IFERROR(__xludf.DUMMYFUNCTION("""COMPUTED_VALUE"""),8.827E9)</f>
        <v>8827000000</v>
      </c>
      <c r="P2556" s="15">
        <f>IFERROR(__xludf.DUMMYFUNCTION("ARRAYFORMULA(VLOOKUP(A2556,IMPORTRANGE(""https://docs.google.com/spreadsheets/d/1BuTWp7qHGjWhqrnf-OmePP568O4A5Am9ttzvVdP67zw/edit#gid=771602874"" ,""HUMAN RESOURCES!$A$2:$M$2692""), {2,3,4,5,6,7,8,9,10,11,12,13},0))"),0.016)</f>
        <v>0.016</v>
      </c>
      <c r="Q2556" s="14">
        <f>IFERROR(__xludf.DUMMYFUNCTION("""COMPUTED_VALUE"""),0.008)</f>
        <v>0.008</v>
      </c>
      <c r="R2556" s="14">
        <f>IFERROR(__xludf.DUMMYFUNCTION("""COMPUTED_VALUE"""),77.0)</f>
        <v>77</v>
      </c>
      <c r="S2556" s="14">
        <f>IFERROR(__xludf.DUMMYFUNCTION("""COMPUTED_VALUE"""),75.0)</f>
        <v>75</v>
      </c>
      <c r="T2556" s="14">
        <f>IFERROR(__xludf.DUMMYFUNCTION("""COMPUTED_VALUE"""),0.18)</f>
        <v>0.18</v>
      </c>
      <c r="U2556" s="14">
        <f>IFERROR(__xludf.DUMMYFUNCTION("""COMPUTED_VALUE"""),0.813)</f>
        <v>0.813</v>
      </c>
      <c r="V2556" s="14">
        <f>IFERROR(__xludf.DUMMYFUNCTION("""COMPUTED_VALUE"""),0.007)</f>
        <v>0.007</v>
      </c>
      <c r="W2556" s="14">
        <f>IFERROR(__xludf.DUMMYFUNCTION("""COMPUTED_VALUE"""),4875639.0)</f>
        <v>4875639</v>
      </c>
      <c r="X2556" s="14">
        <f>IFERROR(__xludf.DUMMYFUNCTION("""COMPUTED_VALUE"""),0.826)</f>
        <v>0.826</v>
      </c>
      <c r="Y2556" s="14" t="str">
        <f>IFERROR(__xludf.DUMMYFUNCTION("""COMPUTED_VALUE"""),"United Arab Emirates-Middle East")</f>
        <v>United Arab Emirates-Middle East</v>
      </c>
      <c r="Z2556" s="14" t="str">
        <f>IFERROR(__xludf.DUMMYFUNCTION("""COMPUTED_VALUE"""),"Middle East")</f>
        <v>Middle East</v>
      </c>
      <c r="AA2556" s="14" t="str">
        <f>IFERROR(__xludf.DUMMYFUNCTION("""COMPUTED_VALUE"""),"2006")</f>
        <v>2006</v>
      </c>
      <c r="AB2556" s="15" t="str">
        <f>IFERROR(__xludf.DUMMYFUNCTION("ARRAYFORMULA(VLOOKUP(A2556,IMPORTRANGE(""https://docs.google.com/spreadsheets/d/1BuTWp7qHGjWhqrnf-OmePP568O4A5Am9ttzvVdP67zw/edit#gid=1931367683"" ,""ENERGY!$A$2:$F$2692""), {2,3,4,5,6},0))"),"Middle East")</f>
        <v>Middle East</v>
      </c>
      <c r="AC2556" s="14" t="str">
        <f>IFERROR(__xludf.DUMMYFUNCTION("""COMPUTED_VALUE"""),"United Arab Emirates-Middle East")</f>
        <v>United Arab Emirates-Middle East</v>
      </c>
      <c r="AD2556" s="14" t="str">
        <f>IFERROR(__xludf.DUMMYFUNCTION("""COMPUTED_VALUE"""),"2005")</f>
        <v>2005</v>
      </c>
      <c r="AE2556" s="14">
        <f>IFERROR(__xludf.DUMMYFUNCTION("""COMPUTED_VALUE"""),45911.0)</f>
        <v>45911</v>
      </c>
      <c r="AF2556" s="14">
        <f>IFERROR(__xludf.DUMMYFUNCTION("""COMPUTED_VALUE"""),123875.0)</f>
        <v>123875</v>
      </c>
    </row>
    <row r="2557">
      <c r="A2557" s="12">
        <v>2556.0</v>
      </c>
      <c r="B2557" s="12" t="s">
        <v>275</v>
      </c>
      <c r="C2557" s="5" t="s">
        <v>93</v>
      </c>
      <c r="D2557" s="11">
        <v>0.144</v>
      </c>
      <c r="E2557" s="11">
        <v>18.0</v>
      </c>
      <c r="F2557" s="8"/>
      <c r="G2557" s="11">
        <v>12.0</v>
      </c>
      <c r="H2557" s="11">
        <v>0.61</v>
      </c>
      <c r="I2557" s="11">
        <v>1.334</v>
      </c>
      <c r="J2557" s="9" t="s">
        <v>68</v>
      </c>
      <c r="K2557" s="14" t="str">
        <f>IFERROR(__xludf.DUMMYFUNCTION("ARRAYFORMULA(VLOOKUP(A2557,IMPORTRANGE(""https://docs.google.com/spreadsheets/d/1BuTWp7qHGjWhqrnf-OmePP568O4A5Am9ttzvVdP67zw/edit#gid=1603210130"", ""TOURISM!$A$2:$F$2692""), {2,3,4,5,6},0))"),"Middle East")</f>
        <v>Middle East</v>
      </c>
      <c r="L2557" s="14">
        <f>IFERROR(__xludf.DUMMYFUNCTION("""COMPUTED_VALUE"""),6.072E9)</f>
        <v>6072000000</v>
      </c>
      <c r="M2557" s="14" t="str">
        <f>IFERROR(__xludf.DUMMYFUNCTION("""COMPUTED_VALUE"""),"United Arab Emirates-Middle East")</f>
        <v>United Arab Emirates-Middle East</v>
      </c>
      <c r="N2557" s="14" t="str">
        <f>IFERROR(__xludf.DUMMYFUNCTION("""COMPUTED_VALUE"""),"2007")</f>
        <v>2007</v>
      </c>
      <c r="O2557" s="14">
        <f>IFERROR(__xludf.DUMMYFUNCTION("""COMPUTED_VALUE"""),1.1273E10)</f>
        <v>11273000000</v>
      </c>
      <c r="P2557" s="15">
        <f>IFERROR(__xludf.DUMMYFUNCTION("ARRAYFORMULA(VLOOKUP(A2557,IMPORTRANGE(""https://docs.google.com/spreadsheets/d/1BuTWp7qHGjWhqrnf-OmePP568O4A5Am9ttzvVdP67zw/edit#gid=771602874"" ,""HUMAN RESOURCES!$A$2:$M$2692""), {2,3,4,5,6,7,8,9,10,11,12,13},0))"),0.016)</f>
        <v>0.016</v>
      </c>
      <c r="Q2557" s="14">
        <f>IFERROR(__xludf.DUMMYFUNCTION("""COMPUTED_VALUE"""),0.008)</f>
        <v>0.008</v>
      </c>
      <c r="R2557" s="14">
        <f>IFERROR(__xludf.DUMMYFUNCTION("""COMPUTED_VALUE"""),77.0)</f>
        <v>77</v>
      </c>
      <c r="S2557" s="14">
        <f>IFERROR(__xludf.DUMMYFUNCTION("""COMPUTED_VALUE"""),75.0)</f>
        <v>75</v>
      </c>
      <c r="T2557" s="14">
        <f>IFERROR(__xludf.DUMMYFUNCTION("""COMPUTED_VALUE"""),0.162)</f>
        <v>0.162</v>
      </c>
      <c r="U2557" s="14">
        <f>IFERROR(__xludf.DUMMYFUNCTION("""COMPUTED_VALUE"""),0.833)</f>
        <v>0.833</v>
      </c>
      <c r="V2557" s="14">
        <f>IFERROR(__xludf.DUMMYFUNCTION("""COMPUTED_VALUE"""),0.005)</f>
        <v>0.005</v>
      </c>
      <c r="W2557" s="14">
        <f>IFERROR(__xludf.DUMMYFUNCTION("""COMPUTED_VALUE"""),5797347.0)</f>
        <v>5797347</v>
      </c>
      <c r="X2557" s="14">
        <f>IFERROR(__xludf.DUMMYFUNCTION("""COMPUTED_VALUE"""),0.83)</f>
        <v>0.83</v>
      </c>
      <c r="Y2557" s="14" t="str">
        <f>IFERROR(__xludf.DUMMYFUNCTION("""COMPUTED_VALUE"""),"United Arab Emirates-Middle East")</f>
        <v>United Arab Emirates-Middle East</v>
      </c>
      <c r="Z2557" s="14" t="str">
        <f>IFERROR(__xludf.DUMMYFUNCTION("""COMPUTED_VALUE"""),"Middle East")</f>
        <v>Middle East</v>
      </c>
      <c r="AA2557" s="14" t="str">
        <f>IFERROR(__xludf.DUMMYFUNCTION("""COMPUTED_VALUE"""),"2007")</f>
        <v>2007</v>
      </c>
      <c r="AB2557" s="15" t="str">
        <f>IFERROR(__xludf.DUMMYFUNCTION("ARRAYFORMULA(VLOOKUP(A2557,IMPORTRANGE(""https://docs.google.com/spreadsheets/d/1BuTWp7qHGjWhqrnf-OmePP568O4A5Am9ttzvVdP67zw/edit#gid=1931367683"" ,""ENERGY!$A$2:$F$2692""), {2,3,4,5,6},0))"),"Middle East")</f>
        <v>Middle East</v>
      </c>
      <c r="AC2557" s="14" t="str">
        <f>IFERROR(__xludf.DUMMYFUNCTION("""COMPUTED_VALUE"""),"United Arab Emirates-Middle East")</f>
        <v>United Arab Emirates-Middle East</v>
      </c>
      <c r="AD2557" s="14" t="str">
        <f>IFERROR(__xludf.DUMMYFUNCTION("""COMPUTED_VALUE"""),"2011")</f>
        <v>2011</v>
      </c>
      <c r="AE2557" s="14">
        <f>IFERROR(__xludf.DUMMYFUNCTION("""COMPUTED_VALUE"""),43231.0)</f>
        <v>43231</v>
      </c>
      <c r="AF2557" s="14">
        <f>IFERROR(__xludf.DUMMYFUNCTION("""COMPUTED_VALUE"""),116149.0)</f>
        <v>116149</v>
      </c>
    </row>
    <row r="2558">
      <c r="A2558" s="12">
        <v>2557.0</v>
      </c>
      <c r="B2558" s="12" t="s">
        <v>275</v>
      </c>
      <c r="C2558" s="5" t="s">
        <v>93</v>
      </c>
      <c r="D2558" s="11">
        <v>0.144</v>
      </c>
      <c r="E2558" s="11">
        <v>18.0</v>
      </c>
      <c r="F2558" s="8"/>
      <c r="G2558" s="11">
        <v>12.0</v>
      </c>
      <c r="H2558" s="11">
        <v>0.63</v>
      </c>
      <c r="I2558" s="11">
        <v>1.376</v>
      </c>
      <c r="J2558" s="9" t="s">
        <v>69</v>
      </c>
      <c r="K2558" s="14" t="str">
        <f>IFERROR(__xludf.DUMMYFUNCTION("ARRAYFORMULA(VLOOKUP(A2558,IMPORTRANGE(""https://docs.google.com/spreadsheets/d/1BuTWp7qHGjWhqrnf-OmePP568O4A5Am9ttzvVdP67zw/edit#gid=1603210130"", ""TOURISM!$A$2:$F$2692""), {2,3,4,5,6},0))"),"Middle East")</f>
        <v>Middle East</v>
      </c>
      <c r="L2558" s="14">
        <f>IFERROR(__xludf.DUMMYFUNCTION("""COMPUTED_VALUE"""),7.162E9)</f>
        <v>7162000000</v>
      </c>
      <c r="M2558" s="14" t="str">
        <f>IFERROR(__xludf.DUMMYFUNCTION("""COMPUTED_VALUE"""),"United Arab Emirates-Middle East")</f>
        <v>United Arab Emirates-Middle East</v>
      </c>
      <c r="N2558" s="14" t="str">
        <f>IFERROR(__xludf.DUMMYFUNCTION("""COMPUTED_VALUE"""),"2008")</f>
        <v>2008</v>
      </c>
      <c r="O2558" s="14">
        <f>IFERROR(__xludf.DUMMYFUNCTION("""COMPUTED_VALUE"""),1.3288E10)</f>
        <v>13288000000</v>
      </c>
      <c r="P2558" s="15">
        <f>IFERROR(__xludf.DUMMYFUNCTION("ARRAYFORMULA(VLOOKUP(A2558,IMPORTRANGE(""https://docs.google.com/spreadsheets/d/1BuTWp7qHGjWhqrnf-OmePP568O4A5Am9ttzvVdP67zw/edit#gid=771602874"" ,""HUMAN RESOURCES!$A$2:$M$2692""), {2,3,4,5,6,7,8,9,10,11,12,13},0))"),0.016)</f>
        <v>0.016</v>
      </c>
      <c r="Q2558" s="14">
        <f>IFERROR(__xludf.DUMMYFUNCTION("""COMPUTED_VALUE"""),0.008)</f>
        <v>0.008</v>
      </c>
      <c r="R2558" s="14">
        <f>IFERROR(__xludf.DUMMYFUNCTION("""COMPUTED_VALUE"""),77.0)</f>
        <v>77</v>
      </c>
      <c r="S2558" s="14">
        <f>IFERROR(__xludf.DUMMYFUNCTION("""COMPUTED_VALUE"""),75.0)</f>
        <v>75</v>
      </c>
      <c r="T2558" s="14">
        <f>IFERROR(__xludf.DUMMYFUNCTION("""COMPUTED_VALUE"""),0.149)</f>
        <v>0.149</v>
      </c>
      <c r="U2558" s="14">
        <f>IFERROR(__xludf.DUMMYFUNCTION("""COMPUTED_VALUE"""),0.847)</f>
        <v>0.847</v>
      </c>
      <c r="V2558" s="14">
        <f>IFERROR(__xludf.DUMMYFUNCTION("""COMPUTED_VALUE"""),0.004)</f>
        <v>0.004</v>
      </c>
      <c r="W2558" s="14">
        <f>IFERROR(__xludf.DUMMYFUNCTION("""COMPUTED_VALUE"""),6798635.0)</f>
        <v>6798635</v>
      </c>
      <c r="X2558" s="14">
        <f>IFERROR(__xludf.DUMMYFUNCTION("""COMPUTED_VALUE"""),0.834)</f>
        <v>0.834</v>
      </c>
      <c r="Y2558" s="14" t="str">
        <f>IFERROR(__xludf.DUMMYFUNCTION("""COMPUTED_VALUE"""),"United Arab Emirates-Middle East")</f>
        <v>United Arab Emirates-Middle East</v>
      </c>
      <c r="Z2558" s="14" t="str">
        <f>IFERROR(__xludf.DUMMYFUNCTION("""COMPUTED_VALUE"""),"Middle East")</f>
        <v>Middle East</v>
      </c>
      <c r="AA2558" s="14" t="str">
        <f>IFERROR(__xludf.DUMMYFUNCTION("""COMPUTED_VALUE"""),"2008")</f>
        <v>2008</v>
      </c>
      <c r="AB2558" s="15" t="str">
        <f>IFERROR(__xludf.DUMMYFUNCTION("ARRAYFORMULA(VLOOKUP(A2558,IMPORTRANGE(""https://docs.google.com/spreadsheets/d/1BuTWp7qHGjWhqrnf-OmePP568O4A5Am9ttzvVdP67zw/edit#gid=1931367683"" ,""ENERGY!$A$2:$F$2692""), {2,3,4,5,6},0))"),"Middle East")</f>
        <v>Middle East</v>
      </c>
      <c r="AC2558" s="14" t="str">
        <f>IFERROR(__xludf.DUMMYFUNCTION("""COMPUTED_VALUE"""),"United Arab Emirates-Middle East")</f>
        <v>United Arab Emirates-Middle East</v>
      </c>
      <c r="AD2558" s="14" t="str">
        <f>IFERROR(__xludf.DUMMYFUNCTION("""COMPUTED_VALUE"""),"2008")</f>
        <v>2008</v>
      </c>
      <c r="AE2558" s="14">
        <f>IFERROR(__xludf.DUMMYFUNCTION("""COMPUTED_VALUE"""),42310.0)</f>
        <v>42310</v>
      </c>
      <c r="AF2558" s="14">
        <f>IFERROR(__xludf.DUMMYFUNCTION("""COMPUTED_VALUE"""),113241.0)</f>
        <v>113241</v>
      </c>
    </row>
    <row r="2559">
      <c r="A2559" s="12">
        <v>2558.0</v>
      </c>
      <c r="B2559" s="12" t="s">
        <v>275</v>
      </c>
      <c r="C2559" s="5" t="s">
        <v>93</v>
      </c>
      <c r="D2559" s="11">
        <v>0.141</v>
      </c>
      <c r="E2559" s="11">
        <v>15.0</v>
      </c>
      <c r="F2559" s="8"/>
      <c r="G2559" s="11">
        <v>12.0</v>
      </c>
      <c r="H2559" s="11">
        <v>0.64</v>
      </c>
      <c r="I2559" s="11">
        <v>1.383</v>
      </c>
      <c r="J2559" s="9" t="s">
        <v>70</v>
      </c>
      <c r="K2559" s="14" t="str">
        <f>IFERROR(__xludf.DUMMYFUNCTION("ARRAYFORMULA(VLOOKUP(A2559,IMPORTRANGE(""https://docs.google.com/spreadsheets/d/1BuTWp7qHGjWhqrnf-OmePP568O4A5Am9ttzvVdP67zw/edit#gid=1603210130"", ""TOURISM!$A$2:$F$2692""), {2,3,4,5,6},0))"),"Middle East")</f>
        <v>Middle East</v>
      </c>
      <c r="L2559" s="14">
        <f>IFERROR(__xludf.DUMMYFUNCTION("""COMPUTED_VALUE"""),7.352E9)</f>
        <v>7352000000</v>
      </c>
      <c r="M2559" s="14" t="str">
        <f>IFERROR(__xludf.DUMMYFUNCTION("""COMPUTED_VALUE"""),"United Arab Emirates-Middle East")</f>
        <v>United Arab Emirates-Middle East</v>
      </c>
      <c r="N2559" s="14" t="str">
        <f>IFERROR(__xludf.DUMMYFUNCTION("""COMPUTED_VALUE"""),"2009")</f>
        <v>2009</v>
      </c>
      <c r="O2559" s="14">
        <f>IFERROR(__xludf.DUMMYFUNCTION("""COMPUTED_VALUE"""),1.0347E10)</f>
        <v>10347000000</v>
      </c>
      <c r="P2559" s="15">
        <f>IFERROR(__xludf.DUMMYFUNCTION("ARRAYFORMULA(VLOOKUP(A2559,IMPORTRANGE(""https://docs.google.com/spreadsheets/d/1BuTWp7qHGjWhqrnf-OmePP568O4A5Am9ttzvVdP67zw/edit#gid=771602874"" ,""HUMAN RESOURCES!$A$2:$M$2692""), {2,3,4,5,6,7,8,9,10,11,12,13},0))"),0.016)</f>
        <v>0.016</v>
      </c>
      <c r="Q2559" s="14">
        <f>IFERROR(__xludf.DUMMYFUNCTION("""COMPUTED_VALUE"""),0.008)</f>
        <v>0.008</v>
      </c>
      <c r="R2559" s="14">
        <f>IFERROR(__xludf.DUMMYFUNCTION("""COMPUTED_VALUE"""),77.0)</f>
        <v>77</v>
      </c>
      <c r="S2559" s="14">
        <f>IFERROR(__xludf.DUMMYFUNCTION("""COMPUTED_VALUE"""),75.0)</f>
        <v>75</v>
      </c>
      <c r="T2559" s="14">
        <f>IFERROR(__xludf.DUMMYFUNCTION("""COMPUTED_VALUE"""),0.141)</f>
        <v>0.141</v>
      </c>
      <c r="U2559" s="14">
        <f>IFERROR(__xludf.DUMMYFUNCTION("""COMPUTED_VALUE"""),0.855)</f>
        <v>0.855</v>
      </c>
      <c r="V2559" s="14">
        <f>IFERROR(__xludf.DUMMYFUNCTION("""COMPUTED_VALUE"""),0.004)</f>
        <v>0.004</v>
      </c>
      <c r="W2559" s="14">
        <f>IFERROR(__xludf.DUMMYFUNCTION("""COMPUTED_VALUE"""),7718319.0)</f>
        <v>7718319</v>
      </c>
      <c r="X2559" s="14">
        <f>IFERROR(__xludf.DUMMYFUNCTION("""COMPUTED_VALUE"""),0.837)</f>
        <v>0.837</v>
      </c>
      <c r="Y2559" s="14" t="str">
        <f>IFERROR(__xludf.DUMMYFUNCTION("""COMPUTED_VALUE"""),"United Arab Emirates-Middle East")</f>
        <v>United Arab Emirates-Middle East</v>
      </c>
      <c r="Z2559" s="14" t="str">
        <f>IFERROR(__xludf.DUMMYFUNCTION("""COMPUTED_VALUE"""),"Middle East")</f>
        <v>Middle East</v>
      </c>
      <c r="AA2559" s="14" t="str">
        <f>IFERROR(__xludf.DUMMYFUNCTION("""COMPUTED_VALUE"""),"2009")</f>
        <v>2009</v>
      </c>
      <c r="AB2559" s="15" t="str">
        <f>IFERROR(__xludf.DUMMYFUNCTION("ARRAYFORMULA(VLOOKUP(A2559,IMPORTRANGE(""https://docs.google.com/spreadsheets/d/1BuTWp7qHGjWhqrnf-OmePP568O4A5Am9ttzvVdP67zw/edit#gid=1931367683"" ,""ENERGY!$A$2:$F$2692""), {2,3,4,5,6},0))"),"Middle East")</f>
        <v>Middle East</v>
      </c>
      <c r="AC2559" s="14" t="str">
        <f>IFERROR(__xludf.DUMMYFUNCTION("""COMPUTED_VALUE"""),"United Arab Emirates-Middle East")</f>
        <v>United Arab Emirates-Middle East</v>
      </c>
      <c r="AD2559" s="14" t="str">
        <f>IFERROR(__xludf.DUMMYFUNCTION("""COMPUTED_VALUE"""),"2012")</f>
        <v>2012</v>
      </c>
      <c r="AE2559" s="14">
        <f>IFERROR(__xludf.DUMMYFUNCTION("""COMPUTED_VALUE"""),40190.0)</f>
        <v>40190</v>
      </c>
      <c r="AF2559" s="14">
        <f>IFERROR(__xludf.DUMMYFUNCTION("""COMPUTED_VALUE"""),106842.0)</f>
        <v>106842</v>
      </c>
    </row>
    <row r="2560">
      <c r="A2560" s="12">
        <v>2559.0</v>
      </c>
      <c r="B2560" s="12" t="s">
        <v>275</v>
      </c>
      <c r="C2560" s="5" t="s">
        <v>93</v>
      </c>
      <c r="D2560" s="11">
        <v>0.141</v>
      </c>
      <c r="E2560" s="11">
        <v>15.0</v>
      </c>
      <c r="F2560" s="8"/>
      <c r="G2560" s="11">
        <v>12.0</v>
      </c>
      <c r="H2560" s="11">
        <v>0.68</v>
      </c>
      <c r="I2560" s="11">
        <v>1.294</v>
      </c>
      <c r="J2560" s="9" t="s">
        <v>71</v>
      </c>
      <c r="K2560" s="14" t="str">
        <f>IFERROR(__xludf.DUMMYFUNCTION("ARRAYFORMULA(VLOOKUP(A2560,IMPORTRANGE(""https://docs.google.com/spreadsheets/d/1BuTWp7qHGjWhqrnf-OmePP568O4A5Am9ttzvVdP67zw/edit#gid=1603210130"", ""TOURISM!$A$2:$F$2692""), {2,3,4,5,6},0))"),"Middle East")</f>
        <v>Middle East</v>
      </c>
      <c r="L2560" s="14">
        <f>IFERROR(__xludf.DUMMYFUNCTION("""COMPUTED_VALUE"""),8.577E9)</f>
        <v>8577000000</v>
      </c>
      <c r="M2560" s="14" t="str">
        <f>IFERROR(__xludf.DUMMYFUNCTION("""COMPUTED_VALUE"""),"United Arab Emirates-Middle East")</f>
        <v>United Arab Emirates-Middle East</v>
      </c>
      <c r="N2560" s="14" t="str">
        <f>IFERROR(__xludf.DUMMYFUNCTION("""COMPUTED_VALUE"""),"2010")</f>
        <v>2010</v>
      </c>
      <c r="O2560" s="14">
        <f>IFERROR(__xludf.DUMMYFUNCTION("""COMPUTED_VALUE"""),1.1818E10)</f>
        <v>11818000000</v>
      </c>
      <c r="P2560" s="15">
        <f>IFERROR(__xludf.DUMMYFUNCTION("ARRAYFORMULA(VLOOKUP(A2560,IMPORTRANGE(""https://docs.google.com/spreadsheets/d/1BuTWp7qHGjWhqrnf-OmePP568O4A5Am9ttzvVdP67zw/edit#gid=771602874"" ,""HUMAN RESOURCES!$A$2:$M$2692""), {2,3,4,5,6,7,8,9,10,11,12,13},0))"),0.016)</f>
        <v>0.016</v>
      </c>
      <c r="Q2560" s="14">
        <f>IFERROR(__xludf.DUMMYFUNCTION("""COMPUTED_VALUE"""),0.008)</f>
        <v>0.008</v>
      </c>
      <c r="R2560" s="14">
        <f>IFERROR(__xludf.DUMMYFUNCTION("""COMPUTED_VALUE"""),78.0)</f>
        <v>78</v>
      </c>
      <c r="S2560" s="14">
        <f>IFERROR(__xludf.DUMMYFUNCTION("""COMPUTED_VALUE"""),76.0)</f>
        <v>76</v>
      </c>
      <c r="T2560" s="14">
        <f>IFERROR(__xludf.DUMMYFUNCTION("""COMPUTED_VALUE"""),0.139)</f>
        <v>0.139</v>
      </c>
      <c r="U2560" s="14">
        <f>IFERROR(__xludf.DUMMYFUNCTION("""COMPUTED_VALUE"""),0.858)</f>
        <v>0.858</v>
      </c>
      <c r="V2560" s="14">
        <f>IFERROR(__xludf.DUMMYFUNCTION("""COMPUTED_VALUE"""),0.003)</f>
        <v>0.003</v>
      </c>
      <c r="W2560" s="14">
        <f>IFERROR(__xludf.DUMMYFUNCTION("""COMPUTED_VALUE"""),8441537.0)</f>
        <v>8441537</v>
      </c>
      <c r="X2560" s="14">
        <f>IFERROR(__xludf.DUMMYFUNCTION("""COMPUTED_VALUE"""),0.841)</f>
        <v>0.841</v>
      </c>
      <c r="Y2560" s="14" t="str">
        <f>IFERROR(__xludf.DUMMYFUNCTION("""COMPUTED_VALUE"""),"United Arab Emirates-Middle East")</f>
        <v>United Arab Emirates-Middle East</v>
      </c>
      <c r="Z2560" s="14" t="str">
        <f>IFERROR(__xludf.DUMMYFUNCTION("""COMPUTED_VALUE"""),"Middle East")</f>
        <v>Middle East</v>
      </c>
      <c r="AA2560" s="14" t="str">
        <f>IFERROR(__xludf.DUMMYFUNCTION("""COMPUTED_VALUE"""),"2010")</f>
        <v>2010</v>
      </c>
      <c r="AB2560" s="15" t="str">
        <f>IFERROR(__xludf.DUMMYFUNCTION("ARRAYFORMULA(VLOOKUP(A2560,IMPORTRANGE(""https://docs.google.com/spreadsheets/d/1BuTWp7qHGjWhqrnf-OmePP568O4A5Am9ttzvVdP67zw/edit#gid=1931367683"" ,""ENERGY!$A$2:$F$2692""), {2,3,4,5,6},0))"),"Middle East")</f>
        <v>Middle East</v>
      </c>
      <c r="AC2560" s="14" t="str">
        <f>IFERROR(__xludf.DUMMYFUNCTION("""COMPUTED_VALUE"""),"United Arab Emirates-Middle East")</f>
        <v>United Arab Emirates-Middle East</v>
      </c>
      <c r="AD2560" s="14" t="str">
        <f>IFERROR(__xludf.DUMMYFUNCTION("""COMPUTED_VALUE"""),"2010")</f>
        <v>2010</v>
      </c>
      <c r="AE2560" s="14">
        <f>IFERROR(__xludf.DUMMYFUNCTION("""COMPUTED_VALUE"""),40578.0)</f>
        <v>40578</v>
      </c>
      <c r="AF2560" s="14">
        <f>IFERROR(__xludf.DUMMYFUNCTION("""COMPUTED_VALUE"""),84704.0)</f>
        <v>84704</v>
      </c>
    </row>
    <row r="2561">
      <c r="A2561" s="12">
        <v>2560.0</v>
      </c>
      <c r="B2561" s="12" t="s">
        <v>275</v>
      </c>
      <c r="C2561" s="5" t="s">
        <v>93</v>
      </c>
      <c r="D2561" s="11">
        <v>0.141</v>
      </c>
      <c r="E2561" s="11">
        <v>13.0</v>
      </c>
      <c r="F2561" s="8"/>
      <c r="G2561" s="11">
        <v>12.0</v>
      </c>
      <c r="H2561" s="11">
        <v>0.78</v>
      </c>
      <c r="I2561" s="11">
        <v>1.314</v>
      </c>
      <c r="J2561" s="9" t="s">
        <v>72</v>
      </c>
      <c r="K2561" s="14" t="str">
        <f>IFERROR(__xludf.DUMMYFUNCTION("ARRAYFORMULA(VLOOKUP(A2561,IMPORTRANGE(""https://docs.google.com/spreadsheets/d/1BuTWp7qHGjWhqrnf-OmePP568O4A5Am9ttzvVdP67zw/edit#gid=1603210130"", ""TOURISM!$A$2:$F$2692""), {2,3,4,5,6},0))"),"Middle East")</f>
        <v>Middle East</v>
      </c>
      <c r="L2561" s="14"/>
      <c r="M2561" s="14" t="str">
        <f>IFERROR(__xludf.DUMMYFUNCTION("""COMPUTED_VALUE"""),"United Arab Emirates-Middle East")</f>
        <v>United Arab Emirates-Middle East</v>
      </c>
      <c r="N2561" s="14" t="str">
        <f>IFERROR(__xludf.DUMMYFUNCTION("""COMPUTED_VALUE"""),"2011")</f>
        <v>2011</v>
      </c>
      <c r="O2561" s="14"/>
      <c r="P2561" s="15">
        <f>IFERROR(__xludf.DUMMYFUNCTION("ARRAYFORMULA(VLOOKUP(A2561,IMPORTRANGE(""https://docs.google.com/spreadsheets/d/1BuTWp7qHGjWhqrnf-OmePP568O4A5Am9ttzvVdP67zw/edit#gid=771602874"" ,""HUMAN RESOURCES!$A$2:$M$2692""), {2,3,4,5,6,7,8,9,10,11,12,13},0))"),0.016)</f>
        <v>0.016</v>
      </c>
      <c r="Q2561" s="14">
        <f>IFERROR(__xludf.DUMMYFUNCTION("""COMPUTED_VALUE"""),0.007)</f>
        <v>0.007</v>
      </c>
      <c r="R2561" s="14">
        <f>IFERROR(__xludf.DUMMYFUNCTION("""COMPUTED_VALUE"""),78.0)</f>
        <v>78</v>
      </c>
      <c r="S2561" s="14">
        <f>IFERROR(__xludf.DUMMYFUNCTION("""COMPUTED_VALUE"""),76.0)</f>
        <v>76</v>
      </c>
      <c r="T2561" s="14">
        <f>IFERROR(__xludf.DUMMYFUNCTION("""COMPUTED_VALUE"""),0.14)</f>
        <v>0.14</v>
      </c>
      <c r="U2561" s="14">
        <f>IFERROR(__xludf.DUMMYFUNCTION("""COMPUTED_VALUE"""),0.857)</f>
        <v>0.857</v>
      </c>
      <c r="V2561" s="14">
        <f>IFERROR(__xludf.DUMMYFUNCTION("""COMPUTED_VALUE"""),0.003)</f>
        <v>0.003</v>
      </c>
      <c r="W2561" s="14">
        <f>IFERROR(__xludf.DUMMYFUNCTION("""COMPUTED_VALUE"""),8925096.0)</f>
        <v>8925096</v>
      </c>
      <c r="X2561" s="14">
        <f>IFERROR(__xludf.DUMMYFUNCTION("""COMPUTED_VALUE"""),0.844)</f>
        <v>0.844</v>
      </c>
      <c r="Y2561" s="14" t="str">
        <f>IFERROR(__xludf.DUMMYFUNCTION("""COMPUTED_VALUE"""),"United Arab Emirates-Middle East")</f>
        <v>United Arab Emirates-Middle East</v>
      </c>
      <c r="Z2561" s="14" t="str">
        <f>IFERROR(__xludf.DUMMYFUNCTION("""COMPUTED_VALUE"""),"Middle East")</f>
        <v>Middle East</v>
      </c>
      <c r="AA2561" s="14" t="str">
        <f>IFERROR(__xludf.DUMMYFUNCTION("""COMPUTED_VALUE"""),"2011")</f>
        <v>2011</v>
      </c>
      <c r="AB2561" s="15" t="str">
        <f>IFERROR(__xludf.DUMMYFUNCTION("ARRAYFORMULA(VLOOKUP(A2561,IMPORTRANGE(""https://docs.google.com/spreadsheets/d/1BuTWp7qHGjWhqrnf-OmePP568O4A5Am9ttzvVdP67zw/edit#gid=1931367683"" ,""ENERGY!$A$2:$F$2692""), {2,3,4,5,6},0))"),"Middle East")</f>
        <v>Middle East</v>
      </c>
      <c r="AC2561" s="14" t="str">
        <f>IFERROR(__xludf.DUMMYFUNCTION("""COMPUTED_VALUE"""),"United Arab Emirates-Middle East")</f>
        <v>United Arab Emirates-Middle East</v>
      </c>
      <c r="AD2561" s="14" t="str">
        <f>IFERROR(__xludf.DUMMYFUNCTION("""COMPUTED_VALUE"""),"2008")</f>
        <v>2008</v>
      </c>
      <c r="AE2561" s="14">
        <f>IFERROR(__xludf.DUMMYFUNCTION("""COMPUTED_VALUE"""),37365.0)</f>
        <v>37365</v>
      </c>
      <c r="AF2561" s="14">
        <f>IFERROR(__xludf.DUMMYFUNCTION("""COMPUTED_VALUE"""),101415.0)</f>
        <v>101415</v>
      </c>
    </row>
    <row r="2562">
      <c r="A2562" s="12">
        <v>2561.0</v>
      </c>
      <c r="B2562" s="12" t="s">
        <v>275</v>
      </c>
      <c r="C2562" s="5" t="s">
        <v>93</v>
      </c>
      <c r="D2562" s="11">
        <v>0.149</v>
      </c>
      <c r="E2562" s="11">
        <v>8.0</v>
      </c>
      <c r="F2562" s="11">
        <v>26.0</v>
      </c>
      <c r="G2562" s="11">
        <v>12.0</v>
      </c>
      <c r="H2562" s="11">
        <v>0.85</v>
      </c>
      <c r="I2562" s="11">
        <v>1.496</v>
      </c>
      <c r="J2562" s="9" t="s">
        <v>73</v>
      </c>
      <c r="K2562" s="14" t="str">
        <f>IFERROR(__xludf.DUMMYFUNCTION("ARRAYFORMULA(VLOOKUP(A2562,IMPORTRANGE(""https://docs.google.com/spreadsheets/d/1BuTWp7qHGjWhqrnf-OmePP568O4A5Am9ttzvVdP67zw/edit#gid=1603210130"", ""TOURISM!$A$2:$F$2692""), {2,3,4,5,6},0))"),"Middle East")</f>
        <v>Middle East</v>
      </c>
      <c r="L2562" s="14"/>
      <c r="M2562" s="14" t="str">
        <f>IFERROR(__xludf.DUMMYFUNCTION("""COMPUTED_VALUE"""),"United Arab Emirates-Middle East")</f>
        <v>United Arab Emirates-Middle East</v>
      </c>
      <c r="N2562" s="14" t="str">
        <f>IFERROR(__xludf.DUMMYFUNCTION("""COMPUTED_VALUE"""),"2012")</f>
        <v>2012</v>
      </c>
      <c r="O2562" s="14"/>
      <c r="P2562" s="15">
        <f>IFERROR(__xludf.DUMMYFUNCTION("ARRAYFORMULA(VLOOKUP(A2562,IMPORTRANGE(""https://docs.google.com/spreadsheets/d/1BuTWp7qHGjWhqrnf-OmePP568O4A5Am9ttzvVdP67zw/edit#gid=771602874"" ,""HUMAN RESOURCES!$A$2:$M$2692""), {2,3,4,5,6,7,8,9,10,11,12,13},0))"),0.015)</f>
        <v>0.015</v>
      </c>
      <c r="Q2562" s="14">
        <f>IFERROR(__xludf.DUMMYFUNCTION("""COMPUTED_VALUE"""),0.007)</f>
        <v>0.007</v>
      </c>
      <c r="R2562" s="14">
        <f>IFERROR(__xludf.DUMMYFUNCTION("""COMPUTED_VALUE"""),78.0)</f>
        <v>78</v>
      </c>
      <c r="S2562" s="14">
        <f>IFERROR(__xludf.DUMMYFUNCTION("""COMPUTED_VALUE"""),76.0)</f>
        <v>76</v>
      </c>
      <c r="T2562" s="14">
        <f>IFERROR(__xludf.DUMMYFUNCTION("""COMPUTED_VALUE"""),0.144)</f>
        <v>0.144</v>
      </c>
      <c r="U2562" s="14">
        <f>IFERROR(__xludf.DUMMYFUNCTION("""COMPUTED_VALUE"""),0.852)</f>
        <v>0.852</v>
      </c>
      <c r="V2562" s="14">
        <f>IFERROR(__xludf.DUMMYFUNCTION("""COMPUTED_VALUE"""),0.004)</f>
        <v>0.004</v>
      </c>
      <c r="W2562" s="14">
        <f>IFERROR(__xludf.DUMMYFUNCTION("""COMPUTED_VALUE"""),9205651.0)</f>
        <v>9205651</v>
      </c>
      <c r="X2562" s="14">
        <f>IFERROR(__xludf.DUMMYFUNCTION("""COMPUTED_VALUE"""),0.847)</f>
        <v>0.847</v>
      </c>
      <c r="Y2562" s="14" t="str">
        <f>IFERROR(__xludf.DUMMYFUNCTION("""COMPUTED_VALUE"""),"United Arab Emirates-Middle East")</f>
        <v>United Arab Emirates-Middle East</v>
      </c>
      <c r="Z2562" s="14" t="str">
        <f>IFERROR(__xludf.DUMMYFUNCTION("""COMPUTED_VALUE"""),"Middle East")</f>
        <v>Middle East</v>
      </c>
      <c r="AA2562" s="14" t="str">
        <f>IFERROR(__xludf.DUMMYFUNCTION("""COMPUTED_VALUE"""),"2012")</f>
        <v>2012</v>
      </c>
      <c r="AB2562" s="15" t="str">
        <f>IFERROR(__xludf.DUMMYFUNCTION("ARRAYFORMULA(VLOOKUP(A2562,IMPORTRANGE(""https://docs.google.com/spreadsheets/d/1BuTWp7qHGjWhqrnf-OmePP568O4A5Am9ttzvVdP67zw/edit#gid=1931367683"" ,""ENERGY!$A$2:$F$2692""), {2,3,4,5,6},0))"),"Middle East")</f>
        <v>Middle East</v>
      </c>
      <c r="AC2562" s="14" t="str">
        <f>IFERROR(__xludf.DUMMYFUNCTION("""COMPUTED_VALUE"""),"United Arab Emirates-Middle East")</f>
        <v>United Arab Emirates-Middle East</v>
      </c>
      <c r="AD2562" s="14" t="str">
        <f>IFERROR(__xludf.DUMMYFUNCTION("""COMPUTED_VALUE"""),"2012")</f>
        <v>2012</v>
      </c>
      <c r="AE2562" s="14">
        <f>IFERROR(__xludf.DUMMYFUNCTION("""COMPUTED_VALUE"""),33944.0)</f>
        <v>33944</v>
      </c>
      <c r="AF2562" s="14">
        <f>IFERROR(__xludf.DUMMYFUNCTION("""COMPUTED_VALUE"""),112562.0)</f>
        <v>112562</v>
      </c>
    </row>
    <row r="2563">
      <c r="A2563" s="12">
        <v>2562.0</v>
      </c>
      <c r="B2563" s="12" t="s">
        <v>276</v>
      </c>
      <c r="C2563" s="5" t="s">
        <v>75</v>
      </c>
      <c r="D2563" s="8"/>
      <c r="E2563" s="8"/>
      <c r="F2563" s="8"/>
      <c r="G2563" s="8"/>
      <c r="H2563" s="11">
        <v>0.268</v>
      </c>
      <c r="I2563" s="11">
        <v>0.737</v>
      </c>
      <c r="J2563" s="9" t="s">
        <v>60</v>
      </c>
      <c r="K2563" s="14" t="str">
        <f>IFERROR(__xludf.DUMMYFUNCTION("ARRAYFORMULA(VLOOKUP(A2563,IMPORTRANGE(""https://docs.google.com/spreadsheets/d/1BuTWp7qHGjWhqrnf-OmePP568O4A5Am9ttzvVdP67zw/edit#gid=1603210130"", ""TOURISM!$A$2:$F$2692""), {2,3,4,5,6},0))"),"Europe")</f>
        <v>Europe</v>
      </c>
      <c r="L2563" s="14">
        <f>IFERROR(__xludf.DUMMYFUNCTION("""COMPUTED_VALUE"""),2.9978E10)</f>
        <v>29978000000</v>
      </c>
      <c r="M2563" s="14" t="str">
        <f>IFERROR(__xludf.DUMMYFUNCTION("""COMPUTED_VALUE"""),"United Kingdom-Europe")</f>
        <v>United Kingdom-Europe</v>
      </c>
      <c r="N2563" s="14" t="str">
        <f>IFERROR(__xludf.DUMMYFUNCTION("""COMPUTED_VALUE"""),"2000")</f>
        <v>2000</v>
      </c>
      <c r="O2563" s="14">
        <f>IFERROR(__xludf.DUMMYFUNCTION("""COMPUTED_VALUE"""),4.7009E10)</f>
        <v>47009000000</v>
      </c>
      <c r="P2563" s="15">
        <f>IFERROR(__xludf.DUMMYFUNCTION("ARRAYFORMULA(VLOOKUP(A2563,IMPORTRANGE(""https://docs.google.com/spreadsheets/d/1BuTWp7qHGjWhqrnf-OmePP568O4A5Am9ttzvVdP67zw/edit#gid=771602874"" ,""HUMAN RESOURCES!$A$2:$M$2692""), {2,3,4,5,6,7,8,9,10,11,12,13},0))"),0.012)</f>
        <v>0.012</v>
      </c>
      <c r="Q2563" s="14">
        <f>IFERROR(__xludf.DUMMYFUNCTION("""COMPUTED_VALUE"""),0.006)</f>
        <v>0.006</v>
      </c>
      <c r="R2563" s="14">
        <f>IFERROR(__xludf.DUMMYFUNCTION("""COMPUTED_VALUE"""),80.0)</f>
        <v>80</v>
      </c>
      <c r="S2563" s="14">
        <f>IFERROR(__xludf.DUMMYFUNCTION("""COMPUTED_VALUE"""),75.0)</f>
        <v>75</v>
      </c>
      <c r="T2563" s="14">
        <f>IFERROR(__xludf.DUMMYFUNCTION("""COMPUTED_VALUE"""),0.19)</f>
        <v>0.19</v>
      </c>
      <c r="U2563" s="14">
        <f>IFERROR(__xludf.DUMMYFUNCTION("""COMPUTED_VALUE"""),0.652)</f>
        <v>0.652</v>
      </c>
      <c r="V2563" s="14">
        <f>IFERROR(__xludf.DUMMYFUNCTION("""COMPUTED_VALUE"""),0.158)</f>
        <v>0.158</v>
      </c>
      <c r="W2563" s="14">
        <f>IFERROR(__xludf.DUMMYFUNCTION("""COMPUTED_VALUE"""),5.8892514E7)</f>
        <v>58892514</v>
      </c>
      <c r="X2563" s="14">
        <f>IFERROR(__xludf.DUMMYFUNCTION("""COMPUTED_VALUE"""),0.787)</f>
        <v>0.787</v>
      </c>
      <c r="Y2563" s="14" t="str">
        <f>IFERROR(__xludf.DUMMYFUNCTION("""COMPUTED_VALUE"""),"United Kingdom-Europe")</f>
        <v>United Kingdom-Europe</v>
      </c>
      <c r="Z2563" s="14" t="str">
        <f>IFERROR(__xludf.DUMMYFUNCTION("""COMPUTED_VALUE"""),"Europe")</f>
        <v>Europe</v>
      </c>
      <c r="AA2563" s="14" t="str">
        <f>IFERROR(__xludf.DUMMYFUNCTION("""COMPUTED_VALUE"""),"2000")</f>
        <v>2000</v>
      </c>
      <c r="AB2563" s="15" t="str">
        <f>IFERROR(__xludf.DUMMYFUNCTION("ARRAYFORMULA(VLOOKUP(A2563,IMPORTRANGE(""https://docs.google.com/spreadsheets/d/1BuTWp7qHGjWhqrnf-OmePP568O4A5Am9ttzvVdP67zw/edit#gid=1931367683"" ,""ENERGY!$A$2:$F$2692""), {2,3,4,5,6},0))"),"Europe")</f>
        <v>Europe</v>
      </c>
      <c r="AC2563" s="14" t="str">
        <f>IFERROR(__xludf.DUMMYFUNCTION("""COMPUTED_VALUE"""),"United Kingdom-Europe")</f>
        <v>United Kingdom-Europe</v>
      </c>
      <c r="AD2563" s="14" t="str">
        <f>IFERROR(__xludf.DUMMYFUNCTION("""COMPUTED_VALUE"""),"2000")</f>
        <v>2000</v>
      </c>
      <c r="AE2563" s="14">
        <f>IFERROR(__xludf.DUMMYFUNCTION("""COMPUTED_VALUE"""),192381.0)</f>
        <v>192381</v>
      </c>
      <c r="AF2563" s="14"/>
    </row>
    <row r="2564">
      <c r="A2564" s="12">
        <v>2563.0</v>
      </c>
      <c r="B2564" s="12" t="s">
        <v>276</v>
      </c>
      <c r="C2564" s="5" t="s">
        <v>75</v>
      </c>
      <c r="D2564" s="8"/>
      <c r="E2564" s="8"/>
      <c r="F2564" s="8"/>
      <c r="G2564" s="8"/>
      <c r="H2564" s="11">
        <v>0.335</v>
      </c>
      <c r="I2564" s="11">
        <v>0.782</v>
      </c>
      <c r="J2564" s="9" t="s">
        <v>62</v>
      </c>
      <c r="K2564" s="14" t="str">
        <f>IFERROR(__xludf.DUMMYFUNCTION("ARRAYFORMULA(VLOOKUP(A2564,IMPORTRANGE(""https://docs.google.com/spreadsheets/d/1BuTWp7qHGjWhqrnf-OmePP568O4A5Am9ttzvVdP67zw/edit#gid=1603210130"", ""TOURISM!$A$2:$F$2692""), {2,3,4,5,6},0))"),"Europe")</f>
        <v>Europe</v>
      </c>
      <c r="L2564" s="14">
        <f>IFERROR(__xludf.DUMMYFUNCTION("""COMPUTED_VALUE"""),2.6137E10)</f>
        <v>26137000000</v>
      </c>
      <c r="M2564" s="14" t="str">
        <f>IFERROR(__xludf.DUMMYFUNCTION("""COMPUTED_VALUE"""),"United Kingdom-Europe")</f>
        <v>United Kingdom-Europe</v>
      </c>
      <c r="N2564" s="14" t="str">
        <f>IFERROR(__xludf.DUMMYFUNCTION("""COMPUTED_VALUE"""),"2001")</f>
        <v>2001</v>
      </c>
      <c r="O2564" s="14">
        <f>IFERROR(__xludf.DUMMYFUNCTION("""COMPUTED_VALUE"""),4.641E10)</f>
        <v>46410000000</v>
      </c>
      <c r="P2564" s="15">
        <f>IFERROR(__xludf.DUMMYFUNCTION("ARRAYFORMULA(VLOOKUP(A2564,IMPORTRANGE(""https://docs.google.com/spreadsheets/d/1BuTWp7qHGjWhqrnf-OmePP568O4A5Am9ttzvVdP67zw/edit#gid=771602874"" ,""HUMAN RESOURCES!$A$2:$M$2692""), {2,3,4,5,6,7,8,9,10,11,12,13},0))"),0.011)</f>
        <v>0.011</v>
      </c>
      <c r="Q2564" s="14">
        <f>IFERROR(__xludf.DUMMYFUNCTION("""COMPUTED_VALUE"""),0.006)</f>
        <v>0.006</v>
      </c>
      <c r="R2564" s="14">
        <f>IFERROR(__xludf.DUMMYFUNCTION("""COMPUTED_VALUE"""),80.0)</f>
        <v>80</v>
      </c>
      <c r="S2564" s="14">
        <f>IFERROR(__xludf.DUMMYFUNCTION("""COMPUTED_VALUE"""),76.0)</f>
        <v>76</v>
      </c>
      <c r="T2564" s="14">
        <f>IFERROR(__xludf.DUMMYFUNCTION("""COMPUTED_VALUE"""),0.188)</f>
        <v>0.188</v>
      </c>
      <c r="U2564" s="14">
        <f>IFERROR(__xludf.DUMMYFUNCTION("""COMPUTED_VALUE"""),0.654)</f>
        <v>0.654</v>
      </c>
      <c r="V2564" s="14">
        <f>IFERROR(__xludf.DUMMYFUNCTION("""COMPUTED_VALUE"""),0.158)</f>
        <v>0.158</v>
      </c>
      <c r="W2564" s="14">
        <f>IFERROR(__xludf.DUMMYFUNCTION("""COMPUTED_VALUE"""),5.9119673E7)</f>
        <v>59119673</v>
      </c>
      <c r="X2564" s="14">
        <f>IFERROR(__xludf.DUMMYFUNCTION("""COMPUTED_VALUE"""),0.788)</f>
        <v>0.788</v>
      </c>
      <c r="Y2564" s="14" t="str">
        <f>IFERROR(__xludf.DUMMYFUNCTION("""COMPUTED_VALUE"""),"United Kingdom-Europe")</f>
        <v>United Kingdom-Europe</v>
      </c>
      <c r="Z2564" s="14" t="str">
        <f>IFERROR(__xludf.DUMMYFUNCTION("""COMPUTED_VALUE"""),"Europe")</f>
        <v>Europe</v>
      </c>
      <c r="AA2564" s="14" t="str">
        <f>IFERROR(__xludf.DUMMYFUNCTION("""COMPUTED_VALUE"""),"2001")</f>
        <v>2001</v>
      </c>
      <c r="AB2564" s="15" t="str">
        <f>IFERROR(__xludf.DUMMYFUNCTION("ARRAYFORMULA(VLOOKUP(A2564,IMPORTRANGE(""https://docs.google.com/spreadsheets/d/1BuTWp7qHGjWhqrnf-OmePP568O4A5Am9ttzvVdP67zw/edit#gid=1931367683"" ,""ENERGY!$A$2:$F$2692""), {2,3,4,5,6},0))"),"Europe")</f>
        <v>Europe</v>
      </c>
      <c r="AC2564" s="14" t="str">
        <f>IFERROR(__xludf.DUMMYFUNCTION("""COMPUTED_VALUE"""),"United Kingdom-Europe")</f>
        <v>United Kingdom-Europe</v>
      </c>
      <c r="AD2564" s="14" t="str">
        <f>IFERROR(__xludf.DUMMYFUNCTION("""COMPUTED_VALUE"""),"2001")</f>
        <v>2001</v>
      </c>
      <c r="AE2564" s="14">
        <f>IFERROR(__xludf.DUMMYFUNCTION("""COMPUTED_VALUE"""),188074.0)</f>
        <v>188074</v>
      </c>
      <c r="AF2564" s="14"/>
    </row>
    <row r="2565">
      <c r="A2565" s="12">
        <v>2564.0</v>
      </c>
      <c r="B2565" s="12" t="s">
        <v>276</v>
      </c>
      <c r="C2565" s="5" t="s">
        <v>75</v>
      </c>
      <c r="D2565" s="8"/>
      <c r="E2565" s="8"/>
      <c r="F2565" s="8"/>
      <c r="G2565" s="8"/>
      <c r="H2565" s="11">
        <v>0.565</v>
      </c>
      <c r="I2565" s="11">
        <v>0.828</v>
      </c>
      <c r="J2565" s="9" t="s">
        <v>63</v>
      </c>
      <c r="K2565" s="14" t="str">
        <f>IFERROR(__xludf.DUMMYFUNCTION("ARRAYFORMULA(VLOOKUP(A2565,IMPORTRANGE(""https://docs.google.com/spreadsheets/d/1BuTWp7qHGjWhqrnf-OmePP568O4A5Am9ttzvVdP67zw/edit#gid=1603210130"", ""TOURISM!$A$2:$F$2692""), {2,3,4,5,6},0))"),"Europe")</f>
        <v>Europe</v>
      </c>
      <c r="L2565" s="14">
        <f>IFERROR(__xludf.DUMMYFUNCTION("""COMPUTED_VALUE"""),2.7819E10)</f>
        <v>27819000000</v>
      </c>
      <c r="M2565" s="14" t="str">
        <f>IFERROR(__xludf.DUMMYFUNCTION("""COMPUTED_VALUE"""),"United Kingdom-Europe")</f>
        <v>United Kingdom-Europe</v>
      </c>
      <c r="N2565" s="14" t="str">
        <f>IFERROR(__xludf.DUMMYFUNCTION("""COMPUTED_VALUE"""),"2002")</f>
        <v>2002</v>
      </c>
      <c r="O2565" s="14">
        <f>IFERROR(__xludf.DUMMYFUNCTION("""COMPUTED_VALUE"""),5.1125E10)</f>
        <v>51125000000</v>
      </c>
      <c r="P2565" s="15">
        <f>IFERROR(__xludf.DUMMYFUNCTION("ARRAYFORMULA(VLOOKUP(A2565,IMPORTRANGE(""https://docs.google.com/spreadsheets/d/1BuTWp7qHGjWhqrnf-OmePP568O4A5Am9ttzvVdP67zw/edit#gid=771602874"" ,""HUMAN RESOURCES!$A$2:$M$2692""), {2,3,4,5,6,7,8,9,10,11,12,13},0))"),0.011)</f>
        <v>0.011</v>
      </c>
      <c r="Q2565" s="14">
        <f>IFERROR(__xludf.DUMMYFUNCTION("""COMPUTED_VALUE"""),0.005)</f>
        <v>0.005</v>
      </c>
      <c r="R2565" s="14">
        <f>IFERROR(__xludf.DUMMYFUNCTION("""COMPUTED_VALUE"""),81.0)</f>
        <v>81</v>
      </c>
      <c r="S2565" s="14">
        <f>IFERROR(__xludf.DUMMYFUNCTION("""COMPUTED_VALUE"""),76.0)</f>
        <v>76</v>
      </c>
      <c r="T2565" s="14">
        <f>IFERROR(__xludf.DUMMYFUNCTION("""COMPUTED_VALUE"""),0.186)</f>
        <v>0.186</v>
      </c>
      <c r="U2565" s="14">
        <f>IFERROR(__xludf.DUMMYFUNCTION("""COMPUTED_VALUE"""),0.656)</f>
        <v>0.656</v>
      </c>
      <c r="V2565" s="14">
        <f>IFERROR(__xludf.DUMMYFUNCTION("""COMPUTED_VALUE"""),0.158)</f>
        <v>0.158</v>
      </c>
      <c r="W2565" s="14">
        <f>IFERROR(__xludf.DUMMYFUNCTION("""COMPUTED_VALUE"""),5.9370479E7)</f>
        <v>59370479</v>
      </c>
      <c r="X2565" s="14">
        <f>IFERROR(__xludf.DUMMYFUNCTION("""COMPUTED_VALUE"""),0.79)</f>
        <v>0.79</v>
      </c>
      <c r="Y2565" s="14" t="str">
        <f>IFERROR(__xludf.DUMMYFUNCTION("""COMPUTED_VALUE"""),"United Kingdom-Europe")</f>
        <v>United Kingdom-Europe</v>
      </c>
      <c r="Z2565" s="14" t="str">
        <f>IFERROR(__xludf.DUMMYFUNCTION("""COMPUTED_VALUE"""),"Europe")</f>
        <v>Europe</v>
      </c>
      <c r="AA2565" s="14" t="str">
        <f>IFERROR(__xludf.DUMMYFUNCTION("""COMPUTED_VALUE"""),"2002")</f>
        <v>2002</v>
      </c>
      <c r="AB2565" s="15" t="str">
        <f>IFERROR(__xludf.DUMMYFUNCTION("ARRAYFORMULA(VLOOKUP(A2565,IMPORTRANGE(""https://docs.google.com/spreadsheets/d/1BuTWp7qHGjWhqrnf-OmePP568O4A5Am9ttzvVdP67zw/edit#gid=1931367683"" ,""ENERGY!$A$2:$F$2692""), {2,3,4,5,6},0))"),"Europe")</f>
        <v>Europe</v>
      </c>
      <c r="AC2565" s="14" t="str">
        <f>IFERROR(__xludf.DUMMYFUNCTION("""COMPUTED_VALUE"""),"United Kingdom-Europe")</f>
        <v>United Kingdom-Europe</v>
      </c>
      <c r="AD2565" s="14" t="str">
        <f>IFERROR(__xludf.DUMMYFUNCTION("""COMPUTED_VALUE"""),"2002")</f>
        <v>2002</v>
      </c>
      <c r="AE2565" s="14">
        <f>IFERROR(__xludf.DUMMYFUNCTION("""COMPUTED_VALUE"""),201829.0)</f>
        <v>201829</v>
      </c>
      <c r="AF2565" s="14">
        <f>IFERROR(__xludf.DUMMYFUNCTION("""COMPUTED_VALUE"""),493505.0)</f>
        <v>493505</v>
      </c>
    </row>
    <row r="2566">
      <c r="A2566" s="12">
        <v>2565.0</v>
      </c>
      <c r="B2566" s="12" t="s">
        <v>276</v>
      </c>
      <c r="C2566" s="5" t="s">
        <v>75</v>
      </c>
      <c r="D2566" s="8"/>
      <c r="E2566" s="11">
        <v>13.0</v>
      </c>
      <c r="F2566" s="8"/>
      <c r="G2566" s="8"/>
      <c r="H2566" s="11">
        <v>0.648</v>
      </c>
      <c r="I2566" s="11">
        <v>0.909</v>
      </c>
      <c r="J2566" s="9" t="s">
        <v>64</v>
      </c>
      <c r="K2566" s="14" t="str">
        <f>IFERROR(__xludf.DUMMYFUNCTION("ARRAYFORMULA(VLOOKUP(A2566,IMPORTRANGE(""https://docs.google.com/spreadsheets/d/1BuTWp7qHGjWhqrnf-OmePP568O4A5Am9ttzvVdP67zw/edit#gid=1603210130"", ""TOURISM!$A$2:$F$2692""), {2,3,4,5,6},0))"),"Europe")</f>
        <v>Europe</v>
      </c>
      <c r="L2566" s="14">
        <f>IFERROR(__xludf.DUMMYFUNCTION("""COMPUTED_VALUE"""),3.0736E10)</f>
        <v>30736000000</v>
      </c>
      <c r="M2566" s="14" t="str">
        <f>IFERROR(__xludf.DUMMYFUNCTION("""COMPUTED_VALUE"""),"United Kingdom-Europe")</f>
        <v>United Kingdom-Europe</v>
      </c>
      <c r="N2566" s="14" t="str">
        <f>IFERROR(__xludf.DUMMYFUNCTION("""COMPUTED_VALUE"""),"2003")</f>
        <v>2003</v>
      </c>
      <c r="O2566" s="14">
        <f>IFERROR(__xludf.DUMMYFUNCTION("""COMPUTED_VALUE"""),5.8627E10)</f>
        <v>58627000000</v>
      </c>
      <c r="P2566" s="15">
        <f>IFERROR(__xludf.DUMMYFUNCTION("ARRAYFORMULA(VLOOKUP(A2566,IMPORTRANGE(""https://docs.google.com/spreadsheets/d/1BuTWp7qHGjWhqrnf-OmePP568O4A5Am9ttzvVdP67zw/edit#gid=771602874"" ,""HUMAN RESOURCES!$A$2:$M$2692""), {2,3,4,5,6,7,8,9,10,11,12,13},0))"),0.012)</f>
        <v>0.012</v>
      </c>
      <c r="Q2566" s="14">
        <f>IFERROR(__xludf.DUMMYFUNCTION("""COMPUTED_VALUE"""),0.005)</f>
        <v>0.005</v>
      </c>
      <c r="R2566" s="14">
        <f>IFERROR(__xludf.DUMMYFUNCTION("""COMPUTED_VALUE"""),81.0)</f>
        <v>81</v>
      </c>
      <c r="S2566" s="14">
        <f>IFERROR(__xludf.DUMMYFUNCTION("""COMPUTED_VALUE"""),76.0)</f>
        <v>76</v>
      </c>
      <c r="T2566" s="14">
        <f>IFERROR(__xludf.DUMMYFUNCTION("""COMPUTED_VALUE"""),0.183)</f>
        <v>0.183</v>
      </c>
      <c r="U2566" s="14">
        <f>IFERROR(__xludf.DUMMYFUNCTION("""COMPUTED_VALUE"""),0.658)</f>
        <v>0.658</v>
      </c>
      <c r="V2566" s="14">
        <f>IFERROR(__xludf.DUMMYFUNCTION("""COMPUTED_VALUE"""),0.159)</f>
        <v>0.159</v>
      </c>
      <c r="W2566" s="14">
        <f>IFERROR(__xludf.DUMMYFUNCTION("""COMPUTED_VALUE"""),5.9647577E7)</f>
        <v>59647577</v>
      </c>
      <c r="X2566" s="14">
        <f>IFERROR(__xludf.DUMMYFUNCTION("""COMPUTED_VALUE"""),0.793)</f>
        <v>0.793</v>
      </c>
      <c r="Y2566" s="14" t="str">
        <f>IFERROR(__xludf.DUMMYFUNCTION("""COMPUTED_VALUE"""),"United Kingdom-Europe")</f>
        <v>United Kingdom-Europe</v>
      </c>
      <c r="Z2566" s="14" t="str">
        <f>IFERROR(__xludf.DUMMYFUNCTION("""COMPUTED_VALUE"""),"Europe")</f>
        <v>Europe</v>
      </c>
      <c r="AA2566" s="14" t="str">
        <f>IFERROR(__xludf.DUMMYFUNCTION("""COMPUTED_VALUE"""),"2003")</f>
        <v>2003</v>
      </c>
      <c r="AB2566" s="15" t="str">
        <f>IFERROR(__xludf.DUMMYFUNCTION("ARRAYFORMULA(VLOOKUP(A2566,IMPORTRANGE(""https://docs.google.com/spreadsheets/d/1BuTWp7qHGjWhqrnf-OmePP568O4A5Am9ttzvVdP67zw/edit#gid=1931367683"" ,""ENERGY!$A$2:$F$2692""), {2,3,4,5,6},0))"),"Europe")</f>
        <v>Europe</v>
      </c>
      <c r="AC2566" s="14" t="str">
        <f>IFERROR(__xludf.DUMMYFUNCTION("""COMPUTED_VALUE"""),"United Kingdom-Europe")</f>
        <v>United Kingdom-Europe</v>
      </c>
      <c r="AD2566" s="14" t="str">
        <f>IFERROR(__xludf.DUMMYFUNCTION("""COMPUTED_VALUE"""),"2003")</f>
        <v>2003</v>
      </c>
      <c r="AE2566" s="14">
        <f>IFERROR(__xludf.DUMMYFUNCTION("""COMPUTED_VALUE"""),196485.0)</f>
        <v>196485</v>
      </c>
      <c r="AF2566" s="14">
        <f>IFERROR(__xludf.DUMMYFUNCTION("""COMPUTED_VALUE"""),475108.0)</f>
        <v>475108</v>
      </c>
    </row>
    <row r="2567">
      <c r="A2567" s="12">
        <v>2566.0</v>
      </c>
      <c r="B2567" s="12" t="s">
        <v>276</v>
      </c>
      <c r="C2567" s="5" t="s">
        <v>75</v>
      </c>
      <c r="D2567" s="8"/>
      <c r="E2567" s="11">
        <v>13.0</v>
      </c>
      <c r="F2567" s="8"/>
      <c r="G2567" s="8"/>
      <c r="H2567" s="11">
        <v>0.656</v>
      </c>
      <c r="I2567" s="11">
        <v>0.995</v>
      </c>
      <c r="J2567" s="9" t="s">
        <v>65</v>
      </c>
      <c r="K2567" s="14" t="str">
        <f>IFERROR(__xludf.DUMMYFUNCTION("ARRAYFORMULA(VLOOKUP(A2567,IMPORTRANGE(""https://docs.google.com/spreadsheets/d/1BuTWp7qHGjWhqrnf-OmePP568O4A5Am9ttzvVdP67zw/edit#gid=1603210130"", ""TOURISM!$A$2:$F$2692""), {2,3,4,5,6},0))"),"Europe")</f>
        <v>Europe</v>
      </c>
      <c r="L2567" s="14">
        <f>IFERROR(__xludf.DUMMYFUNCTION("""COMPUTED_VALUE"""),3.7166E10)</f>
        <v>37166000000</v>
      </c>
      <c r="M2567" s="14" t="str">
        <f>IFERROR(__xludf.DUMMYFUNCTION("""COMPUTED_VALUE"""),"United Kingdom-Europe")</f>
        <v>United Kingdom-Europe</v>
      </c>
      <c r="N2567" s="14" t="str">
        <f>IFERROR(__xludf.DUMMYFUNCTION("""COMPUTED_VALUE"""),"2004")</f>
        <v>2004</v>
      </c>
      <c r="O2567" s="14">
        <f>IFERROR(__xludf.DUMMYFUNCTION("""COMPUTED_VALUE"""),6.9076E10)</f>
        <v>69076000000</v>
      </c>
      <c r="P2567" s="15">
        <f>IFERROR(__xludf.DUMMYFUNCTION("ARRAYFORMULA(VLOOKUP(A2567,IMPORTRANGE(""https://docs.google.com/spreadsheets/d/1BuTWp7qHGjWhqrnf-OmePP568O4A5Am9ttzvVdP67zw/edit#gid=771602874"" ,""HUMAN RESOURCES!$A$2:$M$2692""), {2,3,4,5,6,7,8,9,10,11,12,13},0))"),0.012)</f>
        <v>0.012</v>
      </c>
      <c r="Q2567" s="14">
        <f>IFERROR(__xludf.DUMMYFUNCTION("""COMPUTED_VALUE"""),0.005)</f>
        <v>0.005</v>
      </c>
      <c r="R2567" s="14">
        <f>IFERROR(__xludf.DUMMYFUNCTION("""COMPUTED_VALUE"""),81.0)</f>
        <v>81</v>
      </c>
      <c r="S2567" s="14">
        <f>IFERROR(__xludf.DUMMYFUNCTION("""COMPUTED_VALUE"""),77.0)</f>
        <v>77</v>
      </c>
      <c r="T2567" s="14">
        <f>IFERROR(__xludf.DUMMYFUNCTION("""COMPUTED_VALUE"""),0.181)</f>
        <v>0.181</v>
      </c>
      <c r="U2567" s="14">
        <f>IFERROR(__xludf.DUMMYFUNCTION("""COMPUTED_VALUE"""),0.66)</f>
        <v>0.66</v>
      </c>
      <c r="V2567" s="14">
        <f>IFERROR(__xludf.DUMMYFUNCTION("""COMPUTED_VALUE"""),0.159)</f>
        <v>0.159</v>
      </c>
      <c r="W2567" s="14">
        <f>IFERROR(__xludf.DUMMYFUNCTION("""COMPUTED_VALUE"""),5.9987905E7)</f>
        <v>59987905</v>
      </c>
      <c r="X2567" s="14">
        <f>IFERROR(__xludf.DUMMYFUNCTION("""COMPUTED_VALUE"""),0.796)</f>
        <v>0.796</v>
      </c>
      <c r="Y2567" s="14" t="str">
        <f>IFERROR(__xludf.DUMMYFUNCTION("""COMPUTED_VALUE"""),"United Kingdom-Europe")</f>
        <v>United Kingdom-Europe</v>
      </c>
      <c r="Z2567" s="14" t="str">
        <f>IFERROR(__xludf.DUMMYFUNCTION("""COMPUTED_VALUE"""),"Europe")</f>
        <v>Europe</v>
      </c>
      <c r="AA2567" s="14" t="str">
        <f>IFERROR(__xludf.DUMMYFUNCTION("""COMPUTED_VALUE"""),"2004")</f>
        <v>2004</v>
      </c>
      <c r="AB2567" s="15" t="str">
        <f>IFERROR(__xludf.DUMMYFUNCTION("ARRAYFORMULA(VLOOKUP(A2567,IMPORTRANGE(""https://docs.google.com/spreadsheets/d/1BuTWp7qHGjWhqrnf-OmePP568O4A5Am9ttzvVdP67zw/edit#gid=1931367683"" ,""ENERGY!$A$2:$F$2692""), {2,3,4,5,6},0))"),"Europe")</f>
        <v>Europe</v>
      </c>
      <c r="AC2567" s="14" t="str">
        <f>IFERROR(__xludf.DUMMYFUNCTION("""COMPUTED_VALUE"""),"United Kingdom-Europe")</f>
        <v>United Kingdom-Europe</v>
      </c>
      <c r="AD2567" s="14" t="str">
        <f>IFERROR(__xludf.DUMMYFUNCTION("""COMPUTED_VALUE"""),"2005")</f>
        <v>2005</v>
      </c>
      <c r="AE2567" s="14">
        <f>IFERROR(__xludf.DUMMYFUNCTION("""COMPUTED_VALUE"""),208209.0)</f>
        <v>208209</v>
      </c>
      <c r="AF2567" s="14">
        <f>IFERROR(__xludf.DUMMYFUNCTION("""COMPUTED_VALUE"""),522467.0)</f>
        <v>522467</v>
      </c>
    </row>
    <row r="2568">
      <c r="A2568" s="12">
        <v>2567.0</v>
      </c>
      <c r="B2568" s="12" t="s">
        <v>276</v>
      </c>
      <c r="C2568" s="5" t="s">
        <v>75</v>
      </c>
      <c r="D2568" s="11">
        <v>0.347</v>
      </c>
      <c r="E2568" s="11">
        <v>13.0</v>
      </c>
      <c r="F2568" s="8"/>
      <c r="G2568" s="11">
        <v>105.0</v>
      </c>
      <c r="H2568" s="11">
        <v>0.7</v>
      </c>
      <c r="I2568" s="11">
        <v>1.086</v>
      </c>
      <c r="J2568" s="9" t="s">
        <v>66</v>
      </c>
      <c r="K2568" s="14" t="str">
        <f>IFERROR(__xludf.DUMMYFUNCTION("ARRAYFORMULA(VLOOKUP(A2568,IMPORTRANGE(""https://docs.google.com/spreadsheets/d/1BuTWp7qHGjWhqrnf-OmePP568O4A5Am9ttzvVdP67zw/edit#gid=1603210130"", ""TOURISM!$A$2:$F$2692""), {2,3,4,5,6},0))"),"Europe")</f>
        <v>Europe</v>
      </c>
      <c r="L2568" s="14">
        <f>IFERROR(__xludf.DUMMYFUNCTION("""COMPUTED_VALUE"""),3.9411E10)</f>
        <v>39411000000</v>
      </c>
      <c r="M2568" s="14" t="str">
        <f>IFERROR(__xludf.DUMMYFUNCTION("""COMPUTED_VALUE"""),"United Kingdom-Europe")</f>
        <v>United Kingdom-Europe</v>
      </c>
      <c r="N2568" s="14" t="str">
        <f>IFERROR(__xludf.DUMMYFUNCTION("""COMPUTED_VALUE"""),"2005")</f>
        <v>2005</v>
      </c>
      <c r="O2568" s="14">
        <f>IFERROR(__xludf.DUMMYFUNCTION("""COMPUTED_VALUE"""),7.2993E10)</f>
        <v>72993000000</v>
      </c>
      <c r="P2568" s="15">
        <f>IFERROR(__xludf.DUMMYFUNCTION("ARRAYFORMULA(VLOOKUP(A2568,IMPORTRANGE(""https://docs.google.com/spreadsheets/d/1BuTWp7qHGjWhqrnf-OmePP568O4A5Am9ttzvVdP67zw/edit#gid=771602874"" ,""HUMAN RESOURCES!$A$2:$M$2692""), {2,3,4,5,6,7,8,9,10,11,12,13},0))"),0.012)</f>
        <v>0.012</v>
      </c>
      <c r="Q2568" s="14">
        <f>IFERROR(__xludf.DUMMYFUNCTION("""COMPUTED_VALUE"""),0.005)</f>
        <v>0.005</v>
      </c>
      <c r="R2568" s="14">
        <f>IFERROR(__xludf.DUMMYFUNCTION("""COMPUTED_VALUE"""),81.0)</f>
        <v>81</v>
      </c>
      <c r="S2568" s="14">
        <f>IFERROR(__xludf.DUMMYFUNCTION("""COMPUTED_VALUE"""),77.0)</f>
        <v>77</v>
      </c>
      <c r="T2568" s="14">
        <f>IFERROR(__xludf.DUMMYFUNCTION("""COMPUTED_VALUE"""),0.179)</f>
        <v>0.179</v>
      </c>
      <c r="U2568" s="14">
        <f>IFERROR(__xludf.DUMMYFUNCTION("""COMPUTED_VALUE"""),0.661)</f>
        <v>0.661</v>
      </c>
      <c r="V2568" s="14">
        <f>IFERROR(__xludf.DUMMYFUNCTION("""COMPUTED_VALUE"""),0.16)</f>
        <v>0.16</v>
      </c>
      <c r="W2568" s="14">
        <f>IFERROR(__xludf.DUMMYFUNCTION("""COMPUTED_VALUE"""),6.0401206E7)</f>
        <v>60401206</v>
      </c>
      <c r="X2568" s="14">
        <f>IFERROR(__xludf.DUMMYFUNCTION("""COMPUTED_VALUE"""),0.799)</f>
        <v>0.799</v>
      </c>
      <c r="Y2568" s="14" t="str">
        <f>IFERROR(__xludf.DUMMYFUNCTION("""COMPUTED_VALUE"""),"United Kingdom-Europe")</f>
        <v>United Kingdom-Europe</v>
      </c>
      <c r="Z2568" s="14" t="str">
        <f>IFERROR(__xludf.DUMMYFUNCTION("""COMPUTED_VALUE"""),"Europe")</f>
        <v>Europe</v>
      </c>
      <c r="AA2568" s="14" t="str">
        <f>IFERROR(__xludf.DUMMYFUNCTION("""COMPUTED_VALUE"""),"2005")</f>
        <v>2005</v>
      </c>
      <c r="AB2568" s="15" t="str">
        <f>IFERROR(__xludf.DUMMYFUNCTION("ARRAYFORMULA(VLOOKUP(A2568,IMPORTRANGE(""https://docs.google.com/spreadsheets/d/1BuTWp7qHGjWhqrnf-OmePP568O4A5Am9ttzvVdP67zw/edit#gid=1931367683"" ,""ENERGY!$A$2:$F$2692""), {2,3,4,5,6},0))"),"Europe")</f>
        <v>Europe</v>
      </c>
      <c r="AC2568" s="14" t="str">
        <f>IFERROR(__xludf.DUMMYFUNCTION("""COMPUTED_VALUE"""),"United Kingdom-Europe")</f>
        <v>United Kingdom-Europe</v>
      </c>
      <c r="AD2568" s="14" t="str">
        <f>IFERROR(__xludf.DUMMYFUNCTION("""COMPUTED_VALUE"""),"2009")</f>
        <v>2009</v>
      </c>
      <c r="AE2568" s="14">
        <f>IFERROR(__xludf.DUMMYFUNCTION("""COMPUTED_VALUE"""),210993.0)</f>
        <v>210993</v>
      </c>
      <c r="AF2568" s="14">
        <f>IFERROR(__xludf.DUMMYFUNCTION("""COMPUTED_VALUE"""),528906.0)</f>
        <v>528906</v>
      </c>
    </row>
    <row r="2569">
      <c r="A2569" s="12">
        <v>2568.0</v>
      </c>
      <c r="B2569" s="12" t="s">
        <v>276</v>
      </c>
      <c r="C2569" s="5" t="s">
        <v>75</v>
      </c>
      <c r="D2569" s="11">
        <v>0.346</v>
      </c>
      <c r="E2569" s="11">
        <v>13.0</v>
      </c>
      <c r="F2569" s="8"/>
      <c r="G2569" s="11">
        <v>105.0</v>
      </c>
      <c r="H2569" s="11">
        <v>0.688</v>
      </c>
      <c r="I2569" s="11">
        <v>1.156</v>
      </c>
      <c r="J2569" s="9" t="s">
        <v>67</v>
      </c>
      <c r="K2569" s="14" t="str">
        <f>IFERROR(__xludf.DUMMYFUNCTION("ARRAYFORMULA(VLOOKUP(A2569,IMPORTRANGE(""https://docs.google.com/spreadsheets/d/1BuTWp7qHGjWhqrnf-OmePP568O4A5Am9ttzvVdP67zw/edit#gid=1603210130"", ""TOURISM!$A$2:$F$2692""), {2,3,4,5,6},0))"),"Europe")</f>
        <v>Europe</v>
      </c>
      <c r="L2569" s="14">
        <f>IFERROR(__xludf.DUMMYFUNCTION("""COMPUTED_VALUE"""),4.3803E10)</f>
        <v>43803000000</v>
      </c>
      <c r="M2569" s="14" t="str">
        <f>IFERROR(__xludf.DUMMYFUNCTION("""COMPUTED_VALUE"""),"United Kingdom-Europe")</f>
        <v>United Kingdom-Europe</v>
      </c>
      <c r="N2569" s="14" t="str">
        <f>IFERROR(__xludf.DUMMYFUNCTION("""COMPUTED_VALUE"""),"2006")</f>
        <v>2006</v>
      </c>
      <c r="O2569" s="14">
        <f>IFERROR(__xludf.DUMMYFUNCTION("""COMPUTED_VALUE"""),7.7674E10)</f>
        <v>77674000000</v>
      </c>
      <c r="P2569" s="15">
        <f>IFERROR(__xludf.DUMMYFUNCTION("ARRAYFORMULA(VLOOKUP(A2569,IMPORTRANGE(""https://docs.google.com/spreadsheets/d/1BuTWp7qHGjWhqrnf-OmePP568O4A5Am9ttzvVdP67zw/edit#gid=771602874"" ,""HUMAN RESOURCES!$A$2:$M$2692""), {2,3,4,5,6,7,8,9,10,11,12,13},0))"),0.012)</f>
        <v>0.012</v>
      </c>
      <c r="Q2569" s="14">
        <f>IFERROR(__xludf.DUMMYFUNCTION("""COMPUTED_VALUE"""),0.005)</f>
        <v>0.005</v>
      </c>
      <c r="R2569" s="14">
        <f>IFERROR(__xludf.DUMMYFUNCTION("""COMPUTED_VALUE"""),81.0)</f>
        <v>81</v>
      </c>
      <c r="S2569" s="14">
        <f>IFERROR(__xludf.DUMMYFUNCTION("""COMPUTED_VALUE"""),77.0)</f>
        <v>77</v>
      </c>
      <c r="T2569" s="14">
        <f>IFERROR(__xludf.DUMMYFUNCTION("""COMPUTED_VALUE"""),0.178)</f>
        <v>0.178</v>
      </c>
      <c r="U2569" s="14">
        <f>IFERROR(__xludf.DUMMYFUNCTION("""COMPUTED_VALUE"""),0.662)</f>
        <v>0.662</v>
      </c>
      <c r="V2569" s="14">
        <f>IFERROR(__xludf.DUMMYFUNCTION("""COMPUTED_VALUE"""),0.16)</f>
        <v>0.16</v>
      </c>
      <c r="W2569" s="14">
        <f>IFERROR(__xludf.DUMMYFUNCTION("""COMPUTED_VALUE"""),6.084682E7)</f>
        <v>60846820</v>
      </c>
      <c r="X2569" s="14">
        <f>IFERROR(__xludf.DUMMYFUNCTION("""COMPUTED_VALUE"""),0.802)</f>
        <v>0.802</v>
      </c>
      <c r="Y2569" s="14" t="str">
        <f>IFERROR(__xludf.DUMMYFUNCTION("""COMPUTED_VALUE"""),"United Kingdom-Europe")</f>
        <v>United Kingdom-Europe</v>
      </c>
      <c r="Z2569" s="14" t="str">
        <f>IFERROR(__xludf.DUMMYFUNCTION("""COMPUTED_VALUE"""),"Europe")</f>
        <v>Europe</v>
      </c>
      <c r="AA2569" s="14" t="str">
        <f>IFERROR(__xludf.DUMMYFUNCTION("""COMPUTED_VALUE"""),"2006")</f>
        <v>2006</v>
      </c>
      <c r="AB2569" s="15" t="str">
        <f>IFERROR(__xludf.DUMMYFUNCTION("ARRAYFORMULA(VLOOKUP(A2569,IMPORTRANGE(""https://docs.google.com/spreadsheets/d/1BuTWp7qHGjWhqrnf-OmePP568O4A5Am9ttzvVdP67zw/edit#gid=1931367683"" ,""ENERGY!$A$2:$F$2692""), {2,3,4,5,6},0))"),"Europe")</f>
        <v>Europe</v>
      </c>
      <c r="AC2569" s="14" t="str">
        <f>IFERROR(__xludf.DUMMYFUNCTION("""COMPUTED_VALUE"""),"United Kingdom-Europe")</f>
        <v>United Kingdom-Europe</v>
      </c>
      <c r="AD2569" s="14" t="str">
        <f>IFERROR(__xludf.DUMMYFUNCTION("""COMPUTED_VALUE"""),"2005")</f>
        <v>2005</v>
      </c>
      <c r="AE2569" s="14">
        <f>IFERROR(__xludf.DUMMYFUNCTION("""COMPUTED_VALUE"""),218961.0)</f>
        <v>218961</v>
      </c>
      <c r="AF2569" s="14">
        <f>IFERROR(__xludf.DUMMYFUNCTION("""COMPUTED_VALUE"""),542041.0)</f>
        <v>542041</v>
      </c>
    </row>
    <row r="2570">
      <c r="A2570" s="12">
        <v>2569.0</v>
      </c>
      <c r="B2570" s="12" t="s">
        <v>276</v>
      </c>
      <c r="C2570" s="5" t="s">
        <v>75</v>
      </c>
      <c r="D2570" s="11">
        <v>0.345</v>
      </c>
      <c r="E2570" s="11">
        <v>13.0</v>
      </c>
      <c r="F2570" s="8"/>
      <c r="G2570" s="11">
        <v>105.0</v>
      </c>
      <c r="H2570" s="11">
        <v>0.751</v>
      </c>
      <c r="I2570" s="11">
        <v>1.211</v>
      </c>
      <c r="J2570" s="9" t="s">
        <v>68</v>
      </c>
      <c r="K2570" s="14" t="str">
        <f>IFERROR(__xludf.DUMMYFUNCTION("ARRAYFORMULA(VLOOKUP(A2570,IMPORTRANGE(""https://docs.google.com/spreadsheets/d/1BuTWp7qHGjWhqrnf-OmePP568O4A5Am9ttzvVdP67zw/edit#gid=1603210130"", ""TOURISM!$A$2:$F$2692""), {2,3,4,5,6},0))"),"Europe")</f>
        <v>Europe</v>
      </c>
      <c r="L2570" s="14">
        <f>IFERROR(__xludf.DUMMYFUNCTION("""COMPUTED_VALUE"""),4.8193E10)</f>
        <v>48193000000</v>
      </c>
      <c r="M2570" s="14" t="str">
        <f>IFERROR(__xludf.DUMMYFUNCTION("""COMPUTED_VALUE"""),"United Kingdom-Europe")</f>
        <v>United Kingdom-Europe</v>
      </c>
      <c r="N2570" s="14" t="str">
        <f>IFERROR(__xludf.DUMMYFUNCTION("""COMPUTED_VALUE"""),"2007")</f>
        <v>2007</v>
      </c>
      <c r="O2570" s="14">
        <f>IFERROR(__xludf.DUMMYFUNCTION("""COMPUTED_VALUE"""),8.6747E10)</f>
        <v>86747000000</v>
      </c>
      <c r="P2570" s="15">
        <f>IFERROR(__xludf.DUMMYFUNCTION("ARRAYFORMULA(VLOOKUP(A2570,IMPORTRANGE(""https://docs.google.com/spreadsheets/d/1BuTWp7qHGjWhqrnf-OmePP568O4A5Am9ttzvVdP67zw/edit#gid=771602874"" ,""HUMAN RESOURCES!$A$2:$M$2692""), {2,3,4,5,6,7,8,9,10,11,12,13},0))"),0.013)</f>
        <v>0.013</v>
      </c>
      <c r="Q2570" s="14">
        <f>IFERROR(__xludf.DUMMYFUNCTION("""COMPUTED_VALUE"""),0.005)</f>
        <v>0.005</v>
      </c>
      <c r="R2570" s="14">
        <f>IFERROR(__xludf.DUMMYFUNCTION("""COMPUTED_VALUE"""),82.0)</f>
        <v>82</v>
      </c>
      <c r="S2570" s="14">
        <f>IFERROR(__xludf.DUMMYFUNCTION("""COMPUTED_VALUE"""),77.0)</f>
        <v>77</v>
      </c>
      <c r="T2570" s="14">
        <f>IFERROR(__xludf.DUMMYFUNCTION("""COMPUTED_VALUE"""),0.177)</f>
        <v>0.177</v>
      </c>
      <c r="U2570" s="14">
        <f>IFERROR(__xludf.DUMMYFUNCTION("""COMPUTED_VALUE"""),0.662)</f>
        <v>0.662</v>
      </c>
      <c r="V2570" s="14">
        <f>IFERROR(__xludf.DUMMYFUNCTION("""COMPUTED_VALUE"""),0.161)</f>
        <v>0.161</v>
      </c>
      <c r="W2570" s="14">
        <f>IFERROR(__xludf.DUMMYFUNCTION("""COMPUTED_VALUE"""),6.1322463E7)</f>
        <v>61322463</v>
      </c>
      <c r="X2570" s="14">
        <f>IFERROR(__xludf.DUMMYFUNCTION("""COMPUTED_VALUE"""),0.805)</f>
        <v>0.805</v>
      </c>
      <c r="Y2570" s="14" t="str">
        <f>IFERROR(__xludf.DUMMYFUNCTION("""COMPUTED_VALUE"""),"United Kingdom-Europe")</f>
        <v>United Kingdom-Europe</v>
      </c>
      <c r="Z2570" s="14" t="str">
        <f>IFERROR(__xludf.DUMMYFUNCTION("""COMPUTED_VALUE"""),"Europe")</f>
        <v>Europe</v>
      </c>
      <c r="AA2570" s="14" t="str">
        <f>IFERROR(__xludf.DUMMYFUNCTION("""COMPUTED_VALUE"""),"2007")</f>
        <v>2007</v>
      </c>
      <c r="AB2570" s="15" t="str">
        <f>IFERROR(__xludf.DUMMYFUNCTION("ARRAYFORMULA(VLOOKUP(A2570,IMPORTRANGE(""https://docs.google.com/spreadsheets/d/1BuTWp7qHGjWhqrnf-OmePP568O4A5Am9ttzvVdP67zw/edit#gid=1931367683"" ,""ENERGY!$A$2:$F$2692""), {2,3,4,5,6},0))"),"Europe")</f>
        <v>Europe</v>
      </c>
      <c r="AC2570" s="14" t="str">
        <f>IFERROR(__xludf.DUMMYFUNCTION("""COMPUTED_VALUE"""),"United Kingdom-Europe")</f>
        <v>United Kingdom-Europe</v>
      </c>
      <c r="AD2570" s="14" t="str">
        <f>IFERROR(__xludf.DUMMYFUNCTION("""COMPUTED_VALUE"""),"2011")</f>
        <v>2011</v>
      </c>
      <c r="AE2570" s="14">
        <f>IFERROR(__xludf.DUMMYFUNCTION("""COMPUTED_VALUE"""),222638.0)</f>
        <v>222638</v>
      </c>
      <c r="AF2570" s="14">
        <f>IFERROR(__xludf.DUMMYFUNCTION("""COMPUTED_VALUE"""),541986.0)</f>
        <v>541986</v>
      </c>
    </row>
    <row r="2571">
      <c r="A2571" s="12">
        <v>2570.0</v>
      </c>
      <c r="B2571" s="12" t="s">
        <v>276</v>
      </c>
      <c r="C2571" s="5" t="s">
        <v>75</v>
      </c>
      <c r="D2571" s="11">
        <v>0.342</v>
      </c>
      <c r="E2571" s="11">
        <v>13.0</v>
      </c>
      <c r="F2571" s="8"/>
      <c r="G2571" s="11">
        <v>105.0</v>
      </c>
      <c r="H2571" s="11">
        <v>0.784</v>
      </c>
      <c r="I2571" s="11">
        <v>1.222</v>
      </c>
      <c r="J2571" s="9" t="s">
        <v>69</v>
      </c>
      <c r="K2571" s="14" t="str">
        <f>IFERROR(__xludf.DUMMYFUNCTION("ARRAYFORMULA(VLOOKUP(A2571,IMPORTRANGE(""https://docs.google.com/spreadsheets/d/1BuTWp7qHGjWhqrnf-OmePP568O4A5Am9ttzvVdP67zw/edit#gid=1603210130"", ""TOURISM!$A$2:$F$2692""), {2,3,4,5,6},0))"),"Europe")</f>
        <v>Europe</v>
      </c>
      <c r="L2571" s="14">
        <f>IFERROR(__xludf.DUMMYFUNCTION("""COMPUTED_VALUE"""),4.6285E10)</f>
        <v>46285000000</v>
      </c>
      <c r="M2571" s="14" t="str">
        <f>IFERROR(__xludf.DUMMYFUNCTION("""COMPUTED_VALUE"""),"United Kingdom-Europe")</f>
        <v>United Kingdom-Europe</v>
      </c>
      <c r="N2571" s="14" t="str">
        <f>IFERROR(__xludf.DUMMYFUNCTION("""COMPUTED_VALUE"""),"2008")</f>
        <v>2008</v>
      </c>
      <c r="O2571" s="14">
        <f>IFERROR(__xludf.DUMMYFUNCTION("""COMPUTED_VALUE"""),8.3584E10)</f>
        <v>83584000000</v>
      </c>
      <c r="P2571" s="15">
        <f>IFERROR(__xludf.DUMMYFUNCTION("ARRAYFORMULA(VLOOKUP(A2571,IMPORTRANGE(""https://docs.google.com/spreadsheets/d/1BuTWp7qHGjWhqrnf-OmePP568O4A5Am9ttzvVdP67zw/edit#gid=771602874"" ,""HUMAN RESOURCES!$A$2:$M$2692""), {2,3,4,5,6,7,8,9,10,11,12,13},0))"),0.013)</f>
        <v>0.013</v>
      </c>
      <c r="Q2571" s="14">
        <f>IFERROR(__xludf.DUMMYFUNCTION("""COMPUTED_VALUE"""),0.005)</f>
        <v>0.005</v>
      </c>
      <c r="R2571" s="14">
        <f>IFERROR(__xludf.DUMMYFUNCTION("""COMPUTED_VALUE"""),82.0)</f>
        <v>82</v>
      </c>
      <c r="S2571" s="14">
        <f>IFERROR(__xludf.DUMMYFUNCTION("""COMPUTED_VALUE"""),78.0)</f>
        <v>78</v>
      </c>
      <c r="T2571" s="14">
        <f>IFERROR(__xludf.DUMMYFUNCTION("""COMPUTED_VALUE"""),0.176)</f>
        <v>0.176</v>
      </c>
      <c r="U2571" s="14">
        <f>IFERROR(__xludf.DUMMYFUNCTION("""COMPUTED_VALUE"""),0.661)</f>
        <v>0.661</v>
      </c>
      <c r="V2571" s="14">
        <f>IFERROR(__xludf.DUMMYFUNCTION("""COMPUTED_VALUE"""),0.162)</f>
        <v>0.162</v>
      </c>
      <c r="W2571" s="14">
        <f>IFERROR(__xludf.DUMMYFUNCTION("""COMPUTED_VALUE"""),6.1806995E7)</f>
        <v>61806995</v>
      </c>
      <c r="X2571" s="14">
        <f>IFERROR(__xludf.DUMMYFUNCTION("""COMPUTED_VALUE"""),0.808)</f>
        <v>0.808</v>
      </c>
      <c r="Y2571" s="14" t="str">
        <f>IFERROR(__xludf.DUMMYFUNCTION("""COMPUTED_VALUE"""),"United Kingdom-Europe")</f>
        <v>United Kingdom-Europe</v>
      </c>
      <c r="Z2571" s="14" t="str">
        <f>IFERROR(__xludf.DUMMYFUNCTION("""COMPUTED_VALUE"""),"Europe")</f>
        <v>Europe</v>
      </c>
      <c r="AA2571" s="14" t="str">
        <f>IFERROR(__xludf.DUMMYFUNCTION("""COMPUTED_VALUE"""),"2008")</f>
        <v>2008</v>
      </c>
      <c r="AB2571" s="15" t="str">
        <f>IFERROR(__xludf.DUMMYFUNCTION("ARRAYFORMULA(VLOOKUP(A2571,IMPORTRANGE(""https://docs.google.com/spreadsheets/d/1BuTWp7qHGjWhqrnf-OmePP568O4A5Am9ttzvVdP67zw/edit#gid=1931367683"" ,""ENERGY!$A$2:$F$2692""), {2,3,4,5,6},0))"),"Europe")</f>
        <v>Europe</v>
      </c>
      <c r="AC2571" s="14" t="str">
        <f>IFERROR(__xludf.DUMMYFUNCTION("""COMPUTED_VALUE"""),"United Kingdom-Europe")</f>
        <v>United Kingdom-Europe</v>
      </c>
      <c r="AD2571" s="14" t="str">
        <f>IFERROR(__xludf.DUMMYFUNCTION("""COMPUTED_VALUE"""),"2008")</f>
        <v>2008</v>
      </c>
      <c r="AE2571" s="14">
        <f>IFERROR(__xludf.DUMMYFUNCTION("""COMPUTED_VALUE"""),221558.0)</f>
        <v>221558</v>
      </c>
      <c r="AF2571" s="14">
        <f>IFERROR(__xludf.DUMMYFUNCTION("""COMPUTED_VALUE"""),540409.0)</f>
        <v>540409</v>
      </c>
    </row>
    <row r="2572">
      <c r="A2572" s="12">
        <v>2571.0</v>
      </c>
      <c r="B2572" s="12" t="s">
        <v>276</v>
      </c>
      <c r="C2572" s="5" t="s">
        <v>75</v>
      </c>
      <c r="D2572" s="11">
        <v>0.349</v>
      </c>
      <c r="E2572" s="11">
        <v>12.0</v>
      </c>
      <c r="F2572" s="8"/>
      <c r="G2572" s="11">
        <v>110.0</v>
      </c>
      <c r="H2572" s="11">
        <v>0.836</v>
      </c>
      <c r="I2572" s="11">
        <v>1.24</v>
      </c>
      <c r="J2572" s="9" t="s">
        <v>70</v>
      </c>
      <c r="K2572" s="14" t="str">
        <f>IFERROR(__xludf.DUMMYFUNCTION("ARRAYFORMULA(VLOOKUP(A2572,IMPORTRANGE(""https://docs.google.com/spreadsheets/d/1BuTWp7qHGjWhqrnf-OmePP568O4A5Am9ttzvVdP67zw/edit#gid=1603210130"", ""TOURISM!$A$2:$F$2692""), {2,3,4,5,6},0))"),"Europe")</f>
        <v>Europe</v>
      </c>
      <c r="L2572" s="14">
        <f>IFERROR(__xludf.DUMMYFUNCTION("""COMPUTED_VALUE"""),3.8564E10)</f>
        <v>38564000000</v>
      </c>
      <c r="M2572" s="14" t="str">
        <f>IFERROR(__xludf.DUMMYFUNCTION("""COMPUTED_VALUE"""),"United Kingdom-Europe")</f>
        <v>United Kingdom-Europe</v>
      </c>
      <c r="N2572" s="14" t="str">
        <f>IFERROR(__xludf.DUMMYFUNCTION("""COMPUTED_VALUE"""),"2009")</f>
        <v>2009</v>
      </c>
      <c r="O2572" s="14">
        <f>IFERROR(__xludf.DUMMYFUNCTION("""COMPUTED_VALUE"""),6.1133E10)</f>
        <v>61133000000</v>
      </c>
      <c r="P2572" s="15">
        <f>IFERROR(__xludf.DUMMYFUNCTION("ARRAYFORMULA(VLOOKUP(A2572,IMPORTRANGE(""https://docs.google.com/spreadsheets/d/1BuTWp7qHGjWhqrnf-OmePP568O4A5Am9ttzvVdP67zw/edit#gid=771602874"" ,""HUMAN RESOURCES!$A$2:$M$2692""), {2,3,4,5,6,7,8,9,10,11,12,13},0))"),0.013)</f>
        <v>0.013</v>
      </c>
      <c r="Q2572" s="14">
        <f>IFERROR(__xludf.DUMMYFUNCTION("""COMPUTED_VALUE"""),0.005)</f>
        <v>0.005</v>
      </c>
      <c r="R2572" s="14">
        <f>IFERROR(__xludf.DUMMYFUNCTION("""COMPUTED_VALUE"""),82.0)</f>
        <v>82</v>
      </c>
      <c r="S2572" s="14">
        <f>IFERROR(__xludf.DUMMYFUNCTION("""COMPUTED_VALUE"""),78.0)</f>
        <v>78</v>
      </c>
      <c r="T2572" s="14">
        <f>IFERROR(__xludf.DUMMYFUNCTION("""COMPUTED_VALUE"""),0.176)</f>
        <v>0.176</v>
      </c>
      <c r="U2572" s="14">
        <f>IFERROR(__xludf.DUMMYFUNCTION("""COMPUTED_VALUE"""),0.66)</f>
        <v>0.66</v>
      </c>
      <c r="V2572" s="14">
        <f>IFERROR(__xludf.DUMMYFUNCTION("""COMPUTED_VALUE"""),0.164)</f>
        <v>0.164</v>
      </c>
      <c r="W2572" s="14">
        <f>IFERROR(__xludf.DUMMYFUNCTION("""COMPUTED_VALUE"""),6.227627E7)</f>
        <v>62276270</v>
      </c>
      <c r="X2572" s="14">
        <f>IFERROR(__xludf.DUMMYFUNCTION("""COMPUTED_VALUE"""),0.81)</f>
        <v>0.81</v>
      </c>
      <c r="Y2572" s="14" t="str">
        <f>IFERROR(__xludf.DUMMYFUNCTION("""COMPUTED_VALUE"""),"United Kingdom-Europe")</f>
        <v>United Kingdom-Europe</v>
      </c>
      <c r="Z2572" s="14" t="str">
        <f>IFERROR(__xludf.DUMMYFUNCTION("""COMPUTED_VALUE"""),"Europe")</f>
        <v>Europe</v>
      </c>
      <c r="AA2572" s="14" t="str">
        <f>IFERROR(__xludf.DUMMYFUNCTION("""COMPUTED_VALUE"""),"2009")</f>
        <v>2009</v>
      </c>
      <c r="AB2572" s="15" t="str">
        <f>IFERROR(__xludf.DUMMYFUNCTION("ARRAYFORMULA(VLOOKUP(A2572,IMPORTRANGE(""https://docs.google.com/spreadsheets/d/1BuTWp7qHGjWhqrnf-OmePP568O4A5Am9ttzvVdP67zw/edit#gid=1931367683"" ,""ENERGY!$A$2:$F$2692""), {2,3,4,5,6},0))"),"Europe")</f>
        <v>Europe</v>
      </c>
      <c r="AC2572" s="14" t="str">
        <f>IFERROR(__xludf.DUMMYFUNCTION("""COMPUTED_VALUE"""),"United Kingdom-Europe")</f>
        <v>United Kingdom-Europe</v>
      </c>
      <c r="AD2572" s="14" t="str">
        <f>IFERROR(__xludf.DUMMYFUNCTION("""COMPUTED_VALUE"""),"2012")</f>
        <v>2012</v>
      </c>
      <c r="AE2572" s="14">
        <f>IFERROR(__xludf.DUMMYFUNCTION("""COMPUTED_VALUE"""),222080.0)</f>
        <v>222080</v>
      </c>
      <c r="AF2572" s="14">
        <f>IFERROR(__xludf.DUMMYFUNCTION("""COMPUTED_VALUE"""),540640.0)</f>
        <v>540640</v>
      </c>
    </row>
    <row r="2573">
      <c r="A2573" s="12">
        <v>2572.0</v>
      </c>
      <c r="B2573" s="12" t="s">
        <v>276</v>
      </c>
      <c r="C2573" s="5" t="s">
        <v>75</v>
      </c>
      <c r="D2573" s="11">
        <v>0.361</v>
      </c>
      <c r="E2573" s="11">
        <v>12.0</v>
      </c>
      <c r="F2573" s="8"/>
      <c r="G2573" s="11">
        <v>110.0</v>
      </c>
      <c r="H2573" s="11">
        <v>0.85</v>
      </c>
      <c r="I2573" s="11">
        <v>1.236</v>
      </c>
      <c r="J2573" s="9" t="s">
        <v>71</v>
      </c>
      <c r="K2573" s="14" t="str">
        <f>IFERROR(__xludf.DUMMYFUNCTION("ARRAYFORMULA(VLOOKUP(A2573,IMPORTRANGE(""https://docs.google.com/spreadsheets/d/1BuTWp7qHGjWhqrnf-OmePP568O4A5Am9ttzvVdP67zw/edit#gid=1603210130"", ""TOURISM!$A$2:$F$2692""), {2,3,4,5,6},0))"),"Europe")</f>
        <v>Europe</v>
      </c>
      <c r="L2573" s="14">
        <f>IFERROR(__xludf.DUMMYFUNCTION("""COMPUTED_VALUE"""),4.0746E10)</f>
        <v>40746000000</v>
      </c>
      <c r="M2573" s="14" t="str">
        <f>IFERROR(__xludf.DUMMYFUNCTION("""COMPUTED_VALUE"""),"United Kingdom-Europe")</f>
        <v>United Kingdom-Europe</v>
      </c>
      <c r="N2573" s="14" t="str">
        <f>IFERROR(__xludf.DUMMYFUNCTION("""COMPUTED_VALUE"""),"2010")</f>
        <v>2010</v>
      </c>
      <c r="O2573" s="14">
        <f>IFERROR(__xludf.DUMMYFUNCTION("""COMPUTED_VALUE"""),6.1368E10)</f>
        <v>61368000000</v>
      </c>
      <c r="P2573" s="15">
        <f>IFERROR(__xludf.DUMMYFUNCTION("ARRAYFORMULA(VLOOKUP(A2573,IMPORTRANGE(""https://docs.google.com/spreadsheets/d/1BuTWp7qHGjWhqrnf-OmePP568O4A5Am9ttzvVdP67zw/edit#gid=771602874"" ,""HUMAN RESOURCES!$A$2:$M$2692""), {2,3,4,5,6,7,8,9,10,11,12,13},0))"),0.013)</f>
        <v>0.013</v>
      </c>
      <c r="Q2573" s="14">
        <f>IFERROR(__xludf.DUMMYFUNCTION("""COMPUTED_VALUE"""),0.004)</f>
        <v>0.004</v>
      </c>
      <c r="R2573" s="14">
        <f>IFERROR(__xludf.DUMMYFUNCTION("""COMPUTED_VALUE"""),82.0)</f>
        <v>82</v>
      </c>
      <c r="S2573" s="14">
        <f>IFERROR(__xludf.DUMMYFUNCTION("""COMPUTED_VALUE"""),79.0)</f>
        <v>79</v>
      </c>
      <c r="T2573" s="14">
        <f>IFERROR(__xludf.DUMMYFUNCTION("""COMPUTED_VALUE"""),0.176)</f>
        <v>0.176</v>
      </c>
      <c r="U2573" s="14">
        <f>IFERROR(__xludf.DUMMYFUNCTION("""COMPUTED_VALUE"""),0.659)</f>
        <v>0.659</v>
      </c>
      <c r="V2573" s="14">
        <f>IFERROR(__xludf.DUMMYFUNCTION("""COMPUTED_VALUE"""),0.166)</f>
        <v>0.166</v>
      </c>
      <c r="W2573" s="14">
        <f>IFERROR(__xludf.DUMMYFUNCTION("""COMPUTED_VALUE"""),6.2766365E7)</f>
        <v>62766365</v>
      </c>
      <c r="X2573" s="14">
        <f>IFERROR(__xludf.DUMMYFUNCTION("""COMPUTED_VALUE"""),0.813)</f>
        <v>0.813</v>
      </c>
      <c r="Y2573" s="14" t="str">
        <f>IFERROR(__xludf.DUMMYFUNCTION("""COMPUTED_VALUE"""),"United Kingdom-Europe")</f>
        <v>United Kingdom-Europe</v>
      </c>
      <c r="Z2573" s="14" t="str">
        <f>IFERROR(__xludf.DUMMYFUNCTION("""COMPUTED_VALUE"""),"Europe")</f>
        <v>Europe</v>
      </c>
      <c r="AA2573" s="14" t="str">
        <f>IFERROR(__xludf.DUMMYFUNCTION("""COMPUTED_VALUE"""),"2010")</f>
        <v>2010</v>
      </c>
      <c r="AB2573" s="15" t="str">
        <f>IFERROR(__xludf.DUMMYFUNCTION("ARRAYFORMULA(VLOOKUP(A2573,IMPORTRANGE(""https://docs.google.com/spreadsheets/d/1BuTWp7qHGjWhqrnf-OmePP568O4A5Am9ttzvVdP67zw/edit#gid=1931367683"" ,""ENERGY!$A$2:$F$2692""), {2,3,4,5,6},0))"),"Europe")</f>
        <v>Europe</v>
      </c>
      <c r="AC2573" s="14" t="str">
        <f>IFERROR(__xludf.DUMMYFUNCTION("""COMPUTED_VALUE"""),"United Kingdom-Europe")</f>
        <v>United Kingdom-Europe</v>
      </c>
      <c r="AD2573" s="14" t="str">
        <f>IFERROR(__xludf.DUMMYFUNCTION("""COMPUTED_VALUE"""),"2010")</f>
        <v>2010</v>
      </c>
      <c r="AE2573" s="14">
        <f>IFERROR(__xludf.DUMMYFUNCTION("""COMPUTED_VALUE"""),218306.0)</f>
        <v>218306</v>
      </c>
      <c r="AF2573" s="14">
        <f>IFERROR(__xludf.DUMMYFUNCTION("""COMPUTED_VALUE"""),531939.0)</f>
        <v>531939</v>
      </c>
    </row>
    <row r="2574">
      <c r="A2574" s="12">
        <v>2573.0</v>
      </c>
      <c r="B2574" s="12" t="s">
        <v>276</v>
      </c>
      <c r="C2574" s="5" t="s">
        <v>75</v>
      </c>
      <c r="D2574" s="11">
        <v>0.361</v>
      </c>
      <c r="E2574" s="11">
        <v>12.0</v>
      </c>
      <c r="F2574" s="8"/>
      <c r="G2574" s="11">
        <v>110.0</v>
      </c>
      <c r="H2574" s="11">
        <v>0.854</v>
      </c>
      <c r="I2574" s="11">
        <v>1.236</v>
      </c>
      <c r="J2574" s="9" t="s">
        <v>72</v>
      </c>
      <c r="K2574" s="14" t="str">
        <f>IFERROR(__xludf.DUMMYFUNCTION("ARRAYFORMULA(VLOOKUP(A2574,IMPORTRANGE(""https://docs.google.com/spreadsheets/d/1BuTWp7qHGjWhqrnf-OmePP568O4A5Am9ttzvVdP67zw/edit#gid=1603210130"", ""TOURISM!$A$2:$F$2692""), {2,3,4,5,6},0))"),"Europe")</f>
        <v>Europe</v>
      </c>
      <c r="L2574" s="14">
        <f>IFERROR(__xludf.DUMMYFUNCTION("""COMPUTED_VALUE"""),4.594E10)</f>
        <v>45940000000</v>
      </c>
      <c r="M2574" s="14" t="str">
        <f>IFERROR(__xludf.DUMMYFUNCTION("""COMPUTED_VALUE"""),"United Kingdom-Europe")</f>
        <v>United Kingdom-Europe</v>
      </c>
      <c r="N2574" s="14" t="str">
        <f>IFERROR(__xludf.DUMMYFUNCTION("""COMPUTED_VALUE"""),"2011")</f>
        <v>2011</v>
      </c>
      <c r="O2574" s="14">
        <f>IFERROR(__xludf.DUMMYFUNCTION("""COMPUTED_VALUE"""),6.4627E10)</f>
        <v>64627000000</v>
      </c>
      <c r="P2574" s="15">
        <f>IFERROR(__xludf.DUMMYFUNCTION("ARRAYFORMULA(VLOOKUP(A2574,IMPORTRANGE(""https://docs.google.com/spreadsheets/d/1BuTWp7qHGjWhqrnf-OmePP568O4A5Am9ttzvVdP67zw/edit#gid=771602874"" ,""HUMAN RESOURCES!$A$2:$M$2692""), {2,3,4,5,6,7,8,9,10,11,12,13},0))"),0.013)</f>
        <v>0.013</v>
      </c>
      <c r="Q2574" s="14">
        <f>IFERROR(__xludf.DUMMYFUNCTION("""COMPUTED_VALUE"""),0.004)</f>
        <v>0.004</v>
      </c>
      <c r="R2574" s="14">
        <f>IFERROR(__xludf.DUMMYFUNCTION("""COMPUTED_VALUE"""),83.0)</f>
        <v>83</v>
      </c>
      <c r="S2574" s="14">
        <f>IFERROR(__xludf.DUMMYFUNCTION("""COMPUTED_VALUE"""),79.0)</f>
        <v>79</v>
      </c>
      <c r="T2574" s="14">
        <f>IFERROR(__xludf.DUMMYFUNCTION("""COMPUTED_VALUE"""),0.175)</f>
        <v>0.175</v>
      </c>
      <c r="U2574" s="14">
        <f>IFERROR(__xludf.DUMMYFUNCTION("""COMPUTED_VALUE"""),0.656)</f>
        <v>0.656</v>
      </c>
      <c r="V2574" s="14">
        <f>IFERROR(__xludf.DUMMYFUNCTION("""COMPUTED_VALUE"""),0.169)</f>
        <v>0.169</v>
      </c>
      <c r="W2574" s="14">
        <f>IFERROR(__xludf.DUMMYFUNCTION("""COMPUTED_VALUE"""),6.3258918E7)</f>
        <v>63258918</v>
      </c>
      <c r="X2574" s="14">
        <f>IFERROR(__xludf.DUMMYFUNCTION("""COMPUTED_VALUE"""),0.816)</f>
        <v>0.816</v>
      </c>
      <c r="Y2574" s="14" t="str">
        <f>IFERROR(__xludf.DUMMYFUNCTION("""COMPUTED_VALUE"""),"United Kingdom-Europe")</f>
        <v>United Kingdom-Europe</v>
      </c>
      <c r="Z2574" s="14" t="str">
        <f>IFERROR(__xludf.DUMMYFUNCTION("""COMPUTED_VALUE"""),"Europe")</f>
        <v>Europe</v>
      </c>
      <c r="AA2574" s="14" t="str">
        <f>IFERROR(__xludf.DUMMYFUNCTION("""COMPUTED_VALUE"""),"2011")</f>
        <v>2011</v>
      </c>
      <c r="AB2574" s="15" t="str">
        <f>IFERROR(__xludf.DUMMYFUNCTION("ARRAYFORMULA(VLOOKUP(A2574,IMPORTRANGE(""https://docs.google.com/spreadsheets/d/1BuTWp7qHGjWhqrnf-OmePP568O4A5Am9ttzvVdP67zw/edit#gid=1931367683"" ,""ENERGY!$A$2:$F$2692""), {2,3,4,5,6},0))"),"Europe")</f>
        <v>Europe</v>
      </c>
      <c r="AC2574" s="14" t="str">
        <f>IFERROR(__xludf.DUMMYFUNCTION("""COMPUTED_VALUE"""),"United Kingdom-Europe")</f>
        <v>United Kingdom-Europe</v>
      </c>
      <c r="AD2574" s="14" t="str">
        <f>IFERROR(__xludf.DUMMYFUNCTION("""COMPUTED_VALUE"""),"2008")</f>
        <v>2008</v>
      </c>
      <c r="AE2574" s="14">
        <f>IFERROR(__xludf.DUMMYFUNCTION("""COMPUTED_VALUE"""),223770.0)</f>
        <v>223770</v>
      </c>
      <c r="AF2574" s="14">
        <f>IFERROR(__xludf.DUMMYFUNCTION("""COMPUTED_VALUE"""),550552.0)</f>
        <v>550552</v>
      </c>
    </row>
    <row r="2575">
      <c r="A2575" s="12">
        <v>2574.0</v>
      </c>
      <c r="B2575" s="12" t="s">
        <v>276</v>
      </c>
      <c r="C2575" s="5" t="s">
        <v>75</v>
      </c>
      <c r="D2575" s="11">
        <v>0.35</v>
      </c>
      <c r="E2575" s="11">
        <v>12.0</v>
      </c>
      <c r="F2575" s="11">
        <v>11.0</v>
      </c>
      <c r="G2575" s="11">
        <v>110.0</v>
      </c>
      <c r="H2575" s="11">
        <v>0.875</v>
      </c>
      <c r="I2575" s="11">
        <v>1.248</v>
      </c>
      <c r="J2575" s="9" t="s">
        <v>73</v>
      </c>
      <c r="K2575" s="14" t="str">
        <f>IFERROR(__xludf.DUMMYFUNCTION("ARRAYFORMULA(VLOOKUP(A2575,IMPORTRANGE(""https://docs.google.com/spreadsheets/d/1BuTWp7qHGjWhqrnf-OmePP568O4A5Am9ttzvVdP67zw/edit#gid=1603210130"", ""TOURISM!$A$2:$F$2692""), {2,3,4,5,6},0))"),"Europe")</f>
        <v>Europe</v>
      </c>
      <c r="L2575" s="14">
        <f>IFERROR(__xludf.DUMMYFUNCTION("""COMPUTED_VALUE"""),4.5966E10)</f>
        <v>45966000000</v>
      </c>
      <c r="M2575" s="14" t="str">
        <f>IFERROR(__xludf.DUMMYFUNCTION("""COMPUTED_VALUE"""),"United Kingdom-Europe")</f>
        <v>United Kingdom-Europe</v>
      </c>
      <c r="N2575" s="14" t="str">
        <f>IFERROR(__xludf.DUMMYFUNCTION("""COMPUTED_VALUE"""),"2012")</f>
        <v>2012</v>
      </c>
      <c r="O2575" s="14">
        <f>IFERROR(__xludf.DUMMYFUNCTION("""COMPUTED_VALUE"""),6.6182E10)</f>
        <v>66182000000</v>
      </c>
      <c r="P2575" s="15">
        <f>IFERROR(__xludf.DUMMYFUNCTION("ARRAYFORMULA(VLOOKUP(A2575,IMPORTRANGE(""https://docs.google.com/spreadsheets/d/1BuTWp7qHGjWhqrnf-OmePP568O4A5Am9ttzvVdP67zw/edit#gid=771602874"" ,""HUMAN RESOURCES!$A$2:$M$2692""), {2,3,4,5,6,7,8,9,10,11,12,13},0))"),0.013)</f>
        <v>0.013</v>
      </c>
      <c r="Q2575" s="14">
        <f>IFERROR(__xludf.DUMMYFUNCTION("""COMPUTED_VALUE"""),0.004)</f>
        <v>0.004</v>
      </c>
      <c r="R2575" s="14">
        <f>IFERROR(__xludf.DUMMYFUNCTION("""COMPUTED_VALUE"""),84.0)</f>
        <v>84</v>
      </c>
      <c r="S2575" s="14">
        <f>IFERROR(__xludf.DUMMYFUNCTION("""COMPUTED_VALUE"""),80.0)</f>
        <v>80</v>
      </c>
      <c r="T2575" s="14">
        <f>IFERROR(__xludf.DUMMYFUNCTION("""COMPUTED_VALUE"""),0.175)</f>
        <v>0.175</v>
      </c>
      <c r="U2575" s="14">
        <f>IFERROR(__xludf.DUMMYFUNCTION("""COMPUTED_VALUE"""),0.653)</f>
        <v>0.653</v>
      </c>
      <c r="V2575" s="14">
        <f>IFERROR(__xludf.DUMMYFUNCTION("""COMPUTED_VALUE"""),0.172)</f>
        <v>0.172</v>
      </c>
      <c r="W2575" s="14">
        <f>IFERROR(__xludf.DUMMYFUNCTION("""COMPUTED_VALUE"""),6.3695687E7)</f>
        <v>63695687</v>
      </c>
      <c r="X2575" s="14">
        <f>IFERROR(__xludf.DUMMYFUNCTION("""COMPUTED_VALUE"""),0.818)</f>
        <v>0.818</v>
      </c>
      <c r="Y2575" s="14" t="str">
        <f>IFERROR(__xludf.DUMMYFUNCTION("""COMPUTED_VALUE"""),"United Kingdom-Europe")</f>
        <v>United Kingdom-Europe</v>
      </c>
      <c r="Z2575" s="14" t="str">
        <f>IFERROR(__xludf.DUMMYFUNCTION("""COMPUTED_VALUE"""),"Europe")</f>
        <v>Europe</v>
      </c>
      <c r="AA2575" s="14" t="str">
        <f>IFERROR(__xludf.DUMMYFUNCTION("""COMPUTED_VALUE"""),"2012")</f>
        <v>2012</v>
      </c>
      <c r="AB2575" s="15" t="str">
        <f>IFERROR(__xludf.DUMMYFUNCTION("ARRAYFORMULA(VLOOKUP(A2575,IMPORTRANGE(""https://docs.google.com/spreadsheets/d/1BuTWp7qHGjWhqrnf-OmePP568O4A5Am9ttzvVdP67zw/edit#gid=1931367683"" ,""ENERGY!$A$2:$F$2692""), {2,3,4,5,6},0))"),"Europe")</f>
        <v>Europe</v>
      </c>
      <c r="AC2575" s="14" t="str">
        <f>IFERROR(__xludf.DUMMYFUNCTION("""COMPUTED_VALUE"""),"United Kingdom-Europe")</f>
        <v>United Kingdom-Europe</v>
      </c>
      <c r="AD2575" s="14" t="str">
        <f>IFERROR(__xludf.DUMMYFUNCTION("""COMPUTED_VALUE"""),"2012")</f>
        <v>2012</v>
      </c>
      <c r="AE2575" s="14">
        <f>IFERROR(__xludf.DUMMYFUNCTION("""COMPUTED_VALUE"""),222940.0)</f>
        <v>222940</v>
      </c>
      <c r="AF2575" s="14">
        <f>IFERROR(__xludf.DUMMYFUNCTION("""COMPUTED_VALUE"""),543662.0)</f>
        <v>543662</v>
      </c>
    </row>
    <row r="2576">
      <c r="A2576" s="12">
        <v>2575.0</v>
      </c>
      <c r="B2576" s="12" t="s">
        <v>277</v>
      </c>
      <c r="C2576" s="5" t="s">
        <v>84</v>
      </c>
      <c r="D2576" s="8"/>
      <c r="E2576" s="8"/>
      <c r="F2576" s="8"/>
      <c r="G2576" s="8"/>
      <c r="H2576" s="11">
        <v>0.431</v>
      </c>
      <c r="I2576" s="11">
        <v>0.385</v>
      </c>
      <c r="J2576" s="9" t="s">
        <v>60</v>
      </c>
      <c r="K2576" s="14" t="str">
        <f>IFERROR(__xludf.DUMMYFUNCTION("ARRAYFORMULA(VLOOKUP(A2576,IMPORTRANGE(""https://docs.google.com/spreadsheets/d/1BuTWp7qHGjWhqrnf-OmePP568O4A5Am9ttzvVdP67zw/edit#gid=1603210130"", ""TOURISM!$A$2:$F$2692""), {2,3,4,5,6},0))"),"The Americas")</f>
        <v>The Americas</v>
      </c>
      <c r="L2576" s="14">
        <f>IFERROR(__xludf.DUMMYFUNCTION("""COMPUTED_VALUE"""),1.21E11)</f>
        <v>121000000000</v>
      </c>
      <c r="M2576" s="14" t="str">
        <f>IFERROR(__xludf.DUMMYFUNCTION("""COMPUTED_VALUE"""),"United States-The Americas")</f>
        <v>United States-The Americas</v>
      </c>
      <c r="N2576" s="14" t="str">
        <f>IFERROR(__xludf.DUMMYFUNCTION("""COMPUTED_VALUE"""),"2000")</f>
        <v>2000</v>
      </c>
      <c r="O2576" s="14">
        <f>IFERROR(__xludf.DUMMYFUNCTION("""COMPUTED_VALUE"""),9.1473E10)</f>
        <v>91473000000</v>
      </c>
      <c r="P2576" s="15">
        <f>IFERROR(__xludf.DUMMYFUNCTION("ARRAYFORMULA(VLOOKUP(A2576,IMPORTRANGE(""https://docs.google.com/spreadsheets/d/1BuTWp7qHGjWhqrnf-OmePP568O4A5Am9ttzvVdP67zw/edit#gid=771602874"" ,""HUMAN RESOURCES!$A$2:$M$2692""), {2,3,4,5,6,7,8,9,10,11,12,13},0))"),0.014)</f>
        <v>0.014</v>
      </c>
      <c r="Q2576" s="14">
        <f>IFERROR(__xludf.DUMMYFUNCTION("""COMPUTED_VALUE"""),0.007)</f>
        <v>0.007</v>
      </c>
      <c r="R2576" s="14">
        <f>IFERROR(__xludf.DUMMYFUNCTION("""COMPUTED_VALUE"""),79.0)</f>
        <v>79</v>
      </c>
      <c r="S2576" s="14">
        <f>IFERROR(__xludf.DUMMYFUNCTION("""COMPUTED_VALUE"""),74.0)</f>
        <v>74</v>
      </c>
      <c r="T2576" s="14">
        <f>IFERROR(__xludf.DUMMYFUNCTION("""COMPUTED_VALUE"""),0.213)</f>
        <v>0.213</v>
      </c>
      <c r="U2576" s="14">
        <f>IFERROR(__xludf.DUMMYFUNCTION("""COMPUTED_VALUE"""),0.663)</f>
        <v>0.663</v>
      </c>
      <c r="V2576" s="14">
        <f>IFERROR(__xludf.DUMMYFUNCTION("""COMPUTED_VALUE"""),0.124)</f>
        <v>0.124</v>
      </c>
      <c r="W2576" s="14">
        <f>IFERROR(__xludf.DUMMYFUNCTION("""COMPUTED_VALUE"""),2.82162411E8)</f>
        <v>282162411</v>
      </c>
      <c r="X2576" s="14">
        <f>IFERROR(__xludf.DUMMYFUNCTION("""COMPUTED_VALUE"""),0.791)</f>
        <v>0.791</v>
      </c>
      <c r="Y2576" s="14" t="str">
        <f>IFERROR(__xludf.DUMMYFUNCTION("""COMPUTED_VALUE"""),"United States-The Americas")</f>
        <v>United States-The Americas</v>
      </c>
      <c r="Z2576" s="14" t="str">
        <f>IFERROR(__xludf.DUMMYFUNCTION("""COMPUTED_VALUE"""),"The Americas")</f>
        <v>The Americas</v>
      </c>
      <c r="AA2576" s="14" t="str">
        <f>IFERROR(__xludf.DUMMYFUNCTION("""COMPUTED_VALUE"""),"2000")</f>
        <v>2000</v>
      </c>
      <c r="AB2576" s="15" t="str">
        <f>IFERROR(__xludf.DUMMYFUNCTION("ARRAYFORMULA(VLOOKUP(A2576,IMPORTRANGE(""https://docs.google.com/spreadsheets/d/1BuTWp7qHGjWhqrnf-OmePP568O4A5Am9ttzvVdP67zw/edit#gid=1931367683"" ,""ENERGY!$A$2:$F$2692""), {2,3,4,5,6},0))"),"The Americas")</f>
        <v>The Americas</v>
      </c>
      <c r="AC2576" s="14" t="str">
        <f>IFERROR(__xludf.DUMMYFUNCTION("""COMPUTED_VALUE"""),"United States-The Americas")</f>
        <v>United States-The Americas</v>
      </c>
      <c r="AD2576" s="14" t="str">
        <f>IFERROR(__xludf.DUMMYFUNCTION("""COMPUTED_VALUE"""),"2000")</f>
        <v>2000</v>
      </c>
      <c r="AE2576" s="14">
        <f>IFERROR(__xludf.DUMMYFUNCTION("""COMPUTED_VALUE"""),2132446.0)</f>
        <v>2132446</v>
      </c>
      <c r="AF2576" s="14"/>
    </row>
    <row r="2577">
      <c r="A2577" s="12">
        <v>2576.0</v>
      </c>
      <c r="B2577" s="12" t="s">
        <v>277</v>
      </c>
      <c r="C2577" s="5" t="s">
        <v>84</v>
      </c>
      <c r="D2577" s="8"/>
      <c r="E2577" s="8"/>
      <c r="F2577" s="8"/>
      <c r="G2577" s="8"/>
      <c r="H2577" s="11">
        <v>0.491</v>
      </c>
      <c r="I2577" s="11">
        <v>0.447</v>
      </c>
      <c r="J2577" s="9" t="s">
        <v>62</v>
      </c>
      <c r="K2577" s="14" t="str">
        <f>IFERROR(__xludf.DUMMYFUNCTION("ARRAYFORMULA(VLOOKUP(A2577,IMPORTRANGE(""https://docs.google.com/spreadsheets/d/1BuTWp7qHGjWhqrnf-OmePP568O4A5Am9ttzvVdP67zw/edit#gid=1603210130"", ""TOURISM!$A$2:$F$2692""), {2,3,4,5,6},0))"),"The Americas")</f>
        <v>The Americas</v>
      </c>
      <c r="L2577" s="14">
        <f>IFERROR(__xludf.DUMMYFUNCTION("""COMPUTED_VALUE"""),1.09E11)</f>
        <v>109000000000</v>
      </c>
      <c r="M2577" s="14" t="str">
        <f>IFERROR(__xludf.DUMMYFUNCTION("""COMPUTED_VALUE"""),"United States-The Americas")</f>
        <v>United States-The Americas</v>
      </c>
      <c r="N2577" s="14" t="str">
        <f>IFERROR(__xludf.DUMMYFUNCTION("""COMPUTED_VALUE"""),"2001")</f>
        <v>2001</v>
      </c>
      <c r="O2577" s="14">
        <f>IFERROR(__xludf.DUMMYFUNCTION("""COMPUTED_VALUE"""),8.561E10)</f>
        <v>85610000000</v>
      </c>
      <c r="P2577" s="15">
        <f>IFERROR(__xludf.DUMMYFUNCTION("ARRAYFORMULA(VLOOKUP(A2577,IMPORTRANGE(""https://docs.google.com/spreadsheets/d/1BuTWp7qHGjWhqrnf-OmePP568O4A5Am9ttzvVdP67zw/edit#gid=771602874"" ,""HUMAN RESOURCES!$A$2:$M$2692""), {2,3,4,5,6,7,8,9,10,11,12,13},0))"),0.014)</f>
        <v>0.014</v>
      </c>
      <c r="Q2577" s="14">
        <f>IFERROR(__xludf.DUMMYFUNCTION("""COMPUTED_VALUE"""),0.007)</f>
        <v>0.007</v>
      </c>
      <c r="R2577" s="14">
        <f>IFERROR(__xludf.DUMMYFUNCTION("""COMPUTED_VALUE"""),79.0)</f>
        <v>79</v>
      </c>
      <c r="S2577" s="14">
        <f>IFERROR(__xludf.DUMMYFUNCTION("""COMPUTED_VALUE"""),74.0)</f>
        <v>74</v>
      </c>
      <c r="T2577" s="14">
        <f>IFERROR(__xludf.DUMMYFUNCTION("""COMPUTED_VALUE"""),0.212)</f>
        <v>0.212</v>
      </c>
      <c r="U2577" s="14">
        <f>IFERROR(__xludf.DUMMYFUNCTION("""COMPUTED_VALUE"""),0.665)</f>
        <v>0.665</v>
      </c>
      <c r="V2577" s="14">
        <f>IFERROR(__xludf.DUMMYFUNCTION("""COMPUTED_VALUE"""),0.123)</f>
        <v>0.123</v>
      </c>
      <c r="W2577" s="14">
        <f>IFERROR(__xludf.DUMMYFUNCTION("""COMPUTED_VALUE"""),2.84968955E8)</f>
        <v>284968955</v>
      </c>
      <c r="X2577" s="14">
        <f>IFERROR(__xludf.DUMMYFUNCTION("""COMPUTED_VALUE"""),0.792)</f>
        <v>0.792</v>
      </c>
      <c r="Y2577" s="14" t="str">
        <f>IFERROR(__xludf.DUMMYFUNCTION("""COMPUTED_VALUE"""),"United States-The Americas")</f>
        <v>United States-The Americas</v>
      </c>
      <c r="Z2577" s="14" t="str">
        <f>IFERROR(__xludf.DUMMYFUNCTION("""COMPUTED_VALUE"""),"The Americas")</f>
        <v>The Americas</v>
      </c>
      <c r="AA2577" s="14" t="str">
        <f>IFERROR(__xludf.DUMMYFUNCTION("""COMPUTED_VALUE"""),"2001")</f>
        <v>2001</v>
      </c>
      <c r="AB2577" s="15" t="str">
        <f>IFERROR(__xludf.DUMMYFUNCTION("ARRAYFORMULA(VLOOKUP(A2577,IMPORTRANGE(""https://docs.google.com/spreadsheets/d/1BuTWp7qHGjWhqrnf-OmePP568O4A5Am9ttzvVdP67zw/edit#gid=1931367683"" ,""ENERGY!$A$2:$F$2692""), {2,3,4,5,6},0))"),"The Americas")</f>
        <v>The Americas</v>
      </c>
      <c r="AC2577" s="14" t="str">
        <f>IFERROR(__xludf.DUMMYFUNCTION("""COMPUTED_VALUE"""),"United States-The Americas")</f>
        <v>United States-The Americas</v>
      </c>
      <c r="AD2577" s="14" t="str">
        <f>IFERROR(__xludf.DUMMYFUNCTION("""COMPUTED_VALUE"""),"2001")</f>
        <v>2001</v>
      </c>
      <c r="AE2577" s="14">
        <f>IFERROR(__xludf.DUMMYFUNCTION("""COMPUTED_VALUE"""),2191193.0)</f>
        <v>2191193</v>
      </c>
      <c r="AF2577" s="14"/>
    </row>
    <row r="2578">
      <c r="A2578" s="12">
        <v>2577.0</v>
      </c>
      <c r="B2578" s="12" t="s">
        <v>277</v>
      </c>
      <c r="C2578" s="5" t="s">
        <v>84</v>
      </c>
      <c r="D2578" s="8"/>
      <c r="E2578" s="8"/>
      <c r="F2578" s="8"/>
      <c r="G2578" s="8"/>
      <c r="H2578" s="11">
        <v>0.588</v>
      </c>
      <c r="I2578" s="11">
        <v>0.489</v>
      </c>
      <c r="J2578" s="9" t="s">
        <v>63</v>
      </c>
      <c r="K2578" s="14" t="str">
        <f>IFERROR(__xludf.DUMMYFUNCTION("ARRAYFORMULA(VLOOKUP(A2578,IMPORTRANGE(""https://docs.google.com/spreadsheets/d/1BuTWp7qHGjWhqrnf-OmePP568O4A5Am9ttzvVdP67zw/edit#gid=1603210130"", ""TOURISM!$A$2:$F$2692""), {2,3,4,5,6},0))"),"The Americas")</f>
        <v>The Americas</v>
      </c>
      <c r="L2578" s="14">
        <f>IFERROR(__xludf.DUMMYFUNCTION("""COMPUTED_VALUE"""),1.04E11)</f>
        <v>104000000000</v>
      </c>
      <c r="M2578" s="14" t="str">
        <f>IFERROR(__xludf.DUMMYFUNCTION("""COMPUTED_VALUE"""),"United States-The Americas")</f>
        <v>United States-The Americas</v>
      </c>
      <c r="N2578" s="14" t="str">
        <f>IFERROR(__xludf.DUMMYFUNCTION("""COMPUTED_VALUE"""),"2002")</f>
        <v>2002</v>
      </c>
      <c r="O2578" s="14">
        <f>IFERROR(__xludf.DUMMYFUNCTION("""COMPUTED_VALUE"""),8.186E10)</f>
        <v>81860000000</v>
      </c>
      <c r="P2578" s="15">
        <f>IFERROR(__xludf.DUMMYFUNCTION("ARRAYFORMULA(VLOOKUP(A2578,IMPORTRANGE(""https://docs.google.com/spreadsheets/d/1BuTWp7qHGjWhqrnf-OmePP568O4A5Am9ttzvVdP67zw/edit#gid=771602874"" ,""HUMAN RESOURCES!$A$2:$M$2692""), {2,3,4,5,6,7,8,9,10,11,12,13},0))"),0.014)</f>
        <v>0.014</v>
      </c>
      <c r="Q2578" s="14">
        <f>IFERROR(__xludf.DUMMYFUNCTION("""COMPUTED_VALUE"""),0.007)</f>
        <v>0.007</v>
      </c>
      <c r="R2578" s="14">
        <f>IFERROR(__xludf.DUMMYFUNCTION("""COMPUTED_VALUE"""),80.0)</f>
        <v>80</v>
      </c>
      <c r="S2578" s="14">
        <f>IFERROR(__xludf.DUMMYFUNCTION("""COMPUTED_VALUE"""),74.0)</f>
        <v>74</v>
      </c>
      <c r="T2578" s="14">
        <f>IFERROR(__xludf.DUMMYFUNCTION("""COMPUTED_VALUE"""),0.21)</f>
        <v>0.21</v>
      </c>
      <c r="U2578" s="14">
        <f>IFERROR(__xludf.DUMMYFUNCTION("""COMPUTED_VALUE"""),0.667)</f>
        <v>0.667</v>
      </c>
      <c r="V2578" s="14">
        <f>IFERROR(__xludf.DUMMYFUNCTION("""COMPUTED_VALUE"""),0.123)</f>
        <v>0.123</v>
      </c>
      <c r="W2578" s="14">
        <f>IFERROR(__xludf.DUMMYFUNCTION("""COMPUTED_VALUE"""),2.87625193E8)</f>
        <v>287625193</v>
      </c>
      <c r="X2578" s="14">
        <f>IFERROR(__xludf.DUMMYFUNCTION("""COMPUTED_VALUE"""),0.794)</f>
        <v>0.794</v>
      </c>
      <c r="Y2578" s="14" t="str">
        <f>IFERROR(__xludf.DUMMYFUNCTION("""COMPUTED_VALUE"""),"United States-The Americas")</f>
        <v>United States-The Americas</v>
      </c>
      <c r="Z2578" s="14" t="str">
        <f>IFERROR(__xludf.DUMMYFUNCTION("""COMPUTED_VALUE"""),"The Americas")</f>
        <v>The Americas</v>
      </c>
      <c r="AA2578" s="14" t="str">
        <f>IFERROR(__xludf.DUMMYFUNCTION("""COMPUTED_VALUE"""),"2002")</f>
        <v>2002</v>
      </c>
      <c r="AB2578" s="15" t="str">
        <f>IFERROR(__xludf.DUMMYFUNCTION("ARRAYFORMULA(VLOOKUP(A2578,IMPORTRANGE(""https://docs.google.com/spreadsheets/d/1BuTWp7qHGjWhqrnf-OmePP568O4A5Am9ttzvVdP67zw/edit#gid=1931367683"" ,""ENERGY!$A$2:$F$2692""), {2,3,4,5,6},0))"),"The Americas")</f>
        <v>The Americas</v>
      </c>
      <c r="AC2578" s="14" t="str">
        <f>IFERROR(__xludf.DUMMYFUNCTION("""COMPUTED_VALUE"""),"United States-The Americas")</f>
        <v>United States-The Americas</v>
      </c>
      <c r="AD2578" s="14" t="str">
        <f>IFERROR(__xludf.DUMMYFUNCTION("""COMPUTED_VALUE"""),"2002")</f>
        <v>2002</v>
      </c>
      <c r="AE2578" s="14">
        <f>IFERROR(__xludf.DUMMYFUNCTION("""COMPUTED_VALUE"""),2215504.0)</f>
        <v>2215504</v>
      </c>
      <c r="AF2578" s="14">
        <f>IFERROR(__xludf.DUMMYFUNCTION("""COMPUTED_VALUE"""),5433057.0)</f>
        <v>5433057</v>
      </c>
    </row>
    <row r="2579">
      <c r="A2579" s="12">
        <v>2578.0</v>
      </c>
      <c r="B2579" s="12" t="s">
        <v>277</v>
      </c>
      <c r="C2579" s="5" t="s">
        <v>84</v>
      </c>
      <c r="D2579" s="8"/>
      <c r="E2579" s="11">
        <v>6.0</v>
      </c>
      <c r="F2579" s="8"/>
      <c r="G2579" s="8"/>
      <c r="H2579" s="11">
        <v>0.617</v>
      </c>
      <c r="I2579" s="11">
        <v>0.548</v>
      </c>
      <c r="J2579" s="9" t="s">
        <v>64</v>
      </c>
      <c r="K2579" s="14" t="str">
        <f>IFERROR(__xludf.DUMMYFUNCTION("ARRAYFORMULA(VLOOKUP(A2579,IMPORTRANGE(""https://docs.google.com/spreadsheets/d/1BuTWp7qHGjWhqrnf-OmePP568O4A5Am9ttzvVdP67zw/edit#gid=1603210130"", ""TOURISM!$A$2:$F$2692""), {2,3,4,5,6},0))"),"The Americas")</f>
        <v>The Americas</v>
      </c>
      <c r="L2579" s="14">
        <f>IFERROR(__xludf.DUMMYFUNCTION("""COMPUTED_VALUE"""),1.02E11)</f>
        <v>102000000000</v>
      </c>
      <c r="M2579" s="14" t="str">
        <f>IFERROR(__xludf.DUMMYFUNCTION("""COMPUTED_VALUE"""),"United States-The Americas")</f>
        <v>United States-The Americas</v>
      </c>
      <c r="N2579" s="14" t="str">
        <f>IFERROR(__xludf.DUMMYFUNCTION("""COMPUTED_VALUE"""),"2003")</f>
        <v>2003</v>
      </c>
      <c r="O2579" s="14">
        <f>IFERROR(__xludf.DUMMYFUNCTION("""COMPUTED_VALUE"""),8.2091E10)</f>
        <v>82091000000</v>
      </c>
      <c r="P2579" s="15">
        <f>IFERROR(__xludf.DUMMYFUNCTION("ARRAYFORMULA(VLOOKUP(A2579,IMPORTRANGE(""https://docs.google.com/spreadsheets/d/1BuTWp7qHGjWhqrnf-OmePP568O4A5Am9ttzvVdP67zw/edit#gid=771602874"" ,""HUMAN RESOURCES!$A$2:$M$2692""), {2,3,4,5,6,7,8,9,10,11,12,13},0))"),0.014)</f>
        <v>0.014</v>
      </c>
      <c r="Q2579" s="14">
        <f>IFERROR(__xludf.DUMMYFUNCTION("""COMPUTED_VALUE"""),0.007)</f>
        <v>0.007</v>
      </c>
      <c r="R2579" s="14">
        <f>IFERROR(__xludf.DUMMYFUNCTION("""COMPUTED_VALUE"""),80.0)</f>
        <v>80</v>
      </c>
      <c r="S2579" s="14">
        <f>IFERROR(__xludf.DUMMYFUNCTION("""COMPUTED_VALUE"""),75.0)</f>
        <v>75</v>
      </c>
      <c r="T2579" s="14">
        <f>IFERROR(__xludf.DUMMYFUNCTION("""COMPUTED_VALUE"""),0.209)</f>
        <v>0.209</v>
      </c>
      <c r="U2579" s="14">
        <f>IFERROR(__xludf.DUMMYFUNCTION("""COMPUTED_VALUE"""),0.669)</f>
        <v>0.669</v>
      </c>
      <c r="V2579" s="14">
        <f>IFERROR(__xludf.DUMMYFUNCTION("""COMPUTED_VALUE"""),0.123)</f>
        <v>0.123</v>
      </c>
      <c r="W2579" s="14">
        <f>IFERROR(__xludf.DUMMYFUNCTION("""COMPUTED_VALUE"""),2.90107933E8)</f>
        <v>290107933</v>
      </c>
      <c r="X2579" s="14">
        <f>IFERROR(__xludf.DUMMYFUNCTION("""COMPUTED_VALUE"""),0.796)</f>
        <v>0.796</v>
      </c>
      <c r="Y2579" s="14" t="str">
        <f>IFERROR(__xludf.DUMMYFUNCTION("""COMPUTED_VALUE"""),"United States-The Americas")</f>
        <v>United States-The Americas</v>
      </c>
      <c r="Z2579" s="14" t="str">
        <f>IFERROR(__xludf.DUMMYFUNCTION("""COMPUTED_VALUE"""),"The Americas")</f>
        <v>The Americas</v>
      </c>
      <c r="AA2579" s="14" t="str">
        <f>IFERROR(__xludf.DUMMYFUNCTION("""COMPUTED_VALUE"""),"2003")</f>
        <v>2003</v>
      </c>
      <c r="AB2579" s="15" t="str">
        <f>IFERROR(__xludf.DUMMYFUNCTION("ARRAYFORMULA(VLOOKUP(A2579,IMPORTRANGE(""https://docs.google.com/spreadsheets/d/1BuTWp7qHGjWhqrnf-OmePP568O4A5Am9ttzvVdP67zw/edit#gid=1931367683"" ,""ENERGY!$A$2:$F$2692""), {2,3,4,5,6},0))"),"The Americas")</f>
        <v>The Americas</v>
      </c>
      <c r="AC2579" s="14" t="str">
        <f>IFERROR(__xludf.DUMMYFUNCTION("""COMPUTED_VALUE"""),"United States-The Americas")</f>
        <v>United States-The Americas</v>
      </c>
      <c r="AD2579" s="14" t="str">
        <f>IFERROR(__xludf.DUMMYFUNCTION("""COMPUTED_VALUE"""),"2003")</f>
        <v>2003</v>
      </c>
      <c r="AE2579" s="14">
        <f>IFERROR(__xludf.DUMMYFUNCTION("""COMPUTED_VALUE"""),2164458.0)</f>
        <v>2164458</v>
      </c>
      <c r="AF2579" s="14">
        <f>IFERROR(__xludf.DUMMYFUNCTION("""COMPUTED_VALUE"""),5311840.0)</f>
        <v>5311840</v>
      </c>
    </row>
    <row r="2580">
      <c r="A2580" s="12">
        <v>2579.0</v>
      </c>
      <c r="B2580" s="12" t="s">
        <v>277</v>
      </c>
      <c r="C2580" s="5" t="s">
        <v>84</v>
      </c>
      <c r="D2580" s="8"/>
      <c r="E2580" s="11">
        <v>6.0</v>
      </c>
      <c r="F2580" s="8"/>
      <c r="G2580" s="8"/>
      <c r="H2580" s="11">
        <v>0.648</v>
      </c>
      <c r="I2580" s="11">
        <v>0.625</v>
      </c>
      <c r="J2580" s="9" t="s">
        <v>65</v>
      </c>
      <c r="K2580" s="14" t="str">
        <f>IFERROR(__xludf.DUMMYFUNCTION("ARRAYFORMULA(VLOOKUP(A2580,IMPORTRANGE(""https://docs.google.com/spreadsheets/d/1BuTWp7qHGjWhqrnf-OmePP568O4A5Am9ttzvVdP67zw/edit#gid=1603210130"", ""TOURISM!$A$2:$F$2692""), {2,3,4,5,6},0))"),"The Americas")</f>
        <v>The Americas</v>
      </c>
      <c r="L2580" s="14">
        <f>IFERROR(__xludf.DUMMYFUNCTION("""COMPUTED_VALUE"""),1.16E11)</f>
        <v>116000000000</v>
      </c>
      <c r="M2580" s="14" t="str">
        <f>IFERROR(__xludf.DUMMYFUNCTION("""COMPUTED_VALUE"""),"United States-The Americas")</f>
        <v>United States-The Americas</v>
      </c>
      <c r="N2580" s="14" t="str">
        <f>IFERROR(__xludf.DUMMYFUNCTION("""COMPUTED_VALUE"""),"2004")</f>
        <v>2004</v>
      </c>
      <c r="O2580" s="14">
        <f>IFERROR(__xludf.DUMMYFUNCTION("""COMPUTED_VALUE"""),9.4764E10)</f>
        <v>94764000000</v>
      </c>
      <c r="P2580" s="15">
        <f>IFERROR(__xludf.DUMMYFUNCTION("ARRAYFORMULA(VLOOKUP(A2580,IMPORTRANGE(""https://docs.google.com/spreadsheets/d/1BuTWp7qHGjWhqrnf-OmePP568O4A5Am9ttzvVdP67zw/edit#gid=771602874"" ,""HUMAN RESOURCES!$A$2:$M$2692""), {2,3,4,5,6,7,8,9,10,11,12,13},0))"),0.014)</f>
        <v>0.014</v>
      </c>
      <c r="Q2580" s="14">
        <f>IFERROR(__xludf.DUMMYFUNCTION("""COMPUTED_VALUE"""),0.007)</f>
        <v>0.007</v>
      </c>
      <c r="R2580" s="14">
        <f>IFERROR(__xludf.DUMMYFUNCTION("""COMPUTED_VALUE"""),80.0)</f>
        <v>80</v>
      </c>
      <c r="S2580" s="14">
        <f>IFERROR(__xludf.DUMMYFUNCTION("""COMPUTED_VALUE"""),75.0)</f>
        <v>75</v>
      </c>
      <c r="T2580" s="14">
        <f>IFERROR(__xludf.DUMMYFUNCTION("""COMPUTED_VALUE"""),0.207)</f>
        <v>0.207</v>
      </c>
      <c r="U2580" s="14">
        <f>IFERROR(__xludf.DUMMYFUNCTION("""COMPUTED_VALUE"""),0.67)</f>
        <v>0.67</v>
      </c>
      <c r="V2580" s="14">
        <f>IFERROR(__xludf.DUMMYFUNCTION("""COMPUTED_VALUE"""),0.123)</f>
        <v>0.123</v>
      </c>
      <c r="W2580" s="14">
        <f>IFERROR(__xludf.DUMMYFUNCTION("""COMPUTED_VALUE"""),2.92805298E8)</f>
        <v>292805298</v>
      </c>
      <c r="X2580" s="14">
        <f>IFERROR(__xludf.DUMMYFUNCTION("""COMPUTED_VALUE"""),0.798)</f>
        <v>0.798</v>
      </c>
      <c r="Y2580" s="14" t="str">
        <f>IFERROR(__xludf.DUMMYFUNCTION("""COMPUTED_VALUE"""),"United States-The Americas")</f>
        <v>United States-The Americas</v>
      </c>
      <c r="Z2580" s="14" t="str">
        <f>IFERROR(__xludf.DUMMYFUNCTION("""COMPUTED_VALUE"""),"The Americas")</f>
        <v>The Americas</v>
      </c>
      <c r="AA2580" s="14" t="str">
        <f>IFERROR(__xludf.DUMMYFUNCTION("""COMPUTED_VALUE"""),"2004")</f>
        <v>2004</v>
      </c>
      <c r="AB2580" s="15" t="str">
        <f>IFERROR(__xludf.DUMMYFUNCTION("ARRAYFORMULA(VLOOKUP(A2580,IMPORTRANGE(""https://docs.google.com/spreadsheets/d/1BuTWp7qHGjWhqrnf-OmePP568O4A5Am9ttzvVdP67zw/edit#gid=1931367683"" ,""ENERGY!$A$2:$F$2692""), {2,3,4,5,6},0))"),"The Americas")</f>
        <v>The Americas</v>
      </c>
      <c r="AC2580" s="14" t="str">
        <f>IFERROR(__xludf.DUMMYFUNCTION("""COMPUTED_VALUE"""),"United States-The Americas")</f>
        <v>United States-The Americas</v>
      </c>
      <c r="AD2580" s="14" t="str">
        <f>IFERROR(__xludf.DUMMYFUNCTION("""COMPUTED_VALUE"""),"2005")</f>
        <v>2005</v>
      </c>
      <c r="AE2580" s="14">
        <f>IFERROR(__xludf.DUMMYFUNCTION("""COMPUTED_VALUE"""),2277034.0)</f>
        <v>2277034</v>
      </c>
      <c r="AF2580" s="14">
        <f>IFERROR(__xludf.DUMMYFUNCTION("""COMPUTED_VALUE"""),5656839.0)</f>
        <v>5656839</v>
      </c>
    </row>
    <row r="2581">
      <c r="A2581" s="12">
        <v>2580.0</v>
      </c>
      <c r="B2581" s="12" t="s">
        <v>277</v>
      </c>
      <c r="C2581" s="5" t="s">
        <v>84</v>
      </c>
      <c r="D2581" s="11">
        <v>0.458</v>
      </c>
      <c r="E2581" s="11">
        <v>6.0</v>
      </c>
      <c r="F2581" s="8"/>
      <c r="G2581" s="11">
        <v>325.0</v>
      </c>
      <c r="H2581" s="11">
        <v>0.68</v>
      </c>
      <c r="I2581" s="11">
        <v>0.683</v>
      </c>
      <c r="J2581" s="9" t="s">
        <v>66</v>
      </c>
      <c r="K2581" s="14" t="str">
        <f>IFERROR(__xludf.DUMMYFUNCTION("ARRAYFORMULA(VLOOKUP(A2581,IMPORTRANGE(""https://docs.google.com/spreadsheets/d/1BuTWp7qHGjWhqrnf-OmePP568O4A5Am9ttzvVdP67zw/edit#gid=1603210130"", ""TOURISM!$A$2:$F$2692""), {2,3,4,5,6},0))"),"The Americas")</f>
        <v>The Americas</v>
      </c>
      <c r="L2581" s="14">
        <f>IFERROR(__xludf.DUMMYFUNCTION("""COMPUTED_VALUE"""),1.27E11)</f>
        <v>127000000000</v>
      </c>
      <c r="M2581" s="14" t="str">
        <f>IFERROR(__xludf.DUMMYFUNCTION("""COMPUTED_VALUE"""),"United States-The Americas")</f>
        <v>United States-The Americas</v>
      </c>
      <c r="N2581" s="14" t="str">
        <f>IFERROR(__xludf.DUMMYFUNCTION("""COMPUTED_VALUE"""),"2005")</f>
        <v>2005</v>
      </c>
      <c r="O2581" s="14"/>
      <c r="P2581" s="15">
        <f>IFERROR(__xludf.DUMMYFUNCTION("ARRAYFORMULA(VLOOKUP(A2581,IMPORTRANGE(""https://docs.google.com/spreadsheets/d/1BuTWp7qHGjWhqrnf-OmePP568O4A5Am9ttzvVdP67zw/edit#gid=771602874"" ,""HUMAN RESOURCES!$A$2:$M$2692""), {2,3,4,5,6,7,8,9,10,11,12,13},0))"),0.014)</f>
        <v>0.014</v>
      </c>
      <c r="Q2581" s="14">
        <f>IFERROR(__xludf.DUMMYFUNCTION("""COMPUTED_VALUE"""),0.007)</f>
        <v>0.007</v>
      </c>
      <c r="R2581" s="14">
        <f>IFERROR(__xludf.DUMMYFUNCTION("""COMPUTED_VALUE"""),80.0)</f>
        <v>80</v>
      </c>
      <c r="S2581" s="14">
        <f>IFERROR(__xludf.DUMMYFUNCTION("""COMPUTED_VALUE"""),75.0)</f>
        <v>75</v>
      </c>
      <c r="T2581" s="14">
        <f>IFERROR(__xludf.DUMMYFUNCTION("""COMPUTED_VALUE"""),0.205)</f>
        <v>0.205</v>
      </c>
      <c r="U2581" s="14">
        <f>IFERROR(__xludf.DUMMYFUNCTION("""COMPUTED_VALUE"""),0.671)</f>
        <v>0.671</v>
      </c>
      <c r="V2581" s="14">
        <f>IFERROR(__xludf.DUMMYFUNCTION("""COMPUTED_VALUE"""),0.123)</f>
        <v>0.123</v>
      </c>
      <c r="W2581" s="14">
        <f>IFERROR(__xludf.DUMMYFUNCTION("""COMPUTED_VALUE"""),2.95516599E8)</f>
        <v>295516599</v>
      </c>
      <c r="X2581" s="14">
        <f>IFERROR(__xludf.DUMMYFUNCTION("""COMPUTED_VALUE"""),0.799)</f>
        <v>0.799</v>
      </c>
      <c r="Y2581" s="14" t="str">
        <f>IFERROR(__xludf.DUMMYFUNCTION("""COMPUTED_VALUE"""),"United States-The Americas")</f>
        <v>United States-The Americas</v>
      </c>
      <c r="Z2581" s="14" t="str">
        <f>IFERROR(__xludf.DUMMYFUNCTION("""COMPUTED_VALUE"""),"The Americas")</f>
        <v>The Americas</v>
      </c>
      <c r="AA2581" s="14" t="str">
        <f>IFERROR(__xludf.DUMMYFUNCTION("""COMPUTED_VALUE"""),"2005")</f>
        <v>2005</v>
      </c>
      <c r="AB2581" s="15" t="str">
        <f>IFERROR(__xludf.DUMMYFUNCTION("ARRAYFORMULA(VLOOKUP(A2581,IMPORTRANGE(""https://docs.google.com/spreadsheets/d/1BuTWp7qHGjWhqrnf-OmePP568O4A5Am9ttzvVdP67zw/edit#gid=1931367683"" ,""ENERGY!$A$2:$F$2692""), {2,3,4,5,6},0))"),"The Americas")</f>
        <v>The Americas</v>
      </c>
      <c r="AC2581" s="14" t="str">
        <f>IFERROR(__xludf.DUMMYFUNCTION("""COMPUTED_VALUE"""),"United States-The Americas")</f>
        <v>United States-The Americas</v>
      </c>
      <c r="AD2581" s="14" t="str">
        <f>IFERROR(__xludf.DUMMYFUNCTION("""COMPUTED_VALUE"""),"2009")</f>
        <v>2009</v>
      </c>
      <c r="AE2581" s="14">
        <f>IFERROR(__xludf.DUMMYFUNCTION("""COMPUTED_VALUE"""),2337014.0)</f>
        <v>2337014</v>
      </c>
      <c r="AF2581" s="14">
        <f>IFERROR(__xludf.DUMMYFUNCTION("""COMPUTED_VALUE"""),5828697.0)</f>
        <v>5828697</v>
      </c>
    </row>
    <row r="2582">
      <c r="A2582" s="12">
        <v>2581.0</v>
      </c>
      <c r="B2582" s="12" t="s">
        <v>277</v>
      </c>
      <c r="C2582" s="5" t="s">
        <v>84</v>
      </c>
      <c r="D2582" s="11">
        <v>0.474</v>
      </c>
      <c r="E2582" s="11">
        <v>6.0</v>
      </c>
      <c r="F2582" s="8"/>
      <c r="G2582" s="11">
        <v>325.0</v>
      </c>
      <c r="H2582" s="11">
        <v>0.689</v>
      </c>
      <c r="I2582" s="11">
        <v>0.763</v>
      </c>
      <c r="J2582" s="9" t="s">
        <v>67</v>
      </c>
      <c r="K2582" s="14" t="str">
        <f>IFERROR(__xludf.DUMMYFUNCTION("ARRAYFORMULA(VLOOKUP(A2582,IMPORTRANGE(""https://docs.google.com/spreadsheets/d/1BuTWp7qHGjWhqrnf-OmePP568O4A5Am9ttzvVdP67zw/edit#gid=1603210130"", ""TOURISM!$A$2:$F$2692""), {2,3,4,5,6},0))"),"The Americas")</f>
        <v>The Americas</v>
      </c>
      <c r="L2582" s="14">
        <f>IFERROR(__xludf.DUMMYFUNCTION("""COMPUTED_VALUE"""),1.33E11)</f>
        <v>133000000000</v>
      </c>
      <c r="M2582" s="14" t="str">
        <f>IFERROR(__xludf.DUMMYFUNCTION("""COMPUTED_VALUE"""),"United States-The Americas")</f>
        <v>United States-The Americas</v>
      </c>
      <c r="N2582" s="14" t="str">
        <f>IFERROR(__xludf.DUMMYFUNCTION("""COMPUTED_VALUE"""),"2006")</f>
        <v>2006</v>
      </c>
      <c r="O2582" s="14"/>
      <c r="P2582" s="15">
        <f>IFERROR(__xludf.DUMMYFUNCTION("ARRAYFORMULA(VLOOKUP(A2582,IMPORTRANGE(""https://docs.google.com/spreadsheets/d/1BuTWp7qHGjWhqrnf-OmePP568O4A5Am9ttzvVdP67zw/edit#gid=771602874"" ,""HUMAN RESOURCES!$A$2:$M$2692""), {2,3,4,5,6,7,8,9,10,11,12,13},0))"),0.014)</f>
        <v>0.014</v>
      </c>
      <c r="Q2582" s="14">
        <f>IFERROR(__xludf.DUMMYFUNCTION("""COMPUTED_VALUE"""),0.007)</f>
        <v>0.007</v>
      </c>
      <c r="R2582" s="14">
        <f>IFERROR(__xludf.DUMMYFUNCTION("""COMPUTED_VALUE"""),80.0)</f>
        <v>80</v>
      </c>
      <c r="S2582" s="14">
        <f>IFERROR(__xludf.DUMMYFUNCTION("""COMPUTED_VALUE"""),75.0)</f>
        <v>75</v>
      </c>
      <c r="T2582" s="14">
        <f>IFERROR(__xludf.DUMMYFUNCTION("""COMPUTED_VALUE"""),0.204)</f>
        <v>0.204</v>
      </c>
      <c r="U2582" s="14">
        <f>IFERROR(__xludf.DUMMYFUNCTION("""COMPUTED_VALUE"""),0.672)</f>
        <v>0.672</v>
      </c>
      <c r="V2582" s="14">
        <f>IFERROR(__xludf.DUMMYFUNCTION("""COMPUTED_VALUE"""),0.124)</f>
        <v>0.124</v>
      </c>
      <c r="W2582" s="14">
        <f>IFERROR(__xludf.DUMMYFUNCTION("""COMPUTED_VALUE"""),2.98379912E8)</f>
        <v>298379912</v>
      </c>
      <c r="X2582" s="14">
        <f>IFERROR(__xludf.DUMMYFUNCTION("""COMPUTED_VALUE"""),0.801)</f>
        <v>0.801</v>
      </c>
      <c r="Y2582" s="14" t="str">
        <f>IFERROR(__xludf.DUMMYFUNCTION("""COMPUTED_VALUE"""),"United States-The Americas")</f>
        <v>United States-The Americas</v>
      </c>
      <c r="Z2582" s="14" t="str">
        <f>IFERROR(__xludf.DUMMYFUNCTION("""COMPUTED_VALUE"""),"The Americas")</f>
        <v>The Americas</v>
      </c>
      <c r="AA2582" s="14" t="str">
        <f>IFERROR(__xludf.DUMMYFUNCTION("""COMPUTED_VALUE"""),"2006")</f>
        <v>2006</v>
      </c>
      <c r="AB2582" s="15" t="str">
        <f>IFERROR(__xludf.DUMMYFUNCTION("ARRAYFORMULA(VLOOKUP(A2582,IMPORTRANGE(""https://docs.google.com/spreadsheets/d/1BuTWp7qHGjWhqrnf-OmePP568O4A5Am9ttzvVdP67zw/edit#gid=1931367683"" ,""ENERGY!$A$2:$F$2692""), {2,3,4,5,6},0))"),"The Americas")</f>
        <v>The Americas</v>
      </c>
      <c r="AC2582" s="14" t="str">
        <f>IFERROR(__xludf.DUMMYFUNCTION("""COMPUTED_VALUE"""),"United States-The Americas")</f>
        <v>United States-The Americas</v>
      </c>
      <c r="AD2582" s="14" t="str">
        <f>IFERROR(__xludf.DUMMYFUNCTION("""COMPUTED_VALUE"""),"2005")</f>
        <v>2005</v>
      </c>
      <c r="AE2582" s="14">
        <f>IFERROR(__xludf.DUMMYFUNCTION("""COMPUTED_VALUE"""),2296686.0)</f>
        <v>2296686</v>
      </c>
      <c r="AF2582" s="14">
        <f>IFERROR(__xludf.DUMMYFUNCTION("""COMPUTED_VALUE"""),5737616.0)</f>
        <v>5737616</v>
      </c>
    </row>
    <row r="2583">
      <c r="A2583" s="12">
        <v>2582.0</v>
      </c>
      <c r="B2583" s="12" t="s">
        <v>277</v>
      </c>
      <c r="C2583" s="5" t="s">
        <v>84</v>
      </c>
      <c r="D2583" s="11">
        <v>0.461</v>
      </c>
      <c r="E2583" s="11">
        <v>6.0</v>
      </c>
      <c r="F2583" s="8"/>
      <c r="G2583" s="11">
        <v>325.0</v>
      </c>
      <c r="H2583" s="11">
        <v>0.75</v>
      </c>
      <c r="I2583" s="11">
        <v>0.821</v>
      </c>
      <c r="J2583" s="9" t="s">
        <v>68</v>
      </c>
      <c r="K2583" s="14" t="str">
        <f>IFERROR(__xludf.DUMMYFUNCTION("ARRAYFORMULA(VLOOKUP(A2583,IMPORTRANGE(""https://docs.google.com/spreadsheets/d/1BuTWp7qHGjWhqrnf-OmePP568O4A5Am9ttzvVdP67zw/edit#gid=1603210130"", ""TOURISM!$A$2:$F$2692""), {2,3,4,5,6},0))"),"The Americas")</f>
        <v>The Americas</v>
      </c>
      <c r="L2583" s="14">
        <f>IFERROR(__xludf.DUMMYFUNCTION("""COMPUTED_VALUE"""),1.49E11)</f>
        <v>149000000000</v>
      </c>
      <c r="M2583" s="14" t="str">
        <f>IFERROR(__xludf.DUMMYFUNCTION("""COMPUTED_VALUE"""),"United States-The Americas")</f>
        <v>United States-The Americas</v>
      </c>
      <c r="N2583" s="14" t="str">
        <f>IFERROR(__xludf.DUMMYFUNCTION("""COMPUTED_VALUE"""),"2007")</f>
        <v>2007</v>
      </c>
      <c r="O2583" s="14"/>
      <c r="P2583" s="15">
        <f>IFERROR(__xludf.DUMMYFUNCTION("ARRAYFORMULA(VLOOKUP(A2583,IMPORTRANGE(""https://docs.google.com/spreadsheets/d/1BuTWp7qHGjWhqrnf-OmePP568O4A5Am9ttzvVdP67zw/edit#gid=771602874"" ,""HUMAN RESOURCES!$A$2:$M$2692""), {2,3,4,5,6,7,8,9,10,11,12,13},0))"),0.014)</f>
        <v>0.014</v>
      </c>
      <c r="Q2583" s="14">
        <f>IFERROR(__xludf.DUMMYFUNCTION("""COMPUTED_VALUE"""),0.007)</f>
        <v>0.007</v>
      </c>
      <c r="R2583" s="14">
        <f>IFERROR(__xludf.DUMMYFUNCTION("""COMPUTED_VALUE"""),80.0)</f>
        <v>80</v>
      </c>
      <c r="S2583" s="14">
        <f>IFERROR(__xludf.DUMMYFUNCTION("""COMPUTED_VALUE"""),75.0)</f>
        <v>75</v>
      </c>
      <c r="T2583" s="14">
        <f>IFERROR(__xludf.DUMMYFUNCTION("""COMPUTED_VALUE"""),0.202)</f>
        <v>0.202</v>
      </c>
      <c r="U2583" s="14">
        <f>IFERROR(__xludf.DUMMYFUNCTION("""COMPUTED_VALUE"""),0.673)</f>
        <v>0.673</v>
      </c>
      <c r="V2583" s="14">
        <f>IFERROR(__xludf.DUMMYFUNCTION("""COMPUTED_VALUE"""),0.125)</f>
        <v>0.125</v>
      </c>
      <c r="W2583" s="14">
        <f>IFERROR(__xludf.DUMMYFUNCTION("""COMPUTED_VALUE"""),3.01231207E8)</f>
        <v>301231207</v>
      </c>
      <c r="X2583" s="14">
        <f>IFERROR(__xludf.DUMMYFUNCTION("""COMPUTED_VALUE"""),0.803)</f>
        <v>0.803</v>
      </c>
      <c r="Y2583" s="14" t="str">
        <f>IFERROR(__xludf.DUMMYFUNCTION("""COMPUTED_VALUE"""),"United States-The Americas")</f>
        <v>United States-The Americas</v>
      </c>
      <c r="Z2583" s="14" t="str">
        <f>IFERROR(__xludf.DUMMYFUNCTION("""COMPUTED_VALUE"""),"The Americas")</f>
        <v>The Americas</v>
      </c>
      <c r="AA2583" s="14" t="str">
        <f>IFERROR(__xludf.DUMMYFUNCTION("""COMPUTED_VALUE"""),"2007")</f>
        <v>2007</v>
      </c>
      <c r="AB2583" s="15" t="str">
        <f>IFERROR(__xludf.DUMMYFUNCTION("ARRAYFORMULA(VLOOKUP(A2583,IMPORTRANGE(""https://docs.google.com/spreadsheets/d/1BuTWp7qHGjWhqrnf-OmePP568O4A5Am9ttzvVdP67zw/edit#gid=1931367683"" ,""ENERGY!$A$2:$F$2692""), {2,3,4,5,6},0))"),"The Americas")</f>
        <v>The Americas</v>
      </c>
      <c r="AC2583" s="14" t="str">
        <f>IFERROR(__xludf.DUMMYFUNCTION("""COMPUTED_VALUE"""),"United States-The Americas")</f>
        <v>United States-The Americas</v>
      </c>
      <c r="AD2583" s="14" t="str">
        <f>IFERROR(__xludf.DUMMYFUNCTION("""COMPUTED_VALUE"""),"2011")</f>
        <v>2011</v>
      </c>
      <c r="AE2583" s="14">
        <f>IFERROR(__xludf.DUMMYFUNCTION("""COMPUTED_VALUE"""),2318861.0)</f>
        <v>2318861</v>
      </c>
      <c r="AF2583" s="14">
        <f>IFERROR(__xludf.DUMMYFUNCTION("""COMPUTED_VALUE"""),5826394.0)</f>
        <v>5826394</v>
      </c>
    </row>
    <row r="2584">
      <c r="A2584" s="12">
        <v>2583.0</v>
      </c>
      <c r="B2584" s="12" t="s">
        <v>277</v>
      </c>
      <c r="C2584" s="5" t="s">
        <v>84</v>
      </c>
      <c r="D2584" s="11">
        <v>0.464</v>
      </c>
      <c r="E2584" s="11">
        <v>5.0</v>
      </c>
      <c r="F2584" s="8"/>
      <c r="G2584" s="11">
        <v>187.0</v>
      </c>
      <c r="H2584" s="11">
        <v>0.74</v>
      </c>
      <c r="I2584" s="11">
        <v>0.852</v>
      </c>
      <c r="J2584" s="9" t="s">
        <v>69</v>
      </c>
      <c r="K2584" s="14" t="str">
        <f>IFERROR(__xludf.DUMMYFUNCTION("ARRAYFORMULA(VLOOKUP(A2584,IMPORTRANGE(""https://docs.google.com/spreadsheets/d/1BuTWp7qHGjWhqrnf-OmePP568O4A5Am9ttzvVdP67zw/edit#gid=1603210130"", ""TOURISM!$A$2:$F$2692""), {2,3,4,5,6},0))"),"The Americas")</f>
        <v>The Americas</v>
      </c>
      <c r="L2584" s="14">
        <f>IFERROR(__xludf.DUMMYFUNCTION("""COMPUTED_VALUE"""),1.71E11)</f>
        <v>171000000000</v>
      </c>
      <c r="M2584" s="14" t="str">
        <f>IFERROR(__xludf.DUMMYFUNCTION("""COMPUTED_VALUE"""),"United States-The Americas")</f>
        <v>United States-The Americas</v>
      </c>
      <c r="N2584" s="14" t="str">
        <f>IFERROR(__xludf.DUMMYFUNCTION("""COMPUTED_VALUE"""),"2008")</f>
        <v>2008</v>
      </c>
      <c r="O2584" s="14"/>
      <c r="P2584" s="15">
        <f>IFERROR(__xludf.DUMMYFUNCTION("ARRAYFORMULA(VLOOKUP(A2584,IMPORTRANGE(""https://docs.google.com/spreadsheets/d/1BuTWp7qHGjWhqrnf-OmePP568O4A5Am9ttzvVdP67zw/edit#gid=771602874"" ,""HUMAN RESOURCES!$A$2:$M$2692""), {2,3,4,5,6,7,8,9,10,11,12,13},0))"),0.014)</f>
        <v>0.014</v>
      </c>
      <c r="Q2584" s="14">
        <f>IFERROR(__xludf.DUMMYFUNCTION("""COMPUTED_VALUE"""),0.007)</f>
        <v>0.007</v>
      </c>
      <c r="R2584" s="14">
        <f>IFERROR(__xludf.DUMMYFUNCTION("""COMPUTED_VALUE"""),81.0)</f>
        <v>81</v>
      </c>
      <c r="S2584" s="14">
        <f>IFERROR(__xludf.DUMMYFUNCTION("""COMPUTED_VALUE"""),76.0)</f>
        <v>76</v>
      </c>
      <c r="T2584" s="14">
        <f>IFERROR(__xludf.DUMMYFUNCTION("""COMPUTED_VALUE"""),0.201)</f>
        <v>0.201</v>
      </c>
      <c r="U2584" s="14">
        <f>IFERROR(__xludf.DUMMYFUNCTION("""COMPUTED_VALUE"""),0.673)</f>
        <v>0.673</v>
      </c>
      <c r="V2584" s="14">
        <f>IFERROR(__xludf.DUMMYFUNCTION("""COMPUTED_VALUE"""),0.127)</f>
        <v>0.127</v>
      </c>
      <c r="W2584" s="14">
        <f>IFERROR(__xludf.DUMMYFUNCTION("""COMPUTED_VALUE"""),3.04093966E8)</f>
        <v>304093966</v>
      </c>
      <c r="X2584" s="14">
        <f>IFERROR(__xludf.DUMMYFUNCTION("""COMPUTED_VALUE"""),0.804)</f>
        <v>0.804</v>
      </c>
      <c r="Y2584" s="14" t="str">
        <f>IFERROR(__xludf.DUMMYFUNCTION("""COMPUTED_VALUE"""),"United States-The Americas")</f>
        <v>United States-The Americas</v>
      </c>
      <c r="Z2584" s="14" t="str">
        <f>IFERROR(__xludf.DUMMYFUNCTION("""COMPUTED_VALUE"""),"The Americas")</f>
        <v>The Americas</v>
      </c>
      <c r="AA2584" s="14" t="str">
        <f>IFERROR(__xludf.DUMMYFUNCTION("""COMPUTED_VALUE"""),"2008")</f>
        <v>2008</v>
      </c>
      <c r="AB2584" s="15" t="str">
        <f>IFERROR(__xludf.DUMMYFUNCTION("ARRAYFORMULA(VLOOKUP(A2584,IMPORTRANGE(""https://docs.google.com/spreadsheets/d/1BuTWp7qHGjWhqrnf-OmePP568O4A5Am9ttzvVdP67zw/edit#gid=1931367683"" ,""ENERGY!$A$2:$F$2692""), {2,3,4,5,6},0))"),"The Americas")</f>
        <v>The Americas</v>
      </c>
      <c r="AC2584" s="14" t="str">
        <f>IFERROR(__xludf.DUMMYFUNCTION("""COMPUTED_VALUE"""),"United States-The Americas")</f>
        <v>United States-The Americas</v>
      </c>
      <c r="AD2584" s="14" t="str">
        <f>IFERROR(__xludf.DUMMYFUNCTION("""COMPUTED_VALUE"""),"2008")</f>
        <v>2008</v>
      </c>
      <c r="AE2584" s="14">
        <f>IFERROR(__xludf.DUMMYFUNCTION("""COMPUTED_VALUE"""),2307819.0)</f>
        <v>2307819</v>
      </c>
      <c r="AF2584" s="14">
        <f>IFERROR(__xludf.DUMMYFUNCTION("""COMPUTED_VALUE"""),5790765.0)</f>
        <v>5790765</v>
      </c>
    </row>
    <row r="2585">
      <c r="A2585" s="12">
        <v>2584.0</v>
      </c>
      <c r="B2585" s="12" t="s">
        <v>277</v>
      </c>
      <c r="C2585" s="5" t="s">
        <v>84</v>
      </c>
      <c r="D2585" s="11">
        <v>0.461</v>
      </c>
      <c r="E2585" s="11">
        <v>5.0</v>
      </c>
      <c r="F2585" s="8"/>
      <c r="G2585" s="11">
        <v>187.0</v>
      </c>
      <c r="H2585" s="11">
        <v>0.71</v>
      </c>
      <c r="I2585" s="11">
        <v>0.886</v>
      </c>
      <c r="J2585" s="9" t="s">
        <v>70</v>
      </c>
      <c r="K2585" s="14" t="str">
        <f>IFERROR(__xludf.DUMMYFUNCTION("ARRAYFORMULA(VLOOKUP(A2585,IMPORTRANGE(""https://docs.google.com/spreadsheets/d/1BuTWp7qHGjWhqrnf-OmePP568O4A5Am9ttzvVdP67zw/edit#gid=1603210130"", ""TOURISM!$A$2:$F$2692""), {2,3,4,5,6},0))"),"The Americas")</f>
        <v>The Americas</v>
      </c>
      <c r="L2585" s="14">
        <f>IFERROR(__xludf.DUMMYFUNCTION("""COMPUTED_VALUE"""),1.5E11)</f>
        <v>150000000000</v>
      </c>
      <c r="M2585" s="14" t="str">
        <f>IFERROR(__xludf.DUMMYFUNCTION("""COMPUTED_VALUE"""),"United States-The Americas")</f>
        <v>United States-The Americas</v>
      </c>
      <c r="N2585" s="14" t="str">
        <f>IFERROR(__xludf.DUMMYFUNCTION("""COMPUTED_VALUE"""),"2009")</f>
        <v>2009</v>
      </c>
      <c r="O2585" s="14"/>
      <c r="P2585" s="15">
        <f>IFERROR(__xludf.DUMMYFUNCTION("ARRAYFORMULA(VLOOKUP(A2585,IMPORTRANGE(""https://docs.google.com/spreadsheets/d/1BuTWp7qHGjWhqrnf-OmePP568O4A5Am9ttzvVdP67zw/edit#gid=771602874"" ,""HUMAN RESOURCES!$A$2:$M$2692""), {2,3,4,5,6,7,8,9,10,11,12,13},0))"),0.014)</f>
        <v>0.014</v>
      </c>
      <c r="Q2585" s="14">
        <f>IFERROR(__xludf.DUMMYFUNCTION("""COMPUTED_VALUE"""),0.006)</f>
        <v>0.006</v>
      </c>
      <c r="R2585" s="14">
        <f>IFERROR(__xludf.DUMMYFUNCTION("""COMPUTED_VALUE"""),81.0)</f>
        <v>81</v>
      </c>
      <c r="S2585" s="14">
        <f>IFERROR(__xludf.DUMMYFUNCTION("""COMPUTED_VALUE"""),76.0)</f>
        <v>76</v>
      </c>
      <c r="T2585" s="14">
        <f>IFERROR(__xludf.DUMMYFUNCTION("""COMPUTED_VALUE"""),0.2)</f>
        <v>0.2</v>
      </c>
      <c r="U2585" s="14">
        <f>IFERROR(__xludf.DUMMYFUNCTION("""COMPUTED_VALUE"""),0.672)</f>
        <v>0.672</v>
      </c>
      <c r="V2585" s="14">
        <f>IFERROR(__xludf.DUMMYFUNCTION("""COMPUTED_VALUE"""),0.128)</f>
        <v>0.128</v>
      </c>
      <c r="W2585" s="14">
        <f>IFERROR(__xludf.DUMMYFUNCTION("""COMPUTED_VALUE"""),3.06771529E8)</f>
        <v>306771529</v>
      </c>
      <c r="X2585" s="14">
        <f>IFERROR(__xludf.DUMMYFUNCTION("""COMPUTED_VALUE"""),0.806)</f>
        <v>0.806</v>
      </c>
      <c r="Y2585" s="14" t="str">
        <f>IFERROR(__xludf.DUMMYFUNCTION("""COMPUTED_VALUE"""),"United States-The Americas")</f>
        <v>United States-The Americas</v>
      </c>
      <c r="Z2585" s="14" t="str">
        <f>IFERROR(__xludf.DUMMYFUNCTION("""COMPUTED_VALUE"""),"The Americas")</f>
        <v>The Americas</v>
      </c>
      <c r="AA2585" s="14" t="str">
        <f>IFERROR(__xludf.DUMMYFUNCTION("""COMPUTED_VALUE"""),"2009")</f>
        <v>2009</v>
      </c>
      <c r="AB2585" s="15" t="str">
        <f>IFERROR(__xludf.DUMMYFUNCTION("ARRAYFORMULA(VLOOKUP(A2585,IMPORTRANGE(""https://docs.google.com/spreadsheets/d/1BuTWp7qHGjWhqrnf-OmePP568O4A5Am9ttzvVdP67zw/edit#gid=1931367683"" ,""ENERGY!$A$2:$F$2692""), {2,3,4,5,6},0))"),"The Americas")</f>
        <v>The Americas</v>
      </c>
      <c r="AC2585" s="14" t="str">
        <f>IFERROR(__xludf.DUMMYFUNCTION("""COMPUTED_VALUE"""),"United States-The Americas")</f>
        <v>United States-The Americas</v>
      </c>
      <c r="AD2585" s="14" t="str">
        <f>IFERROR(__xludf.DUMMYFUNCTION("""COMPUTED_VALUE"""),"2012")</f>
        <v>2012</v>
      </c>
      <c r="AE2585" s="14">
        <f>IFERROR(__xludf.DUMMYFUNCTION("""COMPUTED_VALUE"""),2261151.0)</f>
        <v>2261151</v>
      </c>
      <c r="AF2585" s="14">
        <f>IFERROR(__xludf.DUMMYFUNCTION("""COMPUTED_VALUE"""),5681664.0)</f>
        <v>5681664</v>
      </c>
    </row>
    <row r="2586">
      <c r="A2586" s="12">
        <v>2585.0</v>
      </c>
      <c r="B2586" s="12" t="s">
        <v>277</v>
      </c>
      <c r="C2586" s="5" t="s">
        <v>84</v>
      </c>
      <c r="D2586" s="11">
        <v>0.465</v>
      </c>
      <c r="E2586" s="11">
        <v>5.0</v>
      </c>
      <c r="F2586" s="8"/>
      <c r="G2586" s="11">
        <v>187.0</v>
      </c>
      <c r="H2586" s="11">
        <v>0.717</v>
      </c>
      <c r="I2586" s="11">
        <v>0.913</v>
      </c>
      <c r="J2586" s="9" t="s">
        <v>71</v>
      </c>
      <c r="K2586" s="14" t="str">
        <f>IFERROR(__xludf.DUMMYFUNCTION("ARRAYFORMULA(VLOOKUP(A2586,IMPORTRANGE(""https://docs.google.com/spreadsheets/d/1BuTWp7qHGjWhqrnf-OmePP568O4A5Am9ttzvVdP67zw/edit#gid=1603210130"", ""TOURISM!$A$2:$F$2692""), {2,3,4,5,6},0))"),"The Americas")</f>
        <v>The Americas</v>
      </c>
      <c r="L2586" s="14">
        <f>IFERROR(__xludf.DUMMYFUNCTION("""COMPUTED_VALUE"""),1.65E11)</f>
        <v>165000000000</v>
      </c>
      <c r="M2586" s="14" t="str">
        <f>IFERROR(__xludf.DUMMYFUNCTION("""COMPUTED_VALUE"""),"United States-The Americas")</f>
        <v>United States-The Americas</v>
      </c>
      <c r="N2586" s="14" t="str">
        <f>IFERROR(__xludf.DUMMYFUNCTION("""COMPUTED_VALUE"""),"2010")</f>
        <v>2010</v>
      </c>
      <c r="O2586" s="14"/>
      <c r="P2586" s="15">
        <f>IFERROR(__xludf.DUMMYFUNCTION("ARRAYFORMULA(VLOOKUP(A2586,IMPORTRANGE(""https://docs.google.com/spreadsheets/d/1BuTWp7qHGjWhqrnf-OmePP568O4A5Am9ttzvVdP67zw/edit#gid=771602874"" ,""HUMAN RESOURCES!$A$2:$M$2692""), {2,3,4,5,6,7,8,9,10,11,12,13},0))"),0.013)</f>
        <v>0.013</v>
      </c>
      <c r="Q2586" s="14">
        <f>IFERROR(__xludf.DUMMYFUNCTION("""COMPUTED_VALUE"""),0.006)</f>
        <v>0.006</v>
      </c>
      <c r="R2586" s="14">
        <f>IFERROR(__xludf.DUMMYFUNCTION("""COMPUTED_VALUE"""),81.0)</f>
        <v>81</v>
      </c>
      <c r="S2586" s="14">
        <f>IFERROR(__xludf.DUMMYFUNCTION("""COMPUTED_VALUE"""),76.0)</f>
        <v>76</v>
      </c>
      <c r="T2586" s="14">
        <f>IFERROR(__xludf.DUMMYFUNCTION("""COMPUTED_VALUE"""),0.198)</f>
        <v>0.198</v>
      </c>
      <c r="U2586" s="14">
        <f>IFERROR(__xludf.DUMMYFUNCTION("""COMPUTED_VALUE"""),0.671)</f>
        <v>0.671</v>
      </c>
      <c r="V2586" s="14">
        <f>IFERROR(__xludf.DUMMYFUNCTION("""COMPUTED_VALUE"""),0.131)</f>
        <v>0.131</v>
      </c>
      <c r="W2586" s="14">
        <f>IFERROR(__xludf.DUMMYFUNCTION("""COMPUTED_VALUE"""),3.09326295E8)</f>
        <v>309326295</v>
      </c>
      <c r="X2586" s="14">
        <f>IFERROR(__xludf.DUMMYFUNCTION("""COMPUTED_VALUE"""),0.808)</f>
        <v>0.808</v>
      </c>
      <c r="Y2586" s="14" t="str">
        <f>IFERROR(__xludf.DUMMYFUNCTION("""COMPUTED_VALUE"""),"United States-The Americas")</f>
        <v>United States-The Americas</v>
      </c>
      <c r="Z2586" s="14" t="str">
        <f>IFERROR(__xludf.DUMMYFUNCTION("""COMPUTED_VALUE"""),"The Americas")</f>
        <v>The Americas</v>
      </c>
      <c r="AA2586" s="14" t="str">
        <f>IFERROR(__xludf.DUMMYFUNCTION("""COMPUTED_VALUE"""),"2010")</f>
        <v>2010</v>
      </c>
      <c r="AB2586" s="15" t="str">
        <f>IFERROR(__xludf.DUMMYFUNCTION("ARRAYFORMULA(VLOOKUP(A2586,IMPORTRANGE(""https://docs.google.com/spreadsheets/d/1BuTWp7qHGjWhqrnf-OmePP568O4A5Am9ttzvVdP67zw/edit#gid=1931367683"" ,""ENERGY!$A$2:$F$2692""), {2,3,4,5,6},0))"),"The Americas")</f>
        <v>The Americas</v>
      </c>
      <c r="AC2586" s="14" t="str">
        <f>IFERROR(__xludf.DUMMYFUNCTION("""COMPUTED_VALUE"""),"United States-The Americas")</f>
        <v>United States-The Americas</v>
      </c>
      <c r="AD2586" s="14" t="str">
        <f>IFERROR(__xludf.DUMMYFUNCTION("""COMPUTED_VALUE"""),"2010")</f>
        <v>2010</v>
      </c>
      <c r="AE2586" s="14">
        <f>IFERROR(__xludf.DUMMYFUNCTION("""COMPUTED_VALUE"""),2255957.0)</f>
        <v>2255957</v>
      </c>
      <c r="AF2586" s="14">
        <f>IFERROR(__xludf.DUMMYFUNCTION("""COMPUTED_VALUE"""),5650950.0)</f>
        <v>5650950</v>
      </c>
    </row>
    <row r="2587">
      <c r="A2587" s="12">
        <v>2586.0</v>
      </c>
      <c r="B2587" s="12" t="s">
        <v>277</v>
      </c>
      <c r="C2587" s="5" t="s">
        <v>84</v>
      </c>
      <c r="D2587" s="11">
        <v>0.465</v>
      </c>
      <c r="E2587" s="11">
        <v>5.0</v>
      </c>
      <c r="F2587" s="8"/>
      <c r="G2587" s="11">
        <v>187.0</v>
      </c>
      <c r="H2587" s="11">
        <v>0.697</v>
      </c>
      <c r="I2587" s="11">
        <v>0.944</v>
      </c>
      <c r="J2587" s="9" t="s">
        <v>72</v>
      </c>
      <c r="K2587" s="14" t="str">
        <f>IFERROR(__xludf.DUMMYFUNCTION("ARRAYFORMULA(VLOOKUP(A2587,IMPORTRANGE(""https://docs.google.com/spreadsheets/d/1BuTWp7qHGjWhqrnf-OmePP568O4A5Am9ttzvVdP67zw/edit#gid=1603210130"", ""TOURISM!$A$2:$F$2692""), {2,3,4,5,6},0))"),"The Americas")</f>
        <v>The Americas</v>
      </c>
      <c r="L2587" s="14">
        <f>IFERROR(__xludf.DUMMYFUNCTION("""COMPUTED_VALUE"""),1.85E11)</f>
        <v>185000000000</v>
      </c>
      <c r="M2587" s="14" t="str">
        <f>IFERROR(__xludf.DUMMYFUNCTION("""COMPUTED_VALUE"""),"United States-The Americas")</f>
        <v>United States-The Americas</v>
      </c>
      <c r="N2587" s="14" t="str">
        <f>IFERROR(__xludf.DUMMYFUNCTION("""COMPUTED_VALUE"""),"2011")</f>
        <v>2011</v>
      </c>
      <c r="O2587" s="14"/>
      <c r="P2587" s="15">
        <f>IFERROR(__xludf.DUMMYFUNCTION("ARRAYFORMULA(VLOOKUP(A2587,IMPORTRANGE(""https://docs.google.com/spreadsheets/d/1BuTWp7qHGjWhqrnf-OmePP568O4A5Am9ttzvVdP67zw/edit#gid=771602874"" ,""HUMAN RESOURCES!$A$2:$M$2692""), {2,3,4,5,6,7,8,9,10,11,12,13},0))"),0.013)</f>
        <v>0.013</v>
      </c>
      <c r="Q2587" s="14">
        <f>IFERROR(__xludf.DUMMYFUNCTION("""COMPUTED_VALUE"""),0.006)</f>
        <v>0.006</v>
      </c>
      <c r="R2587" s="14">
        <f>IFERROR(__xludf.DUMMYFUNCTION("""COMPUTED_VALUE"""),81.0)</f>
        <v>81</v>
      </c>
      <c r="S2587" s="14">
        <f>IFERROR(__xludf.DUMMYFUNCTION("""COMPUTED_VALUE"""),76.0)</f>
        <v>76</v>
      </c>
      <c r="T2587" s="14">
        <f>IFERROR(__xludf.DUMMYFUNCTION("""COMPUTED_VALUE"""),0.197)</f>
        <v>0.197</v>
      </c>
      <c r="U2587" s="14">
        <f>IFERROR(__xludf.DUMMYFUNCTION("""COMPUTED_VALUE"""),0.669)</f>
        <v>0.669</v>
      </c>
      <c r="V2587" s="14">
        <f>IFERROR(__xludf.DUMMYFUNCTION("""COMPUTED_VALUE"""),0.133)</f>
        <v>0.133</v>
      </c>
      <c r="W2587" s="14">
        <f>IFERROR(__xludf.DUMMYFUNCTION("""COMPUTED_VALUE"""),3.11582564E8)</f>
        <v>311582564</v>
      </c>
      <c r="X2587" s="14">
        <f>IFERROR(__xludf.DUMMYFUNCTION("""COMPUTED_VALUE"""),0.809)</f>
        <v>0.809</v>
      </c>
      <c r="Y2587" s="14" t="str">
        <f>IFERROR(__xludf.DUMMYFUNCTION("""COMPUTED_VALUE"""),"United States-The Americas")</f>
        <v>United States-The Americas</v>
      </c>
      <c r="Z2587" s="14" t="str">
        <f>IFERROR(__xludf.DUMMYFUNCTION("""COMPUTED_VALUE"""),"The Americas")</f>
        <v>The Americas</v>
      </c>
      <c r="AA2587" s="14" t="str">
        <f>IFERROR(__xludf.DUMMYFUNCTION("""COMPUTED_VALUE"""),"2011")</f>
        <v>2011</v>
      </c>
      <c r="AB2587" s="15" t="str">
        <f>IFERROR(__xludf.DUMMYFUNCTION("ARRAYFORMULA(VLOOKUP(A2587,IMPORTRANGE(""https://docs.google.com/spreadsheets/d/1BuTWp7qHGjWhqrnf-OmePP568O4A5Am9ttzvVdP67zw/edit#gid=1931367683"" ,""ENERGY!$A$2:$F$2692""), {2,3,4,5,6},0))"),"The Americas")</f>
        <v>The Americas</v>
      </c>
      <c r="AC2587" s="14" t="str">
        <f>IFERROR(__xludf.DUMMYFUNCTION("""COMPUTED_VALUE"""),"United States-The Americas")</f>
        <v>United States-The Americas</v>
      </c>
      <c r="AD2587" s="14" t="str">
        <f>IFERROR(__xludf.DUMMYFUNCTION("""COMPUTED_VALUE"""),"2008")</f>
        <v>2008</v>
      </c>
      <c r="AE2587" s="14">
        <f>IFERROR(__xludf.DUMMYFUNCTION("""COMPUTED_VALUE"""),2230817.0)</f>
        <v>2230817</v>
      </c>
      <c r="AF2587" s="14">
        <f>IFERROR(__xludf.DUMMYFUNCTION("""COMPUTED_VALUE"""),5601405.0)</f>
        <v>5601405</v>
      </c>
    </row>
    <row r="2588">
      <c r="A2588" s="12">
        <v>2587.0</v>
      </c>
      <c r="B2588" s="12" t="s">
        <v>277</v>
      </c>
      <c r="C2588" s="5" t="s">
        <v>84</v>
      </c>
      <c r="D2588" s="11">
        <v>0.464</v>
      </c>
      <c r="E2588" s="11">
        <v>5.0</v>
      </c>
      <c r="F2588" s="11">
        <v>4.0</v>
      </c>
      <c r="G2588" s="11">
        <v>175.0</v>
      </c>
      <c r="H2588" s="11">
        <v>0.793</v>
      </c>
      <c r="I2588" s="11">
        <v>0.96</v>
      </c>
      <c r="J2588" s="9" t="s">
        <v>73</v>
      </c>
      <c r="K2588" s="14" t="str">
        <f>IFERROR(__xludf.DUMMYFUNCTION("ARRAYFORMULA(VLOOKUP(A2588,IMPORTRANGE(""https://docs.google.com/spreadsheets/d/1BuTWp7qHGjWhqrnf-OmePP568O4A5Am9ttzvVdP67zw/edit#gid=1603210130"", ""TOURISM!$A$2:$F$2692""), {2,3,4,5,6},0))"),"The Americas")</f>
        <v>The Americas</v>
      </c>
      <c r="L2588" s="14">
        <f>IFERROR(__xludf.DUMMYFUNCTION("""COMPUTED_VALUE"""),2.0E11)</f>
        <v>200000000000</v>
      </c>
      <c r="M2588" s="14" t="str">
        <f>IFERROR(__xludf.DUMMYFUNCTION("""COMPUTED_VALUE"""),"United States-The Americas")</f>
        <v>United States-The Americas</v>
      </c>
      <c r="N2588" s="14" t="str">
        <f>IFERROR(__xludf.DUMMYFUNCTION("""COMPUTED_VALUE"""),"2012")</f>
        <v>2012</v>
      </c>
      <c r="O2588" s="14"/>
      <c r="P2588" s="15">
        <f>IFERROR(__xludf.DUMMYFUNCTION("ARRAYFORMULA(VLOOKUP(A2588,IMPORTRANGE(""https://docs.google.com/spreadsheets/d/1BuTWp7qHGjWhqrnf-OmePP568O4A5Am9ttzvVdP67zw/edit#gid=771602874"" ,""HUMAN RESOURCES!$A$2:$M$2692""), {2,3,4,5,6,7,8,9,10,11,12,13},0))"),0.013)</f>
        <v>0.013</v>
      </c>
      <c r="Q2588" s="14">
        <f>IFERROR(__xludf.DUMMYFUNCTION("""COMPUTED_VALUE"""),0.006)</f>
        <v>0.006</v>
      </c>
      <c r="R2588" s="14">
        <f>IFERROR(__xludf.DUMMYFUNCTION("""COMPUTED_VALUE"""),81.0)</f>
        <v>81</v>
      </c>
      <c r="S2588" s="14">
        <f>IFERROR(__xludf.DUMMYFUNCTION("""COMPUTED_VALUE"""),76.0)</f>
        <v>76</v>
      </c>
      <c r="T2588" s="14">
        <f>IFERROR(__xludf.DUMMYFUNCTION("""COMPUTED_VALUE"""),0.196)</f>
        <v>0.196</v>
      </c>
      <c r="U2588" s="14">
        <f>IFERROR(__xludf.DUMMYFUNCTION("""COMPUTED_VALUE"""),0.667)</f>
        <v>0.667</v>
      </c>
      <c r="V2588" s="14">
        <f>IFERROR(__xludf.DUMMYFUNCTION("""COMPUTED_VALUE"""),0.136)</f>
        <v>0.136</v>
      </c>
      <c r="W2588" s="14">
        <f>IFERROR(__xludf.DUMMYFUNCTION("""COMPUTED_VALUE"""),3.13873685E8)</f>
        <v>313873685</v>
      </c>
      <c r="X2588" s="14">
        <f>IFERROR(__xludf.DUMMYFUNCTION("""COMPUTED_VALUE"""),0.811)</f>
        <v>0.811</v>
      </c>
      <c r="Y2588" s="14" t="str">
        <f>IFERROR(__xludf.DUMMYFUNCTION("""COMPUTED_VALUE"""),"United States-The Americas")</f>
        <v>United States-The Americas</v>
      </c>
      <c r="Z2588" s="14" t="str">
        <f>IFERROR(__xludf.DUMMYFUNCTION("""COMPUTED_VALUE"""),"The Americas")</f>
        <v>The Americas</v>
      </c>
      <c r="AA2588" s="14" t="str">
        <f>IFERROR(__xludf.DUMMYFUNCTION("""COMPUTED_VALUE"""),"2012")</f>
        <v>2012</v>
      </c>
      <c r="AB2588" s="15" t="str">
        <f>IFERROR(__xludf.DUMMYFUNCTION("ARRAYFORMULA(VLOOKUP(A2588,IMPORTRANGE(""https://docs.google.com/spreadsheets/d/1BuTWp7qHGjWhqrnf-OmePP568O4A5Am9ttzvVdP67zw/edit#gid=1931367683"" ,""ENERGY!$A$2:$F$2692""), {2,3,4,5,6},0))"),"The Americas")</f>
        <v>The Americas</v>
      </c>
      <c r="AC2588" s="14" t="str">
        <f>IFERROR(__xludf.DUMMYFUNCTION("""COMPUTED_VALUE"""),"United States-The Americas")</f>
        <v>United States-The Americas</v>
      </c>
      <c r="AD2588" s="14" t="str">
        <f>IFERROR(__xludf.DUMMYFUNCTION("""COMPUTED_VALUE"""),"2012")</f>
        <v>2012</v>
      </c>
      <c r="AE2588" s="14">
        <f>IFERROR(__xludf.DUMMYFUNCTION("""COMPUTED_VALUE"""),2273332.0)</f>
        <v>2273332</v>
      </c>
      <c r="AF2588" s="14">
        <f>IFERROR(__xludf.DUMMYFUNCTION("""COMPUTED_VALUE"""),5713560.0)</f>
        <v>5713560</v>
      </c>
    </row>
    <row r="2589">
      <c r="A2589" s="12">
        <v>2588.0</v>
      </c>
      <c r="B2589" s="12" t="s">
        <v>278</v>
      </c>
      <c r="C2589" s="5" t="s">
        <v>84</v>
      </c>
      <c r="D2589" s="8"/>
      <c r="E2589" s="8"/>
      <c r="F2589" s="8"/>
      <c r="G2589" s="8"/>
      <c r="H2589" s="11">
        <v>0.105</v>
      </c>
      <c r="I2589" s="11">
        <v>0.124</v>
      </c>
      <c r="J2589" s="9" t="s">
        <v>60</v>
      </c>
      <c r="K2589" s="14" t="str">
        <f>IFERROR(__xludf.DUMMYFUNCTION("ARRAYFORMULA(VLOOKUP(A2589,IMPORTRANGE(""https://docs.google.com/spreadsheets/d/1BuTWp7qHGjWhqrnf-OmePP568O4A5Am9ttzvVdP67zw/edit#gid=1603210130"", ""TOURISM!$A$2:$F$2692""), {2,3,4,5,6},0))"),"The Americas")</f>
        <v>The Americas</v>
      </c>
      <c r="L2589" s="14">
        <f>IFERROR(__xludf.DUMMYFUNCTION("""COMPUTED_VALUE"""),8.27E8)</f>
        <v>827000000</v>
      </c>
      <c r="M2589" s="14" t="str">
        <f>IFERROR(__xludf.DUMMYFUNCTION("""COMPUTED_VALUE"""),"Uruguay-The Americas")</f>
        <v>Uruguay-The Americas</v>
      </c>
      <c r="N2589" s="14" t="str">
        <f>IFERROR(__xludf.DUMMYFUNCTION("""COMPUTED_VALUE"""),"2000")</f>
        <v>2000</v>
      </c>
      <c r="O2589" s="14">
        <f>IFERROR(__xludf.DUMMYFUNCTION("""COMPUTED_VALUE"""),3.81E8)</f>
        <v>381000000</v>
      </c>
      <c r="P2589" s="15">
        <f>IFERROR(__xludf.DUMMYFUNCTION("ARRAYFORMULA(VLOOKUP(A2589,IMPORTRANGE(""https://docs.google.com/spreadsheets/d/1BuTWp7qHGjWhqrnf-OmePP568O4A5Am9ttzvVdP67zw/edit#gid=771602874"" ,""HUMAN RESOURCES!$A$2:$M$2692""), {2,3,4,5,6,7,8,9,10,11,12,13},0))"),0.016)</f>
        <v>0.016</v>
      </c>
      <c r="Q2589" s="14">
        <f>IFERROR(__xludf.DUMMYFUNCTION("""COMPUTED_VALUE"""),0.015)</f>
        <v>0.015</v>
      </c>
      <c r="R2589" s="14">
        <f>IFERROR(__xludf.DUMMYFUNCTION("""COMPUTED_VALUE"""),78.0)</f>
        <v>78</v>
      </c>
      <c r="S2589" s="14">
        <f>IFERROR(__xludf.DUMMYFUNCTION("""COMPUTED_VALUE"""),71.0)</f>
        <v>71</v>
      </c>
      <c r="T2589" s="14">
        <f>IFERROR(__xludf.DUMMYFUNCTION("""COMPUTED_VALUE"""),0.246)</f>
        <v>0.246</v>
      </c>
      <c r="U2589" s="14">
        <f>IFERROR(__xludf.DUMMYFUNCTION("""COMPUTED_VALUE"""),0.624)</f>
        <v>0.624</v>
      </c>
      <c r="V2589" s="14">
        <f>IFERROR(__xludf.DUMMYFUNCTION("""COMPUTED_VALUE"""),0.131)</f>
        <v>0.131</v>
      </c>
      <c r="W2589" s="14">
        <f>IFERROR(__xludf.DUMMYFUNCTION("""COMPUTED_VALUE"""),3320841.0)</f>
        <v>3320841</v>
      </c>
      <c r="X2589" s="14">
        <f>IFERROR(__xludf.DUMMYFUNCTION("""COMPUTED_VALUE"""),0.92)</f>
        <v>0.92</v>
      </c>
      <c r="Y2589" s="14" t="str">
        <f>IFERROR(__xludf.DUMMYFUNCTION("""COMPUTED_VALUE"""),"Uruguay-The Americas")</f>
        <v>Uruguay-The Americas</v>
      </c>
      <c r="Z2589" s="14" t="str">
        <f>IFERROR(__xludf.DUMMYFUNCTION("""COMPUTED_VALUE"""),"The Americas")</f>
        <v>The Americas</v>
      </c>
      <c r="AA2589" s="14" t="str">
        <f>IFERROR(__xludf.DUMMYFUNCTION("""COMPUTED_VALUE"""),"2000")</f>
        <v>2000</v>
      </c>
      <c r="AB2589" s="15" t="str">
        <f>IFERROR(__xludf.DUMMYFUNCTION("ARRAYFORMULA(VLOOKUP(A2589,IMPORTRANGE(""https://docs.google.com/spreadsheets/d/1BuTWp7qHGjWhqrnf-OmePP568O4A5Am9ttzvVdP67zw/edit#gid=1931367683"" ,""ENERGY!$A$2:$F$2692""), {2,3,4,5,6},0))"),"The Americas")</f>
        <v>The Americas</v>
      </c>
      <c r="AC2589" s="14" t="str">
        <f>IFERROR(__xludf.DUMMYFUNCTION("""COMPUTED_VALUE"""),"Uruguay-The Americas")</f>
        <v>Uruguay-The Americas</v>
      </c>
      <c r="AD2589" s="14" t="str">
        <f>IFERROR(__xludf.DUMMYFUNCTION("""COMPUTED_VALUE"""),"2000")</f>
        <v>2000</v>
      </c>
      <c r="AE2589" s="14"/>
      <c r="AF2589" s="14"/>
    </row>
    <row r="2590">
      <c r="A2590" s="12">
        <v>2589.0</v>
      </c>
      <c r="B2590" s="12" t="s">
        <v>278</v>
      </c>
      <c r="C2590" s="5" t="s">
        <v>84</v>
      </c>
      <c r="D2590" s="8"/>
      <c r="E2590" s="8"/>
      <c r="F2590" s="8"/>
      <c r="G2590" s="8"/>
      <c r="H2590" s="11">
        <v>0.111</v>
      </c>
      <c r="I2590" s="11">
        <v>0.156</v>
      </c>
      <c r="J2590" s="9" t="s">
        <v>62</v>
      </c>
      <c r="K2590" s="14" t="str">
        <f>IFERROR(__xludf.DUMMYFUNCTION("ARRAYFORMULA(VLOOKUP(A2590,IMPORTRANGE(""https://docs.google.com/spreadsheets/d/1BuTWp7qHGjWhqrnf-OmePP568O4A5Am9ttzvVdP67zw/edit#gid=1603210130"", ""TOURISM!$A$2:$F$2692""), {2,3,4,5,6},0))"),"The Americas")</f>
        <v>The Americas</v>
      </c>
      <c r="L2590" s="14">
        <f>IFERROR(__xludf.DUMMYFUNCTION("""COMPUTED_VALUE"""),7.0E8)</f>
        <v>700000000</v>
      </c>
      <c r="M2590" s="14" t="str">
        <f>IFERROR(__xludf.DUMMYFUNCTION("""COMPUTED_VALUE"""),"Uruguay-The Americas")</f>
        <v>Uruguay-The Americas</v>
      </c>
      <c r="N2590" s="14" t="str">
        <f>IFERROR(__xludf.DUMMYFUNCTION("""COMPUTED_VALUE"""),"2001")</f>
        <v>2001</v>
      </c>
      <c r="O2590" s="14">
        <f>IFERROR(__xludf.DUMMYFUNCTION("""COMPUTED_VALUE"""),3.38E8)</f>
        <v>338000000</v>
      </c>
      <c r="P2590" s="15">
        <f>IFERROR(__xludf.DUMMYFUNCTION("ARRAYFORMULA(VLOOKUP(A2590,IMPORTRANGE(""https://docs.google.com/spreadsheets/d/1BuTWp7qHGjWhqrnf-OmePP568O4A5Am9ttzvVdP67zw/edit#gid=771602874"" ,""HUMAN RESOURCES!$A$2:$M$2692""), {2,3,4,5,6,7,8,9,10,11,12,13},0))"),0.016)</f>
        <v>0.016</v>
      </c>
      <c r="Q2590" s="14">
        <f>IFERROR(__xludf.DUMMYFUNCTION("""COMPUTED_VALUE"""),0.014)</f>
        <v>0.014</v>
      </c>
      <c r="R2590" s="14">
        <f>IFERROR(__xludf.DUMMYFUNCTION("""COMPUTED_VALUE"""),79.0)</f>
        <v>79</v>
      </c>
      <c r="S2590" s="14">
        <f>IFERROR(__xludf.DUMMYFUNCTION("""COMPUTED_VALUE"""),71.0)</f>
        <v>71</v>
      </c>
      <c r="T2590" s="14">
        <f>IFERROR(__xludf.DUMMYFUNCTION("""COMPUTED_VALUE"""),0.244)</f>
        <v>0.244</v>
      </c>
      <c r="U2590" s="14">
        <f>IFERROR(__xludf.DUMMYFUNCTION("""COMPUTED_VALUE"""),0.624)</f>
        <v>0.624</v>
      </c>
      <c r="V2590" s="14">
        <f>IFERROR(__xludf.DUMMYFUNCTION("""COMPUTED_VALUE"""),0.132)</f>
        <v>0.132</v>
      </c>
      <c r="W2590" s="14">
        <f>IFERROR(__xludf.DUMMYFUNCTION("""COMPUTED_VALUE"""),3326762.0)</f>
        <v>3326762</v>
      </c>
      <c r="X2590" s="14">
        <f>IFERROR(__xludf.DUMMYFUNCTION("""COMPUTED_VALUE"""),0.923)</f>
        <v>0.923</v>
      </c>
      <c r="Y2590" s="14" t="str">
        <f>IFERROR(__xludf.DUMMYFUNCTION("""COMPUTED_VALUE"""),"Uruguay-The Americas")</f>
        <v>Uruguay-The Americas</v>
      </c>
      <c r="Z2590" s="14" t="str">
        <f>IFERROR(__xludf.DUMMYFUNCTION("""COMPUTED_VALUE"""),"The Americas")</f>
        <v>The Americas</v>
      </c>
      <c r="AA2590" s="14" t="str">
        <f>IFERROR(__xludf.DUMMYFUNCTION("""COMPUTED_VALUE"""),"2001")</f>
        <v>2001</v>
      </c>
      <c r="AB2590" s="15" t="str">
        <f>IFERROR(__xludf.DUMMYFUNCTION("ARRAYFORMULA(VLOOKUP(A2590,IMPORTRANGE(""https://docs.google.com/spreadsheets/d/1BuTWp7qHGjWhqrnf-OmePP568O4A5Am9ttzvVdP67zw/edit#gid=1931367683"" ,""ENERGY!$A$2:$F$2692""), {2,3,4,5,6},0))"),"The Americas")</f>
        <v>The Americas</v>
      </c>
      <c r="AC2590" s="14" t="str">
        <f>IFERROR(__xludf.DUMMYFUNCTION("""COMPUTED_VALUE"""),"Uruguay-The Americas")</f>
        <v>Uruguay-The Americas</v>
      </c>
      <c r="AD2590" s="14" t="str">
        <f>IFERROR(__xludf.DUMMYFUNCTION("""COMPUTED_VALUE"""),"2001")</f>
        <v>2001</v>
      </c>
      <c r="AE2590" s="14">
        <f>IFERROR(__xludf.DUMMYFUNCTION("""COMPUTED_VALUE"""),4430.0)</f>
        <v>4430</v>
      </c>
      <c r="AF2590" s="14"/>
    </row>
    <row r="2591">
      <c r="A2591" s="12">
        <v>2590.0</v>
      </c>
      <c r="B2591" s="12" t="s">
        <v>278</v>
      </c>
      <c r="C2591" s="5" t="s">
        <v>84</v>
      </c>
      <c r="D2591" s="8"/>
      <c r="E2591" s="8"/>
      <c r="F2591" s="8"/>
      <c r="G2591" s="8"/>
      <c r="H2591" s="11">
        <v>0.114</v>
      </c>
      <c r="I2591" s="11">
        <v>0.154</v>
      </c>
      <c r="J2591" s="9" t="s">
        <v>63</v>
      </c>
      <c r="K2591" s="14" t="str">
        <f>IFERROR(__xludf.DUMMYFUNCTION("ARRAYFORMULA(VLOOKUP(A2591,IMPORTRANGE(""https://docs.google.com/spreadsheets/d/1BuTWp7qHGjWhqrnf-OmePP568O4A5Am9ttzvVdP67zw/edit#gid=1603210130"", ""TOURISM!$A$2:$F$2692""), {2,3,4,5,6},0))"),"The Americas")</f>
        <v>The Americas</v>
      </c>
      <c r="L2591" s="14">
        <f>IFERROR(__xludf.DUMMYFUNCTION("""COMPUTED_VALUE"""),4.09E8)</f>
        <v>409000000</v>
      </c>
      <c r="M2591" s="14" t="str">
        <f>IFERROR(__xludf.DUMMYFUNCTION("""COMPUTED_VALUE"""),"Uruguay-The Americas")</f>
        <v>Uruguay-The Americas</v>
      </c>
      <c r="N2591" s="14" t="str">
        <f>IFERROR(__xludf.DUMMYFUNCTION("""COMPUTED_VALUE"""),"2002")</f>
        <v>2002</v>
      </c>
      <c r="O2591" s="14">
        <f>IFERROR(__xludf.DUMMYFUNCTION("""COMPUTED_VALUE"""),2.43E8)</f>
        <v>243000000</v>
      </c>
      <c r="P2591" s="15">
        <f>IFERROR(__xludf.DUMMYFUNCTION("ARRAYFORMULA(VLOOKUP(A2591,IMPORTRANGE(""https://docs.google.com/spreadsheets/d/1BuTWp7qHGjWhqrnf-OmePP568O4A5Am9ttzvVdP67zw/edit#gid=771602874"" ,""HUMAN RESOURCES!$A$2:$M$2692""), {2,3,4,5,6,7,8,9,10,11,12,13},0))"),0.016)</f>
        <v>0.016</v>
      </c>
      <c r="Q2591" s="14">
        <f>IFERROR(__xludf.DUMMYFUNCTION("""COMPUTED_VALUE"""),0.014)</f>
        <v>0.014</v>
      </c>
      <c r="R2591" s="14">
        <f>IFERROR(__xludf.DUMMYFUNCTION("""COMPUTED_VALUE"""),79.0)</f>
        <v>79</v>
      </c>
      <c r="S2591" s="14">
        <f>IFERROR(__xludf.DUMMYFUNCTION("""COMPUTED_VALUE"""),71.0)</f>
        <v>71</v>
      </c>
      <c r="T2591" s="14">
        <f>IFERROR(__xludf.DUMMYFUNCTION("""COMPUTED_VALUE"""),0.243)</f>
        <v>0.243</v>
      </c>
      <c r="U2591" s="14">
        <f>IFERROR(__xludf.DUMMYFUNCTION("""COMPUTED_VALUE"""),0.624)</f>
        <v>0.624</v>
      </c>
      <c r="V2591" s="14">
        <f>IFERROR(__xludf.DUMMYFUNCTION("""COMPUTED_VALUE"""),0.133)</f>
        <v>0.133</v>
      </c>
      <c r="W2591" s="14">
        <f>IFERROR(__xludf.DUMMYFUNCTION("""COMPUTED_VALUE"""),3327500.0)</f>
        <v>3327500</v>
      </c>
      <c r="X2591" s="14">
        <f>IFERROR(__xludf.DUMMYFUNCTION("""COMPUTED_VALUE"""),0.926)</f>
        <v>0.926</v>
      </c>
      <c r="Y2591" s="14" t="str">
        <f>IFERROR(__xludf.DUMMYFUNCTION("""COMPUTED_VALUE"""),"Uruguay-The Americas")</f>
        <v>Uruguay-The Americas</v>
      </c>
      <c r="Z2591" s="14" t="str">
        <f>IFERROR(__xludf.DUMMYFUNCTION("""COMPUTED_VALUE"""),"The Americas")</f>
        <v>The Americas</v>
      </c>
      <c r="AA2591" s="14" t="str">
        <f>IFERROR(__xludf.DUMMYFUNCTION("""COMPUTED_VALUE"""),"2002")</f>
        <v>2002</v>
      </c>
      <c r="AB2591" s="15" t="str">
        <f>IFERROR(__xludf.DUMMYFUNCTION("ARRAYFORMULA(VLOOKUP(A2591,IMPORTRANGE(""https://docs.google.com/spreadsheets/d/1BuTWp7qHGjWhqrnf-OmePP568O4A5Am9ttzvVdP67zw/edit#gid=1931367683"" ,""ENERGY!$A$2:$F$2692""), {2,3,4,5,6},0))"),"The Americas")</f>
        <v>The Americas</v>
      </c>
      <c r="AC2591" s="14" t="str">
        <f>IFERROR(__xludf.DUMMYFUNCTION("""COMPUTED_VALUE"""),"Uruguay-The Americas")</f>
        <v>Uruguay-The Americas</v>
      </c>
      <c r="AD2591" s="14" t="str">
        <f>IFERROR(__xludf.DUMMYFUNCTION("""COMPUTED_VALUE"""),"2002")</f>
        <v>2002</v>
      </c>
      <c r="AE2591" s="14">
        <f>IFERROR(__xludf.DUMMYFUNCTION("""COMPUTED_VALUE"""),4174.0)</f>
        <v>4174</v>
      </c>
      <c r="AF2591" s="14">
        <f>IFERROR(__xludf.DUMMYFUNCTION("""COMPUTED_VALUE"""),6645.0)</f>
        <v>6645</v>
      </c>
    </row>
    <row r="2592">
      <c r="A2592" s="12">
        <v>2591.0</v>
      </c>
      <c r="B2592" s="12" t="s">
        <v>278</v>
      </c>
      <c r="C2592" s="5" t="s">
        <v>84</v>
      </c>
      <c r="D2592" s="8"/>
      <c r="E2592" s="11">
        <v>45.0</v>
      </c>
      <c r="F2592" s="8"/>
      <c r="G2592" s="8"/>
      <c r="H2592" s="11">
        <v>0.159</v>
      </c>
      <c r="I2592" s="11">
        <v>0.15</v>
      </c>
      <c r="J2592" s="9" t="s">
        <v>64</v>
      </c>
      <c r="K2592" s="14" t="str">
        <f>IFERROR(__xludf.DUMMYFUNCTION("ARRAYFORMULA(VLOOKUP(A2592,IMPORTRANGE(""https://docs.google.com/spreadsheets/d/1BuTWp7qHGjWhqrnf-OmePP568O4A5Am9ttzvVdP67zw/edit#gid=1603210130"", ""TOURISM!$A$2:$F$2692""), {2,3,4,5,6},0))"),"The Americas")</f>
        <v>The Americas</v>
      </c>
      <c r="L2592" s="14">
        <f>IFERROR(__xludf.DUMMYFUNCTION("""COMPUTED_VALUE"""),4.19E8)</f>
        <v>419000000</v>
      </c>
      <c r="M2592" s="14" t="str">
        <f>IFERROR(__xludf.DUMMYFUNCTION("""COMPUTED_VALUE"""),"Uruguay-The Americas")</f>
        <v>Uruguay-The Americas</v>
      </c>
      <c r="N2592" s="14" t="str">
        <f>IFERROR(__xludf.DUMMYFUNCTION("""COMPUTED_VALUE"""),"2003")</f>
        <v>2003</v>
      </c>
      <c r="O2592" s="14">
        <f>IFERROR(__xludf.DUMMYFUNCTION("""COMPUTED_VALUE"""),2.36E8)</f>
        <v>236000000</v>
      </c>
      <c r="P2592" s="15">
        <f>IFERROR(__xludf.DUMMYFUNCTION("ARRAYFORMULA(VLOOKUP(A2592,IMPORTRANGE(""https://docs.google.com/spreadsheets/d/1BuTWp7qHGjWhqrnf-OmePP568O4A5Am9ttzvVdP67zw/edit#gid=771602874"" ,""HUMAN RESOURCES!$A$2:$M$2692""), {2,3,4,5,6,7,8,9,10,11,12,13},0))"),0.016)</f>
        <v>0.016</v>
      </c>
      <c r="Q2592" s="14">
        <f>IFERROR(__xludf.DUMMYFUNCTION("""COMPUTED_VALUE"""),0.013)</f>
        <v>0.013</v>
      </c>
      <c r="R2592" s="14">
        <f>IFERROR(__xludf.DUMMYFUNCTION("""COMPUTED_VALUE"""),79.0)</f>
        <v>79</v>
      </c>
      <c r="S2592" s="14">
        <f>IFERROR(__xludf.DUMMYFUNCTION("""COMPUTED_VALUE"""),72.0)</f>
        <v>72</v>
      </c>
      <c r="T2592" s="14">
        <f>IFERROR(__xludf.DUMMYFUNCTION("""COMPUTED_VALUE"""),0.242)</f>
        <v>0.242</v>
      </c>
      <c r="U2592" s="14">
        <f>IFERROR(__xludf.DUMMYFUNCTION("""COMPUTED_VALUE"""),0.625)</f>
        <v>0.625</v>
      </c>
      <c r="V2592" s="14">
        <f>IFERROR(__xludf.DUMMYFUNCTION("""COMPUTED_VALUE"""),0.134)</f>
        <v>0.134</v>
      </c>
      <c r="W2592" s="14">
        <f>IFERROR(__xludf.DUMMYFUNCTION("""COMPUTED_VALUE"""),3325411.0)</f>
        <v>3325411</v>
      </c>
      <c r="X2592" s="14">
        <f>IFERROR(__xludf.DUMMYFUNCTION("""COMPUTED_VALUE"""),0.928)</f>
        <v>0.928</v>
      </c>
      <c r="Y2592" s="14" t="str">
        <f>IFERROR(__xludf.DUMMYFUNCTION("""COMPUTED_VALUE"""),"Uruguay-The Americas")</f>
        <v>Uruguay-The Americas</v>
      </c>
      <c r="Z2592" s="14" t="str">
        <f>IFERROR(__xludf.DUMMYFUNCTION("""COMPUTED_VALUE"""),"The Americas")</f>
        <v>The Americas</v>
      </c>
      <c r="AA2592" s="14" t="str">
        <f>IFERROR(__xludf.DUMMYFUNCTION("""COMPUTED_VALUE"""),"2003")</f>
        <v>2003</v>
      </c>
      <c r="AB2592" s="15" t="str">
        <f>IFERROR(__xludf.DUMMYFUNCTION("ARRAYFORMULA(VLOOKUP(A2592,IMPORTRANGE(""https://docs.google.com/spreadsheets/d/1BuTWp7qHGjWhqrnf-OmePP568O4A5Am9ttzvVdP67zw/edit#gid=1931367683"" ,""ENERGY!$A$2:$F$2692""), {2,3,4,5,6},0))"),"The Americas")</f>
        <v>The Americas</v>
      </c>
      <c r="AC2592" s="14" t="str">
        <f>IFERROR(__xludf.DUMMYFUNCTION("""COMPUTED_VALUE"""),"Uruguay-The Americas")</f>
        <v>Uruguay-The Americas</v>
      </c>
      <c r="AD2592" s="14" t="str">
        <f>IFERROR(__xludf.DUMMYFUNCTION("""COMPUTED_VALUE"""),"2003")</f>
        <v>2003</v>
      </c>
      <c r="AE2592" s="14">
        <f>IFERROR(__xludf.DUMMYFUNCTION("""COMPUTED_VALUE"""),4134.0)</f>
        <v>4134</v>
      </c>
      <c r="AF2592" s="14">
        <f>IFERROR(__xludf.DUMMYFUNCTION("""COMPUTED_VALUE"""),7891.0)</f>
        <v>7891</v>
      </c>
    </row>
    <row r="2593">
      <c r="A2593" s="12">
        <v>2592.0</v>
      </c>
      <c r="B2593" s="12" t="s">
        <v>278</v>
      </c>
      <c r="C2593" s="5" t="s">
        <v>84</v>
      </c>
      <c r="D2593" s="8"/>
      <c r="E2593" s="11">
        <v>45.0</v>
      </c>
      <c r="F2593" s="8"/>
      <c r="G2593" s="8"/>
      <c r="H2593" s="11">
        <v>0.171</v>
      </c>
      <c r="I2593" s="11">
        <v>0.18</v>
      </c>
      <c r="J2593" s="9" t="s">
        <v>65</v>
      </c>
      <c r="K2593" s="14" t="str">
        <f>IFERROR(__xludf.DUMMYFUNCTION("ARRAYFORMULA(VLOOKUP(A2593,IMPORTRANGE(""https://docs.google.com/spreadsheets/d/1BuTWp7qHGjWhqrnf-OmePP568O4A5Am9ttzvVdP67zw/edit#gid=1603210130"", ""TOURISM!$A$2:$F$2692""), {2,3,4,5,6},0))"),"The Americas")</f>
        <v>The Americas</v>
      </c>
      <c r="L2593" s="14">
        <f>IFERROR(__xludf.DUMMYFUNCTION("""COMPUTED_VALUE"""),5.91E8)</f>
        <v>591000000</v>
      </c>
      <c r="M2593" s="14" t="str">
        <f>IFERROR(__xludf.DUMMYFUNCTION("""COMPUTED_VALUE"""),"Uruguay-The Americas")</f>
        <v>Uruguay-The Americas</v>
      </c>
      <c r="N2593" s="14" t="str">
        <f>IFERROR(__xludf.DUMMYFUNCTION("""COMPUTED_VALUE"""),"2004")</f>
        <v>2004</v>
      </c>
      <c r="O2593" s="14">
        <f>IFERROR(__xludf.DUMMYFUNCTION("""COMPUTED_VALUE"""),2.67E8)</f>
        <v>267000000</v>
      </c>
      <c r="P2593" s="15">
        <f>IFERROR(__xludf.DUMMYFUNCTION("ARRAYFORMULA(VLOOKUP(A2593,IMPORTRANGE(""https://docs.google.com/spreadsheets/d/1BuTWp7qHGjWhqrnf-OmePP568O4A5Am9ttzvVdP67zw/edit#gid=771602874"" ,""HUMAN RESOURCES!$A$2:$M$2692""), {2,3,4,5,6,7,8,9,10,11,12,13},0))"),0.016)</f>
        <v>0.016</v>
      </c>
      <c r="Q2593" s="14">
        <f>IFERROR(__xludf.DUMMYFUNCTION("""COMPUTED_VALUE"""),0.013)</f>
        <v>0.013</v>
      </c>
      <c r="R2593" s="14">
        <f>IFERROR(__xludf.DUMMYFUNCTION("""COMPUTED_VALUE"""),79.0)</f>
        <v>79</v>
      </c>
      <c r="S2593" s="14">
        <f>IFERROR(__xludf.DUMMYFUNCTION("""COMPUTED_VALUE"""),72.0)</f>
        <v>72</v>
      </c>
      <c r="T2593" s="14">
        <f>IFERROR(__xludf.DUMMYFUNCTION("""COMPUTED_VALUE"""),0.24)</f>
        <v>0.24</v>
      </c>
      <c r="U2593" s="14">
        <f>IFERROR(__xludf.DUMMYFUNCTION("""COMPUTED_VALUE"""),0.626)</f>
        <v>0.626</v>
      </c>
      <c r="V2593" s="14">
        <f>IFERROR(__xludf.DUMMYFUNCTION("""COMPUTED_VALUE"""),0.135)</f>
        <v>0.135</v>
      </c>
      <c r="W2593" s="14">
        <f>IFERROR(__xludf.DUMMYFUNCTION("""COMPUTED_VALUE"""),3323822.0)</f>
        <v>3323822</v>
      </c>
      <c r="X2593" s="14">
        <f>IFERROR(__xludf.DUMMYFUNCTION("""COMPUTED_VALUE"""),0.931)</f>
        <v>0.931</v>
      </c>
      <c r="Y2593" s="14" t="str">
        <f>IFERROR(__xludf.DUMMYFUNCTION("""COMPUTED_VALUE"""),"Uruguay-The Americas")</f>
        <v>Uruguay-The Americas</v>
      </c>
      <c r="Z2593" s="14" t="str">
        <f>IFERROR(__xludf.DUMMYFUNCTION("""COMPUTED_VALUE"""),"The Americas")</f>
        <v>The Americas</v>
      </c>
      <c r="AA2593" s="14" t="str">
        <f>IFERROR(__xludf.DUMMYFUNCTION("""COMPUTED_VALUE"""),"2004")</f>
        <v>2004</v>
      </c>
      <c r="AB2593" s="15" t="str">
        <f>IFERROR(__xludf.DUMMYFUNCTION("ARRAYFORMULA(VLOOKUP(A2593,IMPORTRANGE(""https://docs.google.com/spreadsheets/d/1BuTWp7qHGjWhqrnf-OmePP568O4A5Am9ttzvVdP67zw/edit#gid=1931367683"" ,""ENERGY!$A$2:$F$2692""), {2,3,4,5,6},0))"),"The Americas")</f>
        <v>The Americas</v>
      </c>
      <c r="AC2593" s="14" t="str">
        <f>IFERROR(__xludf.DUMMYFUNCTION("""COMPUTED_VALUE"""),"Uruguay-The Americas")</f>
        <v>Uruguay-The Americas</v>
      </c>
      <c r="AD2593" s="14" t="str">
        <f>IFERROR(__xludf.DUMMYFUNCTION("""COMPUTED_VALUE"""),"2005")</f>
        <v>2005</v>
      </c>
      <c r="AE2593" s="14">
        <f>IFERROR(__xludf.DUMMYFUNCTION("""COMPUTED_VALUE"""),4153.0)</f>
        <v>4153</v>
      </c>
      <c r="AF2593" s="14">
        <f>IFERROR(__xludf.DUMMYFUNCTION("""COMPUTED_VALUE"""),8331.0)</f>
        <v>8331</v>
      </c>
    </row>
    <row r="2594">
      <c r="A2594" s="12">
        <v>2593.0</v>
      </c>
      <c r="B2594" s="12" t="s">
        <v>278</v>
      </c>
      <c r="C2594" s="5" t="s">
        <v>84</v>
      </c>
      <c r="D2594" s="11">
        <v>0.713</v>
      </c>
      <c r="E2594" s="11">
        <v>45.0</v>
      </c>
      <c r="F2594" s="8"/>
      <c r="G2594" s="11">
        <v>304.0</v>
      </c>
      <c r="H2594" s="11">
        <v>0.201</v>
      </c>
      <c r="I2594" s="11">
        <v>0.347</v>
      </c>
      <c r="J2594" s="9" t="s">
        <v>66</v>
      </c>
      <c r="K2594" s="14" t="str">
        <f>IFERROR(__xludf.DUMMYFUNCTION("ARRAYFORMULA(VLOOKUP(A2594,IMPORTRANGE(""https://docs.google.com/spreadsheets/d/1BuTWp7qHGjWhqrnf-OmePP568O4A5Am9ttzvVdP67zw/edit#gid=1603210130"", ""TOURISM!$A$2:$F$2692""), {2,3,4,5,6},0))"),"The Americas")</f>
        <v>The Americas</v>
      </c>
      <c r="L2594" s="14">
        <f>IFERROR(__xludf.DUMMYFUNCTION("""COMPUTED_VALUE"""),6.99E8)</f>
        <v>699000000</v>
      </c>
      <c r="M2594" s="14" t="str">
        <f>IFERROR(__xludf.DUMMYFUNCTION("""COMPUTED_VALUE"""),"Uruguay-The Americas")</f>
        <v>Uruguay-The Americas</v>
      </c>
      <c r="N2594" s="14" t="str">
        <f>IFERROR(__xludf.DUMMYFUNCTION("""COMPUTED_VALUE"""),"2005")</f>
        <v>2005</v>
      </c>
      <c r="O2594" s="14">
        <f>IFERROR(__xludf.DUMMYFUNCTION("""COMPUTED_VALUE"""),3.31E8)</f>
        <v>331000000</v>
      </c>
      <c r="P2594" s="15">
        <f>IFERROR(__xludf.DUMMYFUNCTION("ARRAYFORMULA(VLOOKUP(A2594,IMPORTRANGE(""https://docs.google.com/spreadsheets/d/1BuTWp7qHGjWhqrnf-OmePP568O4A5Am9ttzvVdP67zw/edit#gid=771602874"" ,""HUMAN RESOURCES!$A$2:$M$2692""), {2,3,4,5,6,7,8,9,10,11,12,13},0))"),0.015)</f>
        <v>0.015</v>
      </c>
      <c r="Q2594" s="14">
        <f>IFERROR(__xludf.DUMMYFUNCTION("""COMPUTED_VALUE"""),0.012)</f>
        <v>0.012</v>
      </c>
      <c r="R2594" s="14">
        <f>IFERROR(__xludf.DUMMYFUNCTION("""COMPUTED_VALUE"""),79.0)</f>
        <v>79</v>
      </c>
      <c r="S2594" s="14">
        <f>IFERROR(__xludf.DUMMYFUNCTION("""COMPUTED_VALUE"""),72.0)</f>
        <v>72</v>
      </c>
      <c r="T2594" s="14">
        <f>IFERROR(__xludf.DUMMYFUNCTION("""COMPUTED_VALUE"""),0.238)</f>
        <v>0.238</v>
      </c>
      <c r="U2594" s="14">
        <f>IFERROR(__xludf.DUMMYFUNCTION("""COMPUTED_VALUE"""),0.627)</f>
        <v>0.627</v>
      </c>
      <c r="V2594" s="14">
        <f>IFERROR(__xludf.DUMMYFUNCTION("""COMPUTED_VALUE"""),0.135)</f>
        <v>0.135</v>
      </c>
      <c r="W2594" s="14">
        <f>IFERROR(__xludf.DUMMYFUNCTION("""COMPUTED_VALUE"""),3325155.0)</f>
        <v>3325155</v>
      </c>
      <c r="X2594" s="14">
        <f>IFERROR(__xludf.DUMMYFUNCTION("""COMPUTED_VALUE"""),0.933)</f>
        <v>0.933</v>
      </c>
      <c r="Y2594" s="14" t="str">
        <f>IFERROR(__xludf.DUMMYFUNCTION("""COMPUTED_VALUE"""),"Uruguay-The Americas")</f>
        <v>Uruguay-The Americas</v>
      </c>
      <c r="Z2594" s="14" t="str">
        <f>IFERROR(__xludf.DUMMYFUNCTION("""COMPUTED_VALUE"""),"The Americas")</f>
        <v>The Americas</v>
      </c>
      <c r="AA2594" s="14" t="str">
        <f>IFERROR(__xludf.DUMMYFUNCTION("""COMPUTED_VALUE"""),"2005")</f>
        <v>2005</v>
      </c>
      <c r="AB2594" s="15" t="str">
        <f>IFERROR(__xludf.DUMMYFUNCTION("ARRAYFORMULA(VLOOKUP(A2594,IMPORTRANGE(""https://docs.google.com/spreadsheets/d/1BuTWp7qHGjWhqrnf-OmePP568O4A5Am9ttzvVdP67zw/edit#gid=1931367683"" ,""ENERGY!$A$2:$F$2692""), {2,3,4,5,6},0))"),"The Americas")</f>
        <v>The Americas</v>
      </c>
      <c r="AC2594" s="14" t="str">
        <f>IFERROR(__xludf.DUMMYFUNCTION("""COMPUTED_VALUE"""),"Uruguay-The Americas")</f>
        <v>Uruguay-The Americas</v>
      </c>
      <c r="AD2594" s="14" t="str">
        <f>IFERROR(__xludf.DUMMYFUNCTION("""COMPUTED_VALUE"""),"2009")</f>
        <v>2009</v>
      </c>
      <c r="AE2594" s="14">
        <f>IFERROR(__xludf.DUMMYFUNCTION("""COMPUTED_VALUE"""),3172.0)</f>
        <v>3172</v>
      </c>
      <c r="AF2594" s="14">
        <f>IFERROR(__xludf.DUMMYFUNCTION("""COMPUTED_VALUE"""),5999.0)</f>
        <v>5999</v>
      </c>
    </row>
    <row r="2595">
      <c r="A2595" s="12">
        <v>2594.0</v>
      </c>
      <c r="B2595" s="12" t="s">
        <v>278</v>
      </c>
      <c r="C2595" s="5" t="s">
        <v>84</v>
      </c>
      <c r="D2595" s="11">
        <v>0.713</v>
      </c>
      <c r="E2595" s="11">
        <v>43.0</v>
      </c>
      <c r="F2595" s="8"/>
      <c r="G2595" s="11">
        <v>304.0</v>
      </c>
      <c r="H2595" s="11">
        <v>0.294</v>
      </c>
      <c r="I2595" s="11">
        <v>0.7</v>
      </c>
      <c r="J2595" s="9" t="s">
        <v>67</v>
      </c>
      <c r="K2595" s="14" t="str">
        <f>IFERROR(__xludf.DUMMYFUNCTION("ARRAYFORMULA(VLOOKUP(A2595,IMPORTRANGE(""https://docs.google.com/spreadsheets/d/1BuTWp7qHGjWhqrnf-OmePP568O4A5Am9ttzvVdP67zw/edit#gid=1603210130"", ""TOURISM!$A$2:$F$2692""), {2,3,4,5,6},0))"),"The Americas")</f>
        <v>The Americas</v>
      </c>
      <c r="L2595" s="14">
        <f>IFERROR(__xludf.DUMMYFUNCTION("""COMPUTED_VALUE"""),7.11E8)</f>
        <v>711000000</v>
      </c>
      <c r="M2595" s="14" t="str">
        <f>IFERROR(__xludf.DUMMYFUNCTION("""COMPUTED_VALUE"""),"Uruguay-The Americas")</f>
        <v>Uruguay-The Americas</v>
      </c>
      <c r="N2595" s="14" t="str">
        <f>IFERROR(__xludf.DUMMYFUNCTION("""COMPUTED_VALUE"""),"2006")</f>
        <v>2006</v>
      </c>
      <c r="O2595" s="14">
        <f>IFERROR(__xludf.DUMMYFUNCTION("""COMPUTED_VALUE"""),3.05E8)</f>
        <v>305000000</v>
      </c>
      <c r="P2595" s="15">
        <f>IFERROR(__xludf.DUMMYFUNCTION("ARRAYFORMULA(VLOOKUP(A2595,IMPORTRANGE(""https://docs.google.com/spreadsheets/d/1BuTWp7qHGjWhqrnf-OmePP568O4A5Am9ttzvVdP67zw/edit#gid=771602874"" ,""HUMAN RESOURCES!$A$2:$M$2692""), {2,3,4,5,6,7,8,9,10,11,12,13},0))"),0.015)</f>
        <v>0.015</v>
      </c>
      <c r="Q2595" s="14">
        <f>IFERROR(__xludf.DUMMYFUNCTION("""COMPUTED_VALUE"""),0.012)</f>
        <v>0.012</v>
      </c>
      <c r="R2595" s="14">
        <f>IFERROR(__xludf.DUMMYFUNCTION("""COMPUTED_VALUE"""),80.0)</f>
        <v>80</v>
      </c>
      <c r="S2595" s="14">
        <f>IFERROR(__xludf.DUMMYFUNCTION("""COMPUTED_VALUE"""),72.0)</f>
        <v>72</v>
      </c>
      <c r="T2595" s="14">
        <f>IFERROR(__xludf.DUMMYFUNCTION("""COMPUTED_VALUE"""),0.235)</f>
        <v>0.235</v>
      </c>
      <c r="U2595" s="14">
        <f>IFERROR(__xludf.DUMMYFUNCTION("""COMPUTED_VALUE"""),0.628)</f>
        <v>0.628</v>
      </c>
      <c r="V2595" s="14">
        <f>IFERROR(__xludf.DUMMYFUNCTION("""COMPUTED_VALUE"""),0.136)</f>
        <v>0.136</v>
      </c>
      <c r="W2595" s="14">
        <f>IFERROR(__xludf.DUMMYFUNCTION("""COMPUTED_VALUE"""),3330217.0)</f>
        <v>3330217</v>
      </c>
      <c r="X2595" s="14">
        <f>IFERROR(__xludf.DUMMYFUNCTION("""COMPUTED_VALUE"""),0.936)</f>
        <v>0.936</v>
      </c>
      <c r="Y2595" s="14" t="str">
        <f>IFERROR(__xludf.DUMMYFUNCTION("""COMPUTED_VALUE"""),"Uruguay-The Americas")</f>
        <v>Uruguay-The Americas</v>
      </c>
      <c r="Z2595" s="14" t="str">
        <f>IFERROR(__xludf.DUMMYFUNCTION("""COMPUTED_VALUE"""),"The Americas")</f>
        <v>The Americas</v>
      </c>
      <c r="AA2595" s="14" t="str">
        <f>IFERROR(__xludf.DUMMYFUNCTION("""COMPUTED_VALUE"""),"2006")</f>
        <v>2006</v>
      </c>
      <c r="AB2595" s="15" t="str">
        <f>IFERROR(__xludf.DUMMYFUNCTION("ARRAYFORMULA(VLOOKUP(A2595,IMPORTRANGE(""https://docs.google.com/spreadsheets/d/1BuTWp7qHGjWhqrnf-OmePP568O4A5Am9ttzvVdP67zw/edit#gid=1931367683"" ,""ENERGY!$A$2:$F$2692""), {2,3,4,5,6},0))"),"The Americas")</f>
        <v>The Americas</v>
      </c>
      <c r="AC2595" s="14" t="str">
        <f>IFERROR(__xludf.DUMMYFUNCTION("""COMPUTED_VALUE"""),"Uruguay-The Americas")</f>
        <v>Uruguay-The Americas</v>
      </c>
      <c r="AD2595" s="14" t="str">
        <f>IFERROR(__xludf.DUMMYFUNCTION("""COMPUTED_VALUE"""),"2005")</f>
        <v>2005</v>
      </c>
      <c r="AE2595" s="14">
        <f>IFERROR(__xludf.DUMMYFUNCTION("""COMPUTED_VALUE"""),3183.0)</f>
        <v>3183</v>
      </c>
      <c r="AF2595" s="14">
        <f>IFERROR(__xludf.DUMMYFUNCTION("""COMPUTED_VALUE"""),6648.0)</f>
        <v>6648</v>
      </c>
    </row>
    <row r="2596">
      <c r="A2596" s="12">
        <v>2595.0</v>
      </c>
      <c r="B2596" s="12" t="s">
        <v>278</v>
      </c>
      <c r="C2596" s="5" t="s">
        <v>84</v>
      </c>
      <c r="D2596" s="11">
        <v>0.713</v>
      </c>
      <c r="E2596" s="11">
        <v>44.0</v>
      </c>
      <c r="F2596" s="8"/>
      <c r="G2596" s="11">
        <v>304.0</v>
      </c>
      <c r="H2596" s="11">
        <v>0.34</v>
      </c>
      <c r="I2596" s="11">
        <v>0.9</v>
      </c>
      <c r="J2596" s="9" t="s">
        <v>68</v>
      </c>
      <c r="K2596" s="14" t="str">
        <f>IFERROR(__xludf.DUMMYFUNCTION("ARRAYFORMULA(VLOOKUP(A2596,IMPORTRANGE(""https://docs.google.com/spreadsheets/d/1BuTWp7qHGjWhqrnf-OmePP568O4A5Am9ttzvVdP67zw/edit#gid=1603210130"", ""TOURISM!$A$2:$F$2692""), {2,3,4,5,6},0))"),"The Americas")</f>
        <v>The Americas</v>
      </c>
      <c r="L2596" s="14">
        <f>IFERROR(__xludf.DUMMYFUNCTION("""COMPUTED_VALUE"""),9.28E8)</f>
        <v>928000000</v>
      </c>
      <c r="M2596" s="14" t="str">
        <f>IFERROR(__xludf.DUMMYFUNCTION("""COMPUTED_VALUE"""),"Uruguay-The Americas")</f>
        <v>Uruguay-The Americas</v>
      </c>
      <c r="N2596" s="14" t="str">
        <f>IFERROR(__xludf.DUMMYFUNCTION("""COMPUTED_VALUE"""),"2007")</f>
        <v>2007</v>
      </c>
      <c r="O2596" s="14">
        <f>IFERROR(__xludf.DUMMYFUNCTION("""COMPUTED_VALUE"""),3.54E8)</f>
        <v>354000000</v>
      </c>
      <c r="P2596" s="15">
        <f>IFERROR(__xludf.DUMMYFUNCTION("ARRAYFORMULA(VLOOKUP(A2596,IMPORTRANGE(""https://docs.google.com/spreadsheets/d/1BuTWp7qHGjWhqrnf-OmePP568O4A5Am9ttzvVdP67zw/edit#gid=771602874"" ,""HUMAN RESOURCES!$A$2:$M$2692""), {2,3,4,5,6,7,8,9,10,11,12,13},0))"),0.015)</f>
        <v>0.015</v>
      </c>
      <c r="Q2596" s="14">
        <f>IFERROR(__xludf.DUMMYFUNCTION("""COMPUTED_VALUE"""),0.012)</f>
        <v>0.012</v>
      </c>
      <c r="R2596" s="14">
        <f>IFERROR(__xludf.DUMMYFUNCTION("""COMPUTED_VALUE"""),80.0)</f>
        <v>80</v>
      </c>
      <c r="S2596" s="14">
        <f>IFERROR(__xludf.DUMMYFUNCTION("""COMPUTED_VALUE"""),73.0)</f>
        <v>73</v>
      </c>
      <c r="T2596" s="14">
        <f>IFERROR(__xludf.DUMMYFUNCTION("""COMPUTED_VALUE"""),0.233)</f>
        <v>0.233</v>
      </c>
      <c r="U2596" s="14">
        <f>IFERROR(__xludf.DUMMYFUNCTION("""COMPUTED_VALUE"""),0.63)</f>
        <v>0.63</v>
      </c>
      <c r="V2596" s="14">
        <f>IFERROR(__xludf.DUMMYFUNCTION("""COMPUTED_VALUE"""),0.137)</f>
        <v>0.137</v>
      </c>
      <c r="W2596" s="14">
        <f>IFERROR(__xludf.DUMMYFUNCTION("""COMPUTED_VALUE"""),3338384.0)</f>
        <v>3338384</v>
      </c>
      <c r="X2596" s="14">
        <f>IFERROR(__xludf.DUMMYFUNCTION("""COMPUTED_VALUE"""),0.938)</f>
        <v>0.938</v>
      </c>
      <c r="Y2596" s="14" t="str">
        <f>IFERROR(__xludf.DUMMYFUNCTION("""COMPUTED_VALUE"""),"Uruguay-The Americas")</f>
        <v>Uruguay-The Americas</v>
      </c>
      <c r="Z2596" s="14" t="str">
        <f>IFERROR(__xludf.DUMMYFUNCTION("""COMPUTED_VALUE"""),"The Americas")</f>
        <v>The Americas</v>
      </c>
      <c r="AA2596" s="14" t="str">
        <f>IFERROR(__xludf.DUMMYFUNCTION("""COMPUTED_VALUE"""),"2007")</f>
        <v>2007</v>
      </c>
      <c r="AB2596" s="15" t="str">
        <f>IFERROR(__xludf.DUMMYFUNCTION("ARRAYFORMULA(VLOOKUP(A2596,IMPORTRANGE(""https://docs.google.com/spreadsheets/d/1BuTWp7qHGjWhqrnf-OmePP568O4A5Am9ttzvVdP67zw/edit#gid=1931367683"" ,""ENERGY!$A$2:$F$2692""), {2,3,4,5,6},0))"),"The Americas")</f>
        <v>The Americas</v>
      </c>
      <c r="AC2596" s="14" t="str">
        <f>IFERROR(__xludf.DUMMYFUNCTION("""COMPUTED_VALUE"""),"Uruguay-The Americas")</f>
        <v>Uruguay-The Americas</v>
      </c>
      <c r="AD2596" s="14" t="str">
        <f>IFERROR(__xludf.DUMMYFUNCTION("""COMPUTED_VALUE"""),"2011")</f>
        <v>2011</v>
      </c>
      <c r="AE2596" s="14">
        <f>IFERROR(__xludf.DUMMYFUNCTION("""COMPUTED_VALUE"""),2957.0)</f>
        <v>2957</v>
      </c>
      <c r="AF2596" s="14">
        <f>IFERROR(__xludf.DUMMYFUNCTION("""COMPUTED_VALUE"""),5776.0)</f>
        <v>5776</v>
      </c>
    </row>
    <row r="2597">
      <c r="A2597" s="12">
        <v>2596.0</v>
      </c>
      <c r="B2597" s="12" t="s">
        <v>278</v>
      </c>
      <c r="C2597" s="5" t="s">
        <v>84</v>
      </c>
      <c r="D2597" s="11">
        <v>0.43</v>
      </c>
      <c r="E2597" s="11">
        <v>44.0</v>
      </c>
      <c r="F2597" s="8"/>
      <c r="G2597" s="11">
        <v>336.0</v>
      </c>
      <c r="H2597" s="11">
        <v>0.393</v>
      </c>
      <c r="I2597" s="11">
        <v>1.047</v>
      </c>
      <c r="J2597" s="9" t="s">
        <v>69</v>
      </c>
      <c r="K2597" s="14" t="str">
        <f>IFERROR(__xludf.DUMMYFUNCTION("ARRAYFORMULA(VLOOKUP(A2597,IMPORTRANGE(""https://docs.google.com/spreadsheets/d/1BuTWp7qHGjWhqrnf-OmePP568O4A5Am9ttzvVdP67zw/edit#gid=1603210130"", ""TOURISM!$A$2:$F$2692""), {2,3,4,5,6},0))"),"The Americas")</f>
        <v>The Americas</v>
      </c>
      <c r="L2597" s="14">
        <f>IFERROR(__xludf.DUMMYFUNCTION("""COMPUTED_VALUE"""),1.195E9)</f>
        <v>1195000000</v>
      </c>
      <c r="M2597" s="14" t="str">
        <f>IFERROR(__xludf.DUMMYFUNCTION("""COMPUTED_VALUE"""),"Uruguay-The Americas")</f>
        <v>Uruguay-The Americas</v>
      </c>
      <c r="N2597" s="14" t="str">
        <f>IFERROR(__xludf.DUMMYFUNCTION("""COMPUTED_VALUE"""),"2008")</f>
        <v>2008</v>
      </c>
      <c r="O2597" s="14">
        <f>IFERROR(__xludf.DUMMYFUNCTION("""COMPUTED_VALUE"""),4.66E8)</f>
        <v>466000000</v>
      </c>
      <c r="P2597" s="15">
        <f>IFERROR(__xludf.DUMMYFUNCTION("ARRAYFORMULA(VLOOKUP(A2597,IMPORTRANGE(""https://docs.google.com/spreadsheets/d/1BuTWp7qHGjWhqrnf-OmePP568O4A5Am9ttzvVdP67zw/edit#gid=771602874"" ,""HUMAN RESOURCES!$A$2:$M$2692""), {2,3,4,5,6,7,8,9,10,11,12,13},0))"),0.015)</f>
        <v>0.015</v>
      </c>
      <c r="Q2597" s="14">
        <f>IFERROR(__xludf.DUMMYFUNCTION("""COMPUTED_VALUE"""),0.011)</f>
        <v>0.011</v>
      </c>
      <c r="R2597" s="14">
        <f>IFERROR(__xludf.DUMMYFUNCTION("""COMPUTED_VALUE"""),80.0)</f>
        <v>80</v>
      </c>
      <c r="S2597" s="14">
        <f>IFERROR(__xludf.DUMMYFUNCTION("""COMPUTED_VALUE"""),73.0)</f>
        <v>73</v>
      </c>
      <c r="T2597" s="14">
        <f>IFERROR(__xludf.DUMMYFUNCTION("""COMPUTED_VALUE"""),0.23)</f>
        <v>0.23</v>
      </c>
      <c r="U2597" s="14">
        <f>IFERROR(__xludf.DUMMYFUNCTION("""COMPUTED_VALUE"""),0.632)</f>
        <v>0.632</v>
      </c>
      <c r="V2597" s="14">
        <f>IFERROR(__xludf.DUMMYFUNCTION("""COMPUTED_VALUE"""),0.137)</f>
        <v>0.137</v>
      </c>
      <c r="W2597" s="14">
        <f>IFERROR(__xludf.DUMMYFUNCTION("""COMPUTED_VALUE"""),3348898.0)</f>
        <v>3348898</v>
      </c>
      <c r="X2597" s="14">
        <f>IFERROR(__xludf.DUMMYFUNCTION("""COMPUTED_VALUE"""),0.94)</f>
        <v>0.94</v>
      </c>
      <c r="Y2597" s="14" t="str">
        <f>IFERROR(__xludf.DUMMYFUNCTION("""COMPUTED_VALUE"""),"Uruguay-The Americas")</f>
        <v>Uruguay-The Americas</v>
      </c>
      <c r="Z2597" s="14" t="str">
        <f>IFERROR(__xludf.DUMMYFUNCTION("""COMPUTED_VALUE"""),"The Americas")</f>
        <v>The Americas</v>
      </c>
      <c r="AA2597" s="14" t="str">
        <f>IFERROR(__xludf.DUMMYFUNCTION("""COMPUTED_VALUE"""),"2008")</f>
        <v>2008</v>
      </c>
      <c r="AB2597" s="15" t="str">
        <f>IFERROR(__xludf.DUMMYFUNCTION("ARRAYFORMULA(VLOOKUP(A2597,IMPORTRANGE(""https://docs.google.com/spreadsheets/d/1BuTWp7qHGjWhqrnf-OmePP568O4A5Am9ttzvVdP67zw/edit#gid=1931367683"" ,""ENERGY!$A$2:$F$2692""), {2,3,4,5,6},0))"),"The Americas")</f>
        <v>The Americas</v>
      </c>
      <c r="AC2597" s="14" t="str">
        <f>IFERROR(__xludf.DUMMYFUNCTION("""COMPUTED_VALUE"""),"Uruguay-The Americas")</f>
        <v>Uruguay-The Americas</v>
      </c>
      <c r="AD2597" s="14" t="str">
        <f>IFERROR(__xludf.DUMMYFUNCTION("""COMPUTED_VALUE"""),"2008")</f>
        <v>2008</v>
      </c>
      <c r="AE2597" s="14">
        <f>IFERROR(__xludf.DUMMYFUNCTION("""COMPUTED_VALUE"""),2869.0)</f>
        <v>2869</v>
      </c>
      <c r="AF2597" s="14">
        <f>IFERROR(__xludf.DUMMYFUNCTION("""COMPUTED_VALUE"""),5611.0)</f>
        <v>5611</v>
      </c>
    </row>
    <row r="2598">
      <c r="A2598" s="12">
        <v>2597.0</v>
      </c>
      <c r="B2598" s="12" t="s">
        <v>278</v>
      </c>
      <c r="C2598" s="5" t="s">
        <v>84</v>
      </c>
      <c r="D2598" s="11">
        <v>0.419</v>
      </c>
      <c r="E2598" s="11">
        <v>65.0</v>
      </c>
      <c r="F2598" s="8"/>
      <c r="G2598" s="11">
        <v>336.0</v>
      </c>
      <c r="H2598" s="11">
        <v>0.418</v>
      </c>
      <c r="I2598" s="11">
        <v>1.224</v>
      </c>
      <c r="J2598" s="9" t="s">
        <v>70</v>
      </c>
      <c r="K2598" s="14" t="str">
        <f>IFERROR(__xludf.DUMMYFUNCTION("ARRAYFORMULA(VLOOKUP(A2598,IMPORTRANGE(""https://docs.google.com/spreadsheets/d/1BuTWp7qHGjWhqrnf-OmePP568O4A5Am9ttzvVdP67zw/edit#gid=1603210130"", ""TOURISM!$A$2:$F$2692""), {2,3,4,5,6},0))"),"The Americas")</f>
        <v>The Americas</v>
      </c>
      <c r="L2598" s="14">
        <f>IFERROR(__xludf.DUMMYFUNCTION("""COMPUTED_VALUE"""),1.46E9)</f>
        <v>1460000000</v>
      </c>
      <c r="M2598" s="14" t="str">
        <f>IFERROR(__xludf.DUMMYFUNCTION("""COMPUTED_VALUE"""),"Uruguay-The Americas")</f>
        <v>Uruguay-The Americas</v>
      </c>
      <c r="N2598" s="14" t="str">
        <f>IFERROR(__xludf.DUMMYFUNCTION("""COMPUTED_VALUE"""),"2009")</f>
        <v>2009</v>
      </c>
      <c r="O2598" s="14">
        <f>IFERROR(__xludf.DUMMYFUNCTION("""COMPUTED_VALUE"""),4.42E8)</f>
        <v>442000000</v>
      </c>
      <c r="P2598" s="15">
        <f>IFERROR(__xludf.DUMMYFUNCTION("ARRAYFORMULA(VLOOKUP(A2598,IMPORTRANGE(""https://docs.google.com/spreadsheets/d/1BuTWp7qHGjWhqrnf-OmePP568O4A5Am9ttzvVdP67zw/edit#gid=771602874"" ,""HUMAN RESOURCES!$A$2:$M$2692""), {2,3,4,5,6,7,8,9,10,11,12,13},0))"),0.015)</f>
        <v>0.015</v>
      </c>
      <c r="Q2598" s="14">
        <f>IFERROR(__xludf.DUMMYFUNCTION("""COMPUTED_VALUE"""),0.011)</f>
        <v>0.011</v>
      </c>
      <c r="R2598" s="14">
        <f>IFERROR(__xludf.DUMMYFUNCTION("""COMPUTED_VALUE"""),80.0)</f>
        <v>80</v>
      </c>
      <c r="S2598" s="14">
        <f>IFERROR(__xludf.DUMMYFUNCTION("""COMPUTED_VALUE"""),73.0)</f>
        <v>73</v>
      </c>
      <c r="T2598" s="14">
        <f>IFERROR(__xludf.DUMMYFUNCTION("""COMPUTED_VALUE"""),0.228)</f>
        <v>0.228</v>
      </c>
      <c r="U2598" s="14">
        <f>IFERROR(__xludf.DUMMYFUNCTION("""COMPUTED_VALUE"""),0.634)</f>
        <v>0.634</v>
      </c>
      <c r="V2598" s="14">
        <f>IFERROR(__xludf.DUMMYFUNCTION("""COMPUTED_VALUE"""),0.138)</f>
        <v>0.138</v>
      </c>
      <c r="W2598" s="14">
        <f>IFERROR(__xludf.DUMMYFUNCTION("""COMPUTED_VALUE"""),3360431.0)</f>
        <v>3360431</v>
      </c>
      <c r="X2598" s="14">
        <f>IFERROR(__xludf.DUMMYFUNCTION("""COMPUTED_VALUE"""),0.942)</f>
        <v>0.942</v>
      </c>
      <c r="Y2598" s="14" t="str">
        <f>IFERROR(__xludf.DUMMYFUNCTION("""COMPUTED_VALUE"""),"Uruguay-The Americas")</f>
        <v>Uruguay-The Americas</v>
      </c>
      <c r="Z2598" s="14" t="str">
        <f>IFERROR(__xludf.DUMMYFUNCTION("""COMPUTED_VALUE"""),"The Americas")</f>
        <v>The Americas</v>
      </c>
      <c r="AA2598" s="14" t="str">
        <f>IFERROR(__xludf.DUMMYFUNCTION("""COMPUTED_VALUE"""),"2009")</f>
        <v>2009</v>
      </c>
      <c r="AB2598" s="15" t="str">
        <f>IFERROR(__xludf.DUMMYFUNCTION("ARRAYFORMULA(VLOOKUP(A2598,IMPORTRANGE(""https://docs.google.com/spreadsheets/d/1BuTWp7qHGjWhqrnf-OmePP568O4A5Am9ttzvVdP67zw/edit#gid=1931367683"" ,""ENERGY!$A$2:$F$2692""), {2,3,4,5,6},0))"),"The Americas")</f>
        <v>The Americas</v>
      </c>
      <c r="AC2598" s="14" t="str">
        <f>IFERROR(__xludf.DUMMYFUNCTION("""COMPUTED_VALUE"""),"Uruguay-The Americas")</f>
        <v>Uruguay-The Americas</v>
      </c>
      <c r="AD2598" s="14" t="str">
        <f>IFERROR(__xludf.DUMMYFUNCTION("""COMPUTED_VALUE"""),"2012")</f>
        <v>2012</v>
      </c>
      <c r="AE2598" s="14">
        <f>IFERROR(__xludf.DUMMYFUNCTION("""COMPUTED_VALUE"""),2523.0)</f>
        <v>2523</v>
      </c>
      <c r="AF2598" s="14">
        <f>IFERROR(__xludf.DUMMYFUNCTION("""COMPUTED_VALUE"""),4598.0)</f>
        <v>4598</v>
      </c>
    </row>
    <row r="2599">
      <c r="A2599" s="12">
        <v>2598.0</v>
      </c>
      <c r="B2599" s="12" t="s">
        <v>278</v>
      </c>
      <c r="C2599" s="5" t="s">
        <v>84</v>
      </c>
      <c r="D2599" s="11">
        <v>0.419</v>
      </c>
      <c r="E2599" s="11">
        <v>65.0</v>
      </c>
      <c r="F2599" s="8"/>
      <c r="G2599" s="11">
        <v>336.0</v>
      </c>
      <c r="H2599" s="11">
        <v>0.464</v>
      </c>
      <c r="I2599" s="11">
        <v>1.316</v>
      </c>
      <c r="J2599" s="9" t="s">
        <v>71</v>
      </c>
      <c r="K2599" s="14" t="str">
        <f>IFERROR(__xludf.DUMMYFUNCTION("ARRAYFORMULA(VLOOKUP(A2599,IMPORTRANGE(""https://docs.google.com/spreadsheets/d/1BuTWp7qHGjWhqrnf-OmePP568O4A5Am9ttzvVdP67zw/edit#gid=1603210130"", ""TOURISM!$A$2:$F$2692""), {2,3,4,5,6},0))"),"The Americas")</f>
        <v>The Americas</v>
      </c>
      <c r="L2599" s="14">
        <f>IFERROR(__xludf.DUMMYFUNCTION("""COMPUTED_VALUE"""),1.669E9)</f>
        <v>1669000000</v>
      </c>
      <c r="M2599" s="14" t="str">
        <f>IFERROR(__xludf.DUMMYFUNCTION("""COMPUTED_VALUE"""),"Uruguay-The Americas")</f>
        <v>Uruguay-The Americas</v>
      </c>
      <c r="N2599" s="14" t="str">
        <f>IFERROR(__xludf.DUMMYFUNCTION("""COMPUTED_VALUE"""),"2010")</f>
        <v>2010</v>
      </c>
      <c r="O2599" s="14">
        <f>IFERROR(__xludf.DUMMYFUNCTION("""COMPUTED_VALUE"""),5.49E8)</f>
        <v>549000000</v>
      </c>
      <c r="P2599" s="15">
        <f>IFERROR(__xludf.DUMMYFUNCTION("ARRAYFORMULA(VLOOKUP(A2599,IMPORTRANGE(""https://docs.google.com/spreadsheets/d/1BuTWp7qHGjWhqrnf-OmePP568O4A5Am9ttzvVdP67zw/edit#gid=771602874"" ,""HUMAN RESOURCES!$A$2:$M$2692""), {2,3,4,5,6,7,8,9,10,11,12,13},0))"),0.015)</f>
        <v>0.015</v>
      </c>
      <c r="Q2599" s="14">
        <f>IFERROR(__xludf.DUMMYFUNCTION("""COMPUTED_VALUE"""),0.011)</f>
        <v>0.011</v>
      </c>
      <c r="R2599" s="14">
        <f>IFERROR(__xludf.DUMMYFUNCTION("""COMPUTED_VALUE"""),80.0)</f>
        <v>80</v>
      </c>
      <c r="S2599" s="14">
        <f>IFERROR(__xludf.DUMMYFUNCTION("""COMPUTED_VALUE"""),73.0)</f>
        <v>73</v>
      </c>
      <c r="T2599" s="14">
        <f>IFERROR(__xludf.DUMMYFUNCTION("""COMPUTED_VALUE"""),0.225)</f>
        <v>0.225</v>
      </c>
      <c r="U2599" s="14">
        <f>IFERROR(__xludf.DUMMYFUNCTION("""COMPUTED_VALUE"""),0.636)</f>
        <v>0.636</v>
      </c>
      <c r="V2599" s="14">
        <f>IFERROR(__xludf.DUMMYFUNCTION("""COMPUTED_VALUE"""),0.139)</f>
        <v>0.139</v>
      </c>
      <c r="W2599" s="14">
        <f>IFERROR(__xludf.DUMMYFUNCTION("""COMPUTED_VALUE"""),3371982.0)</f>
        <v>3371982</v>
      </c>
      <c r="X2599" s="14">
        <f>IFERROR(__xludf.DUMMYFUNCTION("""COMPUTED_VALUE"""),0.944)</f>
        <v>0.944</v>
      </c>
      <c r="Y2599" s="14" t="str">
        <f>IFERROR(__xludf.DUMMYFUNCTION("""COMPUTED_VALUE"""),"Uruguay-The Americas")</f>
        <v>Uruguay-The Americas</v>
      </c>
      <c r="Z2599" s="14" t="str">
        <f>IFERROR(__xludf.DUMMYFUNCTION("""COMPUTED_VALUE"""),"The Americas")</f>
        <v>The Americas</v>
      </c>
      <c r="AA2599" s="14" t="str">
        <f>IFERROR(__xludf.DUMMYFUNCTION("""COMPUTED_VALUE"""),"2010")</f>
        <v>2010</v>
      </c>
      <c r="AB2599" s="15" t="str">
        <f>IFERROR(__xludf.DUMMYFUNCTION("ARRAYFORMULA(VLOOKUP(A2599,IMPORTRANGE(""https://docs.google.com/spreadsheets/d/1BuTWp7qHGjWhqrnf-OmePP568O4A5Am9ttzvVdP67zw/edit#gid=1931367683"" ,""ENERGY!$A$2:$F$2692""), {2,3,4,5,6},0))"),"The Americas")</f>
        <v>The Americas</v>
      </c>
      <c r="AC2599" s="14" t="str">
        <f>IFERROR(__xludf.DUMMYFUNCTION("""COMPUTED_VALUE"""),"Uruguay-The Americas")</f>
        <v>Uruguay-The Americas</v>
      </c>
      <c r="AD2599" s="14" t="str">
        <f>IFERROR(__xludf.DUMMYFUNCTION("""COMPUTED_VALUE"""),"2010")</f>
        <v>2010</v>
      </c>
      <c r="AE2599" s="14">
        <f>IFERROR(__xludf.DUMMYFUNCTION("""COMPUTED_VALUE"""),2538.0)</f>
        <v>2538</v>
      </c>
      <c r="AF2599" s="14">
        <f>IFERROR(__xludf.DUMMYFUNCTION("""COMPUTED_VALUE"""),4620.0)</f>
        <v>4620</v>
      </c>
    </row>
    <row r="2600">
      <c r="A2600" s="12">
        <v>2599.0</v>
      </c>
      <c r="B2600" s="12" t="s">
        <v>278</v>
      </c>
      <c r="C2600" s="5" t="s">
        <v>84</v>
      </c>
      <c r="D2600" s="11">
        <v>0.419</v>
      </c>
      <c r="E2600" s="11">
        <v>7.0</v>
      </c>
      <c r="F2600" s="8"/>
      <c r="G2600" s="11">
        <v>336.0</v>
      </c>
      <c r="H2600" s="11">
        <v>0.514</v>
      </c>
      <c r="I2600" s="11">
        <v>1.406</v>
      </c>
      <c r="J2600" s="9" t="s">
        <v>72</v>
      </c>
      <c r="K2600" s="14" t="str">
        <f>IFERROR(__xludf.DUMMYFUNCTION("ARRAYFORMULA(VLOOKUP(A2600,IMPORTRANGE(""https://docs.google.com/spreadsheets/d/1BuTWp7qHGjWhqrnf-OmePP568O4A5Am9ttzvVdP67zw/edit#gid=1603210130"", ""TOURISM!$A$2:$F$2692""), {2,3,4,5,6},0))"),"The Americas")</f>
        <v>The Americas</v>
      </c>
      <c r="L2600" s="14">
        <f>IFERROR(__xludf.DUMMYFUNCTION("""COMPUTED_VALUE"""),2.401E9)</f>
        <v>2401000000</v>
      </c>
      <c r="M2600" s="14" t="str">
        <f>IFERROR(__xludf.DUMMYFUNCTION("""COMPUTED_VALUE"""),"Uruguay-The Americas")</f>
        <v>Uruguay-The Americas</v>
      </c>
      <c r="N2600" s="14" t="str">
        <f>IFERROR(__xludf.DUMMYFUNCTION("""COMPUTED_VALUE"""),"2011")</f>
        <v>2011</v>
      </c>
      <c r="O2600" s="14">
        <f>IFERROR(__xludf.DUMMYFUNCTION("""COMPUTED_VALUE"""),7.97E8)</f>
        <v>797000000</v>
      </c>
      <c r="P2600" s="15">
        <f>IFERROR(__xludf.DUMMYFUNCTION("ARRAYFORMULA(VLOOKUP(A2600,IMPORTRANGE(""https://docs.google.com/spreadsheets/d/1BuTWp7qHGjWhqrnf-OmePP568O4A5Am9ttzvVdP67zw/edit#gid=771602874"" ,""HUMAN RESOURCES!$A$2:$M$2692""), {2,3,4,5,6,7,8,9,10,11,12,13},0))"),0.015)</f>
        <v>0.015</v>
      </c>
      <c r="Q2600" s="14">
        <f>IFERROR(__xludf.DUMMYFUNCTION("""COMPUTED_VALUE"""),0.01)</f>
        <v>0.01</v>
      </c>
      <c r="R2600" s="14">
        <f>IFERROR(__xludf.DUMMYFUNCTION("""COMPUTED_VALUE"""),80.0)</f>
        <v>80</v>
      </c>
      <c r="S2600" s="14">
        <f>IFERROR(__xludf.DUMMYFUNCTION("""COMPUTED_VALUE"""),73.0)</f>
        <v>73</v>
      </c>
      <c r="T2600" s="14">
        <f>IFERROR(__xludf.DUMMYFUNCTION("""COMPUTED_VALUE"""),0.223)</f>
        <v>0.223</v>
      </c>
      <c r="U2600" s="14">
        <f>IFERROR(__xludf.DUMMYFUNCTION("""COMPUTED_VALUE"""),0.638)</f>
        <v>0.638</v>
      </c>
      <c r="V2600" s="14">
        <f>IFERROR(__xludf.DUMMYFUNCTION("""COMPUTED_VALUE"""),0.139)</f>
        <v>0.139</v>
      </c>
      <c r="W2600" s="14">
        <f>IFERROR(__xludf.DUMMYFUNCTION("""COMPUTED_VALUE"""),3383486.0)</f>
        <v>3383486</v>
      </c>
      <c r="X2600" s="14">
        <f>IFERROR(__xludf.DUMMYFUNCTION("""COMPUTED_VALUE"""),0.946)</f>
        <v>0.946</v>
      </c>
      <c r="Y2600" s="14" t="str">
        <f>IFERROR(__xludf.DUMMYFUNCTION("""COMPUTED_VALUE"""),"Uruguay-The Americas")</f>
        <v>Uruguay-The Americas</v>
      </c>
      <c r="Z2600" s="14" t="str">
        <f>IFERROR(__xludf.DUMMYFUNCTION("""COMPUTED_VALUE"""),"The Americas")</f>
        <v>The Americas</v>
      </c>
      <c r="AA2600" s="14" t="str">
        <f>IFERROR(__xludf.DUMMYFUNCTION("""COMPUTED_VALUE"""),"2011")</f>
        <v>2011</v>
      </c>
      <c r="AB2600" s="15" t="str">
        <f>IFERROR(__xludf.DUMMYFUNCTION("ARRAYFORMULA(VLOOKUP(A2600,IMPORTRANGE(""https://docs.google.com/spreadsheets/d/1BuTWp7qHGjWhqrnf-OmePP568O4A5Am9ttzvVdP67zw/edit#gid=1931367683"" ,""ENERGY!$A$2:$F$2692""), {2,3,4,5,6},0))"),"The Americas")</f>
        <v>The Americas</v>
      </c>
      <c r="AC2600" s="14" t="str">
        <f>IFERROR(__xludf.DUMMYFUNCTION("""COMPUTED_VALUE"""),"Uruguay-The Americas")</f>
        <v>Uruguay-The Americas</v>
      </c>
      <c r="AD2600" s="14" t="str">
        <f>IFERROR(__xludf.DUMMYFUNCTION("""COMPUTED_VALUE"""),"2008")</f>
        <v>2008</v>
      </c>
      <c r="AE2600" s="14">
        <f>IFERROR(__xludf.DUMMYFUNCTION("""COMPUTED_VALUE"""),2712.0)</f>
        <v>2712</v>
      </c>
      <c r="AF2600" s="14">
        <f>IFERROR(__xludf.DUMMYFUNCTION("""COMPUTED_VALUE"""),5090.0)</f>
        <v>5090</v>
      </c>
    </row>
    <row r="2601">
      <c r="A2601" s="12">
        <v>2600.0</v>
      </c>
      <c r="B2601" s="12" t="s">
        <v>278</v>
      </c>
      <c r="C2601" s="5" t="s">
        <v>84</v>
      </c>
      <c r="D2601" s="11">
        <v>0.419</v>
      </c>
      <c r="E2601" s="11">
        <v>7.0</v>
      </c>
      <c r="F2601" s="11">
        <v>85.0</v>
      </c>
      <c r="G2601" s="11">
        <v>310.0</v>
      </c>
      <c r="H2601" s="11">
        <v>0.545</v>
      </c>
      <c r="I2601" s="11">
        <v>1.471</v>
      </c>
      <c r="J2601" s="9" t="s">
        <v>73</v>
      </c>
      <c r="K2601" s="14" t="str">
        <f>IFERROR(__xludf.DUMMYFUNCTION("ARRAYFORMULA(VLOOKUP(A2601,IMPORTRANGE(""https://docs.google.com/spreadsheets/d/1BuTWp7qHGjWhqrnf-OmePP568O4A5Am9ttzvVdP67zw/edit#gid=1603210130"", ""TOURISM!$A$2:$F$2692""), {2,3,4,5,6},0))"),"The Americas")</f>
        <v>The Americas</v>
      </c>
      <c r="L2601" s="14">
        <f>IFERROR(__xludf.DUMMYFUNCTION("""COMPUTED_VALUE"""),2.222E9)</f>
        <v>2222000000</v>
      </c>
      <c r="M2601" s="14" t="str">
        <f>IFERROR(__xludf.DUMMYFUNCTION("""COMPUTED_VALUE"""),"Uruguay-The Americas")</f>
        <v>Uruguay-The Americas</v>
      </c>
      <c r="N2601" s="14" t="str">
        <f>IFERROR(__xludf.DUMMYFUNCTION("""COMPUTED_VALUE"""),"2012")</f>
        <v>2012</v>
      </c>
      <c r="O2601" s="14">
        <f>IFERROR(__xludf.DUMMYFUNCTION("""COMPUTED_VALUE"""),1.028E9)</f>
        <v>1028000000</v>
      </c>
      <c r="P2601" s="15">
        <f>IFERROR(__xludf.DUMMYFUNCTION("ARRAYFORMULA(VLOOKUP(A2601,IMPORTRANGE(""https://docs.google.com/spreadsheets/d/1BuTWp7qHGjWhqrnf-OmePP568O4A5Am9ttzvVdP67zw/edit#gid=771602874"" ,""HUMAN RESOURCES!$A$2:$M$2692""), {2,3,4,5,6,7,8,9,10,11,12,13},0))"),0.015)</f>
        <v>0.015</v>
      </c>
      <c r="Q2601" s="14">
        <f>IFERROR(__xludf.DUMMYFUNCTION("""COMPUTED_VALUE"""),0.01)</f>
        <v>0.01</v>
      </c>
      <c r="R2601" s="14">
        <f>IFERROR(__xludf.DUMMYFUNCTION("""COMPUTED_VALUE"""),80.0)</f>
        <v>80</v>
      </c>
      <c r="S2601" s="14">
        <f>IFERROR(__xludf.DUMMYFUNCTION("""COMPUTED_VALUE"""),74.0)</f>
        <v>74</v>
      </c>
      <c r="T2601" s="14">
        <f>IFERROR(__xludf.DUMMYFUNCTION("""COMPUTED_VALUE"""),0.22)</f>
        <v>0.22</v>
      </c>
      <c r="U2601" s="14">
        <f>IFERROR(__xludf.DUMMYFUNCTION("""COMPUTED_VALUE"""),0.639)</f>
        <v>0.639</v>
      </c>
      <c r="V2601" s="14">
        <f>IFERROR(__xludf.DUMMYFUNCTION("""COMPUTED_VALUE"""),0.14)</f>
        <v>0.14</v>
      </c>
      <c r="W2601" s="14">
        <f>IFERROR(__xludf.DUMMYFUNCTION("""COMPUTED_VALUE"""),3395253.0)</f>
        <v>3395253</v>
      </c>
      <c r="X2601" s="14">
        <f>IFERROR(__xludf.DUMMYFUNCTION("""COMPUTED_VALUE"""),0.948)</f>
        <v>0.948</v>
      </c>
      <c r="Y2601" s="14" t="str">
        <f>IFERROR(__xludf.DUMMYFUNCTION("""COMPUTED_VALUE"""),"Uruguay-The Americas")</f>
        <v>Uruguay-The Americas</v>
      </c>
      <c r="Z2601" s="14" t="str">
        <f>IFERROR(__xludf.DUMMYFUNCTION("""COMPUTED_VALUE"""),"The Americas")</f>
        <v>The Americas</v>
      </c>
      <c r="AA2601" s="14" t="str">
        <f>IFERROR(__xludf.DUMMYFUNCTION("""COMPUTED_VALUE"""),"2012")</f>
        <v>2012</v>
      </c>
      <c r="AB2601" s="15" t="str">
        <f>IFERROR(__xludf.DUMMYFUNCTION("ARRAYFORMULA(VLOOKUP(A2601,IMPORTRANGE(""https://docs.google.com/spreadsheets/d/1BuTWp7qHGjWhqrnf-OmePP568O4A5Am9ttzvVdP67zw/edit#gid=1931367683"" ,""ENERGY!$A$2:$F$2692""), {2,3,4,5,6},0))"),"The Americas")</f>
        <v>The Americas</v>
      </c>
      <c r="AC2601" s="14" t="str">
        <f>IFERROR(__xludf.DUMMYFUNCTION("""COMPUTED_VALUE"""),"Uruguay-The Americas")</f>
        <v>Uruguay-The Americas</v>
      </c>
      <c r="AD2601" s="14" t="str">
        <f>IFERROR(__xludf.DUMMYFUNCTION("""COMPUTED_VALUE"""),"2012")</f>
        <v>2012</v>
      </c>
      <c r="AE2601" s="14">
        <f>IFERROR(__xludf.DUMMYFUNCTION("""COMPUTED_VALUE"""),3092.0)</f>
        <v>3092</v>
      </c>
      <c r="AF2601" s="14">
        <f>IFERROR(__xludf.DUMMYFUNCTION("""COMPUTED_VALUE"""),5306.0)</f>
        <v>5306</v>
      </c>
    </row>
    <row r="2602">
      <c r="A2602" s="12">
        <v>2601.0</v>
      </c>
      <c r="B2602" s="12" t="s">
        <v>279</v>
      </c>
      <c r="C2602" s="5" t="s">
        <v>61</v>
      </c>
      <c r="D2602" s="8"/>
      <c r="E2602" s="8"/>
      <c r="F2602" s="8"/>
      <c r="G2602" s="8"/>
      <c r="H2602" s="11">
        <v>0.005</v>
      </c>
      <c r="I2602" s="11">
        <v>0.002</v>
      </c>
      <c r="J2602" s="9" t="s">
        <v>60</v>
      </c>
      <c r="K2602" s="14" t="str">
        <f>IFERROR(__xludf.DUMMYFUNCTION("ARRAYFORMULA(VLOOKUP(A2602,IMPORTRANGE(""https://docs.google.com/spreadsheets/d/1BuTWp7qHGjWhqrnf-OmePP568O4A5Am9ttzvVdP67zw/edit#gid=1603210130"", ""TOURISM!$A$2:$F$2692""), {2,3,4,5,6},0))"),"Asia")</f>
        <v>Asia</v>
      </c>
      <c r="L2602" s="14">
        <f>IFERROR(__xludf.DUMMYFUNCTION("""COMPUTED_VALUE"""),6.3E7)</f>
        <v>63000000</v>
      </c>
      <c r="M2602" s="14" t="str">
        <f>IFERROR(__xludf.DUMMYFUNCTION("""COMPUTED_VALUE"""),"Uzbekistan-Asia")</f>
        <v>Uzbekistan-Asia</v>
      </c>
      <c r="N2602" s="14" t="str">
        <f>IFERROR(__xludf.DUMMYFUNCTION("""COMPUTED_VALUE"""),"2000")</f>
        <v>2000</v>
      </c>
      <c r="O2602" s="14"/>
      <c r="P2602" s="15">
        <f>IFERROR(__xludf.DUMMYFUNCTION("ARRAYFORMULA(VLOOKUP(A2602,IMPORTRANGE(""https://docs.google.com/spreadsheets/d/1BuTWp7qHGjWhqrnf-OmePP568O4A5Am9ttzvVdP67zw/edit#gid=771602874"" ,""HUMAN RESOURCES!$A$2:$M$2692""), {2,3,4,5,6,7,8,9,10,11,12,13},0))"),0.021)</f>
        <v>0.021</v>
      </c>
      <c r="Q2602" s="14">
        <f>IFERROR(__xludf.DUMMYFUNCTION("""COMPUTED_VALUE"""),0.053)</f>
        <v>0.053</v>
      </c>
      <c r="R2602" s="14">
        <f>IFERROR(__xludf.DUMMYFUNCTION("""COMPUTED_VALUE"""),70.0)</f>
        <v>70</v>
      </c>
      <c r="S2602" s="14">
        <f>IFERROR(__xludf.DUMMYFUNCTION("""COMPUTED_VALUE"""),64.0)</f>
        <v>64</v>
      </c>
      <c r="T2602" s="14">
        <f>IFERROR(__xludf.DUMMYFUNCTION("""COMPUTED_VALUE"""),0.373)</f>
        <v>0.373</v>
      </c>
      <c r="U2602" s="14">
        <f>IFERROR(__xludf.DUMMYFUNCTION("""COMPUTED_VALUE"""),0.584)</f>
        <v>0.584</v>
      </c>
      <c r="V2602" s="14">
        <f>IFERROR(__xludf.DUMMYFUNCTION("""COMPUTED_VALUE"""),0.043)</f>
        <v>0.043</v>
      </c>
      <c r="W2602" s="14">
        <f>IFERROR(__xludf.DUMMYFUNCTION("""COMPUTED_VALUE"""),2.46504E7)</f>
        <v>24650400</v>
      </c>
      <c r="X2602" s="14">
        <f>IFERROR(__xludf.DUMMYFUNCTION("""COMPUTED_VALUE"""),0.374)</f>
        <v>0.374</v>
      </c>
      <c r="Y2602" s="14" t="str">
        <f>IFERROR(__xludf.DUMMYFUNCTION("""COMPUTED_VALUE"""),"Uzbekistan-Asia")</f>
        <v>Uzbekistan-Asia</v>
      </c>
      <c r="Z2602" s="14" t="str">
        <f>IFERROR(__xludf.DUMMYFUNCTION("""COMPUTED_VALUE"""),"Asia")</f>
        <v>Asia</v>
      </c>
      <c r="AA2602" s="14" t="str">
        <f>IFERROR(__xludf.DUMMYFUNCTION("""COMPUTED_VALUE"""),"2000")</f>
        <v>2000</v>
      </c>
      <c r="AB2602" s="15" t="str">
        <f>IFERROR(__xludf.DUMMYFUNCTION("ARRAYFORMULA(VLOOKUP(A2602,IMPORTRANGE(""https://docs.google.com/spreadsheets/d/1BuTWp7qHGjWhqrnf-OmePP568O4A5Am9ttzvVdP67zw/edit#gid=1931367683"" ,""ENERGY!$A$2:$F$2692""), {2,3,4,5,6},0))"),"Asia")</f>
        <v>Asia</v>
      </c>
      <c r="AC2602" s="14" t="str">
        <f>IFERROR(__xludf.DUMMYFUNCTION("""COMPUTED_VALUE"""),"Uzbekistan-Asia")</f>
        <v>Uzbekistan-Asia</v>
      </c>
      <c r="AD2602" s="14" t="str">
        <f>IFERROR(__xludf.DUMMYFUNCTION("""COMPUTED_VALUE"""),"2000")</f>
        <v>2000</v>
      </c>
      <c r="AE2602" s="14"/>
      <c r="AF2602" s="14"/>
    </row>
    <row r="2603">
      <c r="A2603" s="12">
        <v>2602.0</v>
      </c>
      <c r="B2603" s="12" t="s">
        <v>279</v>
      </c>
      <c r="C2603" s="5" t="s">
        <v>61</v>
      </c>
      <c r="D2603" s="8"/>
      <c r="E2603" s="8"/>
      <c r="F2603" s="8"/>
      <c r="G2603" s="8"/>
      <c r="H2603" s="11">
        <v>0.006</v>
      </c>
      <c r="I2603" s="11">
        <v>0.005</v>
      </c>
      <c r="J2603" s="9" t="s">
        <v>62</v>
      </c>
      <c r="K2603" s="14" t="str">
        <f>IFERROR(__xludf.DUMMYFUNCTION("ARRAYFORMULA(VLOOKUP(A2603,IMPORTRANGE(""https://docs.google.com/spreadsheets/d/1BuTWp7qHGjWhqrnf-OmePP568O4A5Am9ttzvVdP67zw/edit#gid=1603210130"", ""TOURISM!$A$2:$F$2692""), {2,3,4,5,6},0))"),"Asia")</f>
        <v>Asia</v>
      </c>
      <c r="L2603" s="14">
        <f>IFERROR(__xludf.DUMMYFUNCTION("""COMPUTED_VALUE"""),7.2E7)</f>
        <v>72000000</v>
      </c>
      <c r="M2603" s="14" t="str">
        <f>IFERROR(__xludf.DUMMYFUNCTION("""COMPUTED_VALUE"""),"Uzbekistan-Asia")</f>
        <v>Uzbekistan-Asia</v>
      </c>
      <c r="N2603" s="14" t="str">
        <f>IFERROR(__xludf.DUMMYFUNCTION("""COMPUTED_VALUE"""),"2001")</f>
        <v>2001</v>
      </c>
      <c r="O2603" s="14"/>
      <c r="P2603" s="15">
        <f>IFERROR(__xludf.DUMMYFUNCTION("ARRAYFORMULA(VLOOKUP(A2603,IMPORTRANGE(""https://docs.google.com/spreadsheets/d/1BuTWp7qHGjWhqrnf-OmePP568O4A5Am9ttzvVdP67zw/edit#gid=771602874"" ,""HUMAN RESOURCES!$A$2:$M$2692""), {2,3,4,5,6,7,8,9,10,11,12,13},0))"),0.021)</f>
        <v>0.021</v>
      </c>
      <c r="Q2603" s="14">
        <f>IFERROR(__xludf.DUMMYFUNCTION("""COMPUTED_VALUE"""),0.052)</f>
        <v>0.052</v>
      </c>
      <c r="R2603" s="14">
        <f>IFERROR(__xludf.DUMMYFUNCTION("""COMPUTED_VALUE"""),70.0)</f>
        <v>70</v>
      </c>
      <c r="S2603" s="14">
        <f>IFERROR(__xludf.DUMMYFUNCTION("""COMPUTED_VALUE"""),64.0)</f>
        <v>64</v>
      </c>
      <c r="T2603" s="14">
        <f>IFERROR(__xludf.DUMMYFUNCTION("""COMPUTED_VALUE"""),0.365)</f>
        <v>0.365</v>
      </c>
      <c r="U2603" s="14">
        <f>IFERROR(__xludf.DUMMYFUNCTION("""COMPUTED_VALUE"""),0.591)</f>
        <v>0.591</v>
      </c>
      <c r="V2603" s="14">
        <f>IFERROR(__xludf.DUMMYFUNCTION("""COMPUTED_VALUE"""),0.044)</f>
        <v>0.044</v>
      </c>
      <c r="W2603" s="14">
        <f>IFERROR(__xludf.DUMMYFUNCTION("""COMPUTED_VALUE"""),2.496445E7)</f>
        <v>24964450</v>
      </c>
      <c r="X2603" s="14">
        <f>IFERROR(__xludf.DUMMYFUNCTION("""COMPUTED_VALUE"""),0.373)</f>
        <v>0.373</v>
      </c>
      <c r="Y2603" s="14" t="str">
        <f>IFERROR(__xludf.DUMMYFUNCTION("""COMPUTED_VALUE"""),"Uzbekistan-Asia")</f>
        <v>Uzbekistan-Asia</v>
      </c>
      <c r="Z2603" s="14" t="str">
        <f>IFERROR(__xludf.DUMMYFUNCTION("""COMPUTED_VALUE"""),"Asia")</f>
        <v>Asia</v>
      </c>
      <c r="AA2603" s="14" t="str">
        <f>IFERROR(__xludf.DUMMYFUNCTION("""COMPUTED_VALUE"""),"2001")</f>
        <v>2001</v>
      </c>
      <c r="AB2603" s="15" t="str">
        <f>IFERROR(__xludf.DUMMYFUNCTION("ARRAYFORMULA(VLOOKUP(A2603,IMPORTRANGE(""https://docs.google.com/spreadsheets/d/1BuTWp7qHGjWhqrnf-OmePP568O4A5Am9ttzvVdP67zw/edit#gid=1931367683"" ,""ENERGY!$A$2:$F$2692""), {2,3,4,5,6},0))"),"Asia")</f>
        <v>Asia</v>
      </c>
      <c r="AC2603" s="14" t="str">
        <f>IFERROR(__xludf.DUMMYFUNCTION("""COMPUTED_VALUE"""),"Uzbekistan-Asia")</f>
        <v>Uzbekistan-Asia</v>
      </c>
      <c r="AD2603" s="14" t="str">
        <f>IFERROR(__xludf.DUMMYFUNCTION("""COMPUTED_VALUE"""),"2001")</f>
        <v>2001</v>
      </c>
      <c r="AE2603" s="14">
        <f>IFERROR(__xludf.DUMMYFUNCTION("""COMPUTED_VALUE"""),47755.0)</f>
        <v>47755</v>
      </c>
      <c r="AF2603" s="14"/>
    </row>
    <row r="2604">
      <c r="A2604" s="12">
        <v>2603.0</v>
      </c>
      <c r="B2604" s="12" t="s">
        <v>279</v>
      </c>
      <c r="C2604" s="5" t="s">
        <v>61</v>
      </c>
      <c r="D2604" s="8"/>
      <c r="E2604" s="8"/>
      <c r="F2604" s="8"/>
      <c r="G2604" s="8"/>
      <c r="H2604" s="11">
        <v>0.011</v>
      </c>
      <c r="I2604" s="11">
        <v>0.007</v>
      </c>
      <c r="J2604" s="9" t="s">
        <v>63</v>
      </c>
      <c r="K2604" s="14" t="str">
        <f>IFERROR(__xludf.DUMMYFUNCTION("ARRAYFORMULA(VLOOKUP(A2604,IMPORTRANGE(""https://docs.google.com/spreadsheets/d/1BuTWp7qHGjWhqrnf-OmePP568O4A5Am9ttzvVdP67zw/edit#gid=1603210130"", ""TOURISM!$A$2:$F$2692""), {2,3,4,5,6},0))"),"Asia")</f>
        <v>Asia</v>
      </c>
      <c r="L2604" s="14">
        <f>IFERROR(__xludf.DUMMYFUNCTION("""COMPUTED_VALUE"""),6.8E7)</f>
        <v>68000000</v>
      </c>
      <c r="M2604" s="14" t="str">
        <f>IFERROR(__xludf.DUMMYFUNCTION("""COMPUTED_VALUE"""),"Uzbekistan-Asia")</f>
        <v>Uzbekistan-Asia</v>
      </c>
      <c r="N2604" s="14" t="str">
        <f>IFERROR(__xludf.DUMMYFUNCTION("""COMPUTED_VALUE"""),"2002")</f>
        <v>2002</v>
      </c>
      <c r="O2604" s="14"/>
      <c r="P2604" s="15">
        <f>IFERROR(__xludf.DUMMYFUNCTION("ARRAYFORMULA(VLOOKUP(A2604,IMPORTRANGE(""https://docs.google.com/spreadsheets/d/1BuTWp7qHGjWhqrnf-OmePP568O4A5Am9ttzvVdP67zw/edit#gid=771602874"" ,""HUMAN RESOURCES!$A$2:$M$2692""), {2,3,4,5,6,7,8,9,10,11,12,13},0))"),0.021)</f>
        <v>0.021</v>
      </c>
      <c r="Q2604" s="14">
        <f>IFERROR(__xludf.DUMMYFUNCTION("""COMPUTED_VALUE"""),0.05)</f>
        <v>0.05</v>
      </c>
      <c r="R2604" s="14">
        <f>IFERROR(__xludf.DUMMYFUNCTION("""COMPUTED_VALUE"""),70.0)</f>
        <v>70</v>
      </c>
      <c r="S2604" s="14">
        <f>IFERROR(__xludf.DUMMYFUNCTION("""COMPUTED_VALUE"""),64.0)</f>
        <v>64</v>
      </c>
      <c r="T2604" s="14">
        <f>IFERROR(__xludf.DUMMYFUNCTION("""COMPUTED_VALUE"""),0.357)</f>
        <v>0.357</v>
      </c>
      <c r="U2604" s="14">
        <f>IFERROR(__xludf.DUMMYFUNCTION("""COMPUTED_VALUE"""),0.598)</f>
        <v>0.598</v>
      </c>
      <c r="V2604" s="14">
        <f>IFERROR(__xludf.DUMMYFUNCTION("""COMPUTED_VALUE"""),0.045)</f>
        <v>0.045</v>
      </c>
      <c r="W2604" s="14">
        <f>IFERROR(__xludf.DUMMYFUNCTION("""COMPUTED_VALUE"""),2.527185E7)</f>
        <v>25271850</v>
      </c>
      <c r="X2604" s="14">
        <f>IFERROR(__xludf.DUMMYFUNCTION("""COMPUTED_VALUE"""),0.371)</f>
        <v>0.371</v>
      </c>
      <c r="Y2604" s="14" t="str">
        <f>IFERROR(__xludf.DUMMYFUNCTION("""COMPUTED_VALUE"""),"Uzbekistan-Asia")</f>
        <v>Uzbekistan-Asia</v>
      </c>
      <c r="Z2604" s="14" t="str">
        <f>IFERROR(__xludf.DUMMYFUNCTION("""COMPUTED_VALUE"""),"Asia")</f>
        <v>Asia</v>
      </c>
      <c r="AA2604" s="14" t="str">
        <f>IFERROR(__xludf.DUMMYFUNCTION("""COMPUTED_VALUE"""),"2002")</f>
        <v>2002</v>
      </c>
      <c r="AB2604" s="15" t="str">
        <f>IFERROR(__xludf.DUMMYFUNCTION("ARRAYFORMULA(VLOOKUP(A2604,IMPORTRANGE(""https://docs.google.com/spreadsheets/d/1BuTWp7qHGjWhqrnf-OmePP568O4A5Am9ttzvVdP67zw/edit#gid=1931367683"" ,""ENERGY!$A$2:$F$2692""), {2,3,4,5,6},0))"),"Asia")</f>
        <v>Asia</v>
      </c>
      <c r="AC2604" s="14" t="str">
        <f>IFERROR(__xludf.DUMMYFUNCTION("""COMPUTED_VALUE"""),"Uzbekistan-Asia")</f>
        <v>Uzbekistan-Asia</v>
      </c>
      <c r="AD2604" s="14" t="str">
        <f>IFERROR(__xludf.DUMMYFUNCTION("""COMPUTED_VALUE"""),"2002")</f>
        <v>2002</v>
      </c>
      <c r="AE2604" s="14">
        <f>IFERROR(__xludf.DUMMYFUNCTION("""COMPUTED_VALUE"""),43747.0)</f>
        <v>43747</v>
      </c>
      <c r="AF2604" s="14">
        <f>IFERROR(__xludf.DUMMYFUNCTION("""COMPUTED_VALUE"""),104443.0)</f>
        <v>104443</v>
      </c>
    </row>
    <row r="2605">
      <c r="A2605" s="12">
        <v>2604.0</v>
      </c>
      <c r="B2605" s="12" t="s">
        <v>279</v>
      </c>
      <c r="C2605" s="5" t="s">
        <v>61</v>
      </c>
      <c r="D2605" s="8"/>
      <c r="E2605" s="11">
        <v>29.0</v>
      </c>
      <c r="F2605" s="8"/>
      <c r="G2605" s="8"/>
      <c r="H2605" s="11">
        <v>0.019</v>
      </c>
      <c r="I2605" s="11">
        <v>0.013</v>
      </c>
      <c r="J2605" s="9" t="s">
        <v>64</v>
      </c>
      <c r="K2605" s="14" t="str">
        <f>IFERROR(__xludf.DUMMYFUNCTION("ARRAYFORMULA(VLOOKUP(A2605,IMPORTRANGE(""https://docs.google.com/spreadsheets/d/1BuTWp7qHGjWhqrnf-OmePP568O4A5Am9ttzvVdP67zw/edit#gid=1603210130"", ""TOURISM!$A$2:$F$2692""), {2,3,4,5,6},0))"),"Asia")</f>
        <v>Asia</v>
      </c>
      <c r="L2605" s="14">
        <f>IFERROR(__xludf.DUMMYFUNCTION("""COMPUTED_VALUE"""),4.8E7)</f>
        <v>48000000</v>
      </c>
      <c r="M2605" s="14" t="str">
        <f>IFERROR(__xludf.DUMMYFUNCTION("""COMPUTED_VALUE"""),"Uzbekistan-Asia")</f>
        <v>Uzbekistan-Asia</v>
      </c>
      <c r="N2605" s="14" t="str">
        <f>IFERROR(__xludf.DUMMYFUNCTION("""COMPUTED_VALUE"""),"2003")</f>
        <v>2003</v>
      </c>
      <c r="O2605" s="14"/>
      <c r="P2605" s="15">
        <f>IFERROR(__xludf.DUMMYFUNCTION("ARRAYFORMULA(VLOOKUP(A2605,IMPORTRANGE(""https://docs.google.com/spreadsheets/d/1BuTWp7qHGjWhqrnf-OmePP568O4A5Am9ttzvVdP67zw/edit#gid=771602874"" ,""HUMAN RESOURCES!$A$2:$M$2692""), {2,3,4,5,6,7,8,9,10,11,12,13},0))"),0.02)</f>
        <v>0.02</v>
      </c>
      <c r="Q2605" s="14">
        <f>IFERROR(__xludf.DUMMYFUNCTION("""COMPUTED_VALUE"""),0.049)</f>
        <v>0.049</v>
      </c>
      <c r="R2605" s="14">
        <f>IFERROR(__xludf.DUMMYFUNCTION("""COMPUTED_VALUE"""),71.0)</f>
        <v>71</v>
      </c>
      <c r="S2605" s="14">
        <f>IFERROR(__xludf.DUMMYFUNCTION("""COMPUTED_VALUE"""),64.0)</f>
        <v>64</v>
      </c>
      <c r="T2605" s="14">
        <f>IFERROR(__xludf.DUMMYFUNCTION("""COMPUTED_VALUE"""),0.349)</f>
        <v>0.349</v>
      </c>
      <c r="U2605" s="14">
        <f>IFERROR(__xludf.DUMMYFUNCTION("""COMPUTED_VALUE"""),0.605)</f>
        <v>0.605</v>
      </c>
      <c r="V2605" s="14">
        <f>IFERROR(__xludf.DUMMYFUNCTION("""COMPUTED_VALUE"""),0.046)</f>
        <v>0.046</v>
      </c>
      <c r="W2605" s="14">
        <f>IFERROR(__xludf.DUMMYFUNCTION("""COMPUTED_VALUE"""),2.556765E7)</f>
        <v>25567650</v>
      </c>
      <c r="X2605" s="14">
        <f>IFERROR(__xludf.DUMMYFUNCTION("""COMPUTED_VALUE"""),0.37)</f>
        <v>0.37</v>
      </c>
      <c r="Y2605" s="14" t="str">
        <f>IFERROR(__xludf.DUMMYFUNCTION("""COMPUTED_VALUE"""),"Uzbekistan-Asia")</f>
        <v>Uzbekistan-Asia</v>
      </c>
      <c r="Z2605" s="14" t="str">
        <f>IFERROR(__xludf.DUMMYFUNCTION("""COMPUTED_VALUE"""),"Asia")</f>
        <v>Asia</v>
      </c>
      <c r="AA2605" s="14" t="str">
        <f>IFERROR(__xludf.DUMMYFUNCTION("""COMPUTED_VALUE"""),"2003")</f>
        <v>2003</v>
      </c>
      <c r="AB2605" s="15" t="str">
        <f>IFERROR(__xludf.DUMMYFUNCTION("ARRAYFORMULA(VLOOKUP(A2605,IMPORTRANGE(""https://docs.google.com/spreadsheets/d/1BuTWp7qHGjWhqrnf-OmePP568O4A5Am9ttzvVdP67zw/edit#gid=1931367683"" ,""ENERGY!$A$2:$F$2692""), {2,3,4,5,6},0))"),"Asia")</f>
        <v>Asia</v>
      </c>
      <c r="AC2605" s="14" t="str">
        <f>IFERROR(__xludf.DUMMYFUNCTION("""COMPUTED_VALUE"""),"Uzbekistan-Asia")</f>
        <v>Uzbekistan-Asia</v>
      </c>
      <c r="AD2605" s="14" t="str">
        <f>IFERROR(__xludf.DUMMYFUNCTION("""COMPUTED_VALUE"""),"2003")</f>
        <v>2003</v>
      </c>
      <c r="AE2605" s="14">
        <f>IFERROR(__xludf.DUMMYFUNCTION("""COMPUTED_VALUE"""),44831.0)</f>
        <v>44831</v>
      </c>
      <c r="AF2605" s="14">
        <f>IFERROR(__xludf.DUMMYFUNCTION("""COMPUTED_VALUE"""),116607.0)</f>
        <v>116607</v>
      </c>
    </row>
    <row r="2606">
      <c r="A2606" s="12">
        <v>2605.0</v>
      </c>
      <c r="B2606" s="12" t="s">
        <v>279</v>
      </c>
      <c r="C2606" s="5" t="s">
        <v>61</v>
      </c>
      <c r="D2606" s="8"/>
      <c r="E2606" s="11">
        <v>29.0</v>
      </c>
      <c r="F2606" s="8"/>
      <c r="G2606" s="8"/>
      <c r="H2606" s="11">
        <v>0.026</v>
      </c>
      <c r="I2606" s="11">
        <v>0.021</v>
      </c>
      <c r="J2606" s="9" t="s">
        <v>65</v>
      </c>
      <c r="K2606" s="14" t="str">
        <f>IFERROR(__xludf.DUMMYFUNCTION("ARRAYFORMULA(VLOOKUP(A2606,IMPORTRANGE(""https://docs.google.com/spreadsheets/d/1BuTWp7qHGjWhqrnf-OmePP568O4A5Am9ttzvVdP67zw/edit#gid=1603210130"", ""TOURISM!$A$2:$F$2692""), {2,3,4,5,6},0))"),"Asia")</f>
        <v>Asia</v>
      </c>
      <c r="L2606" s="14">
        <f>IFERROR(__xludf.DUMMYFUNCTION("""COMPUTED_VALUE"""),5.7E7)</f>
        <v>57000000</v>
      </c>
      <c r="M2606" s="14" t="str">
        <f>IFERROR(__xludf.DUMMYFUNCTION("""COMPUTED_VALUE"""),"Uzbekistan-Asia")</f>
        <v>Uzbekistan-Asia</v>
      </c>
      <c r="N2606" s="14" t="str">
        <f>IFERROR(__xludf.DUMMYFUNCTION("""COMPUTED_VALUE"""),"2004")</f>
        <v>2004</v>
      </c>
      <c r="O2606" s="14"/>
      <c r="P2606" s="15">
        <f>IFERROR(__xludf.DUMMYFUNCTION("ARRAYFORMULA(VLOOKUP(A2606,IMPORTRANGE(""https://docs.google.com/spreadsheets/d/1BuTWp7qHGjWhqrnf-OmePP568O4A5Am9ttzvVdP67zw/edit#gid=771602874"" ,""HUMAN RESOURCES!$A$2:$M$2692""), {2,3,4,5,6,7,8,9,10,11,12,13},0))"),0.021)</f>
        <v>0.021</v>
      </c>
      <c r="Q2606" s="14">
        <f>IFERROR(__xludf.DUMMYFUNCTION("""COMPUTED_VALUE"""),0.048)</f>
        <v>0.048</v>
      </c>
      <c r="R2606" s="14">
        <f>IFERROR(__xludf.DUMMYFUNCTION("""COMPUTED_VALUE"""),71.0)</f>
        <v>71</v>
      </c>
      <c r="S2606" s="14">
        <f>IFERROR(__xludf.DUMMYFUNCTION("""COMPUTED_VALUE"""),64.0)</f>
        <v>64</v>
      </c>
      <c r="T2606" s="14">
        <f>IFERROR(__xludf.DUMMYFUNCTION("""COMPUTED_VALUE"""),0.341)</f>
        <v>0.341</v>
      </c>
      <c r="U2606" s="14">
        <f>IFERROR(__xludf.DUMMYFUNCTION("""COMPUTED_VALUE"""),0.613)</f>
        <v>0.613</v>
      </c>
      <c r="V2606" s="14">
        <f>IFERROR(__xludf.DUMMYFUNCTION("""COMPUTED_VALUE"""),0.047)</f>
        <v>0.047</v>
      </c>
      <c r="W2606" s="14">
        <f>IFERROR(__xludf.DUMMYFUNCTION("""COMPUTED_VALUE"""),2.586435E7)</f>
        <v>25864350</v>
      </c>
      <c r="X2606" s="14">
        <f>IFERROR(__xludf.DUMMYFUNCTION("""COMPUTED_VALUE"""),0.368)</f>
        <v>0.368</v>
      </c>
      <c r="Y2606" s="14" t="str">
        <f>IFERROR(__xludf.DUMMYFUNCTION("""COMPUTED_VALUE"""),"Uzbekistan-Asia")</f>
        <v>Uzbekistan-Asia</v>
      </c>
      <c r="Z2606" s="14" t="str">
        <f>IFERROR(__xludf.DUMMYFUNCTION("""COMPUTED_VALUE"""),"Asia")</f>
        <v>Asia</v>
      </c>
      <c r="AA2606" s="14" t="str">
        <f>IFERROR(__xludf.DUMMYFUNCTION("""COMPUTED_VALUE"""),"2004")</f>
        <v>2004</v>
      </c>
      <c r="AB2606" s="15" t="str">
        <f>IFERROR(__xludf.DUMMYFUNCTION("ARRAYFORMULA(VLOOKUP(A2606,IMPORTRANGE(""https://docs.google.com/spreadsheets/d/1BuTWp7qHGjWhqrnf-OmePP568O4A5Am9ttzvVdP67zw/edit#gid=1931367683"" ,""ENERGY!$A$2:$F$2692""), {2,3,4,5,6},0))"),"Asia")</f>
        <v>Asia</v>
      </c>
      <c r="AC2606" s="14" t="str">
        <f>IFERROR(__xludf.DUMMYFUNCTION("""COMPUTED_VALUE"""),"Uzbekistan-Asia")</f>
        <v>Uzbekistan-Asia</v>
      </c>
      <c r="AD2606" s="14" t="str">
        <f>IFERROR(__xludf.DUMMYFUNCTION("""COMPUTED_VALUE"""),"2005")</f>
        <v>2005</v>
      </c>
      <c r="AE2606" s="14">
        <f>IFERROR(__xludf.DUMMYFUNCTION("""COMPUTED_VALUE"""),50512.0)</f>
        <v>50512</v>
      </c>
      <c r="AF2606" s="14">
        <f>IFERROR(__xludf.DUMMYFUNCTION("""COMPUTED_VALUE"""),120039.0)</f>
        <v>120039</v>
      </c>
    </row>
    <row r="2607">
      <c r="A2607" s="12">
        <v>2606.0</v>
      </c>
      <c r="B2607" s="12" t="s">
        <v>279</v>
      </c>
      <c r="C2607" s="5" t="s">
        <v>61</v>
      </c>
      <c r="D2607" s="11">
        <v>0.967</v>
      </c>
      <c r="E2607" s="11">
        <v>29.0</v>
      </c>
      <c r="F2607" s="8"/>
      <c r="G2607" s="11">
        <v>196.0</v>
      </c>
      <c r="H2607" s="11">
        <v>0.033</v>
      </c>
      <c r="I2607" s="11">
        <v>0.028</v>
      </c>
      <c r="J2607" s="9" t="s">
        <v>66</v>
      </c>
      <c r="K2607" s="14" t="str">
        <f>IFERROR(__xludf.DUMMYFUNCTION("ARRAYFORMULA(VLOOKUP(A2607,IMPORTRANGE(""https://docs.google.com/spreadsheets/d/1BuTWp7qHGjWhqrnf-OmePP568O4A5Am9ttzvVdP67zw/edit#gid=1603210130"", ""TOURISM!$A$2:$F$2692""), {2,3,4,5,6},0))"),"Asia")</f>
        <v>Asia</v>
      </c>
      <c r="L2607" s="14">
        <f>IFERROR(__xludf.DUMMYFUNCTION("""COMPUTED_VALUE"""),2.8E7)</f>
        <v>28000000</v>
      </c>
      <c r="M2607" s="14" t="str">
        <f>IFERROR(__xludf.DUMMYFUNCTION("""COMPUTED_VALUE"""),"Uzbekistan-Asia")</f>
        <v>Uzbekistan-Asia</v>
      </c>
      <c r="N2607" s="14" t="str">
        <f>IFERROR(__xludf.DUMMYFUNCTION("""COMPUTED_VALUE"""),"2005")</f>
        <v>2005</v>
      </c>
      <c r="O2607" s="14"/>
      <c r="P2607" s="15">
        <f>IFERROR(__xludf.DUMMYFUNCTION("ARRAYFORMULA(VLOOKUP(A2607,IMPORTRANGE(""https://docs.google.com/spreadsheets/d/1BuTWp7qHGjWhqrnf-OmePP568O4A5Am9ttzvVdP67zw/edit#gid=771602874"" ,""HUMAN RESOURCES!$A$2:$M$2692""), {2,3,4,5,6,7,8,9,10,11,12,13},0))"),0.02)</f>
        <v>0.02</v>
      </c>
      <c r="Q2607" s="14">
        <f>IFERROR(__xludf.DUMMYFUNCTION("""COMPUTED_VALUE"""),0.047)</f>
        <v>0.047</v>
      </c>
      <c r="R2607" s="14">
        <f>IFERROR(__xludf.DUMMYFUNCTION("""COMPUTED_VALUE"""),71.0)</f>
        <v>71</v>
      </c>
      <c r="S2607" s="14">
        <f>IFERROR(__xludf.DUMMYFUNCTION("""COMPUTED_VALUE"""),64.0)</f>
        <v>64</v>
      </c>
      <c r="T2607" s="14">
        <f>IFERROR(__xludf.DUMMYFUNCTION("""COMPUTED_VALUE"""),0.332)</f>
        <v>0.332</v>
      </c>
      <c r="U2607" s="14">
        <f>IFERROR(__xludf.DUMMYFUNCTION("""COMPUTED_VALUE"""),0.62)</f>
        <v>0.62</v>
      </c>
      <c r="V2607" s="14">
        <f>IFERROR(__xludf.DUMMYFUNCTION("""COMPUTED_VALUE"""),0.047)</f>
        <v>0.047</v>
      </c>
      <c r="W2607" s="14">
        <f>IFERROR(__xludf.DUMMYFUNCTION("""COMPUTED_VALUE"""),2.6167E7)</f>
        <v>26167000</v>
      </c>
      <c r="X2607" s="14">
        <f>IFERROR(__xludf.DUMMYFUNCTION("""COMPUTED_VALUE"""),0.367)</f>
        <v>0.367</v>
      </c>
      <c r="Y2607" s="14" t="str">
        <f>IFERROR(__xludf.DUMMYFUNCTION("""COMPUTED_VALUE"""),"Uzbekistan-Asia")</f>
        <v>Uzbekistan-Asia</v>
      </c>
      <c r="Z2607" s="14" t="str">
        <f>IFERROR(__xludf.DUMMYFUNCTION("""COMPUTED_VALUE"""),"Asia")</f>
        <v>Asia</v>
      </c>
      <c r="AA2607" s="14" t="str">
        <f>IFERROR(__xludf.DUMMYFUNCTION("""COMPUTED_VALUE"""),"2005")</f>
        <v>2005</v>
      </c>
      <c r="AB2607" s="15" t="str">
        <f>IFERROR(__xludf.DUMMYFUNCTION("ARRAYFORMULA(VLOOKUP(A2607,IMPORTRANGE(""https://docs.google.com/spreadsheets/d/1BuTWp7qHGjWhqrnf-OmePP568O4A5Am9ttzvVdP67zw/edit#gid=1931367683"" ,""ENERGY!$A$2:$F$2692""), {2,3,4,5,6},0))"),"Asia")</f>
        <v>Asia</v>
      </c>
      <c r="AC2607" s="14" t="str">
        <f>IFERROR(__xludf.DUMMYFUNCTION("""COMPUTED_VALUE"""),"Uzbekistan-Asia")</f>
        <v>Uzbekistan-Asia</v>
      </c>
      <c r="AD2607" s="14" t="str">
        <f>IFERROR(__xludf.DUMMYFUNCTION("""COMPUTED_VALUE"""),"2009")</f>
        <v>2009</v>
      </c>
      <c r="AE2607" s="14">
        <f>IFERROR(__xludf.DUMMYFUNCTION("""COMPUTED_VALUE"""),48718.0)</f>
        <v>48718</v>
      </c>
      <c r="AF2607" s="14">
        <f>IFERROR(__xludf.DUMMYFUNCTION("""COMPUTED_VALUE"""),116944.0)</f>
        <v>116944</v>
      </c>
    </row>
    <row r="2608">
      <c r="A2608" s="12">
        <v>2607.0</v>
      </c>
      <c r="B2608" s="12" t="s">
        <v>279</v>
      </c>
      <c r="C2608" s="5" t="s">
        <v>61</v>
      </c>
      <c r="D2608" s="11">
        <v>1.121</v>
      </c>
      <c r="E2608" s="11">
        <v>29.0</v>
      </c>
      <c r="F2608" s="8"/>
      <c r="G2608" s="11">
        <v>196.0</v>
      </c>
      <c r="H2608" s="11">
        <v>0.064</v>
      </c>
      <c r="I2608" s="11">
        <v>0.096</v>
      </c>
      <c r="J2608" s="9" t="s">
        <v>67</v>
      </c>
      <c r="K2608" s="14" t="str">
        <f>IFERROR(__xludf.DUMMYFUNCTION("ARRAYFORMULA(VLOOKUP(A2608,IMPORTRANGE(""https://docs.google.com/spreadsheets/d/1BuTWp7qHGjWhqrnf-OmePP568O4A5Am9ttzvVdP67zw/edit#gid=1603210130"", ""TOURISM!$A$2:$F$2692""), {2,3,4,5,6},0))"),"Asia")</f>
        <v>Asia</v>
      </c>
      <c r="L2608" s="14">
        <f>IFERROR(__xludf.DUMMYFUNCTION("""COMPUTED_VALUE"""),4.3E7)</f>
        <v>43000000</v>
      </c>
      <c r="M2608" s="14" t="str">
        <f>IFERROR(__xludf.DUMMYFUNCTION("""COMPUTED_VALUE"""),"Uzbekistan-Asia")</f>
        <v>Uzbekistan-Asia</v>
      </c>
      <c r="N2608" s="14" t="str">
        <f>IFERROR(__xludf.DUMMYFUNCTION("""COMPUTED_VALUE"""),"2006")</f>
        <v>2006</v>
      </c>
      <c r="O2608" s="14"/>
      <c r="P2608" s="15">
        <f>IFERROR(__xludf.DUMMYFUNCTION("ARRAYFORMULA(VLOOKUP(A2608,IMPORTRANGE(""https://docs.google.com/spreadsheets/d/1BuTWp7qHGjWhqrnf-OmePP568O4A5Am9ttzvVdP67zw/edit#gid=771602874"" ,""HUMAN RESOURCES!$A$2:$M$2692""), {2,3,4,5,6,7,8,9,10,11,12,13},0))"),0.021)</f>
        <v>0.021</v>
      </c>
      <c r="Q2608" s="14">
        <f>IFERROR(__xludf.DUMMYFUNCTION("""COMPUTED_VALUE"""),0.045)</f>
        <v>0.045</v>
      </c>
      <c r="R2608" s="14">
        <f>IFERROR(__xludf.DUMMYFUNCTION("""COMPUTED_VALUE"""),71.0)</f>
        <v>71</v>
      </c>
      <c r="S2608" s="14">
        <f>IFERROR(__xludf.DUMMYFUNCTION("""COMPUTED_VALUE"""),64.0)</f>
        <v>64</v>
      </c>
      <c r="T2608" s="14">
        <f>IFERROR(__xludf.DUMMYFUNCTION("""COMPUTED_VALUE"""),0.324)</f>
        <v>0.324</v>
      </c>
      <c r="U2608" s="14">
        <f>IFERROR(__xludf.DUMMYFUNCTION("""COMPUTED_VALUE"""),0.629)</f>
        <v>0.629</v>
      </c>
      <c r="V2608" s="14">
        <f>IFERROR(__xludf.DUMMYFUNCTION("""COMPUTED_VALUE"""),0.047)</f>
        <v>0.047</v>
      </c>
      <c r="W2608" s="14">
        <f>IFERROR(__xludf.DUMMYFUNCTION("""COMPUTED_VALUE"""),2.648825E7)</f>
        <v>26488250</v>
      </c>
      <c r="X2608" s="14">
        <f>IFERROR(__xludf.DUMMYFUNCTION("""COMPUTED_VALUE"""),0.365)</f>
        <v>0.365</v>
      </c>
      <c r="Y2608" s="14" t="str">
        <f>IFERROR(__xludf.DUMMYFUNCTION("""COMPUTED_VALUE"""),"Uzbekistan-Asia")</f>
        <v>Uzbekistan-Asia</v>
      </c>
      <c r="Z2608" s="14" t="str">
        <f>IFERROR(__xludf.DUMMYFUNCTION("""COMPUTED_VALUE"""),"Asia")</f>
        <v>Asia</v>
      </c>
      <c r="AA2608" s="14" t="str">
        <f>IFERROR(__xludf.DUMMYFUNCTION("""COMPUTED_VALUE"""),"2006")</f>
        <v>2006</v>
      </c>
      <c r="AB2608" s="15" t="str">
        <f>IFERROR(__xludf.DUMMYFUNCTION("ARRAYFORMULA(VLOOKUP(A2608,IMPORTRANGE(""https://docs.google.com/spreadsheets/d/1BuTWp7qHGjWhqrnf-OmePP568O4A5Am9ttzvVdP67zw/edit#gid=1931367683"" ,""ENERGY!$A$2:$F$2692""), {2,3,4,5,6},0))"),"Asia")</f>
        <v>Asia</v>
      </c>
      <c r="AC2608" s="14" t="str">
        <f>IFERROR(__xludf.DUMMYFUNCTION("""COMPUTED_VALUE"""),"Uzbekistan-Asia")</f>
        <v>Uzbekistan-Asia</v>
      </c>
      <c r="AD2608" s="14" t="str">
        <f>IFERROR(__xludf.DUMMYFUNCTION("""COMPUTED_VALUE"""),"2005")</f>
        <v>2005</v>
      </c>
      <c r="AE2608" s="14">
        <f>IFERROR(__xludf.DUMMYFUNCTION("""COMPUTED_VALUE"""),48872.0)</f>
        <v>48872</v>
      </c>
      <c r="AF2608" s="14">
        <f>IFERROR(__xludf.DUMMYFUNCTION("""COMPUTED_VALUE"""),116530.0)</f>
        <v>116530</v>
      </c>
    </row>
    <row r="2609">
      <c r="A2609" s="12">
        <v>2608.0</v>
      </c>
      <c r="B2609" s="12" t="s">
        <v>279</v>
      </c>
      <c r="C2609" s="5" t="s">
        <v>61</v>
      </c>
      <c r="D2609" s="11">
        <v>0.903</v>
      </c>
      <c r="E2609" s="11">
        <v>15.0</v>
      </c>
      <c r="F2609" s="8"/>
      <c r="G2609" s="11">
        <v>196.0</v>
      </c>
      <c r="H2609" s="11">
        <v>0.075</v>
      </c>
      <c r="I2609" s="11">
        <v>0.213</v>
      </c>
      <c r="J2609" s="9" t="s">
        <v>68</v>
      </c>
      <c r="K2609" s="14" t="str">
        <f>IFERROR(__xludf.DUMMYFUNCTION("ARRAYFORMULA(VLOOKUP(A2609,IMPORTRANGE(""https://docs.google.com/spreadsheets/d/1BuTWp7qHGjWhqrnf-OmePP568O4A5Am9ttzvVdP67zw/edit#gid=1603210130"", ""TOURISM!$A$2:$F$2692""), {2,3,4,5,6},0))"),"Asia")</f>
        <v>Asia</v>
      </c>
      <c r="L2609" s="14">
        <f>IFERROR(__xludf.DUMMYFUNCTION("""COMPUTED_VALUE"""),5.1E7)</f>
        <v>51000000</v>
      </c>
      <c r="M2609" s="14" t="str">
        <f>IFERROR(__xludf.DUMMYFUNCTION("""COMPUTED_VALUE"""),"Uzbekistan-Asia")</f>
        <v>Uzbekistan-Asia</v>
      </c>
      <c r="N2609" s="14" t="str">
        <f>IFERROR(__xludf.DUMMYFUNCTION("""COMPUTED_VALUE"""),"2007")</f>
        <v>2007</v>
      </c>
      <c r="O2609" s="14"/>
      <c r="P2609" s="15">
        <f>IFERROR(__xludf.DUMMYFUNCTION("ARRAYFORMULA(VLOOKUP(A2609,IMPORTRANGE(""https://docs.google.com/spreadsheets/d/1BuTWp7qHGjWhqrnf-OmePP568O4A5Am9ttzvVdP67zw/edit#gid=771602874"" ,""HUMAN RESOURCES!$A$2:$M$2692""), {2,3,4,5,6,7,8,9,10,11,12,13},0))"),0.023)</f>
        <v>0.023</v>
      </c>
      <c r="Q2609" s="14">
        <f>IFERROR(__xludf.DUMMYFUNCTION("""COMPUTED_VALUE"""),0.044)</f>
        <v>0.044</v>
      </c>
      <c r="R2609" s="14">
        <f>IFERROR(__xludf.DUMMYFUNCTION("""COMPUTED_VALUE"""),71.0)</f>
        <v>71</v>
      </c>
      <c r="S2609" s="14">
        <f>IFERROR(__xludf.DUMMYFUNCTION("""COMPUTED_VALUE"""),64.0)</f>
        <v>64</v>
      </c>
      <c r="T2609" s="14">
        <f>IFERROR(__xludf.DUMMYFUNCTION("""COMPUTED_VALUE"""),0.317)</f>
        <v>0.317</v>
      </c>
      <c r="U2609" s="14">
        <f>IFERROR(__xludf.DUMMYFUNCTION("""COMPUTED_VALUE"""),0.637)</f>
        <v>0.637</v>
      </c>
      <c r="V2609" s="14">
        <f>IFERROR(__xludf.DUMMYFUNCTION("""COMPUTED_VALUE"""),0.046)</f>
        <v>0.046</v>
      </c>
      <c r="W2609" s="14">
        <f>IFERROR(__xludf.DUMMYFUNCTION("""COMPUTED_VALUE"""),2.6868E7)</f>
        <v>26868000</v>
      </c>
      <c r="X2609" s="14">
        <f>IFERROR(__xludf.DUMMYFUNCTION("""COMPUTED_VALUE"""),0.364)</f>
        <v>0.364</v>
      </c>
      <c r="Y2609" s="14" t="str">
        <f>IFERROR(__xludf.DUMMYFUNCTION("""COMPUTED_VALUE"""),"Uzbekistan-Asia")</f>
        <v>Uzbekistan-Asia</v>
      </c>
      <c r="Z2609" s="14" t="str">
        <f>IFERROR(__xludf.DUMMYFUNCTION("""COMPUTED_VALUE"""),"Asia")</f>
        <v>Asia</v>
      </c>
      <c r="AA2609" s="14" t="str">
        <f>IFERROR(__xludf.DUMMYFUNCTION("""COMPUTED_VALUE"""),"2007")</f>
        <v>2007</v>
      </c>
      <c r="AB2609" s="15" t="str">
        <f>IFERROR(__xludf.DUMMYFUNCTION("ARRAYFORMULA(VLOOKUP(A2609,IMPORTRANGE(""https://docs.google.com/spreadsheets/d/1BuTWp7qHGjWhqrnf-OmePP568O4A5Am9ttzvVdP67zw/edit#gid=1931367683"" ,""ENERGY!$A$2:$F$2692""), {2,3,4,5,6},0))"),"Asia")</f>
        <v>Asia</v>
      </c>
      <c r="AC2609" s="14" t="str">
        <f>IFERROR(__xludf.DUMMYFUNCTION("""COMPUTED_VALUE"""),"Uzbekistan-Asia")</f>
        <v>Uzbekistan-Asia</v>
      </c>
      <c r="AD2609" s="14" t="str">
        <f>IFERROR(__xludf.DUMMYFUNCTION("""COMPUTED_VALUE"""),"2011")</f>
        <v>2011</v>
      </c>
      <c r="AE2609" s="14">
        <f>IFERROR(__xludf.DUMMYFUNCTION("""COMPUTED_VALUE"""),46965.0)</f>
        <v>46965</v>
      </c>
      <c r="AF2609" s="14">
        <f>IFERROR(__xludf.DUMMYFUNCTION("""COMPUTED_VALUE"""),111888.0)</f>
        <v>111888</v>
      </c>
    </row>
    <row r="2610">
      <c r="A2610" s="12">
        <v>2609.0</v>
      </c>
      <c r="B2610" s="12" t="s">
        <v>279</v>
      </c>
      <c r="C2610" s="5" t="s">
        <v>61</v>
      </c>
      <c r="D2610" s="11">
        <v>0.898</v>
      </c>
      <c r="E2610" s="11">
        <v>15.0</v>
      </c>
      <c r="F2610" s="8"/>
      <c r="G2610" s="11">
        <v>205.0</v>
      </c>
      <c r="H2610" s="11">
        <v>0.091</v>
      </c>
      <c r="I2610" s="11">
        <v>0.458</v>
      </c>
      <c r="J2610" s="9" t="s">
        <v>69</v>
      </c>
      <c r="K2610" s="14" t="str">
        <f>IFERROR(__xludf.DUMMYFUNCTION("ARRAYFORMULA(VLOOKUP(A2610,IMPORTRANGE(""https://docs.google.com/spreadsheets/d/1BuTWp7qHGjWhqrnf-OmePP568O4A5Am9ttzvVdP67zw/edit#gid=1603210130"", ""TOURISM!$A$2:$F$2692""), {2,3,4,5,6},0))"),"Asia")</f>
        <v>Asia</v>
      </c>
      <c r="L2610" s="14">
        <f>IFERROR(__xludf.DUMMYFUNCTION("""COMPUTED_VALUE"""),6.4E7)</f>
        <v>64000000</v>
      </c>
      <c r="M2610" s="14" t="str">
        <f>IFERROR(__xludf.DUMMYFUNCTION("""COMPUTED_VALUE"""),"Uzbekistan-Asia")</f>
        <v>Uzbekistan-Asia</v>
      </c>
      <c r="N2610" s="14" t="str">
        <f>IFERROR(__xludf.DUMMYFUNCTION("""COMPUTED_VALUE"""),"2008")</f>
        <v>2008</v>
      </c>
      <c r="O2610" s="14"/>
      <c r="P2610" s="15">
        <f>IFERROR(__xludf.DUMMYFUNCTION("ARRAYFORMULA(VLOOKUP(A2610,IMPORTRANGE(""https://docs.google.com/spreadsheets/d/1BuTWp7qHGjWhqrnf-OmePP568O4A5Am9ttzvVdP67zw/edit#gid=771602874"" ,""HUMAN RESOURCES!$A$2:$M$2692""), {2,3,4,5,6,7,8,9,10,11,12,13},0))"),0.024)</f>
        <v>0.024</v>
      </c>
      <c r="Q2610" s="14">
        <f>IFERROR(__xludf.DUMMYFUNCTION("""COMPUTED_VALUE"""),0.043)</f>
        <v>0.043</v>
      </c>
      <c r="R2610" s="14">
        <f>IFERROR(__xludf.DUMMYFUNCTION("""COMPUTED_VALUE"""),71.0)</f>
        <v>71</v>
      </c>
      <c r="S2610" s="14">
        <f>IFERROR(__xludf.DUMMYFUNCTION("""COMPUTED_VALUE"""),64.0)</f>
        <v>64</v>
      </c>
      <c r="T2610" s="14">
        <f>IFERROR(__xludf.DUMMYFUNCTION("""COMPUTED_VALUE"""),0.31)</f>
        <v>0.31</v>
      </c>
      <c r="U2610" s="14">
        <f>IFERROR(__xludf.DUMMYFUNCTION("""COMPUTED_VALUE"""),0.645)</f>
        <v>0.645</v>
      </c>
      <c r="V2610" s="14">
        <f>IFERROR(__xludf.DUMMYFUNCTION("""COMPUTED_VALUE"""),0.046)</f>
        <v>0.046</v>
      </c>
      <c r="W2610" s="14">
        <f>IFERROR(__xludf.DUMMYFUNCTION("""COMPUTED_VALUE"""),2.73028E7)</f>
        <v>27302800</v>
      </c>
      <c r="X2610" s="14">
        <f>IFERROR(__xludf.DUMMYFUNCTION("""COMPUTED_VALUE"""),0.363)</f>
        <v>0.363</v>
      </c>
      <c r="Y2610" s="14" t="str">
        <f>IFERROR(__xludf.DUMMYFUNCTION("""COMPUTED_VALUE"""),"Uzbekistan-Asia")</f>
        <v>Uzbekistan-Asia</v>
      </c>
      <c r="Z2610" s="14" t="str">
        <f>IFERROR(__xludf.DUMMYFUNCTION("""COMPUTED_VALUE"""),"Asia")</f>
        <v>Asia</v>
      </c>
      <c r="AA2610" s="14" t="str">
        <f>IFERROR(__xludf.DUMMYFUNCTION("""COMPUTED_VALUE"""),"2008")</f>
        <v>2008</v>
      </c>
      <c r="AB2610" s="15" t="str">
        <f>IFERROR(__xludf.DUMMYFUNCTION("ARRAYFORMULA(VLOOKUP(A2610,IMPORTRANGE(""https://docs.google.com/spreadsheets/d/1BuTWp7qHGjWhqrnf-OmePP568O4A5Am9ttzvVdP67zw/edit#gid=1931367683"" ,""ENERGY!$A$2:$F$2692""), {2,3,4,5,6},0))"),"Asia")</f>
        <v>Asia</v>
      </c>
      <c r="AC2610" s="14" t="str">
        <f>IFERROR(__xludf.DUMMYFUNCTION("""COMPUTED_VALUE"""),"Uzbekistan-Asia")</f>
        <v>Uzbekistan-Asia</v>
      </c>
      <c r="AD2610" s="14" t="str">
        <f>IFERROR(__xludf.DUMMYFUNCTION("""COMPUTED_VALUE"""),"2008")</f>
        <v>2008</v>
      </c>
      <c r="AE2610" s="14">
        <f>IFERROR(__xludf.DUMMYFUNCTION("""COMPUTED_VALUE"""),50678.0)</f>
        <v>50678</v>
      </c>
      <c r="AF2610" s="14">
        <f>IFERROR(__xludf.DUMMYFUNCTION("""COMPUTED_VALUE"""),119306.0)</f>
        <v>119306</v>
      </c>
    </row>
    <row r="2611">
      <c r="A2611" s="12">
        <v>2610.0</v>
      </c>
      <c r="B2611" s="12" t="s">
        <v>279</v>
      </c>
      <c r="C2611" s="5" t="s">
        <v>61</v>
      </c>
      <c r="D2611" s="11">
        <v>0.948</v>
      </c>
      <c r="E2611" s="11">
        <v>15.0</v>
      </c>
      <c r="F2611" s="8"/>
      <c r="G2611" s="11">
        <v>205.0</v>
      </c>
      <c r="H2611" s="11">
        <v>0.171</v>
      </c>
      <c r="I2611" s="11">
        <v>0.599</v>
      </c>
      <c r="J2611" s="9" t="s">
        <v>70</v>
      </c>
      <c r="K2611" s="14" t="str">
        <f>IFERROR(__xludf.DUMMYFUNCTION("ARRAYFORMULA(VLOOKUP(A2611,IMPORTRANGE(""https://docs.google.com/spreadsheets/d/1BuTWp7qHGjWhqrnf-OmePP568O4A5Am9ttzvVdP67zw/edit#gid=1603210130"", ""TOURISM!$A$2:$F$2692""), {2,3,4,5,6},0))"),"Asia")</f>
        <v>Asia</v>
      </c>
      <c r="L2611" s="14">
        <f>IFERROR(__xludf.DUMMYFUNCTION("""COMPUTED_VALUE"""),9.9E7)</f>
        <v>99000000</v>
      </c>
      <c r="M2611" s="14" t="str">
        <f>IFERROR(__xludf.DUMMYFUNCTION("""COMPUTED_VALUE"""),"Uzbekistan-Asia")</f>
        <v>Uzbekistan-Asia</v>
      </c>
      <c r="N2611" s="14" t="str">
        <f>IFERROR(__xludf.DUMMYFUNCTION("""COMPUTED_VALUE"""),"2009")</f>
        <v>2009</v>
      </c>
      <c r="O2611" s="14"/>
      <c r="P2611" s="15">
        <f>IFERROR(__xludf.DUMMYFUNCTION("ARRAYFORMULA(VLOOKUP(A2611,IMPORTRANGE(""https://docs.google.com/spreadsheets/d/1BuTWp7qHGjWhqrnf-OmePP568O4A5Am9ttzvVdP67zw/edit#gid=771602874"" ,""HUMAN RESOURCES!$A$2:$M$2692""), {2,3,4,5,6,7,8,9,10,11,12,13},0))"),0.023)</f>
        <v>0.023</v>
      </c>
      <c r="Q2611" s="14">
        <f>IFERROR(__xludf.DUMMYFUNCTION("""COMPUTED_VALUE"""),0.041)</f>
        <v>0.041</v>
      </c>
      <c r="R2611" s="14">
        <f>IFERROR(__xludf.DUMMYFUNCTION("""COMPUTED_VALUE"""),71.0)</f>
        <v>71</v>
      </c>
      <c r="S2611" s="14">
        <f>IFERROR(__xludf.DUMMYFUNCTION("""COMPUTED_VALUE"""),65.0)</f>
        <v>65</v>
      </c>
      <c r="T2611" s="14">
        <f>IFERROR(__xludf.DUMMYFUNCTION("""COMPUTED_VALUE"""),0.303)</f>
        <v>0.303</v>
      </c>
      <c r="U2611" s="14">
        <f>IFERROR(__xludf.DUMMYFUNCTION("""COMPUTED_VALUE"""),0.652)</f>
        <v>0.652</v>
      </c>
      <c r="V2611" s="14">
        <f>IFERROR(__xludf.DUMMYFUNCTION("""COMPUTED_VALUE"""),0.045)</f>
        <v>0.045</v>
      </c>
      <c r="W2611" s="14">
        <f>IFERROR(__xludf.DUMMYFUNCTION("""COMPUTED_VALUE"""),2.77674E7)</f>
        <v>27767400</v>
      </c>
      <c r="X2611" s="14">
        <f>IFERROR(__xludf.DUMMYFUNCTION("""COMPUTED_VALUE"""),0.362)</f>
        <v>0.362</v>
      </c>
      <c r="Y2611" s="14" t="str">
        <f>IFERROR(__xludf.DUMMYFUNCTION("""COMPUTED_VALUE"""),"Uzbekistan-Asia")</f>
        <v>Uzbekistan-Asia</v>
      </c>
      <c r="Z2611" s="14" t="str">
        <f>IFERROR(__xludf.DUMMYFUNCTION("""COMPUTED_VALUE"""),"Asia")</f>
        <v>Asia</v>
      </c>
      <c r="AA2611" s="14" t="str">
        <f>IFERROR(__xludf.DUMMYFUNCTION("""COMPUTED_VALUE"""),"2009")</f>
        <v>2009</v>
      </c>
      <c r="AB2611" s="15" t="str">
        <f>IFERROR(__xludf.DUMMYFUNCTION("ARRAYFORMULA(VLOOKUP(A2611,IMPORTRANGE(""https://docs.google.com/spreadsheets/d/1BuTWp7qHGjWhqrnf-OmePP568O4A5Am9ttzvVdP67zw/edit#gid=1931367683"" ,""ENERGY!$A$2:$F$2692""), {2,3,4,5,6},0))"),"Asia")</f>
        <v>Asia</v>
      </c>
      <c r="AC2611" s="14" t="str">
        <f>IFERROR(__xludf.DUMMYFUNCTION("""COMPUTED_VALUE"""),"Uzbekistan-Asia")</f>
        <v>Uzbekistan-Asia</v>
      </c>
      <c r="AD2611" s="14" t="str">
        <f>IFERROR(__xludf.DUMMYFUNCTION("""COMPUTED_VALUE"""),"2012")</f>
        <v>2012</v>
      </c>
      <c r="AE2611" s="14">
        <f>IFERROR(__xludf.DUMMYFUNCTION("""COMPUTED_VALUE"""),51412.0)</f>
        <v>51412</v>
      </c>
      <c r="AF2611" s="14">
        <f>IFERROR(__xludf.DUMMYFUNCTION("""COMPUTED_VALUE"""),122683.0)</f>
        <v>122683</v>
      </c>
    </row>
    <row r="2612">
      <c r="A2612" s="12">
        <v>2611.0</v>
      </c>
      <c r="B2612" s="12" t="s">
        <v>279</v>
      </c>
      <c r="C2612" s="5" t="s">
        <v>61</v>
      </c>
      <c r="D2612" s="11">
        <v>0.956</v>
      </c>
      <c r="E2612" s="11">
        <v>15.0</v>
      </c>
      <c r="F2612" s="8"/>
      <c r="G2612" s="11">
        <v>205.0</v>
      </c>
      <c r="H2612" s="11">
        <v>0.2</v>
      </c>
      <c r="I2612" s="11">
        <v>0.755</v>
      </c>
      <c r="J2612" s="9" t="s">
        <v>71</v>
      </c>
      <c r="K2612" s="14" t="str">
        <f>IFERROR(__xludf.DUMMYFUNCTION("ARRAYFORMULA(VLOOKUP(A2612,IMPORTRANGE(""https://docs.google.com/spreadsheets/d/1BuTWp7qHGjWhqrnf-OmePP568O4A5Am9ttzvVdP67zw/edit#gid=1603210130"", ""TOURISM!$A$2:$F$2692""), {2,3,4,5,6},0))"),"Asia")</f>
        <v>Asia</v>
      </c>
      <c r="L2612" s="14">
        <f>IFERROR(__xludf.DUMMYFUNCTION("""COMPUTED_VALUE"""),1.21E8)</f>
        <v>121000000</v>
      </c>
      <c r="M2612" s="14" t="str">
        <f>IFERROR(__xludf.DUMMYFUNCTION("""COMPUTED_VALUE"""),"Uzbekistan-Asia")</f>
        <v>Uzbekistan-Asia</v>
      </c>
      <c r="N2612" s="14" t="str">
        <f>IFERROR(__xludf.DUMMYFUNCTION("""COMPUTED_VALUE"""),"2010")</f>
        <v>2010</v>
      </c>
      <c r="O2612" s="14"/>
      <c r="P2612" s="15">
        <f>IFERROR(__xludf.DUMMYFUNCTION("ARRAYFORMULA(VLOOKUP(A2612,IMPORTRANGE(""https://docs.google.com/spreadsheets/d/1BuTWp7qHGjWhqrnf-OmePP568O4A5Am9ttzvVdP67zw/edit#gid=771602874"" ,""HUMAN RESOURCES!$A$2:$M$2692""), {2,3,4,5,6,7,8,9,10,11,12,13},0))"),0.023)</f>
        <v>0.023</v>
      </c>
      <c r="Q2612" s="14">
        <f>IFERROR(__xludf.DUMMYFUNCTION("""COMPUTED_VALUE"""),0.04)</f>
        <v>0.04</v>
      </c>
      <c r="R2612" s="14">
        <f>IFERROR(__xludf.DUMMYFUNCTION("""COMPUTED_VALUE"""),71.0)</f>
        <v>71</v>
      </c>
      <c r="S2612" s="14">
        <f>IFERROR(__xludf.DUMMYFUNCTION("""COMPUTED_VALUE"""),65.0)</f>
        <v>65</v>
      </c>
      <c r="T2612" s="14">
        <f>IFERROR(__xludf.DUMMYFUNCTION("""COMPUTED_VALUE"""),0.298)</f>
        <v>0.298</v>
      </c>
      <c r="U2612" s="14">
        <f>IFERROR(__xludf.DUMMYFUNCTION("""COMPUTED_VALUE"""),0.658)</f>
        <v>0.658</v>
      </c>
      <c r="V2612" s="14">
        <f>IFERROR(__xludf.DUMMYFUNCTION("""COMPUTED_VALUE"""),0.044)</f>
        <v>0.044</v>
      </c>
      <c r="W2612" s="14">
        <f>IFERROR(__xludf.DUMMYFUNCTION("""COMPUTED_VALUE"""),2.85624E7)</f>
        <v>28562400</v>
      </c>
      <c r="X2612" s="14">
        <f>IFERROR(__xludf.DUMMYFUNCTION("""COMPUTED_VALUE"""),0.362)</f>
        <v>0.362</v>
      </c>
      <c r="Y2612" s="14" t="str">
        <f>IFERROR(__xludf.DUMMYFUNCTION("""COMPUTED_VALUE"""),"Uzbekistan-Asia")</f>
        <v>Uzbekistan-Asia</v>
      </c>
      <c r="Z2612" s="14" t="str">
        <f>IFERROR(__xludf.DUMMYFUNCTION("""COMPUTED_VALUE"""),"Asia")</f>
        <v>Asia</v>
      </c>
      <c r="AA2612" s="14" t="str">
        <f>IFERROR(__xludf.DUMMYFUNCTION("""COMPUTED_VALUE"""),"2010")</f>
        <v>2010</v>
      </c>
      <c r="AB2612" s="15" t="str">
        <f>IFERROR(__xludf.DUMMYFUNCTION("ARRAYFORMULA(VLOOKUP(A2612,IMPORTRANGE(""https://docs.google.com/spreadsheets/d/1BuTWp7qHGjWhqrnf-OmePP568O4A5Am9ttzvVdP67zw/edit#gid=1931367683"" ,""ENERGY!$A$2:$F$2692""), {2,3,4,5,6},0))"),"Asia")</f>
        <v>Asia</v>
      </c>
      <c r="AC2612" s="14" t="str">
        <f>IFERROR(__xludf.DUMMYFUNCTION("""COMPUTED_VALUE"""),"Uzbekistan-Asia")</f>
        <v>Uzbekistan-Asia</v>
      </c>
      <c r="AD2612" s="14" t="str">
        <f>IFERROR(__xludf.DUMMYFUNCTION("""COMPUTED_VALUE"""),"2010")</f>
        <v>2010</v>
      </c>
      <c r="AE2612" s="14">
        <f>IFERROR(__xludf.DUMMYFUNCTION("""COMPUTED_VALUE"""),53188.0)</f>
        <v>53188</v>
      </c>
      <c r="AF2612" s="14">
        <f>IFERROR(__xludf.DUMMYFUNCTION("""COMPUTED_VALUE"""),126915.0)</f>
        <v>126915</v>
      </c>
    </row>
    <row r="2613">
      <c r="A2613" s="12">
        <v>2612.0</v>
      </c>
      <c r="B2613" s="12" t="s">
        <v>279</v>
      </c>
      <c r="C2613" s="5" t="s">
        <v>61</v>
      </c>
      <c r="D2613" s="11">
        <v>0.975</v>
      </c>
      <c r="E2613" s="11">
        <v>14.0</v>
      </c>
      <c r="F2613" s="8"/>
      <c r="G2613" s="11">
        <v>205.0</v>
      </c>
      <c r="H2613" s="11">
        <v>0.302</v>
      </c>
      <c r="I2613" s="11">
        <v>0.904</v>
      </c>
      <c r="J2613" s="9" t="s">
        <v>72</v>
      </c>
      <c r="K2613" s="14" t="str">
        <f>IFERROR(__xludf.DUMMYFUNCTION("ARRAYFORMULA(VLOOKUP(A2613,IMPORTRANGE(""https://docs.google.com/spreadsheets/d/1BuTWp7qHGjWhqrnf-OmePP568O4A5Am9ttzvVdP67zw/edit#gid=1603210130"", ""TOURISM!$A$2:$F$2692""), {2,3,4,5,6},0))"),"Asia")</f>
        <v>Asia</v>
      </c>
      <c r="L2613" s="14"/>
      <c r="M2613" s="14" t="str">
        <f>IFERROR(__xludf.DUMMYFUNCTION("""COMPUTED_VALUE"""),"Uzbekistan-Asia")</f>
        <v>Uzbekistan-Asia</v>
      </c>
      <c r="N2613" s="14" t="str">
        <f>IFERROR(__xludf.DUMMYFUNCTION("""COMPUTED_VALUE"""),"2011")</f>
        <v>2011</v>
      </c>
      <c r="O2613" s="14"/>
      <c r="P2613" s="15">
        <f>IFERROR(__xludf.DUMMYFUNCTION("ARRAYFORMULA(VLOOKUP(A2613,IMPORTRANGE(""https://docs.google.com/spreadsheets/d/1BuTWp7qHGjWhqrnf-OmePP568O4A5Am9ttzvVdP67zw/edit#gid=771602874"" ,""HUMAN RESOURCES!$A$2:$M$2692""), {2,3,4,5,6,7,8,9,10,11,12,13},0))"),0.022)</f>
        <v>0.022</v>
      </c>
      <c r="Q2613" s="14">
        <f>IFERROR(__xludf.DUMMYFUNCTION("""COMPUTED_VALUE"""),0.039)</f>
        <v>0.039</v>
      </c>
      <c r="R2613" s="14">
        <f>IFERROR(__xludf.DUMMYFUNCTION("""COMPUTED_VALUE"""),71.0)</f>
        <v>71</v>
      </c>
      <c r="S2613" s="14">
        <f>IFERROR(__xludf.DUMMYFUNCTION("""COMPUTED_VALUE"""),65.0)</f>
        <v>65</v>
      </c>
      <c r="T2613" s="14">
        <f>IFERROR(__xludf.DUMMYFUNCTION("""COMPUTED_VALUE"""),0.293)</f>
        <v>0.293</v>
      </c>
      <c r="U2613" s="14">
        <f>IFERROR(__xludf.DUMMYFUNCTION("""COMPUTED_VALUE"""),0.664)</f>
        <v>0.664</v>
      </c>
      <c r="V2613" s="14">
        <f>IFERROR(__xludf.DUMMYFUNCTION("""COMPUTED_VALUE"""),0.043)</f>
        <v>0.043</v>
      </c>
      <c r="W2613" s="14">
        <f>IFERROR(__xludf.DUMMYFUNCTION("""COMPUTED_VALUE"""),2.93394E7)</f>
        <v>29339400</v>
      </c>
      <c r="X2613" s="14">
        <f>IFERROR(__xludf.DUMMYFUNCTION("""COMPUTED_VALUE"""),0.362)</f>
        <v>0.362</v>
      </c>
      <c r="Y2613" s="14" t="str">
        <f>IFERROR(__xludf.DUMMYFUNCTION("""COMPUTED_VALUE"""),"Uzbekistan-Asia")</f>
        <v>Uzbekistan-Asia</v>
      </c>
      <c r="Z2613" s="14" t="str">
        <f>IFERROR(__xludf.DUMMYFUNCTION("""COMPUTED_VALUE"""),"Asia")</f>
        <v>Asia</v>
      </c>
      <c r="AA2613" s="14" t="str">
        <f>IFERROR(__xludf.DUMMYFUNCTION("""COMPUTED_VALUE"""),"2011")</f>
        <v>2011</v>
      </c>
      <c r="AB2613" s="15" t="str">
        <f>IFERROR(__xludf.DUMMYFUNCTION("ARRAYFORMULA(VLOOKUP(A2613,IMPORTRANGE(""https://docs.google.com/spreadsheets/d/1BuTWp7qHGjWhqrnf-OmePP568O4A5Am9ttzvVdP67zw/edit#gid=1931367683"" ,""ENERGY!$A$2:$F$2692""), {2,3,4,5,6},0))"),"Asia")</f>
        <v>Asia</v>
      </c>
      <c r="AC2613" s="14" t="str">
        <f>IFERROR(__xludf.DUMMYFUNCTION("""COMPUTED_VALUE"""),"Uzbekistan-Asia")</f>
        <v>Uzbekistan-Asia</v>
      </c>
      <c r="AD2613" s="14" t="str">
        <f>IFERROR(__xludf.DUMMYFUNCTION("""COMPUTED_VALUE"""),"2008")</f>
        <v>2008</v>
      </c>
      <c r="AE2613" s="14">
        <f>IFERROR(__xludf.DUMMYFUNCTION("""COMPUTED_VALUE"""),51070.0)</f>
        <v>51070</v>
      </c>
      <c r="AF2613" s="14">
        <f>IFERROR(__xludf.DUMMYFUNCTION("""COMPUTED_VALUE"""),122038.0)</f>
        <v>122038</v>
      </c>
    </row>
    <row r="2614">
      <c r="A2614" s="12">
        <v>2613.0</v>
      </c>
      <c r="B2614" s="12" t="s">
        <v>279</v>
      </c>
      <c r="C2614" s="5" t="s">
        <v>61</v>
      </c>
      <c r="D2614" s="11">
        <v>0.985</v>
      </c>
      <c r="E2614" s="11">
        <v>12.0</v>
      </c>
      <c r="F2614" s="11">
        <v>156.0</v>
      </c>
      <c r="G2614" s="11">
        <v>205.0</v>
      </c>
      <c r="H2614" s="11">
        <v>0.365</v>
      </c>
      <c r="I2614" s="11">
        <v>0.71</v>
      </c>
      <c r="J2614" s="9" t="s">
        <v>73</v>
      </c>
      <c r="K2614" s="14" t="str">
        <f>IFERROR(__xludf.DUMMYFUNCTION("ARRAYFORMULA(VLOOKUP(A2614,IMPORTRANGE(""https://docs.google.com/spreadsheets/d/1BuTWp7qHGjWhqrnf-OmePP568O4A5Am9ttzvVdP67zw/edit#gid=1603210130"", ""TOURISM!$A$2:$F$2692""), {2,3,4,5,6},0))"),"Asia")</f>
        <v>Asia</v>
      </c>
      <c r="L2614" s="14"/>
      <c r="M2614" s="14" t="str">
        <f>IFERROR(__xludf.DUMMYFUNCTION("""COMPUTED_VALUE"""),"Uzbekistan-Asia")</f>
        <v>Uzbekistan-Asia</v>
      </c>
      <c r="N2614" s="14" t="str">
        <f>IFERROR(__xludf.DUMMYFUNCTION("""COMPUTED_VALUE"""),"2012")</f>
        <v>2012</v>
      </c>
      <c r="O2614" s="14"/>
      <c r="P2614" s="15">
        <f>IFERROR(__xludf.DUMMYFUNCTION("ARRAYFORMULA(VLOOKUP(A2614,IMPORTRANGE(""https://docs.google.com/spreadsheets/d/1BuTWp7qHGjWhqrnf-OmePP568O4A5Am9ttzvVdP67zw/edit#gid=771602874"" ,""HUMAN RESOURCES!$A$2:$M$2692""), {2,3,4,5,6,7,8,9,10,11,12,13},0))"),0.021)</f>
        <v>0.021</v>
      </c>
      <c r="Q2614" s="14">
        <f>IFERROR(__xludf.DUMMYFUNCTION("""COMPUTED_VALUE"""),0.038)</f>
        <v>0.038</v>
      </c>
      <c r="R2614" s="14">
        <f>IFERROR(__xludf.DUMMYFUNCTION("""COMPUTED_VALUE"""),72.0)</f>
        <v>72</v>
      </c>
      <c r="S2614" s="14">
        <f>IFERROR(__xludf.DUMMYFUNCTION("""COMPUTED_VALUE"""),65.0)</f>
        <v>65</v>
      </c>
      <c r="T2614" s="14">
        <f>IFERROR(__xludf.DUMMYFUNCTION("""COMPUTED_VALUE"""),0.289)</f>
        <v>0.289</v>
      </c>
      <c r="U2614" s="14">
        <f>IFERROR(__xludf.DUMMYFUNCTION("""COMPUTED_VALUE"""),0.668)</f>
        <v>0.668</v>
      </c>
      <c r="V2614" s="14">
        <f>IFERROR(__xludf.DUMMYFUNCTION("""COMPUTED_VALUE"""),0.043)</f>
        <v>0.043</v>
      </c>
      <c r="W2614" s="14">
        <f>IFERROR(__xludf.DUMMYFUNCTION("""COMPUTED_VALUE"""),2.97745E7)</f>
        <v>29774500</v>
      </c>
      <c r="X2614" s="14">
        <f>IFERROR(__xludf.DUMMYFUNCTION("""COMPUTED_VALUE"""),0.362)</f>
        <v>0.362</v>
      </c>
      <c r="Y2614" s="14" t="str">
        <f>IFERROR(__xludf.DUMMYFUNCTION("""COMPUTED_VALUE"""),"Uzbekistan-Asia")</f>
        <v>Uzbekistan-Asia</v>
      </c>
      <c r="Z2614" s="14" t="str">
        <f>IFERROR(__xludf.DUMMYFUNCTION("""COMPUTED_VALUE"""),"Asia")</f>
        <v>Asia</v>
      </c>
      <c r="AA2614" s="14" t="str">
        <f>IFERROR(__xludf.DUMMYFUNCTION("""COMPUTED_VALUE"""),"2012")</f>
        <v>2012</v>
      </c>
      <c r="AB2614" s="15" t="str">
        <f>IFERROR(__xludf.DUMMYFUNCTION("ARRAYFORMULA(VLOOKUP(A2614,IMPORTRANGE(""https://docs.google.com/spreadsheets/d/1BuTWp7qHGjWhqrnf-OmePP568O4A5Am9ttzvVdP67zw/edit#gid=1931367683"" ,""ENERGY!$A$2:$F$2692""), {2,3,4,5,6},0))"),"Asia")</f>
        <v>Asia</v>
      </c>
      <c r="AC2614" s="14" t="str">
        <f>IFERROR(__xludf.DUMMYFUNCTION("""COMPUTED_VALUE"""),"Uzbekistan-Asia")</f>
        <v>Uzbekistan-Asia</v>
      </c>
      <c r="AD2614" s="14" t="str">
        <f>IFERROR(__xludf.DUMMYFUNCTION("""COMPUTED_VALUE"""),"2012")</f>
        <v>2012</v>
      </c>
      <c r="AE2614" s="14">
        <f>IFERROR(__xludf.DUMMYFUNCTION("""COMPUTED_VALUE"""),50757.0)</f>
        <v>50757</v>
      </c>
      <c r="AF2614" s="14">
        <f>IFERROR(__xludf.DUMMYFUNCTION("""COMPUTED_VALUE"""),119951.0)</f>
        <v>119951</v>
      </c>
    </row>
    <row r="2615">
      <c r="A2615" s="12">
        <v>2614.0</v>
      </c>
      <c r="B2615" s="12" t="s">
        <v>280</v>
      </c>
      <c r="C2615" s="5" t="s">
        <v>80</v>
      </c>
      <c r="D2615" s="8"/>
      <c r="E2615" s="8"/>
      <c r="F2615" s="8"/>
      <c r="G2615" s="8"/>
      <c r="H2615" s="11">
        <v>0.021</v>
      </c>
      <c r="I2615" s="11">
        <v>0.002</v>
      </c>
      <c r="J2615" s="9" t="s">
        <v>60</v>
      </c>
      <c r="K2615" s="14" t="str">
        <f>IFERROR(__xludf.DUMMYFUNCTION("ARRAYFORMULA(VLOOKUP(A2615,IMPORTRANGE(""https://docs.google.com/spreadsheets/d/1BuTWp7qHGjWhqrnf-OmePP568O4A5Am9ttzvVdP67zw/edit#gid=1603210130"", ""TOURISM!$A$2:$F$2692""), {2,3,4,5,6},0))"),"Oceania")</f>
        <v>Oceania</v>
      </c>
      <c r="L2615" s="14">
        <f>IFERROR(__xludf.DUMMYFUNCTION("""COMPUTED_VALUE"""),6.9E7)</f>
        <v>69000000</v>
      </c>
      <c r="M2615" s="14" t="str">
        <f>IFERROR(__xludf.DUMMYFUNCTION("""COMPUTED_VALUE"""),"Vanuatu-Oceania")</f>
        <v>Vanuatu-Oceania</v>
      </c>
      <c r="N2615" s="14" t="str">
        <f>IFERROR(__xludf.DUMMYFUNCTION("""COMPUTED_VALUE"""),"2000")</f>
        <v>2000</v>
      </c>
      <c r="O2615" s="14">
        <f>IFERROR(__xludf.DUMMYFUNCTION("""COMPUTED_VALUE"""),9000000.0)</f>
        <v>9000000</v>
      </c>
      <c r="P2615" s="15">
        <f>IFERROR(__xludf.DUMMYFUNCTION("ARRAYFORMULA(VLOOKUP(A2615,IMPORTRANGE(""https://docs.google.com/spreadsheets/d/1BuTWp7qHGjWhqrnf-OmePP568O4A5Am9ttzvVdP67zw/edit#gid=771602874"" ,""HUMAN RESOURCES!$A$2:$M$2692""), {2,3,4,5,6,7,8,9,10,11,12,13},0))"),0.032)</f>
        <v>0.032</v>
      </c>
      <c r="Q2615" s="14">
        <f>IFERROR(__xludf.DUMMYFUNCTION("""COMPUTED_VALUE"""),0.02)</f>
        <v>0.02</v>
      </c>
      <c r="R2615" s="14">
        <f>IFERROR(__xludf.DUMMYFUNCTION("""COMPUTED_VALUE"""),69.0)</f>
        <v>69</v>
      </c>
      <c r="S2615" s="14">
        <f>IFERROR(__xludf.DUMMYFUNCTION("""COMPUTED_VALUE"""),66.0)</f>
        <v>66</v>
      </c>
      <c r="T2615" s="14">
        <f>IFERROR(__xludf.DUMMYFUNCTION("""COMPUTED_VALUE"""),0.415)</f>
        <v>0.415</v>
      </c>
      <c r="U2615" s="14">
        <f>IFERROR(__xludf.DUMMYFUNCTION("""COMPUTED_VALUE"""),0.552)</f>
        <v>0.552</v>
      </c>
      <c r="V2615" s="14">
        <f>IFERROR(__xludf.DUMMYFUNCTION("""COMPUTED_VALUE"""),0.033)</f>
        <v>0.033</v>
      </c>
      <c r="W2615" s="14">
        <f>IFERROR(__xludf.DUMMYFUNCTION("""COMPUTED_VALUE"""),185058.0)</f>
        <v>185058</v>
      </c>
      <c r="X2615" s="14">
        <f>IFERROR(__xludf.DUMMYFUNCTION("""COMPUTED_VALUE"""),0.217)</f>
        <v>0.217</v>
      </c>
      <c r="Y2615" s="14" t="str">
        <f>IFERROR(__xludf.DUMMYFUNCTION("""COMPUTED_VALUE"""),"Vanuatu-Oceania")</f>
        <v>Vanuatu-Oceania</v>
      </c>
      <c r="Z2615" s="14" t="str">
        <f>IFERROR(__xludf.DUMMYFUNCTION("""COMPUTED_VALUE"""),"Oceania")</f>
        <v>Oceania</v>
      </c>
      <c r="AA2615" s="14" t="str">
        <f>IFERROR(__xludf.DUMMYFUNCTION("""COMPUTED_VALUE"""),"2000")</f>
        <v>2000</v>
      </c>
      <c r="AB2615" s="15" t="str">
        <f>IFERROR(__xludf.DUMMYFUNCTION("ARRAYFORMULA(VLOOKUP(A2615,IMPORTRANGE(""https://docs.google.com/spreadsheets/d/1BuTWp7qHGjWhqrnf-OmePP568O4A5Am9ttzvVdP67zw/edit#gid=1931367683"" ,""ENERGY!$A$2:$F$2692""), {2,3,4,5,6},0))"),"Oceania")</f>
        <v>Oceania</v>
      </c>
      <c r="AC2615" s="14" t="str">
        <f>IFERROR(__xludf.DUMMYFUNCTION("""COMPUTED_VALUE"""),"Vanuatu-Oceania")</f>
        <v>Vanuatu-Oceania</v>
      </c>
      <c r="AD2615" s="14" t="str">
        <f>IFERROR(__xludf.DUMMYFUNCTION("""COMPUTED_VALUE"""),"2000")</f>
        <v>2000</v>
      </c>
      <c r="AE2615" s="14"/>
      <c r="AF2615" s="14"/>
    </row>
    <row r="2616">
      <c r="A2616" s="12">
        <v>2615.0</v>
      </c>
      <c r="B2616" s="12" t="s">
        <v>280</v>
      </c>
      <c r="C2616" s="5" t="s">
        <v>80</v>
      </c>
      <c r="D2616" s="8"/>
      <c r="E2616" s="8"/>
      <c r="F2616" s="8"/>
      <c r="G2616" s="8"/>
      <c r="H2616" s="11">
        <v>0.028</v>
      </c>
      <c r="I2616" s="11">
        <v>0.002</v>
      </c>
      <c r="J2616" s="9" t="s">
        <v>62</v>
      </c>
      <c r="K2616" s="14" t="str">
        <f>IFERROR(__xludf.DUMMYFUNCTION("ARRAYFORMULA(VLOOKUP(A2616,IMPORTRANGE(""https://docs.google.com/spreadsheets/d/1BuTWp7qHGjWhqrnf-OmePP568O4A5Am9ttzvVdP67zw/edit#gid=1603210130"", ""TOURISM!$A$2:$F$2692""), {2,3,4,5,6},0))"),"Oceania")</f>
        <v>Oceania</v>
      </c>
      <c r="L2616" s="14">
        <f>IFERROR(__xludf.DUMMYFUNCTION("""COMPUTED_VALUE"""),5.8E7)</f>
        <v>58000000</v>
      </c>
      <c r="M2616" s="14" t="str">
        <f>IFERROR(__xludf.DUMMYFUNCTION("""COMPUTED_VALUE"""),"Vanuatu-Oceania")</f>
        <v>Vanuatu-Oceania</v>
      </c>
      <c r="N2616" s="14" t="str">
        <f>IFERROR(__xludf.DUMMYFUNCTION("""COMPUTED_VALUE"""),"2001")</f>
        <v>2001</v>
      </c>
      <c r="O2616" s="14">
        <f>IFERROR(__xludf.DUMMYFUNCTION("""COMPUTED_VALUE"""),8000000.0)</f>
        <v>8000000</v>
      </c>
      <c r="P2616" s="15">
        <f>IFERROR(__xludf.DUMMYFUNCTION("ARRAYFORMULA(VLOOKUP(A2616,IMPORTRANGE(""https://docs.google.com/spreadsheets/d/1BuTWp7qHGjWhqrnf-OmePP568O4A5Am9ttzvVdP67zw/edit#gid=771602874"" ,""HUMAN RESOURCES!$A$2:$M$2692""), {2,3,4,5,6,7,8,9,10,11,12,13},0))"),0.032)</f>
        <v>0.032</v>
      </c>
      <c r="Q2616" s="14">
        <f>IFERROR(__xludf.DUMMYFUNCTION("""COMPUTED_VALUE"""),0.019)</f>
        <v>0.019</v>
      </c>
      <c r="R2616" s="14">
        <f>IFERROR(__xludf.DUMMYFUNCTION("""COMPUTED_VALUE"""),70.0)</f>
        <v>70</v>
      </c>
      <c r="S2616" s="14">
        <f>IFERROR(__xludf.DUMMYFUNCTION("""COMPUTED_VALUE"""),66.0)</f>
        <v>66</v>
      </c>
      <c r="T2616" s="14">
        <f>IFERROR(__xludf.DUMMYFUNCTION("""COMPUTED_VALUE"""),0.411)</f>
        <v>0.411</v>
      </c>
      <c r="U2616" s="14">
        <f>IFERROR(__xludf.DUMMYFUNCTION("""COMPUTED_VALUE"""),0.556)</f>
        <v>0.556</v>
      </c>
      <c r="V2616" s="14">
        <f>IFERROR(__xludf.DUMMYFUNCTION("""COMPUTED_VALUE"""),0.033)</f>
        <v>0.033</v>
      </c>
      <c r="W2616" s="14">
        <f>IFERROR(__xludf.DUMMYFUNCTION("""COMPUTED_VALUE"""),189285.0)</f>
        <v>189285</v>
      </c>
      <c r="X2616" s="14">
        <f>IFERROR(__xludf.DUMMYFUNCTION("""COMPUTED_VALUE"""),0.22)</f>
        <v>0.22</v>
      </c>
      <c r="Y2616" s="14" t="str">
        <f>IFERROR(__xludf.DUMMYFUNCTION("""COMPUTED_VALUE"""),"Vanuatu-Oceania")</f>
        <v>Vanuatu-Oceania</v>
      </c>
      <c r="Z2616" s="14" t="str">
        <f>IFERROR(__xludf.DUMMYFUNCTION("""COMPUTED_VALUE"""),"Oceania")</f>
        <v>Oceania</v>
      </c>
      <c r="AA2616" s="14" t="str">
        <f>IFERROR(__xludf.DUMMYFUNCTION("""COMPUTED_VALUE"""),"2001")</f>
        <v>2001</v>
      </c>
      <c r="AB2616" s="15" t="str">
        <f>IFERROR(__xludf.DUMMYFUNCTION("ARRAYFORMULA(VLOOKUP(A2616,IMPORTRANGE(""https://docs.google.com/spreadsheets/d/1BuTWp7qHGjWhqrnf-OmePP568O4A5Am9ttzvVdP67zw/edit#gid=1931367683"" ,""ENERGY!$A$2:$F$2692""), {2,3,4,5,6},0))"),"Oceania")</f>
        <v>Oceania</v>
      </c>
      <c r="AC2616" s="14" t="str">
        <f>IFERROR(__xludf.DUMMYFUNCTION("""COMPUTED_VALUE"""),"Vanuatu-Oceania")</f>
        <v>Vanuatu-Oceania</v>
      </c>
      <c r="AD2616" s="14" t="str">
        <f>IFERROR(__xludf.DUMMYFUNCTION("""COMPUTED_VALUE"""),"2001")</f>
        <v>2001</v>
      </c>
      <c r="AE2616" s="14"/>
      <c r="AF2616" s="14"/>
    </row>
    <row r="2617">
      <c r="A2617" s="12">
        <v>2616.0</v>
      </c>
      <c r="B2617" s="12" t="s">
        <v>280</v>
      </c>
      <c r="C2617" s="5" t="s">
        <v>80</v>
      </c>
      <c r="D2617" s="8"/>
      <c r="E2617" s="8"/>
      <c r="F2617" s="8"/>
      <c r="G2617" s="8"/>
      <c r="H2617" s="11">
        <v>0.035</v>
      </c>
      <c r="I2617" s="11">
        <v>0.025</v>
      </c>
      <c r="J2617" s="9" t="s">
        <v>63</v>
      </c>
      <c r="K2617" s="14" t="str">
        <f>IFERROR(__xludf.DUMMYFUNCTION("ARRAYFORMULA(VLOOKUP(A2617,IMPORTRANGE(""https://docs.google.com/spreadsheets/d/1BuTWp7qHGjWhqrnf-OmePP568O4A5Am9ttzvVdP67zw/edit#gid=1603210130"", ""TOURISM!$A$2:$F$2692""), {2,3,4,5,6},0))"),"Oceania")</f>
        <v>Oceania</v>
      </c>
      <c r="L2617" s="14">
        <f>IFERROR(__xludf.DUMMYFUNCTION("""COMPUTED_VALUE"""),7.2E7)</f>
        <v>72000000</v>
      </c>
      <c r="M2617" s="14" t="str">
        <f>IFERROR(__xludf.DUMMYFUNCTION("""COMPUTED_VALUE"""),"Vanuatu-Oceania")</f>
        <v>Vanuatu-Oceania</v>
      </c>
      <c r="N2617" s="14" t="str">
        <f>IFERROR(__xludf.DUMMYFUNCTION("""COMPUTED_VALUE"""),"2002")</f>
        <v>2002</v>
      </c>
      <c r="O2617" s="14">
        <f>IFERROR(__xludf.DUMMYFUNCTION("""COMPUTED_VALUE"""),1.1E7)</f>
        <v>11000000</v>
      </c>
      <c r="P2617" s="15">
        <f>IFERROR(__xludf.DUMMYFUNCTION("ARRAYFORMULA(VLOOKUP(A2617,IMPORTRANGE(""https://docs.google.com/spreadsheets/d/1BuTWp7qHGjWhqrnf-OmePP568O4A5Am9ttzvVdP67zw/edit#gid=771602874"" ,""HUMAN RESOURCES!$A$2:$M$2692""), {2,3,4,5,6,7,8,9,10,11,12,13},0))"),0.031)</f>
        <v>0.031</v>
      </c>
      <c r="Q2617" s="14">
        <f>IFERROR(__xludf.DUMMYFUNCTION("""COMPUTED_VALUE"""),0.019)</f>
        <v>0.019</v>
      </c>
      <c r="R2617" s="14">
        <f>IFERROR(__xludf.DUMMYFUNCTION("""COMPUTED_VALUE"""),70.0)</f>
        <v>70</v>
      </c>
      <c r="S2617" s="14">
        <f>IFERROR(__xludf.DUMMYFUNCTION("""COMPUTED_VALUE"""),67.0)</f>
        <v>67</v>
      </c>
      <c r="T2617" s="14">
        <f>IFERROR(__xludf.DUMMYFUNCTION("""COMPUTED_VALUE"""),0.408)</f>
        <v>0.408</v>
      </c>
      <c r="U2617" s="14">
        <f>IFERROR(__xludf.DUMMYFUNCTION("""COMPUTED_VALUE"""),0.56)</f>
        <v>0.56</v>
      </c>
      <c r="V2617" s="14">
        <f>IFERROR(__xludf.DUMMYFUNCTION("""COMPUTED_VALUE"""),0.033)</f>
        <v>0.033</v>
      </c>
      <c r="W2617" s="14">
        <f>IFERROR(__xludf.DUMMYFUNCTION("""COMPUTED_VALUE"""),193950.0)</f>
        <v>193950</v>
      </c>
      <c r="X2617" s="14">
        <f>IFERROR(__xludf.DUMMYFUNCTION("""COMPUTED_VALUE"""),0.222)</f>
        <v>0.222</v>
      </c>
      <c r="Y2617" s="14" t="str">
        <f>IFERROR(__xludf.DUMMYFUNCTION("""COMPUTED_VALUE"""),"Vanuatu-Oceania")</f>
        <v>Vanuatu-Oceania</v>
      </c>
      <c r="Z2617" s="14" t="str">
        <f>IFERROR(__xludf.DUMMYFUNCTION("""COMPUTED_VALUE"""),"Oceania")</f>
        <v>Oceania</v>
      </c>
      <c r="AA2617" s="14" t="str">
        <f>IFERROR(__xludf.DUMMYFUNCTION("""COMPUTED_VALUE"""),"2002")</f>
        <v>2002</v>
      </c>
      <c r="AB2617" s="15" t="str">
        <f>IFERROR(__xludf.DUMMYFUNCTION("ARRAYFORMULA(VLOOKUP(A2617,IMPORTRANGE(""https://docs.google.com/spreadsheets/d/1BuTWp7qHGjWhqrnf-OmePP568O4A5Am9ttzvVdP67zw/edit#gid=1931367683"" ,""ENERGY!$A$2:$F$2692""), {2,3,4,5,6},0))"),"Oceania")</f>
        <v>Oceania</v>
      </c>
      <c r="AC2617" s="14" t="str">
        <f>IFERROR(__xludf.DUMMYFUNCTION("""COMPUTED_VALUE"""),"Vanuatu-Oceania")</f>
        <v>Vanuatu-Oceania</v>
      </c>
      <c r="AD2617" s="14" t="str">
        <f>IFERROR(__xludf.DUMMYFUNCTION("""COMPUTED_VALUE"""),"2002")</f>
        <v>2002</v>
      </c>
      <c r="AE2617" s="14"/>
      <c r="AF2617" s="14">
        <f>IFERROR(__xludf.DUMMYFUNCTION("""COMPUTED_VALUE"""),117.0)</f>
        <v>117</v>
      </c>
    </row>
    <row r="2618">
      <c r="A2618" s="12">
        <v>2617.0</v>
      </c>
      <c r="B2618" s="12" t="s">
        <v>280</v>
      </c>
      <c r="C2618" s="5" t="s">
        <v>80</v>
      </c>
      <c r="D2618" s="8"/>
      <c r="E2618" s="11">
        <v>39.0</v>
      </c>
      <c r="F2618" s="8"/>
      <c r="G2618" s="8"/>
      <c r="H2618" s="11">
        <v>0.039</v>
      </c>
      <c r="I2618" s="11">
        <v>0.039</v>
      </c>
      <c r="J2618" s="9" t="s">
        <v>64</v>
      </c>
      <c r="K2618" s="14" t="str">
        <f>IFERROR(__xludf.DUMMYFUNCTION("ARRAYFORMULA(VLOOKUP(A2618,IMPORTRANGE(""https://docs.google.com/spreadsheets/d/1BuTWp7qHGjWhqrnf-OmePP568O4A5Am9ttzvVdP67zw/edit#gid=1603210130"", ""TOURISM!$A$2:$F$2692""), {2,3,4,5,6},0))"),"Oceania")</f>
        <v>Oceania</v>
      </c>
      <c r="L2618" s="14">
        <f>IFERROR(__xludf.DUMMYFUNCTION("""COMPUTED_VALUE"""),8.3E7)</f>
        <v>83000000</v>
      </c>
      <c r="M2618" s="14" t="str">
        <f>IFERROR(__xludf.DUMMYFUNCTION("""COMPUTED_VALUE"""),"Vanuatu-Oceania")</f>
        <v>Vanuatu-Oceania</v>
      </c>
      <c r="N2618" s="14" t="str">
        <f>IFERROR(__xludf.DUMMYFUNCTION("""COMPUTED_VALUE"""),"2003")</f>
        <v>2003</v>
      </c>
      <c r="O2618" s="14">
        <f>IFERROR(__xludf.DUMMYFUNCTION("""COMPUTED_VALUE"""),1.4E7)</f>
        <v>14000000</v>
      </c>
      <c r="P2618" s="15">
        <f>IFERROR(__xludf.DUMMYFUNCTION("ARRAYFORMULA(VLOOKUP(A2618,IMPORTRANGE(""https://docs.google.com/spreadsheets/d/1BuTWp7qHGjWhqrnf-OmePP568O4A5Am9ttzvVdP67zw/edit#gid=771602874"" ,""HUMAN RESOURCES!$A$2:$M$2692""), {2,3,4,5,6,7,8,9,10,11,12,13},0))"),0.031)</f>
        <v>0.031</v>
      </c>
      <c r="Q2618" s="14">
        <f>IFERROR(__xludf.DUMMYFUNCTION("""COMPUTED_VALUE"""),0.018)</f>
        <v>0.018</v>
      </c>
      <c r="R2618" s="14">
        <f>IFERROR(__xludf.DUMMYFUNCTION("""COMPUTED_VALUE"""),71.0)</f>
        <v>71</v>
      </c>
      <c r="S2618" s="14">
        <f>IFERROR(__xludf.DUMMYFUNCTION("""COMPUTED_VALUE"""),67.0)</f>
        <v>67</v>
      </c>
      <c r="T2618" s="14">
        <f>IFERROR(__xludf.DUMMYFUNCTION("""COMPUTED_VALUE"""),0.404)</f>
        <v>0.404</v>
      </c>
      <c r="U2618" s="14">
        <f>IFERROR(__xludf.DUMMYFUNCTION("""COMPUTED_VALUE"""),0.564)</f>
        <v>0.564</v>
      </c>
      <c r="V2618" s="14">
        <f>IFERROR(__xludf.DUMMYFUNCTION("""COMPUTED_VALUE"""),0.032)</f>
        <v>0.032</v>
      </c>
      <c r="W2618" s="14">
        <f>IFERROR(__xludf.DUMMYFUNCTION("""COMPUTED_VALUE"""),198952.0)</f>
        <v>198952</v>
      </c>
      <c r="X2618" s="14">
        <f>IFERROR(__xludf.DUMMYFUNCTION("""COMPUTED_VALUE"""),0.225)</f>
        <v>0.225</v>
      </c>
      <c r="Y2618" s="14" t="str">
        <f>IFERROR(__xludf.DUMMYFUNCTION("""COMPUTED_VALUE"""),"Vanuatu-Oceania")</f>
        <v>Vanuatu-Oceania</v>
      </c>
      <c r="Z2618" s="14" t="str">
        <f>IFERROR(__xludf.DUMMYFUNCTION("""COMPUTED_VALUE"""),"Oceania")</f>
        <v>Oceania</v>
      </c>
      <c r="AA2618" s="14" t="str">
        <f>IFERROR(__xludf.DUMMYFUNCTION("""COMPUTED_VALUE"""),"2003")</f>
        <v>2003</v>
      </c>
      <c r="AB2618" s="15" t="str">
        <f>IFERROR(__xludf.DUMMYFUNCTION("ARRAYFORMULA(VLOOKUP(A2618,IMPORTRANGE(""https://docs.google.com/spreadsheets/d/1BuTWp7qHGjWhqrnf-OmePP568O4A5Am9ttzvVdP67zw/edit#gid=1931367683"" ,""ENERGY!$A$2:$F$2692""), {2,3,4,5,6},0))"),"Oceania")</f>
        <v>Oceania</v>
      </c>
      <c r="AC2618" s="14" t="str">
        <f>IFERROR(__xludf.DUMMYFUNCTION("""COMPUTED_VALUE"""),"Vanuatu-Oceania")</f>
        <v>Vanuatu-Oceania</v>
      </c>
      <c r="AD2618" s="14" t="str">
        <f>IFERROR(__xludf.DUMMYFUNCTION("""COMPUTED_VALUE"""),"2003")</f>
        <v>2003</v>
      </c>
      <c r="AE2618" s="14"/>
      <c r="AF2618" s="14">
        <f>IFERROR(__xludf.DUMMYFUNCTION("""COMPUTED_VALUE"""),117.0)</f>
        <v>117</v>
      </c>
    </row>
    <row r="2619">
      <c r="A2619" s="12">
        <v>2618.0</v>
      </c>
      <c r="B2619" s="12" t="s">
        <v>280</v>
      </c>
      <c r="C2619" s="5" t="s">
        <v>80</v>
      </c>
      <c r="D2619" s="8"/>
      <c r="E2619" s="11">
        <v>47.0</v>
      </c>
      <c r="F2619" s="8"/>
      <c r="G2619" s="8"/>
      <c r="H2619" s="11">
        <v>0.047</v>
      </c>
      <c r="I2619" s="11">
        <v>0.051</v>
      </c>
      <c r="J2619" s="9" t="s">
        <v>65</v>
      </c>
      <c r="K2619" s="14" t="str">
        <f>IFERROR(__xludf.DUMMYFUNCTION("ARRAYFORMULA(VLOOKUP(A2619,IMPORTRANGE(""https://docs.google.com/spreadsheets/d/1BuTWp7qHGjWhqrnf-OmePP568O4A5Am9ttzvVdP67zw/edit#gid=1603210130"", ""TOURISM!$A$2:$F$2692""), {2,3,4,5,6},0))"),"Oceania")</f>
        <v>Oceania</v>
      </c>
      <c r="L2619" s="14">
        <f>IFERROR(__xludf.DUMMYFUNCTION("""COMPUTED_VALUE"""),9.3E7)</f>
        <v>93000000</v>
      </c>
      <c r="M2619" s="14" t="str">
        <f>IFERROR(__xludf.DUMMYFUNCTION("""COMPUTED_VALUE"""),"Vanuatu-Oceania")</f>
        <v>Vanuatu-Oceania</v>
      </c>
      <c r="N2619" s="14" t="str">
        <f>IFERROR(__xludf.DUMMYFUNCTION("""COMPUTED_VALUE"""),"2004")</f>
        <v>2004</v>
      </c>
      <c r="O2619" s="14">
        <f>IFERROR(__xludf.DUMMYFUNCTION("""COMPUTED_VALUE"""),1.5E7)</f>
        <v>15000000</v>
      </c>
      <c r="P2619" s="15">
        <f>IFERROR(__xludf.DUMMYFUNCTION("ARRAYFORMULA(VLOOKUP(A2619,IMPORTRANGE(""https://docs.google.com/spreadsheets/d/1BuTWp7qHGjWhqrnf-OmePP568O4A5Am9ttzvVdP67zw/edit#gid=771602874"" ,""HUMAN RESOURCES!$A$2:$M$2692""), {2,3,4,5,6,7,8,9,10,11,12,13},0))"),0.03)</f>
        <v>0.03</v>
      </c>
      <c r="Q2619" s="14">
        <f>IFERROR(__xludf.DUMMYFUNCTION("""COMPUTED_VALUE"""),0.018)</f>
        <v>0.018</v>
      </c>
      <c r="R2619" s="14">
        <f>IFERROR(__xludf.DUMMYFUNCTION("""COMPUTED_VALUE"""),71.0)</f>
        <v>71</v>
      </c>
      <c r="S2619" s="14">
        <f>IFERROR(__xludf.DUMMYFUNCTION("""COMPUTED_VALUE"""),67.0)</f>
        <v>67</v>
      </c>
      <c r="T2619" s="14">
        <f>IFERROR(__xludf.DUMMYFUNCTION("""COMPUTED_VALUE"""),0.4)</f>
        <v>0.4</v>
      </c>
      <c r="U2619" s="14">
        <f>IFERROR(__xludf.DUMMYFUNCTION("""COMPUTED_VALUE"""),0.567)</f>
        <v>0.567</v>
      </c>
      <c r="V2619" s="14">
        <f>IFERROR(__xludf.DUMMYFUNCTION("""COMPUTED_VALUE"""),0.033)</f>
        <v>0.033</v>
      </c>
      <c r="W2619" s="14">
        <f>IFERROR(__xludf.DUMMYFUNCTION("""COMPUTED_VALUE"""),204135.0)</f>
        <v>204135</v>
      </c>
      <c r="X2619" s="14">
        <f>IFERROR(__xludf.DUMMYFUNCTION("""COMPUTED_VALUE"""),0.228)</f>
        <v>0.228</v>
      </c>
      <c r="Y2619" s="14" t="str">
        <f>IFERROR(__xludf.DUMMYFUNCTION("""COMPUTED_VALUE"""),"Vanuatu-Oceania")</f>
        <v>Vanuatu-Oceania</v>
      </c>
      <c r="Z2619" s="14" t="str">
        <f>IFERROR(__xludf.DUMMYFUNCTION("""COMPUTED_VALUE"""),"Oceania")</f>
        <v>Oceania</v>
      </c>
      <c r="AA2619" s="14" t="str">
        <f>IFERROR(__xludf.DUMMYFUNCTION("""COMPUTED_VALUE"""),"2004")</f>
        <v>2004</v>
      </c>
      <c r="AB2619" s="15" t="str">
        <f>IFERROR(__xludf.DUMMYFUNCTION("ARRAYFORMULA(VLOOKUP(A2619,IMPORTRANGE(""https://docs.google.com/spreadsheets/d/1BuTWp7qHGjWhqrnf-OmePP568O4A5Am9ttzvVdP67zw/edit#gid=1931367683"" ,""ENERGY!$A$2:$F$2692""), {2,3,4,5,6},0))"),"Oceania")</f>
        <v>Oceania</v>
      </c>
      <c r="AC2619" s="14" t="str">
        <f>IFERROR(__xludf.DUMMYFUNCTION("""COMPUTED_VALUE"""),"Vanuatu-Oceania")</f>
        <v>Vanuatu-Oceania</v>
      </c>
      <c r="AD2619" s="14" t="str">
        <f>IFERROR(__xludf.DUMMYFUNCTION("""COMPUTED_VALUE"""),"2005")</f>
        <v>2005</v>
      </c>
      <c r="AE2619" s="14"/>
      <c r="AF2619" s="14">
        <f>IFERROR(__xludf.DUMMYFUNCTION("""COMPUTED_VALUE"""),92.0)</f>
        <v>92</v>
      </c>
    </row>
    <row r="2620">
      <c r="A2620" s="12">
        <v>2619.0</v>
      </c>
      <c r="B2620" s="12" t="s">
        <v>280</v>
      </c>
      <c r="C2620" s="5" t="s">
        <v>80</v>
      </c>
      <c r="D2620" s="11">
        <v>0.084</v>
      </c>
      <c r="E2620" s="11">
        <v>47.0</v>
      </c>
      <c r="F2620" s="8"/>
      <c r="G2620" s="11">
        <v>120.0</v>
      </c>
      <c r="H2620" s="11">
        <v>0.051</v>
      </c>
      <c r="I2620" s="11">
        <v>0.061</v>
      </c>
      <c r="J2620" s="9" t="s">
        <v>66</v>
      </c>
      <c r="K2620" s="14" t="str">
        <f>IFERROR(__xludf.DUMMYFUNCTION("ARRAYFORMULA(VLOOKUP(A2620,IMPORTRANGE(""https://docs.google.com/spreadsheets/d/1BuTWp7qHGjWhqrnf-OmePP568O4A5Am9ttzvVdP67zw/edit#gid=1603210130"", ""TOURISM!$A$2:$F$2692""), {2,3,4,5,6},0))"),"Oceania")</f>
        <v>Oceania</v>
      </c>
      <c r="L2620" s="14">
        <f>IFERROR(__xludf.DUMMYFUNCTION("""COMPUTED_VALUE"""),1.04E8)</f>
        <v>104000000</v>
      </c>
      <c r="M2620" s="14" t="str">
        <f>IFERROR(__xludf.DUMMYFUNCTION("""COMPUTED_VALUE"""),"Vanuatu-Oceania")</f>
        <v>Vanuatu-Oceania</v>
      </c>
      <c r="N2620" s="14" t="str">
        <f>IFERROR(__xludf.DUMMYFUNCTION("""COMPUTED_VALUE"""),"2005")</f>
        <v>2005</v>
      </c>
      <c r="O2620" s="14">
        <f>IFERROR(__xludf.DUMMYFUNCTION("""COMPUTED_VALUE"""),1.3E7)</f>
        <v>13000000</v>
      </c>
      <c r="P2620" s="15">
        <f>IFERROR(__xludf.DUMMYFUNCTION("ARRAYFORMULA(VLOOKUP(A2620,IMPORTRANGE(""https://docs.google.com/spreadsheets/d/1BuTWp7qHGjWhqrnf-OmePP568O4A5Am9ttzvVdP67zw/edit#gid=771602874"" ,""HUMAN RESOURCES!$A$2:$M$2692""), {2,3,4,5,6,7,8,9,10,11,12,13},0))"),0.029)</f>
        <v>0.029</v>
      </c>
      <c r="Q2620" s="14">
        <f>IFERROR(__xludf.DUMMYFUNCTION("""COMPUTED_VALUE"""),0.018)</f>
        <v>0.018</v>
      </c>
      <c r="R2620" s="14">
        <f>IFERROR(__xludf.DUMMYFUNCTION("""COMPUTED_VALUE"""),71.0)</f>
        <v>71</v>
      </c>
      <c r="S2620" s="14">
        <f>IFERROR(__xludf.DUMMYFUNCTION("""COMPUTED_VALUE"""),67.0)</f>
        <v>67</v>
      </c>
      <c r="T2620" s="14">
        <f>IFERROR(__xludf.DUMMYFUNCTION("""COMPUTED_VALUE"""),0.397)</f>
        <v>0.397</v>
      </c>
      <c r="U2620" s="14">
        <f>IFERROR(__xludf.DUMMYFUNCTION("""COMPUTED_VALUE"""),0.57)</f>
        <v>0.57</v>
      </c>
      <c r="V2620" s="14">
        <f>IFERROR(__xludf.DUMMYFUNCTION("""COMPUTED_VALUE"""),0.033)</f>
        <v>0.033</v>
      </c>
      <c r="W2620" s="14">
        <f>IFERROR(__xludf.DUMMYFUNCTION("""COMPUTED_VALUE"""),209375.0)</f>
        <v>209375</v>
      </c>
      <c r="X2620" s="14">
        <f>IFERROR(__xludf.DUMMYFUNCTION("""COMPUTED_VALUE"""),0.231)</f>
        <v>0.231</v>
      </c>
      <c r="Y2620" s="14" t="str">
        <f>IFERROR(__xludf.DUMMYFUNCTION("""COMPUTED_VALUE"""),"Vanuatu-Oceania")</f>
        <v>Vanuatu-Oceania</v>
      </c>
      <c r="Z2620" s="14" t="str">
        <f>IFERROR(__xludf.DUMMYFUNCTION("""COMPUTED_VALUE"""),"Oceania")</f>
        <v>Oceania</v>
      </c>
      <c r="AA2620" s="14" t="str">
        <f>IFERROR(__xludf.DUMMYFUNCTION("""COMPUTED_VALUE"""),"2005")</f>
        <v>2005</v>
      </c>
      <c r="AB2620" s="15" t="str">
        <f>IFERROR(__xludf.DUMMYFUNCTION("ARRAYFORMULA(VLOOKUP(A2620,IMPORTRANGE(""https://docs.google.com/spreadsheets/d/1BuTWp7qHGjWhqrnf-OmePP568O4A5Am9ttzvVdP67zw/edit#gid=1931367683"" ,""ENERGY!$A$2:$F$2692""), {2,3,4,5,6},0))"),"Oceania")</f>
        <v>Oceania</v>
      </c>
      <c r="AC2620" s="14" t="str">
        <f>IFERROR(__xludf.DUMMYFUNCTION("""COMPUTED_VALUE"""),"Vanuatu-Oceania")</f>
        <v>Vanuatu-Oceania</v>
      </c>
      <c r="AD2620" s="14" t="str">
        <f>IFERROR(__xludf.DUMMYFUNCTION("""COMPUTED_VALUE"""),"2009")</f>
        <v>2009</v>
      </c>
      <c r="AE2620" s="14">
        <f>IFERROR(__xludf.DUMMYFUNCTION("""COMPUTED_VALUE"""),35.0)</f>
        <v>35</v>
      </c>
      <c r="AF2620" s="14">
        <f>IFERROR(__xludf.DUMMYFUNCTION("""COMPUTED_VALUE"""),95.0)</f>
        <v>95</v>
      </c>
    </row>
    <row r="2621">
      <c r="A2621" s="12">
        <v>2620.0</v>
      </c>
      <c r="B2621" s="12" t="s">
        <v>280</v>
      </c>
      <c r="C2621" s="5" t="s">
        <v>80</v>
      </c>
      <c r="D2621" s="11">
        <v>0.084</v>
      </c>
      <c r="E2621" s="11">
        <v>47.0</v>
      </c>
      <c r="F2621" s="8"/>
      <c r="G2621" s="11">
        <v>120.0</v>
      </c>
      <c r="H2621" s="11">
        <v>0.059</v>
      </c>
      <c r="I2621" s="11">
        <v>0.07</v>
      </c>
      <c r="J2621" s="9" t="s">
        <v>67</v>
      </c>
      <c r="K2621" s="14" t="str">
        <f>IFERROR(__xludf.DUMMYFUNCTION("ARRAYFORMULA(VLOOKUP(A2621,IMPORTRANGE(""https://docs.google.com/spreadsheets/d/1BuTWp7qHGjWhqrnf-OmePP568O4A5Am9ttzvVdP67zw/edit#gid=1603210130"", ""TOURISM!$A$2:$F$2692""), {2,3,4,5,6},0))"),"Oceania")</f>
        <v>Oceania</v>
      </c>
      <c r="L2621" s="14">
        <f>IFERROR(__xludf.DUMMYFUNCTION("""COMPUTED_VALUE"""),1.09E8)</f>
        <v>109000000</v>
      </c>
      <c r="M2621" s="14" t="str">
        <f>IFERROR(__xludf.DUMMYFUNCTION("""COMPUTED_VALUE"""),"Vanuatu-Oceania")</f>
        <v>Vanuatu-Oceania</v>
      </c>
      <c r="N2621" s="14" t="str">
        <f>IFERROR(__xludf.DUMMYFUNCTION("""COMPUTED_VALUE"""),"2006")</f>
        <v>2006</v>
      </c>
      <c r="O2621" s="14">
        <f>IFERROR(__xludf.DUMMYFUNCTION("""COMPUTED_VALUE"""),1.1E7)</f>
        <v>11000000</v>
      </c>
      <c r="P2621" s="15">
        <f>IFERROR(__xludf.DUMMYFUNCTION("ARRAYFORMULA(VLOOKUP(A2621,IMPORTRANGE(""https://docs.google.com/spreadsheets/d/1BuTWp7qHGjWhqrnf-OmePP568O4A5Am9ttzvVdP67zw/edit#gid=771602874"" ,""HUMAN RESOURCES!$A$2:$M$2692""), {2,3,4,5,6,7,8,9,10,11,12,13},0))"),0.029)</f>
        <v>0.029</v>
      </c>
      <c r="Q2621" s="14">
        <f>IFERROR(__xludf.DUMMYFUNCTION("""COMPUTED_VALUE"""),0.017)</f>
        <v>0.017</v>
      </c>
      <c r="R2621" s="14">
        <f>IFERROR(__xludf.DUMMYFUNCTION("""COMPUTED_VALUE"""),72.0)</f>
        <v>72</v>
      </c>
      <c r="S2621" s="14">
        <f>IFERROR(__xludf.DUMMYFUNCTION("""COMPUTED_VALUE"""),68.0)</f>
        <v>68</v>
      </c>
      <c r="T2621" s="14">
        <f>IFERROR(__xludf.DUMMYFUNCTION("""COMPUTED_VALUE"""),0.394)</f>
        <v>0.394</v>
      </c>
      <c r="U2621" s="14">
        <f>IFERROR(__xludf.DUMMYFUNCTION("""COMPUTED_VALUE"""),0.572)</f>
        <v>0.572</v>
      </c>
      <c r="V2621" s="14">
        <f>IFERROR(__xludf.DUMMYFUNCTION("""COMPUTED_VALUE"""),0.034)</f>
        <v>0.034</v>
      </c>
      <c r="W2621" s="14">
        <f>IFERROR(__xludf.DUMMYFUNCTION("""COMPUTED_VALUE"""),214654.0)</f>
        <v>214654</v>
      </c>
      <c r="X2621" s="14">
        <f>IFERROR(__xludf.DUMMYFUNCTION("""COMPUTED_VALUE"""),0.234)</f>
        <v>0.234</v>
      </c>
      <c r="Y2621" s="14" t="str">
        <f>IFERROR(__xludf.DUMMYFUNCTION("""COMPUTED_VALUE"""),"Vanuatu-Oceania")</f>
        <v>Vanuatu-Oceania</v>
      </c>
      <c r="Z2621" s="14" t="str">
        <f>IFERROR(__xludf.DUMMYFUNCTION("""COMPUTED_VALUE"""),"Oceania")</f>
        <v>Oceania</v>
      </c>
      <c r="AA2621" s="14" t="str">
        <f>IFERROR(__xludf.DUMMYFUNCTION("""COMPUTED_VALUE"""),"2006")</f>
        <v>2006</v>
      </c>
      <c r="AB2621" s="15" t="str">
        <f>IFERROR(__xludf.DUMMYFUNCTION("ARRAYFORMULA(VLOOKUP(A2621,IMPORTRANGE(""https://docs.google.com/spreadsheets/d/1BuTWp7qHGjWhqrnf-OmePP568O4A5Am9ttzvVdP67zw/edit#gid=1931367683"" ,""ENERGY!$A$2:$F$2692""), {2,3,4,5,6},0))"),"Oceania")</f>
        <v>Oceania</v>
      </c>
      <c r="AC2621" s="14" t="str">
        <f>IFERROR(__xludf.DUMMYFUNCTION("""COMPUTED_VALUE"""),"Vanuatu-Oceania")</f>
        <v>Vanuatu-Oceania</v>
      </c>
      <c r="AD2621" s="14" t="str">
        <f>IFERROR(__xludf.DUMMYFUNCTION("""COMPUTED_VALUE"""),"2005")</f>
        <v>2005</v>
      </c>
      <c r="AE2621" s="14">
        <f>IFERROR(__xludf.DUMMYFUNCTION("""COMPUTED_VALUE"""),31.0)</f>
        <v>31</v>
      </c>
      <c r="AF2621" s="14">
        <f>IFERROR(__xludf.DUMMYFUNCTION("""COMPUTED_VALUE"""),48.0)</f>
        <v>48</v>
      </c>
    </row>
    <row r="2622">
      <c r="A2622" s="12">
        <v>2621.0</v>
      </c>
      <c r="B2622" s="12" t="s">
        <v>280</v>
      </c>
      <c r="C2622" s="5" t="s">
        <v>80</v>
      </c>
      <c r="D2622" s="11">
        <v>0.084</v>
      </c>
      <c r="E2622" s="11">
        <v>47.0</v>
      </c>
      <c r="F2622" s="8"/>
      <c r="G2622" s="11">
        <v>120.0</v>
      </c>
      <c r="H2622" s="11">
        <v>0.068</v>
      </c>
      <c r="I2622" s="11">
        <v>0.118</v>
      </c>
      <c r="J2622" s="9" t="s">
        <v>68</v>
      </c>
      <c r="K2622" s="14" t="str">
        <f>IFERROR(__xludf.DUMMYFUNCTION("ARRAYFORMULA(VLOOKUP(A2622,IMPORTRANGE(""https://docs.google.com/spreadsheets/d/1BuTWp7qHGjWhqrnf-OmePP568O4A5Am9ttzvVdP67zw/edit#gid=1603210130"", ""TOURISM!$A$2:$F$2692""), {2,3,4,5,6},0))"),"Oceania")</f>
        <v>Oceania</v>
      </c>
      <c r="L2622" s="14">
        <f>IFERROR(__xludf.DUMMYFUNCTION("""COMPUTED_VALUE"""),1.42E8)</f>
        <v>142000000</v>
      </c>
      <c r="M2622" s="14" t="str">
        <f>IFERROR(__xludf.DUMMYFUNCTION("""COMPUTED_VALUE"""),"Vanuatu-Oceania")</f>
        <v>Vanuatu-Oceania</v>
      </c>
      <c r="N2622" s="14" t="str">
        <f>IFERROR(__xludf.DUMMYFUNCTION("""COMPUTED_VALUE"""),"2007")</f>
        <v>2007</v>
      </c>
      <c r="O2622" s="14">
        <f>IFERROR(__xludf.DUMMYFUNCTION("""COMPUTED_VALUE"""),1.3E7)</f>
        <v>13000000</v>
      </c>
      <c r="P2622" s="15">
        <f>IFERROR(__xludf.DUMMYFUNCTION("ARRAYFORMULA(VLOOKUP(A2622,IMPORTRANGE(""https://docs.google.com/spreadsheets/d/1BuTWp7qHGjWhqrnf-OmePP568O4A5Am9ttzvVdP67zw/edit#gid=771602874"" ,""HUMAN RESOURCES!$A$2:$M$2692""), {2,3,4,5,6,7,8,9,10,11,12,13},0))"),0.028)</f>
        <v>0.028</v>
      </c>
      <c r="Q2622" s="14">
        <f>IFERROR(__xludf.DUMMYFUNCTION("""COMPUTED_VALUE"""),0.017)</f>
        <v>0.017</v>
      </c>
      <c r="R2622" s="14">
        <f>IFERROR(__xludf.DUMMYFUNCTION("""COMPUTED_VALUE"""),72.0)</f>
        <v>72</v>
      </c>
      <c r="S2622" s="14">
        <f>IFERROR(__xludf.DUMMYFUNCTION("""COMPUTED_VALUE"""),68.0)</f>
        <v>68</v>
      </c>
      <c r="T2622" s="14">
        <f>IFERROR(__xludf.DUMMYFUNCTION("""COMPUTED_VALUE"""),0.391)</f>
        <v>0.391</v>
      </c>
      <c r="U2622" s="14">
        <f>IFERROR(__xludf.DUMMYFUNCTION("""COMPUTED_VALUE"""),0.573)</f>
        <v>0.573</v>
      </c>
      <c r="V2622" s="14">
        <f>IFERROR(__xludf.DUMMYFUNCTION("""COMPUTED_VALUE"""),0.036)</f>
        <v>0.036</v>
      </c>
      <c r="W2622" s="14">
        <f>IFERROR(__xludf.DUMMYFUNCTION("""COMPUTED_VALUE"""),220001.0)</f>
        <v>220001</v>
      </c>
      <c r="X2622" s="14">
        <f>IFERROR(__xludf.DUMMYFUNCTION("""COMPUTED_VALUE"""),0.237)</f>
        <v>0.237</v>
      </c>
      <c r="Y2622" s="14" t="str">
        <f>IFERROR(__xludf.DUMMYFUNCTION("""COMPUTED_VALUE"""),"Vanuatu-Oceania")</f>
        <v>Vanuatu-Oceania</v>
      </c>
      <c r="Z2622" s="14" t="str">
        <f>IFERROR(__xludf.DUMMYFUNCTION("""COMPUTED_VALUE"""),"Oceania")</f>
        <v>Oceania</v>
      </c>
      <c r="AA2622" s="14" t="str">
        <f>IFERROR(__xludf.DUMMYFUNCTION("""COMPUTED_VALUE"""),"2007")</f>
        <v>2007</v>
      </c>
      <c r="AB2622" s="15" t="str">
        <f>IFERROR(__xludf.DUMMYFUNCTION("ARRAYFORMULA(VLOOKUP(A2622,IMPORTRANGE(""https://docs.google.com/spreadsheets/d/1BuTWp7qHGjWhqrnf-OmePP568O4A5Am9ttzvVdP67zw/edit#gid=1931367683"" ,""ENERGY!$A$2:$F$2692""), {2,3,4,5,6},0))"),"Oceania")</f>
        <v>Oceania</v>
      </c>
      <c r="AC2622" s="14" t="str">
        <f>IFERROR(__xludf.DUMMYFUNCTION("""COMPUTED_VALUE"""),"Vanuatu-Oceania")</f>
        <v>Vanuatu-Oceania</v>
      </c>
      <c r="AD2622" s="14" t="str">
        <f>IFERROR(__xludf.DUMMYFUNCTION("""COMPUTED_VALUE"""),"2011")</f>
        <v>2011</v>
      </c>
      <c r="AE2622" s="14">
        <f>IFERROR(__xludf.DUMMYFUNCTION("""COMPUTED_VALUE"""),30.0)</f>
        <v>30</v>
      </c>
      <c r="AF2622" s="14">
        <f>IFERROR(__xludf.DUMMYFUNCTION("""COMPUTED_VALUE"""),55.0)</f>
        <v>55</v>
      </c>
    </row>
    <row r="2623">
      <c r="A2623" s="12">
        <v>2622.0</v>
      </c>
      <c r="B2623" s="12" t="s">
        <v>280</v>
      </c>
      <c r="C2623" s="5" t="s">
        <v>80</v>
      </c>
      <c r="D2623" s="11">
        <v>0.084</v>
      </c>
      <c r="E2623" s="11">
        <v>47.0</v>
      </c>
      <c r="F2623" s="8"/>
      <c r="G2623" s="11">
        <v>120.0</v>
      </c>
      <c r="H2623" s="11">
        <v>0.073</v>
      </c>
      <c r="I2623" s="11">
        <v>0.16</v>
      </c>
      <c r="J2623" s="9" t="s">
        <v>69</v>
      </c>
      <c r="K2623" s="14" t="str">
        <f>IFERROR(__xludf.DUMMYFUNCTION("ARRAYFORMULA(VLOOKUP(A2623,IMPORTRANGE(""https://docs.google.com/spreadsheets/d/1BuTWp7qHGjWhqrnf-OmePP568O4A5Am9ttzvVdP67zw/edit#gid=1603210130"", ""TOURISM!$A$2:$F$2692""), {2,3,4,5,6},0))"),"Oceania")</f>
        <v>Oceania</v>
      </c>
      <c r="L2623" s="14">
        <f>IFERROR(__xludf.DUMMYFUNCTION("""COMPUTED_VALUE"""),1.88E8)</f>
        <v>188000000</v>
      </c>
      <c r="M2623" s="14" t="str">
        <f>IFERROR(__xludf.DUMMYFUNCTION("""COMPUTED_VALUE"""),"Vanuatu-Oceania")</f>
        <v>Vanuatu-Oceania</v>
      </c>
      <c r="N2623" s="14" t="str">
        <f>IFERROR(__xludf.DUMMYFUNCTION("""COMPUTED_VALUE"""),"2008")</f>
        <v>2008</v>
      </c>
      <c r="O2623" s="14">
        <f>IFERROR(__xludf.DUMMYFUNCTION("""COMPUTED_VALUE"""),3.2E7)</f>
        <v>32000000</v>
      </c>
      <c r="P2623" s="15">
        <f>IFERROR(__xludf.DUMMYFUNCTION("ARRAYFORMULA(VLOOKUP(A2623,IMPORTRANGE(""https://docs.google.com/spreadsheets/d/1BuTWp7qHGjWhqrnf-OmePP568O4A5Am9ttzvVdP67zw/edit#gid=771602874"" ,""HUMAN RESOURCES!$A$2:$M$2692""), {2,3,4,5,6,7,8,9,10,11,12,13},0))"),0.028)</f>
        <v>0.028</v>
      </c>
      <c r="Q2623" s="14">
        <f>IFERROR(__xludf.DUMMYFUNCTION("""COMPUTED_VALUE"""),0.017)</f>
        <v>0.017</v>
      </c>
      <c r="R2623" s="14">
        <f>IFERROR(__xludf.DUMMYFUNCTION("""COMPUTED_VALUE"""),72.0)</f>
        <v>72</v>
      </c>
      <c r="S2623" s="14">
        <f>IFERROR(__xludf.DUMMYFUNCTION("""COMPUTED_VALUE"""),68.0)</f>
        <v>68</v>
      </c>
      <c r="T2623" s="14">
        <f>IFERROR(__xludf.DUMMYFUNCTION("""COMPUTED_VALUE"""),0.388)</f>
        <v>0.388</v>
      </c>
      <c r="U2623" s="14">
        <f>IFERROR(__xludf.DUMMYFUNCTION("""COMPUTED_VALUE"""),0.574)</f>
        <v>0.574</v>
      </c>
      <c r="V2623" s="14">
        <f>IFERROR(__xludf.DUMMYFUNCTION("""COMPUTED_VALUE"""),0.037)</f>
        <v>0.037</v>
      </c>
      <c r="W2623" s="14">
        <f>IFERROR(__xludf.DUMMYFUNCTION("""COMPUTED_VALUE"""),225398.0)</f>
        <v>225398</v>
      </c>
      <c r="X2623" s="14">
        <f>IFERROR(__xludf.DUMMYFUNCTION("""COMPUTED_VALUE"""),0.24)</f>
        <v>0.24</v>
      </c>
      <c r="Y2623" s="14" t="str">
        <f>IFERROR(__xludf.DUMMYFUNCTION("""COMPUTED_VALUE"""),"Vanuatu-Oceania")</f>
        <v>Vanuatu-Oceania</v>
      </c>
      <c r="Z2623" s="14" t="str">
        <f>IFERROR(__xludf.DUMMYFUNCTION("""COMPUTED_VALUE"""),"Oceania")</f>
        <v>Oceania</v>
      </c>
      <c r="AA2623" s="14" t="str">
        <f>IFERROR(__xludf.DUMMYFUNCTION("""COMPUTED_VALUE"""),"2008")</f>
        <v>2008</v>
      </c>
      <c r="AB2623" s="15" t="str">
        <f>IFERROR(__xludf.DUMMYFUNCTION("ARRAYFORMULA(VLOOKUP(A2623,IMPORTRANGE(""https://docs.google.com/spreadsheets/d/1BuTWp7qHGjWhqrnf-OmePP568O4A5Am9ttzvVdP67zw/edit#gid=1931367683"" ,""ENERGY!$A$2:$F$2692""), {2,3,4,5,6},0))"),"Oceania")</f>
        <v>Oceania</v>
      </c>
      <c r="AC2623" s="14" t="str">
        <f>IFERROR(__xludf.DUMMYFUNCTION("""COMPUTED_VALUE"""),"Vanuatu-Oceania")</f>
        <v>Vanuatu-Oceania</v>
      </c>
      <c r="AD2623" s="14" t="str">
        <f>IFERROR(__xludf.DUMMYFUNCTION("""COMPUTED_VALUE"""),"2008")</f>
        <v>2008</v>
      </c>
      <c r="AE2623" s="14">
        <f>IFERROR(__xludf.DUMMYFUNCTION("""COMPUTED_VALUE"""),30.0)</f>
        <v>30</v>
      </c>
      <c r="AF2623" s="14">
        <f>IFERROR(__xludf.DUMMYFUNCTION("""COMPUTED_VALUE"""),55.0)</f>
        <v>55</v>
      </c>
    </row>
    <row r="2624">
      <c r="A2624" s="12">
        <v>2623.0</v>
      </c>
      <c r="B2624" s="12" t="s">
        <v>280</v>
      </c>
      <c r="C2624" s="5" t="s">
        <v>80</v>
      </c>
      <c r="D2624" s="11">
        <v>0.084</v>
      </c>
      <c r="E2624" s="11">
        <v>47.0</v>
      </c>
      <c r="F2624" s="8"/>
      <c r="G2624" s="11">
        <v>120.0</v>
      </c>
      <c r="H2624" s="11">
        <v>0.075</v>
      </c>
      <c r="I2624" s="11">
        <v>0.57</v>
      </c>
      <c r="J2624" s="9" t="s">
        <v>70</v>
      </c>
      <c r="K2624" s="14" t="str">
        <f>IFERROR(__xludf.DUMMYFUNCTION("ARRAYFORMULA(VLOOKUP(A2624,IMPORTRANGE(""https://docs.google.com/spreadsheets/d/1BuTWp7qHGjWhqrnf-OmePP568O4A5Am9ttzvVdP67zw/edit#gid=1603210130"", ""TOURISM!$A$2:$F$2692""), {2,3,4,5,6},0))"),"Oceania")</f>
        <v>Oceania</v>
      </c>
      <c r="L2624" s="14">
        <f>IFERROR(__xludf.DUMMYFUNCTION("""COMPUTED_VALUE"""),2.14E8)</f>
        <v>214000000</v>
      </c>
      <c r="M2624" s="14" t="str">
        <f>IFERROR(__xludf.DUMMYFUNCTION("""COMPUTED_VALUE"""),"Vanuatu-Oceania")</f>
        <v>Vanuatu-Oceania</v>
      </c>
      <c r="N2624" s="14" t="str">
        <f>IFERROR(__xludf.DUMMYFUNCTION("""COMPUTED_VALUE"""),"2009")</f>
        <v>2009</v>
      </c>
      <c r="O2624" s="14">
        <f>IFERROR(__xludf.DUMMYFUNCTION("""COMPUTED_VALUE"""),2.8E7)</f>
        <v>28000000</v>
      </c>
      <c r="P2624" s="15">
        <f>IFERROR(__xludf.DUMMYFUNCTION("ARRAYFORMULA(VLOOKUP(A2624,IMPORTRANGE(""https://docs.google.com/spreadsheets/d/1BuTWp7qHGjWhqrnf-OmePP568O4A5Am9ttzvVdP67zw/edit#gid=771602874"" ,""HUMAN RESOURCES!$A$2:$M$2692""), {2,3,4,5,6,7,8,9,10,11,12,13},0))"),0.028)</f>
        <v>0.028</v>
      </c>
      <c r="Q2624" s="14">
        <f>IFERROR(__xludf.DUMMYFUNCTION("""COMPUTED_VALUE"""),0.016)</f>
        <v>0.016</v>
      </c>
      <c r="R2624" s="14">
        <f>IFERROR(__xludf.DUMMYFUNCTION("""COMPUTED_VALUE"""),73.0)</f>
        <v>73</v>
      </c>
      <c r="S2624" s="14">
        <f>IFERROR(__xludf.DUMMYFUNCTION("""COMPUTED_VALUE"""),69.0)</f>
        <v>69</v>
      </c>
      <c r="T2624" s="14">
        <f>IFERROR(__xludf.DUMMYFUNCTION("""COMPUTED_VALUE"""),0.385)</f>
        <v>0.385</v>
      </c>
      <c r="U2624" s="14">
        <f>IFERROR(__xludf.DUMMYFUNCTION("""COMPUTED_VALUE"""),0.576)</f>
        <v>0.576</v>
      </c>
      <c r="V2624" s="14">
        <f>IFERROR(__xludf.DUMMYFUNCTION("""COMPUTED_VALUE"""),0.039)</f>
        <v>0.039</v>
      </c>
      <c r="W2624" s="14">
        <f>IFERROR(__xludf.DUMMYFUNCTION("""COMPUTED_VALUE"""),230833.0)</f>
        <v>230833</v>
      </c>
      <c r="X2624" s="14">
        <f>IFERROR(__xludf.DUMMYFUNCTION("""COMPUTED_VALUE"""),0.243)</f>
        <v>0.243</v>
      </c>
      <c r="Y2624" s="14" t="str">
        <f>IFERROR(__xludf.DUMMYFUNCTION("""COMPUTED_VALUE"""),"Vanuatu-Oceania")</f>
        <v>Vanuatu-Oceania</v>
      </c>
      <c r="Z2624" s="14" t="str">
        <f>IFERROR(__xludf.DUMMYFUNCTION("""COMPUTED_VALUE"""),"Oceania")</f>
        <v>Oceania</v>
      </c>
      <c r="AA2624" s="14" t="str">
        <f>IFERROR(__xludf.DUMMYFUNCTION("""COMPUTED_VALUE"""),"2009")</f>
        <v>2009</v>
      </c>
      <c r="AB2624" s="15" t="str">
        <f>IFERROR(__xludf.DUMMYFUNCTION("ARRAYFORMULA(VLOOKUP(A2624,IMPORTRANGE(""https://docs.google.com/spreadsheets/d/1BuTWp7qHGjWhqrnf-OmePP568O4A5Am9ttzvVdP67zw/edit#gid=1931367683"" ,""ENERGY!$A$2:$F$2692""), {2,3,4,5,6},0))"),"Oceania")</f>
        <v>Oceania</v>
      </c>
      <c r="AC2624" s="14" t="str">
        <f>IFERROR(__xludf.DUMMYFUNCTION("""COMPUTED_VALUE"""),"Vanuatu-Oceania")</f>
        <v>Vanuatu-Oceania</v>
      </c>
      <c r="AD2624" s="14" t="str">
        <f>IFERROR(__xludf.DUMMYFUNCTION("""COMPUTED_VALUE"""),"2012")</f>
        <v>2012</v>
      </c>
      <c r="AE2624" s="14"/>
      <c r="AF2624" s="14">
        <f>IFERROR(__xludf.DUMMYFUNCTION("""COMPUTED_VALUE"""),81.0)</f>
        <v>81</v>
      </c>
    </row>
    <row r="2625">
      <c r="A2625" s="12">
        <v>2624.0</v>
      </c>
      <c r="B2625" s="12" t="s">
        <v>280</v>
      </c>
      <c r="C2625" s="5" t="s">
        <v>80</v>
      </c>
      <c r="D2625" s="11">
        <v>0.084</v>
      </c>
      <c r="E2625" s="11">
        <v>47.0</v>
      </c>
      <c r="F2625" s="8"/>
      <c r="G2625" s="11">
        <v>120.0</v>
      </c>
      <c r="H2625" s="11">
        <v>0.08</v>
      </c>
      <c r="I2625" s="11">
        <v>0.719</v>
      </c>
      <c r="J2625" s="9" t="s">
        <v>71</v>
      </c>
      <c r="K2625" s="14" t="str">
        <f>IFERROR(__xludf.DUMMYFUNCTION("ARRAYFORMULA(VLOOKUP(A2625,IMPORTRANGE(""https://docs.google.com/spreadsheets/d/1BuTWp7qHGjWhqrnf-OmePP568O4A5Am9ttzvVdP67zw/edit#gid=1603210130"", ""TOURISM!$A$2:$F$2692""), {2,3,4,5,6},0))"),"Oceania")</f>
        <v>Oceania</v>
      </c>
      <c r="L2625" s="14">
        <f>IFERROR(__xludf.DUMMYFUNCTION("""COMPUTED_VALUE"""),2.42E8)</f>
        <v>242000000</v>
      </c>
      <c r="M2625" s="14" t="str">
        <f>IFERROR(__xludf.DUMMYFUNCTION("""COMPUTED_VALUE"""),"Vanuatu-Oceania")</f>
        <v>Vanuatu-Oceania</v>
      </c>
      <c r="N2625" s="14" t="str">
        <f>IFERROR(__xludf.DUMMYFUNCTION("""COMPUTED_VALUE"""),"2010")</f>
        <v>2010</v>
      </c>
      <c r="O2625" s="14">
        <f>IFERROR(__xludf.DUMMYFUNCTION("""COMPUTED_VALUE"""),3.3E7)</f>
        <v>33000000</v>
      </c>
      <c r="P2625" s="15">
        <f>IFERROR(__xludf.DUMMYFUNCTION("ARRAYFORMULA(VLOOKUP(A2625,IMPORTRANGE(""https://docs.google.com/spreadsheets/d/1BuTWp7qHGjWhqrnf-OmePP568O4A5Am9ttzvVdP67zw/edit#gid=771602874"" ,""HUMAN RESOURCES!$A$2:$M$2692""), {2,3,4,5,6,7,8,9,10,11,12,13},0))"),0.027)</f>
        <v>0.027</v>
      </c>
      <c r="Q2625" s="14">
        <f>IFERROR(__xludf.DUMMYFUNCTION("""COMPUTED_VALUE"""),0.016)</f>
        <v>0.016</v>
      </c>
      <c r="R2625" s="14">
        <f>IFERROR(__xludf.DUMMYFUNCTION("""COMPUTED_VALUE"""),73.0)</f>
        <v>73</v>
      </c>
      <c r="S2625" s="14">
        <f>IFERROR(__xludf.DUMMYFUNCTION("""COMPUTED_VALUE"""),69.0)</f>
        <v>69</v>
      </c>
      <c r="T2625" s="14">
        <f>IFERROR(__xludf.DUMMYFUNCTION("""COMPUTED_VALUE"""),0.382)</f>
        <v>0.382</v>
      </c>
      <c r="U2625" s="14">
        <f>IFERROR(__xludf.DUMMYFUNCTION("""COMPUTED_VALUE"""),0.579)</f>
        <v>0.579</v>
      </c>
      <c r="V2625" s="14">
        <f>IFERROR(__xludf.DUMMYFUNCTION("""COMPUTED_VALUE"""),0.039)</f>
        <v>0.039</v>
      </c>
      <c r="W2625" s="14">
        <f>IFERROR(__xludf.DUMMYFUNCTION("""COMPUTED_VALUE"""),236299.0)</f>
        <v>236299</v>
      </c>
      <c r="X2625" s="14">
        <f>IFERROR(__xludf.DUMMYFUNCTION("""COMPUTED_VALUE"""),0.246)</f>
        <v>0.246</v>
      </c>
      <c r="Y2625" s="14" t="str">
        <f>IFERROR(__xludf.DUMMYFUNCTION("""COMPUTED_VALUE"""),"Vanuatu-Oceania")</f>
        <v>Vanuatu-Oceania</v>
      </c>
      <c r="Z2625" s="14" t="str">
        <f>IFERROR(__xludf.DUMMYFUNCTION("""COMPUTED_VALUE"""),"Oceania")</f>
        <v>Oceania</v>
      </c>
      <c r="AA2625" s="14" t="str">
        <f>IFERROR(__xludf.DUMMYFUNCTION("""COMPUTED_VALUE"""),"2010")</f>
        <v>2010</v>
      </c>
      <c r="AB2625" s="15" t="str">
        <f>IFERROR(__xludf.DUMMYFUNCTION("ARRAYFORMULA(VLOOKUP(A2625,IMPORTRANGE(""https://docs.google.com/spreadsheets/d/1BuTWp7qHGjWhqrnf-OmePP568O4A5Am9ttzvVdP67zw/edit#gid=1931367683"" ,""ENERGY!$A$2:$F$2692""), {2,3,4,5,6},0))"),"Oceania")</f>
        <v>Oceania</v>
      </c>
      <c r="AC2625" s="14" t="str">
        <f>IFERROR(__xludf.DUMMYFUNCTION("""COMPUTED_VALUE"""),"Vanuatu-Oceania")</f>
        <v>Vanuatu-Oceania</v>
      </c>
      <c r="AD2625" s="14" t="str">
        <f>IFERROR(__xludf.DUMMYFUNCTION("""COMPUTED_VALUE"""),"2010")</f>
        <v>2010</v>
      </c>
      <c r="AE2625" s="14"/>
      <c r="AF2625" s="14">
        <f>IFERROR(__xludf.DUMMYFUNCTION("""COMPUTED_VALUE"""),84.0)</f>
        <v>84</v>
      </c>
    </row>
    <row r="2626">
      <c r="A2626" s="12">
        <v>2625.0</v>
      </c>
      <c r="B2626" s="12" t="s">
        <v>280</v>
      </c>
      <c r="C2626" s="5" t="s">
        <v>80</v>
      </c>
      <c r="D2626" s="11">
        <v>0.084</v>
      </c>
      <c r="E2626" s="11">
        <v>35.0</v>
      </c>
      <c r="F2626" s="8"/>
      <c r="G2626" s="11">
        <v>120.0</v>
      </c>
      <c r="H2626" s="11">
        <v>0.092</v>
      </c>
      <c r="I2626" s="11">
        <v>0.644</v>
      </c>
      <c r="J2626" s="9" t="s">
        <v>72</v>
      </c>
      <c r="K2626" s="14" t="str">
        <f>IFERROR(__xludf.DUMMYFUNCTION("ARRAYFORMULA(VLOOKUP(A2626,IMPORTRANGE(""https://docs.google.com/spreadsheets/d/1BuTWp7qHGjWhqrnf-OmePP568O4A5Am9ttzvVdP67zw/edit#gid=1603210130"", ""TOURISM!$A$2:$F$2692""), {2,3,4,5,6},0))"),"Oceania")</f>
        <v>Oceania</v>
      </c>
      <c r="L2626" s="14">
        <f>IFERROR(__xludf.DUMMYFUNCTION("""COMPUTED_VALUE"""),2.52E8)</f>
        <v>252000000</v>
      </c>
      <c r="M2626" s="14" t="str">
        <f>IFERROR(__xludf.DUMMYFUNCTION("""COMPUTED_VALUE"""),"Vanuatu-Oceania")</f>
        <v>Vanuatu-Oceania</v>
      </c>
      <c r="N2626" s="14" t="str">
        <f>IFERROR(__xludf.DUMMYFUNCTION("""COMPUTED_VALUE"""),"2011")</f>
        <v>2011</v>
      </c>
      <c r="O2626" s="14">
        <f>IFERROR(__xludf.DUMMYFUNCTION("""COMPUTED_VALUE"""),3.9E7)</f>
        <v>39000000</v>
      </c>
      <c r="P2626" s="15">
        <f>IFERROR(__xludf.DUMMYFUNCTION("ARRAYFORMULA(VLOOKUP(A2626,IMPORTRANGE(""https://docs.google.com/spreadsheets/d/1BuTWp7qHGjWhqrnf-OmePP568O4A5Am9ttzvVdP67zw/edit#gid=771602874"" ,""HUMAN RESOURCES!$A$2:$M$2692""), {2,3,4,5,6,7,8,9,10,11,12,13},0))"),0.027)</f>
        <v>0.027</v>
      </c>
      <c r="Q2626" s="14">
        <f>IFERROR(__xludf.DUMMYFUNCTION("""COMPUTED_VALUE"""),0.015)</f>
        <v>0.015</v>
      </c>
      <c r="R2626" s="14">
        <f>IFERROR(__xludf.DUMMYFUNCTION("""COMPUTED_VALUE"""),73.0)</f>
        <v>73</v>
      </c>
      <c r="S2626" s="14">
        <f>IFERROR(__xludf.DUMMYFUNCTION("""COMPUTED_VALUE"""),69.0)</f>
        <v>69</v>
      </c>
      <c r="T2626" s="14">
        <f>IFERROR(__xludf.DUMMYFUNCTION("""COMPUTED_VALUE"""),0.378)</f>
        <v>0.378</v>
      </c>
      <c r="U2626" s="14">
        <f>IFERROR(__xludf.DUMMYFUNCTION("""COMPUTED_VALUE"""),0.582)</f>
        <v>0.582</v>
      </c>
      <c r="V2626" s="14">
        <f>IFERROR(__xludf.DUMMYFUNCTION("""COMPUTED_VALUE"""),0.04)</f>
        <v>0.04</v>
      </c>
      <c r="W2626" s="14">
        <f>IFERROR(__xludf.DUMMYFUNCTION("""COMPUTED_VALUE"""),241778.0)</f>
        <v>241778</v>
      </c>
      <c r="X2626" s="14">
        <f>IFERROR(__xludf.DUMMYFUNCTION("""COMPUTED_VALUE"""),0.249)</f>
        <v>0.249</v>
      </c>
      <c r="Y2626" s="14" t="str">
        <f>IFERROR(__xludf.DUMMYFUNCTION("""COMPUTED_VALUE"""),"Vanuatu-Oceania")</f>
        <v>Vanuatu-Oceania</v>
      </c>
      <c r="Z2626" s="14" t="str">
        <f>IFERROR(__xludf.DUMMYFUNCTION("""COMPUTED_VALUE"""),"Oceania")</f>
        <v>Oceania</v>
      </c>
      <c r="AA2626" s="14" t="str">
        <f>IFERROR(__xludf.DUMMYFUNCTION("""COMPUTED_VALUE"""),"2011")</f>
        <v>2011</v>
      </c>
      <c r="AB2626" s="15" t="str">
        <f>IFERROR(__xludf.DUMMYFUNCTION("ARRAYFORMULA(VLOOKUP(A2626,IMPORTRANGE(""https://docs.google.com/spreadsheets/d/1BuTWp7qHGjWhqrnf-OmePP568O4A5Am9ttzvVdP67zw/edit#gid=1931367683"" ,""ENERGY!$A$2:$F$2692""), {2,3,4,5,6},0))"),"Oceania")</f>
        <v>Oceania</v>
      </c>
      <c r="AC2626" s="14" t="str">
        <f>IFERROR(__xludf.DUMMYFUNCTION("""COMPUTED_VALUE"""),"Vanuatu-Oceania")</f>
        <v>Vanuatu-Oceania</v>
      </c>
      <c r="AD2626" s="14" t="str">
        <f>IFERROR(__xludf.DUMMYFUNCTION("""COMPUTED_VALUE"""),"2008")</f>
        <v>2008</v>
      </c>
      <c r="AE2626" s="14"/>
      <c r="AF2626" s="14">
        <f>IFERROR(__xludf.DUMMYFUNCTION("""COMPUTED_VALUE"""),88.0)</f>
        <v>88</v>
      </c>
    </row>
    <row r="2627">
      <c r="A2627" s="12">
        <v>2626.0</v>
      </c>
      <c r="B2627" s="12" t="s">
        <v>280</v>
      </c>
      <c r="C2627" s="5" t="s">
        <v>80</v>
      </c>
      <c r="D2627" s="11">
        <v>0.084</v>
      </c>
      <c r="E2627" s="11">
        <v>35.0</v>
      </c>
      <c r="F2627" s="11">
        <v>78.0</v>
      </c>
      <c r="G2627" s="11">
        <v>120.0</v>
      </c>
      <c r="H2627" s="11">
        <v>0.106</v>
      </c>
      <c r="I2627" s="11">
        <v>0.591</v>
      </c>
      <c r="J2627" s="9" t="s">
        <v>73</v>
      </c>
      <c r="K2627" s="14" t="str">
        <f>IFERROR(__xludf.DUMMYFUNCTION("ARRAYFORMULA(VLOOKUP(A2627,IMPORTRANGE(""https://docs.google.com/spreadsheets/d/1BuTWp7qHGjWhqrnf-OmePP568O4A5Am9ttzvVdP67zw/edit#gid=1603210130"", ""TOURISM!$A$2:$F$2692""), {2,3,4,5,6},0))"),"Oceania")</f>
        <v>Oceania</v>
      </c>
      <c r="L2627" s="14">
        <f>IFERROR(__xludf.DUMMYFUNCTION("""COMPUTED_VALUE"""),2.88E8)</f>
        <v>288000000</v>
      </c>
      <c r="M2627" s="14" t="str">
        <f>IFERROR(__xludf.DUMMYFUNCTION("""COMPUTED_VALUE"""),"Vanuatu-Oceania")</f>
        <v>Vanuatu-Oceania</v>
      </c>
      <c r="N2627" s="14" t="str">
        <f>IFERROR(__xludf.DUMMYFUNCTION("""COMPUTED_VALUE"""),"2012")</f>
        <v>2012</v>
      </c>
      <c r="O2627" s="14">
        <f>IFERROR(__xludf.DUMMYFUNCTION("""COMPUTED_VALUE"""),4.3E7)</f>
        <v>43000000</v>
      </c>
      <c r="P2627" s="15">
        <f>IFERROR(__xludf.DUMMYFUNCTION("ARRAYFORMULA(VLOOKUP(A2627,IMPORTRANGE(""https://docs.google.com/spreadsheets/d/1BuTWp7qHGjWhqrnf-OmePP568O4A5Am9ttzvVdP67zw/edit#gid=771602874"" ,""HUMAN RESOURCES!$A$2:$M$2692""), {2,3,4,5,6,7,8,9,10,11,12,13},0))"),0.027)</f>
        <v>0.027</v>
      </c>
      <c r="Q2627" s="14">
        <f>IFERROR(__xludf.DUMMYFUNCTION("""COMPUTED_VALUE"""),0.015)</f>
        <v>0.015</v>
      </c>
      <c r="R2627" s="14">
        <f>IFERROR(__xludf.DUMMYFUNCTION("""COMPUTED_VALUE"""),73.0)</f>
        <v>73</v>
      </c>
      <c r="S2627" s="14">
        <f>IFERROR(__xludf.DUMMYFUNCTION("""COMPUTED_VALUE"""),69.0)</f>
        <v>69</v>
      </c>
      <c r="T2627" s="14">
        <f>IFERROR(__xludf.DUMMYFUNCTION("""COMPUTED_VALUE"""),0.374)</f>
        <v>0.374</v>
      </c>
      <c r="U2627" s="14">
        <f>IFERROR(__xludf.DUMMYFUNCTION("""COMPUTED_VALUE"""),0.586)</f>
        <v>0.586</v>
      </c>
      <c r="V2627" s="14">
        <f>IFERROR(__xludf.DUMMYFUNCTION("""COMPUTED_VALUE"""),0.04)</f>
        <v>0.04</v>
      </c>
      <c r="W2627" s="14">
        <f>IFERROR(__xludf.DUMMYFUNCTION("""COMPUTED_VALUE"""),247262.0)</f>
        <v>247262</v>
      </c>
      <c r="X2627" s="14">
        <f>IFERROR(__xludf.DUMMYFUNCTION("""COMPUTED_VALUE"""),0.252)</f>
        <v>0.252</v>
      </c>
      <c r="Y2627" s="14" t="str">
        <f>IFERROR(__xludf.DUMMYFUNCTION("""COMPUTED_VALUE"""),"Vanuatu-Oceania")</f>
        <v>Vanuatu-Oceania</v>
      </c>
      <c r="Z2627" s="14" t="str">
        <f>IFERROR(__xludf.DUMMYFUNCTION("""COMPUTED_VALUE"""),"Oceania")</f>
        <v>Oceania</v>
      </c>
      <c r="AA2627" s="14" t="str">
        <f>IFERROR(__xludf.DUMMYFUNCTION("""COMPUTED_VALUE"""),"2012")</f>
        <v>2012</v>
      </c>
      <c r="AB2627" s="15" t="str">
        <f>IFERROR(__xludf.DUMMYFUNCTION("ARRAYFORMULA(VLOOKUP(A2627,IMPORTRANGE(""https://docs.google.com/spreadsheets/d/1BuTWp7qHGjWhqrnf-OmePP568O4A5Am9ttzvVdP67zw/edit#gid=1931367683"" ,""ENERGY!$A$2:$F$2692""), {2,3,4,5,6},0))"),"Oceania")</f>
        <v>Oceania</v>
      </c>
      <c r="AC2627" s="14" t="str">
        <f>IFERROR(__xludf.DUMMYFUNCTION("""COMPUTED_VALUE"""),"Vanuatu-Oceania")</f>
        <v>Vanuatu-Oceania</v>
      </c>
      <c r="AD2627" s="14" t="str">
        <f>IFERROR(__xludf.DUMMYFUNCTION("""COMPUTED_VALUE"""),"2012")</f>
        <v>2012</v>
      </c>
      <c r="AE2627" s="14"/>
      <c r="AF2627" s="14">
        <f>IFERROR(__xludf.DUMMYFUNCTION("""COMPUTED_VALUE"""),81.0)</f>
        <v>81</v>
      </c>
    </row>
    <row r="2628">
      <c r="A2628" s="12">
        <v>2627.0</v>
      </c>
      <c r="B2628" s="12" t="s">
        <v>281</v>
      </c>
      <c r="C2628" s="5" t="s">
        <v>84</v>
      </c>
      <c r="D2628" s="8"/>
      <c r="E2628" s="8"/>
      <c r="F2628" s="8"/>
      <c r="G2628" s="8"/>
      <c r="H2628" s="11">
        <v>0.034</v>
      </c>
      <c r="I2628" s="11">
        <v>0.223</v>
      </c>
      <c r="J2628" s="9" t="s">
        <v>60</v>
      </c>
      <c r="K2628" s="14" t="str">
        <f>IFERROR(__xludf.DUMMYFUNCTION("ARRAYFORMULA(VLOOKUP(A2628,IMPORTRANGE(""https://docs.google.com/spreadsheets/d/1BuTWp7qHGjWhqrnf-OmePP568O4A5Am9ttzvVdP67zw/edit#gid=1603210130"", ""TOURISM!$A$2:$F$2692""), {2,3,4,5,6},0))"),"The Americas")</f>
        <v>The Americas</v>
      </c>
      <c r="L2628" s="14">
        <f>IFERROR(__xludf.DUMMYFUNCTION("""COMPUTED_VALUE"""),4.69E8)</f>
        <v>469000000</v>
      </c>
      <c r="M2628" s="14" t="str">
        <f>IFERROR(__xludf.DUMMYFUNCTION("""COMPUTED_VALUE"""),"Venezuela-The Americas")</f>
        <v>Venezuela-The Americas</v>
      </c>
      <c r="N2628" s="14" t="str">
        <f>IFERROR(__xludf.DUMMYFUNCTION("""COMPUTED_VALUE"""),"2000")</f>
        <v>2000</v>
      </c>
      <c r="O2628" s="14">
        <f>IFERROR(__xludf.DUMMYFUNCTION("""COMPUTED_VALUE"""),1.647E9)</f>
        <v>1647000000</v>
      </c>
      <c r="P2628" s="15">
        <f>IFERROR(__xludf.DUMMYFUNCTION("ARRAYFORMULA(VLOOKUP(A2628,IMPORTRANGE(""https://docs.google.com/spreadsheets/d/1BuTWp7qHGjWhqrnf-OmePP568O4A5Am9ttzvVdP67zw/edit#gid=771602874"" ,""HUMAN RESOURCES!$A$2:$M$2692""), {2,3,4,5,6,7,8,9,10,11,12,13},0))"),0.024)</f>
        <v>0.024</v>
      </c>
      <c r="Q2628" s="14">
        <f>IFERROR(__xludf.DUMMYFUNCTION("""COMPUTED_VALUE"""),0.018)</f>
        <v>0.018</v>
      </c>
      <c r="R2628" s="14">
        <f>IFERROR(__xludf.DUMMYFUNCTION("""COMPUTED_VALUE"""),75.0)</f>
        <v>75</v>
      </c>
      <c r="S2628" s="14">
        <f>IFERROR(__xludf.DUMMYFUNCTION("""COMPUTED_VALUE"""),70.0)</f>
        <v>70</v>
      </c>
      <c r="T2628" s="14">
        <f>IFERROR(__xludf.DUMMYFUNCTION("""COMPUTED_VALUE"""),0.337)</f>
        <v>0.337</v>
      </c>
      <c r="U2628" s="14">
        <f>IFERROR(__xludf.DUMMYFUNCTION("""COMPUTED_VALUE"""),0.617)</f>
        <v>0.617</v>
      </c>
      <c r="V2628" s="14">
        <f>IFERROR(__xludf.DUMMYFUNCTION("""COMPUTED_VALUE"""),0.046)</f>
        <v>0.046</v>
      </c>
      <c r="W2628" s="14">
        <f>IFERROR(__xludf.DUMMYFUNCTION("""COMPUTED_VALUE"""),2.4407553E7)</f>
        <v>24407553</v>
      </c>
      <c r="X2628" s="14">
        <f>IFERROR(__xludf.DUMMYFUNCTION("""COMPUTED_VALUE"""),0.88)</f>
        <v>0.88</v>
      </c>
      <c r="Y2628" s="14" t="str">
        <f>IFERROR(__xludf.DUMMYFUNCTION("""COMPUTED_VALUE"""),"Venezuela-The Americas")</f>
        <v>Venezuela-The Americas</v>
      </c>
      <c r="Z2628" s="14" t="str">
        <f>IFERROR(__xludf.DUMMYFUNCTION("""COMPUTED_VALUE"""),"The Americas")</f>
        <v>The Americas</v>
      </c>
      <c r="AA2628" s="14" t="str">
        <f>IFERROR(__xludf.DUMMYFUNCTION("""COMPUTED_VALUE"""),"2000")</f>
        <v>2000</v>
      </c>
      <c r="AB2628" s="15" t="str">
        <f>IFERROR(__xludf.DUMMYFUNCTION("ARRAYFORMULA(VLOOKUP(A2628,IMPORTRANGE(""https://docs.google.com/spreadsheets/d/1BuTWp7qHGjWhqrnf-OmePP568O4A5Am9ttzvVdP67zw/edit#gid=1931367683"" ,""ENERGY!$A$2:$F$2692""), {2,3,4,5,6},0))"),"The Americas")</f>
        <v>The Americas</v>
      </c>
      <c r="AC2628" s="14" t="str">
        <f>IFERROR(__xludf.DUMMYFUNCTION("""COMPUTED_VALUE"""),"Venezuela-The Americas")</f>
        <v>Venezuela-The Americas</v>
      </c>
      <c r="AD2628" s="14" t="str">
        <f>IFERROR(__xludf.DUMMYFUNCTION("""COMPUTED_VALUE"""),"2000")</f>
        <v>2000</v>
      </c>
      <c r="AE2628" s="14"/>
      <c r="AF2628" s="14"/>
    </row>
    <row r="2629">
      <c r="A2629" s="12">
        <v>2628.0</v>
      </c>
      <c r="B2629" s="12" t="s">
        <v>281</v>
      </c>
      <c r="C2629" s="5" t="s">
        <v>84</v>
      </c>
      <c r="D2629" s="8"/>
      <c r="E2629" s="8"/>
      <c r="F2629" s="8"/>
      <c r="G2629" s="8"/>
      <c r="H2629" s="11">
        <v>0.046</v>
      </c>
      <c r="I2629" s="11">
        <v>0.26</v>
      </c>
      <c r="J2629" s="9" t="s">
        <v>62</v>
      </c>
      <c r="K2629" s="14" t="str">
        <f>IFERROR(__xludf.DUMMYFUNCTION("ARRAYFORMULA(VLOOKUP(A2629,IMPORTRANGE(""https://docs.google.com/spreadsheets/d/1BuTWp7qHGjWhqrnf-OmePP568O4A5Am9ttzvVdP67zw/edit#gid=1603210130"", ""TOURISM!$A$2:$F$2692""), {2,3,4,5,6},0))"),"The Americas")</f>
        <v>The Americas</v>
      </c>
      <c r="L2629" s="14">
        <f>IFERROR(__xludf.DUMMYFUNCTION("""COMPUTED_VALUE"""),6.77E8)</f>
        <v>677000000</v>
      </c>
      <c r="M2629" s="14" t="str">
        <f>IFERROR(__xludf.DUMMYFUNCTION("""COMPUTED_VALUE"""),"Venezuela-The Americas")</f>
        <v>Venezuela-The Americas</v>
      </c>
      <c r="N2629" s="14" t="str">
        <f>IFERROR(__xludf.DUMMYFUNCTION("""COMPUTED_VALUE"""),"2001")</f>
        <v>2001</v>
      </c>
      <c r="O2629" s="14">
        <f>IFERROR(__xludf.DUMMYFUNCTION("""COMPUTED_VALUE"""),1.718E9)</f>
        <v>1718000000</v>
      </c>
      <c r="P2629" s="15">
        <f>IFERROR(__xludf.DUMMYFUNCTION("ARRAYFORMULA(VLOOKUP(A2629,IMPORTRANGE(""https://docs.google.com/spreadsheets/d/1BuTWp7qHGjWhqrnf-OmePP568O4A5Am9ttzvVdP67zw/edit#gid=771602874"" ,""HUMAN RESOURCES!$A$2:$M$2692""), {2,3,4,5,6,7,8,9,10,11,12,13},0))"),0.023)</f>
        <v>0.023</v>
      </c>
      <c r="Q2629" s="14">
        <f>IFERROR(__xludf.DUMMYFUNCTION("""COMPUTED_VALUE"""),0.018)</f>
        <v>0.018</v>
      </c>
      <c r="R2629" s="14">
        <f>IFERROR(__xludf.DUMMYFUNCTION("""COMPUTED_VALUE"""),76.0)</f>
        <v>76</v>
      </c>
      <c r="S2629" s="14">
        <f>IFERROR(__xludf.DUMMYFUNCTION("""COMPUTED_VALUE"""),70.0)</f>
        <v>70</v>
      </c>
      <c r="T2629" s="14">
        <f>IFERROR(__xludf.DUMMYFUNCTION("""COMPUTED_VALUE"""),0.332)</f>
        <v>0.332</v>
      </c>
      <c r="U2629" s="14">
        <f>IFERROR(__xludf.DUMMYFUNCTION("""COMPUTED_VALUE"""),0.621)</f>
        <v>0.621</v>
      </c>
      <c r="V2629" s="14">
        <f>IFERROR(__xludf.DUMMYFUNCTION("""COMPUTED_VALUE"""),0.046)</f>
        <v>0.046</v>
      </c>
      <c r="W2629" s="14">
        <f>IFERROR(__xludf.DUMMYFUNCTION("""COMPUTED_VALUE"""),2.4870441E7)</f>
        <v>24870441</v>
      </c>
      <c r="X2629" s="14">
        <f>IFERROR(__xludf.DUMMYFUNCTION("""COMPUTED_VALUE"""),0.883)</f>
        <v>0.883</v>
      </c>
      <c r="Y2629" s="14" t="str">
        <f>IFERROR(__xludf.DUMMYFUNCTION("""COMPUTED_VALUE"""),"Venezuela-The Americas")</f>
        <v>Venezuela-The Americas</v>
      </c>
      <c r="Z2629" s="14" t="str">
        <f>IFERROR(__xludf.DUMMYFUNCTION("""COMPUTED_VALUE"""),"The Americas")</f>
        <v>The Americas</v>
      </c>
      <c r="AA2629" s="14" t="str">
        <f>IFERROR(__xludf.DUMMYFUNCTION("""COMPUTED_VALUE"""),"2001")</f>
        <v>2001</v>
      </c>
      <c r="AB2629" s="15" t="str">
        <f>IFERROR(__xludf.DUMMYFUNCTION("ARRAYFORMULA(VLOOKUP(A2629,IMPORTRANGE(""https://docs.google.com/spreadsheets/d/1BuTWp7qHGjWhqrnf-OmePP568O4A5Am9ttzvVdP67zw/edit#gid=1931367683"" ,""ENERGY!$A$2:$F$2692""), {2,3,4,5,6},0))"),"The Americas")</f>
        <v>The Americas</v>
      </c>
      <c r="AC2629" s="14" t="str">
        <f>IFERROR(__xludf.DUMMYFUNCTION("""COMPUTED_VALUE"""),"Venezuela-The Americas")</f>
        <v>Venezuela-The Americas</v>
      </c>
      <c r="AD2629" s="14" t="str">
        <f>IFERROR(__xludf.DUMMYFUNCTION("""COMPUTED_VALUE"""),"2001")</f>
        <v>2001</v>
      </c>
      <c r="AE2629" s="14">
        <f>IFERROR(__xludf.DUMMYFUNCTION("""COMPUTED_VALUE"""),70198.0)</f>
        <v>70198</v>
      </c>
      <c r="AF2629" s="14"/>
    </row>
    <row r="2630">
      <c r="A2630" s="12">
        <v>2629.0</v>
      </c>
      <c r="B2630" s="12" t="s">
        <v>281</v>
      </c>
      <c r="C2630" s="5" t="s">
        <v>84</v>
      </c>
      <c r="D2630" s="8"/>
      <c r="E2630" s="8"/>
      <c r="F2630" s="8"/>
      <c r="G2630" s="8"/>
      <c r="H2630" s="11">
        <v>0.049</v>
      </c>
      <c r="I2630" s="11">
        <v>0.258</v>
      </c>
      <c r="J2630" s="9" t="s">
        <v>63</v>
      </c>
      <c r="K2630" s="14" t="str">
        <f>IFERROR(__xludf.DUMMYFUNCTION("ARRAYFORMULA(VLOOKUP(A2630,IMPORTRANGE(""https://docs.google.com/spreadsheets/d/1BuTWp7qHGjWhqrnf-OmePP568O4A5Am9ttzvVdP67zw/edit#gid=1603210130"", ""TOURISM!$A$2:$F$2692""), {2,3,4,5,6},0))"),"The Americas")</f>
        <v>The Americas</v>
      </c>
      <c r="L2630" s="14">
        <f>IFERROR(__xludf.DUMMYFUNCTION("""COMPUTED_VALUE"""),4.84E8)</f>
        <v>484000000</v>
      </c>
      <c r="M2630" s="14" t="str">
        <f>IFERROR(__xludf.DUMMYFUNCTION("""COMPUTED_VALUE"""),"Venezuela-The Americas")</f>
        <v>Venezuela-The Americas</v>
      </c>
      <c r="N2630" s="14" t="str">
        <f>IFERROR(__xludf.DUMMYFUNCTION("""COMPUTED_VALUE"""),"2002")</f>
        <v>2002</v>
      </c>
      <c r="O2630" s="14">
        <f>IFERROR(__xludf.DUMMYFUNCTION("""COMPUTED_VALUE"""),1.546E9)</f>
        <v>1546000000</v>
      </c>
      <c r="P2630" s="15">
        <f>IFERROR(__xludf.DUMMYFUNCTION("ARRAYFORMULA(VLOOKUP(A2630,IMPORTRANGE(""https://docs.google.com/spreadsheets/d/1BuTWp7qHGjWhqrnf-OmePP568O4A5Am9ttzvVdP67zw/edit#gid=771602874"" ,""HUMAN RESOURCES!$A$2:$M$2692""), {2,3,4,5,6,7,8,9,10,11,12,13},0))"),0.023)</f>
        <v>0.023</v>
      </c>
      <c r="Q2630" s="14">
        <f>IFERROR(__xludf.DUMMYFUNCTION("""COMPUTED_VALUE"""),0.017)</f>
        <v>0.017</v>
      </c>
      <c r="R2630" s="14">
        <f>IFERROR(__xludf.DUMMYFUNCTION("""COMPUTED_VALUE"""),76.0)</f>
        <v>76</v>
      </c>
      <c r="S2630" s="14">
        <f>IFERROR(__xludf.DUMMYFUNCTION("""COMPUTED_VALUE"""),70.0)</f>
        <v>70</v>
      </c>
      <c r="T2630" s="14">
        <f>IFERROR(__xludf.DUMMYFUNCTION("""COMPUTED_VALUE"""),0.327)</f>
        <v>0.327</v>
      </c>
      <c r="U2630" s="14">
        <f>IFERROR(__xludf.DUMMYFUNCTION("""COMPUTED_VALUE"""),0.625)</f>
        <v>0.625</v>
      </c>
      <c r="V2630" s="14">
        <f>IFERROR(__xludf.DUMMYFUNCTION("""COMPUTED_VALUE"""),0.047)</f>
        <v>0.047</v>
      </c>
      <c r="W2630" s="14">
        <f>IFERROR(__xludf.DUMMYFUNCTION("""COMPUTED_VALUE"""),2.5333622E7)</f>
        <v>25333622</v>
      </c>
      <c r="X2630" s="14">
        <f>IFERROR(__xludf.DUMMYFUNCTION("""COMPUTED_VALUE"""),0.884)</f>
        <v>0.884</v>
      </c>
      <c r="Y2630" s="14" t="str">
        <f>IFERROR(__xludf.DUMMYFUNCTION("""COMPUTED_VALUE"""),"Venezuela-The Americas")</f>
        <v>Venezuela-The Americas</v>
      </c>
      <c r="Z2630" s="14" t="str">
        <f>IFERROR(__xludf.DUMMYFUNCTION("""COMPUTED_VALUE"""),"The Americas")</f>
        <v>The Americas</v>
      </c>
      <c r="AA2630" s="14" t="str">
        <f>IFERROR(__xludf.DUMMYFUNCTION("""COMPUTED_VALUE"""),"2002")</f>
        <v>2002</v>
      </c>
      <c r="AB2630" s="15" t="str">
        <f>IFERROR(__xludf.DUMMYFUNCTION("ARRAYFORMULA(VLOOKUP(A2630,IMPORTRANGE(""https://docs.google.com/spreadsheets/d/1BuTWp7qHGjWhqrnf-OmePP568O4A5Am9ttzvVdP67zw/edit#gid=1931367683"" ,""ENERGY!$A$2:$F$2692""), {2,3,4,5,6},0))"),"The Americas")</f>
        <v>The Americas</v>
      </c>
      <c r="AC2630" s="14" t="str">
        <f>IFERROR(__xludf.DUMMYFUNCTION("""COMPUTED_VALUE"""),"Venezuela-The Americas")</f>
        <v>Venezuela-The Americas</v>
      </c>
      <c r="AD2630" s="14" t="str">
        <f>IFERROR(__xludf.DUMMYFUNCTION("""COMPUTED_VALUE"""),"2002")</f>
        <v>2002</v>
      </c>
      <c r="AE2630" s="14">
        <f>IFERROR(__xludf.DUMMYFUNCTION("""COMPUTED_VALUE"""),75502.0)</f>
        <v>75502</v>
      </c>
      <c r="AF2630" s="14">
        <f>IFERROR(__xludf.DUMMYFUNCTION("""COMPUTED_VALUE"""),201747.0)</f>
        <v>201747</v>
      </c>
    </row>
    <row r="2631">
      <c r="A2631" s="12">
        <v>2630.0</v>
      </c>
      <c r="B2631" s="12" t="s">
        <v>281</v>
      </c>
      <c r="C2631" s="5" t="s">
        <v>84</v>
      </c>
      <c r="D2631" s="8"/>
      <c r="E2631" s="11">
        <v>141.0</v>
      </c>
      <c r="F2631" s="8"/>
      <c r="G2631" s="8"/>
      <c r="H2631" s="11">
        <v>0.075</v>
      </c>
      <c r="I2631" s="11">
        <v>0.272</v>
      </c>
      <c r="J2631" s="9" t="s">
        <v>64</v>
      </c>
      <c r="K2631" s="14" t="str">
        <f>IFERROR(__xludf.DUMMYFUNCTION("ARRAYFORMULA(VLOOKUP(A2631,IMPORTRANGE(""https://docs.google.com/spreadsheets/d/1BuTWp7qHGjWhqrnf-OmePP568O4A5Am9ttzvVdP67zw/edit#gid=1603210130"", ""TOURISM!$A$2:$F$2692""), {2,3,4,5,6},0))"),"The Americas")</f>
        <v>The Americas</v>
      </c>
      <c r="L2631" s="14">
        <f>IFERROR(__xludf.DUMMYFUNCTION("""COMPUTED_VALUE"""),3.78E8)</f>
        <v>378000000</v>
      </c>
      <c r="M2631" s="14" t="str">
        <f>IFERROR(__xludf.DUMMYFUNCTION("""COMPUTED_VALUE"""),"Venezuela-The Americas")</f>
        <v>Venezuela-The Americas</v>
      </c>
      <c r="N2631" s="14" t="str">
        <f>IFERROR(__xludf.DUMMYFUNCTION("""COMPUTED_VALUE"""),"2003")</f>
        <v>2003</v>
      </c>
      <c r="O2631" s="14">
        <f>IFERROR(__xludf.DUMMYFUNCTION("""COMPUTED_VALUE"""),1.311E9)</f>
        <v>1311000000</v>
      </c>
      <c r="P2631" s="15">
        <f>IFERROR(__xludf.DUMMYFUNCTION("ARRAYFORMULA(VLOOKUP(A2631,IMPORTRANGE(""https://docs.google.com/spreadsheets/d/1BuTWp7qHGjWhqrnf-OmePP568O4A5Am9ttzvVdP67zw/edit#gid=771602874"" ,""HUMAN RESOURCES!$A$2:$M$2692""), {2,3,4,5,6,7,8,9,10,11,12,13},0))"),0.023)</f>
        <v>0.023</v>
      </c>
      <c r="Q2631" s="14">
        <f>IFERROR(__xludf.DUMMYFUNCTION("""COMPUTED_VALUE"""),0.017)</f>
        <v>0.017</v>
      </c>
      <c r="R2631" s="14">
        <f>IFERROR(__xludf.DUMMYFUNCTION("""COMPUTED_VALUE"""),76.0)</f>
        <v>76</v>
      </c>
      <c r="S2631" s="14">
        <f>IFERROR(__xludf.DUMMYFUNCTION("""COMPUTED_VALUE"""),70.0)</f>
        <v>70</v>
      </c>
      <c r="T2631" s="14">
        <f>IFERROR(__xludf.DUMMYFUNCTION("""COMPUTED_VALUE"""),0.322)</f>
        <v>0.322</v>
      </c>
      <c r="U2631" s="14">
        <f>IFERROR(__xludf.DUMMYFUNCTION("""COMPUTED_VALUE"""),0.63)</f>
        <v>0.63</v>
      </c>
      <c r="V2631" s="14">
        <f>IFERROR(__xludf.DUMMYFUNCTION("""COMPUTED_VALUE"""),0.048)</f>
        <v>0.048</v>
      </c>
      <c r="W2631" s="14">
        <f>IFERROR(__xludf.DUMMYFUNCTION("""COMPUTED_VALUE"""),2.5797219E7)</f>
        <v>25797219</v>
      </c>
      <c r="X2631" s="14">
        <f>IFERROR(__xludf.DUMMYFUNCTION("""COMPUTED_VALUE"""),0.885)</f>
        <v>0.885</v>
      </c>
      <c r="Y2631" s="14" t="str">
        <f>IFERROR(__xludf.DUMMYFUNCTION("""COMPUTED_VALUE"""),"Venezuela-The Americas")</f>
        <v>Venezuela-The Americas</v>
      </c>
      <c r="Z2631" s="14" t="str">
        <f>IFERROR(__xludf.DUMMYFUNCTION("""COMPUTED_VALUE"""),"The Americas")</f>
        <v>The Americas</v>
      </c>
      <c r="AA2631" s="14" t="str">
        <f>IFERROR(__xludf.DUMMYFUNCTION("""COMPUTED_VALUE"""),"2003")</f>
        <v>2003</v>
      </c>
      <c r="AB2631" s="15" t="str">
        <f>IFERROR(__xludf.DUMMYFUNCTION("ARRAYFORMULA(VLOOKUP(A2631,IMPORTRANGE(""https://docs.google.com/spreadsheets/d/1BuTWp7qHGjWhqrnf-OmePP568O4A5Am9ttzvVdP67zw/edit#gid=1931367683"" ,""ENERGY!$A$2:$F$2692""), {2,3,4,5,6},0))"),"The Americas")</f>
        <v>The Americas</v>
      </c>
      <c r="AC2631" s="14" t="str">
        <f>IFERROR(__xludf.DUMMYFUNCTION("""COMPUTED_VALUE"""),"Venezuela-The Americas")</f>
        <v>Venezuela-The Americas</v>
      </c>
      <c r="AD2631" s="14" t="str">
        <f>IFERROR(__xludf.DUMMYFUNCTION("""COMPUTED_VALUE"""),"2003")</f>
        <v>2003</v>
      </c>
      <c r="AE2631" s="14">
        <f>IFERROR(__xludf.DUMMYFUNCTION("""COMPUTED_VALUE"""),69597.0)</f>
        <v>69597</v>
      </c>
      <c r="AF2631" s="14">
        <f>IFERROR(__xludf.DUMMYFUNCTION("""COMPUTED_VALUE"""),185341.0)</f>
        <v>185341</v>
      </c>
    </row>
    <row r="2632">
      <c r="A2632" s="12">
        <v>2631.0</v>
      </c>
      <c r="B2632" s="12" t="s">
        <v>281</v>
      </c>
      <c r="C2632" s="5" t="s">
        <v>84</v>
      </c>
      <c r="D2632" s="8"/>
      <c r="E2632" s="11">
        <v>141.0</v>
      </c>
      <c r="F2632" s="8"/>
      <c r="G2632" s="8"/>
      <c r="H2632" s="11">
        <v>0.084</v>
      </c>
      <c r="I2632" s="11">
        <v>0.321</v>
      </c>
      <c r="J2632" s="9" t="s">
        <v>65</v>
      </c>
      <c r="K2632" s="14" t="str">
        <f>IFERROR(__xludf.DUMMYFUNCTION("ARRAYFORMULA(VLOOKUP(A2632,IMPORTRANGE(""https://docs.google.com/spreadsheets/d/1BuTWp7qHGjWhqrnf-OmePP568O4A5Am9ttzvVdP67zw/edit#gid=1603210130"", ""TOURISM!$A$2:$F$2692""), {2,3,4,5,6},0))"),"The Americas")</f>
        <v>The Americas</v>
      </c>
      <c r="L2632" s="14">
        <f>IFERROR(__xludf.DUMMYFUNCTION("""COMPUTED_VALUE"""),5.54E8)</f>
        <v>554000000</v>
      </c>
      <c r="M2632" s="14" t="str">
        <f>IFERROR(__xludf.DUMMYFUNCTION("""COMPUTED_VALUE"""),"Venezuela-The Americas")</f>
        <v>Venezuela-The Americas</v>
      </c>
      <c r="N2632" s="14" t="str">
        <f>IFERROR(__xludf.DUMMYFUNCTION("""COMPUTED_VALUE"""),"2004")</f>
        <v>2004</v>
      </c>
      <c r="O2632" s="14">
        <f>IFERROR(__xludf.DUMMYFUNCTION("""COMPUTED_VALUE"""),1.604E9)</f>
        <v>1604000000</v>
      </c>
      <c r="P2632" s="15">
        <f>IFERROR(__xludf.DUMMYFUNCTION("ARRAYFORMULA(VLOOKUP(A2632,IMPORTRANGE(""https://docs.google.com/spreadsheets/d/1BuTWp7qHGjWhqrnf-OmePP568O4A5Am9ttzvVdP67zw/edit#gid=771602874"" ,""HUMAN RESOURCES!$A$2:$M$2692""), {2,3,4,5,6,7,8,9,10,11,12,13},0))"),0.022)</f>
        <v>0.022</v>
      </c>
      <c r="Q2632" s="14">
        <f>IFERROR(__xludf.DUMMYFUNCTION("""COMPUTED_VALUE"""),0.016)</f>
        <v>0.016</v>
      </c>
      <c r="R2632" s="14">
        <f>IFERROR(__xludf.DUMMYFUNCTION("""COMPUTED_VALUE"""),76.0)</f>
        <v>76</v>
      </c>
      <c r="S2632" s="14">
        <f>IFERROR(__xludf.DUMMYFUNCTION("""COMPUTED_VALUE"""),70.0)</f>
        <v>70</v>
      </c>
      <c r="T2632" s="14">
        <f>IFERROR(__xludf.DUMMYFUNCTION("""COMPUTED_VALUE"""),0.318)</f>
        <v>0.318</v>
      </c>
      <c r="U2632" s="14">
        <f>IFERROR(__xludf.DUMMYFUNCTION("""COMPUTED_VALUE"""),0.633)</f>
        <v>0.633</v>
      </c>
      <c r="V2632" s="14">
        <f>IFERROR(__xludf.DUMMYFUNCTION("""COMPUTED_VALUE"""),0.049)</f>
        <v>0.049</v>
      </c>
      <c r="W2632" s="14">
        <f>IFERROR(__xludf.DUMMYFUNCTION("""COMPUTED_VALUE"""),2.6261326E7)</f>
        <v>26261326</v>
      </c>
      <c r="X2632" s="14">
        <f>IFERROR(__xludf.DUMMYFUNCTION("""COMPUTED_VALUE"""),0.885)</f>
        <v>0.885</v>
      </c>
      <c r="Y2632" s="14" t="str">
        <f>IFERROR(__xludf.DUMMYFUNCTION("""COMPUTED_VALUE"""),"Venezuela-The Americas")</f>
        <v>Venezuela-The Americas</v>
      </c>
      <c r="Z2632" s="14" t="str">
        <f>IFERROR(__xludf.DUMMYFUNCTION("""COMPUTED_VALUE"""),"The Americas")</f>
        <v>The Americas</v>
      </c>
      <c r="AA2632" s="14" t="str">
        <f>IFERROR(__xludf.DUMMYFUNCTION("""COMPUTED_VALUE"""),"2004")</f>
        <v>2004</v>
      </c>
      <c r="AB2632" s="15" t="str">
        <f>IFERROR(__xludf.DUMMYFUNCTION("ARRAYFORMULA(VLOOKUP(A2632,IMPORTRANGE(""https://docs.google.com/spreadsheets/d/1BuTWp7qHGjWhqrnf-OmePP568O4A5Am9ttzvVdP67zw/edit#gid=1931367683"" ,""ENERGY!$A$2:$F$2692""), {2,3,4,5,6},0))"),"The Americas")</f>
        <v>The Americas</v>
      </c>
      <c r="AC2632" s="14" t="str">
        <f>IFERROR(__xludf.DUMMYFUNCTION("""COMPUTED_VALUE"""),"Venezuela-The Americas")</f>
        <v>Venezuela-The Americas</v>
      </c>
      <c r="AD2632" s="14" t="str">
        <f>IFERROR(__xludf.DUMMYFUNCTION("""COMPUTED_VALUE"""),"2005")</f>
        <v>2005</v>
      </c>
      <c r="AE2632" s="14">
        <f>IFERROR(__xludf.DUMMYFUNCTION("""COMPUTED_VALUE"""),69597.0)</f>
        <v>69597</v>
      </c>
      <c r="AF2632" s="14">
        <f>IFERROR(__xludf.DUMMYFUNCTION("""COMPUTED_VALUE"""),186812.0)</f>
        <v>186812</v>
      </c>
    </row>
    <row r="2633">
      <c r="A2633" s="12">
        <v>2632.0</v>
      </c>
      <c r="B2633" s="12" t="s">
        <v>281</v>
      </c>
      <c r="C2633" s="5" t="s">
        <v>84</v>
      </c>
      <c r="D2633" s="11">
        <v>0.502</v>
      </c>
      <c r="E2633" s="11">
        <v>141.0</v>
      </c>
      <c r="F2633" s="8"/>
      <c r="G2633" s="11">
        <v>864.0</v>
      </c>
      <c r="H2633" s="11">
        <v>0.126</v>
      </c>
      <c r="I2633" s="11">
        <v>0.468</v>
      </c>
      <c r="J2633" s="9" t="s">
        <v>66</v>
      </c>
      <c r="K2633" s="14" t="str">
        <f>IFERROR(__xludf.DUMMYFUNCTION("ARRAYFORMULA(VLOOKUP(A2633,IMPORTRANGE(""https://docs.google.com/spreadsheets/d/1BuTWp7qHGjWhqrnf-OmePP568O4A5Am9ttzvVdP67zw/edit#gid=1603210130"", ""TOURISM!$A$2:$F$2692""), {2,3,4,5,6},0))"),"The Americas")</f>
        <v>The Americas</v>
      </c>
      <c r="L2633" s="14">
        <f>IFERROR(__xludf.DUMMYFUNCTION("""COMPUTED_VALUE"""),7.22E8)</f>
        <v>722000000</v>
      </c>
      <c r="M2633" s="14" t="str">
        <f>IFERROR(__xludf.DUMMYFUNCTION("""COMPUTED_VALUE"""),"Venezuela-The Americas")</f>
        <v>Venezuela-The Americas</v>
      </c>
      <c r="N2633" s="14" t="str">
        <f>IFERROR(__xludf.DUMMYFUNCTION("""COMPUTED_VALUE"""),"2005")</f>
        <v>2005</v>
      </c>
      <c r="O2633" s="14">
        <f>IFERROR(__xludf.DUMMYFUNCTION("""COMPUTED_VALUE"""),1.843E9)</f>
        <v>1843000000</v>
      </c>
      <c r="P2633" s="15">
        <f>IFERROR(__xludf.DUMMYFUNCTION("ARRAYFORMULA(VLOOKUP(A2633,IMPORTRANGE(""https://docs.google.com/spreadsheets/d/1BuTWp7qHGjWhqrnf-OmePP568O4A5Am9ttzvVdP67zw/edit#gid=771602874"" ,""HUMAN RESOURCES!$A$2:$M$2692""), {2,3,4,5,6,7,8,9,10,11,12,13},0))"),0.022)</f>
        <v>0.022</v>
      </c>
      <c r="Q2633" s="14">
        <f>IFERROR(__xludf.DUMMYFUNCTION("""COMPUTED_VALUE"""),0.016)</f>
        <v>0.016</v>
      </c>
      <c r="R2633" s="14">
        <f>IFERROR(__xludf.DUMMYFUNCTION("""COMPUTED_VALUE"""),76.0)</f>
        <v>76</v>
      </c>
      <c r="S2633" s="14">
        <f>IFERROR(__xludf.DUMMYFUNCTION("""COMPUTED_VALUE"""),70.0)</f>
        <v>70</v>
      </c>
      <c r="T2633" s="14">
        <f>IFERROR(__xludf.DUMMYFUNCTION("""COMPUTED_VALUE"""),0.313)</f>
        <v>0.313</v>
      </c>
      <c r="U2633" s="14">
        <f>IFERROR(__xludf.DUMMYFUNCTION("""COMPUTED_VALUE"""),0.637)</f>
        <v>0.637</v>
      </c>
      <c r="V2633" s="14">
        <f>IFERROR(__xludf.DUMMYFUNCTION("""COMPUTED_VALUE"""),0.05)</f>
        <v>0.05</v>
      </c>
      <c r="W2633" s="14">
        <f>IFERROR(__xludf.DUMMYFUNCTION("""COMPUTED_VALUE"""),2.6725897E7)</f>
        <v>26725897</v>
      </c>
      <c r="X2633" s="14">
        <f>IFERROR(__xludf.DUMMYFUNCTION("""COMPUTED_VALUE"""),0.886)</f>
        <v>0.886</v>
      </c>
      <c r="Y2633" s="14" t="str">
        <f>IFERROR(__xludf.DUMMYFUNCTION("""COMPUTED_VALUE"""),"Venezuela-The Americas")</f>
        <v>Venezuela-The Americas</v>
      </c>
      <c r="Z2633" s="14" t="str">
        <f>IFERROR(__xludf.DUMMYFUNCTION("""COMPUTED_VALUE"""),"The Americas")</f>
        <v>The Americas</v>
      </c>
      <c r="AA2633" s="14" t="str">
        <f>IFERROR(__xludf.DUMMYFUNCTION("""COMPUTED_VALUE"""),"2005")</f>
        <v>2005</v>
      </c>
      <c r="AB2633" s="15" t="str">
        <f>IFERROR(__xludf.DUMMYFUNCTION("ARRAYFORMULA(VLOOKUP(A2633,IMPORTRANGE(""https://docs.google.com/spreadsheets/d/1BuTWp7qHGjWhqrnf-OmePP568O4A5Am9ttzvVdP67zw/edit#gid=1931367683"" ,""ENERGY!$A$2:$F$2692""), {2,3,4,5,6},0))"),"The Americas")</f>
        <v>The Americas</v>
      </c>
      <c r="AC2633" s="14" t="str">
        <f>IFERROR(__xludf.DUMMYFUNCTION("""COMPUTED_VALUE"""),"Venezuela-The Americas")</f>
        <v>Venezuela-The Americas</v>
      </c>
      <c r="AD2633" s="14" t="str">
        <f>IFERROR(__xludf.DUMMYFUNCTION("""COMPUTED_VALUE"""),"2009")</f>
        <v>2009</v>
      </c>
      <c r="AE2633" s="14">
        <f>IFERROR(__xludf.DUMMYFUNCTION("""COMPUTED_VALUE"""),62934.0)</f>
        <v>62934</v>
      </c>
      <c r="AF2633" s="14">
        <f>IFERROR(__xludf.DUMMYFUNCTION("""COMPUTED_VALUE"""),175785.0)</f>
        <v>175785</v>
      </c>
    </row>
    <row r="2634">
      <c r="A2634" s="12">
        <v>2633.0</v>
      </c>
      <c r="B2634" s="12" t="s">
        <v>281</v>
      </c>
      <c r="C2634" s="5" t="s">
        <v>84</v>
      </c>
      <c r="D2634" s="11">
        <v>0.498</v>
      </c>
      <c r="E2634" s="11">
        <v>141.0</v>
      </c>
      <c r="F2634" s="8"/>
      <c r="G2634" s="11">
        <v>864.0</v>
      </c>
      <c r="H2634" s="11">
        <v>0.152</v>
      </c>
      <c r="I2634" s="11">
        <v>0.691</v>
      </c>
      <c r="J2634" s="9" t="s">
        <v>67</v>
      </c>
      <c r="K2634" s="14" t="str">
        <f>IFERROR(__xludf.DUMMYFUNCTION("ARRAYFORMULA(VLOOKUP(A2634,IMPORTRANGE(""https://docs.google.com/spreadsheets/d/1BuTWp7qHGjWhqrnf-OmePP568O4A5Am9ttzvVdP67zw/edit#gid=1603210130"", ""TOURISM!$A$2:$F$2692""), {2,3,4,5,6},0))"),"The Americas")</f>
        <v>The Americas</v>
      </c>
      <c r="L2634" s="14">
        <f>IFERROR(__xludf.DUMMYFUNCTION("""COMPUTED_VALUE"""),8.43E8)</f>
        <v>843000000</v>
      </c>
      <c r="M2634" s="14" t="str">
        <f>IFERROR(__xludf.DUMMYFUNCTION("""COMPUTED_VALUE"""),"Venezuela-The Americas")</f>
        <v>Venezuela-The Americas</v>
      </c>
      <c r="N2634" s="14" t="str">
        <f>IFERROR(__xludf.DUMMYFUNCTION("""COMPUTED_VALUE"""),"2006")</f>
        <v>2006</v>
      </c>
      <c r="O2634" s="14">
        <f>IFERROR(__xludf.DUMMYFUNCTION("""COMPUTED_VALUE"""),1.807E9)</f>
        <v>1807000000</v>
      </c>
      <c r="P2634" s="15">
        <f>IFERROR(__xludf.DUMMYFUNCTION("ARRAYFORMULA(VLOOKUP(A2634,IMPORTRANGE(""https://docs.google.com/spreadsheets/d/1BuTWp7qHGjWhqrnf-OmePP568O4A5Am9ttzvVdP67zw/edit#gid=771602874"" ,""HUMAN RESOURCES!$A$2:$M$2692""), {2,3,4,5,6,7,8,9,10,11,12,13},0))"),0.022)</f>
        <v>0.022</v>
      </c>
      <c r="Q2634" s="14">
        <f>IFERROR(__xludf.DUMMYFUNCTION("""COMPUTED_VALUE"""),0.015)</f>
        <v>0.015</v>
      </c>
      <c r="R2634" s="14">
        <f>IFERROR(__xludf.DUMMYFUNCTION("""COMPUTED_VALUE"""),76.0)</f>
        <v>76</v>
      </c>
      <c r="S2634" s="14">
        <f>IFERROR(__xludf.DUMMYFUNCTION("""COMPUTED_VALUE"""),71.0)</f>
        <v>71</v>
      </c>
      <c r="T2634" s="14">
        <f>IFERROR(__xludf.DUMMYFUNCTION("""COMPUTED_VALUE"""),0.309)</f>
        <v>0.309</v>
      </c>
      <c r="U2634" s="14">
        <f>IFERROR(__xludf.DUMMYFUNCTION("""COMPUTED_VALUE"""),0.64)</f>
        <v>0.64</v>
      </c>
      <c r="V2634" s="14">
        <f>IFERROR(__xludf.DUMMYFUNCTION("""COMPUTED_VALUE"""),0.051)</f>
        <v>0.051</v>
      </c>
      <c r="W2634" s="14">
        <f>IFERROR(__xludf.DUMMYFUNCTION("""COMPUTED_VALUE"""),2.7190882E7)</f>
        <v>27190882</v>
      </c>
      <c r="X2634" s="14">
        <f>IFERROR(__xludf.DUMMYFUNCTION("""COMPUTED_VALUE"""),0.886)</f>
        <v>0.886</v>
      </c>
      <c r="Y2634" s="14" t="str">
        <f>IFERROR(__xludf.DUMMYFUNCTION("""COMPUTED_VALUE"""),"Venezuela-The Americas")</f>
        <v>Venezuela-The Americas</v>
      </c>
      <c r="Z2634" s="14" t="str">
        <f>IFERROR(__xludf.DUMMYFUNCTION("""COMPUTED_VALUE"""),"The Americas")</f>
        <v>The Americas</v>
      </c>
      <c r="AA2634" s="14" t="str">
        <f>IFERROR(__xludf.DUMMYFUNCTION("""COMPUTED_VALUE"""),"2006")</f>
        <v>2006</v>
      </c>
      <c r="AB2634" s="15" t="str">
        <f>IFERROR(__xludf.DUMMYFUNCTION("ARRAYFORMULA(VLOOKUP(A2634,IMPORTRANGE(""https://docs.google.com/spreadsheets/d/1BuTWp7qHGjWhqrnf-OmePP568O4A5Am9ttzvVdP67zw/edit#gid=1931367683"" ,""ENERGY!$A$2:$F$2692""), {2,3,4,5,6},0))"),"The Americas")</f>
        <v>The Americas</v>
      </c>
      <c r="AC2634" s="14" t="str">
        <f>IFERROR(__xludf.DUMMYFUNCTION("""COMPUTED_VALUE"""),"Venezuela-The Americas")</f>
        <v>Venezuela-The Americas</v>
      </c>
      <c r="AD2634" s="14" t="str">
        <f>IFERROR(__xludf.DUMMYFUNCTION("""COMPUTED_VALUE"""),"2005")</f>
        <v>2005</v>
      </c>
      <c r="AE2634" s="14">
        <f>IFERROR(__xludf.DUMMYFUNCTION("""COMPUTED_VALUE"""),63705.0)</f>
        <v>63705</v>
      </c>
      <c r="AF2634" s="14">
        <f>IFERROR(__xludf.DUMMYFUNCTION("""COMPUTED_VALUE"""),171825.0)</f>
        <v>171825</v>
      </c>
    </row>
    <row r="2635">
      <c r="A2635" s="12">
        <v>2634.0</v>
      </c>
      <c r="B2635" s="12" t="s">
        <v>281</v>
      </c>
      <c r="C2635" s="5" t="s">
        <v>84</v>
      </c>
      <c r="D2635" s="11">
        <v>0.536</v>
      </c>
      <c r="E2635" s="11">
        <v>141.0</v>
      </c>
      <c r="F2635" s="8"/>
      <c r="G2635" s="11">
        <v>864.0</v>
      </c>
      <c r="H2635" s="11">
        <v>0.208</v>
      </c>
      <c r="I2635" s="11">
        <v>0.861</v>
      </c>
      <c r="J2635" s="9" t="s">
        <v>68</v>
      </c>
      <c r="K2635" s="14" t="str">
        <f>IFERROR(__xludf.DUMMYFUNCTION("ARRAYFORMULA(VLOOKUP(A2635,IMPORTRANGE(""https://docs.google.com/spreadsheets/d/1BuTWp7qHGjWhqrnf-OmePP568O4A5Am9ttzvVdP67zw/edit#gid=1603210130"", ""TOURISM!$A$2:$F$2692""), {2,3,4,5,6},0))"),"The Americas")</f>
        <v>The Americas</v>
      </c>
      <c r="L2635" s="14">
        <f>IFERROR(__xludf.DUMMYFUNCTION("""COMPUTED_VALUE"""),9.72E8)</f>
        <v>972000000</v>
      </c>
      <c r="M2635" s="14" t="str">
        <f>IFERROR(__xludf.DUMMYFUNCTION("""COMPUTED_VALUE"""),"Venezuela-The Americas")</f>
        <v>Venezuela-The Americas</v>
      </c>
      <c r="N2635" s="14" t="str">
        <f>IFERROR(__xludf.DUMMYFUNCTION("""COMPUTED_VALUE"""),"2007")</f>
        <v>2007</v>
      </c>
      <c r="O2635" s="14">
        <f>IFERROR(__xludf.DUMMYFUNCTION("""COMPUTED_VALUE"""),2.249E9)</f>
        <v>2249000000</v>
      </c>
      <c r="P2635" s="15">
        <f>IFERROR(__xludf.DUMMYFUNCTION("ARRAYFORMULA(VLOOKUP(A2635,IMPORTRANGE(""https://docs.google.com/spreadsheets/d/1BuTWp7qHGjWhqrnf-OmePP568O4A5Am9ttzvVdP67zw/edit#gid=771602874"" ,""HUMAN RESOURCES!$A$2:$M$2692""), {2,3,4,5,6,7,8,9,10,11,12,13},0))"),0.022)</f>
        <v>0.022</v>
      </c>
      <c r="Q2635" s="14">
        <f>IFERROR(__xludf.DUMMYFUNCTION("""COMPUTED_VALUE"""),0.015)</f>
        <v>0.015</v>
      </c>
      <c r="R2635" s="14">
        <f>IFERROR(__xludf.DUMMYFUNCTION("""COMPUTED_VALUE"""),77.0)</f>
        <v>77</v>
      </c>
      <c r="S2635" s="14">
        <f>IFERROR(__xludf.DUMMYFUNCTION("""COMPUTED_VALUE"""),71.0)</f>
        <v>71</v>
      </c>
      <c r="T2635" s="14">
        <f>IFERROR(__xludf.DUMMYFUNCTION("""COMPUTED_VALUE"""),0.305)</f>
        <v>0.305</v>
      </c>
      <c r="U2635" s="14">
        <f>IFERROR(__xludf.DUMMYFUNCTION("""COMPUTED_VALUE"""),0.643)</f>
        <v>0.643</v>
      </c>
      <c r="V2635" s="14">
        <f>IFERROR(__xludf.DUMMYFUNCTION("""COMPUTED_VALUE"""),0.052)</f>
        <v>0.052</v>
      </c>
      <c r="W2635" s="14">
        <f>IFERROR(__xludf.DUMMYFUNCTION("""COMPUTED_VALUE"""),2.7655937E7)</f>
        <v>27655937</v>
      </c>
      <c r="X2635" s="14">
        <f>IFERROR(__xludf.DUMMYFUNCTION("""COMPUTED_VALUE"""),0.886)</f>
        <v>0.886</v>
      </c>
      <c r="Y2635" s="14" t="str">
        <f>IFERROR(__xludf.DUMMYFUNCTION("""COMPUTED_VALUE"""),"Venezuela-The Americas")</f>
        <v>Venezuela-The Americas</v>
      </c>
      <c r="Z2635" s="14" t="str">
        <f>IFERROR(__xludf.DUMMYFUNCTION("""COMPUTED_VALUE"""),"The Americas")</f>
        <v>The Americas</v>
      </c>
      <c r="AA2635" s="14" t="str">
        <f>IFERROR(__xludf.DUMMYFUNCTION("""COMPUTED_VALUE"""),"2007")</f>
        <v>2007</v>
      </c>
      <c r="AB2635" s="15" t="str">
        <f>IFERROR(__xludf.DUMMYFUNCTION("ARRAYFORMULA(VLOOKUP(A2635,IMPORTRANGE(""https://docs.google.com/spreadsheets/d/1BuTWp7qHGjWhqrnf-OmePP568O4A5Am9ttzvVdP67zw/edit#gid=1931367683"" ,""ENERGY!$A$2:$F$2692""), {2,3,4,5,6},0))"),"The Americas")</f>
        <v>The Americas</v>
      </c>
      <c r="AC2635" s="14" t="str">
        <f>IFERROR(__xludf.DUMMYFUNCTION("""COMPUTED_VALUE"""),"Venezuela-The Americas")</f>
        <v>Venezuela-The Americas</v>
      </c>
      <c r="AD2635" s="14" t="str">
        <f>IFERROR(__xludf.DUMMYFUNCTION("""COMPUTED_VALUE"""),"2011")</f>
        <v>2011</v>
      </c>
      <c r="AE2635" s="14">
        <f>IFERROR(__xludf.DUMMYFUNCTION("""COMPUTED_VALUE"""),66558.0)</f>
        <v>66558</v>
      </c>
      <c r="AF2635" s="14">
        <f>IFERROR(__xludf.DUMMYFUNCTION("""COMPUTED_VALUE"""),181630.0)</f>
        <v>181630</v>
      </c>
    </row>
    <row r="2636">
      <c r="A2636" s="12">
        <v>2635.0</v>
      </c>
      <c r="B2636" s="12" t="s">
        <v>281</v>
      </c>
      <c r="C2636" s="5" t="s">
        <v>84</v>
      </c>
      <c r="D2636" s="11">
        <v>0.556</v>
      </c>
      <c r="E2636" s="11">
        <v>141.0</v>
      </c>
      <c r="F2636" s="8"/>
      <c r="G2636" s="11">
        <v>864.0</v>
      </c>
      <c r="H2636" s="11">
        <v>0.259</v>
      </c>
      <c r="I2636" s="11">
        <v>0.975</v>
      </c>
      <c r="J2636" s="9" t="s">
        <v>69</v>
      </c>
      <c r="K2636" s="14" t="str">
        <f>IFERROR(__xludf.DUMMYFUNCTION("ARRAYFORMULA(VLOOKUP(A2636,IMPORTRANGE(""https://docs.google.com/spreadsheets/d/1BuTWp7qHGjWhqrnf-OmePP568O4A5Am9ttzvVdP67zw/edit#gid=1603210130"", ""TOURISM!$A$2:$F$2692""), {2,3,4,5,6},0))"),"The Americas")</f>
        <v>The Americas</v>
      </c>
      <c r="L2636" s="14">
        <f>IFERROR(__xludf.DUMMYFUNCTION("""COMPUTED_VALUE"""),1.097E9)</f>
        <v>1097000000</v>
      </c>
      <c r="M2636" s="14" t="str">
        <f>IFERROR(__xludf.DUMMYFUNCTION("""COMPUTED_VALUE"""),"Venezuela-The Americas")</f>
        <v>Venezuela-The Americas</v>
      </c>
      <c r="N2636" s="14" t="str">
        <f>IFERROR(__xludf.DUMMYFUNCTION("""COMPUTED_VALUE"""),"2008")</f>
        <v>2008</v>
      </c>
      <c r="O2636" s="14">
        <f>IFERROR(__xludf.DUMMYFUNCTION("""COMPUTED_VALUE"""),2.594E9)</f>
        <v>2594000000</v>
      </c>
      <c r="P2636" s="15">
        <f>IFERROR(__xludf.DUMMYFUNCTION("ARRAYFORMULA(VLOOKUP(A2636,IMPORTRANGE(""https://docs.google.com/spreadsheets/d/1BuTWp7qHGjWhqrnf-OmePP568O4A5Am9ttzvVdP67zw/edit#gid=771602874"" ,""HUMAN RESOURCES!$A$2:$M$2692""), {2,3,4,5,6,7,8,9,10,11,12,13},0))"),0.021)</f>
        <v>0.021</v>
      </c>
      <c r="Q2636" s="14">
        <f>IFERROR(__xludf.DUMMYFUNCTION("""COMPUTED_VALUE"""),0.014)</f>
        <v>0.014</v>
      </c>
      <c r="R2636" s="14">
        <f>IFERROR(__xludf.DUMMYFUNCTION("""COMPUTED_VALUE"""),77.0)</f>
        <v>77</v>
      </c>
      <c r="S2636" s="14">
        <f>IFERROR(__xludf.DUMMYFUNCTION("""COMPUTED_VALUE"""),71.0)</f>
        <v>71</v>
      </c>
      <c r="T2636" s="14">
        <f>IFERROR(__xludf.DUMMYFUNCTION("""COMPUTED_VALUE"""),0.302)</f>
        <v>0.302</v>
      </c>
      <c r="U2636" s="14">
        <f>IFERROR(__xludf.DUMMYFUNCTION("""COMPUTED_VALUE"""),0.645)</f>
        <v>0.645</v>
      </c>
      <c r="V2636" s="14">
        <f>IFERROR(__xludf.DUMMYFUNCTION("""COMPUTED_VALUE"""),0.053)</f>
        <v>0.053</v>
      </c>
      <c r="W2636" s="14">
        <f>IFERROR(__xludf.DUMMYFUNCTION("""COMPUTED_VALUE"""),2.8120312E7)</f>
        <v>28120312</v>
      </c>
      <c r="X2636" s="14">
        <f>IFERROR(__xludf.DUMMYFUNCTION("""COMPUTED_VALUE"""),0.887)</f>
        <v>0.887</v>
      </c>
      <c r="Y2636" s="14" t="str">
        <f>IFERROR(__xludf.DUMMYFUNCTION("""COMPUTED_VALUE"""),"Venezuela-The Americas")</f>
        <v>Venezuela-The Americas</v>
      </c>
      <c r="Z2636" s="14" t="str">
        <f>IFERROR(__xludf.DUMMYFUNCTION("""COMPUTED_VALUE"""),"The Americas")</f>
        <v>The Americas</v>
      </c>
      <c r="AA2636" s="14" t="str">
        <f>IFERROR(__xludf.DUMMYFUNCTION("""COMPUTED_VALUE"""),"2008")</f>
        <v>2008</v>
      </c>
      <c r="AB2636" s="15" t="str">
        <f>IFERROR(__xludf.DUMMYFUNCTION("ARRAYFORMULA(VLOOKUP(A2636,IMPORTRANGE(""https://docs.google.com/spreadsheets/d/1BuTWp7qHGjWhqrnf-OmePP568O4A5Am9ttzvVdP67zw/edit#gid=1931367683"" ,""ENERGY!$A$2:$F$2692""), {2,3,4,5,6},0))"),"The Americas")</f>
        <v>The Americas</v>
      </c>
      <c r="AC2636" s="14" t="str">
        <f>IFERROR(__xludf.DUMMYFUNCTION("""COMPUTED_VALUE"""),"Venezuela-The Americas")</f>
        <v>Venezuela-The Americas</v>
      </c>
      <c r="AD2636" s="14" t="str">
        <f>IFERROR(__xludf.DUMMYFUNCTION("""COMPUTED_VALUE"""),"2008")</f>
        <v>2008</v>
      </c>
      <c r="AE2636" s="14">
        <f>IFERROR(__xludf.DUMMYFUNCTION("""COMPUTED_VALUE"""),56441.0)</f>
        <v>56441</v>
      </c>
      <c r="AF2636" s="14">
        <f>IFERROR(__xludf.DUMMYFUNCTION("""COMPUTED_VALUE"""),168268.0)</f>
        <v>168268</v>
      </c>
    </row>
    <row r="2637">
      <c r="A2637" s="12">
        <v>2636.0</v>
      </c>
      <c r="B2637" s="12" t="s">
        <v>281</v>
      </c>
      <c r="C2637" s="5" t="s">
        <v>84</v>
      </c>
      <c r="D2637" s="11">
        <v>0.604</v>
      </c>
      <c r="E2637" s="11">
        <v>141.0</v>
      </c>
      <c r="F2637" s="8"/>
      <c r="G2637" s="11">
        <v>864.0</v>
      </c>
      <c r="H2637" s="11">
        <v>0.327</v>
      </c>
      <c r="I2637" s="11">
        <v>0.984</v>
      </c>
      <c r="J2637" s="9" t="s">
        <v>70</v>
      </c>
      <c r="K2637" s="14" t="str">
        <f>IFERROR(__xludf.DUMMYFUNCTION("ARRAYFORMULA(VLOOKUP(A2637,IMPORTRANGE(""https://docs.google.com/spreadsheets/d/1BuTWp7qHGjWhqrnf-OmePP568O4A5Am9ttzvVdP67zw/edit#gid=1603210130"", ""TOURISM!$A$2:$F$2692""), {2,3,4,5,6},0))"),"The Americas")</f>
        <v>The Americas</v>
      </c>
      <c r="L2637" s="14">
        <f>IFERROR(__xludf.DUMMYFUNCTION("""COMPUTED_VALUE"""),1.055E9)</f>
        <v>1055000000</v>
      </c>
      <c r="M2637" s="14" t="str">
        <f>IFERROR(__xludf.DUMMYFUNCTION("""COMPUTED_VALUE"""),"Venezuela-The Americas")</f>
        <v>Venezuela-The Americas</v>
      </c>
      <c r="N2637" s="14" t="str">
        <f>IFERROR(__xludf.DUMMYFUNCTION("""COMPUTED_VALUE"""),"2009")</f>
        <v>2009</v>
      </c>
      <c r="O2637" s="14">
        <f>IFERROR(__xludf.DUMMYFUNCTION("""COMPUTED_VALUE"""),2.275E9)</f>
        <v>2275000000</v>
      </c>
      <c r="P2637" s="15">
        <f>IFERROR(__xludf.DUMMYFUNCTION("ARRAYFORMULA(VLOOKUP(A2637,IMPORTRANGE(""https://docs.google.com/spreadsheets/d/1BuTWp7qHGjWhqrnf-OmePP568O4A5Am9ttzvVdP67zw/edit#gid=771602874"" ,""HUMAN RESOURCES!$A$2:$M$2692""), {2,3,4,5,6,7,8,9,10,11,12,13},0))"),0.021)</f>
        <v>0.021</v>
      </c>
      <c r="Q2637" s="14">
        <f>IFERROR(__xludf.DUMMYFUNCTION("""COMPUTED_VALUE"""),0.014)</f>
        <v>0.014</v>
      </c>
      <c r="R2637" s="14">
        <f>IFERROR(__xludf.DUMMYFUNCTION("""COMPUTED_VALUE"""),77.0)</f>
        <v>77</v>
      </c>
      <c r="S2637" s="14">
        <f>IFERROR(__xludf.DUMMYFUNCTION("""COMPUTED_VALUE"""),71.0)</f>
        <v>71</v>
      </c>
      <c r="T2637" s="14">
        <f>IFERROR(__xludf.DUMMYFUNCTION("""COMPUTED_VALUE"""),0.298)</f>
        <v>0.298</v>
      </c>
      <c r="U2637" s="14">
        <f>IFERROR(__xludf.DUMMYFUNCTION("""COMPUTED_VALUE"""),0.647)</f>
        <v>0.647</v>
      </c>
      <c r="V2637" s="14">
        <f>IFERROR(__xludf.DUMMYFUNCTION("""COMPUTED_VALUE"""),0.055)</f>
        <v>0.055</v>
      </c>
      <c r="W2637" s="14">
        <f>IFERROR(__xludf.DUMMYFUNCTION("""COMPUTED_VALUE"""),2.858304E7)</f>
        <v>28583040</v>
      </c>
      <c r="X2637" s="14">
        <f>IFERROR(__xludf.DUMMYFUNCTION("""COMPUTED_VALUE"""),0.887)</f>
        <v>0.887</v>
      </c>
      <c r="Y2637" s="14" t="str">
        <f>IFERROR(__xludf.DUMMYFUNCTION("""COMPUTED_VALUE"""),"Venezuela-The Americas")</f>
        <v>Venezuela-The Americas</v>
      </c>
      <c r="Z2637" s="14" t="str">
        <f>IFERROR(__xludf.DUMMYFUNCTION("""COMPUTED_VALUE"""),"The Americas")</f>
        <v>The Americas</v>
      </c>
      <c r="AA2637" s="14" t="str">
        <f>IFERROR(__xludf.DUMMYFUNCTION("""COMPUTED_VALUE"""),"2009")</f>
        <v>2009</v>
      </c>
      <c r="AB2637" s="15" t="str">
        <f>IFERROR(__xludf.DUMMYFUNCTION("ARRAYFORMULA(VLOOKUP(A2637,IMPORTRANGE(""https://docs.google.com/spreadsheets/d/1BuTWp7qHGjWhqrnf-OmePP568O4A5Am9ttzvVdP67zw/edit#gid=1931367683"" ,""ENERGY!$A$2:$F$2692""), {2,3,4,5,6},0))"),"The Americas")</f>
        <v>The Americas</v>
      </c>
      <c r="AC2637" s="14" t="str">
        <f>IFERROR(__xludf.DUMMYFUNCTION("""COMPUTED_VALUE"""),"Venezuela-The Americas")</f>
        <v>Venezuela-The Americas</v>
      </c>
      <c r="AD2637" s="14" t="str">
        <f>IFERROR(__xludf.DUMMYFUNCTION("""COMPUTED_VALUE"""),"2012")</f>
        <v>2012</v>
      </c>
      <c r="AE2637" s="14">
        <f>IFERROR(__xludf.DUMMYFUNCTION("""COMPUTED_VALUE"""),52881.0)</f>
        <v>52881</v>
      </c>
      <c r="AF2637" s="14">
        <f>IFERROR(__xludf.DUMMYFUNCTION("""COMPUTED_VALUE"""),192103.0)</f>
        <v>192103</v>
      </c>
    </row>
    <row r="2638">
      <c r="A2638" s="12">
        <v>2637.0</v>
      </c>
      <c r="B2638" s="12" t="s">
        <v>281</v>
      </c>
      <c r="C2638" s="5" t="s">
        <v>84</v>
      </c>
      <c r="D2638" s="11">
        <v>0.519</v>
      </c>
      <c r="E2638" s="11">
        <v>141.0</v>
      </c>
      <c r="F2638" s="8"/>
      <c r="G2638" s="11">
        <v>864.0</v>
      </c>
      <c r="H2638" s="11">
        <v>0.374</v>
      </c>
      <c r="I2638" s="11">
        <v>0.96</v>
      </c>
      <c r="J2638" s="9" t="s">
        <v>71</v>
      </c>
      <c r="K2638" s="14" t="str">
        <f>IFERROR(__xludf.DUMMYFUNCTION("ARRAYFORMULA(VLOOKUP(A2638,IMPORTRANGE(""https://docs.google.com/spreadsheets/d/1BuTWp7qHGjWhqrnf-OmePP568O4A5Am9ttzvVdP67zw/edit#gid=1603210130"", ""TOURISM!$A$2:$F$2692""), {2,3,4,5,6},0))"),"The Americas")</f>
        <v>The Americas</v>
      </c>
      <c r="L2638" s="14">
        <f>IFERROR(__xludf.DUMMYFUNCTION("""COMPUTED_VALUE"""),7.94E8)</f>
        <v>794000000</v>
      </c>
      <c r="M2638" s="14" t="str">
        <f>IFERROR(__xludf.DUMMYFUNCTION("""COMPUTED_VALUE"""),"Venezuela-The Americas")</f>
        <v>Venezuela-The Americas</v>
      </c>
      <c r="N2638" s="14" t="str">
        <f>IFERROR(__xludf.DUMMYFUNCTION("""COMPUTED_VALUE"""),"2010")</f>
        <v>2010</v>
      </c>
      <c r="O2638" s="14">
        <f>IFERROR(__xludf.DUMMYFUNCTION("""COMPUTED_VALUE"""),2.238E9)</f>
        <v>2238000000</v>
      </c>
      <c r="P2638" s="15">
        <f>IFERROR(__xludf.DUMMYFUNCTION("ARRAYFORMULA(VLOOKUP(A2638,IMPORTRANGE(""https://docs.google.com/spreadsheets/d/1BuTWp7qHGjWhqrnf-OmePP568O4A5Am9ttzvVdP67zw/edit#gid=771602874"" ,""HUMAN RESOURCES!$A$2:$M$2692""), {2,3,4,5,6,7,8,9,10,11,12,13},0))"),0.021)</f>
        <v>0.021</v>
      </c>
      <c r="Q2638" s="14">
        <f>IFERROR(__xludf.DUMMYFUNCTION("""COMPUTED_VALUE"""),0.014)</f>
        <v>0.014</v>
      </c>
      <c r="R2638" s="14">
        <f>IFERROR(__xludf.DUMMYFUNCTION("""COMPUTED_VALUE"""),77.0)</f>
        <v>77</v>
      </c>
      <c r="S2638" s="14">
        <f>IFERROR(__xludf.DUMMYFUNCTION("""COMPUTED_VALUE"""),71.0)</f>
        <v>71</v>
      </c>
      <c r="T2638" s="14">
        <f>IFERROR(__xludf.DUMMYFUNCTION("""COMPUTED_VALUE"""),0.295)</f>
        <v>0.295</v>
      </c>
      <c r="U2638" s="14">
        <f>IFERROR(__xludf.DUMMYFUNCTION("""COMPUTED_VALUE"""),0.649)</f>
        <v>0.649</v>
      </c>
      <c r="V2638" s="14">
        <f>IFERROR(__xludf.DUMMYFUNCTION("""COMPUTED_VALUE"""),0.056)</f>
        <v>0.056</v>
      </c>
      <c r="W2638" s="14">
        <f>IFERROR(__xludf.DUMMYFUNCTION("""COMPUTED_VALUE"""),2.9043283E7)</f>
        <v>29043283</v>
      </c>
      <c r="X2638" s="14">
        <f>IFERROR(__xludf.DUMMYFUNCTION("""COMPUTED_VALUE"""),0.888)</f>
        <v>0.888</v>
      </c>
      <c r="Y2638" s="14" t="str">
        <f>IFERROR(__xludf.DUMMYFUNCTION("""COMPUTED_VALUE"""),"Venezuela-The Americas")</f>
        <v>Venezuela-The Americas</v>
      </c>
      <c r="Z2638" s="14" t="str">
        <f>IFERROR(__xludf.DUMMYFUNCTION("""COMPUTED_VALUE"""),"The Americas")</f>
        <v>The Americas</v>
      </c>
      <c r="AA2638" s="14" t="str">
        <f>IFERROR(__xludf.DUMMYFUNCTION("""COMPUTED_VALUE"""),"2010")</f>
        <v>2010</v>
      </c>
      <c r="AB2638" s="15" t="str">
        <f>IFERROR(__xludf.DUMMYFUNCTION("ARRAYFORMULA(VLOOKUP(A2638,IMPORTRANGE(""https://docs.google.com/spreadsheets/d/1BuTWp7qHGjWhqrnf-OmePP568O4A5Am9ttzvVdP67zw/edit#gid=1931367683"" ,""ENERGY!$A$2:$F$2692""), {2,3,4,5,6},0))"),"The Americas")</f>
        <v>The Americas</v>
      </c>
      <c r="AC2638" s="14" t="str">
        <f>IFERROR(__xludf.DUMMYFUNCTION("""COMPUTED_VALUE"""),"Venezuela-The Americas")</f>
        <v>Venezuela-The Americas</v>
      </c>
      <c r="AD2638" s="14" t="str">
        <f>IFERROR(__xludf.DUMMYFUNCTION("""COMPUTED_VALUE"""),"2010")</f>
        <v>2010</v>
      </c>
      <c r="AE2638" s="14">
        <f>IFERROR(__xludf.DUMMYFUNCTION("""COMPUTED_VALUE"""),57515.0)</f>
        <v>57515</v>
      </c>
      <c r="AF2638" s="14">
        <f>IFERROR(__xludf.DUMMYFUNCTION("""COMPUTED_VALUE"""),193262.0)</f>
        <v>193262</v>
      </c>
    </row>
    <row r="2639">
      <c r="A2639" s="12">
        <v>2638.0</v>
      </c>
      <c r="B2639" s="12" t="s">
        <v>281</v>
      </c>
      <c r="C2639" s="5" t="s">
        <v>84</v>
      </c>
      <c r="D2639" s="11">
        <v>0.628</v>
      </c>
      <c r="E2639" s="11">
        <v>141.0</v>
      </c>
      <c r="F2639" s="8"/>
      <c r="G2639" s="11">
        <v>864.0</v>
      </c>
      <c r="H2639" s="11">
        <v>0.402</v>
      </c>
      <c r="I2639" s="11">
        <v>0.976</v>
      </c>
      <c r="J2639" s="9" t="s">
        <v>72</v>
      </c>
      <c r="K2639" s="14" t="str">
        <f>IFERROR(__xludf.DUMMYFUNCTION("ARRAYFORMULA(VLOOKUP(A2639,IMPORTRANGE(""https://docs.google.com/spreadsheets/d/1BuTWp7qHGjWhqrnf-OmePP568O4A5Am9ttzvVdP67zw/edit#gid=1603210130"", ""TOURISM!$A$2:$F$2692""), {2,3,4,5,6},0))"),"The Americas")</f>
        <v>The Americas</v>
      </c>
      <c r="L2639" s="14">
        <f>IFERROR(__xludf.DUMMYFUNCTION("""COMPUTED_VALUE"""),8.05E8)</f>
        <v>805000000</v>
      </c>
      <c r="M2639" s="14" t="str">
        <f>IFERROR(__xludf.DUMMYFUNCTION("""COMPUTED_VALUE"""),"Venezuela-The Americas")</f>
        <v>Venezuela-The Americas</v>
      </c>
      <c r="N2639" s="14" t="str">
        <f>IFERROR(__xludf.DUMMYFUNCTION("""COMPUTED_VALUE"""),"2011")</f>
        <v>2011</v>
      </c>
      <c r="O2639" s="14">
        <f>IFERROR(__xludf.DUMMYFUNCTION("""COMPUTED_VALUE"""),2.922E9)</f>
        <v>2922000000</v>
      </c>
      <c r="P2639" s="15">
        <f>IFERROR(__xludf.DUMMYFUNCTION("ARRAYFORMULA(VLOOKUP(A2639,IMPORTRANGE(""https://docs.google.com/spreadsheets/d/1BuTWp7qHGjWhqrnf-OmePP568O4A5Am9ttzvVdP67zw/edit#gid=771602874"" ,""HUMAN RESOURCES!$A$2:$M$2692""), {2,3,4,5,6,7,8,9,10,11,12,13},0))"),0.02)</f>
        <v>0.02</v>
      </c>
      <c r="Q2639" s="14">
        <f>IFERROR(__xludf.DUMMYFUNCTION("""COMPUTED_VALUE"""),0.014)</f>
        <v>0.014</v>
      </c>
      <c r="R2639" s="14">
        <f>IFERROR(__xludf.DUMMYFUNCTION("""COMPUTED_VALUE"""),77.0)</f>
        <v>77</v>
      </c>
      <c r="S2639" s="14">
        <f>IFERROR(__xludf.DUMMYFUNCTION("""COMPUTED_VALUE"""),71.0)</f>
        <v>71</v>
      </c>
      <c r="T2639" s="14">
        <f>IFERROR(__xludf.DUMMYFUNCTION("""COMPUTED_VALUE"""),0.291)</f>
        <v>0.291</v>
      </c>
      <c r="U2639" s="14">
        <f>IFERROR(__xludf.DUMMYFUNCTION("""COMPUTED_VALUE"""),0.651)</f>
        <v>0.651</v>
      </c>
      <c r="V2639" s="14">
        <f>IFERROR(__xludf.DUMMYFUNCTION("""COMPUTED_VALUE"""),0.058)</f>
        <v>0.058</v>
      </c>
      <c r="W2639" s="14">
        <f>IFERROR(__xludf.DUMMYFUNCTION("""COMPUTED_VALUE"""),2.9500625E7)</f>
        <v>29500625</v>
      </c>
      <c r="X2639" s="14">
        <f>IFERROR(__xludf.DUMMYFUNCTION("""COMPUTED_VALUE"""),0.888)</f>
        <v>0.888</v>
      </c>
      <c r="Y2639" s="14" t="str">
        <f>IFERROR(__xludf.DUMMYFUNCTION("""COMPUTED_VALUE"""),"Venezuela-The Americas")</f>
        <v>Venezuela-The Americas</v>
      </c>
      <c r="Z2639" s="14" t="str">
        <f>IFERROR(__xludf.DUMMYFUNCTION("""COMPUTED_VALUE"""),"The Americas")</f>
        <v>The Americas</v>
      </c>
      <c r="AA2639" s="14" t="str">
        <f>IFERROR(__xludf.DUMMYFUNCTION("""COMPUTED_VALUE"""),"2011")</f>
        <v>2011</v>
      </c>
      <c r="AB2639" s="15" t="str">
        <f>IFERROR(__xludf.DUMMYFUNCTION("ARRAYFORMULA(VLOOKUP(A2639,IMPORTRANGE(""https://docs.google.com/spreadsheets/d/1BuTWp7qHGjWhqrnf-OmePP568O4A5Am9ttzvVdP67zw/edit#gid=1931367683"" ,""ENERGY!$A$2:$F$2692""), {2,3,4,5,6},0))"),"The Americas")</f>
        <v>The Americas</v>
      </c>
      <c r="AC2639" s="14" t="str">
        <f>IFERROR(__xludf.DUMMYFUNCTION("""COMPUTED_VALUE"""),"Venezuela-The Americas")</f>
        <v>Venezuela-The Americas</v>
      </c>
      <c r="AD2639" s="14" t="str">
        <f>IFERROR(__xludf.DUMMYFUNCTION("""COMPUTED_VALUE"""),"2008")</f>
        <v>2008</v>
      </c>
      <c r="AE2639" s="14">
        <f>IFERROR(__xludf.DUMMYFUNCTION("""COMPUTED_VALUE"""),57871.0)</f>
        <v>57871</v>
      </c>
      <c r="AF2639" s="14">
        <f>IFERROR(__xludf.DUMMYFUNCTION("""COMPUTED_VALUE"""),172525.0)</f>
        <v>172525</v>
      </c>
    </row>
    <row r="2640">
      <c r="A2640" s="12">
        <v>2639.0</v>
      </c>
      <c r="B2640" s="12" t="s">
        <v>281</v>
      </c>
      <c r="C2640" s="5" t="s">
        <v>84</v>
      </c>
      <c r="D2640" s="11">
        <v>0.619</v>
      </c>
      <c r="E2640" s="11">
        <v>144.0</v>
      </c>
      <c r="F2640" s="11">
        <v>180.0</v>
      </c>
      <c r="G2640" s="11">
        <v>792.0</v>
      </c>
      <c r="H2640" s="11">
        <v>0.491</v>
      </c>
      <c r="I2640" s="11">
        <v>1.021</v>
      </c>
      <c r="J2640" s="9" t="s">
        <v>73</v>
      </c>
      <c r="K2640" s="14" t="str">
        <f>IFERROR(__xludf.DUMMYFUNCTION("ARRAYFORMULA(VLOOKUP(A2640,IMPORTRANGE(""https://docs.google.com/spreadsheets/d/1BuTWp7qHGjWhqrnf-OmePP568O4A5Am9ttzvVdP67zw/edit#gid=1603210130"", ""TOURISM!$A$2:$F$2692""), {2,3,4,5,6},0))"),"The Americas")</f>
        <v>The Americas</v>
      </c>
      <c r="L2640" s="14">
        <f>IFERROR(__xludf.DUMMYFUNCTION("""COMPUTED_VALUE"""),9.04E8)</f>
        <v>904000000</v>
      </c>
      <c r="M2640" s="14" t="str">
        <f>IFERROR(__xludf.DUMMYFUNCTION("""COMPUTED_VALUE"""),"Venezuela-The Americas")</f>
        <v>Venezuela-The Americas</v>
      </c>
      <c r="N2640" s="14" t="str">
        <f>IFERROR(__xludf.DUMMYFUNCTION("""COMPUTED_VALUE"""),"2012")</f>
        <v>2012</v>
      </c>
      <c r="O2640" s="14">
        <f>IFERROR(__xludf.DUMMYFUNCTION("""COMPUTED_VALUE"""),3.202E9)</f>
        <v>3202000000</v>
      </c>
      <c r="P2640" s="15">
        <f>IFERROR(__xludf.DUMMYFUNCTION("ARRAYFORMULA(VLOOKUP(A2640,IMPORTRANGE(""https://docs.google.com/spreadsheets/d/1BuTWp7qHGjWhqrnf-OmePP568O4A5Am9ttzvVdP67zw/edit#gid=771602874"" ,""HUMAN RESOURCES!$A$2:$M$2692""), {2,3,4,5,6,7,8,9,10,11,12,13},0))"),0.02)</f>
        <v>0.02</v>
      </c>
      <c r="Q2640" s="14">
        <f>IFERROR(__xludf.DUMMYFUNCTION("""COMPUTED_VALUE"""),0.013)</f>
        <v>0.013</v>
      </c>
      <c r="R2640" s="14">
        <f>IFERROR(__xludf.DUMMYFUNCTION("""COMPUTED_VALUE"""),78.0)</f>
        <v>78</v>
      </c>
      <c r="S2640" s="14">
        <f>IFERROR(__xludf.DUMMYFUNCTION("""COMPUTED_VALUE"""),72.0)</f>
        <v>72</v>
      </c>
      <c r="T2640" s="14">
        <f>IFERROR(__xludf.DUMMYFUNCTION("""COMPUTED_VALUE"""),0.288)</f>
        <v>0.288</v>
      </c>
      <c r="U2640" s="14">
        <f>IFERROR(__xludf.DUMMYFUNCTION("""COMPUTED_VALUE"""),0.652)</f>
        <v>0.652</v>
      </c>
      <c r="V2640" s="14">
        <f>IFERROR(__xludf.DUMMYFUNCTION("""COMPUTED_VALUE"""),0.06)</f>
        <v>0.06</v>
      </c>
      <c r="W2640" s="14">
        <f>IFERROR(__xludf.DUMMYFUNCTION("""COMPUTED_VALUE"""),2.9954782E7)</f>
        <v>29954782</v>
      </c>
      <c r="X2640" s="14">
        <f>IFERROR(__xludf.DUMMYFUNCTION("""COMPUTED_VALUE"""),0.889)</f>
        <v>0.889</v>
      </c>
      <c r="Y2640" s="14" t="str">
        <f>IFERROR(__xludf.DUMMYFUNCTION("""COMPUTED_VALUE"""),"Venezuela-The Americas")</f>
        <v>Venezuela-The Americas</v>
      </c>
      <c r="Z2640" s="14" t="str">
        <f>IFERROR(__xludf.DUMMYFUNCTION("""COMPUTED_VALUE"""),"The Americas")</f>
        <v>The Americas</v>
      </c>
      <c r="AA2640" s="14" t="str">
        <f>IFERROR(__xludf.DUMMYFUNCTION("""COMPUTED_VALUE"""),"2012")</f>
        <v>2012</v>
      </c>
      <c r="AB2640" s="15" t="str">
        <f>IFERROR(__xludf.DUMMYFUNCTION("ARRAYFORMULA(VLOOKUP(A2640,IMPORTRANGE(""https://docs.google.com/spreadsheets/d/1BuTWp7qHGjWhqrnf-OmePP568O4A5Am9ttzvVdP67zw/edit#gid=1931367683"" ,""ENERGY!$A$2:$F$2692""), {2,3,4,5,6},0))"),"The Americas")</f>
        <v>The Americas</v>
      </c>
      <c r="AC2640" s="14" t="str">
        <f>IFERROR(__xludf.DUMMYFUNCTION("""COMPUTED_VALUE"""),"Venezuela-The Americas")</f>
        <v>Venezuela-The Americas</v>
      </c>
      <c r="AD2640" s="14" t="str">
        <f>IFERROR(__xludf.DUMMYFUNCTION("""COMPUTED_VALUE"""),"2012")</f>
        <v>2012</v>
      </c>
      <c r="AE2640" s="14">
        <f>IFERROR(__xludf.DUMMYFUNCTION("""COMPUTED_VALUE"""),56424.0)</f>
        <v>56424</v>
      </c>
      <c r="AF2640" s="14">
        <f>IFERROR(__xludf.DUMMYFUNCTION("""COMPUTED_VALUE"""),152415.0)</f>
        <v>152415</v>
      </c>
    </row>
    <row r="2641">
      <c r="A2641" s="12">
        <v>2640.0</v>
      </c>
      <c r="B2641" s="12" t="s">
        <v>282</v>
      </c>
      <c r="C2641" s="5" t="s">
        <v>61</v>
      </c>
      <c r="D2641" s="8"/>
      <c r="E2641" s="8"/>
      <c r="F2641" s="8"/>
      <c r="G2641" s="8"/>
      <c r="H2641" s="11">
        <v>0.003</v>
      </c>
      <c r="I2641" s="11">
        <v>0.01</v>
      </c>
      <c r="J2641" s="9" t="s">
        <v>60</v>
      </c>
      <c r="K2641" s="14" t="str">
        <f>IFERROR(__xludf.DUMMYFUNCTION("ARRAYFORMULA(VLOOKUP(A2641,IMPORTRANGE(""https://docs.google.com/spreadsheets/d/1BuTWp7qHGjWhqrnf-OmePP568O4A5Am9ttzvVdP67zw/edit#gid=1603210130"", ""TOURISM!$A$2:$F$2692""), {2,3,4,5,6},0))"),"Asia")</f>
        <v>Asia</v>
      </c>
      <c r="L2641" s="14"/>
      <c r="M2641" s="14" t="str">
        <f>IFERROR(__xludf.DUMMYFUNCTION("""COMPUTED_VALUE"""),"Vietnam-Asia")</f>
        <v>Vietnam-Asia</v>
      </c>
      <c r="N2641" s="14" t="str">
        <f>IFERROR(__xludf.DUMMYFUNCTION("""COMPUTED_VALUE"""),"2000")</f>
        <v>2000</v>
      </c>
      <c r="O2641" s="14"/>
      <c r="P2641" s="15">
        <f>IFERROR(__xludf.DUMMYFUNCTION("ARRAYFORMULA(VLOOKUP(A2641,IMPORTRANGE(""https://docs.google.com/spreadsheets/d/1BuTWp7qHGjWhqrnf-OmePP568O4A5Am9ttzvVdP67zw/edit#gid=771602874"" ,""HUMAN RESOURCES!$A$2:$M$2692""), {2,3,4,5,6,7,8,9,10,11,12,13},0))"),0.017)</f>
        <v>0.017</v>
      </c>
      <c r="Q2641" s="14">
        <f>IFERROR(__xludf.DUMMYFUNCTION("""COMPUTED_VALUE"""),0.027)</f>
        <v>0.027</v>
      </c>
      <c r="R2641" s="14">
        <f>IFERROR(__xludf.DUMMYFUNCTION("""COMPUTED_VALUE"""),78.0)</f>
        <v>78</v>
      </c>
      <c r="S2641" s="14">
        <f>IFERROR(__xludf.DUMMYFUNCTION("""COMPUTED_VALUE"""),69.0)</f>
        <v>69</v>
      </c>
      <c r="T2641" s="14">
        <f>IFERROR(__xludf.DUMMYFUNCTION("""COMPUTED_VALUE"""),0.316)</f>
        <v>0.316</v>
      </c>
      <c r="U2641" s="14">
        <f>IFERROR(__xludf.DUMMYFUNCTION("""COMPUTED_VALUE"""),0.62)</f>
        <v>0.62</v>
      </c>
      <c r="V2641" s="14">
        <f>IFERROR(__xludf.DUMMYFUNCTION("""COMPUTED_VALUE"""),0.064)</f>
        <v>0.064</v>
      </c>
      <c r="W2641" s="14">
        <f>IFERROR(__xludf.DUMMYFUNCTION("""COMPUTED_VALUE"""),7.76309E7)</f>
        <v>77630900</v>
      </c>
      <c r="X2641" s="14">
        <f>IFERROR(__xludf.DUMMYFUNCTION("""COMPUTED_VALUE"""),0.244)</f>
        <v>0.244</v>
      </c>
      <c r="Y2641" s="14" t="str">
        <f>IFERROR(__xludf.DUMMYFUNCTION("""COMPUTED_VALUE"""),"Vietnam-Asia")</f>
        <v>Vietnam-Asia</v>
      </c>
      <c r="Z2641" s="14" t="str">
        <f>IFERROR(__xludf.DUMMYFUNCTION("""COMPUTED_VALUE"""),"Asia")</f>
        <v>Asia</v>
      </c>
      <c r="AA2641" s="14" t="str">
        <f>IFERROR(__xludf.DUMMYFUNCTION("""COMPUTED_VALUE"""),"2000")</f>
        <v>2000</v>
      </c>
      <c r="AB2641" s="15" t="str">
        <f>IFERROR(__xludf.DUMMYFUNCTION("ARRAYFORMULA(VLOOKUP(A2641,IMPORTRANGE(""https://docs.google.com/spreadsheets/d/1BuTWp7qHGjWhqrnf-OmePP568O4A5Am9ttzvVdP67zw/edit#gid=1931367683"" ,""ENERGY!$A$2:$F$2692""), {2,3,4,5,6},0))"),"Asia")</f>
        <v>Asia</v>
      </c>
      <c r="AC2641" s="14" t="str">
        <f>IFERROR(__xludf.DUMMYFUNCTION("""COMPUTED_VALUE"""),"Vietnam-Asia")</f>
        <v>Vietnam-Asia</v>
      </c>
      <c r="AD2641" s="14" t="str">
        <f>IFERROR(__xludf.DUMMYFUNCTION("""COMPUTED_VALUE"""),"2000")</f>
        <v>2000</v>
      </c>
      <c r="AE2641" s="14"/>
      <c r="AF2641" s="14"/>
    </row>
    <row r="2642">
      <c r="A2642" s="12">
        <v>2641.0</v>
      </c>
      <c r="B2642" s="12" t="s">
        <v>282</v>
      </c>
      <c r="C2642" s="5" t="s">
        <v>61</v>
      </c>
      <c r="D2642" s="8"/>
      <c r="E2642" s="8"/>
      <c r="F2642" s="8"/>
      <c r="G2642" s="8"/>
      <c r="H2642" s="11">
        <v>0.013</v>
      </c>
      <c r="I2642" s="11">
        <v>0.015</v>
      </c>
      <c r="J2642" s="9" t="s">
        <v>62</v>
      </c>
      <c r="K2642" s="14" t="str">
        <f>IFERROR(__xludf.DUMMYFUNCTION("ARRAYFORMULA(VLOOKUP(A2642,IMPORTRANGE(""https://docs.google.com/spreadsheets/d/1BuTWp7qHGjWhqrnf-OmePP568O4A5Am9ttzvVdP67zw/edit#gid=1603210130"", ""TOURISM!$A$2:$F$2692""), {2,3,4,5,6},0))"),"Asia")</f>
        <v>Asia</v>
      </c>
      <c r="L2642" s="14"/>
      <c r="M2642" s="14" t="str">
        <f>IFERROR(__xludf.DUMMYFUNCTION("""COMPUTED_VALUE"""),"Vietnam-Asia")</f>
        <v>Vietnam-Asia</v>
      </c>
      <c r="N2642" s="14" t="str">
        <f>IFERROR(__xludf.DUMMYFUNCTION("""COMPUTED_VALUE"""),"2001")</f>
        <v>2001</v>
      </c>
      <c r="O2642" s="14"/>
      <c r="P2642" s="15">
        <f>IFERROR(__xludf.DUMMYFUNCTION("ARRAYFORMULA(VLOOKUP(A2642,IMPORTRANGE(""https://docs.google.com/spreadsheets/d/1BuTWp7qHGjWhqrnf-OmePP568O4A5Am9ttzvVdP67zw/edit#gid=771602874"" ,""HUMAN RESOURCES!$A$2:$M$2692""), {2,3,4,5,6,7,8,9,10,11,12,13},0))"),0.017)</f>
        <v>0.017</v>
      </c>
      <c r="Q2642" s="14">
        <f>IFERROR(__xludf.DUMMYFUNCTION("""COMPUTED_VALUE"""),0.026)</f>
        <v>0.026</v>
      </c>
      <c r="R2642" s="14">
        <f>IFERROR(__xludf.DUMMYFUNCTION("""COMPUTED_VALUE"""),79.0)</f>
        <v>79</v>
      </c>
      <c r="S2642" s="14">
        <f>IFERROR(__xludf.DUMMYFUNCTION("""COMPUTED_VALUE"""),69.0)</f>
        <v>69</v>
      </c>
      <c r="T2642" s="14">
        <f>IFERROR(__xludf.DUMMYFUNCTION("""COMPUTED_VALUE"""),0.307)</f>
        <v>0.307</v>
      </c>
      <c r="U2642" s="14">
        <f>IFERROR(__xludf.DUMMYFUNCTION("""COMPUTED_VALUE"""),0.628)</f>
        <v>0.628</v>
      </c>
      <c r="V2642" s="14">
        <f>IFERROR(__xludf.DUMMYFUNCTION("""COMPUTED_VALUE"""),0.065)</f>
        <v>0.065</v>
      </c>
      <c r="W2642" s="14">
        <f>IFERROR(__xludf.DUMMYFUNCTION("""COMPUTED_VALUE"""),7.8621E7)</f>
        <v>78621000</v>
      </c>
      <c r="X2642" s="14">
        <f>IFERROR(__xludf.DUMMYFUNCTION("""COMPUTED_VALUE"""),0.249)</f>
        <v>0.249</v>
      </c>
      <c r="Y2642" s="14" t="str">
        <f>IFERROR(__xludf.DUMMYFUNCTION("""COMPUTED_VALUE"""),"Vietnam-Asia")</f>
        <v>Vietnam-Asia</v>
      </c>
      <c r="Z2642" s="14" t="str">
        <f>IFERROR(__xludf.DUMMYFUNCTION("""COMPUTED_VALUE"""),"Asia")</f>
        <v>Asia</v>
      </c>
      <c r="AA2642" s="14" t="str">
        <f>IFERROR(__xludf.DUMMYFUNCTION("""COMPUTED_VALUE"""),"2001")</f>
        <v>2001</v>
      </c>
      <c r="AB2642" s="15" t="str">
        <f>IFERROR(__xludf.DUMMYFUNCTION("ARRAYFORMULA(VLOOKUP(A2642,IMPORTRANGE(""https://docs.google.com/spreadsheets/d/1BuTWp7qHGjWhqrnf-OmePP568O4A5Am9ttzvVdP67zw/edit#gid=1931367683"" ,""ENERGY!$A$2:$F$2692""), {2,3,4,5,6},0))"),"Asia")</f>
        <v>Asia</v>
      </c>
      <c r="AC2642" s="14" t="str">
        <f>IFERROR(__xludf.DUMMYFUNCTION("""COMPUTED_VALUE"""),"Vietnam-Asia")</f>
        <v>Vietnam-Asia</v>
      </c>
      <c r="AD2642" s="14" t="str">
        <f>IFERROR(__xludf.DUMMYFUNCTION("""COMPUTED_VALUE"""),"2001")</f>
        <v>2001</v>
      </c>
      <c r="AE2642" s="14">
        <f>IFERROR(__xludf.DUMMYFUNCTION("""COMPUTED_VALUE"""),61210.0)</f>
        <v>61210</v>
      </c>
      <c r="AF2642" s="14"/>
    </row>
    <row r="2643">
      <c r="A2643" s="12">
        <v>2642.0</v>
      </c>
      <c r="B2643" s="12" t="s">
        <v>282</v>
      </c>
      <c r="C2643" s="5" t="s">
        <v>61</v>
      </c>
      <c r="D2643" s="8"/>
      <c r="E2643" s="8"/>
      <c r="F2643" s="8"/>
      <c r="G2643" s="8"/>
      <c r="H2643" s="11">
        <v>0.019</v>
      </c>
      <c r="I2643" s="11">
        <v>0.023</v>
      </c>
      <c r="J2643" s="9" t="s">
        <v>63</v>
      </c>
      <c r="K2643" s="14" t="str">
        <f>IFERROR(__xludf.DUMMYFUNCTION("ARRAYFORMULA(VLOOKUP(A2643,IMPORTRANGE(""https://docs.google.com/spreadsheets/d/1BuTWp7qHGjWhqrnf-OmePP568O4A5Am9ttzvVdP67zw/edit#gid=1603210130"", ""TOURISM!$A$2:$F$2692""), {2,3,4,5,6},0))"),"Asia")</f>
        <v>Asia</v>
      </c>
      <c r="L2643" s="14"/>
      <c r="M2643" s="14" t="str">
        <f>IFERROR(__xludf.DUMMYFUNCTION("""COMPUTED_VALUE"""),"Vietnam-Asia")</f>
        <v>Vietnam-Asia</v>
      </c>
      <c r="N2643" s="14" t="str">
        <f>IFERROR(__xludf.DUMMYFUNCTION("""COMPUTED_VALUE"""),"2002")</f>
        <v>2002</v>
      </c>
      <c r="O2643" s="14"/>
      <c r="P2643" s="15">
        <f>IFERROR(__xludf.DUMMYFUNCTION("ARRAYFORMULA(VLOOKUP(A2643,IMPORTRANGE(""https://docs.google.com/spreadsheets/d/1BuTWp7qHGjWhqrnf-OmePP568O4A5Am9ttzvVdP67zw/edit#gid=771602874"" ,""HUMAN RESOURCES!$A$2:$M$2692""), {2,3,4,5,6,7,8,9,10,11,12,13},0))"),0.017)</f>
        <v>0.017</v>
      </c>
      <c r="Q2643" s="14">
        <f>IFERROR(__xludf.DUMMYFUNCTION("""COMPUTED_VALUE"""),0.026)</f>
        <v>0.026</v>
      </c>
      <c r="R2643" s="14">
        <f>IFERROR(__xludf.DUMMYFUNCTION("""COMPUTED_VALUE"""),79.0)</f>
        <v>79</v>
      </c>
      <c r="S2643" s="14">
        <f>IFERROR(__xludf.DUMMYFUNCTION("""COMPUTED_VALUE"""),69.0)</f>
        <v>69</v>
      </c>
      <c r="T2643" s="14">
        <f>IFERROR(__xludf.DUMMYFUNCTION("""COMPUTED_VALUE"""),0.298)</f>
        <v>0.298</v>
      </c>
      <c r="U2643" s="14">
        <f>IFERROR(__xludf.DUMMYFUNCTION("""COMPUTED_VALUE"""),0.637)</f>
        <v>0.637</v>
      </c>
      <c r="V2643" s="14">
        <f>IFERROR(__xludf.DUMMYFUNCTION("""COMPUTED_VALUE"""),0.065)</f>
        <v>0.065</v>
      </c>
      <c r="W2643" s="14">
        <f>IFERROR(__xludf.DUMMYFUNCTION("""COMPUTED_VALUE"""),7.95387E7)</f>
        <v>79538700</v>
      </c>
      <c r="X2643" s="14">
        <f>IFERROR(__xludf.DUMMYFUNCTION("""COMPUTED_VALUE"""),0.255)</f>
        <v>0.255</v>
      </c>
      <c r="Y2643" s="14" t="str">
        <f>IFERROR(__xludf.DUMMYFUNCTION("""COMPUTED_VALUE"""),"Vietnam-Asia")</f>
        <v>Vietnam-Asia</v>
      </c>
      <c r="Z2643" s="14" t="str">
        <f>IFERROR(__xludf.DUMMYFUNCTION("""COMPUTED_VALUE"""),"Asia")</f>
        <v>Asia</v>
      </c>
      <c r="AA2643" s="14" t="str">
        <f>IFERROR(__xludf.DUMMYFUNCTION("""COMPUTED_VALUE"""),"2002")</f>
        <v>2002</v>
      </c>
      <c r="AB2643" s="15" t="str">
        <f>IFERROR(__xludf.DUMMYFUNCTION("ARRAYFORMULA(VLOOKUP(A2643,IMPORTRANGE(""https://docs.google.com/spreadsheets/d/1BuTWp7qHGjWhqrnf-OmePP568O4A5Am9ttzvVdP67zw/edit#gid=1931367683"" ,""ENERGY!$A$2:$F$2692""), {2,3,4,5,6},0))"),"Asia")</f>
        <v>Asia</v>
      </c>
      <c r="AC2643" s="14" t="str">
        <f>IFERROR(__xludf.DUMMYFUNCTION("""COMPUTED_VALUE"""),"Vietnam-Asia")</f>
        <v>Vietnam-Asia</v>
      </c>
      <c r="AD2643" s="14" t="str">
        <f>IFERROR(__xludf.DUMMYFUNCTION("""COMPUTED_VALUE"""),"2002")</f>
        <v>2002</v>
      </c>
      <c r="AE2643" s="14">
        <f>IFERROR(__xludf.DUMMYFUNCTION("""COMPUTED_VALUE"""),58912.0)</f>
        <v>58912</v>
      </c>
      <c r="AF2643" s="14">
        <f>IFERROR(__xludf.DUMMYFUNCTION("""COMPUTED_VALUE"""),150230.0)</f>
        <v>150230</v>
      </c>
    </row>
    <row r="2644">
      <c r="A2644" s="12">
        <v>2643.0</v>
      </c>
      <c r="B2644" s="12" t="s">
        <v>282</v>
      </c>
      <c r="C2644" s="5" t="s">
        <v>61</v>
      </c>
      <c r="D2644" s="8"/>
      <c r="E2644" s="11">
        <v>59.0</v>
      </c>
      <c r="F2644" s="8"/>
      <c r="G2644" s="8"/>
      <c r="H2644" s="11">
        <v>0.038</v>
      </c>
      <c r="I2644" s="11">
        <v>0.033</v>
      </c>
      <c r="J2644" s="9" t="s">
        <v>64</v>
      </c>
      <c r="K2644" s="14" t="str">
        <f>IFERROR(__xludf.DUMMYFUNCTION("ARRAYFORMULA(VLOOKUP(A2644,IMPORTRANGE(""https://docs.google.com/spreadsheets/d/1BuTWp7qHGjWhqrnf-OmePP568O4A5Am9ttzvVdP67zw/edit#gid=1603210130"", ""TOURISM!$A$2:$F$2692""), {2,3,4,5,6},0))"),"Asia")</f>
        <v>Asia</v>
      </c>
      <c r="L2644" s="14">
        <f>IFERROR(__xludf.DUMMYFUNCTION("""COMPUTED_VALUE"""),1.4E9)</f>
        <v>1400000000</v>
      </c>
      <c r="M2644" s="14" t="str">
        <f>IFERROR(__xludf.DUMMYFUNCTION("""COMPUTED_VALUE"""),"Vietnam-Asia")</f>
        <v>Vietnam-Asia</v>
      </c>
      <c r="N2644" s="14" t="str">
        <f>IFERROR(__xludf.DUMMYFUNCTION("""COMPUTED_VALUE"""),"2003")</f>
        <v>2003</v>
      </c>
      <c r="O2644" s="14"/>
      <c r="P2644" s="15">
        <f>IFERROR(__xludf.DUMMYFUNCTION("ARRAYFORMULA(VLOOKUP(A2644,IMPORTRANGE(""https://docs.google.com/spreadsheets/d/1BuTWp7qHGjWhqrnf-OmePP568O4A5Am9ttzvVdP67zw/edit#gid=771602874"" ,""HUMAN RESOURCES!$A$2:$M$2692""), {2,3,4,5,6,7,8,9,10,11,12,13},0))"),0.017)</f>
        <v>0.017</v>
      </c>
      <c r="Q2644" s="14">
        <f>IFERROR(__xludf.DUMMYFUNCTION("""COMPUTED_VALUE"""),0.025)</f>
        <v>0.025</v>
      </c>
      <c r="R2644" s="14">
        <f>IFERROR(__xludf.DUMMYFUNCTION("""COMPUTED_VALUE"""),79.0)</f>
        <v>79</v>
      </c>
      <c r="S2644" s="14">
        <f>IFERROR(__xludf.DUMMYFUNCTION("""COMPUTED_VALUE"""),70.0)</f>
        <v>70</v>
      </c>
      <c r="T2644" s="14">
        <f>IFERROR(__xludf.DUMMYFUNCTION("""COMPUTED_VALUE"""),0.289)</f>
        <v>0.289</v>
      </c>
      <c r="U2644" s="14">
        <f>IFERROR(__xludf.DUMMYFUNCTION("""COMPUTED_VALUE"""),0.646)</f>
        <v>0.646</v>
      </c>
      <c r="V2644" s="14">
        <f>IFERROR(__xludf.DUMMYFUNCTION("""COMPUTED_VALUE"""),0.065)</f>
        <v>0.065</v>
      </c>
      <c r="W2644" s="14">
        <f>IFERROR(__xludf.DUMMYFUNCTION("""COMPUTED_VALUE"""),8.04684E7)</f>
        <v>80468400</v>
      </c>
      <c r="X2644" s="14">
        <f>IFERROR(__xludf.DUMMYFUNCTION("""COMPUTED_VALUE"""),0.261)</f>
        <v>0.261</v>
      </c>
      <c r="Y2644" s="14" t="str">
        <f>IFERROR(__xludf.DUMMYFUNCTION("""COMPUTED_VALUE"""),"Vietnam-Asia")</f>
        <v>Vietnam-Asia</v>
      </c>
      <c r="Z2644" s="14" t="str">
        <f>IFERROR(__xludf.DUMMYFUNCTION("""COMPUTED_VALUE"""),"Asia")</f>
        <v>Asia</v>
      </c>
      <c r="AA2644" s="14" t="str">
        <f>IFERROR(__xludf.DUMMYFUNCTION("""COMPUTED_VALUE"""),"2003")</f>
        <v>2003</v>
      </c>
      <c r="AB2644" s="15" t="str">
        <f>IFERROR(__xludf.DUMMYFUNCTION("ARRAYFORMULA(VLOOKUP(A2644,IMPORTRANGE(""https://docs.google.com/spreadsheets/d/1BuTWp7qHGjWhqrnf-OmePP568O4A5Am9ttzvVdP67zw/edit#gid=1931367683"" ,""ENERGY!$A$2:$F$2692""), {2,3,4,5,6},0))"),"Asia")</f>
        <v>Asia</v>
      </c>
      <c r="AC2644" s="14" t="str">
        <f>IFERROR(__xludf.DUMMYFUNCTION("""COMPUTED_VALUE"""),"Vietnam-Asia")</f>
        <v>Vietnam-Asia</v>
      </c>
      <c r="AD2644" s="14" t="str">
        <f>IFERROR(__xludf.DUMMYFUNCTION("""COMPUTED_VALUE"""),"2003")</f>
        <v>2003</v>
      </c>
      <c r="AE2644" s="14">
        <f>IFERROR(__xludf.DUMMYFUNCTION("""COMPUTED_VALUE"""),53450.0)</f>
        <v>53450</v>
      </c>
      <c r="AF2644" s="14">
        <f>IFERROR(__xludf.DUMMYFUNCTION("""COMPUTED_VALUE"""),140057.0)</f>
        <v>140057</v>
      </c>
    </row>
    <row r="2645">
      <c r="A2645" s="12">
        <v>2644.0</v>
      </c>
      <c r="B2645" s="12" t="s">
        <v>282</v>
      </c>
      <c r="C2645" s="5" t="s">
        <v>61</v>
      </c>
      <c r="D2645" s="8"/>
      <c r="E2645" s="11">
        <v>51.0</v>
      </c>
      <c r="F2645" s="8"/>
      <c r="G2645" s="8"/>
      <c r="H2645" s="11">
        <v>0.076</v>
      </c>
      <c r="I2645" s="11">
        <v>0.059</v>
      </c>
      <c r="J2645" s="9" t="s">
        <v>65</v>
      </c>
      <c r="K2645" s="14" t="str">
        <f>IFERROR(__xludf.DUMMYFUNCTION("ARRAYFORMULA(VLOOKUP(A2645,IMPORTRANGE(""https://docs.google.com/spreadsheets/d/1BuTWp7qHGjWhqrnf-OmePP568O4A5Am9ttzvVdP67zw/edit#gid=1603210130"", ""TOURISM!$A$2:$F$2692""), {2,3,4,5,6},0))"),"Asia")</f>
        <v>Asia</v>
      </c>
      <c r="L2645" s="14">
        <f>IFERROR(__xludf.DUMMYFUNCTION("""COMPUTED_VALUE"""),1.7E9)</f>
        <v>1700000000</v>
      </c>
      <c r="M2645" s="14" t="str">
        <f>IFERROR(__xludf.DUMMYFUNCTION("""COMPUTED_VALUE"""),"Vietnam-Asia")</f>
        <v>Vietnam-Asia</v>
      </c>
      <c r="N2645" s="14" t="str">
        <f>IFERROR(__xludf.DUMMYFUNCTION("""COMPUTED_VALUE"""),"2004")</f>
        <v>2004</v>
      </c>
      <c r="O2645" s="14"/>
      <c r="P2645" s="15">
        <f>IFERROR(__xludf.DUMMYFUNCTION("ARRAYFORMULA(VLOOKUP(A2645,IMPORTRANGE(""https://docs.google.com/spreadsheets/d/1BuTWp7qHGjWhqrnf-OmePP568O4A5Am9ttzvVdP67zw/edit#gid=771602874"" ,""HUMAN RESOURCES!$A$2:$M$2692""), {2,3,4,5,6,7,8,9,10,11,12,13},0))"),0.017)</f>
        <v>0.017</v>
      </c>
      <c r="Q2645" s="14">
        <f>IFERROR(__xludf.DUMMYFUNCTION("""COMPUTED_VALUE"""),0.024)</f>
        <v>0.024</v>
      </c>
      <c r="R2645" s="14">
        <f>IFERROR(__xludf.DUMMYFUNCTION("""COMPUTED_VALUE"""),79.0)</f>
        <v>79</v>
      </c>
      <c r="S2645" s="14">
        <f>IFERROR(__xludf.DUMMYFUNCTION("""COMPUTED_VALUE"""),70.0)</f>
        <v>70</v>
      </c>
      <c r="T2645" s="14">
        <f>IFERROR(__xludf.DUMMYFUNCTION("""COMPUTED_VALUE"""),0.28)</f>
        <v>0.28</v>
      </c>
      <c r="U2645" s="14">
        <f>IFERROR(__xludf.DUMMYFUNCTION("""COMPUTED_VALUE"""),0.654)</f>
        <v>0.654</v>
      </c>
      <c r="V2645" s="14">
        <f>IFERROR(__xludf.DUMMYFUNCTION("""COMPUTED_VALUE"""),0.066)</f>
        <v>0.066</v>
      </c>
      <c r="W2645" s="14">
        <f>IFERROR(__xludf.DUMMYFUNCTION("""COMPUTED_VALUE"""),8.14377E7)</f>
        <v>81437700</v>
      </c>
      <c r="X2645" s="14">
        <f>IFERROR(__xludf.DUMMYFUNCTION("""COMPUTED_VALUE"""),0.267)</f>
        <v>0.267</v>
      </c>
      <c r="Y2645" s="14" t="str">
        <f>IFERROR(__xludf.DUMMYFUNCTION("""COMPUTED_VALUE"""),"Vietnam-Asia")</f>
        <v>Vietnam-Asia</v>
      </c>
      <c r="Z2645" s="14" t="str">
        <f>IFERROR(__xludf.DUMMYFUNCTION("""COMPUTED_VALUE"""),"Asia")</f>
        <v>Asia</v>
      </c>
      <c r="AA2645" s="14" t="str">
        <f>IFERROR(__xludf.DUMMYFUNCTION("""COMPUTED_VALUE"""),"2004")</f>
        <v>2004</v>
      </c>
      <c r="AB2645" s="15" t="str">
        <f>IFERROR(__xludf.DUMMYFUNCTION("ARRAYFORMULA(VLOOKUP(A2645,IMPORTRANGE(""https://docs.google.com/spreadsheets/d/1BuTWp7qHGjWhqrnf-OmePP568O4A5Am9ttzvVdP67zw/edit#gid=1931367683"" ,""ENERGY!$A$2:$F$2692""), {2,3,4,5,6},0))"),"Asia")</f>
        <v>Asia</v>
      </c>
      <c r="AC2645" s="14" t="str">
        <f>IFERROR(__xludf.DUMMYFUNCTION("""COMPUTED_VALUE"""),"Vietnam-Asia")</f>
        <v>Vietnam-Asia</v>
      </c>
      <c r="AD2645" s="14" t="str">
        <f>IFERROR(__xludf.DUMMYFUNCTION("""COMPUTED_VALUE"""),"2005")</f>
        <v>2005</v>
      </c>
      <c r="AE2645" s="14">
        <f>IFERROR(__xludf.DUMMYFUNCTION("""COMPUTED_VALUE"""),48984.0)</f>
        <v>48984</v>
      </c>
      <c r="AF2645" s="14">
        <f>IFERROR(__xludf.DUMMYFUNCTION("""COMPUTED_VALUE"""),127164.0)</f>
        <v>127164</v>
      </c>
    </row>
    <row r="2646">
      <c r="A2646" s="12">
        <v>2645.0</v>
      </c>
      <c r="B2646" s="12" t="s">
        <v>282</v>
      </c>
      <c r="C2646" s="5" t="s">
        <v>61</v>
      </c>
      <c r="D2646" s="11">
        <v>0.399</v>
      </c>
      <c r="E2646" s="11">
        <v>45.0</v>
      </c>
      <c r="F2646" s="8"/>
      <c r="G2646" s="11">
        <v>1050.0</v>
      </c>
      <c r="H2646" s="11">
        <v>0.127</v>
      </c>
      <c r="I2646" s="11">
        <v>0.113</v>
      </c>
      <c r="J2646" s="9" t="s">
        <v>66</v>
      </c>
      <c r="K2646" s="14" t="str">
        <f>IFERROR(__xludf.DUMMYFUNCTION("ARRAYFORMULA(VLOOKUP(A2646,IMPORTRANGE(""https://docs.google.com/spreadsheets/d/1BuTWp7qHGjWhqrnf-OmePP568O4A5Am9ttzvVdP67zw/edit#gid=1603210130"", ""TOURISM!$A$2:$F$2692""), {2,3,4,5,6},0))"),"Asia")</f>
        <v>Asia</v>
      </c>
      <c r="L2646" s="14">
        <f>IFERROR(__xludf.DUMMYFUNCTION("""COMPUTED_VALUE"""),2.3E9)</f>
        <v>2300000000</v>
      </c>
      <c r="M2646" s="14" t="str">
        <f>IFERROR(__xludf.DUMMYFUNCTION("""COMPUTED_VALUE"""),"Vietnam-Asia")</f>
        <v>Vietnam-Asia</v>
      </c>
      <c r="N2646" s="14" t="str">
        <f>IFERROR(__xludf.DUMMYFUNCTION("""COMPUTED_VALUE"""),"2005")</f>
        <v>2005</v>
      </c>
      <c r="O2646" s="14">
        <f>IFERROR(__xludf.DUMMYFUNCTION("""COMPUTED_VALUE"""),9.0E8)</f>
        <v>900000000</v>
      </c>
      <c r="P2646" s="15">
        <f>IFERROR(__xludf.DUMMYFUNCTION("ARRAYFORMULA(VLOOKUP(A2646,IMPORTRANGE(""https://docs.google.com/spreadsheets/d/1BuTWp7qHGjWhqrnf-OmePP568O4A5Am9ttzvVdP67zw/edit#gid=771602874"" ,""HUMAN RESOURCES!$A$2:$M$2692""), {2,3,4,5,6,7,8,9,10,11,12,13},0))"),0.017)</f>
        <v>0.017</v>
      </c>
      <c r="Q2646" s="14">
        <f>IFERROR(__xludf.DUMMYFUNCTION("""COMPUTED_VALUE"""),0.024)</f>
        <v>0.024</v>
      </c>
      <c r="R2646" s="14">
        <f>IFERROR(__xludf.DUMMYFUNCTION("""COMPUTED_VALUE"""),80.0)</f>
        <v>80</v>
      </c>
      <c r="S2646" s="14">
        <f>IFERROR(__xludf.DUMMYFUNCTION("""COMPUTED_VALUE"""),70.0)</f>
        <v>70</v>
      </c>
      <c r="T2646" s="14">
        <f>IFERROR(__xludf.DUMMYFUNCTION("""COMPUTED_VALUE"""),0.271)</f>
        <v>0.271</v>
      </c>
      <c r="U2646" s="14">
        <f>IFERROR(__xludf.DUMMYFUNCTION("""COMPUTED_VALUE"""),0.663)</f>
        <v>0.663</v>
      </c>
      <c r="V2646" s="14">
        <f>IFERROR(__xludf.DUMMYFUNCTION("""COMPUTED_VALUE"""),0.066)</f>
        <v>0.066</v>
      </c>
      <c r="W2646" s="14">
        <f>IFERROR(__xludf.DUMMYFUNCTION("""COMPUTED_VALUE"""),8.23935E7)</f>
        <v>82393500</v>
      </c>
      <c r="X2646" s="14">
        <f>IFERROR(__xludf.DUMMYFUNCTION("""COMPUTED_VALUE"""),0.273)</f>
        <v>0.273</v>
      </c>
      <c r="Y2646" s="14" t="str">
        <f>IFERROR(__xludf.DUMMYFUNCTION("""COMPUTED_VALUE"""),"Vietnam-Asia")</f>
        <v>Vietnam-Asia</v>
      </c>
      <c r="Z2646" s="14" t="str">
        <f>IFERROR(__xludf.DUMMYFUNCTION("""COMPUTED_VALUE"""),"Asia")</f>
        <v>Asia</v>
      </c>
      <c r="AA2646" s="14" t="str">
        <f>IFERROR(__xludf.DUMMYFUNCTION("""COMPUTED_VALUE"""),"2005")</f>
        <v>2005</v>
      </c>
      <c r="AB2646" s="15" t="str">
        <f>IFERROR(__xludf.DUMMYFUNCTION("ARRAYFORMULA(VLOOKUP(A2646,IMPORTRANGE(""https://docs.google.com/spreadsheets/d/1BuTWp7qHGjWhqrnf-OmePP568O4A5Am9ttzvVdP67zw/edit#gid=1931367683"" ,""ENERGY!$A$2:$F$2692""), {2,3,4,5,6},0))"),"Asia")</f>
        <v>Asia</v>
      </c>
      <c r="AC2646" s="14" t="str">
        <f>IFERROR(__xludf.DUMMYFUNCTION("""COMPUTED_VALUE"""),"Vietnam-Asia")</f>
        <v>Vietnam-Asia</v>
      </c>
      <c r="AD2646" s="14" t="str">
        <f>IFERROR(__xludf.DUMMYFUNCTION("""COMPUTED_VALUE"""),"2009")</f>
        <v>2009</v>
      </c>
      <c r="AE2646" s="14">
        <f>IFERROR(__xludf.DUMMYFUNCTION("""COMPUTED_VALUE"""),45777.0)</f>
        <v>45777</v>
      </c>
      <c r="AF2646" s="14">
        <f>IFERROR(__xludf.DUMMYFUNCTION("""COMPUTED_VALUE"""),113651.0)</f>
        <v>113651</v>
      </c>
    </row>
    <row r="2647">
      <c r="A2647" s="12">
        <v>2646.0</v>
      </c>
      <c r="B2647" s="12" t="s">
        <v>282</v>
      </c>
      <c r="C2647" s="5" t="s">
        <v>61</v>
      </c>
      <c r="D2647" s="11">
        <v>0.399</v>
      </c>
      <c r="E2647" s="11">
        <v>50.0</v>
      </c>
      <c r="F2647" s="8"/>
      <c r="G2647" s="11">
        <v>1050.0</v>
      </c>
      <c r="H2647" s="11">
        <v>0.173</v>
      </c>
      <c r="I2647" s="11">
        <v>0.22</v>
      </c>
      <c r="J2647" s="9" t="s">
        <v>67</v>
      </c>
      <c r="K2647" s="14" t="str">
        <f>IFERROR(__xludf.DUMMYFUNCTION("ARRAYFORMULA(VLOOKUP(A2647,IMPORTRANGE(""https://docs.google.com/spreadsheets/d/1BuTWp7qHGjWhqrnf-OmePP568O4A5Am9ttzvVdP67zw/edit#gid=1603210130"", ""TOURISM!$A$2:$F$2692""), {2,3,4,5,6},0))"),"Asia")</f>
        <v>Asia</v>
      </c>
      <c r="L2647" s="14">
        <f>IFERROR(__xludf.DUMMYFUNCTION("""COMPUTED_VALUE"""),2.85E9)</f>
        <v>2850000000</v>
      </c>
      <c r="M2647" s="14" t="str">
        <f>IFERROR(__xludf.DUMMYFUNCTION("""COMPUTED_VALUE"""),"Vietnam-Asia")</f>
        <v>Vietnam-Asia</v>
      </c>
      <c r="N2647" s="14" t="str">
        <f>IFERROR(__xludf.DUMMYFUNCTION("""COMPUTED_VALUE"""),"2006")</f>
        <v>2006</v>
      </c>
      <c r="O2647" s="14">
        <f>IFERROR(__xludf.DUMMYFUNCTION("""COMPUTED_VALUE"""),1.05E9)</f>
        <v>1050000000</v>
      </c>
      <c r="P2647" s="15">
        <f>IFERROR(__xludf.DUMMYFUNCTION("ARRAYFORMULA(VLOOKUP(A2647,IMPORTRANGE(""https://docs.google.com/spreadsheets/d/1BuTWp7qHGjWhqrnf-OmePP568O4A5Am9ttzvVdP67zw/edit#gid=771602874"" ,""HUMAN RESOURCES!$A$2:$M$2692""), {2,3,4,5,6,7,8,9,10,11,12,13},0))"),0.017)</f>
        <v>0.017</v>
      </c>
      <c r="Q2647" s="14">
        <f>IFERROR(__xludf.DUMMYFUNCTION("""COMPUTED_VALUE"""),0.023)</f>
        <v>0.023</v>
      </c>
      <c r="R2647" s="14">
        <f>IFERROR(__xludf.DUMMYFUNCTION("""COMPUTED_VALUE"""),80.0)</f>
        <v>80</v>
      </c>
      <c r="S2647" s="14">
        <f>IFERROR(__xludf.DUMMYFUNCTION("""COMPUTED_VALUE"""),70.0)</f>
        <v>70</v>
      </c>
      <c r="T2647" s="14">
        <f>IFERROR(__xludf.DUMMYFUNCTION("""COMPUTED_VALUE"""),0.263)</f>
        <v>0.263</v>
      </c>
      <c r="U2647" s="14">
        <f>IFERROR(__xludf.DUMMYFUNCTION("""COMPUTED_VALUE"""),0.672)</f>
        <v>0.672</v>
      </c>
      <c r="V2647" s="14">
        <f>IFERROR(__xludf.DUMMYFUNCTION("""COMPUTED_VALUE"""),0.066)</f>
        <v>0.066</v>
      </c>
      <c r="W2647" s="14">
        <f>IFERROR(__xludf.DUMMYFUNCTION("""COMPUTED_VALUE"""),8.3313E7)</f>
        <v>83313000</v>
      </c>
      <c r="X2647" s="14">
        <f>IFERROR(__xludf.DUMMYFUNCTION("""COMPUTED_VALUE"""),0.279)</f>
        <v>0.279</v>
      </c>
      <c r="Y2647" s="14" t="str">
        <f>IFERROR(__xludf.DUMMYFUNCTION("""COMPUTED_VALUE"""),"Vietnam-Asia")</f>
        <v>Vietnam-Asia</v>
      </c>
      <c r="Z2647" s="14" t="str">
        <f>IFERROR(__xludf.DUMMYFUNCTION("""COMPUTED_VALUE"""),"Asia")</f>
        <v>Asia</v>
      </c>
      <c r="AA2647" s="14" t="str">
        <f>IFERROR(__xludf.DUMMYFUNCTION("""COMPUTED_VALUE"""),"2006")</f>
        <v>2006</v>
      </c>
      <c r="AB2647" s="15" t="str">
        <f>IFERROR(__xludf.DUMMYFUNCTION("ARRAYFORMULA(VLOOKUP(A2647,IMPORTRANGE(""https://docs.google.com/spreadsheets/d/1BuTWp7qHGjWhqrnf-OmePP568O4A5Am9ttzvVdP67zw/edit#gid=1931367683"" ,""ENERGY!$A$2:$F$2692""), {2,3,4,5,6},0))"),"Asia")</f>
        <v>Asia</v>
      </c>
      <c r="AC2647" s="14" t="str">
        <f>IFERROR(__xludf.DUMMYFUNCTION("""COMPUTED_VALUE"""),"Vietnam-Asia")</f>
        <v>Vietnam-Asia</v>
      </c>
      <c r="AD2647" s="14" t="str">
        <f>IFERROR(__xludf.DUMMYFUNCTION("""COMPUTED_VALUE"""),"2005")</f>
        <v>2005</v>
      </c>
      <c r="AE2647" s="14">
        <f>IFERROR(__xludf.DUMMYFUNCTION("""COMPUTED_VALUE"""),42475.0)</f>
        <v>42475</v>
      </c>
      <c r="AF2647" s="14">
        <f>IFERROR(__xludf.DUMMYFUNCTION("""COMPUTED_VALUE"""),102456.0)</f>
        <v>102456</v>
      </c>
    </row>
    <row r="2648">
      <c r="A2648" s="12">
        <v>2647.0</v>
      </c>
      <c r="B2648" s="12" t="s">
        <v>282</v>
      </c>
      <c r="C2648" s="5" t="s">
        <v>61</v>
      </c>
      <c r="D2648" s="11">
        <v>0.399</v>
      </c>
      <c r="E2648" s="11">
        <v>39.0</v>
      </c>
      <c r="F2648" s="8"/>
      <c r="G2648" s="11">
        <v>1050.0</v>
      </c>
      <c r="H2648" s="11">
        <v>0.208</v>
      </c>
      <c r="I2648" s="11">
        <v>0.52</v>
      </c>
      <c r="J2648" s="9" t="s">
        <v>68</v>
      </c>
      <c r="K2648" s="14" t="str">
        <f>IFERROR(__xludf.DUMMYFUNCTION("ARRAYFORMULA(VLOOKUP(A2648,IMPORTRANGE(""https://docs.google.com/spreadsheets/d/1BuTWp7qHGjWhqrnf-OmePP568O4A5Am9ttzvVdP67zw/edit#gid=1603210130"", ""TOURISM!$A$2:$F$2692""), {2,3,4,5,6},0))"),"Asia")</f>
        <v>Asia</v>
      </c>
      <c r="L2648" s="14">
        <f>IFERROR(__xludf.DUMMYFUNCTION("""COMPUTED_VALUE"""),3.75E9)</f>
        <v>3750000000</v>
      </c>
      <c r="M2648" s="14" t="str">
        <f>IFERROR(__xludf.DUMMYFUNCTION("""COMPUTED_VALUE"""),"Vietnam-Asia")</f>
        <v>Vietnam-Asia</v>
      </c>
      <c r="N2648" s="14" t="str">
        <f>IFERROR(__xludf.DUMMYFUNCTION("""COMPUTED_VALUE"""),"2007")</f>
        <v>2007</v>
      </c>
      <c r="O2648" s="14">
        <f>IFERROR(__xludf.DUMMYFUNCTION("""COMPUTED_VALUE"""),1.22E9)</f>
        <v>1220000000</v>
      </c>
      <c r="P2648" s="15">
        <f>IFERROR(__xludf.DUMMYFUNCTION("ARRAYFORMULA(VLOOKUP(A2648,IMPORTRANGE(""https://docs.google.com/spreadsheets/d/1BuTWp7qHGjWhqrnf-OmePP568O4A5Am9ttzvVdP67zw/edit#gid=771602874"" ,""HUMAN RESOURCES!$A$2:$M$2692""), {2,3,4,5,6,7,8,9,10,11,12,13},0))"),0.017)</f>
        <v>0.017</v>
      </c>
      <c r="Q2648" s="14">
        <f>IFERROR(__xludf.DUMMYFUNCTION("""COMPUTED_VALUE"""),0.022)</f>
        <v>0.022</v>
      </c>
      <c r="R2648" s="14">
        <f>IFERROR(__xludf.DUMMYFUNCTION("""COMPUTED_VALUE"""),80.0)</f>
        <v>80</v>
      </c>
      <c r="S2648" s="14">
        <f>IFERROR(__xludf.DUMMYFUNCTION("""COMPUTED_VALUE"""),70.0)</f>
        <v>70</v>
      </c>
      <c r="T2648" s="14">
        <f>IFERROR(__xludf.DUMMYFUNCTION("""COMPUTED_VALUE"""),0.254)</f>
        <v>0.254</v>
      </c>
      <c r="U2648" s="14">
        <f>IFERROR(__xludf.DUMMYFUNCTION("""COMPUTED_VALUE"""),0.68)</f>
        <v>0.68</v>
      </c>
      <c r="V2648" s="14">
        <f>IFERROR(__xludf.DUMMYFUNCTION("""COMPUTED_VALUE"""),0.066)</f>
        <v>0.066</v>
      </c>
      <c r="W2648" s="14">
        <f>IFERROR(__xludf.DUMMYFUNCTION("""COMPUTED_VALUE"""),8.42211E7)</f>
        <v>84221100</v>
      </c>
      <c r="X2648" s="14">
        <f>IFERROR(__xludf.DUMMYFUNCTION("""COMPUTED_VALUE"""),0.285)</f>
        <v>0.285</v>
      </c>
      <c r="Y2648" s="14" t="str">
        <f>IFERROR(__xludf.DUMMYFUNCTION("""COMPUTED_VALUE"""),"Vietnam-Asia")</f>
        <v>Vietnam-Asia</v>
      </c>
      <c r="Z2648" s="14" t="str">
        <f>IFERROR(__xludf.DUMMYFUNCTION("""COMPUTED_VALUE"""),"Asia")</f>
        <v>Asia</v>
      </c>
      <c r="AA2648" s="14" t="str">
        <f>IFERROR(__xludf.DUMMYFUNCTION("""COMPUTED_VALUE"""),"2007")</f>
        <v>2007</v>
      </c>
      <c r="AB2648" s="15" t="str">
        <f>IFERROR(__xludf.DUMMYFUNCTION("ARRAYFORMULA(VLOOKUP(A2648,IMPORTRANGE(""https://docs.google.com/spreadsheets/d/1BuTWp7qHGjWhqrnf-OmePP568O4A5Am9ttzvVdP67zw/edit#gid=1931367683"" ,""ENERGY!$A$2:$F$2692""), {2,3,4,5,6},0))"),"Asia")</f>
        <v>Asia</v>
      </c>
      <c r="AC2648" s="14" t="str">
        <f>IFERROR(__xludf.DUMMYFUNCTION("""COMPUTED_VALUE"""),"Vietnam-Asia")</f>
        <v>Vietnam-Asia</v>
      </c>
      <c r="AD2648" s="14" t="str">
        <f>IFERROR(__xludf.DUMMYFUNCTION("""COMPUTED_VALUE"""),"2011")</f>
        <v>2011</v>
      </c>
      <c r="AE2648" s="14">
        <f>IFERROR(__xludf.DUMMYFUNCTION("""COMPUTED_VALUE"""),41455.0)</f>
        <v>41455</v>
      </c>
      <c r="AF2648" s="14">
        <f>IFERROR(__xludf.DUMMYFUNCTION("""COMPUTED_VALUE"""),97942.0)</f>
        <v>97942</v>
      </c>
    </row>
    <row r="2649">
      <c r="A2649" s="12">
        <v>2648.0</v>
      </c>
      <c r="B2649" s="12" t="s">
        <v>282</v>
      </c>
      <c r="C2649" s="5" t="s">
        <v>61</v>
      </c>
      <c r="D2649" s="11">
        <v>0.399</v>
      </c>
      <c r="E2649" s="11">
        <v>39.0</v>
      </c>
      <c r="F2649" s="8"/>
      <c r="G2649" s="11">
        <v>1050.0</v>
      </c>
      <c r="H2649" s="11">
        <v>0.239</v>
      </c>
      <c r="I2649" s="11">
        <v>0.857</v>
      </c>
      <c r="J2649" s="9" t="s">
        <v>69</v>
      </c>
      <c r="K2649" s="14" t="str">
        <f>IFERROR(__xludf.DUMMYFUNCTION("ARRAYFORMULA(VLOOKUP(A2649,IMPORTRANGE(""https://docs.google.com/spreadsheets/d/1BuTWp7qHGjWhqrnf-OmePP568O4A5Am9ttzvVdP67zw/edit#gid=1603210130"", ""TOURISM!$A$2:$F$2692""), {2,3,4,5,6},0))"),"Asia")</f>
        <v>Asia</v>
      </c>
      <c r="L2649" s="14">
        <f>IFERROR(__xludf.DUMMYFUNCTION("""COMPUTED_VALUE"""),3.93E9)</f>
        <v>3930000000</v>
      </c>
      <c r="M2649" s="14" t="str">
        <f>IFERROR(__xludf.DUMMYFUNCTION("""COMPUTED_VALUE"""),"Vietnam-Asia")</f>
        <v>Vietnam-Asia</v>
      </c>
      <c r="N2649" s="14" t="str">
        <f>IFERROR(__xludf.DUMMYFUNCTION("""COMPUTED_VALUE"""),"2008")</f>
        <v>2008</v>
      </c>
      <c r="O2649" s="14">
        <f>IFERROR(__xludf.DUMMYFUNCTION("""COMPUTED_VALUE"""),1.3E9)</f>
        <v>1300000000</v>
      </c>
      <c r="P2649" s="15">
        <f>IFERROR(__xludf.DUMMYFUNCTION("ARRAYFORMULA(VLOOKUP(A2649,IMPORTRANGE(""https://docs.google.com/spreadsheets/d/1BuTWp7qHGjWhqrnf-OmePP568O4A5Am9ttzvVdP67zw/edit#gid=771602874"" ,""HUMAN RESOURCES!$A$2:$M$2692""), {2,3,4,5,6,7,8,9,10,11,12,13},0))"),0.017)</f>
        <v>0.017</v>
      </c>
      <c r="Q2649" s="14">
        <f>IFERROR(__xludf.DUMMYFUNCTION("""COMPUTED_VALUE"""),0.022)</f>
        <v>0.022</v>
      </c>
      <c r="R2649" s="14">
        <f>IFERROR(__xludf.DUMMYFUNCTION("""COMPUTED_VALUE"""),80.0)</f>
        <v>80</v>
      </c>
      <c r="S2649" s="14">
        <f>IFERROR(__xludf.DUMMYFUNCTION("""COMPUTED_VALUE"""),70.0)</f>
        <v>70</v>
      </c>
      <c r="T2649" s="14">
        <f>IFERROR(__xludf.DUMMYFUNCTION("""COMPUTED_VALUE"""),0.247)</f>
        <v>0.247</v>
      </c>
      <c r="U2649" s="14">
        <f>IFERROR(__xludf.DUMMYFUNCTION("""COMPUTED_VALUE"""),0.688)</f>
        <v>0.688</v>
      </c>
      <c r="V2649" s="14">
        <f>IFERROR(__xludf.DUMMYFUNCTION("""COMPUTED_VALUE"""),0.066)</f>
        <v>0.066</v>
      </c>
      <c r="W2649" s="14">
        <f>IFERROR(__xludf.DUMMYFUNCTION("""COMPUTED_VALUE"""),8.51223E7)</f>
        <v>85122300</v>
      </c>
      <c r="X2649" s="14">
        <f>IFERROR(__xludf.DUMMYFUNCTION("""COMPUTED_VALUE"""),0.291)</f>
        <v>0.291</v>
      </c>
      <c r="Y2649" s="14" t="str">
        <f>IFERROR(__xludf.DUMMYFUNCTION("""COMPUTED_VALUE"""),"Vietnam-Asia")</f>
        <v>Vietnam-Asia</v>
      </c>
      <c r="Z2649" s="14" t="str">
        <f>IFERROR(__xludf.DUMMYFUNCTION("""COMPUTED_VALUE"""),"Asia")</f>
        <v>Asia</v>
      </c>
      <c r="AA2649" s="14" t="str">
        <f>IFERROR(__xludf.DUMMYFUNCTION("""COMPUTED_VALUE"""),"2008")</f>
        <v>2008</v>
      </c>
      <c r="AB2649" s="15" t="str">
        <f>IFERROR(__xludf.DUMMYFUNCTION("ARRAYFORMULA(VLOOKUP(A2649,IMPORTRANGE(""https://docs.google.com/spreadsheets/d/1BuTWp7qHGjWhqrnf-OmePP568O4A5Am9ttzvVdP67zw/edit#gid=1931367683"" ,""ENERGY!$A$2:$F$2692""), {2,3,4,5,6},0))"),"Asia")</f>
        <v>Asia</v>
      </c>
      <c r="AC2649" s="14" t="str">
        <f>IFERROR(__xludf.DUMMYFUNCTION("""COMPUTED_VALUE"""),"Vietnam-Asia")</f>
        <v>Vietnam-Asia</v>
      </c>
      <c r="AD2649" s="14" t="str">
        <f>IFERROR(__xludf.DUMMYFUNCTION("""COMPUTED_VALUE"""),"2008")</f>
        <v>2008</v>
      </c>
      <c r="AE2649" s="14">
        <f>IFERROR(__xludf.DUMMYFUNCTION("""COMPUTED_VALUE"""),38968.0)</f>
        <v>38968</v>
      </c>
      <c r="AF2649" s="14">
        <f>IFERROR(__xludf.DUMMYFUNCTION("""COMPUTED_VALUE"""),90549.0)</f>
        <v>90549</v>
      </c>
    </row>
    <row r="2650">
      <c r="A2650" s="12">
        <v>2649.0</v>
      </c>
      <c r="B2650" s="12" t="s">
        <v>282</v>
      </c>
      <c r="C2650" s="5" t="s">
        <v>61</v>
      </c>
      <c r="D2650" s="11">
        <v>0.399</v>
      </c>
      <c r="E2650" s="11">
        <v>39.0</v>
      </c>
      <c r="F2650" s="8"/>
      <c r="G2650" s="11">
        <v>1050.0</v>
      </c>
      <c r="H2650" s="11">
        <v>0.266</v>
      </c>
      <c r="I2650" s="11">
        <v>1.114</v>
      </c>
      <c r="J2650" s="9" t="s">
        <v>70</v>
      </c>
      <c r="K2650" s="14" t="str">
        <f>IFERROR(__xludf.DUMMYFUNCTION("ARRAYFORMULA(VLOOKUP(A2650,IMPORTRANGE(""https://docs.google.com/spreadsheets/d/1BuTWp7qHGjWhqrnf-OmePP568O4A5Am9ttzvVdP67zw/edit#gid=1603210130"", ""TOURISM!$A$2:$F$2692""), {2,3,4,5,6},0))"),"Asia")</f>
        <v>Asia</v>
      </c>
      <c r="L2650" s="14">
        <f>IFERROR(__xludf.DUMMYFUNCTION("""COMPUTED_VALUE"""),3.05E9)</f>
        <v>3050000000</v>
      </c>
      <c r="M2650" s="14" t="str">
        <f>IFERROR(__xludf.DUMMYFUNCTION("""COMPUTED_VALUE"""),"Vietnam-Asia")</f>
        <v>Vietnam-Asia</v>
      </c>
      <c r="N2650" s="14" t="str">
        <f>IFERROR(__xludf.DUMMYFUNCTION("""COMPUTED_VALUE"""),"2009")</f>
        <v>2009</v>
      </c>
      <c r="O2650" s="14">
        <f>IFERROR(__xludf.DUMMYFUNCTION("""COMPUTED_VALUE"""),1.1E9)</f>
        <v>1100000000</v>
      </c>
      <c r="P2650" s="15">
        <f>IFERROR(__xludf.DUMMYFUNCTION("ARRAYFORMULA(VLOOKUP(A2650,IMPORTRANGE(""https://docs.google.com/spreadsheets/d/1BuTWp7qHGjWhqrnf-OmePP568O4A5Am9ttzvVdP67zw/edit#gid=771602874"" ,""HUMAN RESOURCES!$A$2:$M$2692""), {2,3,4,5,6,7,8,9,10,11,12,13},0))"),0.017)</f>
        <v>0.017</v>
      </c>
      <c r="Q2650" s="14">
        <f>IFERROR(__xludf.DUMMYFUNCTION("""COMPUTED_VALUE"""),0.021)</f>
        <v>0.021</v>
      </c>
      <c r="R2650" s="14">
        <f>IFERROR(__xludf.DUMMYFUNCTION("""COMPUTED_VALUE"""),80.0)</f>
        <v>80</v>
      </c>
      <c r="S2650" s="14">
        <f>IFERROR(__xludf.DUMMYFUNCTION("""COMPUTED_VALUE"""),71.0)</f>
        <v>71</v>
      </c>
      <c r="T2650" s="14">
        <f>IFERROR(__xludf.DUMMYFUNCTION("""COMPUTED_VALUE"""),0.24)</f>
        <v>0.24</v>
      </c>
      <c r="U2650" s="14">
        <f>IFERROR(__xludf.DUMMYFUNCTION("""COMPUTED_VALUE"""),0.694)</f>
        <v>0.694</v>
      </c>
      <c r="V2650" s="14">
        <f>IFERROR(__xludf.DUMMYFUNCTION("""COMPUTED_VALUE"""),0.065)</f>
        <v>0.065</v>
      </c>
      <c r="W2650" s="14">
        <f>IFERROR(__xludf.DUMMYFUNCTION("""COMPUTED_VALUE"""),8.6025E7)</f>
        <v>86025000</v>
      </c>
      <c r="X2650" s="14">
        <f>IFERROR(__xludf.DUMMYFUNCTION("""COMPUTED_VALUE"""),0.298)</f>
        <v>0.298</v>
      </c>
      <c r="Y2650" s="14" t="str">
        <f>IFERROR(__xludf.DUMMYFUNCTION("""COMPUTED_VALUE"""),"Vietnam-Asia")</f>
        <v>Vietnam-Asia</v>
      </c>
      <c r="Z2650" s="14" t="str">
        <f>IFERROR(__xludf.DUMMYFUNCTION("""COMPUTED_VALUE"""),"Asia")</f>
        <v>Asia</v>
      </c>
      <c r="AA2650" s="14" t="str">
        <f>IFERROR(__xludf.DUMMYFUNCTION("""COMPUTED_VALUE"""),"2009")</f>
        <v>2009</v>
      </c>
      <c r="AB2650" s="15" t="str">
        <f>IFERROR(__xludf.DUMMYFUNCTION("ARRAYFORMULA(VLOOKUP(A2650,IMPORTRANGE(""https://docs.google.com/spreadsheets/d/1BuTWp7qHGjWhqrnf-OmePP568O4A5Am9ttzvVdP67zw/edit#gid=1931367683"" ,""ENERGY!$A$2:$F$2692""), {2,3,4,5,6},0))"),"Asia")</f>
        <v>Asia</v>
      </c>
      <c r="AC2650" s="14" t="str">
        <f>IFERROR(__xludf.DUMMYFUNCTION("""COMPUTED_VALUE"""),"Vietnam-Asia")</f>
        <v>Vietnam-Asia</v>
      </c>
      <c r="AD2650" s="14" t="str">
        <f>IFERROR(__xludf.DUMMYFUNCTION("""COMPUTED_VALUE"""),"2012")</f>
        <v>2012</v>
      </c>
      <c r="AE2650" s="14">
        <f>IFERROR(__xludf.DUMMYFUNCTION("""COMPUTED_VALUE"""),35111.0)</f>
        <v>35111</v>
      </c>
      <c r="AF2650" s="14">
        <f>IFERROR(__xludf.DUMMYFUNCTION("""COMPUTED_VALUE"""),78767.0)</f>
        <v>78767</v>
      </c>
    </row>
    <row r="2651">
      <c r="A2651" s="12">
        <v>2650.0</v>
      </c>
      <c r="B2651" s="12" t="s">
        <v>282</v>
      </c>
      <c r="C2651" s="5" t="s">
        <v>61</v>
      </c>
      <c r="D2651" s="11">
        <v>0.329</v>
      </c>
      <c r="E2651" s="11">
        <v>38.0</v>
      </c>
      <c r="F2651" s="8"/>
      <c r="G2651" s="11">
        <v>941.0</v>
      </c>
      <c r="H2651" s="11">
        <v>0.307</v>
      </c>
      <c r="I2651" s="11">
        <v>1.253</v>
      </c>
      <c r="J2651" s="9" t="s">
        <v>71</v>
      </c>
      <c r="K2651" s="14" t="str">
        <f>IFERROR(__xludf.DUMMYFUNCTION("ARRAYFORMULA(VLOOKUP(A2651,IMPORTRANGE(""https://docs.google.com/spreadsheets/d/1BuTWp7qHGjWhqrnf-OmePP568O4A5Am9ttzvVdP67zw/edit#gid=1603210130"", ""TOURISM!$A$2:$F$2692""), {2,3,4,5,6},0))"),"Asia")</f>
        <v>Asia</v>
      </c>
      <c r="L2651" s="14">
        <f>IFERROR(__xludf.DUMMYFUNCTION("""COMPUTED_VALUE"""),4.45E9)</f>
        <v>4450000000</v>
      </c>
      <c r="M2651" s="14" t="str">
        <f>IFERROR(__xludf.DUMMYFUNCTION("""COMPUTED_VALUE"""),"Vietnam-Asia")</f>
        <v>Vietnam-Asia</v>
      </c>
      <c r="N2651" s="14" t="str">
        <f>IFERROR(__xludf.DUMMYFUNCTION("""COMPUTED_VALUE"""),"2010")</f>
        <v>2010</v>
      </c>
      <c r="O2651" s="14">
        <f>IFERROR(__xludf.DUMMYFUNCTION("""COMPUTED_VALUE"""),1.47E9)</f>
        <v>1470000000</v>
      </c>
      <c r="P2651" s="15">
        <f>IFERROR(__xludf.DUMMYFUNCTION("ARRAYFORMULA(VLOOKUP(A2651,IMPORTRANGE(""https://docs.google.com/spreadsheets/d/1BuTWp7qHGjWhqrnf-OmePP568O4A5Am9ttzvVdP67zw/edit#gid=771602874"" ,""HUMAN RESOURCES!$A$2:$M$2692""), {2,3,4,5,6,7,8,9,10,11,12,13},0))"),0.016)</f>
        <v>0.016</v>
      </c>
      <c r="Q2651" s="14">
        <f>IFERROR(__xludf.DUMMYFUNCTION("""COMPUTED_VALUE"""),0.021)</f>
        <v>0.021</v>
      </c>
      <c r="R2651" s="14">
        <f>IFERROR(__xludf.DUMMYFUNCTION("""COMPUTED_VALUE"""),80.0)</f>
        <v>80</v>
      </c>
      <c r="S2651" s="14">
        <f>IFERROR(__xludf.DUMMYFUNCTION("""COMPUTED_VALUE"""),71.0)</f>
        <v>71</v>
      </c>
      <c r="T2651" s="14">
        <f>IFERROR(__xludf.DUMMYFUNCTION("""COMPUTED_VALUE"""),0.235)</f>
        <v>0.235</v>
      </c>
      <c r="U2651" s="14">
        <f>IFERROR(__xludf.DUMMYFUNCTION("""COMPUTED_VALUE"""),0.7)</f>
        <v>0.7</v>
      </c>
      <c r="V2651" s="14">
        <f>IFERROR(__xludf.DUMMYFUNCTION("""COMPUTED_VALUE"""),0.065)</f>
        <v>0.065</v>
      </c>
      <c r="W2651" s="14">
        <f>IFERROR(__xludf.DUMMYFUNCTION("""COMPUTED_VALUE"""),8.69325E7)</f>
        <v>86932500</v>
      </c>
      <c r="X2651" s="14">
        <f>IFERROR(__xludf.DUMMYFUNCTION("""COMPUTED_VALUE"""),0.304)</f>
        <v>0.304</v>
      </c>
      <c r="Y2651" s="14" t="str">
        <f>IFERROR(__xludf.DUMMYFUNCTION("""COMPUTED_VALUE"""),"Vietnam-Asia")</f>
        <v>Vietnam-Asia</v>
      </c>
      <c r="Z2651" s="14" t="str">
        <f>IFERROR(__xludf.DUMMYFUNCTION("""COMPUTED_VALUE"""),"Asia")</f>
        <v>Asia</v>
      </c>
      <c r="AA2651" s="14" t="str">
        <f>IFERROR(__xludf.DUMMYFUNCTION("""COMPUTED_VALUE"""),"2010")</f>
        <v>2010</v>
      </c>
      <c r="AB2651" s="15" t="str">
        <f>IFERROR(__xludf.DUMMYFUNCTION("ARRAYFORMULA(VLOOKUP(A2651,IMPORTRANGE(""https://docs.google.com/spreadsheets/d/1BuTWp7qHGjWhqrnf-OmePP568O4A5Am9ttzvVdP67zw/edit#gid=1931367683"" ,""ENERGY!$A$2:$F$2692""), {2,3,4,5,6},0))"),"Asia")</f>
        <v>Asia</v>
      </c>
      <c r="AC2651" s="14" t="str">
        <f>IFERROR(__xludf.DUMMYFUNCTION("""COMPUTED_VALUE"""),"Vietnam-Asia")</f>
        <v>Vietnam-Asia</v>
      </c>
      <c r="AD2651" s="14" t="str">
        <f>IFERROR(__xludf.DUMMYFUNCTION("""COMPUTED_VALUE"""),"2010")</f>
        <v>2010</v>
      </c>
      <c r="AE2651" s="14">
        <f>IFERROR(__xludf.DUMMYFUNCTION("""COMPUTED_VALUE"""),33441.0)</f>
        <v>33441</v>
      </c>
      <c r="AF2651" s="14">
        <f>IFERROR(__xludf.DUMMYFUNCTION("""COMPUTED_VALUE"""),70806.0)</f>
        <v>70806</v>
      </c>
    </row>
    <row r="2652">
      <c r="A2652" s="12">
        <v>2651.0</v>
      </c>
      <c r="B2652" s="12" t="s">
        <v>282</v>
      </c>
      <c r="C2652" s="5" t="s">
        <v>61</v>
      </c>
      <c r="D2652" s="11">
        <v>0.4</v>
      </c>
      <c r="E2652" s="11">
        <v>38.0</v>
      </c>
      <c r="F2652" s="8"/>
      <c r="G2652" s="11">
        <v>941.0</v>
      </c>
      <c r="H2652" s="11">
        <v>0.351</v>
      </c>
      <c r="I2652" s="11">
        <v>1.416</v>
      </c>
      <c r="J2652" s="9" t="s">
        <v>72</v>
      </c>
      <c r="K2652" s="14" t="str">
        <f>IFERROR(__xludf.DUMMYFUNCTION("ARRAYFORMULA(VLOOKUP(A2652,IMPORTRANGE(""https://docs.google.com/spreadsheets/d/1BuTWp7qHGjWhqrnf-OmePP568O4A5Am9ttzvVdP67zw/edit#gid=1603210130"", ""TOURISM!$A$2:$F$2692""), {2,3,4,5,6},0))"),"Asia")</f>
        <v>Asia</v>
      </c>
      <c r="L2652" s="14">
        <f>IFERROR(__xludf.DUMMYFUNCTION("""COMPUTED_VALUE"""),5.71E9)</f>
        <v>5710000000</v>
      </c>
      <c r="M2652" s="14" t="str">
        <f>IFERROR(__xludf.DUMMYFUNCTION("""COMPUTED_VALUE"""),"Vietnam-Asia")</f>
        <v>Vietnam-Asia</v>
      </c>
      <c r="N2652" s="14" t="str">
        <f>IFERROR(__xludf.DUMMYFUNCTION("""COMPUTED_VALUE"""),"2011")</f>
        <v>2011</v>
      </c>
      <c r="O2652" s="14">
        <f>IFERROR(__xludf.DUMMYFUNCTION("""COMPUTED_VALUE"""),1.71E9)</f>
        <v>1710000000</v>
      </c>
      <c r="P2652" s="15">
        <f>IFERROR(__xludf.DUMMYFUNCTION("ARRAYFORMULA(VLOOKUP(A2652,IMPORTRANGE(""https://docs.google.com/spreadsheets/d/1BuTWp7qHGjWhqrnf-OmePP568O4A5Am9ttzvVdP67zw/edit#gid=771602874"" ,""HUMAN RESOURCES!$A$2:$M$2692""), {2,3,4,5,6,7,8,9,10,11,12,13},0))"),0.016)</f>
        <v>0.016</v>
      </c>
      <c r="Q2652" s="14">
        <f>IFERROR(__xludf.DUMMYFUNCTION("""COMPUTED_VALUE"""),0.02)</f>
        <v>0.02</v>
      </c>
      <c r="R2652" s="14">
        <f>IFERROR(__xludf.DUMMYFUNCTION("""COMPUTED_VALUE"""),80.0)</f>
        <v>80</v>
      </c>
      <c r="S2652" s="14">
        <f>IFERROR(__xludf.DUMMYFUNCTION("""COMPUTED_VALUE"""),71.0)</f>
        <v>71</v>
      </c>
      <c r="T2652" s="14">
        <f>IFERROR(__xludf.DUMMYFUNCTION("""COMPUTED_VALUE"""),0.231)</f>
        <v>0.231</v>
      </c>
      <c r="U2652" s="14">
        <f>IFERROR(__xludf.DUMMYFUNCTION("""COMPUTED_VALUE"""),0.703)</f>
        <v>0.703</v>
      </c>
      <c r="V2652" s="14">
        <f>IFERROR(__xludf.DUMMYFUNCTION("""COMPUTED_VALUE"""),0.065)</f>
        <v>0.065</v>
      </c>
      <c r="W2652" s="14">
        <f>IFERROR(__xludf.DUMMYFUNCTION("""COMPUTED_VALUE"""),8.784E7)</f>
        <v>87840000</v>
      </c>
      <c r="X2652" s="14">
        <f>IFERROR(__xludf.DUMMYFUNCTION("""COMPUTED_VALUE"""),0.31)</f>
        <v>0.31</v>
      </c>
      <c r="Y2652" s="14" t="str">
        <f>IFERROR(__xludf.DUMMYFUNCTION("""COMPUTED_VALUE"""),"Vietnam-Asia")</f>
        <v>Vietnam-Asia</v>
      </c>
      <c r="Z2652" s="14" t="str">
        <f>IFERROR(__xludf.DUMMYFUNCTION("""COMPUTED_VALUE"""),"Asia")</f>
        <v>Asia</v>
      </c>
      <c r="AA2652" s="14" t="str">
        <f>IFERROR(__xludf.DUMMYFUNCTION("""COMPUTED_VALUE"""),"2011")</f>
        <v>2011</v>
      </c>
      <c r="AB2652" s="15" t="str">
        <f>IFERROR(__xludf.DUMMYFUNCTION("ARRAYFORMULA(VLOOKUP(A2652,IMPORTRANGE(""https://docs.google.com/spreadsheets/d/1BuTWp7qHGjWhqrnf-OmePP568O4A5Am9ttzvVdP67zw/edit#gid=1931367683"" ,""ENERGY!$A$2:$F$2692""), {2,3,4,5,6},0))"),"Asia")</f>
        <v>Asia</v>
      </c>
      <c r="AC2652" s="14" t="str">
        <f>IFERROR(__xludf.DUMMYFUNCTION("""COMPUTED_VALUE"""),"Vietnam-Asia")</f>
        <v>Vietnam-Asia</v>
      </c>
      <c r="AD2652" s="14" t="str">
        <f>IFERROR(__xludf.DUMMYFUNCTION("""COMPUTED_VALUE"""),"2008")</f>
        <v>2008</v>
      </c>
      <c r="AE2652" s="14">
        <f>IFERROR(__xludf.DUMMYFUNCTION("""COMPUTED_VALUE"""),30646.0)</f>
        <v>30646</v>
      </c>
      <c r="AF2652" s="14">
        <f>IFERROR(__xludf.DUMMYFUNCTION("""COMPUTED_VALUE"""),61140.0)</f>
        <v>61140</v>
      </c>
    </row>
    <row r="2653">
      <c r="A2653" s="12">
        <v>2652.0</v>
      </c>
      <c r="B2653" s="12" t="s">
        <v>282</v>
      </c>
      <c r="C2653" s="5" t="s">
        <v>61</v>
      </c>
      <c r="D2653" s="11">
        <v>0.343</v>
      </c>
      <c r="E2653" s="11">
        <v>34.0</v>
      </c>
      <c r="F2653" s="11">
        <v>98.0</v>
      </c>
      <c r="G2653" s="11">
        <v>872.0</v>
      </c>
      <c r="H2653" s="11">
        <v>0.395</v>
      </c>
      <c r="I2653" s="11">
        <v>1.477</v>
      </c>
      <c r="J2653" s="9" t="s">
        <v>73</v>
      </c>
      <c r="K2653" s="14" t="str">
        <f>IFERROR(__xludf.DUMMYFUNCTION("ARRAYFORMULA(VLOOKUP(A2653,IMPORTRANGE(""https://docs.google.com/spreadsheets/d/1BuTWp7qHGjWhqrnf-OmePP568O4A5Am9ttzvVdP67zw/edit#gid=1603210130"", ""TOURISM!$A$2:$F$2692""), {2,3,4,5,6},0))"),"Asia")</f>
        <v>Asia</v>
      </c>
      <c r="L2653" s="14">
        <f>IFERROR(__xludf.DUMMYFUNCTION("""COMPUTED_VALUE"""),6.83E9)</f>
        <v>6830000000</v>
      </c>
      <c r="M2653" s="14" t="str">
        <f>IFERROR(__xludf.DUMMYFUNCTION("""COMPUTED_VALUE"""),"Vietnam-Asia")</f>
        <v>Vietnam-Asia</v>
      </c>
      <c r="N2653" s="14" t="str">
        <f>IFERROR(__xludf.DUMMYFUNCTION("""COMPUTED_VALUE"""),"2012")</f>
        <v>2012</v>
      </c>
      <c r="O2653" s="14">
        <f>IFERROR(__xludf.DUMMYFUNCTION("""COMPUTED_VALUE"""),1.856E9)</f>
        <v>1856000000</v>
      </c>
      <c r="P2653" s="15">
        <f>IFERROR(__xludf.DUMMYFUNCTION("ARRAYFORMULA(VLOOKUP(A2653,IMPORTRANGE(""https://docs.google.com/spreadsheets/d/1BuTWp7qHGjWhqrnf-OmePP568O4A5Am9ttzvVdP67zw/edit#gid=771602874"" ,""HUMAN RESOURCES!$A$2:$M$2692""), {2,3,4,5,6,7,8,9,10,11,12,13},0))"),0.016)</f>
        <v>0.016</v>
      </c>
      <c r="Q2653" s="14">
        <f>IFERROR(__xludf.DUMMYFUNCTION("""COMPUTED_VALUE"""),0.02)</f>
        <v>0.02</v>
      </c>
      <c r="R2653" s="14">
        <f>IFERROR(__xludf.DUMMYFUNCTION("""COMPUTED_VALUE"""),80.0)</f>
        <v>80</v>
      </c>
      <c r="S2653" s="14">
        <f>IFERROR(__xludf.DUMMYFUNCTION("""COMPUTED_VALUE"""),71.0)</f>
        <v>71</v>
      </c>
      <c r="T2653" s="14">
        <f>IFERROR(__xludf.DUMMYFUNCTION("""COMPUTED_VALUE"""),0.229)</f>
        <v>0.229</v>
      </c>
      <c r="U2653" s="14">
        <f>IFERROR(__xludf.DUMMYFUNCTION("""COMPUTED_VALUE"""),0.706)</f>
        <v>0.706</v>
      </c>
      <c r="V2653" s="14">
        <f>IFERROR(__xludf.DUMMYFUNCTION("""COMPUTED_VALUE"""),0.066)</f>
        <v>0.066</v>
      </c>
      <c r="W2653" s="14">
        <f>IFERROR(__xludf.DUMMYFUNCTION("""COMPUTED_VALUE"""),8.87729E7)</f>
        <v>88772900</v>
      </c>
      <c r="X2653" s="14">
        <f>IFERROR(__xludf.DUMMYFUNCTION("""COMPUTED_VALUE"""),0.317)</f>
        <v>0.317</v>
      </c>
      <c r="Y2653" s="14" t="str">
        <f>IFERROR(__xludf.DUMMYFUNCTION("""COMPUTED_VALUE"""),"Vietnam-Asia")</f>
        <v>Vietnam-Asia</v>
      </c>
      <c r="Z2653" s="14" t="str">
        <f>IFERROR(__xludf.DUMMYFUNCTION("""COMPUTED_VALUE"""),"Asia")</f>
        <v>Asia</v>
      </c>
      <c r="AA2653" s="14" t="str">
        <f>IFERROR(__xludf.DUMMYFUNCTION("""COMPUTED_VALUE"""),"2012")</f>
        <v>2012</v>
      </c>
      <c r="AB2653" s="15" t="str">
        <f>IFERROR(__xludf.DUMMYFUNCTION("ARRAYFORMULA(VLOOKUP(A2653,IMPORTRANGE(""https://docs.google.com/spreadsheets/d/1BuTWp7qHGjWhqrnf-OmePP568O4A5Am9ttzvVdP67zw/edit#gid=1931367683"" ,""ENERGY!$A$2:$F$2692""), {2,3,4,5,6},0))"),"Asia")</f>
        <v>Asia</v>
      </c>
      <c r="AC2653" s="14" t="str">
        <f>IFERROR(__xludf.DUMMYFUNCTION("""COMPUTED_VALUE"""),"Vietnam-Asia")</f>
        <v>Vietnam-Asia</v>
      </c>
      <c r="AD2653" s="14" t="str">
        <f>IFERROR(__xludf.DUMMYFUNCTION("""COMPUTED_VALUE"""),"2012")</f>
        <v>2012</v>
      </c>
      <c r="AE2653" s="14">
        <f>IFERROR(__xludf.DUMMYFUNCTION("""COMPUTED_VALUE"""),28736.0)</f>
        <v>28736</v>
      </c>
      <c r="AF2653" s="14">
        <f>IFERROR(__xludf.DUMMYFUNCTION("""COMPUTED_VALUE"""),53645.0)</f>
        <v>53645</v>
      </c>
    </row>
    <row r="2654">
      <c r="A2654" s="12">
        <v>2653.0</v>
      </c>
      <c r="B2654" s="12" t="s">
        <v>283</v>
      </c>
      <c r="C2654" s="5" t="s">
        <v>93</v>
      </c>
      <c r="D2654" s="8"/>
      <c r="E2654" s="8"/>
      <c r="F2654" s="8"/>
      <c r="G2654" s="8"/>
      <c r="H2654" s="11">
        <v>0.001</v>
      </c>
      <c r="I2654" s="11">
        <v>0.002</v>
      </c>
      <c r="J2654" s="9" t="s">
        <v>60</v>
      </c>
      <c r="K2654" s="14" t="str">
        <f>IFERROR(__xludf.DUMMYFUNCTION("ARRAYFORMULA(VLOOKUP(A2654,IMPORTRANGE(""https://docs.google.com/spreadsheets/d/1BuTWp7qHGjWhqrnf-OmePP568O4A5Am9ttzvVdP67zw/edit#gid=1603210130"", ""TOURISM!$A$2:$F$2692""), {2,3,4,5,6},0))"),"Middle East")</f>
        <v>Middle East</v>
      </c>
      <c r="L2654" s="14">
        <f>IFERROR(__xludf.DUMMYFUNCTION("""COMPUTED_VALUE"""),7.3E7)</f>
        <v>73000000</v>
      </c>
      <c r="M2654" s="14" t="str">
        <f>IFERROR(__xludf.DUMMYFUNCTION("""COMPUTED_VALUE"""),"Yemen-Middle East")</f>
        <v>Yemen-Middle East</v>
      </c>
      <c r="N2654" s="14" t="str">
        <f>IFERROR(__xludf.DUMMYFUNCTION("""COMPUTED_VALUE"""),"2000")</f>
        <v>2000</v>
      </c>
      <c r="O2654" s="14">
        <f>IFERROR(__xludf.DUMMYFUNCTION("""COMPUTED_VALUE"""),1.27E8)</f>
        <v>127000000</v>
      </c>
      <c r="P2654" s="15">
        <f>IFERROR(__xludf.DUMMYFUNCTION("ARRAYFORMULA(VLOOKUP(A2654,IMPORTRANGE(""https://docs.google.com/spreadsheets/d/1BuTWp7qHGjWhqrnf-OmePP568O4A5Am9ttzvVdP67zw/edit#gid=771602874"" ,""HUMAN RESOURCES!$A$2:$M$2692""), {2,3,4,5,6,7,8,9,10,11,12,13},0))"),0.039)</f>
        <v>0.039</v>
      </c>
      <c r="Q2654" s="14">
        <f>IFERROR(__xludf.DUMMYFUNCTION("""COMPUTED_VALUE"""),0.069)</f>
        <v>0.069</v>
      </c>
      <c r="R2654" s="14">
        <f>IFERROR(__xludf.DUMMYFUNCTION("""COMPUTED_VALUE"""),62.0)</f>
        <v>62</v>
      </c>
      <c r="S2654" s="14">
        <f>IFERROR(__xludf.DUMMYFUNCTION("""COMPUTED_VALUE"""),59.0)</f>
        <v>59</v>
      </c>
      <c r="T2654" s="14">
        <f>IFERROR(__xludf.DUMMYFUNCTION("""COMPUTED_VALUE"""),0.486)</f>
        <v>0.486</v>
      </c>
      <c r="U2654" s="14">
        <f>IFERROR(__xludf.DUMMYFUNCTION("""COMPUTED_VALUE"""),0.485)</f>
        <v>0.485</v>
      </c>
      <c r="V2654" s="14">
        <f>IFERROR(__xludf.DUMMYFUNCTION("""COMPUTED_VALUE"""),0.029)</f>
        <v>0.029</v>
      </c>
      <c r="W2654" s="14">
        <f>IFERROR(__xludf.DUMMYFUNCTION("""COMPUTED_VALUE"""),1.7522537E7)</f>
        <v>17522537</v>
      </c>
      <c r="X2654" s="14">
        <f>IFERROR(__xludf.DUMMYFUNCTION("""COMPUTED_VALUE"""),0.263)</f>
        <v>0.263</v>
      </c>
      <c r="Y2654" s="14" t="str">
        <f>IFERROR(__xludf.DUMMYFUNCTION("""COMPUTED_VALUE"""),"Yemen-Middle East")</f>
        <v>Yemen-Middle East</v>
      </c>
      <c r="Z2654" s="14" t="str">
        <f>IFERROR(__xludf.DUMMYFUNCTION("""COMPUTED_VALUE"""),"Middle East")</f>
        <v>Middle East</v>
      </c>
      <c r="AA2654" s="14" t="str">
        <f>IFERROR(__xludf.DUMMYFUNCTION("""COMPUTED_VALUE"""),"2000")</f>
        <v>2000</v>
      </c>
      <c r="AB2654" s="15" t="str">
        <f>IFERROR(__xludf.DUMMYFUNCTION("ARRAYFORMULA(VLOOKUP(A2654,IMPORTRANGE(""https://docs.google.com/spreadsheets/d/1BuTWp7qHGjWhqrnf-OmePP568O4A5Am9ttzvVdP67zw/edit#gid=1931367683"" ,""ENERGY!$A$2:$F$2692""), {2,3,4,5,6},0))"),"Middle East")</f>
        <v>Middle East</v>
      </c>
      <c r="AC2654" s="14" t="str">
        <f>IFERROR(__xludf.DUMMYFUNCTION("""COMPUTED_VALUE"""),"Yemen-Middle East")</f>
        <v>Yemen-Middle East</v>
      </c>
      <c r="AD2654" s="14" t="str">
        <f>IFERROR(__xludf.DUMMYFUNCTION("""COMPUTED_VALUE"""),"2000")</f>
        <v>2000</v>
      </c>
      <c r="AE2654" s="14"/>
      <c r="AF2654" s="14"/>
    </row>
    <row r="2655">
      <c r="A2655" s="12">
        <v>2654.0</v>
      </c>
      <c r="B2655" s="12" t="s">
        <v>283</v>
      </c>
      <c r="C2655" s="5" t="s">
        <v>93</v>
      </c>
      <c r="D2655" s="8"/>
      <c r="E2655" s="8"/>
      <c r="F2655" s="8"/>
      <c r="G2655" s="8"/>
      <c r="H2655" s="11">
        <v>0.001</v>
      </c>
      <c r="I2655" s="11">
        <v>0.008</v>
      </c>
      <c r="J2655" s="9" t="s">
        <v>62</v>
      </c>
      <c r="K2655" s="14" t="str">
        <f>IFERROR(__xludf.DUMMYFUNCTION("ARRAYFORMULA(VLOOKUP(A2655,IMPORTRANGE(""https://docs.google.com/spreadsheets/d/1BuTWp7qHGjWhqrnf-OmePP568O4A5Am9ttzvVdP67zw/edit#gid=1603210130"", ""TOURISM!$A$2:$F$2692""), {2,3,4,5,6},0))"),"Middle East")</f>
        <v>Middle East</v>
      </c>
      <c r="L2655" s="14">
        <f>IFERROR(__xludf.DUMMYFUNCTION("""COMPUTED_VALUE"""),3.8E7)</f>
        <v>38000000</v>
      </c>
      <c r="M2655" s="14" t="str">
        <f>IFERROR(__xludf.DUMMYFUNCTION("""COMPUTED_VALUE"""),"Yemen-Middle East")</f>
        <v>Yemen-Middle East</v>
      </c>
      <c r="N2655" s="14" t="str">
        <f>IFERROR(__xludf.DUMMYFUNCTION("""COMPUTED_VALUE"""),"2001")</f>
        <v>2001</v>
      </c>
      <c r="O2655" s="14">
        <f>IFERROR(__xludf.DUMMYFUNCTION("""COMPUTED_VALUE"""),1.36E8)</f>
        <v>136000000</v>
      </c>
      <c r="P2655" s="15">
        <f>IFERROR(__xludf.DUMMYFUNCTION("ARRAYFORMULA(VLOOKUP(A2655,IMPORTRANGE(""https://docs.google.com/spreadsheets/d/1BuTWp7qHGjWhqrnf-OmePP568O4A5Am9ttzvVdP67zw/edit#gid=771602874"" ,""HUMAN RESOURCES!$A$2:$M$2692""), {2,3,4,5,6,7,8,9,10,11,12,13},0))"),0.039)</f>
        <v>0.039</v>
      </c>
      <c r="Q2655" s="14">
        <f>IFERROR(__xludf.DUMMYFUNCTION("""COMPUTED_VALUE"""),0.067)</f>
        <v>0.067</v>
      </c>
      <c r="R2655" s="14">
        <f>IFERROR(__xludf.DUMMYFUNCTION("""COMPUTED_VALUE"""),62.0)</f>
        <v>62</v>
      </c>
      <c r="S2655" s="14">
        <f>IFERROR(__xludf.DUMMYFUNCTION("""COMPUTED_VALUE"""),59.0)</f>
        <v>59</v>
      </c>
      <c r="T2655" s="14">
        <f>IFERROR(__xludf.DUMMYFUNCTION("""COMPUTED_VALUE"""),0.481)</f>
        <v>0.481</v>
      </c>
      <c r="U2655" s="14">
        <f>IFERROR(__xludf.DUMMYFUNCTION("""COMPUTED_VALUE"""),0.491)</f>
        <v>0.491</v>
      </c>
      <c r="V2655" s="14">
        <f>IFERROR(__xludf.DUMMYFUNCTION("""COMPUTED_VALUE"""),0.028)</f>
        <v>0.028</v>
      </c>
      <c r="W2655" s="14">
        <f>IFERROR(__xludf.DUMMYFUNCTION("""COMPUTED_VALUE"""),1.8029989E7)</f>
        <v>18029989</v>
      </c>
      <c r="X2655" s="14">
        <f>IFERROR(__xludf.DUMMYFUNCTION("""COMPUTED_VALUE"""),0.268)</f>
        <v>0.268</v>
      </c>
      <c r="Y2655" s="14" t="str">
        <f>IFERROR(__xludf.DUMMYFUNCTION("""COMPUTED_VALUE"""),"Yemen-Middle East")</f>
        <v>Yemen-Middle East</v>
      </c>
      <c r="Z2655" s="14" t="str">
        <f>IFERROR(__xludf.DUMMYFUNCTION("""COMPUTED_VALUE"""),"Middle East")</f>
        <v>Middle East</v>
      </c>
      <c r="AA2655" s="14" t="str">
        <f>IFERROR(__xludf.DUMMYFUNCTION("""COMPUTED_VALUE"""),"2001")</f>
        <v>2001</v>
      </c>
      <c r="AB2655" s="15" t="str">
        <f>IFERROR(__xludf.DUMMYFUNCTION("ARRAYFORMULA(VLOOKUP(A2655,IMPORTRANGE(""https://docs.google.com/spreadsheets/d/1BuTWp7qHGjWhqrnf-OmePP568O4A5Am9ttzvVdP67zw/edit#gid=1931367683"" ,""ENERGY!$A$2:$F$2692""), {2,3,4,5,6},0))"),"Middle East")</f>
        <v>Middle East</v>
      </c>
      <c r="AC2655" s="14" t="str">
        <f>IFERROR(__xludf.DUMMYFUNCTION("""COMPUTED_VALUE"""),"Yemen-Middle East")</f>
        <v>Yemen-Middle East</v>
      </c>
      <c r="AD2655" s="14" t="str">
        <f>IFERROR(__xludf.DUMMYFUNCTION("""COMPUTED_VALUE"""),"2001")</f>
        <v>2001</v>
      </c>
      <c r="AE2655" s="14">
        <f>IFERROR(__xludf.DUMMYFUNCTION("""COMPUTED_VALUE"""),7260.0)</f>
        <v>7260</v>
      </c>
      <c r="AF2655" s="14"/>
    </row>
    <row r="2656">
      <c r="A2656" s="12">
        <v>2655.0</v>
      </c>
      <c r="B2656" s="12" t="s">
        <v>283</v>
      </c>
      <c r="C2656" s="5" t="s">
        <v>93</v>
      </c>
      <c r="D2656" s="8"/>
      <c r="E2656" s="8"/>
      <c r="F2656" s="8"/>
      <c r="G2656" s="8"/>
      <c r="H2656" s="11">
        <v>0.005</v>
      </c>
      <c r="I2656" s="11">
        <v>0.026</v>
      </c>
      <c r="J2656" s="9" t="s">
        <v>63</v>
      </c>
      <c r="K2656" s="14" t="str">
        <f>IFERROR(__xludf.DUMMYFUNCTION("ARRAYFORMULA(VLOOKUP(A2656,IMPORTRANGE(""https://docs.google.com/spreadsheets/d/1BuTWp7qHGjWhqrnf-OmePP568O4A5Am9ttzvVdP67zw/edit#gid=1603210130"", ""TOURISM!$A$2:$F$2692""), {2,3,4,5,6},0))"),"Middle East")</f>
        <v>Middle East</v>
      </c>
      <c r="L2656" s="14">
        <f>IFERROR(__xludf.DUMMYFUNCTION("""COMPUTED_VALUE"""),3.8E7)</f>
        <v>38000000</v>
      </c>
      <c r="M2656" s="14" t="str">
        <f>IFERROR(__xludf.DUMMYFUNCTION("""COMPUTED_VALUE"""),"Yemen-Middle East")</f>
        <v>Yemen-Middle East</v>
      </c>
      <c r="N2656" s="14" t="str">
        <f>IFERROR(__xludf.DUMMYFUNCTION("""COMPUTED_VALUE"""),"2002")</f>
        <v>2002</v>
      </c>
      <c r="O2656" s="14">
        <f>IFERROR(__xludf.DUMMYFUNCTION("""COMPUTED_VALUE"""),1.35E8)</f>
        <v>135000000</v>
      </c>
      <c r="P2656" s="15">
        <f>IFERROR(__xludf.DUMMYFUNCTION("ARRAYFORMULA(VLOOKUP(A2656,IMPORTRANGE(""https://docs.google.com/spreadsheets/d/1BuTWp7qHGjWhqrnf-OmePP568O4A5Am9ttzvVdP67zw/edit#gid=771602874"" ,""HUMAN RESOURCES!$A$2:$M$2692""), {2,3,4,5,6,7,8,9,10,11,12,13},0))"),0.038)</f>
        <v>0.038</v>
      </c>
      <c r="Q2656" s="14">
        <f>IFERROR(__xludf.DUMMYFUNCTION("""COMPUTED_VALUE"""),0.064)</f>
        <v>0.064</v>
      </c>
      <c r="R2656" s="14">
        <f>IFERROR(__xludf.DUMMYFUNCTION("""COMPUTED_VALUE"""),62.0)</f>
        <v>62</v>
      </c>
      <c r="S2656" s="14">
        <f>IFERROR(__xludf.DUMMYFUNCTION("""COMPUTED_VALUE"""),60.0)</f>
        <v>60</v>
      </c>
      <c r="T2656" s="14">
        <f>IFERROR(__xludf.DUMMYFUNCTION("""COMPUTED_VALUE"""),0.476)</f>
        <v>0.476</v>
      </c>
      <c r="U2656" s="14">
        <f>IFERROR(__xludf.DUMMYFUNCTION("""COMPUTED_VALUE"""),0.497)</f>
        <v>0.497</v>
      </c>
      <c r="V2656" s="14">
        <f>IFERROR(__xludf.DUMMYFUNCTION("""COMPUTED_VALUE"""),0.028)</f>
        <v>0.028</v>
      </c>
      <c r="W2656" s="14">
        <f>IFERROR(__xludf.DUMMYFUNCTION("""COMPUTED_VALUE"""),1.8551068E7)</f>
        <v>18551068</v>
      </c>
      <c r="X2656" s="14">
        <f>IFERROR(__xludf.DUMMYFUNCTION("""COMPUTED_VALUE"""),0.273)</f>
        <v>0.273</v>
      </c>
      <c r="Y2656" s="14" t="str">
        <f>IFERROR(__xludf.DUMMYFUNCTION("""COMPUTED_VALUE"""),"Yemen-Middle East")</f>
        <v>Yemen-Middle East</v>
      </c>
      <c r="Z2656" s="14" t="str">
        <f>IFERROR(__xludf.DUMMYFUNCTION("""COMPUTED_VALUE"""),"Middle East")</f>
        <v>Middle East</v>
      </c>
      <c r="AA2656" s="14" t="str">
        <f>IFERROR(__xludf.DUMMYFUNCTION("""COMPUTED_VALUE"""),"2002")</f>
        <v>2002</v>
      </c>
      <c r="AB2656" s="15" t="str">
        <f>IFERROR(__xludf.DUMMYFUNCTION("ARRAYFORMULA(VLOOKUP(A2656,IMPORTRANGE(""https://docs.google.com/spreadsheets/d/1BuTWp7qHGjWhqrnf-OmePP568O4A5Am9ttzvVdP67zw/edit#gid=1931367683"" ,""ENERGY!$A$2:$F$2692""), {2,3,4,5,6},0))"),"Middle East")</f>
        <v>Middle East</v>
      </c>
      <c r="AC2656" s="14" t="str">
        <f>IFERROR(__xludf.DUMMYFUNCTION("""COMPUTED_VALUE"""),"Yemen-Middle East")</f>
        <v>Yemen-Middle East</v>
      </c>
      <c r="AD2656" s="14" t="str">
        <f>IFERROR(__xludf.DUMMYFUNCTION("""COMPUTED_VALUE"""),"2002")</f>
        <v>2002</v>
      </c>
      <c r="AE2656" s="14">
        <f>IFERROR(__xludf.DUMMYFUNCTION("""COMPUTED_VALUE"""),8360.0)</f>
        <v>8360</v>
      </c>
      <c r="AF2656" s="14">
        <f>IFERROR(__xludf.DUMMYFUNCTION("""COMPUTED_VALUE"""),21852.0)</f>
        <v>21852</v>
      </c>
    </row>
    <row r="2657">
      <c r="A2657" s="12">
        <v>2656.0</v>
      </c>
      <c r="B2657" s="12" t="s">
        <v>283</v>
      </c>
      <c r="C2657" s="5" t="s">
        <v>93</v>
      </c>
      <c r="D2657" s="8"/>
      <c r="E2657" s="11">
        <v>72.0</v>
      </c>
      <c r="F2657" s="8"/>
      <c r="G2657" s="8"/>
      <c r="H2657" s="11">
        <v>0.006</v>
      </c>
      <c r="I2657" s="11">
        <v>0.035</v>
      </c>
      <c r="J2657" s="9" t="s">
        <v>64</v>
      </c>
      <c r="K2657" s="14" t="str">
        <f>IFERROR(__xludf.DUMMYFUNCTION("ARRAYFORMULA(VLOOKUP(A2657,IMPORTRANGE(""https://docs.google.com/spreadsheets/d/1BuTWp7qHGjWhqrnf-OmePP568O4A5Am9ttzvVdP67zw/edit#gid=1603210130"", ""TOURISM!$A$2:$F$2692""), {2,3,4,5,6},0))"),"Middle East")</f>
        <v>Middle East</v>
      </c>
      <c r="L2657" s="14">
        <f>IFERROR(__xludf.DUMMYFUNCTION("""COMPUTED_VALUE"""),1.39E8)</f>
        <v>139000000</v>
      </c>
      <c r="M2657" s="14" t="str">
        <f>IFERROR(__xludf.DUMMYFUNCTION("""COMPUTED_VALUE"""),"Yemen-Middle East")</f>
        <v>Yemen-Middle East</v>
      </c>
      <c r="N2657" s="14" t="str">
        <f>IFERROR(__xludf.DUMMYFUNCTION("""COMPUTED_VALUE"""),"2003")</f>
        <v>2003</v>
      </c>
      <c r="O2657" s="14">
        <f>IFERROR(__xludf.DUMMYFUNCTION("""COMPUTED_VALUE"""),1.34E8)</f>
        <v>134000000</v>
      </c>
      <c r="P2657" s="15">
        <f>IFERROR(__xludf.DUMMYFUNCTION("ARRAYFORMULA(VLOOKUP(A2657,IMPORTRANGE(""https://docs.google.com/spreadsheets/d/1BuTWp7qHGjWhqrnf-OmePP568O4A5Am9ttzvVdP67zw/edit#gid=771602874"" ,""HUMAN RESOURCES!$A$2:$M$2692""), {2,3,4,5,6,7,8,9,10,11,12,13},0))"),0.037)</f>
        <v>0.037</v>
      </c>
      <c r="Q2657" s="14">
        <f>IFERROR(__xludf.DUMMYFUNCTION("""COMPUTED_VALUE"""),0.061)</f>
        <v>0.061</v>
      </c>
      <c r="R2657" s="14">
        <f>IFERROR(__xludf.DUMMYFUNCTION("""COMPUTED_VALUE"""),63.0)</f>
        <v>63</v>
      </c>
      <c r="S2657" s="14">
        <f>IFERROR(__xludf.DUMMYFUNCTION("""COMPUTED_VALUE"""),60.0)</f>
        <v>60</v>
      </c>
      <c r="T2657" s="14">
        <f>IFERROR(__xludf.DUMMYFUNCTION("""COMPUTED_VALUE"""),0.47)</f>
        <v>0.47</v>
      </c>
      <c r="U2657" s="14">
        <f>IFERROR(__xludf.DUMMYFUNCTION("""COMPUTED_VALUE"""),0.503)</f>
        <v>0.503</v>
      </c>
      <c r="V2657" s="14">
        <f>IFERROR(__xludf.DUMMYFUNCTION("""COMPUTED_VALUE"""),0.027)</f>
        <v>0.027</v>
      </c>
      <c r="W2657" s="14">
        <f>IFERROR(__xludf.DUMMYFUNCTION("""COMPUTED_VALUE"""),1.9081306E7)</f>
        <v>19081306</v>
      </c>
      <c r="X2657" s="14">
        <f>IFERROR(__xludf.DUMMYFUNCTION("""COMPUTED_VALUE"""),0.278)</f>
        <v>0.278</v>
      </c>
      <c r="Y2657" s="14" t="str">
        <f>IFERROR(__xludf.DUMMYFUNCTION("""COMPUTED_VALUE"""),"Yemen-Middle East")</f>
        <v>Yemen-Middle East</v>
      </c>
      <c r="Z2657" s="14" t="str">
        <f>IFERROR(__xludf.DUMMYFUNCTION("""COMPUTED_VALUE"""),"Middle East")</f>
        <v>Middle East</v>
      </c>
      <c r="AA2657" s="14" t="str">
        <f>IFERROR(__xludf.DUMMYFUNCTION("""COMPUTED_VALUE"""),"2003")</f>
        <v>2003</v>
      </c>
      <c r="AB2657" s="15" t="str">
        <f>IFERROR(__xludf.DUMMYFUNCTION("ARRAYFORMULA(VLOOKUP(A2657,IMPORTRANGE(""https://docs.google.com/spreadsheets/d/1BuTWp7qHGjWhqrnf-OmePP568O4A5Am9ttzvVdP67zw/edit#gid=1931367683"" ,""ENERGY!$A$2:$F$2692""), {2,3,4,5,6},0))"),"Middle East")</f>
        <v>Middle East</v>
      </c>
      <c r="AC2657" s="14" t="str">
        <f>IFERROR(__xludf.DUMMYFUNCTION("""COMPUTED_VALUE"""),"Yemen-Middle East")</f>
        <v>Yemen-Middle East</v>
      </c>
      <c r="AD2657" s="14" t="str">
        <f>IFERROR(__xludf.DUMMYFUNCTION("""COMPUTED_VALUE"""),"2003")</f>
        <v>2003</v>
      </c>
      <c r="AE2657" s="14">
        <f>IFERROR(__xludf.DUMMYFUNCTION("""COMPUTED_VALUE"""),7764.0)</f>
        <v>7764</v>
      </c>
      <c r="AF2657" s="14">
        <f>IFERROR(__xludf.DUMMYFUNCTION("""COMPUTED_VALUE"""),23058.0)</f>
        <v>23058</v>
      </c>
    </row>
    <row r="2658">
      <c r="A2658" s="12">
        <v>2657.0</v>
      </c>
      <c r="B2658" s="12" t="s">
        <v>283</v>
      </c>
      <c r="C2658" s="5" t="s">
        <v>93</v>
      </c>
      <c r="D2658" s="8"/>
      <c r="E2658" s="11">
        <v>63.0</v>
      </c>
      <c r="F2658" s="8"/>
      <c r="G2658" s="8"/>
      <c r="H2658" s="11">
        <v>0.009</v>
      </c>
      <c r="I2658" s="11">
        <v>0.075</v>
      </c>
      <c r="J2658" s="9" t="s">
        <v>65</v>
      </c>
      <c r="K2658" s="14" t="str">
        <f>IFERROR(__xludf.DUMMYFUNCTION("ARRAYFORMULA(VLOOKUP(A2658,IMPORTRANGE(""https://docs.google.com/spreadsheets/d/1BuTWp7qHGjWhqrnf-OmePP568O4A5Am9ttzvVdP67zw/edit#gid=1603210130"", ""TOURISM!$A$2:$F$2692""), {2,3,4,5,6},0))"),"Middle East")</f>
        <v>Middle East</v>
      </c>
      <c r="L2658" s="14">
        <f>IFERROR(__xludf.DUMMYFUNCTION("""COMPUTED_VALUE"""),1.39E8)</f>
        <v>139000000</v>
      </c>
      <c r="M2658" s="14" t="str">
        <f>IFERROR(__xludf.DUMMYFUNCTION("""COMPUTED_VALUE"""),"Yemen-Middle East")</f>
        <v>Yemen-Middle East</v>
      </c>
      <c r="N2658" s="14" t="str">
        <f>IFERROR(__xludf.DUMMYFUNCTION("""COMPUTED_VALUE"""),"2004")</f>
        <v>2004</v>
      </c>
      <c r="O2658" s="14">
        <f>IFERROR(__xludf.DUMMYFUNCTION("""COMPUTED_VALUE"""),1.83E8)</f>
        <v>183000000</v>
      </c>
      <c r="P2658" s="15">
        <f>IFERROR(__xludf.DUMMYFUNCTION("ARRAYFORMULA(VLOOKUP(A2658,IMPORTRANGE(""https://docs.google.com/spreadsheets/d/1BuTWp7qHGjWhqrnf-OmePP568O4A5Am9ttzvVdP67zw/edit#gid=771602874"" ,""HUMAN RESOURCES!$A$2:$M$2692""), {2,3,4,5,6,7,8,9,10,11,12,13},0))"),0.036)</f>
        <v>0.036</v>
      </c>
      <c r="Q2658" s="14">
        <f>IFERROR(__xludf.DUMMYFUNCTION("""COMPUTED_VALUE"""),0.059)</f>
        <v>0.059</v>
      </c>
      <c r="R2658" s="14">
        <f>IFERROR(__xludf.DUMMYFUNCTION("""COMPUTED_VALUE"""),63.0)</f>
        <v>63</v>
      </c>
      <c r="S2658" s="14">
        <f>IFERROR(__xludf.DUMMYFUNCTION("""COMPUTED_VALUE"""),60.0)</f>
        <v>60</v>
      </c>
      <c r="T2658" s="14">
        <f>IFERROR(__xludf.DUMMYFUNCTION("""COMPUTED_VALUE"""),0.463)</f>
        <v>0.463</v>
      </c>
      <c r="U2658" s="14">
        <f>IFERROR(__xludf.DUMMYFUNCTION("""COMPUTED_VALUE"""),0.51)</f>
        <v>0.51</v>
      </c>
      <c r="V2658" s="14">
        <f>IFERROR(__xludf.DUMMYFUNCTION("""COMPUTED_VALUE"""),0.027)</f>
        <v>0.027</v>
      </c>
      <c r="W2658" s="14">
        <f>IFERROR(__xludf.DUMMYFUNCTION("""COMPUTED_VALUE"""),1.9612696E7)</f>
        <v>19612696</v>
      </c>
      <c r="X2658" s="14">
        <f>IFERROR(__xludf.DUMMYFUNCTION("""COMPUTED_VALUE"""),0.284)</f>
        <v>0.284</v>
      </c>
      <c r="Y2658" s="14" t="str">
        <f>IFERROR(__xludf.DUMMYFUNCTION("""COMPUTED_VALUE"""),"Yemen-Middle East")</f>
        <v>Yemen-Middle East</v>
      </c>
      <c r="Z2658" s="14" t="str">
        <f>IFERROR(__xludf.DUMMYFUNCTION("""COMPUTED_VALUE"""),"Middle East")</f>
        <v>Middle East</v>
      </c>
      <c r="AA2658" s="14" t="str">
        <f>IFERROR(__xludf.DUMMYFUNCTION("""COMPUTED_VALUE"""),"2004")</f>
        <v>2004</v>
      </c>
      <c r="AB2658" s="15" t="str">
        <f>IFERROR(__xludf.DUMMYFUNCTION("ARRAYFORMULA(VLOOKUP(A2658,IMPORTRANGE(""https://docs.google.com/spreadsheets/d/1BuTWp7qHGjWhqrnf-OmePP568O4A5Am9ttzvVdP67zw/edit#gid=1931367683"" ,""ENERGY!$A$2:$F$2692""), {2,3,4,5,6},0))"),"Middle East")</f>
        <v>Middle East</v>
      </c>
      <c r="AC2658" s="14" t="str">
        <f>IFERROR(__xludf.DUMMYFUNCTION("""COMPUTED_VALUE"""),"Yemen-Middle East")</f>
        <v>Yemen-Middle East</v>
      </c>
      <c r="AD2658" s="14" t="str">
        <f>IFERROR(__xludf.DUMMYFUNCTION("""COMPUTED_VALUE"""),"2005")</f>
        <v>2005</v>
      </c>
      <c r="AE2658" s="14">
        <f>IFERROR(__xludf.DUMMYFUNCTION("""COMPUTED_VALUE"""),7208.0)</f>
        <v>7208</v>
      </c>
      <c r="AF2658" s="14">
        <f>IFERROR(__xludf.DUMMYFUNCTION("""COMPUTED_VALUE"""),22207.0)</f>
        <v>22207</v>
      </c>
    </row>
    <row r="2659">
      <c r="A2659" s="12">
        <v>2658.0</v>
      </c>
      <c r="B2659" s="12" t="s">
        <v>283</v>
      </c>
      <c r="C2659" s="5" t="s">
        <v>93</v>
      </c>
      <c r="D2659" s="11">
        <v>1.952</v>
      </c>
      <c r="E2659" s="11">
        <v>63.0</v>
      </c>
      <c r="F2659" s="8"/>
      <c r="G2659" s="11">
        <v>248.0</v>
      </c>
      <c r="H2659" s="11">
        <v>0.01</v>
      </c>
      <c r="I2659" s="11">
        <v>0.113</v>
      </c>
      <c r="J2659" s="9" t="s">
        <v>66</v>
      </c>
      <c r="K2659" s="14" t="str">
        <f>IFERROR(__xludf.DUMMYFUNCTION("ARRAYFORMULA(VLOOKUP(A2659,IMPORTRANGE(""https://docs.google.com/spreadsheets/d/1BuTWp7qHGjWhqrnf-OmePP568O4A5Am9ttzvVdP67zw/edit#gid=1603210130"", ""TOURISM!$A$2:$F$2692""), {2,3,4,5,6},0))"),"Middle East")</f>
        <v>Middle East</v>
      </c>
      <c r="L2659" s="14">
        <f>IFERROR(__xludf.DUMMYFUNCTION("""COMPUTED_VALUE"""),1.81E8)</f>
        <v>181000000</v>
      </c>
      <c r="M2659" s="14" t="str">
        <f>IFERROR(__xludf.DUMMYFUNCTION("""COMPUTED_VALUE"""),"Yemen-Middle East")</f>
        <v>Yemen-Middle East</v>
      </c>
      <c r="N2659" s="14" t="str">
        <f>IFERROR(__xludf.DUMMYFUNCTION("""COMPUTED_VALUE"""),"2005")</f>
        <v>2005</v>
      </c>
      <c r="O2659" s="14">
        <f>IFERROR(__xludf.DUMMYFUNCTION("""COMPUTED_VALUE"""),2.24E8)</f>
        <v>224000000</v>
      </c>
      <c r="P2659" s="15">
        <f>IFERROR(__xludf.DUMMYFUNCTION("ARRAYFORMULA(VLOOKUP(A2659,IMPORTRANGE(""https://docs.google.com/spreadsheets/d/1BuTWp7qHGjWhqrnf-OmePP568O4A5Am9ttzvVdP67zw/edit#gid=771602874"" ,""HUMAN RESOURCES!$A$2:$M$2692""), {2,3,4,5,6,7,8,9,10,11,12,13},0))"),0.035)</f>
        <v>0.035</v>
      </c>
      <c r="Q2659" s="14">
        <f>IFERROR(__xludf.DUMMYFUNCTION("""COMPUTED_VALUE"""),0.056)</f>
        <v>0.056</v>
      </c>
      <c r="R2659" s="14">
        <f>IFERROR(__xludf.DUMMYFUNCTION("""COMPUTED_VALUE"""),63.0)</f>
        <v>63</v>
      </c>
      <c r="S2659" s="14">
        <f>IFERROR(__xludf.DUMMYFUNCTION("""COMPUTED_VALUE"""),60.0)</f>
        <v>60</v>
      </c>
      <c r="T2659" s="14">
        <f>IFERROR(__xludf.DUMMYFUNCTION("""COMPUTED_VALUE"""),0.457)</f>
        <v>0.457</v>
      </c>
      <c r="U2659" s="14">
        <f>IFERROR(__xludf.DUMMYFUNCTION("""COMPUTED_VALUE"""),0.517)</f>
        <v>0.517</v>
      </c>
      <c r="V2659" s="14">
        <f>IFERROR(__xludf.DUMMYFUNCTION("""COMPUTED_VALUE"""),0.026)</f>
        <v>0.026</v>
      </c>
      <c r="W2659" s="14">
        <f>IFERROR(__xludf.DUMMYFUNCTION("""COMPUTED_VALUE"""),2.0139661E7)</f>
        <v>20139661</v>
      </c>
      <c r="X2659" s="14">
        <f>IFERROR(__xludf.DUMMYFUNCTION("""COMPUTED_VALUE"""),0.289)</f>
        <v>0.289</v>
      </c>
      <c r="Y2659" s="14" t="str">
        <f>IFERROR(__xludf.DUMMYFUNCTION("""COMPUTED_VALUE"""),"Yemen-Middle East")</f>
        <v>Yemen-Middle East</v>
      </c>
      <c r="Z2659" s="14" t="str">
        <f>IFERROR(__xludf.DUMMYFUNCTION("""COMPUTED_VALUE"""),"Middle East")</f>
        <v>Middle East</v>
      </c>
      <c r="AA2659" s="14" t="str">
        <f>IFERROR(__xludf.DUMMYFUNCTION("""COMPUTED_VALUE"""),"2005")</f>
        <v>2005</v>
      </c>
      <c r="AB2659" s="15" t="str">
        <f>IFERROR(__xludf.DUMMYFUNCTION("ARRAYFORMULA(VLOOKUP(A2659,IMPORTRANGE(""https://docs.google.com/spreadsheets/d/1BuTWp7qHGjWhqrnf-OmePP568O4A5Am9ttzvVdP67zw/edit#gid=1931367683"" ,""ENERGY!$A$2:$F$2692""), {2,3,4,5,6},0))"),"Middle East")</f>
        <v>Middle East</v>
      </c>
      <c r="AC2659" s="14" t="str">
        <f>IFERROR(__xludf.DUMMYFUNCTION("""COMPUTED_VALUE"""),"Yemen-Middle East")</f>
        <v>Yemen-Middle East</v>
      </c>
      <c r="AD2659" s="14" t="str">
        <f>IFERROR(__xludf.DUMMYFUNCTION("""COMPUTED_VALUE"""),"2009")</f>
        <v>2009</v>
      </c>
      <c r="AE2659" s="14">
        <f>IFERROR(__xludf.DUMMYFUNCTION("""COMPUTED_VALUE"""),7014.0)</f>
        <v>7014</v>
      </c>
      <c r="AF2659" s="14">
        <f>IFERROR(__xludf.DUMMYFUNCTION("""COMPUTED_VALUE"""),21712.0)</f>
        <v>21712</v>
      </c>
    </row>
    <row r="2660">
      <c r="A2660" s="12">
        <v>2659.0</v>
      </c>
      <c r="B2660" s="12" t="s">
        <v>283</v>
      </c>
      <c r="C2660" s="5" t="s">
        <v>93</v>
      </c>
      <c r="D2660" s="11">
        <v>0.479</v>
      </c>
      <c r="E2660" s="11">
        <v>63.0</v>
      </c>
      <c r="F2660" s="8"/>
      <c r="G2660" s="11">
        <v>248.0</v>
      </c>
      <c r="H2660" s="11">
        <v>0.012</v>
      </c>
      <c r="I2660" s="11">
        <v>0.144</v>
      </c>
      <c r="J2660" s="9" t="s">
        <v>67</v>
      </c>
      <c r="K2660" s="14" t="str">
        <f>IFERROR(__xludf.DUMMYFUNCTION("ARRAYFORMULA(VLOOKUP(A2660,IMPORTRANGE(""https://docs.google.com/spreadsheets/d/1BuTWp7qHGjWhqrnf-OmePP568O4A5Am9ttzvVdP67zw/edit#gid=1603210130"", ""TOURISM!$A$2:$F$2692""), {2,3,4,5,6},0))"),"Middle East")</f>
        <v>Middle East</v>
      </c>
      <c r="L2660" s="14">
        <f>IFERROR(__xludf.DUMMYFUNCTION("""COMPUTED_VALUE"""),1.81E8)</f>
        <v>181000000</v>
      </c>
      <c r="M2660" s="14" t="str">
        <f>IFERROR(__xludf.DUMMYFUNCTION("""COMPUTED_VALUE"""),"Yemen-Middle East")</f>
        <v>Yemen-Middle East</v>
      </c>
      <c r="N2660" s="14" t="str">
        <f>IFERROR(__xludf.DUMMYFUNCTION("""COMPUTED_VALUE"""),"2006")</f>
        <v>2006</v>
      </c>
      <c r="O2660" s="14">
        <f>IFERROR(__xludf.DUMMYFUNCTION("""COMPUTED_VALUE"""),2.25E8)</f>
        <v>225000000</v>
      </c>
      <c r="P2660" s="15">
        <f>IFERROR(__xludf.DUMMYFUNCTION("ARRAYFORMULA(VLOOKUP(A2660,IMPORTRANGE(""https://docs.google.com/spreadsheets/d/1BuTWp7qHGjWhqrnf-OmePP568O4A5Am9ttzvVdP67zw/edit#gid=771602874"" ,""HUMAN RESOURCES!$A$2:$M$2692""), {2,3,4,5,6,7,8,9,10,11,12,13},0))"),0.035)</f>
        <v>0.035</v>
      </c>
      <c r="Q2660" s="14">
        <f>IFERROR(__xludf.DUMMYFUNCTION("""COMPUTED_VALUE"""),0.054)</f>
        <v>0.054</v>
      </c>
      <c r="R2660" s="14">
        <f>IFERROR(__xludf.DUMMYFUNCTION("""COMPUTED_VALUE"""),63.0)</f>
        <v>63</v>
      </c>
      <c r="S2660" s="14">
        <f>IFERROR(__xludf.DUMMYFUNCTION("""COMPUTED_VALUE"""),60.0)</f>
        <v>60</v>
      </c>
      <c r="T2660" s="14">
        <f>IFERROR(__xludf.DUMMYFUNCTION("""COMPUTED_VALUE"""),0.449)</f>
        <v>0.449</v>
      </c>
      <c r="U2660" s="14">
        <f>IFERROR(__xludf.DUMMYFUNCTION("""COMPUTED_VALUE"""),0.524)</f>
        <v>0.524</v>
      </c>
      <c r="V2660" s="14">
        <f>IFERROR(__xludf.DUMMYFUNCTION("""COMPUTED_VALUE"""),0.026)</f>
        <v>0.026</v>
      </c>
      <c r="W2660" s="14">
        <f>IFERROR(__xludf.DUMMYFUNCTION("""COMPUTED_VALUE"""),2.0661714E7)</f>
        <v>20661714</v>
      </c>
      <c r="X2660" s="14">
        <f>IFERROR(__xludf.DUMMYFUNCTION("""COMPUTED_VALUE"""),0.295)</f>
        <v>0.295</v>
      </c>
      <c r="Y2660" s="14" t="str">
        <f>IFERROR(__xludf.DUMMYFUNCTION("""COMPUTED_VALUE"""),"Yemen-Middle East")</f>
        <v>Yemen-Middle East</v>
      </c>
      <c r="Z2660" s="14" t="str">
        <f>IFERROR(__xludf.DUMMYFUNCTION("""COMPUTED_VALUE"""),"Middle East")</f>
        <v>Middle East</v>
      </c>
      <c r="AA2660" s="14" t="str">
        <f>IFERROR(__xludf.DUMMYFUNCTION("""COMPUTED_VALUE"""),"2006")</f>
        <v>2006</v>
      </c>
      <c r="AB2660" s="15" t="str">
        <f>IFERROR(__xludf.DUMMYFUNCTION("ARRAYFORMULA(VLOOKUP(A2660,IMPORTRANGE(""https://docs.google.com/spreadsheets/d/1BuTWp7qHGjWhqrnf-OmePP568O4A5Am9ttzvVdP67zw/edit#gid=1931367683"" ,""ENERGY!$A$2:$F$2692""), {2,3,4,5,6},0))"),"Middle East")</f>
        <v>Middle East</v>
      </c>
      <c r="AC2660" s="14" t="str">
        <f>IFERROR(__xludf.DUMMYFUNCTION("""COMPUTED_VALUE"""),"Yemen-Middle East")</f>
        <v>Yemen-Middle East</v>
      </c>
      <c r="AD2660" s="14" t="str">
        <f>IFERROR(__xludf.DUMMYFUNCTION("""COMPUTED_VALUE"""),"2005")</f>
        <v>2005</v>
      </c>
      <c r="AE2660" s="14">
        <f>IFERROR(__xludf.DUMMYFUNCTION("""COMPUTED_VALUE"""),7054.0)</f>
        <v>7054</v>
      </c>
      <c r="AF2660" s="14">
        <f>IFERROR(__xludf.DUMMYFUNCTION("""COMPUTED_VALUE"""),20796.0)</f>
        <v>20796</v>
      </c>
    </row>
    <row r="2661">
      <c r="A2661" s="12">
        <v>2660.0</v>
      </c>
      <c r="B2661" s="12" t="s">
        <v>283</v>
      </c>
      <c r="C2661" s="5" t="s">
        <v>93</v>
      </c>
      <c r="D2661" s="11">
        <v>0.479</v>
      </c>
      <c r="E2661" s="11">
        <v>63.0</v>
      </c>
      <c r="F2661" s="8"/>
      <c r="G2661" s="11">
        <v>248.0</v>
      </c>
      <c r="H2661" s="11">
        <v>0.05</v>
      </c>
      <c r="I2661" s="11">
        <v>0.205</v>
      </c>
      <c r="J2661" s="9" t="s">
        <v>68</v>
      </c>
      <c r="K2661" s="14" t="str">
        <f>IFERROR(__xludf.DUMMYFUNCTION("ARRAYFORMULA(VLOOKUP(A2661,IMPORTRANGE(""https://docs.google.com/spreadsheets/d/1BuTWp7qHGjWhqrnf-OmePP568O4A5Am9ttzvVdP67zw/edit#gid=1603210130"", ""TOURISM!$A$2:$F$2692""), {2,3,4,5,6},0))"),"Middle East")</f>
        <v>Middle East</v>
      </c>
      <c r="L2661" s="14">
        <f>IFERROR(__xludf.DUMMYFUNCTION("""COMPUTED_VALUE"""),4.25E8)</f>
        <v>425000000</v>
      </c>
      <c r="M2661" s="14" t="str">
        <f>IFERROR(__xludf.DUMMYFUNCTION("""COMPUTED_VALUE"""),"Yemen-Middle East")</f>
        <v>Yemen-Middle East</v>
      </c>
      <c r="N2661" s="14" t="str">
        <f>IFERROR(__xludf.DUMMYFUNCTION("""COMPUTED_VALUE"""),"2007")</f>
        <v>2007</v>
      </c>
      <c r="O2661" s="14">
        <f>IFERROR(__xludf.DUMMYFUNCTION("""COMPUTED_VALUE"""),2.47E8)</f>
        <v>247000000</v>
      </c>
      <c r="P2661" s="15">
        <f>IFERROR(__xludf.DUMMYFUNCTION("ARRAYFORMULA(VLOOKUP(A2661,IMPORTRANGE(""https://docs.google.com/spreadsheets/d/1BuTWp7qHGjWhqrnf-OmePP568O4A5Am9ttzvVdP67zw/edit#gid=771602874"" ,""HUMAN RESOURCES!$A$2:$M$2692""), {2,3,4,5,6,7,8,9,10,11,12,13},0))"),0.034)</f>
        <v>0.034</v>
      </c>
      <c r="Q2661" s="14">
        <f>IFERROR(__xludf.DUMMYFUNCTION("""COMPUTED_VALUE"""),0.052)</f>
        <v>0.052</v>
      </c>
      <c r="R2661" s="14">
        <f>IFERROR(__xludf.DUMMYFUNCTION("""COMPUTED_VALUE"""),63.0)</f>
        <v>63</v>
      </c>
      <c r="S2661" s="14">
        <f>IFERROR(__xludf.DUMMYFUNCTION("""COMPUTED_VALUE"""),61.0)</f>
        <v>61</v>
      </c>
      <c r="T2661" s="14">
        <f>IFERROR(__xludf.DUMMYFUNCTION("""COMPUTED_VALUE"""),0.442)</f>
        <v>0.442</v>
      </c>
      <c r="U2661" s="14">
        <f>IFERROR(__xludf.DUMMYFUNCTION("""COMPUTED_VALUE"""),0.532)</f>
        <v>0.532</v>
      </c>
      <c r="V2661" s="14">
        <f>IFERROR(__xludf.DUMMYFUNCTION("""COMPUTED_VALUE"""),0.026)</f>
        <v>0.026</v>
      </c>
      <c r="W2661" s="14">
        <f>IFERROR(__xludf.DUMMYFUNCTION("""COMPUTED_VALUE"""),2.1182162E7)</f>
        <v>21182162</v>
      </c>
      <c r="X2661" s="14">
        <f>IFERROR(__xludf.DUMMYFUNCTION("""COMPUTED_VALUE"""),0.3)</f>
        <v>0.3</v>
      </c>
      <c r="Y2661" s="14" t="str">
        <f>IFERROR(__xludf.DUMMYFUNCTION("""COMPUTED_VALUE"""),"Yemen-Middle East")</f>
        <v>Yemen-Middle East</v>
      </c>
      <c r="Z2661" s="14" t="str">
        <f>IFERROR(__xludf.DUMMYFUNCTION("""COMPUTED_VALUE"""),"Middle East")</f>
        <v>Middle East</v>
      </c>
      <c r="AA2661" s="14" t="str">
        <f>IFERROR(__xludf.DUMMYFUNCTION("""COMPUTED_VALUE"""),"2007")</f>
        <v>2007</v>
      </c>
      <c r="AB2661" s="15" t="str">
        <f>IFERROR(__xludf.DUMMYFUNCTION("ARRAYFORMULA(VLOOKUP(A2661,IMPORTRANGE(""https://docs.google.com/spreadsheets/d/1BuTWp7qHGjWhqrnf-OmePP568O4A5Am9ttzvVdP67zw/edit#gid=1931367683"" ,""ENERGY!$A$2:$F$2692""), {2,3,4,5,6},0))"),"Middle East")</f>
        <v>Middle East</v>
      </c>
      <c r="AC2661" s="14" t="str">
        <f>IFERROR(__xludf.DUMMYFUNCTION("""COMPUTED_VALUE"""),"Yemen-Middle East")</f>
        <v>Yemen-Middle East</v>
      </c>
      <c r="AD2661" s="14" t="str">
        <f>IFERROR(__xludf.DUMMYFUNCTION("""COMPUTED_VALUE"""),"2011")</f>
        <v>2011</v>
      </c>
      <c r="AE2661" s="14">
        <f>IFERROR(__xludf.DUMMYFUNCTION("""COMPUTED_VALUE"""),6589.0)</f>
        <v>6589</v>
      </c>
      <c r="AF2661" s="14">
        <f>IFERROR(__xludf.DUMMYFUNCTION("""COMPUTED_VALUE"""),20044.0)</f>
        <v>20044</v>
      </c>
    </row>
    <row r="2662">
      <c r="A2662" s="12">
        <v>2661.0</v>
      </c>
      <c r="B2662" s="12" t="s">
        <v>283</v>
      </c>
      <c r="C2662" s="5" t="s">
        <v>93</v>
      </c>
      <c r="D2662" s="11">
        <v>0.478</v>
      </c>
      <c r="E2662" s="11">
        <v>13.0</v>
      </c>
      <c r="F2662" s="8"/>
      <c r="G2662" s="11">
        <v>248.0</v>
      </c>
      <c r="H2662" s="11">
        <v>0.069</v>
      </c>
      <c r="I2662" s="11">
        <v>0.297</v>
      </c>
      <c r="J2662" s="9" t="s">
        <v>69</v>
      </c>
      <c r="K2662" s="14" t="str">
        <f>IFERROR(__xludf.DUMMYFUNCTION("ARRAYFORMULA(VLOOKUP(A2662,IMPORTRANGE(""https://docs.google.com/spreadsheets/d/1BuTWp7qHGjWhqrnf-OmePP568O4A5Am9ttzvVdP67zw/edit#gid=1603210130"", ""TOURISM!$A$2:$F$2692""), {2,3,4,5,6},0))"),"Middle East")</f>
        <v>Middle East</v>
      </c>
      <c r="L2662" s="14">
        <f>IFERROR(__xludf.DUMMYFUNCTION("""COMPUTED_VALUE"""),8.86E8)</f>
        <v>886000000</v>
      </c>
      <c r="M2662" s="14" t="str">
        <f>IFERROR(__xludf.DUMMYFUNCTION("""COMPUTED_VALUE"""),"Yemen-Middle East")</f>
        <v>Yemen-Middle East</v>
      </c>
      <c r="N2662" s="14" t="str">
        <f>IFERROR(__xludf.DUMMYFUNCTION("""COMPUTED_VALUE"""),"2008")</f>
        <v>2008</v>
      </c>
      <c r="O2662" s="14">
        <f>IFERROR(__xludf.DUMMYFUNCTION("""COMPUTED_VALUE"""),2.46E8)</f>
        <v>246000000</v>
      </c>
      <c r="P2662" s="15">
        <f>IFERROR(__xludf.DUMMYFUNCTION("ARRAYFORMULA(VLOOKUP(A2662,IMPORTRANGE(""https://docs.google.com/spreadsheets/d/1BuTWp7qHGjWhqrnf-OmePP568O4A5Am9ttzvVdP67zw/edit#gid=771602874"" ,""HUMAN RESOURCES!$A$2:$M$2692""), {2,3,4,5,6,7,8,9,10,11,12,13},0))"),0.033)</f>
        <v>0.033</v>
      </c>
      <c r="Q2662" s="14">
        <f>IFERROR(__xludf.DUMMYFUNCTION("""COMPUTED_VALUE"""),0.05)</f>
        <v>0.05</v>
      </c>
      <c r="R2662" s="14">
        <f>IFERROR(__xludf.DUMMYFUNCTION("""COMPUTED_VALUE"""),63.0)</f>
        <v>63</v>
      </c>
      <c r="S2662" s="14">
        <f>IFERROR(__xludf.DUMMYFUNCTION("""COMPUTED_VALUE"""),61.0)</f>
        <v>61</v>
      </c>
      <c r="T2662" s="14">
        <f>IFERROR(__xludf.DUMMYFUNCTION("""COMPUTED_VALUE"""),0.434)</f>
        <v>0.434</v>
      </c>
      <c r="U2662" s="14">
        <f>IFERROR(__xludf.DUMMYFUNCTION("""COMPUTED_VALUE"""),0.539)</f>
        <v>0.539</v>
      </c>
      <c r="V2662" s="14">
        <f>IFERROR(__xludf.DUMMYFUNCTION("""COMPUTED_VALUE"""),0.027)</f>
        <v>0.027</v>
      </c>
      <c r="W2662" s="14">
        <f>IFERROR(__xludf.DUMMYFUNCTION("""COMPUTED_VALUE"""),2.1703571E7)</f>
        <v>21703571</v>
      </c>
      <c r="X2662" s="14">
        <f>IFERROR(__xludf.DUMMYFUNCTION("""COMPUTED_VALUE"""),0.306)</f>
        <v>0.306</v>
      </c>
      <c r="Y2662" s="14" t="str">
        <f>IFERROR(__xludf.DUMMYFUNCTION("""COMPUTED_VALUE"""),"Yemen-Middle East")</f>
        <v>Yemen-Middle East</v>
      </c>
      <c r="Z2662" s="14" t="str">
        <f>IFERROR(__xludf.DUMMYFUNCTION("""COMPUTED_VALUE"""),"Middle East")</f>
        <v>Middle East</v>
      </c>
      <c r="AA2662" s="14" t="str">
        <f>IFERROR(__xludf.DUMMYFUNCTION("""COMPUTED_VALUE"""),"2008")</f>
        <v>2008</v>
      </c>
      <c r="AB2662" s="15" t="str">
        <f>IFERROR(__xludf.DUMMYFUNCTION("ARRAYFORMULA(VLOOKUP(A2662,IMPORTRANGE(""https://docs.google.com/spreadsheets/d/1BuTWp7qHGjWhqrnf-OmePP568O4A5Am9ttzvVdP67zw/edit#gid=1931367683"" ,""ENERGY!$A$2:$F$2692""), {2,3,4,5,6},0))"),"Middle East")</f>
        <v>Middle East</v>
      </c>
      <c r="AC2662" s="14" t="str">
        <f>IFERROR(__xludf.DUMMYFUNCTION("""COMPUTED_VALUE"""),"Yemen-Middle East")</f>
        <v>Yemen-Middle East</v>
      </c>
      <c r="AD2662" s="14" t="str">
        <f>IFERROR(__xludf.DUMMYFUNCTION("""COMPUTED_VALUE"""),"2008")</f>
        <v>2008</v>
      </c>
      <c r="AE2662" s="14">
        <f>IFERROR(__xludf.DUMMYFUNCTION("""COMPUTED_VALUE"""),6186.0)</f>
        <v>6186</v>
      </c>
      <c r="AF2662" s="14">
        <f>IFERROR(__xludf.DUMMYFUNCTION("""COMPUTED_VALUE"""),18881.0)</f>
        <v>18881</v>
      </c>
    </row>
    <row r="2663">
      <c r="A2663" s="12">
        <v>2662.0</v>
      </c>
      <c r="B2663" s="12" t="s">
        <v>283</v>
      </c>
      <c r="C2663" s="5" t="s">
        <v>93</v>
      </c>
      <c r="D2663" s="11">
        <v>0.478</v>
      </c>
      <c r="E2663" s="11">
        <v>12.0</v>
      </c>
      <c r="F2663" s="8"/>
      <c r="G2663" s="11">
        <v>248.0</v>
      </c>
      <c r="H2663" s="11">
        <v>0.1</v>
      </c>
      <c r="I2663" s="11">
        <v>0.374</v>
      </c>
      <c r="J2663" s="9" t="s">
        <v>70</v>
      </c>
      <c r="K2663" s="14" t="str">
        <f>IFERROR(__xludf.DUMMYFUNCTION("ARRAYFORMULA(VLOOKUP(A2663,IMPORTRANGE(""https://docs.google.com/spreadsheets/d/1BuTWp7qHGjWhqrnf-OmePP568O4A5Am9ttzvVdP67zw/edit#gid=1603210130"", ""TOURISM!$A$2:$F$2692""), {2,3,4,5,6},0))"),"Middle East")</f>
        <v>Middle East</v>
      </c>
      <c r="L2663" s="14">
        <f>IFERROR(__xludf.DUMMYFUNCTION("""COMPUTED_VALUE"""),8.99E8)</f>
        <v>899000000</v>
      </c>
      <c r="M2663" s="14" t="str">
        <f>IFERROR(__xludf.DUMMYFUNCTION("""COMPUTED_VALUE"""),"Yemen-Middle East")</f>
        <v>Yemen-Middle East</v>
      </c>
      <c r="N2663" s="14" t="str">
        <f>IFERROR(__xludf.DUMMYFUNCTION("""COMPUTED_VALUE"""),"2009")</f>
        <v>2009</v>
      </c>
      <c r="O2663" s="14">
        <f>IFERROR(__xludf.DUMMYFUNCTION("""COMPUTED_VALUE"""),2.77E8)</f>
        <v>277000000</v>
      </c>
      <c r="P2663" s="15">
        <f>IFERROR(__xludf.DUMMYFUNCTION("ARRAYFORMULA(VLOOKUP(A2663,IMPORTRANGE(""https://docs.google.com/spreadsheets/d/1BuTWp7qHGjWhqrnf-OmePP568O4A5Am9ttzvVdP67zw/edit#gid=771602874"" ,""HUMAN RESOURCES!$A$2:$M$2692""), {2,3,4,5,6,7,8,9,10,11,12,13},0))"),0.033)</f>
        <v>0.033</v>
      </c>
      <c r="Q2663" s="14">
        <f>IFERROR(__xludf.DUMMYFUNCTION("""COMPUTED_VALUE"""),0.048)</f>
        <v>0.048</v>
      </c>
      <c r="R2663" s="14">
        <f>IFERROR(__xludf.DUMMYFUNCTION("""COMPUTED_VALUE"""),64.0)</f>
        <v>64</v>
      </c>
      <c r="S2663" s="14">
        <f>IFERROR(__xludf.DUMMYFUNCTION("""COMPUTED_VALUE"""),61.0)</f>
        <v>61</v>
      </c>
      <c r="T2663" s="14">
        <f>IFERROR(__xludf.DUMMYFUNCTION("""COMPUTED_VALUE"""),0.427)</f>
        <v>0.427</v>
      </c>
      <c r="U2663" s="14">
        <f>IFERROR(__xludf.DUMMYFUNCTION("""COMPUTED_VALUE"""),0.547)</f>
        <v>0.547</v>
      </c>
      <c r="V2663" s="14">
        <f>IFERROR(__xludf.DUMMYFUNCTION("""COMPUTED_VALUE"""),0.027)</f>
        <v>0.027</v>
      </c>
      <c r="W2663" s="14">
        <f>IFERROR(__xludf.DUMMYFUNCTION("""COMPUTED_VALUE"""),2.2229625E7)</f>
        <v>22229625</v>
      </c>
      <c r="X2663" s="14">
        <f>IFERROR(__xludf.DUMMYFUNCTION("""COMPUTED_VALUE"""),0.312)</f>
        <v>0.312</v>
      </c>
      <c r="Y2663" s="14" t="str">
        <f>IFERROR(__xludf.DUMMYFUNCTION("""COMPUTED_VALUE"""),"Yemen-Middle East")</f>
        <v>Yemen-Middle East</v>
      </c>
      <c r="Z2663" s="14" t="str">
        <f>IFERROR(__xludf.DUMMYFUNCTION("""COMPUTED_VALUE"""),"Middle East")</f>
        <v>Middle East</v>
      </c>
      <c r="AA2663" s="14" t="str">
        <f>IFERROR(__xludf.DUMMYFUNCTION("""COMPUTED_VALUE"""),"2009")</f>
        <v>2009</v>
      </c>
      <c r="AB2663" s="15" t="str">
        <f>IFERROR(__xludf.DUMMYFUNCTION("ARRAYFORMULA(VLOOKUP(A2663,IMPORTRANGE(""https://docs.google.com/spreadsheets/d/1BuTWp7qHGjWhqrnf-OmePP568O4A5Am9ttzvVdP67zw/edit#gid=1931367683"" ,""ENERGY!$A$2:$F$2692""), {2,3,4,5,6},0))"),"Middle East")</f>
        <v>Middle East</v>
      </c>
      <c r="AC2663" s="14" t="str">
        <f>IFERROR(__xludf.DUMMYFUNCTION("""COMPUTED_VALUE"""),"Yemen-Middle East")</f>
        <v>Yemen-Middle East</v>
      </c>
      <c r="AD2663" s="14" t="str">
        <f>IFERROR(__xludf.DUMMYFUNCTION("""COMPUTED_VALUE"""),"2012")</f>
        <v>2012</v>
      </c>
      <c r="AE2663" s="14">
        <f>IFERROR(__xludf.DUMMYFUNCTION("""COMPUTED_VALUE"""),5667.0)</f>
        <v>5667</v>
      </c>
      <c r="AF2663" s="14">
        <f>IFERROR(__xludf.DUMMYFUNCTION("""COMPUTED_VALUE"""),17305.0)</f>
        <v>17305</v>
      </c>
    </row>
    <row r="2664">
      <c r="A2664" s="12">
        <v>2663.0</v>
      </c>
      <c r="B2664" s="12" t="s">
        <v>283</v>
      </c>
      <c r="C2664" s="5" t="s">
        <v>93</v>
      </c>
      <c r="D2664" s="11">
        <v>0.478</v>
      </c>
      <c r="E2664" s="11">
        <v>12.0</v>
      </c>
      <c r="F2664" s="8"/>
      <c r="G2664" s="11">
        <v>248.0</v>
      </c>
      <c r="H2664" s="11">
        <v>0.124</v>
      </c>
      <c r="I2664" s="11">
        <v>0.487</v>
      </c>
      <c r="J2664" s="9" t="s">
        <v>71</v>
      </c>
      <c r="K2664" s="14" t="str">
        <f>IFERROR(__xludf.DUMMYFUNCTION("ARRAYFORMULA(VLOOKUP(A2664,IMPORTRANGE(""https://docs.google.com/spreadsheets/d/1BuTWp7qHGjWhqrnf-OmePP568O4A5Am9ttzvVdP67zw/edit#gid=1603210130"", ""TOURISM!$A$2:$F$2692""), {2,3,4,5,6},0))"),"Middle East")</f>
        <v>Middle East</v>
      </c>
      <c r="L2664" s="14">
        <f>IFERROR(__xludf.DUMMYFUNCTION("""COMPUTED_VALUE"""),1.161E9)</f>
        <v>1161000000</v>
      </c>
      <c r="M2664" s="14" t="str">
        <f>IFERROR(__xludf.DUMMYFUNCTION("""COMPUTED_VALUE"""),"Yemen-Middle East")</f>
        <v>Yemen-Middle East</v>
      </c>
      <c r="N2664" s="14" t="str">
        <f>IFERROR(__xludf.DUMMYFUNCTION("""COMPUTED_VALUE"""),"2010")</f>
        <v>2010</v>
      </c>
      <c r="O2664" s="14">
        <f>IFERROR(__xludf.DUMMYFUNCTION("""COMPUTED_VALUE"""),2.52E8)</f>
        <v>252000000</v>
      </c>
      <c r="P2664" s="15">
        <f>IFERROR(__xludf.DUMMYFUNCTION("ARRAYFORMULA(VLOOKUP(A2664,IMPORTRANGE(""https://docs.google.com/spreadsheets/d/1BuTWp7qHGjWhqrnf-OmePP568O4A5Am9ttzvVdP67zw/edit#gid=771602874"" ,""HUMAN RESOURCES!$A$2:$M$2692""), {2,3,4,5,6,7,8,9,10,11,12,13},0))"),0.032)</f>
        <v>0.032</v>
      </c>
      <c r="Q2664" s="14">
        <f>IFERROR(__xludf.DUMMYFUNCTION("""COMPUTED_VALUE"""),0.046)</f>
        <v>0.046</v>
      </c>
      <c r="R2664" s="14">
        <f>IFERROR(__xludf.DUMMYFUNCTION("""COMPUTED_VALUE"""),64.0)</f>
        <v>64</v>
      </c>
      <c r="S2664" s="14">
        <f>IFERROR(__xludf.DUMMYFUNCTION("""COMPUTED_VALUE"""),61.0)</f>
        <v>61</v>
      </c>
      <c r="T2664" s="14">
        <f>IFERROR(__xludf.DUMMYFUNCTION("""COMPUTED_VALUE"""),0.42)</f>
        <v>0.42</v>
      </c>
      <c r="U2664" s="14">
        <f>IFERROR(__xludf.DUMMYFUNCTION("""COMPUTED_VALUE"""),0.553)</f>
        <v>0.553</v>
      </c>
      <c r="V2664" s="14">
        <f>IFERROR(__xludf.DUMMYFUNCTION("""COMPUTED_VALUE"""),0.027)</f>
        <v>0.027</v>
      </c>
      <c r="W2664" s="14">
        <f>IFERROR(__xludf.DUMMYFUNCTION("""COMPUTED_VALUE"""),2.2763008E7)</f>
        <v>22763008</v>
      </c>
      <c r="X2664" s="14">
        <f>IFERROR(__xludf.DUMMYFUNCTION("""COMPUTED_VALUE"""),0.317)</f>
        <v>0.317</v>
      </c>
      <c r="Y2664" s="14" t="str">
        <f>IFERROR(__xludf.DUMMYFUNCTION("""COMPUTED_VALUE"""),"Yemen-Middle East")</f>
        <v>Yemen-Middle East</v>
      </c>
      <c r="Z2664" s="14" t="str">
        <f>IFERROR(__xludf.DUMMYFUNCTION("""COMPUTED_VALUE"""),"Middle East")</f>
        <v>Middle East</v>
      </c>
      <c r="AA2664" s="14" t="str">
        <f>IFERROR(__xludf.DUMMYFUNCTION("""COMPUTED_VALUE"""),"2010")</f>
        <v>2010</v>
      </c>
      <c r="AB2664" s="15" t="str">
        <f>IFERROR(__xludf.DUMMYFUNCTION("ARRAYFORMULA(VLOOKUP(A2664,IMPORTRANGE(""https://docs.google.com/spreadsheets/d/1BuTWp7qHGjWhqrnf-OmePP568O4A5Am9ttzvVdP67zw/edit#gid=1931367683"" ,""ENERGY!$A$2:$F$2692""), {2,3,4,5,6},0))"),"Middle East")</f>
        <v>Middle East</v>
      </c>
      <c r="AC2664" s="14" t="str">
        <f>IFERROR(__xludf.DUMMYFUNCTION("""COMPUTED_VALUE"""),"Yemen-Middle East")</f>
        <v>Yemen-Middle East</v>
      </c>
      <c r="AD2664" s="14" t="str">
        <f>IFERROR(__xludf.DUMMYFUNCTION("""COMPUTED_VALUE"""),"2011")</f>
        <v>2011</v>
      </c>
      <c r="AE2664" s="14">
        <f>IFERROR(__xludf.DUMMYFUNCTION("""COMPUTED_VALUE"""),5100.0)</f>
        <v>5100</v>
      </c>
      <c r="AF2664" s="14">
        <f>IFERROR(__xludf.DUMMYFUNCTION("""COMPUTED_VALUE"""),15764.0)</f>
        <v>15764</v>
      </c>
    </row>
    <row r="2665">
      <c r="A2665" s="12">
        <v>2664.0</v>
      </c>
      <c r="B2665" s="12" t="s">
        <v>283</v>
      </c>
      <c r="C2665" s="5" t="s">
        <v>93</v>
      </c>
      <c r="D2665" s="11">
        <v>0.327</v>
      </c>
      <c r="E2665" s="11">
        <v>12.0</v>
      </c>
      <c r="F2665" s="8"/>
      <c r="G2665" s="11">
        <v>248.0</v>
      </c>
      <c r="H2665" s="11">
        <v>0.149</v>
      </c>
      <c r="I2665" s="11">
        <v>0.501</v>
      </c>
      <c r="J2665" s="9" t="s">
        <v>72</v>
      </c>
      <c r="K2665" s="14" t="str">
        <f>IFERROR(__xludf.DUMMYFUNCTION("ARRAYFORMULA(VLOOKUP(A2665,IMPORTRANGE(""https://docs.google.com/spreadsheets/d/1BuTWp7qHGjWhqrnf-OmePP568O4A5Am9ttzvVdP67zw/edit#gid=1603210130"", ""TOURISM!$A$2:$F$2692""), {2,3,4,5,6},0))"),"Middle East")</f>
        <v>Middle East</v>
      </c>
      <c r="L2665" s="14">
        <f>IFERROR(__xludf.DUMMYFUNCTION("""COMPUTED_VALUE"""),7.8E8)</f>
        <v>780000000</v>
      </c>
      <c r="M2665" s="14" t="str">
        <f>IFERROR(__xludf.DUMMYFUNCTION("""COMPUTED_VALUE"""),"Yemen-Middle East")</f>
        <v>Yemen-Middle East</v>
      </c>
      <c r="N2665" s="14" t="str">
        <f>IFERROR(__xludf.DUMMYFUNCTION("""COMPUTED_VALUE"""),"2011")</f>
        <v>2011</v>
      </c>
      <c r="O2665" s="14">
        <f>IFERROR(__xludf.DUMMYFUNCTION("""COMPUTED_VALUE"""),2.58E8)</f>
        <v>258000000</v>
      </c>
      <c r="P2665" s="15">
        <f>IFERROR(__xludf.DUMMYFUNCTION("ARRAYFORMULA(VLOOKUP(A2665,IMPORTRANGE(""https://docs.google.com/spreadsheets/d/1BuTWp7qHGjWhqrnf-OmePP568O4A5Am9ttzvVdP67zw/edit#gid=771602874"" ,""HUMAN RESOURCES!$A$2:$M$2692""), {2,3,4,5,6,7,8,9,10,11,12,13},0))"),0.032)</f>
        <v>0.032</v>
      </c>
      <c r="Q2665" s="14">
        <f>IFERROR(__xludf.DUMMYFUNCTION("""COMPUTED_VALUE"""),0.044)</f>
        <v>0.044</v>
      </c>
      <c r="R2665" s="14">
        <f>IFERROR(__xludf.DUMMYFUNCTION("""COMPUTED_VALUE"""),64.0)</f>
        <v>64</v>
      </c>
      <c r="S2665" s="14">
        <f>IFERROR(__xludf.DUMMYFUNCTION("""COMPUTED_VALUE"""),61.0)</f>
        <v>61</v>
      </c>
      <c r="T2665" s="14">
        <f>IFERROR(__xludf.DUMMYFUNCTION("""COMPUTED_VALUE"""),0.413)</f>
        <v>0.413</v>
      </c>
      <c r="U2665" s="14">
        <f>IFERROR(__xludf.DUMMYFUNCTION("""COMPUTED_VALUE"""),0.559)</f>
        <v>0.559</v>
      </c>
      <c r="V2665" s="14">
        <f>IFERROR(__xludf.DUMMYFUNCTION("""COMPUTED_VALUE"""),0.028)</f>
        <v>0.028</v>
      </c>
      <c r="W2665" s="14">
        <f>IFERROR(__xludf.DUMMYFUNCTION("""COMPUTED_VALUE"""),2.3304206E7)</f>
        <v>23304206</v>
      </c>
      <c r="X2665" s="14">
        <f>IFERROR(__xludf.DUMMYFUNCTION("""COMPUTED_VALUE"""),0.323)</f>
        <v>0.323</v>
      </c>
      <c r="Y2665" s="14" t="str">
        <f>IFERROR(__xludf.DUMMYFUNCTION("""COMPUTED_VALUE"""),"Yemen-Middle East")</f>
        <v>Yemen-Middle East</v>
      </c>
      <c r="Z2665" s="14" t="str">
        <f>IFERROR(__xludf.DUMMYFUNCTION("""COMPUTED_VALUE"""),"Middle East")</f>
        <v>Middle East</v>
      </c>
      <c r="AA2665" s="14" t="str">
        <f>IFERROR(__xludf.DUMMYFUNCTION("""COMPUTED_VALUE"""),"2011")</f>
        <v>2011</v>
      </c>
      <c r="AB2665" s="15" t="str">
        <f>IFERROR(__xludf.DUMMYFUNCTION("ARRAYFORMULA(VLOOKUP(A2665,IMPORTRANGE(""https://docs.google.com/spreadsheets/d/1BuTWp7qHGjWhqrnf-OmePP568O4A5Am9ttzvVdP67zw/edit#gid=1931367683"" ,""ENERGY!$A$2:$F$2692""), {2,3,4,5,6},0))"),"Middle East")</f>
        <v>Middle East</v>
      </c>
      <c r="AC2665" s="14" t="str">
        <f>IFERROR(__xludf.DUMMYFUNCTION("""COMPUTED_VALUE"""),"Yemen-Middle East")</f>
        <v>Yemen-Middle East</v>
      </c>
      <c r="AD2665" s="14" t="str">
        <f>IFERROR(__xludf.DUMMYFUNCTION("""COMPUTED_VALUE"""),"2008")</f>
        <v>2008</v>
      </c>
      <c r="AE2665" s="14">
        <f>IFERROR(__xludf.DUMMYFUNCTION("""COMPUTED_VALUE"""),5265.0)</f>
        <v>5265</v>
      </c>
      <c r="AF2665" s="14">
        <f>IFERROR(__xludf.DUMMYFUNCTION("""COMPUTED_VALUE"""),16252.0)</f>
        <v>16252</v>
      </c>
    </row>
    <row r="2666">
      <c r="A2666" s="12">
        <v>2665.0</v>
      </c>
      <c r="B2666" s="12" t="s">
        <v>283</v>
      </c>
      <c r="C2666" s="5" t="s">
        <v>93</v>
      </c>
      <c r="D2666" s="11">
        <v>0.327</v>
      </c>
      <c r="E2666" s="11">
        <v>40.0</v>
      </c>
      <c r="F2666" s="11">
        <v>129.0</v>
      </c>
      <c r="G2666" s="11">
        <v>248.0</v>
      </c>
      <c r="H2666" s="11">
        <v>0.174</v>
      </c>
      <c r="I2666" s="11">
        <v>0.583</v>
      </c>
      <c r="J2666" s="9" t="s">
        <v>73</v>
      </c>
      <c r="K2666" s="14" t="str">
        <f>IFERROR(__xludf.DUMMYFUNCTION("ARRAYFORMULA(VLOOKUP(A2666,IMPORTRANGE(""https://docs.google.com/spreadsheets/d/1BuTWp7qHGjWhqrnf-OmePP568O4A5Am9ttzvVdP67zw/edit#gid=1603210130"", ""TOURISM!$A$2:$F$2692""), {2,3,4,5,6},0))"),"Middle East")</f>
        <v>Middle East</v>
      </c>
      <c r="L2666" s="14">
        <f>IFERROR(__xludf.DUMMYFUNCTION("""COMPUTED_VALUE"""),1.057E9)</f>
        <v>1057000000</v>
      </c>
      <c r="M2666" s="14" t="str">
        <f>IFERROR(__xludf.DUMMYFUNCTION("""COMPUTED_VALUE"""),"Yemen-Middle East")</f>
        <v>Yemen-Middle East</v>
      </c>
      <c r="N2666" s="14" t="str">
        <f>IFERROR(__xludf.DUMMYFUNCTION("""COMPUTED_VALUE"""),"2012")</f>
        <v>2012</v>
      </c>
      <c r="O2666" s="14"/>
      <c r="P2666" s="15">
        <f>IFERROR(__xludf.DUMMYFUNCTION("ARRAYFORMULA(VLOOKUP(A2666,IMPORTRANGE(""https://docs.google.com/spreadsheets/d/1BuTWp7qHGjWhqrnf-OmePP568O4A5Am9ttzvVdP67zw/edit#gid=771602874"" ,""HUMAN RESOURCES!$A$2:$M$2692""), {2,3,4,5,6,7,8,9,10,11,12,13},0))"),0.031)</f>
        <v>0.031</v>
      </c>
      <c r="Q2666" s="14">
        <f>IFERROR(__xludf.DUMMYFUNCTION("""COMPUTED_VALUE"""),0.042)</f>
        <v>0.042</v>
      </c>
      <c r="R2666" s="14">
        <f>IFERROR(__xludf.DUMMYFUNCTION("""COMPUTED_VALUE"""),64.0)</f>
        <v>64</v>
      </c>
      <c r="S2666" s="14">
        <f>IFERROR(__xludf.DUMMYFUNCTION("""COMPUTED_VALUE"""),62.0)</f>
        <v>62</v>
      </c>
      <c r="T2666" s="14">
        <f>IFERROR(__xludf.DUMMYFUNCTION("""COMPUTED_VALUE"""),0.407)</f>
        <v>0.407</v>
      </c>
      <c r="U2666" s="14">
        <f>IFERROR(__xludf.DUMMYFUNCTION("""COMPUTED_VALUE"""),0.565)</f>
        <v>0.565</v>
      </c>
      <c r="V2666" s="14">
        <f>IFERROR(__xludf.DUMMYFUNCTION("""COMPUTED_VALUE"""),0.028)</f>
        <v>0.028</v>
      </c>
      <c r="W2666" s="14">
        <f>IFERROR(__xludf.DUMMYFUNCTION("""COMPUTED_VALUE"""),2.3852409E7)</f>
        <v>23852409</v>
      </c>
      <c r="X2666" s="14">
        <f>IFERROR(__xludf.DUMMYFUNCTION("""COMPUTED_VALUE"""),0.329)</f>
        <v>0.329</v>
      </c>
      <c r="Y2666" s="14" t="str">
        <f>IFERROR(__xludf.DUMMYFUNCTION("""COMPUTED_VALUE"""),"Yemen-Middle East")</f>
        <v>Yemen-Middle East</v>
      </c>
      <c r="Z2666" s="14" t="str">
        <f>IFERROR(__xludf.DUMMYFUNCTION("""COMPUTED_VALUE"""),"Middle East")</f>
        <v>Middle East</v>
      </c>
      <c r="AA2666" s="14" t="str">
        <f>IFERROR(__xludf.DUMMYFUNCTION("""COMPUTED_VALUE"""),"2012")</f>
        <v>2012</v>
      </c>
      <c r="AB2666" s="15" t="str">
        <f>IFERROR(__xludf.DUMMYFUNCTION("ARRAYFORMULA(VLOOKUP(A2666,IMPORTRANGE(""https://docs.google.com/spreadsheets/d/1BuTWp7qHGjWhqrnf-OmePP568O4A5Am9ttzvVdP67zw/edit#gid=1931367683"" ,""ENERGY!$A$2:$F$2692""), {2,3,4,5,6},0))"),"Middle East")</f>
        <v>Middle East</v>
      </c>
      <c r="AC2666" s="14" t="str">
        <f>IFERROR(__xludf.DUMMYFUNCTION("""COMPUTED_VALUE"""),"Yemen-Middle East")</f>
        <v>Yemen-Middle East</v>
      </c>
      <c r="AD2666" s="14" t="str">
        <f>IFERROR(__xludf.DUMMYFUNCTION("""COMPUTED_VALUE"""),"2012")</f>
        <v>2012</v>
      </c>
      <c r="AE2666" s="14">
        <f>IFERROR(__xludf.DUMMYFUNCTION("""COMPUTED_VALUE"""),4747.0)</f>
        <v>4747</v>
      </c>
      <c r="AF2666" s="14">
        <f>IFERROR(__xludf.DUMMYFUNCTION("""COMPUTED_VALUE"""),14639.0)</f>
        <v>14639</v>
      </c>
    </row>
    <row r="2667">
      <c r="A2667" s="12">
        <v>2666.0</v>
      </c>
      <c r="B2667" s="12" t="s">
        <v>284</v>
      </c>
      <c r="C2667" s="5" t="s">
        <v>77</v>
      </c>
      <c r="D2667" s="8"/>
      <c r="E2667" s="8"/>
      <c r="F2667" s="8"/>
      <c r="G2667" s="8"/>
      <c r="H2667" s="11">
        <v>0.002</v>
      </c>
      <c r="I2667" s="11">
        <v>0.01</v>
      </c>
      <c r="J2667" s="9" t="s">
        <v>60</v>
      </c>
      <c r="K2667" s="14" t="str">
        <f>IFERROR(__xludf.DUMMYFUNCTION("ARRAYFORMULA(VLOOKUP(A2667,IMPORTRANGE(""https://docs.google.com/spreadsheets/d/1BuTWp7qHGjWhqrnf-OmePP568O4A5Am9ttzvVdP67zw/edit#gid=1603210130"", ""TOURISM!$A$2:$F$2692""), {2,3,4,5,6},0))"),"Africa")</f>
        <v>Africa</v>
      </c>
      <c r="L2667" s="14">
        <f>IFERROR(__xludf.DUMMYFUNCTION("""COMPUTED_VALUE"""),6.7E7)</f>
        <v>67000000</v>
      </c>
      <c r="M2667" s="14" t="str">
        <f>IFERROR(__xludf.DUMMYFUNCTION("""COMPUTED_VALUE"""),"Zambia-Africa")</f>
        <v>Zambia-Africa</v>
      </c>
      <c r="N2667" s="14" t="str">
        <f>IFERROR(__xludf.DUMMYFUNCTION("""COMPUTED_VALUE"""),"2000")</f>
        <v>2000</v>
      </c>
      <c r="O2667" s="14">
        <f>IFERROR(__xludf.DUMMYFUNCTION("""COMPUTED_VALUE"""),1.02E8)</f>
        <v>102000000</v>
      </c>
      <c r="P2667" s="15">
        <f>IFERROR(__xludf.DUMMYFUNCTION("ARRAYFORMULA(VLOOKUP(A2667,IMPORTRANGE(""https://docs.google.com/spreadsheets/d/1BuTWp7qHGjWhqrnf-OmePP568O4A5Am9ttzvVdP67zw/edit#gid=771602874"" ,""HUMAN RESOURCES!$A$2:$M$2692""), {2,3,4,5,6,7,8,9,10,11,12,13},0))"),0.045)</f>
        <v>0.045</v>
      </c>
      <c r="Q2667" s="14">
        <f>IFERROR(__xludf.DUMMYFUNCTION("""COMPUTED_VALUE"""),0.1)</f>
        <v>0.1</v>
      </c>
      <c r="R2667" s="14">
        <f>IFERROR(__xludf.DUMMYFUNCTION("""COMPUTED_VALUE"""),42.0)</f>
        <v>42</v>
      </c>
      <c r="S2667" s="14">
        <f>IFERROR(__xludf.DUMMYFUNCTION("""COMPUTED_VALUE"""),42.0)</f>
        <v>42</v>
      </c>
      <c r="T2667" s="14">
        <f>IFERROR(__xludf.DUMMYFUNCTION("""COMPUTED_VALUE"""),0.457)</f>
        <v>0.457</v>
      </c>
      <c r="U2667" s="14">
        <f>IFERROR(__xludf.DUMMYFUNCTION("""COMPUTED_VALUE"""),0.515)</f>
        <v>0.515</v>
      </c>
      <c r="V2667" s="14">
        <f>IFERROR(__xludf.DUMMYFUNCTION("""COMPUTED_VALUE"""),0.027)</f>
        <v>0.027</v>
      </c>
      <c r="W2667" s="14">
        <f>IFERROR(__xludf.DUMMYFUNCTION("""COMPUTED_VALUE"""),1.0100981E7)</f>
        <v>10100981</v>
      </c>
      <c r="X2667" s="14">
        <f>IFERROR(__xludf.DUMMYFUNCTION("""COMPUTED_VALUE"""),0.348)</f>
        <v>0.348</v>
      </c>
      <c r="Y2667" s="14" t="str">
        <f>IFERROR(__xludf.DUMMYFUNCTION("""COMPUTED_VALUE"""),"Zambia-Africa")</f>
        <v>Zambia-Africa</v>
      </c>
      <c r="Z2667" s="14" t="str">
        <f>IFERROR(__xludf.DUMMYFUNCTION("""COMPUTED_VALUE"""),"Africa")</f>
        <v>Africa</v>
      </c>
      <c r="AA2667" s="14" t="str">
        <f>IFERROR(__xludf.DUMMYFUNCTION("""COMPUTED_VALUE"""),"2000")</f>
        <v>2000</v>
      </c>
      <c r="AB2667" s="15" t="str">
        <f>IFERROR(__xludf.DUMMYFUNCTION("ARRAYFORMULA(VLOOKUP(A2667,IMPORTRANGE(""https://docs.google.com/spreadsheets/d/1BuTWp7qHGjWhqrnf-OmePP568O4A5Am9ttzvVdP67zw/edit#gid=1931367683"" ,""ENERGY!$A$2:$F$2692""), {2,3,4,5,6},0))"),"Africa")</f>
        <v>Africa</v>
      </c>
      <c r="AC2667" s="14" t="str">
        <f>IFERROR(__xludf.DUMMYFUNCTION("""COMPUTED_VALUE"""),"Zambia-Africa")</f>
        <v>Zambia-Africa</v>
      </c>
      <c r="AD2667" s="14" t="str">
        <f>IFERROR(__xludf.DUMMYFUNCTION("""COMPUTED_VALUE"""),"2000")</f>
        <v>2000</v>
      </c>
      <c r="AE2667" s="14"/>
      <c r="AF2667" s="14"/>
    </row>
    <row r="2668">
      <c r="A2668" s="12">
        <v>2667.0</v>
      </c>
      <c r="B2668" s="12" t="s">
        <v>284</v>
      </c>
      <c r="C2668" s="5" t="s">
        <v>77</v>
      </c>
      <c r="D2668" s="8"/>
      <c r="E2668" s="8"/>
      <c r="F2668" s="8"/>
      <c r="G2668" s="8"/>
      <c r="H2668" s="11">
        <v>0.002</v>
      </c>
      <c r="I2668" s="11">
        <v>0.012</v>
      </c>
      <c r="J2668" s="9" t="s">
        <v>62</v>
      </c>
      <c r="K2668" s="14" t="str">
        <f>IFERROR(__xludf.DUMMYFUNCTION("ARRAYFORMULA(VLOOKUP(A2668,IMPORTRANGE(""https://docs.google.com/spreadsheets/d/1BuTWp7qHGjWhqrnf-OmePP568O4A5Am9ttzvVdP67zw/edit#gid=1603210130"", ""TOURISM!$A$2:$F$2692""), {2,3,4,5,6},0))"),"Africa")</f>
        <v>Africa</v>
      </c>
      <c r="L2668" s="14">
        <f>IFERROR(__xludf.DUMMYFUNCTION("""COMPUTED_VALUE"""),8.0E7)</f>
        <v>80000000</v>
      </c>
      <c r="M2668" s="14" t="str">
        <f>IFERROR(__xludf.DUMMYFUNCTION("""COMPUTED_VALUE"""),"Zambia-Africa")</f>
        <v>Zambia-Africa</v>
      </c>
      <c r="N2668" s="14" t="str">
        <f>IFERROR(__xludf.DUMMYFUNCTION("""COMPUTED_VALUE"""),"2001")</f>
        <v>2001</v>
      </c>
      <c r="O2668" s="14">
        <f>IFERROR(__xludf.DUMMYFUNCTION("""COMPUTED_VALUE"""),1.02E8)</f>
        <v>102000000</v>
      </c>
      <c r="P2668" s="15">
        <f>IFERROR(__xludf.DUMMYFUNCTION("ARRAYFORMULA(VLOOKUP(A2668,IMPORTRANGE(""https://docs.google.com/spreadsheets/d/1BuTWp7qHGjWhqrnf-OmePP568O4A5Am9ttzvVdP67zw/edit#gid=771602874"" ,""HUMAN RESOURCES!$A$2:$M$2692""), {2,3,4,5,6,7,8,9,10,11,12,13},0))"),0.045)</f>
        <v>0.045</v>
      </c>
      <c r="Q2668" s="14">
        <f>IFERROR(__xludf.DUMMYFUNCTION("""COMPUTED_VALUE"""),0.095)</f>
        <v>0.095</v>
      </c>
      <c r="R2668" s="14">
        <f>IFERROR(__xludf.DUMMYFUNCTION("""COMPUTED_VALUE"""),43.0)</f>
        <v>43</v>
      </c>
      <c r="S2668" s="14">
        <f>IFERROR(__xludf.DUMMYFUNCTION("""COMPUTED_VALUE"""),42.0)</f>
        <v>42</v>
      </c>
      <c r="T2668" s="14">
        <f>IFERROR(__xludf.DUMMYFUNCTION("""COMPUTED_VALUE"""),0.459)</f>
        <v>0.459</v>
      </c>
      <c r="U2668" s="14">
        <f>IFERROR(__xludf.DUMMYFUNCTION("""COMPUTED_VALUE"""),0.514)</f>
        <v>0.514</v>
      </c>
      <c r="V2668" s="14">
        <f>IFERROR(__xludf.DUMMYFUNCTION("""COMPUTED_VALUE"""),0.027)</f>
        <v>0.027</v>
      </c>
      <c r="W2668" s="14">
        <f>IFERROR(__xludf.DUMMYFUNCTION("""COMPUTED_VALUE"""),1.0362137E7)</f>
        <v>10362137</v>
      </c>
      <c r="X2668" s="14">
        <f>IFERROR(__xludf.DUMMYFUNCTION("""COMPUTED_VALUE"""),0.35)</f>
        <v>0.35</v>
      </c>
      <c r="Y2668" s="14" t="str">
        <f>IFERROR(__xludf.DUMMYFUNCTION("""COMPUTED_VALUE"""),"Zambia-Africa")</f>
        <v>Zambia-Africa</v>
      </c>
      <c r="Z2668" s="14" t="str">
        <f>IFERROR(__xludf.DUMMYFUNCTION("""COMPUTED_VALUE"""),"Africa")</f>
        <v>Africa</v>
      </c>
      <c r="AA2668" s="14" t="str">
        <f>IFERROR(__xludf.DUMMYFUNCTION("""COMPUTED_VALUE"""),"2001")</f>
        <v>2001</v>
      </c>
      <c r="AB2668" s="15" t="str">
        <f>IFERROR(__xludf.DUMMYFUNCTION("ARRAYFORMULA(VLOOKUP(A2668,IMPORTRANGE(""https://docs.google.com/spreadsheets/d/1BuTWp7qHGjWhqrnf-OmePP568O4A5Am9ttzvVdP67zw/edit#gid=1931367683"" ,""ENERGY!$A$2:$F$2692""), {2,3,4,5,6},0))"),"Africa")</f>
        <v>Africa</v>
      </c>
      <c r="AC2668" s="14" t="str">
        <f>IFERROR(__xludf.DUMMYFUNCTION("""COMPUTED_VALUE"""),"Zambia-Africa")</f>
        <v>Zambia-Africa</v>
      </c>
      <c r="AD2668" s="14" t="str">
        <f>IFERROR(__xludf.DUMMYFUNCTION("""COMPUTED_VALUE"""),"2001")</f>
        <v>2001</v>
      </c>
      <c r="AE2668" s="14">
        <f>IFERROR(__xludf.DUMMYFUNCTION("""COMPUTED_VALUE"""),8462.0)</f>
        <v>8462</v>
      </c>
      <c r="AF2668" s="14"/>
    </row>
    <row r="2669">
      <c r="A2669" s="12">
        <v>2668.0</v>
      </c>
      <c r="B2669" s="12" t="s">
        <v>284</v>
      </c>
      <c r="C2669" s="5" t="s">
        <v>77</v>
      </c>
      <c r="D2669" s="8"/>
      <c r="E2669" s="8"/>
      <c r="F2669" s="8"/>
      <c r="G2669" s="8"/>
      <c r="H2669" s="11">
        <v>0.005</v>
      </c>
      <c r="I2669" s="11">
        <v>0.013</v>
      </c>
      <c r="J2669" s="9" t="s">
        <v>63</v>
      </c>
      <c r="K2669" s="14" t="str">
        <f>IFERROR(__xludf.DUMMYFUNCTION("ARRAYFORMULA(VLOOKUP(A2669,IMPORTRANGE(""https://docs.google.com/spreadsheets/d/1BuTWp7qHGjWhqrnf-OmePP568O4A5Am9ttzvVdP67zw/edit#gid=1603210130"", ""TOURISM!$A$2:$F$2692""), {2,3,4,5,6},0))"),"Africa")</f>
        <v>Africa</v>
      </c>
      <c r="L2669" s="14">
        <f>IFERROR(__xludf.DUMMYFUNCTION("""COMPUTED_VALUE"""),6.4E7)</f>
        <v>64000000</v>
      </c>
      <c r="M2669" s="14" t="str">
        <f>IFERROR(__xludf.DUMMYFUNCTION("""COMPUTED_VALUE"""),"Zambia-Africa")</f>
        <v>Zambia-Africa</v>
      </c>
      <c r="N2669" s="14" t="str">
        <f>IFERROR(__xludf.DUMMYFUNCTION("""COMPUTED_VALUE"""),"2002")</f>
        <v>2002</v>
      </c>
      <c r="O2669" s="14">
        <f>IFERROR(__xludf.DUMMYFUNCTION("""COMPUTED_VALUE"""),1.09E8)</f>
        <v>109000000</v>
      </c>
      <c r="P2669" s="15">
        <f>IFERROR(__xludf.DUMMYFUNCTION("ARRAYFORMULA(VLOOKUP(A2669,IMPORTRANGE(""https://docs.google.com/spreadsheets/d/1BuTWp7qHGjWhqrnf-OmePP568O4A5Am9ttzvVdP67zw/edit#gid=771602874"" ,""HUMAN RESOURCES!$A$2:$M$2692""), {2,3,4,5,6,7,8,9,10,11,12,13},0))"),0.045)</f>
        <v>0.045</v>
      </c>
      <c r="Q2669" s="14">
        <f>IFERROR(__xludf.DUMMYFUNCTION("""COMPUTED_VALUE"""),0.091)</f>
        <v>0.091</v>
      </c>
      <c r="R2669" s="14">
        <f>IFERROR(__xludf.DUMMYFUNCTION("""COMPUTED_VALUE"""),44.0)</f>
        <v>44</v>
      </c>
      <c r="S2669" s="14">
        <f>IFERROR(__xludf.DUMMYFUNCTION("""COMPUTED_VALUE"""),43.0)</f>
        <v>43</v>
      </c>
      <c r="T2669" s="14">
        <f>IFERROR(__xludf.DUMMYFUNCTION("""COMPUTED_VALUE"""),0.461)</f>
        <v>0.461</v>
      </c>
      <c r="U2669" s="14">
        <f>IFERROR(__xludf.DUMMYFUNCTION("""COMPUTED_VALUE"""),0.511)</f>
        <v>0.511</v>
      </c>
      <c r="V2669" s="14">
        <f>IFERROR(__xludf.DUMMYFUNCTION("""COMPUTED_VALUE"""),0.027)</f>
        <v>0.027</v>
      </c>
      <c r="W2669" s="14">
        <f>IFERROR(__xludf.DUMMYFUNCTION("""COMPUTED_VALUE"""),1.0625423E7)</f>
        <v>10625423</v>
      </c>
      <c r="X2669" s="14">
        <f>IFERROR(__xludf.DUMMYFUNCTION("""COMPUTED_VALUE"""),0.354)</f>
        <v>0.354</v>
      </c>
      <c r="Y2669" s="14" t="str">
        <f>IFERROR(__xludf.DUMMYFUNCTION("""COMPUTED_VALUE"""),"Zambia-Africa")</f>
        <v>Zambia-Africa</v>
      </c>
      <c r="Z2669" s="14" t="str">
        <f>IFERROR(__xludf.DUMMYFUNCTION("""COMPUTED_VALUE"""),"Africa")</f>
        <v>Africa</v>
      </c>
      <c r="AA2669" s="14" t="str">
        <f>IFERROR(__xludf.DUMMYFUNCTION("""COMPUTED_VALUE"""),"2002")</f>
        <v>2002</v>
      </c>
      <c r="AB2669" s="15" t="str">
        <f>IFERROR(__xludf.DUMMYFUNCTION("ARRAYFORMULA(VLOOKUP(A2669,IMPORTRANGE(""https://docs.google.com/spreadsheets/d/1BuTWp7qHGjWhqrnf-OmePP568O4A5Am9ttzvVdP67zw/edit#gid=1931367683"" ,""ENERGY!$A$2:$F$2692""), {2,3,4,5,6},0))"),"Africa")</f>
        <v>Africa</v>
      </c>
      <c r="AC2669" s="14" t="str">
        <f>IFERROR(__xludf.DUMMYFUNCTION("""COMPUTED_VALUE"""),"Zambia-Africa")</f>
        <v>Zambia-Africa</v>
      </c>
      <c r="AD2669" s="14" t="str">
        <f>IFERROR(__xludf.DUMMYFUNCTION("""COMPUTED_VALUE"""),"2002")</f>
        <v>2002</v>
      </c>
      <c r="AE2669" s="14">
        <f>IFERROR(__xludf.DUMMYFUNCTION("""COMPUTED_VALUE"""),8054.0)</f>
        <v>8054</v>
      </c>
      <c r="AF2669" s="14">
        <f>IFERROR(__xludf.DUMMYFUNCTION("""COMPUTED_VALUE"""),2428.0)</f>
        <v>2428</v>
      </c>
    </row>
    <row r="2670">
      <c r="A2670" s="12">
        <v>2669.0</v>
      </c>
      <c r="B2670" s="12" t="s">
        <v>284</v>
      </c>
      <c r="C2670" s="5" t="s">
        <v>77</v>
      </c>
      <c r="D2670" s="8"/>
      <c r="E2670" s="11">
        <v>35.0</v>
      </c>
      <c r="F2670" s="8"/>
      <c r="G2670" s="8"/>
      <c r="H2670" s="11">
        <v>0.01</v>
      </c>
      <c r="I2670" s="11">
        <v>0.022</v>
      </c>
      <c r="J2670" s="9" t="s">
        <v>64</v>
      </c>
      <c r="K2670" s="14" t="str">
        <f>IFERROR(__xludf.DUMMYFUNCTION("ARRAYFORMULA(VLOOKUP(A2670,IMPORTRANGE(""https://docs.google.com/spreadsheets/d/1BuTWp7qHGjWhqrnf-OmePP568O4A5Am9ttzvVdP67zw/edit#gid=1603210130"", ""TOURISM!$A$2:$F$2692""), {2,3,4,5,6},0))"),"Africa")</f>
        <v>Africa</v>
      </c>
      <c r="L2670" s="14">
        <f>IFERROR(__xludf.DUMMYFUNCTION("""COMPUTED_VALUE"""),8.8E7)</f>
        <v>88000000</v>
      </c>
      <c r="M2670" s="14" t="str">
        <f>IFERROR(__xludf.DUMMYFUNCTION("""COMPUTED_VALUE"""),"Zambia-Africa")</f>
        <v>Zambia-Africa</v>
      </c>
      <c r="N2670" s="14" t="str">
        <f>IFERROR(__xludf.DUMMYFUNCTION("""COMPUTED_VALUE"""),"2003")</f>
        <v>2003</v>
      </c>
      <c r="O2670" s="14">
        <f>IFERROR(__xludf.DUMMYFUNCTION("""COMPUTED_VALUE"""),1.15E8)</f>
        <v>115000000</v>
      </c>
      <c r="P2670" s="15">
        <f>IFERROR(__xludf.DUMMYFUNCTION("ARRAYFORMULA(VLOOKUP(A2670,IMPORTRANGE(""https://docs.google.com/spreadsheets/d/1BuTWp7qHGjWhqrnf-OmePP568O4A5Am9ttzvVdP67zw/edit#gid=771602874"" ,""HUMAN RESOURCES!$A$2:$M$2692""), {2,3,4,5,6,7,8,9,10,11,12,13},0))"),0.045)</f>
        <v>0.045</v>
      </c>
      <c r="Q2670" s="14">
        <f>IFERROR(__xludf.DUMMYFUNCTION("""COMPUTED_VALUE"""),0.086)</f>
        <v>0.086</v>
      </c>
      <c r="R2670" s="14">
        <f>IFERROR(__xludf.DUMMYFUNCTION("""COMPUTED_VALUE"""),45.0)</f>
        <v>45</v>
      </c>
      <c r="S2670" s="14">
        <f>IFERROR(__xludf.DUMMYFUNCTION("""COMPUTED_VALUE"""),44.0)</f>
        <v>44</v>
      </c>
      <c r="T2670" s="14">
        <f>IFERROR(__xludf.DUMMYFUNCTION("""COMPUTED_VALUE"""),0.464)</f>
        <v>0.464</v>
      </c>
      <c r="U2670" s="14">
        <f>IFERROR(__xludf.DUMMYFUNCTION("""COMPUTED_VALUE"""),0.509)</f>
        <v>0.509</v>
      </c>
      <c r="V2670" s="14">
        <f>IFERROR(__xludf.DUMMYFUNCTION("""COMPUTED_VALUE"""),0.027)</f>
        <v>0.027</v>
      </c>
      <c r="W2670" s="14">
        <f>IFERROR(__xludf.DUMMYFUNCTION("""COMPUTED_VALUE"""),1.0894519E7)</f>
        <v>10894519</v>
      </c>
      <c r="X2670" s="14">
        <f>IFERROR(__xludf.DUMMYFUNCTION("""COMPUTED_VALUE"""),0.358)</f>
        <v>0.358</v>
      </c>
      <c r="Y2670" s="14" t="str">
        <f>IFERROR(__xludf.DUMMYFUNCTION("""COMPUTED_VALUE"""),"Zambia-Africa")</f>
        <v>Zambia-Africa</v>
      </c>
      <c r="Z2670" s="14" t="str">
        <f>IFERROR(__xludf.DUMMYFUNCTION("""COMPUTED_VALUE"""),"Africa")</f>
        <v>Africa</v>
      </c>
      <c r="AA2670" s="14" t="str">
        <f>IFERROR(__xludf.DUMMYFUNCTION("""COMPUTED_VALUE"""),"2003")</f>
        <v>2003</v>
      </c>
      <c r="AB2670" s="15" t="str">
        <f>IFERROR(__xludf.DUMMYFUNCTION("ARRAYFORMULA(VLOOKUP(A2670,IMPORTRANGE(""https://docs.google.com/spreadsheets/d/1BuTWp7qHGjWhqrnf-OmePP568O4A5Am9ttzvVdP67zw/edit#gid=1931367683"" ,""ENERGY!$A$2:$F$2692""), {2,3,4,5,6},0))"),"Africa")</f>
        <v>Africa</v>
      </c>
      <c r="AC2670" s="14" t="str">
        <f>IFERROR(__xludf.DUMMYFUNCTION("""COMPUTED_VALUE"""),"Zambia-Africa")</f>
        <v>Zambia-Africa</v>
      </c>
      <c r="AD2670" s="14" t="str">
        <f>IFERROR(__xludf.DUMMYFUNCTION("""COMPUTED_VALUE"""),"2003")</f>
        <v>2003</v>
      </c>
      <c r="AE2670" s="14">
        <f>IFERROR(__xludf.DUMMYFUNCTION("""COMPUTED_VALUE"""),7842.0)</f>
        <v>7842</v>
      </c>
      <c r="AF2670" s="14">
        <f>IFERROR(__xludf.DUMMYFUNCTION("""COMPUTED_VALUE"""),2156.0)</f>
        <v>2156</v>
      </c>
    </row>
    <row r="2671">
      <c r="A2671" s="12">
        <v>2670.0</v>
      </c>
      <c r="B2671" s="12" t="s">
        <v>284</v>
      </c>
      <c r="C2671" s="5" t="s">
        <v>77</v>
      </c>
      <c r="D2671" s="8"/>
      <c r="E2671" s="11">
        <v>35.0</v>
      </c>
      <c r="F2671" s="8"/>
      <c r="G2671" s="8"/>
      <c r="H2671" s="11">
        <v>0.02</v>
      </c>
      <c r="I2671" s="11">
        <v>0.042</v>
      </c>
      <c r="J2671" s="9" t="s">
        <v>65</v>
      </c>
      <c r="K2671" s="14" t="str">
        <f>IFERROR(__xludf.DUMMYFUNCTION("ARRAYFORMULA(VLOOKUP(A2671,IMPORTRANGE(""https://docs.google.com/spreadsheets/d/1BuTWp7qHGjWhqrnf-OmePP568O4A5Am9ttzvVdP67zw/edit#gid=1603210130"", ""TOURISM!$A$2:$F$2692""), {2,3,4,5,6},0))"),"Africa")</f>
        <v>Africa</v>
      </c>
      <c r="L2671" s="14">
        <f>IFERROR(__xludf.DUMMYFUNCTION("""COMPUTED_VALUE"""),9.2E7)</f>
        <v>92000000</v>
      </c>
      <c r="M2671" s="14" t="str">
        <f>IFERROR(__xludf.DUMMYFUNCTION("""COMPUTED_VALUE"""),"Zambia-Africa")</f>
        <v>Zambia-Africa</v>
      </c>
      <c r="N2671" s="14" t="str">
        <f>IFERROR(__xludf.DUMMYFUNCTION("""COMPUTED_VALUE"""),"2004")</f>
        <v>2004</v>
      </c>
      <c r="O2671" s="14">
        <f>IFERROR(__xludf.DUMMYFUNCTION("""COMPUTED_VALUE"""),8.6E7)</f>
        <v>86000000</v>
      </c>
      <c r="P2671" s="15">
        <f>IFERROR(__xludf.DUMMYFUNCTION("ARRAYFORMULA(VLOOKUP(A2671,IMPORTRANGE(""https://docs.google.com/spreadsheets/d/1BuTWp7qHGjWhqrnf-OmePP568O4A5Am9ttzvVdP67zw/edit#gid=771602874"" ,""HUMAN RESOURCES!$A$2:$M$2692""), {2,3,4,5,6,7,8,9,10,11,12,13},0))"),0.044)</f>
        <v>0.044</v>
      </c>
      <c r="Q2671" s="14">
        <f>IFERROR(__xludf.DUMMYFUNCTION("""COMPUTED_VALUE"""),0.081)</f>
        <v>0.081</v>
      </c>
      <c r="R2671" s="14">
        <f>IFERROR(__xludf.DUMMYFUNCTION("""COMPUTED_VALUE"""),46.0)</f>
        <v>46</v>
      </c>
      <c r="S2671" s="14">
        <f>IFERROR(__xludf.DUMMYFUNCTION("""COMPUTED_VALUE"""),45.0)</f>
        <v>45</v>
      </c>
      <c r="T2671" s="14">
        <f>IFERROR(__xludf.DUMMYFUNCTION("""COMPUTED_VALUE"""),0.466)</f>
        <v>0.466</v>
      </c>
      <c r="U2671" s="14">
        <f>IFERROR(__xludf.DUMMYFUNCTION("""COMPUTED_VALUE"""),0.507)</f>
        <v>0.507</v>
      </c>
      <c r="V2671" s="14">
        <f>IFERROR(__xludf.DUMMYFUNCTION("""COMPUTED_VALUE"""),0.027)</f>
        <v>0.027</v>
      </c>
      <c r="W2671" s="14">
        <f>IFERROR(__xludf.DUMMYFUNCTION("""COMPUTED_VALUE"""),1.117465E7)</f>
        <v>11174650</v>
      </c>
      <c r="X2671" s="14">
        <f>IFERROR(__xludf.DUMMYFUNCTION("""COMPUTED_VALUE"""),0.362)</f>
        <v>0.362</v>
      </c>
      <c r="Y2671" s="14" t="str">
        <f>IFERROR(__xludf.DUMMYFUNCTION("""COMPUTED_VALUE"""),"Zambia-Africa")</f>
        <v>Zambia-Africa</v>
      </c>
      <c r="Z2671" s="14" t="str">
        <f>IFERROR(__xludf.DUMMYFUNCTION("""COMPUTED_VALUE"""),"Africa")</f>
        <v>Africa</v>
      </c>
      <c r="AA2671" s="14" t="str">
        <f>IFERROR(__xludf.DUMMYFUNCTION("""COMPUTED_VALUE"""),"2004")</f>
        <v>2004</v>
      </c>
      <c r="AB2671" s="15" t="str">
        <f>IFERROR(__xludf.DUMMYFUNCTION("ARRAYFORMULA(VLOOKUP(A2671,IMPORTRANGE(""https://docs.google.com/spreadsheets/d/1BuTWp7qHGjWhqrnf-OmePP568O4A5Am9ttzvVdP67zw/edit#gid=1931367683"" ,""ENERGY!$A$2:$F$2692""), {2,3,4,5,6},0))"),"Africa")</f>
        <v>Africa</v>
      </c>
      <c r="AC2671" s="14" t="str">
        <f>IFERROR(__xludf.DUMMYFUNCTION("""COMPUTED_VALUE"""),"Zambia-Africa")</f>
        <v>Zambia-Africa</v>
      </c>
      <c r="AD2671" s="14" t="str">
        <f>IFERROR(__xludf.DUMMYFUNCTION("""COMPUTED_VALUE"""),"2005")</f>
        <v>2005</v>
      </c>
      <c r="AE2671" s="14">
        <f>IFERROR(__xludf.DUMMYFUNCTION("""COMPUTED_VALUE"""),7641.0)</f>
        <v>7641</v>
      </c>
      <c r="AF2671" s="14">
        <f>IFERROR(__xludf.DUMMYFUNCTION("""COMPUTED_VALUE"""),1845.0)</f>
        <v>1845</v>
      </c>
    </row>
    <row r="2672">
      <c r="A2672" s="12">
        <v>2671.0</v>
      </c>
      <c r="B2672" s="12" t="s">
        <v>284</v>
      </c>
      <c r="C2672" s="5" t="s">
        <v>77</v>
      </c>
      <c r="D2672" s="11">
        <v>0.154</v>
      </c>
      <c r="E2672" s="11">
        <v>35.0</v>
      </c>
      <c r="F2672" s="8"/>
      <c r="G2672" s="11">
        <v>183.0</v>
      </c>
      <c r="H2672" s="11">
        <v>0.029</v>
      </c>
      <c r="I2672" s="11">
        <v>0.083</v>
      </c>
      <c r="J2672" s="9" t="s">
        <v>66</v>
      </c>
      <c r="K2672" s="14" t="str">
        <f>IFERROR(__xludf.DUMMYFUNCTION("ARRAYFORMULA(VLOOKUP(A2672,IMPORTRANGE(""https://docs.google.com/spreadsheets/d/1BuTWp7qHGjWhqrnf-OmePP568O4A5Am9ttzvVdP67zw/edit#gid=1603210130"", ""TOURISM!$A$2:$F$2692""), {2,3,4,5,6},0))"),"Africa")</f>
        <v>Africa</v>
      </c>
      <c r="L2672" s="14">
        <f>IFERROR(__xludf.DUMMYFUNCTION("""COMPUTED_VALUE"""),9.8E7)</f>
        <v>98000000</v>
      </c>
      <c r="M2672" s="14" t="str">
        <f>IFERROR(__xludf.DUMMYFUNCTION("""COMPUTED_VALUE"""),"Zambia-Africa")</f>
        <v>Zambia-Africa</v>
      </c>
      <c r="N2672" s="14" t="str">
        <f>IFERROR(__xludf.DUMMYFUNCTION("""COMPUTED_VALUE"""),"2005")</f>
        <v>2005</v>
      </c>
      <c r="O2672" s="14">
        <f>IFERROR(__xludf.DUMMYFUNCTION("""COMPUTED_VALUE"""),8.8E7)</f>
        <v>88000000</v>
      </c>
      <c r="P2672" s="15">
        <f>IFERROR(__xludf.DUMMYFUNCTION("ARRAYFORMULA(VLOOKUP(A2672,IMPORTRANGE(""https://docs.google.com/spreadsheets/d/1BuTWp7qHGjWhqrnf-OmePP568O4A5Am9ttzvVdP67zw/edit#gid=771602874"" ,""HUMAN RESOURCES!$A$2:$M$2692""), {2,3,4,5,6,7,8,9,10,11,12,13},0))"),0.044)</f>
        <v>0.044</v>
      </c>
      <c r="Q2672" s="14">
        <f>IFERROR(__xludf.DUMMYFUNCTION("""COMPUTED_VALUE"""),0.076)</f>
        <v>0.076</v>
      </c>
      <c r="R2672" s="14">
        <f>IFERROR(__xludf.DUMMYFUNCTION("""COMPUTED_VALUE"""),48.0)</f>
        <v>48</v>
      </c>
      <c r="S2672" s="14">
        <f>IFERROR(__xludf.DUMMYFUNCTION("""COMPUTED_VALUE"""),47.0)</f>
        <v>47</v>
      </c>
      <c r="T2672" s="14">
        <f>IFERROR(__xludf.DUMMYFUNCTION("""COMPUTED_VALUE"""),0.467)</f>
        <v>0.467</v>
      </c>
      <c r="U2672" s="14">
        <f>IFERROR(__xludf.DUMMYFUNCTION("""COMPUTED_VALUE"""),0.506)</f>
        <v>0.506</v>
      </c>
      <c r="V2672" s="14">
        <f>IFERROR(__xludf.DUMMYFUNCTION("""COMPUTED_VALUE"""),0.027)</f>
        <v>0.027</v>
      </c>
      <c r="W2672" s="14">
        <f>IFERROR(__xludf.DUMMYFUNCTION("""COMPUTED_VALUE"""),1.1470022E7)</f>
        <v>11470022</v>
      </c>
      <c r="X2672" s="14">
        <f>IFERROR(__xludf.DUMMYFUNCTION("""COMPUTED_VALUE"""),0.366)</f>
        <v>0.366</v>
      </c>
      <c r="Y2672" s="14" t="str">
        <f>IFERROR(__xludf.DUMMYFUNCTION("""COMPUTED_VALUE"""),"Zambia-Africa")</f>
        <v>Zambia-Africa</v>
      </c>
      <c r="Z2672" s="14" t="str">
        <f>IFERROR(__xludf.DUMMYFUNCTION("""COMPUTED_VALUE"""),"Africa")</f>
        <v>Africa</v>
      </c>
      <c r="AA2672" s="14" t="str">
        <f>IFERROR(__xludf.DUMMYFUNCTION("""COMPUTED_VALUE"""),"2005")</f>
        <v>2005</v>
      </c>
      <c r="AB2672" s="15" t="str">
        <f>IFERROR(__xludf.DUMMYFUNCTION("ARRAYFORMULA(VLOOKUP(A2672,IMPORTRANGE(""https://docs.google.com/spreadsheets/d/1BuTWp7qHGjWhqrnf-OmePP568O4A5Am9ttzvVdP67zw/edit#gid=1931367683"" ,""ENERGY!$A$2:$F$2692""), {2,3,4,5,6},0))"),"Africa")</f>
        <v>Africa</v>
      </c>
      <c r="AC2672" s="14" t="str">
        <f>IFERROR(__xludf.DUMMYFUNCTION("""COMPUTED_VALUE"""),"Zambia-Africa")</f>
        <v>Zambia-Africa</v>
      </c>
      <c r="AD2672" s="14" t="str">
        <f>IFERROR(__xludf.DUMMYFUNCTION("""COMPUTED_VALUE"""),"2009")</f>
        <v>2009</v>
      </c>
      <c r="AE2672" s="14">
        <f>IFERROR(__xludf.DUMMYFUNCTION("""COMPUTED_VALUE"""),7399.0)</f>
        <v>7399</v>
      </c>
      <c r="AF2672" s="14">
        <f>IFERROR(__xludf.DUMMYFUNCTION("""COMPUTED_VALUE"""),1654.0)</f>
        <v>1654</v>
      </c>
    </row>
    <row r="2673">
      <c r="A2673" s="12">
        <v>2672.0</v>
      </c>
      <c r="B2673" s="12" t="s">
        <v>284</v>
      </c>
      <c r="C2673" s="5" t="s">
        <v>77</v>
      </c>
      <c r="D2673" s="11">
        <v>0.154</v>
      </c>
      <c r="E2673" s="11">
        <v>35.0</v>
      </c>
      <c r="F2673" s="8"/>
      <c r="G2673" s="11">
        <v>183.0</v>
      </c>
      <c r="H2673" s="11">
        <v>0.042</v>
      </c>
      <c r="I2673" s="11">
        <v>0.141</v>
      </c>
      <c r="J2673" s="9" t="s">
        <v>67</v>
      </c>
      <c r="K2673" s="14" t="str">
        <f>IFERROR(__xludf.DUMMYFUNCTION("ARRAYFORMULA(VLOOKUP(A2673,IMPORTRANGE(""https://docs.google.com/spreadsheets/d/1BuTWp7qHGjWhqrnf-OmePP568O4A5Am9ttzvVdP67zw/edit#gid=1603210130"", ""TOURISM!$A$2:$F$2692""), {2,3,4,5,6},0))"),"Africa")</f>
        <v>Africa</v>
      </c>
      <c r="L2673" s="14">
        <f>IFERROR(__xludf.DUMMYFUNCTION("""COMPUTED_VALUE"""),1.1E8)</f>
        <v>110000000</v>
      </c>
      <c r="M2673" s="14" t="str">
        <f>IFERROR(__xludf.DUMMYFUNCTION("""COMPUTED_VALUE"""),"Zambia-Africa")</f>
        <v>Zambia-Africa</v>
      </c>
      <c r="N2673" s="14" t="str">
        <f>IFERROR(__xludf.DUMMYFUNCTION("""COMPUTED_VALUE"""),"2006")</f>
        <v>2006</v>
      </c>
      <c r="O2673" s="14">
        <f>IFERROR(__xludf.DUMMYFUNCTION("""COMPUTED_VALUE"""),9.7E7)</f>
        <v>97000000</v>
      </c>
      <c r="P2673" s="15">
        <f>IFERROR(__xludf.DUMMYFUNCTION("ARRAYFORMULA(VLOOKUP(A2673,IMPORTRANGE(""https://docs.google.com/spreadsheets/d/1BuTWp7qHGjWhqrnf-OmePP568O4A5Am9ttzvVdP67zw/edit#gid=771602874"" ,""HUMAN RESOURCES!$A$2:$M$2692""), {2,3,4,5,6,7,8,9,10,11,12,13},0))"),0.044)</f>
        <v>0.044</v>
      </c>
      <c r="Q2673" s="14">
        <f>IFERROR(__xludf.DUMMYFUNCTION("""COMPUTED_VALUE"""),0.073)</f>
        <v>0.073</v>
      </c>
      <c r="R2673" s="14">
        <f>IFERROR(__xludf.DUMMYFUNCTION("""COMPUTED_VALUE"""),49.0)</f>
        <v>49</v>
      </c>
      <c r="S2673" s="14">
        <f>IFERROR(__xludf.DUMMYFUNCTION("""COMPUTED_VALUE"""),48.0)</f>
        <v>48</v>
      </c>
      <c r="T2673" s="14">
        <f>IFERROR(__xludf.DUMMYFUNCTION("""COMPUTED_VALUE"""),0.468)</f>
        <v>0.468</v>
      </c>
      <c r="U2673" s="14">
        <f>IFERROR(__xludf.DUMMYFUNCTION("""COMPUTED_VALUE"""),0.505)</f>
        <v>0.505</v>
      </c>
      <c r="V2673" s="14">
        <f>IFERROR(__xludf.DUMMYFUNCTION("""COMPUTED_VALUE"""),0.027)</f>
        <v>0.027</v>
      </c>
      <c r="W2673" s="14">
        <f>IFERROR(__xludf.DUMMYFUNCTION("""COMPUTED_VALUE"""),1.1781612E7)</f>
        <v>11781612</v>
      </c>
      <c r="X2673" s="14">
        <f>IFERROR(__xludf.DUMMYFUNCTION("""COMPUTED_VALUE"""),0.37)</f>
        <v>0.37</v>
      </c>
      <c r="Y2673" s="14" t="str">
        <f>IFERROR(__xludf.DUMMYFUNCTION("""COMPUTED_VALUE"""),"Zambia-Africa")</f>
        <v>Zambia-Africa</v>
      </c>
      <c r="Z2673" s="14" t="str">
        <f>IFERROR(__xludf.DUMMYFUNCTION("""COMPUTED_VALUE"""),"Africa")</f>
        <v>Africa</v>
      </c>
      <c r="AA2673" s="14" t="str">
        <f>IFERROR(__xludf.DUMMYFUNCTION("""COMPUTED_VALUE"""),"2006")</f>
        <v>2006</v>
      </c>
      <c r="AB2673" s="15" t="str">
        <f>IFERROR(__xludf.DUMMYFUNCTION("ARRAYFORMULA(VLOOKUP(A2673,IMPORTRANGE(""https://docs.google.com/spreadsheets/d/1BuTWp7qHGjWhqrnf-OmePP568O4A5Am9ttzvVdP67zw/edit#gid=1931367683"" ,""ENERGY!$A$2:$F$2692""), {2,3,4,5,6},0))"),"Africa")</f>
        <v>Africa</v>
      </c>
      <c r="AC2673" s="14" t="str">
        <f>IFERROR(__xludf.DUMMYFUNCTION("""COMPUTED_VALUE"""),"Zambia-Africa")</f>
        <v>Zambia-Africa</v>
      </c>
      <c r="AD2673" s="14" t="str">
        <f>IFERROR(__xludf.DUMMYFUNCTION("""COMPUTED_VALUE"""),"2005")</f>
        <v>2005</v>
      </c>
      <c r="AE2673" s="14">
        <f>IFERROR(__xludf.DUMMYFUNCTION("""COMPUTED_VALUE"""),7396.0)</f>
        <v>7396</v>
      </c>
      <c r="AF2673" s="14">
        <f>IFERROR(__xludf.DUMMYFUNCTION("""COMPUTED_VALUE"""),2226.0)</f>
        <v>2226</v>
      </c>
    </row>
    <row r="2674">
      <c r="A2674" s="12">
        <v>2673.0</v>
      </c>
      <c r="B2674" s="12" t="s">
        <v>284</v>
      </c>
      <c r="C2674" s="5" t="s">
        <v>77</v>
      </c>
      <c r="D2674" s="11">
        <v>0.15</v>
      </c>
      <c r="E2674" s="11">
        <v>33.0</v>
      </c>
      <c r="F2674" s="8"/>
      <c r="G2674" s="11">
        <v>183.0</v>
      </c>
      <c r="H2674" s="11">
        <v>0.049</v>
      </c>
      <c r="I2674" s="11">
        <v>0.218</v>
      </c>
      <c r="J2674" s="9" t="s">
        <v>68</v>
      </c>
      <c r="K2674" s="14" t="str">
        <f>IFERROR(__xludf.DUMMYFUNCTION("ARRAYFORMULA(VLOOKUP(A2674,IMPORTRANGE(""https://docs.google.com/spreadsheets/d/1BuTWp7qHGjWhqrnf-OmePP568O4A5Am9ttzvVdP67zw/edit#gid=1603210130"", ""TOURISM!$A$2:$F$2692""), {2,3,4,5,6},0))"),"Africa")</f>
        <v>Africa</v>
      </c>
      <c r="L2674" s="14">
        <f>IFERROR(__xludf.DUMMYFUNCTION("""COMPUTED_VALUE"""),1.38E8)</f>
        <v>138000000</v>
      </c>
      <c r="M2674" s="14" t="str">
        <f>IFERROR(__xludf.DUMMYFUNCTION("""COMPUTED_VALUE"""),"Zambia-Africa")</f>
        <v>Zambia-Africa</v>
      </c>
      <c r="N2674" s="14" t="str">
        <f>IFERROR(__xludf.DUMMYFUNCTION("""COMPUTED_VALUE"""),"2007")</f>
        <v>2007</v>
      </c>
      <c r="O2674" s="14">
        <f>IFERROR(__xludf.DUMMYFUNCTION("""COMPUTED_VALUE"""),9.8E7)</f>
        <v>98000000</v>
      </c>
      <c r="P2674" s="15">
        <f>IFERROR(__xludf.DUMMYFUNCTION("ARRAYFORMULA(VLOOKUP(A2674,IMPORTRANGE(""https://docs.google.com/spreadsheets/d/1BuTWp7qHGjWhqrnf-OmePP568O4A5Am9ttzvVdP67zw/edit#gid=771602874"" ,""HUMAN RESOURCES!$A$2:$M$2692""), {2,3,4,5,6,7,8,9,10,11,12,13},0))"),0.044)</f>
        <v>0.044</v>
      </c>
      <c r="Q2674" s="14">
        <f>IFERROR(__xludf.DUMMYFUNCTION("""COMPUTED_VALUE"""),0.07)</f>
        <v>0.07</v>
      </c>
      <c r="R2674" s="14">
        <f>IFERROR(__xludf.DUMMYFUNCTION("""COMPUTED_VALUE"""),51.0)</f>
        <v>51</v>
      </c>
      <c r="S2674" s="14">
        <f>IFERROR(__xludf.DUMMYFUNCTION("""COMPUTED_VALUE"""),49.0)</f>
        <v>49</v>
      </c>
      <c r="T2674" s="14">
        <f>IFERROR(__xludf.DUMMYFUNCTION("""COMPUTED_VALUE"""),0.469)</f>
        <v>0.469</v>
      </c>
      <c r="U2674" s="14">
        <f>IFERROR(__xludf.DUMMYFUNCTION("""COMPUTED_VALUE"""),0.504)</f>
        <v>0.504</v>
      </c>
      <c r="V2674" s="14">
        <f>IFERROR(__xludf.DUMMYFUNCTION("""COMPUTED_VALUE"""),0.027)</f>
        <v>0.027</v>
      </c>
      <c r="W2674" s="14">
        <f>IFERROR(__xludf.DUMMYFUNCTION("""COMPUTED_VALUE"""),1.210962E7)</f>
        <v>12109620</v>
      </c>
      <c r="X2674" s="14">
        <f>IFERROR(__xludf.DUMMYFUNCTION("""COMPUTED_VALUE"""),0.375)</f>
        <v>0.375</v>
      </c>
      <c r="Y2674" s="14" t="str">
        <f>IFERROR(__xludf.DUMMYFUNCTION("""COMPUTED_VALUE"""),"Zambia-Africa")</f>
        <v>Zambia-Africa</v>
      </c>
      <c r="Z2674" s="14" t="str">
        <f>IFERROR(__xludf.DUMMYFUNCTION("""COMPUTED_VALUE"""),"Africa")</f>
        <v>Africa</v>
      </c>
      <c r="AA2674" s="14" t="str">
        <f>IFERROR(__xludf.DUMMYFUNCTION("""COMPUTED_VALUE"""),"2007")</f>
        <v>2007</v>
      </c>
      <c r="AB2674" s="15" t="str">
        <f>IFERROR(__xludf.DUMMYFUNCTION("ARRAYFORMULA(VLOOKUP(A2674,IMPORTRANGE(""https://docs.google.com/spreadsheets/d/1BuTWp7qHGjWhqrnf-OmePP568O4A5Am9ttzvVdP67zw/edit#gid=1931367683"" ,""ENERGY!$A$2:$F$2692""), {2,3,4,5,6},0))"),"Africa")</f>
        <v>Africa</v>
      </c>
      <c r="AC2674" s="14" t="str">
        <f>IFERROR(__xludf.DUMMYFUNCTION("""COMPUTED_VALUE"""),"Zambia-Africa")</f>
        <v>Zambia-Africa</v>
      </c>
      <c r="AD2674" s="14" t="str">
        <f>IFERROR(__xludf.DUMMYFUNCTION("""COMPUTED_VALUE"""),"2011")</f>
        <v>2011</v>
      </c>
      <c r="AE2674" s="14">
        <f>IFERROR(__xludf.DUMMYFUNCTION("""COMPUTED_VALUE"""),7213.0)</f>
        <v>7213</v>
      </c>
      <c r="AF2674" s="14">
        <f>IFERROR(__xludf.DUMMYFUNCTION("""COMPUTED_VALUE"""),2274.0)</f>
        <v>2274</v>
      </c>
    </row>
    <row r="2675">
      <c r="A2675" s="12">
        <v>2674.0</v>
      </c>
      <c r="B2675" s="12" t="s">
        <v>284</v>
      </c>
      <c r="C2675" s="5" t="s">
        <v>77</v>
      </c>
      <c r="D2675" s="11">
        <v>0.15</v>
      </c>
      <c r="E2675" s="11">
        <v>18.0</v>
      </c>
      <c r="F2675" s="8"/>
      <c r="G2675" s="11">
        <v>183.0</v>
      </c>
      <c r="H2675" s="11">
        <v>0.056</v>
      </c>
      <c r="I2675" s="11">
        <v>0.284</v>
      </c>
      <c r="J2675" s="9" t="s">
        <v>69</v>
      </c>
      <c r="K2675" s="14" t="str">
        <f>IFERROR(__xludf.DUMMYFUNCTION("ARRAYFORMULA(VLOOKUP(A2675,IMPORTRANGE(""https://docs.google.com/spreadsheets/d/1BuTWp7qHGjWhqrnf-OmePP568O4A5Am9ttzvVdP67zw/edit#gid=1603210130"", ""TOURISM!$A$2:$F$2692""), {2,3,4,5,6},0))"),"Africa")</f>
        <v>Africa</v>
      </c>
      <c r="L2675" s="14">
        <f>IFERROR(__xludf.DUMMYFUNCTION("""COMPUTED_VALUE"""),1.48E8)</f>
        <v>148000000</v>
      </c>
      <c r="M2675" s="14" t="str">
        <f>IFERROR(__xludf.DUMMYFUNCTION("""COMPUTED_VALUE"""),"Zambia-Africa")</f>
        <v>Zambia-Africa</v>
      </c>
      <c r="N2675" s="14" t="str">
        <f>IFERROR(__xludf.DUMMYFUNCTION("""COMPUTED_VALUE"""),"2008")</f>
        <v>2008</v>
      </c>
      <c r="O2675" s="14">
        <f>IFERROR(__xludf.DUMMYFUNCTION("""COMPUTED_VALUE"""),1.07E8)</f>
        <v>107000000</v>
      </c>
      <c r="P2675" s="15">
        <f>IFERROR(__xludf.DUMMYFUNCTION("ARRAYFORMULA(VLOOKUP(A2675,IMPORTRANGE(""https://docs.google.com/spreadsheets/d/1BuTWp7qHGjWhqrnf-OmePP568O4A5Am9ttzvVdP67zw/edit#gid=771602874"" ,""HUMAN RESOURCES!$A$2:$M$2692""), {2,3,4,5,6,7,8,9,10,11,12,13},0))"),0.043)</f>
        <v>0.043</v>
      </c>
      <c r="Q2675" s="14">
        <f>IFERROR(__xludf.DUMMYFUNCTION("""COMPUTED_VALUE"""),0.067)</f>
        <v>0.067</v>
      </c>
      <c r="R2675" s="14">
        <f>IFERROR(__xludf.DUMMYFUNCTION("""COMPUTED_VALUE"""),52.0)</f>
        <v>52</v>
      </c>
      <c r="S2675" s="14">
        <f>IFERROR(__xludf.DUMMYFUNCTION("""COMPUTED_VALUE"""),51.0)</f>
        <v>51</v>
      </c>
      <c r="T2675" s="14">
        <f>IFERROR(__xludf.DUMMYFUNCTION("""COMPUTED_VALUE"""),0.47)</f>
        <v>0.47</v>
      </c>
      <c r="U2675" s="14">
        <f>IFERROR(__xludf.DUMMYFUNCTION("""COMPUTED_VALUE"""),0.504)</f>
        <v>0.504</v>
      </c>
      <c r="V2675" s="14">
        <f>IFERROR(__xludf.DUMMYFUNCTION("""COMPUTED_VALUE"""),0.027)</f>
        <v>0.027</v>
      </c>
      <c r="W2675" s="14">
        <f>IFERROR(__xludf.DUMMYFUNCTION("""COMPUTED_VALUE"""),1.2456527E7)</f>
        <v>12456527</v>
      </c>
      <c r="X2675" s="14">
        <f>IFERROR(__xludf.DUMMYFUNCTION("""COMPUTED_VALUE"""),0.379)</f>
        <v>0.379</v>
      </c>
      <c r="Y2675" s="14" t="str">
        <f>IFERROR(__xludf.DUMMYFUNCTION("""COMPUTED_VALUE"""),"Zambia-Africa")</f>
        <v>Zambia-Africa</v>
      </c>
      <c r="Z2675" s="14" t="str">
        <f>IFERROR(__xludf.DUMMYFUNCTION("""COMPUTED_VALUE"""),"Africa")</f>
        <v>Africa</v>
      </c>
      <c r="AA2675" s="14" t="str">
        <f>IFERROR(__xludf.DUMMYFUNCTION("""COMPUTED_VALUE"""),"2008")</f>
        <v>2008</v>
      </c>
      <c r="AB2675" s="15" t="str">
        <f>IFERROR(__xludf.DUMMYFUNCTION("ARRAYFORMULA(VLOOKUP(A2675,IMPORTRANGE(""https://docs.google.com/spreadsheets/d/1BuTWp7qHGjWhqrnf-OmePP568O4A5Am9ttzvVdP67zw/edit#gid=1931367683"" ,""ENERGY!$A$2:$F$2692""), {2,3,4,5,6},0))"),"Africa")</f>
        <v>Africa</v>
      </c>
      <c r="AC2675" s="14" t="str">
        <f>IFERROR(__xludf.DUMMYFUNCTION("""COMPUTED_VALUE"""),"Zambia-Africa")</f>
        <v>Zambia-Africa</v>
      </c>
      <c r="AD2675" s="14" t="str">
        <f>IFERROR(__xludf.DUMMYFUNCTION("""COMPUTED_VALUE"""),"2008")</f>
        <v>2008</v>
      </c>
      <c r="AE2675" s="14">
        <f>IFERROR(__xludf.DUMMYFUNCTION("""COMPUTED_VALUE"""),7005.0)</f>
        <v>7005</v>
      </c>
      <c r="AF2675" s="14">
        <f>IFERROR(__xludf.DUMMYFUNCTION("""COMPUTED_VALUE"""),2131.0)</f>
        <v>2131</v>
      </c>
    </row>
    <row r="2676">
      <c r="A2676" s="12">
        <v>2675.0</v>
      </c>
      <c r="B2676" s="12" t="s">
        <v>284</v>
      </c>
      <c r="C2676" s="5" t="s">
        <v>77</v>
      </c>
      <c r="D2676" s="11">
        <v>0.15</v>
      </c>
      <c r="E2676" s="11">
        <v>18.0</v>
      </c>
      <c r="F2676" s="8"/>
      <c r="G2676" s="11">
        <v>183.0</v>
      </c>
      <c r="H2676" s="11">
        <v>0.063</v>
      </c>
      <c r="I2676" s="11">
        <v>0.344</v>
      </c>
      <c r="J2676" s="9" t="s">
        <v>70</v>
      </c>
      <c r="K2676" s="14" t="str">
        <f>IFERROR(__xludf.DUMMYFUNCTION("ARRAYFORMULA(VLOOKUP(A2676,IMPORTRANGE(""https://docs.google.com/spreadsheets/d/1BuTWp7qHGjWhqrnf-OmePP568O4A5Am9ttzvVdP67zw/edit#gid=1603210130"", ""TOURISM!$A$2:$F$2692""), {2,3,4,5,6},0))"),"Africa")</f>
        <v>Africa</v>
      </c>
      <c r="L2676" s="14">
        <f>IFERROR(__xludf.DUMMYFUNCTION("""COMPUTED_VALUE"""),9.8E7)</f>
        <v>98000000</v>
      </c>
      <c r="M2676" s="14" t="str">
        <f>IFERROR(__xludf.DUMMYFUNCTION("""COMPUTED_VALUE"""),"Zambia-Africa")</f>
        <v>Zambia-Africa</v>
      </c>
      <c r="N2676" s="14" t="str">
        <f>IFERROR(__xludf.DUMMYFUNCTION("""COMPUTED_VALUE"""),"2009")</f>
        <v>2009</v>
      </c>
      <c r="O2676" s="14">
        <f>IFERROR(__xludf.DUMMYFUNCTION("""COMPUTED_VALUE"""),8.3E7)</f>
        <v>83000000</v>
      </c>
      <c r="P2676" s="15">
        <f>IFERROR(__xludf.DUMMYFUNCTION("ARRAYFORMULA(VLOOKUP(A2676,IMPORTRANGE(""https://docs.google.com/spreadsheets/d/1BuTWp7qHGjWhqrnf-OmePP568O4A5Am9ttzvVdP67zw/edit#gid=771602874"" ,""HUMAN RESOURCES!$A$2:$M$2692""), {2,3,4,5,6,7,8,9,10,11,12,13},0))"),0.043)</f>
        <v>0.043</v>
      </c>
      <c r="Q2676" s="14">
        <f>IFERROR(__xludf.DUMMYFUNCTION("""COMPUTED_VALUE"""),0.065)</f>
        <v>0.065</v>
      </c>
      <c r="R2676" s="14">
        <f>IFERROR(__xludf.DUMMYFUNCTION("""COMPUTED_VALUE"""),54.0)</f>
        <v>54</v>
      </c>
      <c r="S2676" s="14">
        <f>IFERROR(__xludf.DUMMYFUNCTION("""COMPUTED_VALUE"""),52.0)</f>
        <v>52</v>
      </c>
      <c r="T2676" s="14">
        <f>IFERROR(__xludf.DUMMYFUNCTION("""COMPUTED_VALUE"""),0.47)</f>
        <v>0.47</v>
      </c>
      <c r="U2676" s="14">
        <f>IFERROR(__xludf.DUMMYFUNCTION("""COMPUTED_VALUE"""),0.504)</f>
        <v>0.504</v>
      </c>
      <c r="V2676" s="14">
        <f>IFERROR(__xludf.DUMMYFUNCTION("""COMPUTED_VALUE"""),0.027)</f>
        <v>0.027</v>
      </c>
      <c r="W2676" s="14">
        <f>IFERROR(__xludf.DUMMYFUNCTION("""COMPUTED_VALUE"""),1.2825031E7)</f>
        <v>12825031</v>
      </c>
      <c r="X2676" s="14">
        <f>IFERROR(__xludf.DUMMYFUNCTION("""COMPUTED_VALUE"""),0.383)</f>
        <v>0.383</v>
      </c>
      <c r="Y2676" s="14" t="str">
        <f>IFERROR(__xludf.DUMMYFUNCTION("""COMPUTED_VALUE"""),"Zambia-Africa")</f>
        <v>Zambia-Africa</v>
      </c>
      <c r="Z2676" s="14" t="str">
        <f>IFERROR(__xludf.DUMMYFUNCTION("""COMPUTED_VALUE"""),"Africa")</f>
        <v>Africa</v>
      </c>
      <c r="AA2676" s="14" t="str">
        <f>IFERROR(__xludf.DUMMYFUNCTION("""COMPUTED_VALUE"""),"2009")</f>
        <v>2009</v>
      </c>
      <c r="AB2676" s="15" t="str">
        <f>IFERROR(__xludf.DUMMYFUNCTION("ARRAYFORMULA(VLOOKUP(A2676,IMPORTRANGE(""https://docs.google.com/spreadsheets/d/1BuTWp7qHGjWhqrnf-OmePP568O4A5Am9ttzvVdP67zw/edit#gid=1931367683"" ,""ENERGY!$A$2:$F$2692""), {2,3,4,5,6},0))"),"Africa")</f>
        <v>Africa</v>
      </c>
      <c r="AC2676" s="14" t="str">
        <f>IFERROR(__xludf.DUMMYFUNCTION("""COMPUTED_VALUE"""),"Zambia-Africa")</f>
        <v>Zambia-Africa</v>
      </c>
      <c r="AD2676" s="14" t="str">
        <f>IFERROR(__xludf.DUMMYFUNCTION("""COMPUTED_VALUE"""),"2012")</f>
        <v>2012</v>
      </c>
      <c r="AE2676" s="14">
        <f>IFERROR(__xludf.DUMMYFUNCTION("""COMPUTED_VALUE"""),6828.0)</f>
        <v>6828</v>
      </c>
      <c r="AF2676" s="14">
        <f>IFERROR(__xludf.DUMMYFUNCTION("""COMPUTED_VALUE"""),2101.0)</f>
        <v>2101</v>
      </c>
    </row>
    <row r="2677">
      <c r="A2677" s="12">
        <v>2676.0</v>
      </c>
      <c r="B2677" s="12" t="s">
        <v>284</v>
      </c>
      <c r="C2677" s="5" t="s">
        <v>77</v>
      </c>
      <c r="D2677" s="11">
        <v>0.143</v>
      </c>
      <c r="E2677" s="11">
        <v>18.0</v>
      </c>
      <c r="F2677" s="8"/>
      <c r="G2677" s="11">
        <v>183.0</v>
      </c>
      <c r="H2677" s="11">
        <v>0.1</v>
      </c>
      <c r="I2677" s="11">
        <v>0.412</v>
      </c>
      <c r="J2677" s="9" t="s">
        <v>71</v>
      </c>
      <c r="K2677" s="14" t="str">
        <f>IFERROR(__xludf.DUMMYFUNCTION("ARRAYFORMULA(VLOOKUP(A2677,IMPORTRANGE(""https://docs.google.com/spreadsheets/d/1BuTWp7qHGjWhqrnf-OmePP568O4A5Am9ttzvVdP67zw/edit#gid=1603210130"", ""TOURISM!$A$2:$F$2692""), {2,3,4,5,6},0))"),"Africa")</f>
        <v>Africa</v>
      </c>
      <c r="L2677" s="14">
        <f>IFERROR(__xludf.DUMMYFUNCTION("""COMPUTED_VALUE"""),1.25E8)</f>
        <v>125000000</v>
      </c>
      <c r="M2677" s="14" t="str">
        <f>IFERROR(__xludf.DUMMYFUNCTION("""COMPUTED_VALUE"""),"Zambia-Africa")</f>
        <v>Zambia-Africa</v>
      </c>
      <c r="N2677" s="14" t="str">
        <f>IFERROR(__xludf.DUMMYFUNCTION("""COMPUTED_VALUE"""),"2010")</f>
        <v>2010</v>
      </c>
      <c r="O2677" s="14">
        <f>IFERROR(__xludf.DUMMYFUNCTION("""COMPUTED_VALUE"""),1.28E8)</f>
        <v>128000000</v>
      </c>
      <c r="P2677" s="15">
        <f>IFERROR(__xludf.DUMMYFUNCTION("ARRAYFORMULA(VLOOKUP(A2677,IMPORTRANGE(""https://docs.google.com/spreadsheets/d/1BuTWp7qHGjWhqrnf-OmePP568O4A5Am9ttzvVdP67zw/edit#gid=771602874"" ,""HUMAN RESOURCES!$A$2:$M$2692""), {2,3,4,5,6,7,8,9,10,11,12,13},0))"),0.043)</f>
        <v>0.043</v>
      </c>
      <c r="Q2677" s="14">
        <f>IFERROR(__xludf.DUMMYFUNCTION("""COMPUTED_VALUE"""),0.064)</f>
        <v>0.064</v>
      </c>
      <c r="R2677" s="14">
        <f>IFERROR(__xludf.DUMMYFUNCTION("""COMPUTED_VALUE"""),56.0)</f>
        <v>56</v>
      </c>
      <c r="S2677" s="14">
        <f>IFERROR(__xludf.DUMMYFUNCTION("""COMPUTED_VALUE"""),53.0)</f>
        <v>53</v>
      </c>
      <c r="T2677" s="14">
        <f>IFERROR(__xludf.DUMMYFUNCTION("""COMPUTED_VALUE"""),0.469)</f>
        <v>0.469</v>
      </c>
      <c r="U2677" s="14">
        <f>IFERROR(__xludf.DUMMYFUNCTION("""COMPUTED_VALUE"""),0.504)</f>
        <v>0.504</v>
      </c>
      <c r="V2677" s="14">
        <f>IFERROR(__xludf.DUMMYFUNCTION("""COMPUTED_VALUE"""),0.027)</f>
        <v>0.027</v>
      </c>
      <c r="W2677" s="14">
        <f>IFERROR(__xludf.DUMMYFUNCTION("""COMPUTED_VALUE"""),1.3216985E7)</f>
        <v>13216985</v>
      </c>
      <c r="X2677" s="14">
        <f>IFERROR(__xludf.DUMMYFUNCTION("""COMPUTED_VALUE"""),0.387)</f>
        <v>0.387</v>
      </c>
      <c r="Y2677" s="14" t="str">
        <f>IFERROR(__xludf.DUMMYFUNCTION("""COMPUTED_VALUE"""),"Zambia-Africa")</f>
        <v>Zambia-Africa</v>
      </c>
      <c r="Z2677" s="14" t="str">
        <f>IFERROR(__xludf.DUMMYFUNCTION("""COMPUTED_VALUE"""),"Africa")</f>
        <v>Africa</v>
      </c>
      <c r="AA2677" s="14" t="str">
        <f>IFERROR(__xludf.DUMMYFUNCTION("""COMPUTED_VALUE"""),"2010")</f>
        <v>2010</v>
      </c>
      <c r="AB2677" s="15" t="str">
        <f>IFERROR(__xludf.DUMMYFUNCTION("ARRAYFORMULA(VLOOKUP(A2677,IMPORTRANGE(""https://docs.google.com/spreadsheets/d/1BuTWp7qHGjWhqrnf-OmePP568O4A5Am9ttzvVdP67zw/edit#gid=1931367683"" ,""ENERGY!$A$2:$F$2692""), {2,3,4,5,6},0))"),"Africa")</f>
        <v>Africa</v>
      </c>
      <c r="AC2677" s="14" t="str">
        <f>IFERROR(__xludf.DUMMYFUNCTION("""COMPUTED_VALUE"""),"Zambia-Africa")</f>
        <v>Zambia-Africa</v>
      </c>
      <c r="AD2677" s="14" t="str">
        <f>IFERROR(__xludf.DUMMYFUNCTION("""COMPUTED_VALUE"""),"2011")</f>
        <v>2011</v>
      </c>
      <c r="AE2677" s="14">
        <f>IFERROR(__xludf.DUMMYFUNCTION("""COMPUTED_VALUE"""),6633.0)</f>
        <v>6633</v>
      </c>
      <c r="AF2677" s="14">
        <f>IFERROR(__xludf.DUMMYFUNCTION("""COMPUTED_VALUE"""),1969.0)</f>
        <v>1969</v>
      </c>
    </row>
    <row r="2678">
      <c r="A2678" s="12">
        <v>2677.0</v>
      </c>
      <c r="B2678" s="12" t="s">
        <v>284</v>
      </c>
      <c r="C2678" s="5" t="s">
        <v>77</v>
      </c>
      <c r="D2678" s="11">
        <v>0.144</v>
      </c>
      <c r="E2678" s="11">
        <v>18.0</v>
      </c>
      <c r="F2678" s="8"/>
      <c r="G2678" s="11">
        <v>183.0</v>
      </c>
      <c r="H2678" s="11">
        <v>0.115</v>
      </c>
      <c r="I2678" s="11">
        <v>0.599</v>
      </c>
      <c r="J2678" s="9" t="s">
        <v>72</v>
      </c>
      <c r="K2678" s="14" t="str">
        <f>IFERROR(__xludf.DUMMYFUNCTION("ARRAYFORMULA(VLOOKUP(A2678,IMPORTRANGE(""https://docs.google.com/spreadsheets/d/1BuTWp7qHGjWhqrnf-OmePP568O4A5Am9ttzvVdP67zw/edit#gid=1603210130"", ""TOURISM!$A$2:$F$2692""), {2,3,4,5,6},0))"),"Africa")</f>
        <v>Africa</v>
      </c>
      <c r="L2678" s="14">
        <f>IFERROR(__xludf.DUMMYFUNCTION("""COMPUTED_VALUE"""),1.46E8)</f>
        <v>146000000</v>
      </c>
      <c r="M2678" s="14" t="str">
        <f>IFERROR(__xludf.DUMMYFUNCTION("""COMPUTED_VALUE"""),"Zambia-Africa")</f>
        <v>Zambia-Africa</v>
      </c>
      <c r="N2678" s="14" t="str">
        <f>IFERROR(__xludf.DUMMYFUNCTION("""COMPUTED_VALUE"""),"2011")</f>
        <v>2011</v>
      </c>
      <c r="O2678" s="14">
        <f>IFERROR(__xludf.DUMMYFUNCTION("""COMPUTED_VALUE"""),1.4E8)</f>
        <v>140000000</v>
      </c>
      <c r="P2678" s="15">
        <f>IFERROR(__xludf.DUMMYFUNCTION("ARRAYFORMULA(VLOOKUP(A2678,IMPORTRANGE(""https://docs.google.com/spreadsheets/d/1BuTWp7qHGjWhqrnf-OmePP568O4A5Am9ttzvVdP67zw/edit#gid=771602874"" ,""HUMAN RESOURCES!$A$2:$M$2692""), {2,3,4,5,6,7,8,9,10,11,12,13},0))"),0.043)</f>
        <v>0.043</v>
      </c>
      <c r="Q2678" s="14">
        <f>IFERROR(__xludf.DUMMYFUNCTION("""COMPUTED_VALUE"""),0.059)</f>
        <v>0.059</v>
      </c>
      <c r="R2678" s="14">
        <f>IFERROR(__xludf.DUMMYFUNCTION("""COMPUTED_VALUE"""),57.0)</f>
        <v>57</v>
      </c>
      <c r="S2678" s="14">
        <f>IFERROR(__xludf.DUMMYFUNCTION("""COMPUTED_VALUE"""),54.0)</f>
        <v>54</v>
      </c>
      <c r="T2678" s="14">
        <f>IFERROR(__xludf.DUMMYFUNCTION("""COMPUTED_VALUE"""),0.468)</f>
        <v>0.468</v>
      </c>
      <c r="U2678" s="14">
        <f>IFERROR(__xludf.DUMMYFUNCTION("""COMPUTED_VALUE"""),0.505)</f>
        <v>0.505</v>
      </c>
      <c r="V2678" s="14">
        <f>IFERROR(__xludf.DUMMYFUNCTION("""COMPUTED_VALUE"""),0.026)</f>
        <v>0.026</v>
      </c>
      <c r="W2678" s="14">
        <f>IFERROR(__xludf.DUMMYFUNCTION("""COMPUTED_VALUE"""),1.3633796E7)</f>
        <v>13633796</v>
      </c>
      <c r="X2678" s="14">
        <f>IFERROR(__xludf.DUMMYFUNCTION("""COMPUTED_VALUE"""),0.392)</f>
        <v>0.392</v>
      </c>
      <c r="Y2678" s="14" t="str">
        <f>IFERROR(__xludf.DUMMYFUNCTION("""COMPUTED_VALUE"""),"Zambia-Africa")</f>
        <v>Zambia-Africa</v>
      </c>
      <c r="Z2678" s="14" t="str">
        <f>IFERROR(__xludf.DUMMYFUNCTION("""COMPUTED_VALUE"""),"Africa")</f>
        <v>Africa</v>
      </c>
      <c r="AA2678" s="14" t="str">
        <f>IFERROR(__xludf.DUMMYFUNCTION("""COMPUTED_VALUE"""),"2011")</f>
        <v>2011</v>
      </c>
      <c r="AB2678" s="15" t="str">
        <f>IFERROR(__xludf.DUMMYFUNCTION("ARRAYFORMULA(VLOOKUP(A2678,IMPORTRANGE(""https://docs.google.com/spreadsheets/d/1BuTWp7qHGjWhqrnf-OmePP568O4A5Am9ttzvVdP67zw/edit#gid=1931367683"" ,""ENERGY!$A$2:$F$2692""), {2,3,4,5,6},0))"),"Africa")</f>
        <v>Africa</v>
      </c>
      <c r="AC2678" s="14" t="str">
        <f>IFERROR(__xludf.DUMMYFUNCTION("""COMPUTED_VALUE"""),"Zambia-Africa")</f>
        <v>Zambia-Africa</v>
      </c>
      <c r="AD2678" s="14" t="str">
        <f>IFERROR(__xludf.DUMMYFUNCTION("""COMPUTED_VALUE"""),"2008")</f>
        <v>2008</v>
      </c>
      <c r="AE2678" s="14">
        <f>IFERROR(__xludf.DUMMYFUNCTION("""COMPUTED_VALUE"""),6430.0)</f>
        <v>6430</v>
      </c>
      <c r="AF2678" s="14">
        <f>IFERROR(__xludf.DUMMYFUNCTION("""COMPUTED_VALUE"""),1907.0)</f>
        <v>1907</v>
      </c>
    </row>
    <row r="2679">
      <c r="A2679" s="12">
        <v>2678.0</v>
      </c>
      <c r="B2679" s="12" t="s">
        <v>284</v>
      </c>
      <c r="C2679" s="5" t="s">
        <v>77</v>
      </c>
      <c r="D2679" s="11">
        <v>0.151</v>
      </c>
      <c r="E2679" s="11">
        <v>17.0</v>
      </c>
      <c r="F2679" s="11">
        <v>90.0</v>
      </c>
      <c r="G2679" s="11">
        <v>183.0</v>
      </c>
      <c r="H2679" s="11">
        <v>0.135</v>
      </c>
      <c r="I2679" s="11">
        <v>0.748</v>
      </c>
      <c r="J2679" s="9" t="s">
        <v>73</v>
      </c>
      <c r="K2679" s="14" t="str">
        <f>IFERROR(__xludf.DUMMYFUNCTION("ARRAYFORMULA(VLOOKUP(A2679,IMPORTRANGE(""https://docs.google.com/spreadsheets/d/1BuTWp7qHGjWhqrnf-OmePP568O4A5Am9ttzvVdP67zw/edit#gid=1603210130"", ""TOURISM!$A$2:$F$2692""), {2,3,4,5,6},0))"),"Africa")</f>
        <v>Africa</v>
      </c>
      <c r="L2679" s="14">
        <f>IFERROR(__xludf.DUMMYFUNCTION("""COMPUTED_VALUE"""),1.55E8)</f>
        <v>155000000</v>
      </c>
      <c r="M2679" s="14" t="str">
        <f>IFERROR(__xludf.DUMMYFUNCTION("""COMPUTED_VALUE"""),"Zambia-Africa")</f>
        <v>Zambia-Africa</v>
      </c>
      <c r="N2679" s="14" t="str">
        <f>IFERROR(__xludf.DUMMYFUNCTION("""COMPUTED_VALUE"""),"2012")</f>
        <v>2012</v>
      </c>
      <c r="O2679" s="14">
        <f>IFERROR(__xludf.DUMMYFUNCTION("""COMPUTED_VALUE"""),1.54E8)</f>
        <v>154000000</v>
      </c>
      <c r="P2679" s="15">
        <f>IFERROR(__xludf.DUMMYFUNCTION("ARRAYFORMULA(VLOOKUP(A2679,IMPORTRANGE(""https://docs.google.com/spreadsheets/d/1BuTWp7qHGjWhqrnf-OmePP568O4A5Am9ttzvVdP67zw/edit#gid=771602874"" ,""HUMAN RESOURCES!$A$2:$M$2692""), {2,3,4,5,6,7,8,9,10,11,12,13},0))"),0.043)</f>
        <v>0.043</v>
      </c>
      <c r="Q2679" s="14">
        <f>IFERROR(__xludf.DUMMYFUNCTION("""COMPUTED_VALUE"""),0.057)</f>
        <v>0.057</v>
      </c>
      <c r="R2679" s="14">
        <f>IFERROR(__xludf.DUMMYFUNCTION("""COMPUTED_VALUE"""),59.0)</f>
        <v>59</v>
      </c>
      <c r="S2679" s="14">
        <f>IFERROR(__xludf.DUMMYFUNCTION("""COMPUTED_VALUE"""),55.0)</f>
        <v>55</v>
      </c>
      <c r="T2679" s="14">
        <f>IFERROR(__xludf.DUMMYFUNCTION("""COMPUTED_VALUE"""),0.467)</f>
        <v>0.467</v>
      </c>
      <c r="U2679" s="14">
        <f>IFERROR(__xludf.DUMMYFUNCTION("""COMPUTED_VALUE"""),0.506)</f>
        <v>0.506</v>
      </c>
      <c r="V2679" s="14">
        <f>IFERROR(__xludf.DUMMYFUNCTION("""COMPUTED_VALUE"""),0.026)</f>
        <v>0.026</v>
      </c>
      <c r="W2679" s="14">
        <f>IFERROR(__xludf.DUMMYFUNCTION("""COMPUTED_VALUE"""),1.4075099E7)</f>
        <v>14075099</v>
      </c>
      <c r="X2679" s="14">
        <f>IFERROR(__xludf.DUMMYFUNCTION("""COMPUTED_VALUE"""),0.396)</f>
        <v>0.396</v>
      </c>
      <c r="Y2679" s="14" t="str">
        <f>IFERROR(__xludf.DUMMYFUNCTION("""COMPUTED_VALUE"""),"Zambia-Africa")</f>
        <v>Zambia-Africa</v>
      </c>
      <c r="Z2679" s="14" t="str">
        <f>IFERROR(__xludf.DUMMYFUNCTION("""COMPUTED_VALUE"""),"Africa")</f>
        <v>Africa</v>
      </c>
      <c r="AA2679" s="14" t="str">
        <f>IFERROR(__xludf.DUMMYFUNCTION("""COMPUTED_VALUE"""),"2012")</f>
        <v>2012</v>
      </c>
      <c r="AB2679" s="15" t="str">
        <f>IFERROR(__xludf.DUMMYFUNCTION("ARRAYFORMULA(VLOOKUP(A2679,IMPORTRANGE(""https://docs.google.com/spreadsheets/d/1BuTWp7qHGjWhqrnf-OmePP568O4A5Am9ttzvVdP67zw/edit#gid=1931367683"" ,""ENERGY!$A$2:$F$2692""), {2,3,4,5,6},0))"),"Africa")</f>
        <v>Africa</v>
      </c>
      <c r="AC2679" s="14" t="str">
        <f>IFERROR(__xludf.DUMMYFUNCTION("""COMPUTED_VALUE"""),"Zambia-Africa")</f>
        <v>Zambia-Africa</v>
      </c>
      <c r="AD2679" s="14" t="str">
        <f>IFERROR(__xludf.DUMMYFUNCTION("""COMPUTED_VALUE"""),"2012")</f>
        <v>2012</v>
      </c>
      <c r="AE2679" s="14">
        <f>IFERROR(__xludf.DUMMYFUNCTION("""COMPUTED_VALUE"""),6244.0)</f>
        <v>6244</v>
      </c>
      <c r="AF2679" s="14">
        <f>IFERROR(__xludf.DUMMYFUNCTION("""COMPUTED_VALUE"""),1819.0)</f>
        <v>1819</v>
      </c>
    </row>
    <row r="2680">
      <c r="A2680" s="12">
        <v>2679.0</v>
      </c>
      <c r="B2680" s="12" t="s">
        <v>285</v>
      </c>
      <c r="C2680" s="5" t="s">
        <v>77</v>
      </c>
      <c r="D2680" s="8"/>
      <c r="E2680" s="8"/>
      <c r="F2680" s="8"/>
      <c r="G2680" s="8"/>
      <c r="H2680" s="11">
        <v>0.004</v>
      </c>
      <c r="I2680" s="11">
        <v>0.021</v>
      </c>
      <c r="J2680" s="9" t="s">
        <v>60</v>
      </c>
      <c r="K2680" s="14" t="str">
        <f>IFERROR(__xludf.DUMMYFUNCTION("ARRAYFORMULA(VLOOKUP(A2680,IMPORTRANGE(""https://docs.google.com/spreadsheets/d/1BuTWp7qHGjWhqrnf-OmePP568O4A5Am9ttzvVdP67zw/edit#gid=1603210130"", ""TOURISM!$A$2:$F$2692""), {2,3,4,5,6},0))"),"Africa")</f>
        <v>Africa</v>
      </c>
      <c r="L2680" s="14">
        <f>IFERROR(__xludf.DUMMYFUNCTION("""COMPUTED_VALUE"""),1.25E8)</f>
        <v>125000000</v>
      </c>
      <c r="M2680" s="14" t="str">
        <f>IFERROR(__xludf.DUMMYFUNCTION("""COMPUTED_VALUE"""),"Zimbabwe-Africa")</f>
        <v>Zimbabwe-Africa</v>
      </c>
      <c r="N2680" s="14" t="str">
        <f>IFERROR(__xludf.DUMMYFUNCTION("""COMPUTED_VALUE"""),"2000")</f>
        <v>2000</v>
      </c>
      <c r="O2680" s="14"/>
      <c r="P2680" s="15">
        <f>IFERROR(__xludf.DUMMYFUNCTION("ARRAYFORMULA(VLOOKUP(A2680,IMPORTRANGE(""https://docs.google.com/spreadsheets/d/1BuTWp7qHGjWhqrnf-OmePP568O4A5Am9ttzvVdP67zw/edit#gid=771602874"" ,""HUMAN RESOURCES!$A$2:$M$2692""), {2,3,4,5,6,7,8,9,10,11,12,13},0))"),0.032)</f>
        <v>0.032</v>
      </c>
      <c r="Q2680" s="14">
        <f>IFERROR(__xludf.DUMMYFUNCTION("""COMPUTED_VALUE"""),0.061)</f>
        <v>0.061</v>
      </c>
      <c r="R2680" s="14">
        <f>IFERROR(__xludf.DUMMYFUNCTION("""COMPUTED_VALUE"""),44.0)</f>
        <v>44</v>
      </c>
      <c r="S2680" s="14">
        <f>IFERROR(__xludf.DUMMYFUNCTION("""COMPUTED_VALUE"""),44.0)</f>
        <v>44</v>
      </c>
      <c r="T2680" s="14">
        <f>IFERROR(__xludf.DUMMYFUNCTION("""COMPUTED_VALUE"""),0.422)</f>
        <v>0.422</v>
      </c>
      <c r="U2680" s="14">
        <f>IFERROR(__xludf.DUMMYFUNCTION("""COMPUTED_VALUE"""),0.545)</f>
        <v>0.545</v>
      </c>
      <c r="V2680" s="14">
        <f>IFERROR(__xludf.DUMMYFUNCTION("""COMPUTED_VALUE"""),0.034)</f>
        <v>0.034</v>
      </c>
      <c r="W2680" s="14">
        <f>IFERROR(__xludf.DUMMYFUNCTION("""COMPUTED_VALUE"""),1.2503652E7)</f>
        <v>12503652</v>
      </c>
      <c r="X2680" s="14">
        <f>IFERROR(__xludf.DUMMYFUNCTION("""COMPUTED_VALUE"""),0.338)</f>
        <v>0.338</v>
      </c>
      <c r="Y2680" s="14" t="str">
        <f>IFERROR(__xludf.DUMMYFUNCTION("""COMPUTED_VALUE"""),"Zimbabwe-Africa")</f>
        <v>Zimbabwe-Africa</v>
      </c>
      <c r="Z2680" s="14" t="str">
        <f>IFERROR(__xludf.DUMMYFUNCTION("""COMPUTED_VALUE"""),"Africa")</f>
        <v>Africa</v>
      </c>
      <c r="AA2680" s="14" t="str">
        <f>IFERROR(__xludf.DUMMYFUNCTION("""COMPUTED_VALUE"""),"2000")</f>
        <v>2000</v>
      </c>
      <c r="AB2680" s="15" t="str">
        <f>IFERROR(__xludf.DUMMYFUNCTION("ARRAYFORMULA(VLOOKUP(A2680,IMPORTRANGE(""https://docs.google.com/spreadsheets/d/1BuTWp7qHGjWhqrnf-OmePP568O4A5Am9ttzvVdP67zw/edit#gid=1931367683"" ,""ENERGY!$A$2:$F$2692""), {2,3,4,5,6},0))"),"Africa")</f>
        <v>Africa</v>
      </c>
      <c r="AC2680" s="14" t="str">
        <f>IFERROR(__xludf.DUMMYFUNCTION("""COMPUTED_VALUE"""),"Zimbabwe-Africa")</f>
        <v>Zimbabwe-Africa</v>
      </c>
      <c r="AD2680" s="14" t="str">
        <f>IFERROR(__xludf.DUMMYFUNCTION("""COMPUTED_VALUE"""),"2000")</f>
        <v>2000</v>
      </c>
      <c r="AE2680" s="14"/>
      <c r="AF2680" s="14"/>
    </row>
    <row r="2681">
      <c r="A2681" s="12">
        <v>2680.0</v>
      </c>
      <c r="B2681" s="12" t="s">
        <v>285</v>
      </c>
      <c r="C2681" s="5" t="s">
        <v>77</v>
      </c>
      <c r="D2681" s="8"/>
      <c r="E2681" s="8"/>
      <c r="F2681" s="8"/>
      <c r="G2681" s="8"/>
      <c r="H2681" s="11">
        <v>0.008</v>
      </c>
      <c r="I2681" s="11">
        <v>0.025</v>
      </c>
      <c r="J2681" s="9" t="s">
        <v>62</v>
      </c>
      <c r="K2681" s="14" t="str">
        <f>IFERROR(__xludf.DUMMYFUNCTION("ARRAYFORMULA(VLOOKUP(A2681,IMPORTRANGE(""https://docs.google.com/spreadsheets/d/1BuTWp7qHGjWhqrnf-OmePP568O4A5Am9ttzvVdP67zw/edit#gid=1603210130"", ""TOURISM!$A$2:$F$2692""), {2,3,4,5,6},0))"),"Africa")</f>
        <v>Africa</v>
      </c>
      <c r="L2681" s="14">
        <f>IFERROR(__xludf.DUMMYFUNCTION("""COMPUTED_VALUE"""),8.1E7)</f>
        <v>81000000</v>
      </c>
      <c r="M2681" s="14" t="str">
        <f>IFERROR(__xludf.DUMMYFUNCTION("""COMPUTED_VALUE"""),"Zimbabwe-Africa")</f>
        <v>Zimbabwe-Africa</v>
      </c>
      <c r="N2681" s="14" t="str">
        <f>IFERROR(__xludf.DUMMYFUNCTION("""COMPUTED_VALUE"""),"2001")</f>
        <v>2001</v>
      </c>
      <c r="O2681" s="14"/>
      <c r="P2681" s="15">
        <f>IFERROR(__xludf.DUMMYFUNCTION("ARRAYFORMULA(VLOOKUP(A2681,IMPORTRANGE(""https://docs.google.com/spreadsheets/d/1BuTWp7qHGjWhqrnf-OmePP568O4A5Am9ttzvVdP67zw/edit#gid=771602874"" ,""HUMAN RESOURCES!$A$2:$M$2692""), {2,3,4,5,6,7,8,9,10,11,12,13},0))"),0.032)</f>
        <v>0.032</v>
      </c>
      <c r="Q2681" s="14">
        <f>IFERROR(__xludf.DUMMYFUNCTION("""COMPUTED_VALUE"""),0.06)</f>
        <v>0.06</v>
      </c>
      <c r="R2681" s="14">
        <f>IFERROR(__xludf.DUMMYFUNCTION("""COMPUTED_VALUE"""),43.0)</f>
        <v>43</v>
      </c>
      <c r="S2681" s="14">
        <f>IFERROR(__xludf.DUMMYFUNCTION("""COMPUTED_VALUE"""),43.0)</f>
        <v>43</v>
      </c>
      <c r="T2681" s="14">
        <f>IFERROR(__xludf.DUMMYFUNCTION("""COMPUTED_VALUE"""),0.419)</f>
        <v>0.419</v>
      </c>
      <c r="U2681" s="14">
        <f>IFERROR(__xludf.DUMMYFUNCTION("""COMPUTED_VALUE"""),0.547)</f>
        <v>0.547</v>
      </c>
      <c r="V2681" s="14">
        <f>IFERROR(__xludf.DUMMYFUNCTION("""COMPUTED_VALUE"""),0.034)</f>
        <v>0.034</v>
      </c>
      <c r="W2681" s="14">
        <f>IFERROR(__xludf.DUMMYFUNCTION("""COMPUTED_VALUE"""),1.2586763E7)</f>
        <v>12586763</v>
      </c>
      <c r="X2681" s="14">
        <f>IFERROR(__xludf.DUMMYFUNCTION("""COMPUTED_VALUE"""),0.342)</f>
        <v>0.342</v>
      </c>
      <c r="Y2681" s="14" t="str">
        <f>IFERROR(__xludf.DUMMYFUNCTION("""COMPUTED_VALUE"""),"Zimbabwe-Africa")</f>
        <v>Zimbabwe-Africa</v>
      </c>
      <c r="Z2681" s="14" t="str">
        <f>IFERROR(__xludf.DUMMYFUNCTION("""COMPUTED_VALUE"""),"Africa")</f>
        <v>Africa</v>
      </c>
      <c r="AA2681" s="14" t="str">
        <f>IFERROR(__xludf.DUMMYFUNCTION("""COMPUTED_VALUE"""),"2001")</f>
        <v>2001</v>
      </c>
      <c r="AB2681" s="15" t="str">
        <f>IFERROR(__xludf.DUMMYFUNCTION("ARRAYFORMULA(VLOOKUP(A2681,IMPORTRANGE(""https://docs.google.com/spreadsheets/d/1BuTWp7qHGjWhqrnf-OmePP568O4A5Am9ttzvVdP67zw/edit#gid=1931367683"" ,""ENERGY!$A$2:$F$2692""), {2,3,4,5,6},0))"),"Africa")</f>
        <v>Africa</v>
      </c>
      <c r="AC2681" s="14" t="str">
        <f>IFERROR(__xludf.DUMMYFUNCTION("""COMPUTED_VALUE"""),"Zimbabwe-Africa")</f>
        <v>Zimbabwe-Africa</v>
      </c>
      <c r="AD2681" s="14" t="str">
        <f>IFERROR(__xludf.DUMMYFUNCTION("""COMPUTED_VALUE"""),"2001")</f>
        <v>2001</v>
      </c>
      <c r="AE2681" s="14">
        <f>IFERROR(__xludf.DUMMYFUNCTION("""COMPUTED_VALUE"""),9312.0)</f>
        <v>9312</v>
      </c>
      <c r="AF2681" s="14"/>
    </row>
    <row r="2682">
      <c r="A2682" s="12">
        <v>2681.0</v>
      </c>
      <c r="B2682" s="12" t="s">
        <v>285</v>
      </c>
      <c r="C2682" s="5" t="s">
        <v>77</v>
      </c>
      <c r="D2682" s="8"/>
      <c r="E2682" s="8"/>
      <c r="F2682" s="8"/>
      <c r="G2682" s="8"/>
      <c r="H2682" s="11">
        <v>0.04</v>
      </c>
      <c r="I2682" s="11">
        <v>0.027</v>
      </c>
      <c r="J2682" s="9" t="s">
        <v>63</v>
      </c>
      <c r="K2682" s="14" t="str">
        <f>IFERROR(__xludf.DUMMYFUNCTION("ARRAYFORMULA(VLOOKUP(A2682,IMPORTRANGE(""https://docs.google.com/spreadsheets/d/1BuTWp7qHGjWhqrnf-OmePP568O4A5Am9ttzvVdP67zw/edit#gid=1603210130"", ""TOURISM!$A$2:$F$2692""), {2,3,4,5,6},0))"),"Africa")</f>
        <v>Africa</v>
      </c>
      <c r="L2682" s="14">
        <f>IFERROR(__xludf.DUMMYFUNCTION("""COMPUTED_VALUE"""),7.6E7)</f>
        <v>76000000</v>
      </c>
      <c r="M2682" s="14" t="str">
        <f>IFERROR(__xludf.DUMMYFUNCTION("""COMPUTED_VALUE"""),"Zimbabwe-Africa")</f>
        <v>Zimbabwe-Africa</v>
      </c>
      <c r="N2682" s="14" t="str">
        <f>IFERROR(__xludf.DUMMYFUNCTION("""COMPUTED_VALUE"""),"2002")</f>
        <v>2002</v>
      </c>
      <c r="O2682" s="14"/>
      <c r="P2682" s="15">
        <f>IFERROR(__xludf.DUMMYFUNCTION("ARRAYFORMULA(VLOOKUP(A2682,IMPORTRANGE(""https://docs.google.com/spreadsheets/d/1BuTWp7qHGjWhqrnf-OmePP568O4A5Am9ttzvVdP67zw/edit#gid=771602874"" ,""HUMAN RESOURCES!$A$2:$M$2692""), {2,3,4,5,6,7,8,9,10,11,12,13},0))"),0.032)</f>
        <v>0.032</v>
      </c>
      <c r="Q2682" s="14">
        <f>IFERROR(__xludf.DUMMYFUNCTION("""COMPUTED_VALUE"""),0.059)</f>
        <v>0.059</v>
      </c>
      <c r="R2682" s="14">
        <f>IFERROR(__xludf.DUMMYFUNCTION("""COMPUTED_VALUE"""),43.0)</f>
        <v>43</v>
      </c>
      <c r="S2682" s="14">
        <f>IFERROR(__xludf.DUMMYFUNCTION("""COMPUTED_VALUE"""),43.0)</f>
        <v>43</v>
      </c>
      <c r="T2682" s="14">
        <f>IFERROR(__xludf.DUMMYFUNCTION("""COMPUTED_VALUE"""),0.417)</f>
        <v>0.417</v>
      </c>
      <c r="U2682" s="14">
        <f>IFERROR(__xludf.DUMMYFUNCTION("""COMPUTED_VALUE"""),0.548)</f>
        <v>0.548</v>
      </c>
      <c r="V2682" s="14">
        <f>IFERROR(__xludf.DUMMYFUNCTION("""COMPUTED_VALUE"""),0.035)</f>
        <v>0.035</v>
      </c>
      <c r="W2682" s="14">
        <f>IFERROR(__xludf.DUMMYFUNCTION("""COMPUTED_VALUE"""),1.2640922E7)</f>
        <v>12640922</v>
      </c>
      <c r="X2682" s="14">
        <f>IFERROR(__xludf.DUMMYFUNCTION("""COMPUTED_VALUE"""),0.346)</f>
        <v>0.346</v>
      </c>
      <c r="Y2682" s="14" t="str">
        <f>IFERROR(__xludf.DUMMYFUNCTION("""COMPUTED_VALUE"""),"Zimbabwe-Africa")</f>
        <v>Zimbabwe-Africa</v>
      </c>
      <c r="Z2682" s="14" t="str">
        <f>IFERROR(__xludf.DUMMYFUNCTION("""COMPUTED_VALUE"""),"Africa")</f>
        <v>Africa</v>
      </c>
      <c r="AA2682" s="14" t="str">
        <f>IFERROR(__xludf.DUMMYFUNCTION("""COMPUTED_VALUE"""),"2002")</f>
        <v>2002</v>
      </c>
      <c r="AB2682" s="15" t="str">
        <f>IFERROR(__xludf.DUMMYFUNCTION("ARRAYFORMULA(VLOOKUP(A2682,IMPORTRANGE(""https://docs.google.com/spreadsheets/d/1BuTWp7qHGjWhqrnf-OmePP568O4A5Am9ttzvVdP67zw/edit#gid=1931367683"" ,""ENERGY!$A$2:$F$2692""), {2,3,4,5,6},0))"),"Africa")</f>
        <v>Africa</v>
      </c>
      <c r="AC2682" s="14" t="str">
        <f>IFERROR(__xludf.DUMMYFUNCTION("""COMPUTED_VALUE"""),"Zimbabwe-Africa")</f>
        <v>Zimbabwe-Africa</v>
      </c>
      <c r="AD2682" s="14" t="str">
        <f>IFERROR(__xludf.DUMMYFUNCTION("""COMPUTED_VALUE"""),"2002")</f>
        <v>2002</v>
      </c>
      <c r="AE2682" s="14">
        <f>IFERROR(__xludf.DUMMYFUNCTION("""COMPUTED_VALUE"""),9000.0)</f>
        <v>9000</v>
      </c>
      <c r="AF2682" s="14">
        <f>IFERROR(__xludf.DUMMYFUNCTION("""COMPUTED_VALUE"""),9428.0)</f>
        <v>9428</v>
      </c>
    </row>
    <row r="2683">
      <c r="A2683" s="12">
        <v>2682.0</v>
      </c>
      <c r="B2683" s="12" t="s">
        <v>285</v>
      </c>
      <c r="C2683" s="5" t="s">
        <v>77</v>
      </c>
      <c r="D2683" s="8"/>
      <c r="E2683" s="11">
        <v>97.0</v>
      </c>
      <c r="F2683" s="8"/>
      <c r="G2683" s="8"/>
      <c r="H2683" s="11">
        <v>0.064</v>
      </c>
      <c r="I2683" s="11">
        <v>0.029</v>
      </c>
      <c r="J2683" s="9" t="s">
        <v>64</v>
      </c>
      <c r="K2683" s="14" t="str">
        <f>IFERROR(__xludf.DUMMYFUNCTION("ARRAYFORMULA(VLOOKUP(A2683,IMPORTRANGE(""https://docs.google.com/spreadsheets/d/1BuTWp7qHGjWhqrnf-OmePP568O4A5Am9ttzvVdP67zw/edit#gid=1603210130"", ""TOURISM!$A$2:$F$2692""), {2,3,4,5,6},0))"),"Africa")</f>
        <v>Africa</v>
      </c>
      <c r="L2683" s="14">
        <f>IFERROR(__xludf.DUMMYFUNCTION("""COMPUTED_VALUE"""),6.1E7)</f>
        <v>61000000</v>
      </c>
      <c r="M2683" s="14" t="str">
        <f>IFERROR(__xludf.DUMMYFUNCTION("""COMPUTED_VALUE"""),"Zimbabwe-Africa")</f>
        <v>Zimbabwe-Africa</v>
      </c>
      <c r="N2683" s="14" t="str">
        <f>IFERROR(__xludf.DUMMYFUNCTION("""COMPUTED_VALUE"""),"2003")</f>
        <v>2003</v>
      </c>
      <c r="O2683" s="14"/>
      <c r="P2683" s="15">
        <f>IFERROR(__xludf.DUMMYFUNCTION("ARRAYFORMULA(VLOOKUP(A2683,IMPORTRANGE(""https://docs.google.com/spreadsheets/d/1BuTWp7qHGjWhqrnf-OmePP568O4A5Am9ttzvVdP67zw/edit#gid=771602874"" ,""HUMAN RESOURCES!$A$2:$M$2692""), {2,3,4,5,6,7,8,9,10,11,12,13},0))"),0.032)</f>
        <v>0.032</v>
      </c>
      <c r="Q2683" s="14">
        <f>IFERROR(__xludf.DUMMYFUNCTION("""COMPUTED_VALUE"""),0.058)</f>
        <v>0.058</v>
      </c>
      <c r="R2683" s="14">
        <f>IFERROR(__xludf.DUMMYFUNCTION("""COMPUTED_VALUE"""),42.0)</f>
        <v>42</v>
      </c>
      <c r="S2683" s="14">
        <f>IFERROR(__xludf.DUMMYFUNCTION("""COMPUTED_VALUE"""),43.0)</f>
        <v>43</v>
      </c>
      <c r="T2683" s="14">
        <f>IFERROR(__xludf.DUMMYFUNCTION("""COMPUTED_VALUE"""),0.416)</f>
        <v>0.416</v>
      </c>
      <c r="U2683" s="14">
        <f>IFERROR(__xludf.DUMMYFUNCTION("""COMPUTED_VALUE"""),0.549)</f>
        <v>0.549</v>
      </c>
      <c r="V2683" s="14">
        <f>IFERROR(__xludf.DUMMYFUNCTION("""COMPUTED_VALUE"""),0.035)</f>
        <v>0.035</v>
      </c>
      <c r="W2683" s="14">
        <f>IFERROR(__xludf.DUMMYFUNCTION("""COMPUTED_VALUE"""),1.2673103E7)</f>
        <v>12673103</v>
      </c>
      <c r="X2683" s="14">
        <f>IFERROR(__xludf.DUMMYFUNCTION("""COMPUTED_VALUE"""),0.345)</f>
        <v>0.345</v>
      </c>
      <c r="Y2683" s="14" t="str">
        <f>IFERROR(__xludf.DUMMYFUNCTION("""COMPUTED_VALUE"""),"Zimbabwe-Africa")</f>
        <v>Zimbabwe-Africa</v>
      </c>
      <c r="Z2683" s="14" t="str">
        <f>IFERROR(__xludf.DUMMYFUNCTION("""COMPUTED_VALUE"""),"Africa")</f>
        <v>Africa</v>
      </c>
      <c r="AA2683" s="14" t="str">
        <f>IFERROR(__xludf.DUMMYFUNCTION("""COMPUTED_VALUE"""),"2003")</f>
        <v>2003</v>
      </c>
      <c r="AB2683" s="15" t="str">
        <f>IFERROR(__xludf.DUMMYFUNCTION("ARRAYFORMULA(VLOOKUP(A2683,IMPORTRANGE(""https://docs.google.com/spreadsheets/d/1BuTWp7qHGjWhqrnf-OmePP568O4A5Am9ttzvVdP67zw/edit#gid=1931367683"" ,""ENERGY!$A$2:$F$2692""), {2,3,4,5,6},0))"),"Africa")</f>
        <v>Africa</v>
      </c>
      <c r="AC2683" s="14" t="str">
        <f>IFERROR(__xludf.DUMMYFUNCTION("""COMPUTED_VALUE"""),"Zimbabwe-Africa")</f>
        <v>Zimbabwe-Africa</v>
      </c>
      <c r="AD2683" s="14" t="str">
        <f>IFERROR(__xludf.DUMMYFUNCTION("""COMPUTED_VALUE"""),"2003")</f>
        <v>2003</v>
      </c>
      <c r="AE2683" s="14">
        <f>IFERROR(__xludf.DUMMYFUNCTION("""COMPUTED_VALUE"""),8747.0)</f>
        <v>8747</v>
      </c>
      <c r="AF2683" s="14">
        <f>IFERROR(__xludf.DUMMYFUNCTION("""COMPUTED_VALUE"""),8735.0)</f>
        <v>8735</v>
      </c>
    </row>
    <row r="2684">
      <c r="A2684" s="12">
        <v>2683.0</v>
      </c>
      <c r="B2684" s="12" t="s">
        <v>285</v>
      </c>
      <c r="C2684" s="5" t="s">
        <v>77</v>
      </c>
      <c r="D2684" s="8"/>
      <c r="E2684" s="11">
        <v>97.0</v>
      </c>
      <c r="F2684" s="8"/>
      <c r="G2684" s="8"/>
      <c r="H2684" s="11">
        <v>0.066</v>
      </c>
      <c r="I2684" s="11">
        <v>0.034</v>
      </c>
      <c r="J2684" s="9" t="s">
        <v>65</v>
      </c>
      <c r="K2684" s="14" t="str">
        <f>IFERROR(__xludf.DUMMYFUNCTION("ARRAYFORMULA(VLOOKUP(A2684,IMPORTRANGE(""https://docs.google.com/spreadsheets/d/1BuTWp7qHGjWhqrnf-OmePP568O4A5Am9ttzvVdP67zw/edit#gid=1603210130"", ""TOURISM!$A$2:$F$2692""), {2,3,4,5,6},0))"),"Africa")</f>
        <v>Africa</v>
      </c>
      <c r="L2684" s="14">
        <f>IFERROR(__xludf.DUMMYFUNCTION("""COMPUTED_VALUE"""),1.94E8)</f>
        <v>194000000</v>
      </c>
      <c r="M2684" s="14" t="str">
        <f>IFERROR(__xludf.DUMMYFUNCTION("""COMPUTED_VALUE"""),"Zimbabwe-Africa")</f>
        <v>Zimbabwe-Africa</v>
      </c>
      <c r="N2684" s="14" t="str">
        <f>IFERROR(__xludf.DUMMYFUNCTION("""COMPUTED_VALUE"""),"2004")</f>
        <v>2004</v>
      </c>
      <c r="O2684" s="14"/>
      <c r="P2684" s="15">
        <f>IFERROR(__xludf.DUMMYFUNCTION("ARRAYFORMULA(VLOOKUP(A2684,IMPORTRANGE(""https://docs.google.com/spreadsheets/d/1BuTWp7qHGjWhqrnf-OmePP568O4A5Am9ttzvVdP67zw/edit#gid=771602874"" ,""HUMAN RESOURCES!$A$2:$M$2692""), {2,3,4,5,6,7,8,9,10,11,12,13},0))"),0.032)</f>
        <v>0.032</v>
      </c>
      <c r="Q2684" s="14">
        <f>IFERROR(__xludf.DUMMYFUNCTION("""COMPUTED_VALUE"""),0.058)</f>
        <v>0.058</v>
      </c>
      <c r="R2684" s="14">
        <f>IFERROR(__xludf.DUMMYFUNCTION("""COMPUTED_VALUE"""),43.0)</f>
        <v>43</v>
      </c>
      <c r="S2684" s="14">
        <f>IFERROR(__xludf.DUMMYFUNCTION("""COMPUTED_VALUE"""),44.0)</f>
        <v>44</v>
      </c>
      <c r="T2684" s="14">
        <f>IFERROR(__xludf.DUMMYFUNCTION("""COMPUTED_VALUE"""),0.415)</f>
        <v>0.415</v>
      </c>
      <c r="U2684" s="14">
        <f>IFERROR(__xludf.DUMMYFUNCTION("""COMPUTED_VALUE"""),0.549)</f>
        <v>0.549</v>
      </c>
      <c r="V2684" s="14">
        <f>IFERROR(__xludf.DUMMYFUNCTION("""COMPUTED_VALUE"""),0.036)</f>
        <v>0.036</v>
      </c>
      <c r="W2684" s="14">
        <f>IFERROR(__xludf.DUMMYFUNCTION("""COMPUTED_VALUE"""),1.2693047E7)</f>
        <v>12693047</v>
      </c>
      <c r="X2684" s="14">
        <f>IFERROR(__xludf.DUMMYFUNCTION("""COMPUTED_VALUE"""),0.343)</f>
        <v>0.343</v>
      </c>
      <c r="Y2684" s="14" t="str">
        <f>IFERROR(__xludf.DUMMYFUNCTION("""COMPUTED_VALUE"""),"Zimbabwe-Africa")</f>
        <v>Zimbabwe-Africa</v>
      </c>
      <c r="Z2684" s="14" t="str">
        <f>IFERROR(__xludf.DUMMYFUNCTION("""COMPUTED_VALUE"""),"Africa")</f>
        <v>Africa</v>
      </c>
      <c r="AA2684" s="14" t="str">
        <f>IFERROR(__xludf.DUMMYFUNCTION("""COMPUTED_VALUE"""),"2004")</f>
        <v>2004</v>
      </c>
      <c r="AB2684" s="15" t="str">
        <f>IFERROR(__xludf.DUMMYFUNCTION("ARRAYFORMULA(VLOOKUP(A2684,IMPORTRANGE(""https://docs.google.com/spreadsheets/d/1BuTWp7qHGjWhqrnf-OmePP568O4A5Am9ttzvVdP67zw/edit#gid=1931367683"" ,""ENERGY!$A$2:$F$2692""), {2,3,4,5,6},0))"),"Africa")</f>
        <v>Africa</v>
      </c>
      <c r="AC2684" s="14" t="str">
        <f>IFERROR(__xludf.DUMMYFUNCTION("""COMPUTED_VALUE"""),"Zimbabwe-Africa")</f>
        <v>Zimbabwe-Africa</v>
      </c>
      <c r="AD2684" s="14" t="str">
        <f>IFERROR(__xludf.DUMMYFUNCTION("""COMPUTED_VALUE"""),"2005")</f>
        <v>2005</v>
      </c>
      <c r="AE2684" s="14">
        <f>IFERROR(__xludf.DUMMYFUNCTION("""COMPUTED_VALUE"""),8678.0)</f>
        <v>8678</v>
      </c>
      <c r="AF2684" s="14">
        <f>IFERROR(__xludf.DUMMYFUNCTION("""COMPUTED_VALUE"""),8148.0)</f>
        <v>8148</v>
      </c>
    </row>
    <row r="2685">
      <c r="A2685" s="12">
        <v>2684.0</v>
      </c>
      <c r="B2685" s="12" t="s">
        <v>285</v>
      </c>
      <c r="C2685" s="5" t="s">
        <v>77</v>
      </c>
      <c r="D2685" s="11">
        <v>0.323</v>
      </c>
      <c r="E2685" s="11">
        <v>97.0</v>
      </c>
      <c r="F2685" s="8"/>
      <c r="G2685" s="11">
        <v>216.0</v>
      </c>
      <c r="H2685" s="11">
        <v>0.08</v>
      </c>
      <c r="I2685" s="11">
        <v>0.051</v>
      </c>
      <c r="J2685" s="9" t="s">
        <v>66</v>
      </c>
      <c r="K2685" s="14" t="str">
        <f>IFERROR(__xludf.DUMMYFUNCTION("ARRAYFORMULA(VLOOKUP(A2685,IMPORTRANGE(""https://docs.google.com/spreadsheets/d/1BuTWp7qHGjWhqrnf-OmePP568O4A5Am9ttzvVdP67zw/edit#gid=1603210130"", ""TOURISM!$A$2:$F$2692""), {2,3,4,5,6},0))"),"Africa")</f>
        <v>Africa</v>
      </c>
      <c r="L2685" s="14">
        <f>IFERROR(__xludf.DUMMYFUNCTION("""COMPUTED_VALUE"""),9.9E7)</f>
        <v>99000000</v>
      </c>
      <c r="M2685" s="14" t="str">
        <f>IFERROR(__xludf.DUMMYFUNCTION("""COMPUTED_VALUE"""),"Zimbabwe-Africa")</f>
        <v>Zimbabwe-Africa</v>
      </c>
      <c r="N2685" s="14" t="str">
        <f>IFERROR(__xludf.DUMMYFUNCTION("""COMPUTED_VALUE"""),"2005")</f>
        <v>2005</v>
      </c>
      <c r="O2685" s="14"/>
      <c r="P2685" s="15">
        <f>IFERROR(__xludf.DUMMYFUNCTION("ARRAYFORMULA(VLOOKUP(A2685,IMPORTRANGE(""https://docs.google.com/spreadsheets/d/1BuTWp7qHGjWhqrnf-OmePP568O4A5Am9ttzvVdP67zw/edit#gid=771602874"" ,""HUMAN RESOURCES!$A$2:$M$2692""), {2,3,4,5,6,7,8,9,10,11,12,13},0))"),0.032)</f>
        <v>0.032</v>
      </c>
      <c r="Q2685" s="14">
        <f>IFERROR(__xludf.DUMMYFUNCTION("""COMPUTED_VALUE"""),0.057)</f>
        <v>0.057</v>
      </c>
      <c r="R2685" s="14">
        <f>IFERROR(__xludf.DUMMYFUNCTION("""COMPUTED_VALUE"""),43.0)</f>
        <v>43</v>
      </c>
      <c r="S2685" s="14">
        <f>IFERROR(__xludf.DUMMYFUNCTION("""COMPUTED_VALUE"""),44.0)</f>
        <v>44</v>
      </c>
      <c r="T2685" s="14">
        <f>IFERROR(__xludf.DUMMYFUNCTION("""COMPUTED_VALUE"""),0.415)</f>
        <v>0.415</v>
      </c>
      <c r="U2685" s="14">
        <f>IFERROR(__xludf.DUMMYFUNCTION("""COMPUTED_VALUE"""),0.548)</f>
        <v>0.548</v>
      </c>
      <c r="V2685" s="14">
        <f>IFERROR(__xludf.DUMMYFUNCTION("""COMPUTED_VALUE"""),0.037)</f>
        <v>0.037</v>
      </c>
      <c r="W2685" s="14">
        <f>IFERROR(__xludf.DUMMYFUNCTION("""COMPUTED_VALUE"""),1.2710589E7)</f>
        <v>12710589</v>
      </c>
      <c r="X2685" s="14">
        <f>IFERROR(__xludf.DUMMYFUNCTION("""COMPUTED_VALUE"""),0.341)</f>
        <v>0.341</v>
      </c>
      <c r="Y2685" s="14" t="str">
        <f>IFERROR(__xludf.DUMMYFUNCTION("""COMPUTED_VALUE"""),"Zimbabwe-Africa")</f>
        <v>Zimbabwe-Africa</v>
      </c>
      <c r="Z2685" s="14" t="str">
        <f>IFERROR(__xludf.DUMMYFUNCTION("""COMPUTED_VALUE"""),"Africa")</f>
        <v>Africa</v>
      </c>
      <c r="AA2685" s="14" t="str">
        <f>IFERROR(__xludf.DUMMYFUNCTION("""COMPUTED_VALUE"""),"2005")</f>
        <v>2005</v>
      </c>
      <c r="AB2685" s="15" t="str">
        <f>IFERROR(__xludf.DUMMYFUNCTION("ARRAYFORMULA(VLOOKUP(A2685,IMPORTRANGE(""https://docs.google.com/spreadsheets/d/1BuTWp7qHGjWhqrnf-OmePP568O4A5Am9ttzvVdP67zw/edit#gid=1931367683"" ,""ENERGY!$A$2:$F$2692""), {2,3,4,5,6},0))"),"Africa")</f>
        <v>Africa</v>
      </c>
      <c r="AC2685" s="14" t="str">
        <f>IFERROR(__xludf.DUMMYFUNCTION("""COMPUTED_VALUE"""),"Zimbabwe-Africa")</f>
        <v>Zimbabwe-Africa</v>
      </c>
      <c r="AD2685" s="14" t="str">
        <f>IFERROR(__xludf.DUMMYFUNCTION("""COMPUTED_VALUE"""),"2009")</f>
        <v>2009</v>
      </c>
      <c r="AE2685" s="14">
        <f>IFERROR(__xludf.DUMMYFUNCTION("""COMPUTED_VALUE"""),9438.0)</f>
        <v>9438</v>
      </c>
      <c r="AF2685" s="14">
        <f>IFERROR(__xludf.DUMMYFUNCTION("""COMPUTED_VALUE"""),10213.0)</f>
        <v>10213</v>
      </c>
    </row>
    <row r="2686">
      <c r="A2686" s="12">
        <v>2685.0</v>
      </c>
      <c r="B2686" s="12" t="s">
        <v>285</v>
      </c>
      <c r="C2686" s="5" t="s">
        <v>77</v>
      </c>
      <c r="D2686" s="11">
        <v>0.323</v>
      </c>
      <c r="E2686" s="11">
        <v>97.0</v>
      </c>
      <c r="F2686" s="8"/>
      <c r="G2686" s="11">
        <v>216.0</v>
      </c>
      <c r="H2686" s="11">
        <v>0.098</v>
      </c>
      <c r="I2686" s="11">
        <v>0.067</v>
      </c>
      <c r="J2686" s="9" t="s">
        <v>67</v>
      </c>
      <c r="K2686" s="14" t="str">
        <f>IFERROR(__xludf.DUMMYFUNCTION("ARRAYFORMULA(VLOOKUP(A2686,IMPORTRANGE(""https://docs.google.com/spreadsheets/d/1BuTWp7qHGjWhqrnf-OmePP568O4A5Am9ttzvVdP67zw/edit#gid=1603210130"", ""TOURISM!$A$2:$F$2692""), {2,3,4,5,6},0))"),"Africa")</f>
        <v>Africa</v>
      </c>
      <c r="L2686" s="14">
        <f>IFERROR(__xludf.DUMMYFUNCTION("""COMPUTED_VALUE"""),3.38E8)</f>
        <v>338000000</v>
      </c>
      <c r="M2686" s="14" t="str">
        <f>IFERROR(__xludf.DUMMYFUNCTION("""COMPUTED_VALUE"""),"Zimbabwe-Africa")</f>
        <v>Zimbabwe-Africa</v>
      </c>
      <c r="N2686" s="14" t="str">
        <f>IFERROR(__xludf.DUMMYFUNCTION("""COMPUTED_VALUE"""),"2006")</f>
        <v>2006</v>
      </c>
      <c r="O2686" s="14"/>
      <c r="P2686" s="15">
        <f>IFERROR(__xludf.DUMMYFUNCTION("ARRAYFORMULA(VLOOKUP(A2686,IMPORTRANGE(""https://docs.google.com/spreadsheets/d/1BuTWp7qHGjWhqrnf-OmePP568O4A5Am9ttzvVdP67zw/edit#gid=771602874"" ,""HUMAN RESOURCES!$A$2:$M$2692""), {2,3,4,5,6,7,8,9,10,11,12,13},0))"),0.032)</f>
        <v>0.032</v>
      </c>
      <c r="Q2686" s="14">
        <f>IFERROR(__xludf.DUMMYFUNCTION("""COMPUTED_VALUE"""),0.057)</f>
        <v>0.057</v>
      </c>
      <c r="R2686" s="14">
        <f>IFERROR(__xludf.DUMMYFUNCTION("""COMPUTED_VALUE"""),44.0)</f>
        <v>44</v>
      </c>
      <c r="S2686" s="14">
        <f>IFERROR(__xludf.DUMMYFUNCTION("""COMPUTED_VALUE"""),46.0)</f>
        <v>46</v>
      </c>
      <c r="T2686" s="14">
        <f>IFERROR(__xludf.DUMMYFUNCTION("""COMPUTED_VALUE"""),0.415)</f>
        <v>0.415</v>
      </c>
      <c r="U2686" s="14">
        <f>IFERROR(__xludf.DUMMYFUNCTION("""COMPUTED_VALUE"""),0.548)</f>
        <v>0.548</v>
      </c>
      <c r="V2686" s="14">
        <f>IFERROR(__xludf.DUMMYFUNCTION("""COMPUTED_VALUE"""),0.038)</f>
        <v>0.038</v>
      </c>
      <c r="W2686" s="14">
        <f>IFERROR(__xludf.DUMMYFUNCTION("""COMPUTED_VALUE"""),1.2724308E7)</f>
        <v>12724308</v>
      </c>
      <c r="X2686" s="14">
        <f>IFERROR(__xludf.DUMMYFUNCTION("""COMPUTED_VALUE"""),0.339)</f>
        <v>0.339</v>
      </c>
      <c r="Y2686" s="14" t="str">
        <f>IFERROR(__xludf.DUMMYFUNCTION("""COMPUTED_VALUE"""),"Zimbabwe-Africa")</f>
        <v>Zimbabwe-Africa</v>
      </c>
      <c r="Z2686" s="14" t="str">
        <f>IFERROR(__xludf.DUMMYFUNCTION("""COMPUTED_VALUE"""),"Africa")</f>
        <v>Africa</v>
      </c>
      <c r="AA2686" s="14" t="str">
        <f>IFERROR(__xludf.DUMMYFUNCTION("""COMPUTED_VALUE"""),"2006")</f>
        <v>2006</v>
      </c>
      <c r="AB2686" s="15" t="str">
        <f>IFERROR(__xludf.DUMMYFUNCTION("ARRAYFORMULA(VLOOKUP(A2686,IMPORTRANGE(""https://docs.google.com/spreadsheets/d/1BuTWp7qHGjWhqrnf-OmePP568O4A5Am9ttzvVdP67zw/edit#gid=1931367683"" ,""ENERGY!$A$2:$F$2692""), {2,3,4,5,6},0))"),"Africa")</f>
        <v>Africa</v>
      </c>
      <c r="AC2686" s="14" t="str">
        <f>IFERROR(__xludf.DUMMYFUNCTION("""COMPUTED_VALUE"""),"Zimbabwe-Africa")</f>
        <v>Zimbabwe-Africa</v>
      </c>
      <c r="AD2686" s="14" t="str">
        <f>IFERROR(__xludf.DUMMYFUNCTION("""COMPUTED_VALUE"""),"2005")</f>
        <v>2005</v>
      </c>
      <c r="AE2686" s="14">
        <f>IFERROR(__xludf.DUMMYFUNCTION("""COMPUTED_VALUE"""),9714.0)</f>
        <v>9714</v>
      </c>
      <c r="AF2686" s="14">
        <f>IFERROR(__xludf.DUMMYFUNCTION("""COMPUTED_VALUE"""),10345.0)</f>
        <v>10345</v>
      </c>
    </row>
    <row r="2687">
      <c r="A2687" s="12">
        <v>2686.0</v>
      </c>
      <c r="B2687" s="12" t="s">
        <v>285</v>
      </c>
      <c r="C2687" s="5" t="s">
        <v>77</v>
      </c>
      <c r="D2687" s="11">
        <v>0.514</v>
      </c>
      <c r="E2687" s="11">
        <v>97.0</v>
      </c>
      <c r="F2687" s="8"/>
      <c r="G2687" s="11">
        <v>256.0</v>
      </c>
      <c r="H2687" s="11">
        <v>0.109</v>
      </c>
      <c r="I2687" s="11">
        <v>0.096</v>
      </c>
      <c r="J2687" s="9" t="s">
        <v>68</v>
      </c>
      <c r="K2687" s="14" t="str">
        <f>IFERROR(__xludf.DUMMYFUNCTION("ARRAYFORMULA(VLOOKUP(A2687,IMPORTRANGE(""https://docs.google.com/spreadsheets/d/1BuTWp7qHGjWhqrnf-OmePP568O4A5Am9ttzvVdP67zw/edit#gid=1603210130"", ""TOURISM!$A$2:$F$2692""), {2,3,4,5,6},0))"),"Africa")</f>
        <v>Africa</v>
      </c>
      <c r="L2687" s="14">
        <f>IFERROR(__xludf.DUMMYFUNCTION("""COMPUTED_VALUE"""),3.65E8)</f>
        <v>365000000</v>
      </c>
      <c r="M2687" s="14" t="str">
        <f>IFERROR(__xludf.DUMMYFUNCTION("""COMPUTED_VALUE"""),"Zimbabwe-Africa")</f>
        <v>Zimbabwe-Africa</v>
      </c>
      <c r="N2687" s="14" t="str">
        <f>IFERROR(__xludf.DUMMYFUNCTION("""COMPUTED_VALUE"""),"2007")</f>
        <v>2007</v>
      </c>
      <c r="O2687" s="14"/>
      <c r="P2687" s="15">
        <f>IFERROR(__xludf.DUMMYFUNCTION("ARRAYFORMULA(VLOOKUP(A2687,IMPORTRANGE(""https://docs.google.com/spreadsheets/d/1BuTWp7qHGjWhqrnf-OmePP568O4A5Am9ttzvVdP67zw/edit#gid=771602874"" ,""HUMAN RESOURCES!$A$2:$M$2692""), {2,3,4,5,6,7,8,9,10,11,12,13},0))"),0.032)</f>
        <v>0.032</v>
      </c>
      <c r="Q2687" s="14">
        <f>IFERROR(__xludf.DUMMYFUNCTION("""COMPUTED_VALUE"""),0.058)</f>
        <v>0.058</v>
      </c>
      <c r="R2687" s="14">
        <f>IFERROR(__xludf.DUMMYFUNCTION("""COMPUTED_VALUE"""),46.0)</f>
        <v>46</v>
      </c>
      <c r="S2687" s="14">
        <f>IFERROR(__xludf.DUMMYFUNCTION("""COMPUTED_VALUE"""),47.0)</f>
        <v>47</v>
      </c>
      <c r="T2687" s="14">
        <f>IFERROR(__xludf.DUMMYFUNCTION("""COMPUTED_VALUE"""),0.415)</f>
        <v>0.415</v>
      </c>
      <c r="U2687" s="14">
        <f>IFERROR(__xludf.DUMMYFUNCTION("""COMPUTED_VALUE"""),0.546)</f>
        <v>0.546</v>
      </c>
      <c r="V2687" s="14">
        <f>IFERROR(__xludf.DUMMYFUNCTION("""COMPUTED_VALUE"""),0.038)</f>
        <v>0.038</v>
      </c>
      <c r="W2687" s="14">
        <f>IFERROR(__xludf.DUMMYFUNCTION("""COMPUTED_VALUE"""),1.274016E7)</f>
        <v>12740160</v>
      </c>
      <c r="X2687" s="14">
        <f>IFERROR(__xludf.DUMMYFUNCTION("""COMPUTED_VALUE"""),0.337)</f>
        <v>0.337</v>
      </c>
      <c r="Y2687" s="14" t="str">
        <f>IFERROR(__xludf.DUMMYFUNCTION("""COMPUTED_VALUE"""),"Zimbabwe-Africa")</f>
        <v>Zimbabwe-Africa</v>
      </c>
      <c r="Z2687" s="14" t="str">
        <f>IFERROR(__xludf.DUMMYFUNCTION("""COMPUTED_VALUE"""),"Africa")</f>
        <v>Africa</v>
      </c>
      <c r="AA2687" s="14" t="str">
        <f>IFERROR(__xludf.DUMMYFUNCTION("""COMPUTED_VALUE"""),"2007")</f>
        <v>2007</v>
      </c>
      <c r="AB2687" s="15" t="str">
        <f>IFERROR(__xludf.DUMMYFUNCTION("ARRAYFORMULA(VLOOKUP(A2687,IMPORTRANGE(""https://docs.google.com/spreadsheets/d/1BuTWp7qHGjWhqrnf-OmePP568O4A5Am9ttzvVdP67zw/edit#gid=1931367683"" ,""ENERGY!$A$2:$F$2692""), {2,3,4,5,6},0))"),"Africa")</f>
        <v>Africa</v>
      </c>
      <c r="AC2687" s="14" t="str">
        <f>IFERROR(__xludf.DUMMYFUNCTION("""COMPUTED_VALUE"""),"Zimbabwe-Africa")</f>
        <v>Zimbabwe-Africa</v>
      </c>
      <c r="AD2687" s="14" t="str">
        <f>IFERROR(__xludf.DUMMYFUNCTION("""COMPUTED_VALUE"""),"2011")</f>
        <v>2011</v>
      </c>
      <c r="AE2687" s="14">
        <f>IFERROR(__xludf.DUMMYFUNCTION("""COMPUTED_VALUE"""),9685.0)</f>
        <v>9685</v>
      </c>
      <c r="AF2687" s="14">
        <f>IFERROR(__xludf.DUMMYFUNCTION("""COMPUTED_VALUE"""),10774.0)</f>
        <v>10774</v>
      </c>
    </row>
    <row r="2688">
      <c r="A2688" s="12">
        <v>2687.0</v>
      </c>
      <c r="B2688" s="12" t="s">
        <v>285</v>
      </c>
      <c r="C2688" s="5" t="s">
        <v>77</v>
      </c>
      <c r="D2688" s="11">
        <v>0.684</v>
      </c>
      <c r="E2688" s="11">
        <v>97.0</v>
      </c>
      <c r="F2688" s="8"/>
      <c r="G2688" s="11">
        <v>256.0</v>
      </c>
      <c r="H2688" s="11">
        <v>0.114</v>
      </c>
      <c r="I2688" s="11">
        <v>0.129</v>
      </c>
      <c r="J2688" s="9" t="s">
        <v>69</v>
      </c>
      <c r="K2688" s="14" t="str">
        <f>IFERROR(__xludf.DUMMYFUNCTION("ARRAYFORMULA(VLOOKUP(A2688,IMPORTRANGE(""https://docs.google.com/spreadsheets/d/1BuTWp7qHGjWhqrnf-OmePP568O4A5Am9ttzvVdP67zw/edit#gid=1603210130"", ""TOURISM!$A$2:$F$2692""), {2,3,4,5,6},0))"),"Africa")</f>
        <v>Africa</v>
      </c>
      <c r="L2688" s="14">
        <f>IFERROR(__xludf.DUMMYFUNCTION("""COMPUTED_VALUE"""),2.94E8)</f>
        <v>294000000</v>
      </c>
      <c r="M2688" s="14" t="str">
        <f>IFERROR(__xludf.DUMMYFUNCTION("""COMPUTED_VALUE"""),"Zimbabwe-Africa")</f>
        <v>Zimbabwe-Africa</v>
      </c>
      <c r="N2688" s="14" t="str">
        <f>IFERROR(__xludf.DUMMYFUNCTION("""COMPUTED_VALUE"""),"2008")</f>
        <v>2008</v>
      </c>
      <c r="O2688" s="14"/>
      <c r="P2688" s="15">
        <f>IFERROR(__xludf.DUMMYFUNCTION("ARRAYFORMULA(VLOOKUP(A2688,IMPORTRANGE(""https://docs.google.com/spreadsheets/d/1BuTWp7qHGjWhqrnf-OmePP568O4A5Am9ttzvVdP67zw/edit#gid=771602874"" ,""HUMAN RESOURCES!$A$2:$M$2692""), {2,3,4,5,6,7,8,9,10,11,12,13},0))"),0.032)</f>
        <v>0.032</v>
      </c>
      <c r="Q2688" s="14">
        <f>IFERROR(__xludf.DUMMYFUNCTION("""COMPUTED_VALUE"""),0.058)</f>
        <v>0.058</v>
      </c>
      <c r="R2688" s="14">
        <f>IFERROR(__xludf.DUMMYFUNCTION("""COMPUTED_VALUE"""),49.0)</f>
        <v>49</v>
      </c>
      <c r="S2688" s="14">
        <f>IFERROR(__xludf.DUMMYFUNCTION("""COMPUTED_VALUE"""),49.0)</f>
        <v>49</v>
      </c>
      <c r="T2688" s="14">
        <f>IFERROR(__xludf.DUMMYFUNCTION("""COMPUTED_VALUE"""),0.416)</f>
        <v>0.416</v>
      </c>
      <c r="U2688" s="14">
        <f>IFERROR(__xludf.DUMMYFUNCTION("""COMPUTED_VALUE"""),0.545)</f>
        <v>0.545</v>
      </c>
      <c r="V2688" s="14">
        <f>IFERROR(__xludf.DUMMYFUNCTION("""COMPUTED_VALUE"""),0.039)</f>
        <v>0.039</v>
      </c>
      <c r="W2688" s="14">
        <f>IFERROR(__xludf.DUMMYFUNCTION("""COMPUTED_VALUE"""),1.2784041E7)</f>
        <v>12784041</v>
      </c>
      <c r="X2688" s="14">
        <f>IFERROR(__xludf.DUMMYFUNCTION("""COMPUTED_VALUE"""),0.336)</f>
        <v>0.336</v>
      </c>
      <c r="Y2688" s="14" t="str">
        <f>IFERROR(__xludf.DUMMYFUNCTION("""COMPUTED_VALUE"""),"Zimbabwe-Africa")</f>
        <v>Zimbabwe-Africa</v>
      </c>
      <c r="Z2688" s="14" t="str">
        <f>IFERROR(__xludf.DUMMYFUNCTION("""COMPUTED_VALUE"""),"Africa")</f>
        <v>Africa</v>
      </c>
      <c r="AA2688" s="14" t="str">
        <f>IFERROR(__xludf.DUMMYFUNCTION("""COMPUTED_VALUE"""),"2008")</f>
        <v>2008</v>
      </c>
      <c r="AB2688" s="15" t="str">
        <f>IFERROR(__xludf.DUMMYFUNCTION("ARRAYFORMULA(VLOOKUP(A2688,IMPORTRANGE(""https://docs.google.com/spreadsheets/d/1BuTWp7qHGjWhqrnf-OmePP568O4A5Am9ttzvVdP67zw/edit#gid=1931367683"" ,""ENERGY!$A$2:$F$2692""), {2,3,4,5,6},0))"),"Africa")</f>
        <v>Africa</v>
      </c>
      <c r="AC2688" s="14" t="str">
        <f>IFERROR(__xludf.DUMMYFUNCTION("""COMPUTED_VALUE"""),"Zimbabwe-Africa")</f>
        <v>Zimbabwe-Africa</v>
      </c>
      <c r="AD2688" s="14" t="str">
        <f>IFERROR(__xludf.DUMMYFUNCTION("""COMPUTED_VALUE"""),"2008")</f>
        <v>2008</v>
      </c>
      <c r="AE2688" s="14">
        <f>IFERROR(__xludf.DUMMYFUNCTION("""COMPUTED_VALUE"""),9269.0)</f>
        <v>9269</v>
      </c>
      <c r="AF2688" s="14">
        <f>IFERROR(__xludf.DUMMYFUNCTION("""COMPUTED_VALUE"""),9927.0)</f>
        <v>9927</v>
      </c>
    </row>
    <row r="2689">
      <c r="A2689" s="12">
        <v>2688.0</v>
      </c>
      <c r="B2689" s="12" t="s">
        <v>285</v>
      </c>
      <c r="C2689" s="5" t="s">
        <v>77</v>
      </c>
      <c r="D2689" s="11">
        <v>0.382</v>
      </c>
      <c r="E2689" s="11">
        <v>97.0</v>
      </c>
      <c r="F2689" s="8"/>
      <c r="G2689" s="11">
        <v>270.0</v>
      </c>
      <c r="H2689" s="11">
        <v>0.114</v>
      </c>
      <c r="I2689" s="11">
        <v>0.31</v>
      </c>
      <c r="J2689" s="9" t="s">
        <v>70</v>
      </c>
      <c r="K2689" s="14" t="str">
        <f>IFERROR(__xludf.DUMMYFUNCTION("ARRAYFORMULA(VLOOKUP(A2689,IMPORTRANGE(""https://docs.google.com/spreadsheets/d/1BuTWp7qHGjWhqrnf-OmePP568O4A5Am9ttzvVdP67zw/edit#gid=1603210130"", ""TOURISM!$A$2:$F$2692""), {2,3,4,5,6},0))"),"Africa")</f>
        <v>Africa</v>
      </c>
      <c r="L2689" s="14">
        <f>IFERROR(__xludf.DUMMYFUNCTION("""COMPUTED_VALUE"""),5.23E8)</f>
        <v>523000000</v>
      </c>
      <c r="M2689" s="14" t="str">
        <f>IFERROR(__xludf.DUMMYFUNCTION("""COMPUTED_VALUE"""),"Zimbabwe-Africa")</f>
        <v>Zimbabwe-Africa</v>
      </c>
      <c r="N2689" s="14" t="str">
        <f>IFERROR(__xludf.DUMMYFUNCTION("""COMPUTED_VALUE"""),"2009")</f>
        <v>2009</v>
      </c>
      <c r="O2689" s="14"/>
      <c r="P2689" s="15">
        <f>IFERROR(__xludf.DUMMYFUNCTION("ARRAYFORMULA(VLOOKUP(A2689,IMPORTRANGE(""https://docs.google.com/spreadsheets/d/1BuTWp7qHGjWhqrnf-OmePP568O4A5Am9ttzvVdP67zw/edit#gid=771602874"" ,""HUMAN RESOURCES!$A$2:$M$2692""), {2,3,4,5,6,7,8,9,10,11,12,13},0))"),0.032)</f>
        <v>0.032</v>
      </c>
      <c r="Q2689" s="14">
        <f>IFERROR(__xludf.DUMMYFUNCTION("""COMPUTED_VALUE"""),0.059)</f>
        <v>0.059</v>
      </c>
      <c r="R2689" s="14">
        <f>IFERROR(__xludf.DUMMYFUNCTION("""COMPUTED_VALUE"""),51.0)</f>
        <v>51</v>
      </c>
      <c r="S2689" s="14">
        <f>IFERROR(__xludf.DUMMYFUNCTION("""COMPUTED_VALUE"""),51.0)</f>
        <v>51</v>
      </c>
      <c r="T2689" s="14">
        <f>IFERROR(__xludf.DUMMYFUNCTION("""COMPUTED_VALUE"""),0.415)</f>
        <v>0.415</v>
      </c>
      <c r="U2689" s="14">
        <f>IFERROR(__xludf.DUMMYFUNCTION("""COMPUTED_VALUE"""),0.546)</f>
        <v>0.546</v>
      </c>
      <c r="V2689" s="14">
        <f>IFERROR(__xludf.DUMMYFUNCTION("""COMPUTED_VALUE"""),0.04)</f>
        <v>0.04</v>
      </c>
      <c r="W2689" s="14">
        <f>IFERROR(__xludf.DUMMYFUNCTION("""COMPUTED_VALUE"""),1.2888918E7)</f>
        <v>12888918</v>
      </c>
      <c r="X2689" s="14">
        <f>IFERROR(__xludf.DUMMYFUNCTION("""COMPUTED_VALUE"""),0.334)</f>
        <v>0.334</v>
      </c>
      <c r="Y2689" s="14" t="str">
        <f>IFERROR(__xludf.DUMMYFUNCTION("""COMPUTED_VALUE"""),"Zimbabwe-Africa")</f>
        <v>Zimbabwe-Africa</v>
      </c>
      <c r="Z2689" s="14" t="str">
        <f>IFERROR(__xludf.DUMMYFUNCTION("""COMPUTED_VALUE"""),"Africa")</f>
        <v>Africa</v>
      </c>
      <c r="AA2689" s="14" t="str">
        <f>IFERROR(__xludf.DUMMYFUNCTION("""COMPUTED_VALUE"""),"2009")</f>
        <v>2009</v>
      </c>
      <c r="AB2689" s="15" t="str">
        <f>IFERROR(__xludf.DUMMYFUNCTION("ARRAYFORMULA(VLOOKUP(A2689,IMPORTRANGE(""https://docs.google.com/spreadsheets/d/1BuTWp7qHGjWhqrnf-OmePP568O4A5Am9ttzvVdP67zw/edit#gid=1931367683"" ,""ENERGY!$A$2:$F$2692""), {2,3,4,5,6},0))"),"Africa")</f>
        <v>Africa</v>
      </c>
      <c r="AC2689" s="14" t="str">
        <f>IFERROR(__xludf.DUMMYFUNCTION("""COMPUTED_VALUE"""),"Zimbabwe-Africa")</f>
        <v>Zimbabwe-Africa</v>
      </c>
      <c r="AD2689" s="14" t="str">
        <f>IFERROR(__xludf.DUMMYFUNCTION("""COMPUTED_VALUE"""),"2012")</f>
        <v>2012</v>
      </c>
      <c r="AE2689" s="14">
        <f>IFERROR(__xludf.DUMMYFUNCTION("""COMPUTED_VALUE"""),9500.0)</f>
        <v>9500</v>
      </c>
      <c r="AF2689" s="14">
        <f>IFERROR(__xludf.DUMMYFUNCTION("""COMPUTED_VALUE"""),10627.0)</f>
        <v>10627</v>
      </c>
    </row>
    <row r="2690">
      <c r="A2690" s="12">
        <v>2689.0</v>
      </c>
      <c r="B2690" s="12" t="s">
        <v>285</v>
      </c>
      <c r="C2690" s="5" t="s">
        <v>77</v>
      </c>
      <c r="D2690" s="11">
        <v>0.391</v>
      </c>
      <c r="E2690" s="11">
        <v>90.0</v>
      </c>
      <c r="F2690" s="8"/>
      <c r="G2690" s="11">
        <v>242.0</v>
      </c>
      <c r="H2690" s="11">
        <v>0.115</v>
      </c>
      <c r="I2690" s="11">
        <v>0.589</v>
      </c>
      <c r="J2690" s="9" t="s">
        <v>71</v>
      </c>
      <c r="K2690" s="14" t="str">
        <f>IFERROR(__xludf.DUMMYFUNCTION("ARRAYFORMULA(VLOOKUP(A2690,IMPORTRANGE(""https://docs.google.com/spreadsheets/d/1BuTWp7qHGjWhqrnf-OmePP568O4A5Am9ttzvVdP67zw/edit#gid=1603210130"", ""TOURISM!$A$2:$F$2692""), {2,3,4,5,6},0))"),"Africa")</f>
        <v>Africa</v>
      </c>
      <c r="L2690" s="14">
        <f>IFERROR(__xludf.DUMMYFUNCTION("""COMPUTED_VALUE"""),6.34E8)</f>
        <v>634000000</v>
      </c>
      <c r="M2690" s="14" t="str">
        <f>IFERROR(__xludf.DUMMYFUNCTION("""COMPUTED_VALUE"""),"Zimbabwe-Africa")</f>
        <v>Zimbabwe-Africa</v>
      </c>
      <c r="N2690" s="14" t="str">
        <f>IFERROR(__xludf.DUMMYFUNCTION("""COMPUTED_VALUE"""),"2010")</f>
        <v>2010</v>
      </c>
      <c r="O2690" s="14"/>
      <c r="P2690" s="15">
        <f>IFERROR(__xludf.DUMMYFUNCTION("ARRAYFORMULA(VLOOKUP(A2690,IMPORTRANGE(""https://docs.google.com/spreadsheets/d/1BuTWp7qHGjWhqrnf-OmePP568O4A5Am9ttzvVdP67zw/edit#gid=771602874"" ,""HUMAN RESOURCES!$A$2:$M$2692""), {2,3,4,5,6,7,8,9,10,11,12,13},0))"),0.032)</f>
        <v>0.032</v>
      </c>
      <c r="Q2690" s="14">
        <f>IFERROR(__xludf.DUMMYFUNCTION("""COMPUTED_VALUE"""),0.059)</f>
        <v>0.059</v>
      </c>
      <c r="R2690" s="14">
        <f>IFERROR(__xludf.DUMMYFUNCTION("""COMPUTED_VALUE"""),54.0)</f>
        <v>54</v>
      </c>
      <c r="S2690" s="14">
        <f>IFERROR(__xludf.DUMMYFUNCTION("""COMPUTED_VALUE"""),53.0)</f>
        <v>53</v>
      </c>
      <c r="T2690" s="14">
        <f>IFERROR(__xludf.DUMMYFUNCTION("""COMPUTED_VALUE"""),0.412)</f>
        <v>0.412</v>
      </c>
      <c r="U2690" s="14">
        <f>IFERROR(__xludf.DUMMYFUNCTION("""COMPUTED_VALUE"""),0.548)</f>
        <v>0.548</v>
      </c>
      <c r="V2690" s="14">
        <f>IFERROR(__xludf.DUMMYFUNCTION("""COMPUTED_VALUE"""),0.04)</f>
        <v>0.04</v>
      </c>
      <c r="W2690" s="14">
        <f>IFERROR(__xludf.DUMMYFUNCTION("""COMPUTED_VALUE"""),1.3076978E7)</f>
        <v>13076978</v>
      </c>
      <c r="X2690" s="14">
        <f>IFERROR(__xludf.DUMMYFUNCTION("""COMPUTED_VALUE"""),0.332)</f>
        <v>0.332</v>
      </c>
      <c r="Y2690" s="14" t="str">
        <f>IFERROR(__xludf.DUMMYFUNCTION("""COMPUTED_VALUE"""),"Zimbabwe-Africa")</f>
        <v>Zimbabwe-Africa</v>
      </c>
      <c r="Z2690" s="14" t="str">
        <f>IFERROR(__xludf.DUMMYFUNCTION("""COMPUTED_VALUE"""),"Africa")</f>
        <v>Africa</v>
      </c>
      <c r="AA2690" s="14" t="str">
        <f>IFERROR(__xludf.DUMMYFUNCTION("""COMPUTED_VALUE"""),"2010")</f>
        <v>2010</v>
      </c>
      <c r="AB2690" s="15" t="str">
        <f>IFERROR(__xludf.DUMMYFUNCTION("ARRAYFORMULA(VLOOKUP(A2690,IMPORTRANGE(""https://docs.google.com/spreadsheets/d/1BuTWp7qHGjWhqrnf-OmePP568O4A5Am9ttzvVdP67zw/edit#gid=1931367683"" ,""ENERGY!$A$2:$F$2692""), {2,3,4,5,6},0))"),"Africa")</f>
        <v>Africa</v>
      </c>
      <c r="AC2690" s="14" t="str">
        <f>IFERROR(__xludf.DUMMYFUNCTION("""COMPUTED_VALUE"""),"Zimbabwe-Africa")</f>
        <v>Zimbabwe-Africa</v>
      </c>
      <c r="AD2690" s="14" t="str">
        <f>IFERROR(__xludf.DUMMYFUNCTION("""COMPUTED_VALUE"""),"2011")</f>
        <v>2011</v>
      </c>
      <c r="AE2690" s="14">
        <f>IFERROR(__xludf.DUMMYFUNCTION("""COMPUTED_VALUE"""),9692.0)</f>
        <v>9692</v>
      </c>
      <c r="AF2690" s="14">
        <f>IFERROR(__xludf.DUMMYFUNCTION("""COMPUTED_VALUE"""),11932.0)</f>
        <v>11932</v>
      </c>
    </row>
    <row r="2691">
      <c r="A2691" s="12">
        <v>2690.0</v>
      </c>
      <c r="B2691" s="12" t="s">
        <v>285</v>
      </c>
      <c r="C2691" s="5" t="s">
        <v>77</v>
      </c>
      <c r="D2691" s="11">
        <v>0.343</v>
      </c>
      <c r="E2691" s="11">
        <v>90.0</v>
      </c>
      <c r="F2691" s="8"/>
      <c r="G2691" s="11">
        <v>242.0</v>
      </c>
      <c r="H2691" s="11">
        <v>0.157</v>
      </c>
      <c r="I2691" s="11">
        <v>0.689</v>
      </c>
      <c r="J2691" s="9" t="s">
        <v>72</v>
      </c>
      <c r="K2691" s="14" t="str">
        <f>IFERROR(__xludf.DUMMYFUNCTION("ARRAYFORMULA(VLOOKUP(A2691,IMPORTRANGE(""https://docs.google.com/spreadsheets/d/1BuTWp7qHGjWhqrnf-OmePP568O4A5Am9ttzvVdP67zw/edit#gid=1603210130"", ""TOURISM!$A$2:$F$2692""), {2,3,4,5,6},0))"),"Africa")</f>
        <v>Africa</v>
      </c>
      <c r="L2691" s="14">
        <f>IFERROR(__xludf.DUMMYFUNCTION("""COMPUTED_VALUE"""),6.64E8)</f>
        <v>664000000</v>
      </c>
      <c r="M2691" s="14" t="str">
        <f>IFERROR(__xludf.DUMMYFUNCTION("""COMPUTED_VALUE"""),"Zimbabwe-Africa")</f>
        <v>Zimbabwe-Africa</v>
      </c>
      <c r="N2691" s="14" t="str">
        <f>IFERROR(__xludf.DUMMYFUNCTION("""COMPUTED_VALUE"""),"2011")</f>
        <v>2011</v>
      </c>
      <c r="O2691" s="14"/>
      <c r="P2691" s="15">
        <f>IFERROR(__xludf.DUMMYFUNCTION("ARRAYFORMULA(VLOOKUP(A2691,IMPORTRANGE(""https://docs.google.com/spreadsheets/d/1BuTWp7qHGjWhqrnf-OmePP568O4A5Am9ttzvVdP67zw/edit#gid=771602874"" ,""HUMAN RESOURCES!$A$2:$M$2692""), {2,3,4,5,6,7,8,9,10,11,12,13},0))"),0.032)</f>
        <v>0.032</v>
      </c>
      <c r="Q2691" s="14">
        <f>IFERROR(__xludf.DUMMYFUNCTION("""COMPUTED_VALUE"""),0.058)</f>
        <v>0.058</v>
      </c>
      <c r="R2691" s="14">
        <f>IFERROR(__xludf.DUMMYFUNCTION("""COMPUTED_VALUE"""),56.0)</f>
        <v>56</v>
      </c>
      <c r="S2691" s="14">
        <f>IFERROR(__xludf.DUMMYFUNCTION("""COMPUTED_VALUE"""),55.0)</f>
        <v>55</v>
      </c>
      <c r="T2691" s="14">
        <f>IFERROR(__xludf.DUMMYFUNCTION("""COMPUTED_VALUE"""),0.408)</f>
        <v>0.408</v>
      </c>
      <c r="U2691" s="14">
        <f>IFERROR(__xludf.DUMMYFUNCTION("""COMPUTED_VALUE"""),0.552)</f>
        <v>0.552</v>
      </c>
      <c r="V2691" s="14">
        <f>IFERROR(__xludf.DUMMYFUNCTION("""COMPUTED_VALUE"""),0.04)</f>
        <v>0.04</v>
      </c>
      <c r="W2691" s="14">
        <f>IFERROR(__xludf.DUMMYFUNCTION("""COMPUTED_VALUE"""),1.3358738E7)</f>
        <v>13358738</v>
      </c>
      <c r="X2691" s="14">
        <f>IFERROR(__xludf.DUMMYFUNCTION("""COMPUTED_VALUE"""),0.33)</f>
        <v>0.33</v>
      </c>
      <c r="Y2691" s="14" t="str">
        <f>IFERROR(__xludf.DUMMYFUNCTION("""COMPUTED_VALUE"""),"Zimbabwe-Africa")</f>
        <v>Zimbabwe-Africa</v>
      </c>
      <c r="Z2691" s="14" t="str">
        <f>IFERROR(__xludf.DUMMYFUNCTION("""COMPUTED_VALUE"""),"Africa")</f>
        <v>Africa</v>
      </c>
      <c r="AA2691" s="14" t="str">
        <f>IFERROR(__xludf.DUMMYFUNCTION("""COMPUTED_VALUE"""),"2011")</f>
        <v>2011</v>
      </c>
      <c r="AB2691" s="15" t="str">
        <f>IFERROR(__xludf.DUMMYFUNCTION("ARRAYFORMULA(VLOOKUP(A2691,IMPORTRANGE(""https://docs.google.com/spreadsheets/d/1BuTWp7qHGjWhqrnf-OmePP568O4A5Am9ttzvVdP67zw/edit#gid=1931367683"" ,""ENERGY!$A$2:$F$2692""), {2,3,4,5,6},0))"),"Africa")</f>
        <v>Africa</v>
      </c>
      <c r="AC2691" s="14" t="str">
        <f>IFERROR(__xludf.DUMMYFUNCTION("""COMPUTED_VALUE"""),"Zimbabwe-Africa")</f>
        <v>Zimbabwe-Africa</v>
      </c>
      <c r="AD2691" s="14" t="str">
        <f>IFERROR(__xludf.DUMMYFUNCTION("""COMPUTED_VALUE"""),"2008")</f>
        <v>2008</v>
      </c>
      <c r="AE2691" s="14">
        <f>IFERROR(__xludf.DUMMYFUNCTION("""COMPUTED_VALUE"""),9690.0)</f>
        <v>9690</v>
      </c>
      <c r="AF2691" s="14">
        <f>IFERROR(__xludf.DUMMYFUNCTION("""COMPUTED_VALUE"""),12563.0)</f>
        <v>12563</v>
      </c>
    </row>
    <row r="2692">
      <c r="A2692" s="12">
        <v>2691.0</v>
      </c>
      <c r="B2692" s="12" t="s">
        <v>285</v>
      </c>
      <c r="C2692" s="5" t="s">
        <v>77</v>
      </c>
      <c r="D2692" s="11">
        <v>0.345</v>
      </c>
      <c r="E2692" s="11">
        <v>90.0</v>
      </c>
      <c r="F2692" s="11">
        <v>168.0</v>
      </c>
      <c r="G2692" s="11">
        <v>242.0</v>
      </c>
      <c r="H2692" s="11">
        <v>0.171</v>
      </c>
      <c r="I2692" s="11">
        <v>0.919</v>
      </c>
      <c r="J2692" s="9" t="s">
        <v>73</v>
      </c>
      <c r="K2692" s="14" t="str">
        <f>IFERROR(__xludf.DUMMYFUNCTION("ARRAYFORMULA(VLOOKUP(A2692,IMPORTRANGE(""https://docs.google.com/spreadsheets/d/1BuTWp7qHGjWhqrnf-OmePP568O4A5Am9ttzvVdP67zw/edit#gid=1603210130"", ""TOURISM!$A$2:$F$2692""), {2,3,4,5,6},0))"),"Africa")</f>
        <v>Africa</v>
      </c>
      <c r="L2692" s="14">
        <f>IFERROR(__xludf.DUMMYFUNCTION("""COMPUTED_VALUE"""),7.49E8)</f>
        <v>749000000</v>
      </c>
      <c r="M2692" s="14" t="str">
        <f>IFERROR(__xludf.DUMMYFUNCTION("""COMPUTED_VALUE"""),"Zimbabwe-Africa")</f>
        <v>Zimbabwe-Africa</v>
      </c>
      <c r="N2692" s="14" t="str">
        <f>IFERROR(__xludf.DUMMYFUNCTION("""COMPUTED_VALUE"""),"2012")</f>
        <v>2012</v>
      </c>
      <c r="O2692" s="14"/>
      <c r="P2692" s="15">
        <f>IFERROR(__xludf.DUMMYFUNCTION("ARRAYFORMULA(VLOOKUP(A2692,IMPORTRANGE(""https://docs.google.com/spreadsheets/d/1BuTWp7qHGjWhqrnf-OmePP568O4A5Am9ttzvVdP67zw/edit#gid=771602874"" ,""HUMAN RESOURCES!$A$2:$M$2692""), {2,3,4,5,6,7,8,9,10,11,12,13},0))"),0.032)</f>
        <v>0.032</v>
      </c>
      <c r="Q2692" s="14">
        <f>IFERROR(__xludf.DUMMYFUNCTION("""COMPUTED_VALUE"""),0.055)</f>
        <v>0.055</v>
      </c>
      <c r="R2692" s="14">
        <f>IFERROR(__xludf.DUMMYFUNCTION("""COMPUTED_VALUE"""),59.0)</f>
        <v>59</v>
      </c>
      <c r="S2692" s="14">
        <f>IFERROR(__xludf.DUMMYFUNCTION("""COMPUTED_VALUE"""),57.0)</f>
        <v>57</v>
      </c>
      <c r="T2692" s="14">
        <f>IFERROR(__xludf.DUMMYFUNCTION("""COMPUTED_VALUE"""),0.402)</f>
        <v>0.402</v>
      </c>
      <c r="U2692" s="14">
        <f>IFERROR(__xludf.DUMMYFUNCTION("""COMPUTED_VALUE"""),0.558)</f>
        <v>0.558</v>
      </c>
      <c r="V2692" s="14">
        <f>IFERROR(__xludf.DUMMYFUNCTION("""COMPUTED_VALUE"""),0.039)</f>
        <v>0.039</v>
      </c>
      <c r="W2692" s="14">
        <f>IFERROR(__xludf.DUMMYFUNCTION("""COMPUTED_VALUE"""),1.3724317E7)</f>
        <v>13724317</v>
      </c>
      <c r="X2692" s="14">
        <f>IFERROR(__xludf.DUMMYFUNCTION("""COMPUTED_VALUE"""),0.328)</f>
        <v>0.328</v>
      </c>
      <c r="Y2692" s="14" t="str">
        <f>IFERROR(__xludf.DUMMYFUNCTION("""COMPUTED_VALUE"""),"Zimbabwe-Africa")</f>
        <v>Zimbabwe-Africa</v>
      </c>
      <c r="Z2692" s="14" t="str">
        <f>IFERROR(__xludf.DUMMYFUNCTION("""COMPUTED_VALUE"""),"Africa")</f>
        <v>Africa</v>
      </c>
      <c r="AA2692" s="14" t="str">
        <f>IFERROR(__xludf.DUMMYFUNCTION("""COMPUTED_VALUE"""),"2012")</f>
        <v>2012</v>
      </c>
      <c r="AB2692" s="15" t="str">
        <f>IFERROR(__xludf.DUMMYFUNCTION("ARRAYFORMULA(VLOOKUP(A2692,IMPORTRANGE(""https://docs.google.com/spreadsheets/d/1BuTWp7qHGjWhqrnf-OmePP568O4A5Am9ttzvVdP67zw/edit#gid=1931367683"" ,""ENERGY!$A$2:$F$2692""), {2,3,4,5,6},0))"),"Africa")</f>
        <v>Africa</v>
      </c>
      <c r="AC2692" s="14" t="str">
        <f>IFERROR(__xludf.DUMMYFUNCTION("""COMPUTED_VALUE"""),"Zimbabwe-Africa")</f>
        <v>Zimbabwe-Africa</v>
      </c>
      <c r="AD2692" s="14" t="str">
        <f>IFERROR(__xludf.DUMMYFUNCTION("""COMPUTED_VALUE"""),"2012")</f>
        <v>2012</v>
      </c>
      <c r="AE2692" s="14">
        <f>IFERROR(__xludf.DUMMYFUNCTION("""COMPUTED_VALUE"""),9865.0)</f>
        <v>9865</v>
      </c>
      <c r="AF2692" s="14">
        <f>IFERROR(__xludf.DUMMYFUNCTION("""COMPUTED_VALUE"""),13887.0)</f>
        <v>13887</v>
      </c>
    </row>
    <row r="2693">
      <c r="A2693" s="12"/>
      <c r="B2693" s="12"/>
      <c r="C2693" s="5"/>
      <c r="D2693" s="11"/>
      <c r="E2693" s="11"/>
      <c r="F2693" s="11"/>
      <c r="G2693" s="11"/>
      <c r="H2693" s="11"/>
      <c r="I2693" s="11"/>
      <c r="J2693" s="9"/>
      <c r="P2693" s="15"/>
    </row>
    <row r="2694">
      <c r="A2694" s="12"/>
      <c r="B2694" s="12"/>
      <c r="C2694" s="5"/>
      <c r="D2694" s="11"/>
      <c r="E2694" s="11"/>
      <c r="F2694" s="11"/>
      <c r="G2694" s="11"/>
      <c r="H2694" s="11"/>
      <c r="I2694" s="11"/>
      <c r="J2694" s="9"/>
      <c r="P2694" s="15"/>
    </row>
    <row r="2695">
      <c r="A2695" s="12"/>
      <c r="B2695" s="12"/>
      <c r="C2695" s="5"/>
      <c r="D2695" s="11"/>
      <c r="E2695" s="11"/>
      <c r="F2695" s="11"/>
      <c r="G2695" s="11"/>
      <c r="H2695" s="11"/>
      <c r="I2695" s="11"/>
      <c r="J2695" s="9"/>
      <c r="P2695" s="15"/>
    </row>
    <row r="2696">
      <c r="A2696" s="12"/>
      <c r="B2696" s="12"/>
      <c r="C2696" s="5"/>
      <c r="D2696" s="11"/>
      <c r="E2696" s="11"/>
      <c r="F2696" s="11"/>
      <c r="G2696" s="11"/>
      <c r="H2696" s="11"/>
      <c r="I2696" s="11"/>
      <c r="J2696" s="9"/>
      <c r="P2696" s="15"/>
    </row>
    <row r="2697">
      <c r="A2697" s="12"/>
      <c r="B2697" s="12"/>
      <c r="C2697" s="5"/>
      <c r="D2697" s="11"/>
      <c r="E2697" s="11"/>
      <c r="F2697" s="11"/>
      <c r="G2697" s="11"/>
      <c r="H2697" s="11"/>
      <c r="I2697" s="11"/>
      <c r="J2697" s="9"/>
      <c r="P2697" s="15"/>
    </row>
    <row r="2698">
      <c r="A2698" s="12"/>
      <c r="B2698" s="12"/>
      <c r="C2698" s="5"/>
      <c r="D2698" s="11"/>
      <c r="E2698" s="11"/>
      <c r="F2698" s="11"/>
      <c r="G2698" s="11"/>
      <c r="H2698" s="11"/>
      <c r="I2698" s="11"/>
      <c r="J2698" s="9"/>
      <c r="P2698" s="15"/>
    </row>
    <row r="2699">
      <c r="A2699" s="12"/>
      <c r="B2699" s="12"/>
      <c r="C2699" s="5"/>
      <c r="D2699" s="11"/>
      <c r="E2699" s="11"/>
      <c r="F2699" s="11"/>
      <c r="G2699" s="11"/>
      <c r="H2699" s="11"/>
      <c r="I2699" s="11"/>
      <c r="J2699" s="9"/>
      <c r="P2699" s="15"/>
    </row>
    <row r="2700">
      <c r="A2700" s="12"/>
      <c r="B2700" s="12"/>
      <c r="C2700" s="5"/>
      <c r="D2700" s="11"/>
      <c r="E2700" s="11"/>
      <c r="F2700" s="11"/>
      <c r="G2700" s="11"/>
      <c r="H2700" s="11"/>
      <c r="I2700" s="11"/>
      <c r="J2700" s="9"/>
      <c r="P2700" s="15"/>
    </row>
    <row r="2701">
      <c r="A2701" s="12"/>
      <c r="B2701" s="12"/>
      <c r="C2701" s="5"/>
      <c r="D2701" s="11"/>
      <c r="E2701" s="11"/>
      <c r="F2701" s="11"/>
      <c r="G2701" s="11"/>
      <c r="H2701" s="11"/>
      <c r="I2701" s="11"/>
      <c r="J2701" s="9"/>
      <c r="P2701" s="15"/>
    </row>
    <row r="2702">
      <c r="A2702" s="12"/>
      <c r="B2702" s="12"/>
      <c r="C2702" s="5"/>
      <c r="D2702" s="11"/>
      <c r="E2702" s="11"/>
      <c r="F2702" s="11"/>
      <c r="G2702" s="11"/>
      <c r="H2702" s="11"/>
      <c r="I2702" s="11"/>
      <c r="J2702" s="9"/>
      <c r="P2702" s="15"/>
    </row>
    <row r="2703">
      <c r="A2703" s="12"/>
      <c r="B2703" s="12"/>
      <c r="C2703" s="5"/>
      <c r="D2703" s="11"/>
      <c r="E2703" s="11"/>
      <c r="F2703" s="11"/>
      <c r="G2703" s="11"/>
      <c r="H2703" s="11"/>
      <c r="I2703" s="11"/>
      <c r="J2703" s="9"/>
      <c r="P2703" s="15"/>
    </row>
    <row r="2704">
      <c r="A2704" s="12"/>
      <c r="B2704" s="12"/>
      <c r="C2704" s="5"/>
      <c r="D2704" s="11"/>
      <c r="E2704" s="11"/>
      <c r="F2704" s="11"/>
      <c r="G2704" s="11"/>
      <c r="H2704" s="11"/>
      <c r="I2704" s="11"/>
      <c r="J2704" s="9"/>
      <c r="P2704" s="15"/>
    </row>
    <row r="2705">
      <c r="A2705" s="12"/>
      <c r="B2705" s="12"/>
      <c r="C2705" s="5"/>
      <c r="D2705" s="11"/>
      <c r="E2705" s="11"/>
      <c r="F2705" s="11"/>
      <c r="G2705" s="11"/>
      <c r="H2705" s="11"/>
      <c r="I2705" s="11"/>
      <c r="J2705" s="9"/>
      <c r="P2705" s="15"/>
    </row>
    <row r="2706">
      <c r="A2706" s="12"/>
      <c r="B2706" s="12"/>
      <c r="C2706" s="5"/>
      <c r="D2706" s="11"/>
      <c r="E2706" s="11"/>
      <c r="F2706" s="11"/>
      <c r="G2706" s="11"/>
      <c r="H2706" s="11"/>
      <c r="I2706" s="11"/>
      <c r="J2706" s="9"/>
      <c r="P2706" s="15"/>
    </row>
    <row r="2707">
      <c r="A2707" s="12"/>
      <c r="B2707" s="12"/>
      <c r="C2707" s="5"/>
      <c r="D2707" s="11"/>
      <c r="E2707" s="11"/>
      <c r="F2707" s="11"/>
      <c r="G2707" s="11"/>
      <c r="H2707" s="11"/>
      <c r="I2707" s="11"/>
      <c r="J2707" s="9"/>
      <c r="P2707" s="15"/>
    </row>
    <row r="2708">
      <c r="A2708" s="12"/>
      <c r="B2708" s="12"/>
      <c r="C2708" s="5"/>
      <c r="D2708" s="11"/>
      <c r="E2708" s="11"/>
      <c r="F2708" s="11"/>
      <c r="G2708" s="11"/>
      <c r="H2708" s="11"/>
      <c r="I2708" s="11"/>
      <c r="J2708" s="9"/>
      <c r="P2708" s="15"/>
    </row>
    <row r="2709">
      <c r="A2709" s="12"/>
      <c r="B2709" s="12"/>
      <c r="C2709" s="5"/>
      <c r="D2709" s="11"/>
      <c r="E2709" s="11"/>
      <c r="F2709" s="11"/>
      <c r="G2709" s="11"/>
      <c r="H2709" s="11"/>
      <c r="I2709" s="11"/>
      <c r="J2709" s="9"/>
      <c r="P2709" s="15"/>
    </row>
    <row r="2710">
      <c r="A2710" s="12"/>
      <c r="B2710" s="12"/>
      <c r="C2710" s="5"/>
      <c r="D2710" s="11"/>
      <c r="E2710" s="11"/>
      <c r="F2710" s="11"/>
      <c r="G2710" s="11"/>
      <c r="H2710" s="11"/>
      <c r="I2710" s="11"/>
      <c r="J2710" s="9"/>
      <c r="P2710" s="15"/>
    </row>
    <row r="2711">
      <c r="A2711" s="12"/>
      <c r="B2711" s="12"/>
      <c r="C2711" s="5"/>
      <c r="D2711" s="11"/>
      <c r="E2711" s="11"/>
      <c r="F2711" s="11"/>
      <c r="G2711" s="11"/>
      <c r="H2711" s="11"/>
      <c r="I2711" s="11"/>
      <c r="J2711" s="9"/>
      <c r="P2711" s="15"/>
    </row>
    <row r="2712">
      <c r="A2712" s="12"/>
      <c r="B2712" s="12"/>
      <c r="C2712" s="5"/>
      <c r="D2712" s="11"/>
      <c r="E2712" s="11"/>
      <c r="F2712" s="11"/>
      <c r="G2712" s="11"/>
      <c r="H2712" s="11"/>
      <c r="I2712" s="11"/>
      <c r="J2712" s="9"/>
      <c r="P2712" s="15"/>
    </row>
    <row r="2713">
      <c r="A2713" s="12"/>
      <c r="B2713" s="12"/>
      <c r="C2713" s="5"/>
      <c r="D2713" s="11"/>
      <c r="E2713" s="11"/>
      <c r="F2713" s="11"/>
      <c r="G2713" s="11"/>
      <c r="H2713" s="11"/>
      <c r="I2713" s="11"/>
      <c r="J2713" s="9"/>
      <c r="P2713" s="15"/>
    </row>
    <row r="2714">
      <c r="A2714" s="12"/>
      <c r="B2714" s="12"/>
      <c r="C2714" s="5"/>
      <c r="D2714" s="11"/>
      <c r="E2714" s="11"/>
      <c r="F2714" s="11"/>
      <c r="G2714" s="11"/>
      <c r="H2714" s="11"/>
      <c r="I2714" s="11"/>
      <c r="J2714" s="9"/>
      <c r="P2714" s="15"/>
    </row>
    <row r="2715">
      <c r="A2715" s="12"/>
      <c r="B2715" s="12"/>
      <c r="C2715" s="5"/>
      <c r="D2715" s="11"/>
      <c r="E2715" s="11"/>
      <c r="F2715" s="11"/>
      <c r="G2715" s="11"/>
      <c r="H2715" s="11"/>
      <c r="I2715" s="11"/>
      <c r="J2715" s="9"/>
      <c r="P2715" s="15"/>
    </row>
    <row r="2716">
      <c r="A2716" s="12"/>
      <c r="B2716" s="12"/>
      <c r="C2716" s="5"/>
      <c r="D2716" s="11"/>
      <c r="E2716" s="11"/>
      <c r="F2716" s="11"/>
      <c r="G2716" s="11"/>
      <c r="H2716" s="11"/>
      <c r="I2716" s="11"/>
      <c r="J2716" s="9"/>
      <c r="P2716" s="15"/>
    </row>
    <row r="2717">
      <c r="A2717" s="12"/>
      <c r="B2717" s="12"/>
      <c r="C2717" s="5"/>
      <c r="D2717" s="11"/>
      <c r="E2717" s="11"/>
      <c r="F2717" s="11"/>
      <c r="G2717" s="11"/>
      <c r="H2717" s="11"/>
      <c r="I2717" s="11"/>
      <c r="J2717" s="9"/>
      <c r="P2717" s="15"/>
    </row>
    <row r="2718">
      <c r="A2718" s="12"/>
      <c r="B2718" s="12"/>
      <c r="C2718" s="5"/>
      <c r="D2718" s="11"/>
      <c r="E2718" s="11"/>
      <c r="F2718" s="11"/>
      <c r="G2718" s="11"/>
      <c r="H2718" s="11"/>
      <c r="I2718" s="11"/>
      <c r="J2718" s="9"/>
      <c r="P2718" s="15"/>
    </row>
    <row r="2719">
      <c r="A2719" s="12"/>
      <c r="B2719" s="12"/>
      <c r="C2719" s="5"/>
      <c r="D2719" s="11"/>
      <c r="E2719" s="11"/>
      <c r="F2719" s="11"/>
      <c r="G2719" s="11"/>
      <c r="H2719" s="11"/>
      <c r="I2719" s="11"/>
      <c r="J2719" s="9"/>
      <c r="P2719" s="15"/>
    </row>
    <row r="2720">
      <c r="A2720" s="12"/>
      <c r="B2720" s="12"/>
      <c r="C2720" s="5"/>
      <c r="D2720" s="11"/>
      <c r="E2720" s="11"/>
      <c r="F2720" s="11"/>
      <c r="G2720" s="11"/>
      <c r="H2720" s="11"/>
      <c r="I2720" s="11"/>
      <c r="J2720" s="9"/>
      <c r="P2720" s="15"/>
    </row>
    <row r="2721">
      <c r="A2721" s="12"/>
      <c r="B2721" s="12"/>
      <c r="C2721" s="5"/>
      <c r="D2721" s="11"/>
      <c r="E2721" s="11"/>
      <c r="F2721" s="11"/>
      <c r="G2721" s="11"/>
      <c r="H2721" s="11"/>
      <c r="I2721" s="11"/>
      <c r="J2721" s="9"/>
      <c r="P2721" s="15"/>
    </row>
    <row r="2722">
      <c r="A2722" s="12"/>
      <c r="B2722" s="12"/>
      <c r="C2722" s="5"/>
      <c r="D2722" s="11"/>
      <c r="E2722" s="11"/>
      <c r="F2722" s="11"/>
      <c r="G2722" s="11"/>
      <c r="H2722" s="11"/>
      <c r="I2722" s="11"/>
      <c r="J2722" s="9"/>
      <c r="P2722" s="15"/>
    </row>
    <row r="2723">
      <c r="A2723" s="12"/>
      <c r="B2723" s="12"/>
      <c r="C2723" s="5"/>
      <c r="D2723" s="11"/>
      <c r="E2723" s="11"/>
      <c r="F2723" s="11"/>
      <c r="G2723" s="11"/>
      <c r="H2723" s="11"/>
      <c r="I2723" s="11"/>
      <c r="J2723" s="9"/>
      <c r="P2723" s="15"/>
    </row>
    <row r="2724">
      <c r="A2724" s="12"/>
      <c r="B2724" s="12"/>
      <c r="C2724" s="5"/>
      <c r="D2724" s="11"/>
      <c r="E2724" s="11"/>
      <c r="F2724" s="11"/>
      <c r="G2724" s="11"/>
      <c r="H2724" s="11"/>
      <c r="I2724" s="11"/>
      <c r="J2724" s="9"/>
      <c r="P2724" s="15"/>
    </row>
    <row r="2725">
      <c r="A2725" s="12"/>
      <c r="B2725" s="12"/>
      <c r="C2725" s="5"/>
      <c r="D2725" s="11"/>
      <c r="E2725" s="11"/>
      <c r="F2725" s="11"/>
      <c r="G2725" s="11"/>
      <c r="H2725" s="11"/>
      <c r="I2725" s="11"/>
      <c r="J2725" s="9"/>
      <c r="P2725" s="15"/>
    </row>
    <row r="2726">
      <c r="A2726" s="12"/>
      <c r="B2726" s="12"/>
      <c r="C2726" s="5"/>
      <c r="D2726" s="11"/>
      <c r="E2726" s="11"/>
      <c r="F2726" s="11"/>
      <c r="G2726" s="11"/>
      <c r="H2726" s="11"/>
      <c r="I2726" s="11"/>
      <c r="J2726" s="9"/>
      <c r="P2726" s="15"/>
    </row>
    <row r="2727">
      <c r="A2727" s="12"/>
      <c r="B2727" s="12"/>
      <c r="C2727" s="5"/>
      <c r="D2727" s="11"/>
      <c r="E2727" s="11"/>
      <c r="F2727" s="11"/>
      <c r="G2727" s="11"/>
      <c r="H2727" s="11"/>
      <c r="I2727" s="11"/>
      <c r="J2727" s="9"/>
      <c r="P2727" s="15"/>
    </row>
    <row r="2728">
      <c r="A2728" s="12"/>
      <c r="B2728" s="12"/>
      <c r="C2728" s="5"/>
      <c r="D2728" s="11"/>
      <c r="E2728" s="11"/>
      <c r="F2728" s="11"/>
      <c r="G2728" s="11"/>
      <c r="H2728" s="11"/>
      <c r="I2728" s="11"/>
      <c r="J2728" s="9"/>
      <c r="P2728" s="15"/>
    </row>
    <row r="2729">
      <c r="A2729" s="12"/>
      <c r="B2729" s="12"/>
      <c r="C2729" s="5"/>
      <c r="D2729" s="11"/>
      <c r="E2729" s="11"/>
      <c r="F2729" s="11"/>
      <c r="G2729" s="11"/>
      <c r="H2729" s="11"/>
      <c r="I2729" s="11"/>
      <c r="J2729" s="9"/>
      <c r="P2729" s="15"/>
    </row>
    <row r="2730">
      <c r="A2730" s="12"/>
      <c r="B2730" s="12"/>
      <c r="C2730" s="5"/>
      <c r="D2730" s="11"/>
      <c r="E2730" s="11"/>
      <c r="F2730" s="11"/>
      <c r="G2730" s="11"/>
      <c r="H2730" s="11"/>
      <c r="I2730" s="11"/>
      <c r="J2730" s="9"/>
      <c r="P2730" s="15"/>
    </row>
    <row r="2731">
      <c r="A2731" s="12"/>
      <c r="B2731" s="12"/>
      <c r="C2731" s="5"/>
      <c r="D2731" s="11"/>
      <c r="E2731" s="11"/>
      <c r="F2731" s="11"/>
      <c r="G2731" s="11"/>
      <c r="H2731" s="11"/>
      <c r="I2731" s="11"/>
      <c r="J2731" s="9"/>
      <c r="P2731" s="15"/>
    </row>
    <row r="2732">
      <c r="A2732" s="12"/>
      <c r="B2732" s="12"/>
      <c r="C2732" s="5"/>
      <c r="D2732" s="11"/>
      <c r="E2732" s="11"/>
      <c r="F2732" s="11"/>
      <c r="G2732" s="11"/>
      <c r="H2732" s="11"/>
      <c r="I2732" s="11"/>
      <c r="J2732" s="9"/>
      <c r="P2732" s="15"/>
    </row>
    <row r="2733">
      <c r="A2733" s="12"/>
      <c r="B2733" s="12"/>
      <c r="C2733" s="5"/>
      <c r="D2733" s="11"/>
      <c r="E2733" s="11"/>
      <c r="F2733" s="11"/>
      <c r="G2733" s="11"/>
      <c r="H2733" s="11"/>
      <c r="I2733" s="11"/>
      <c r="J2733" s="9"/>
      <c r="P2733" s="15"/>
    </row>
    <row r="2734">
      <c r="A2734" s="12"/>
      <c r="B2734" s="12"/>
      <c r="C2734" s="5"/>
      <c r="D2734" s="11"/>
      <c r="E2734" s="11"/>
      <c r="F2734" s="11"/>
      <c r="G2734" s="11"/>
      <c r="H2734" s="11"/>
      <c r="I2734" s="11"/>
      <c r="J2734" s="9"/>
      <c r="P2734" s="15"/>
    </row>
    <row r="2735">
      <c r="A2735" s="12"/>
      <c r="B2735" s="12"/>
      <c r="C2735" s="5"/>
      <c r="D2735" s="11"/>
      <c r="E2735" s="11"/>
      <c r="F2735" s="11"/>
      <c r="G2735" s="11"/>
      <c r="H2735" s="11"/>
      <c r="I2735" s="11"/>
      <c r="J2735" s="9"/>
      <c r="P2735" s="15"/>
    </row>
    <row r="2736">
      <c r="A2736" s="12"/>
      <c r="B2736" s="12"/>
      <c r="C2736" s="5"/>
      <c r="D2736" s="11"/>
      <c r="E2736" s="11"/>
      <c r="F2736" s="11"/>
      <c r="G2736" s="11"/>
      <c r="H2736" s="11"/>
      <c r="I2736" s="11"/>
      <c r="J2736" s="9"/>
      <c r="P2736" s="15"/>
    </row>
    <row r="2737">
      <c r="A2737" s="12"/>
      <c r="B2737" s="12"/>
      <c r="C2737" s="5"/>
      <c r="D2737" s="11"/>
      <c r="E2737" s="11"/>
      <c r="F2737" s="11"/>
      <c r="G2737" s="11"/>
      <c r="H2737" s="11"/>
      <c r="I2737" s="11"/>
      <c r="J2737" s="9"/>
      <c r="P2737" s="15"/>
    </row>
    <row r="2738">
      <c r="A2738" s="12"/>
      <c r="B2738" s="12"/>
      <c r="C2738" s="5"/>
      <c r="D2738" s="11"/>
      <c r="E2738" s="11"/>
      <c r="F2738" s="11"/>
      <c r="G2738" s="11"/>
      <c r="H2738" s="11"/>
      <c r="I2738" s="11"/>
      <c r="J2738" s="9"/>
      <c r="P2738" s="15"/>
    </row>
    <row r="2739">
      <c r="A2739" s="12"/>
      <c r="B2739" s="12"/>
      <c r="C2739" s="5"/>
      <c r="D2739" s="11"/>
      <c r="E2739" s="11"/>
      <c r="F2739" s="11"/>
      <c r="G2739" s="11"/>
      <c r="H2739" s="11"/>
      <c r="I2739" s="11"/>
      <c r="J2739" s="9"/>
      <c r="P2739" s="15"/>
    </row>
    <row r="2740">
      <c r="A2740" s="12"/>
      <c r="B2740" s="12"/>
      <c r="C2740" s="5"/>
      <c r="D2740" s="11"/>
      <c r="E2740" s="11"/>
      <c r="F2740" s="11"/>
      <c r="G2740" s="11"/>
      <c r="H2740" s="11"/>
      <c r="I2740" s="11"/>
      <c r="J2740" s="9"/>
      <c r="P2740" s="15"/>
    </row>
    <row r="2741">
      <c r="A2741" s="12"/>
      <c r="B2741" s="12"/>
      <c r="C2741" s="5"/>
      <c r="D2741" s="11"/>
      <c r="E2741" s="11"/>
      <c r="F2741" s="11"/>
      <c r="G2741" s="11"/>
      <c r="H2741" s="11"/>
      <c r="I2741" s="11"/>
      <c r="J2741" s="9"/>
      <c r="P2741" s="15"/>
    </row>
    <row r="2742">
      <c r="A2742" s="12"/>
      <c r="B2742" s="12"/>
      <c r="C2742" s="5"/>
      <c r="D2742" s="11"/>
      <c r="E2742" s="11"/>
      <c r="F2742" s="11"/>
      <c r="G2742" s="11"/>
      <c r="H2742" s="11"/>
      <c r="I2742" s="11"/>
      <c r="J2742" s="9"/>
      <c r="P2742" s="15"/>
    </row>
    <row r="2743">
      <c r="A2743" s="12"/>
      <c r="B2743" s="12"/>
      <c r="C2743" s="5"/>
      <c r="D2743" s="11"/>
      <c r="E2743" s="11"/>
      <c r="F2743" s="11"/>
      <c r="G2743" s="11"/>
      <c r="H2743" s="11"/>
      <c r="I2743" s="11"/>
      <c r="J2743" s="9"/>
      <c r="P2743" s="15"/>
    </row>
    <row r="2744">
      <c r="A2744" s="12"/>
      <c r="B2744" s="12"/>
      <c r="C2744" s="5"/>
      <c r="D2744" s="11"/>
      <c r="E2744" s="11"/>
      <c r="F2744" s="11"/>
      <c r="G2744" s="11"/>
      <c r="H2744" s="11"/>
      <c r="I2744" s="11"/>
      <c r="J2744" s="9"/>
      <c r="P2744" s="15"/>
    </row>
    <row r="2745">
      <c r="A2745" s="12"/>
      <c r="B2745" s="12"/>
      <c r="C2745" s="5"/>
      <c r="D2745" s="11"/>
      <c r="E2745" s="11"/>
      <c r="F2745" s="11"/>
      <c r="G2745" s="11"/>
      <c r="H2745" s="11"/>
      <c r="I2745" s="11"/>
      <c r="J2745" s="9"/>
      <c r="P2745" s="15"/>
    </row>
    <row r="2746">
      <c r="A2746" s="12"/>
      <c r="B2746" s="12"/>
      <c r="C2746" s="5"/>
      <c r="D2746" s="11"/>
      <c r="E2746" s="11"/>
      <c r="F2746" s="11"/>
      <c r="G2746" s="11"/>
      <c r="H2746" s="11"/>
      <c r="I2746" s="11"/>
      <c r="J2746" s="9"/>
      <c r="P2746" s="15"/>
    </row>
    <row r="2747">
      <c r="A2747" s="12"/>
      <c r="B2747" s="12"/>
      <c r="C2747" s="5"/>
      <c r="D2747" s="11"/>
      <c r="E2747" s="11"/>
      <c r="F2747" s="11"/>
      <c r="G2747" s="11"/>
      <c r="H2747" s="11"/>
      <c r="I2747" s="11"/>
      <c r="J2747" s="9"/>
      <c r="P2747" s="15"/>
    </row>
    <row r="2748">
      <c r="A2748" s="12"/>
      <c r="B2748" s="12"/>
      <c r="C2748" s="5"/>
      <c r="D2748" s="11"/>
      <c r="E2748" s="11"/>
      <c r="F2748" s="11"/>
      <c r="G2748" s="11"/>
      <c r="H2748" s="11"/>
      <c r="I2748" s="11"/>
      <c r="J2748" s="9"/>
      <c r="P2748" s="15"/>
    </row>
    <row r="2749">
      <c r="A2749" s="12"/>
      <c r="B2749" s="12"/>
      <c r="C2749" s="5"/>
      <c r="D2749" s="11"/>
      <c r="E2749" s="11"/>
      <c r="F2749" s="11"/>
      <c r="G2749" s="11"/>
      <c r="H2749" s="11"/>
      <c r="I2749" s="11"/>
      <c r="J2749" s="9"/>
      <c r="P2749" s="15"/>
    </row>
    <row r="2750">
      <c r="A2750" s="12"/>
      <c r="B2750" s="12"/>
      <c r="C2750" s="5"/>
      <c r="D2750" s="11"/>
      <c r="E2750" s="11"/>
      <c r="F2750" s="11"/>
      <c r="G2750" s="11"/>
      <c r="H2750" s="11"/>
      <c r="I2750" s="11"/>
      <c r="J2750" s="9"/>
      <c r="P2750" s="15"/>
    </row>
    <row r="2751">
      <c r="A2751" s="12"/>
      <c r="B2751" s="12"/>
      <c r="C2751" s="5"/>
      <c r="D2751" s="11"/>
      <c r="E2751" s="11"/>
      <c r="F2751" s="11"/>
      <c r="G2751" s="11"/>
      <c r="H2751" s="11"/>
      <c r="I2751" s="11"/>
      <c r="J2751" s="9"/>
      <c r="P2751" s="15"/>
    </row>
    <row r="2752">
      <c r="A2752" s="12"/>
      <c r="B2752" s="12"/>
      <c r="C2752" s="5"/>
      <c r="D2752" s="11"/>
      <c r="E2752" s="11"/>
      <c r="F2752" s="11"/>
      <c r="G2752" s="11"/>
      <c r="H2752" s="11"/>
      <c r="I2752" s="11"/>
      <c r="J2752" s="9"/>
      <c r="P2752" s="15"/>
    </row>
    <row r="2753">
      <c r="A2753" s="12"/>
      <c r="B2753" s="12"/>
      <c r="C2753" s="5"/>
      <c r="D2753" s="11"/>
      <c r="E2753" s="11"/>
      <c r="F2753" s="11"/>
      <c r="G2753" s="11"/>
      <c r="H2753" s="11"/>
      <c r="I2753" s="11"/>
      <c r="J2753" s="9"/>
      <c r="P2753" s="15"/>
    </row>
    <row r="2754">
      <c r="A2754" s="12"/>
      <c r="B2754" s="12"/>
      <c r="C2754" s="5"/>
      <c r="D2754" s="11"/>
      <c r="E2754" s="11"/>
      <c r="F2754" s="11"/>
      <c r="G2754" s="11"/>
      <c r="H2754" s="11"/>
      <c r="I2754" s="11"/>
      <c r="J2754" s="9"/>
      <c r="P2754" s="15"/>
    </row>
    <row r="2755">
      <c r="A2755" s="12"/>
      <c r="B2755" s="12"/>
      <c r="C2755" s="5"/>
      <c r="D2755" s="11"/>
      <c r="E2755" s="11"/>
      <c r="F2755" s="11"/>
      <c r="G2755" s="11"/>
      <c r="H2755" s="11"/>
      <c r="I2755" s="11"/>
      <c r="J2755" s="9"/>
      <c r="P2755" s="15"/>
    </row>
    <row r="2756">
      <c r="A2756" s="12"/>
      <c r="B2756" s="12"/>
      <c r="C2756" s="5"/>
      <c r="D2756" s="11"/>
      <c r="E2756" s="11"/>
      <c r="F2756" s="11"/>
      <c r="G2756" s="11"/>
      <c r="H2756" s="11"/>
      <c r="I2756" s="11"/>
      <c r="J2756" s="9"/>
      <c r="P2756" s="15"/>
    </row>
    <row r="2757">
      <c r="A2757" s="12"/>
      <c r="B2757" s="12"/>
      <c r="C2757" s="5"/>
      <c r="D2757" s="11"/>
      <c r="E2757" s="11"/>
      <c r="F2757" s="11"/>
      <c r="G2757" s="11"/>
      <c r="H2757" s="11"/>
      <c r="I2757" s="11"/>
      <c r="J2757" s="9"/>
      <c r="P2757" s="15"/>
    </row>
    <row r="2758">
      <c r="A2758" s="12"/>
      <c r="B2758" s="12"/>
      <c r="C2758" s="5"/>
      <c r="D2758" s="11"/>
      <c r="E2758" s="11"/>
      <c r="F2758" s="11"/>
      <c r="G2758" s="11"/>
      <c r="H2758" s="11"/>
      <c r="I2758" s="11"/>
      <c r="J2758" s="9"/>
      <c r="P2758" s="15"/>
    </row>
    <row r="2759">
      <c r="A2759" s="12"/>
      <c r="B2759" s="12"/>
      <c r="C2759" s="5"/>
      <c r="D2759" s="11"/>
      <c r="E2759" s="11"/>
      <c r="F2759" s="11"/>
      <c r="G2759" s="11"/>
      <c r="H2759" s="11"/>
      <c r="I2759" s="11"/>
      <c r="J2759" s="9"/>
      <c r="P2759" s="15"/>
    </row>
    <row r="2760">
      <c r="A2760" s="12"/>
      <c r="B2760" s="12"/>
      <c r="C2760" s="5"/>
      <c r="D2760" s="11"/>
      <c r="E2760" s="11"/>
      <c r="F2760" s="11"/>
      <c r="G2760" s="11"/>
      <c r="H2760" s="11"/>
      <c r="I2760" s="11"/>
      <c r="J2760" s="9"/>
      <c r="P2760" s="15"/>
    </row>
    <row r="2761">
      <c r="A2761" s="12"/>
      <c r="B2761" s="12"/>
      <c r="C2761" s="5"/>
      <c r="D2761" s="11"/>
      <c r="E2761" s="11"/>
      <c r="F2761" s="11"/>
      <c r="G2761" s="11"/>
      <c r="H2761" s="11"/>
      <c r="I2761" s="11"/>
      <c r="J2761" s="9"/>
      <c r="P2761" s="15"/>
    </row>
    <row r="2762">
      <c r="A2762" s="12"/>
      <c r="B2762" s="12"/>
      <c r="C2762" s="5"/>
      <c r="D2762" s="11"/>
      <c r="E2762" s="11"/>
      <c r="F2762" s="11"/>
      <c r="G2762" s="11"/>
      <c r="H2762" s="11"/>
      <c r="I2762" s="11"/>
      <c r="J2762" s="9"/>
      <c r="P2762" s="15"/>
    </row>
    <row r="2763">
      <c r="A2763" s="12"/>
      <c r="B2763" s="12"/>
      <c r="C2763" s="5"/>
      <c r="D2763" s="11"/>
      <c r="E2763" s="11"/>
      <c r="F2763" s="11"/>
      <c r="G2763" s="11"/>
      <c r="H2763" s="11"/>
      <c r="I2763" s="11"/>
      <c r="J2763" s="9"/>
      <c r="P2763" s="15"/>
    </row>
    <row r="2764">
      <c r="A2764" s="12"/>
      <c r="B2764" s="12"/>
      <c r="C2764" s="5"/>
      <c r="D2764" s="11"/>
      <c r="E2764" s="11"/>
      <c r="F2764" s="11"/>
      <c r="G2764" s="11"/>
      <c r="H2764" s="11"/>
      <c r="I2764" s="11"/>
      <c r="J2764" s="9"/>
      <c r="P2764" s="15"/>
    </row>
    <row r="2765">
      <c r="A2765" s="12"/>
      <c r="B2765" s="12"/>
      <c r="C2765" s="5"/>
      <c r="D2765" s="11"/>
      <c r="E2765" s="11"/>
      <c r="F2765" s="11"/>
      <c r="G2765" s="11"/>
      <c r="H2765" s="11"/>
      <c r="I2765" s="11"/>
      <c r="J2765" s="9"/>
      <c r="P2765" s="15"/>
    </row>
    <row r="2766">
      <c r="A2766" s="12"/>
      <c r="B2766" s="12"/>
      <c r="C2766" s="5"/>
      <c r="D2766" s="11"/>
      <c r="E2766" s="11"/>
      <c r="F2766" s="11"/>
      <c r="G2766" s="11"/>
      <c r="H2766" s="11"/>
      <c r="I2766" s="11"/>
      <c r="J2766" s="9"/>
      <c r="P2766" s="15"/>
    </row>
    <row r="2767">
      <c r="A2767" s="12"/>
      <c r="B2767" s="12"/>
      <c r="C2767" s="5"/>
      <c r="D2767" s="11"/>
      <c r="E2767" s="11"/>
      <c r="F2767" s="11"/>
      <c r="G2767" s="11"/>
      <c r="H2767" s="11"/>
      <c r="I2767" s="11"/>
      <c r="J2767" s="9"/>
      <c r="P2767" s="15"/>
    </row>
    <row r="2768">
      <c r="A2768" s="12"/>
      <c r="B2768" s="12"/>
      <c r="C2768" s="5"/>
      <c r="D2768" s="11"/>
      <c r="E2768" s="11"/>
      <c r="F2768" s="11"/>
      <c r="G2768" s="11"/>
      <c r="H2768" s="11"/>
      <c r="I2768" s="11"/>
      <c r="J2768" s="9"/>
      <c r="P2768" s="15"/>
    </row>
    <row r="2769">
      <c r="A2769" s="12"/>
      <c r="B2769" s="12"/>
      <c r="C2769" s="5"/>
      <c r="D2769" s="11"/>
      <c r="E2769" s="11"/>
      <c r="F2769" s="11"/>
      <c r="G2769" s="11"/>
      <c r="H2769" s="11"/>
      <c r="I2769" s="11"/>
      <c r="J2769" s="9"/>
      <c r="P2769" s="15"/>
    </row>
    <row r="2770">
      <c r="A2770" s="12"/>
      <c r="B2770" s="12"/>
      <c r="C2770" s="5"/>
      <c r="D2770" s="11"/>
      <c r="E2770" s="11"/>
      <c r="F2770" s="11"/>
      <c r="G2770" s="11"/>
      <c r="H2770" s="11"/>
      <c r="I2770" s="11"/>
      <c r="J2770" s="9"/>
      <c r="P2770" s="15"/>
    </row>
    <row r="2771">
      <c r="A2771" s="12"/>
      <c r="B2771" s="12"/>
      <c r="C2771" s="5"/>
      <c r="D2771" s="11"/>
      <c r="E2771" s="11"/>
      <c r="F2771" s="11"/>
      <c r="G2771" s="11"/>
      <c r="H2771" s="11"/>
      <c r="I2771" s="11"/>
      <c r="J2771" s="9"/>
      <c r="P2771" s="15"/>
    </row>
    <row r="2772">
      <c r="A2772" s="12"/>
      <c r="B2772" s="12"/>
      <c r="C2772" s="5"/>
      <c r="D2772" s="11"/>
      <c r="E2772" s="11"/>
      <c r="F2772" s="11"/>
      <c r="G2772" s="11"/>
      <c r="H2772" s="11"/>
      <c r="I2772" s="11"/>
      <c r="J2772" s="9"/>
      <c r="P2772" s="15"/>
    </row>
    <row r="2773">
      <c r="A2773" s="12"/>
      <c r="B2773" s="12"/>
      <c r="C2773" s="5"/>
      <c r="D2773" s="11"/>
      <c r="E2773" s="11"/>
      <c r="F2773" s="11"/>
      <c r="G2773" s="11"/>
      <c r="H2773" s="11"/>
      <c r="I2773" s="11"/>
      <c r="J2773" s="9"/>
      <c r="P2773" s="15"/>
    </row>
    <row r="2774">
      <c r="A2774" s="12"/>
      <c r="B2774" s="12"/>
      <c r="C2774" s="5"/>
      <c r="D2774" s="11"/>
      <c r="E2774" s="11"/>
      <c r="F2774" s="11"/>
      <c r="G2774" s="11"/>
      <c r="H2774" s="11"/>
      <c r="I2774" s="11"/>
      <c r="J2774" s="9"/>
      <c r="P2774" s="15"/>
    </row>
    <row r="2775">
      <c r="A2775" s="12"/>
      <c r="B2775" s="12"/>
      <c r="C2775" s="5"/>
      <c r="D2775" s="11"/>
      <c r="E2775" s="11"/>
      <c r="F2775" s="11"/>
      <c r="G2775" s="11"/>
      <c r="H2775" s="11"/>
      <c r="I2775" s="11"/>
      <c r="J2775" s="9"/>
      <c r="P2775" s="15"/>
    </row>
    <row r="2776">
      <c r="A2776" s="12"/>
      <c r="B2776" s="12"/>
      <c r="C2776" s="5"/>
      <c r="D2776" s="11"/>
      <c r="E2776" s="11"/>
      <c r="F2776" s="11"/>
      <c r="G2776" s="11"/>
      <c r="H2776" s="11"/>
      <c r="I2776" s="11"/>
      <c r="J2776" s="9"/>
      <c r="P2776" s="15"/>
    </row>
    <row r="2777">
      <c r="A2777" s="12"/>
      <c r="B2777" s="12"/>
      <c r="C2777" s="5"/>
      <c r="D2777" s="11"/>
      <c r="E2777" s="11"/>
      <c r="F2777" s="11"/>
      <c r="G2777" s="11"/>
      <c r="H2777" s="11"/>
      <c r="I2777" s="11"/>
      <c r="J2777" s="9"/>
      <c r="P2777" s="15"/>
    </row>
    <row r="2778">
      <c r="A2778" s="12"/>
      <c r="B2778" s="12"/>
      <c r="C2778" s="5"/>
      <c r="D2778" s="11"/>
      <c r="E2778" s="11"/>
      <c r="F2778" s="11"/>
      <c r="G2778" s="11"/>
      <c r="H2778" s="11"/>
      <c r="I2778" s="11"/>
      <c r="J2778" s="9"/>
      <c r="P2778" s="15"/>
    </row>
    <row r="2779">
      <c r="A2779" s="12"/>
      <c r="B2779" s="12"/>
      <c r="C2779" s="5"/>
      <c r="D2779" s="11"/>
      <c r="E2779" s="11"/>
      <c r="F2779" s="11"/>
      <c r="G2779" s="11"/>
      <c r="H2779" s="11"/>
      <c r="I2779" s="11"/>
      <c r="J2779" s="9"/>
      <c r="P2779" s="15"/>
    </row>
    <row r="2780">
      <c r="A2780" s="12"/>
      <c r="B2780" s="12"/>
      <c r="C2780" s="5"/>
      <c r="D2780" s="11"/>
      <c r="E2780" s="11"/>
      <c r="F2780" s="11"/>
      <c r="G2780" s="11"/>
      <c r="H2780" s="11"/>
      <c r="I2780" s="11"/>
      <c r="J2780" s="9"/>
      <c r="P2780" s="15"/>
    </row>
    <row r="2781">
      <c r="A2781" s="12"/>
      <c r="B2781" s="12"/>
      <c r="C2781" s="5"/>
      <c r="D2781" s="11"/>
      <c r="E2781" s="11"/>
      <c r="F2781" s="11"/>
      <c r="G2781" s="11"/>
      <c r="H2781" s="11"/>
      <c r="I2781" s="11"/>
      <c r="J2781" s="9"/>
      <c r="P2781" s="15"/>
    </row>
    <row r="2782">
      <c r="A2782" s="12"/>
      <c r="B2782" s="12"/>
      <c r="C2782" s="5"/>
      <c r="D2782" s="11"/>
      <c r="E2782" s="11"/>
      <c r="F2782" s="11"/>
      <c r="G2782" s="11"/>
      <c r="H2782" s="11"/>
      <c r="I2782" s="11"/>
      <c r="J2782" s="9"/>
      <c r="P2782" s="15"/>
    </row>
    <row r="2783">
      <c r="A2783" s="12"/>
      <c r="B2783" s="12"/>
      <c r="C2783" s="5"/>
      <c r="D2783" s="11"/>
      <c r="E2783" s="11"/>
      <c r="F2783" s="11"/>
      <c r="G2783" s="11"/>
      <c r="H2783" s="11"/>
      <c r="I2783" s="11"/>
      <c r="J2783" s="9"/>
      <c r="P2783" s="15"/>
    </row>
    <row r="2784">
      <c r="A2784" s="12"/>
      <c r="B2784" s="12"/>
      <c r="C2784" s="5"/>
      <c r="D2784" s="11"/>
      <c r="E2784" s="11"/>
      <c r="F2784" s="11"/>
      <c r="G2784" s="11"/>
      <c r="H2784" s="11"/>
      <c r="I2784" s="11"/>
      <c r="J2784" s="9"/>
      <c r="P2784" s="15"/>
    </row>
    <row r="2785">
      <c r="A2785" s="12"/>
      <c r="B2785" s="12"/>
      <c r="C2785" s="5"/>
      <c r="D2785" s="11"/>
      <c r="E2785" s="11"/>
      <c r="F2785" s="11"/>
      <c r="G2785" s="11"/>
      <c r="H2785" s="11"/>
      <c r="I2785" s="11"/>
      <c r="J2785" s="9"/>
      <c r="P2785" s="15"/>
    </row>
    <row r="2786">
      <c r="A2786" s="12"/>
      <c r="B2786" s="12"/>
      <c r="C2786" s="5"/>
      <c r="D2786" s="11"/>
      <c r="E2786" s="11"/>
      <c r="F2786" s="11"/>
      <c r="G2786" s="11"/>
      <c r="H2786" s="11"/>
      <c r="I2786" s="11"/>
      <c r="J2786" s="9"/>
      <c r="P2786" s="15"/>
    </row>
    <row r="2787">
      <c r="A2787" s="12"/>
      <c r="B2787" s="12"/>
      <c r="C2787" s="5"/>
      <c r="D2787" s="11"/>
      <c r="E2787" s="11"/>
      <c r="F2787" s="11"/>
      <c r="G2787" s="11"/>
      <c r="H2787" s="11"/>
      <c r="I2787" s="11"/>
      <c r="J2787" s="9"/>
      <c r="P2787" s="15"/>
    </row>
    <row r="2788">
      <c r="A2788" s="12"/>
      <c r="B2788" s="12"/>
      <c r="C2788" s="5"/>
      <c r="D2788" s="11"/>
      <c r="E2788" s="11"/>
      <c r="F2788" s="11"/>
      <c r="G2788" s="11"/>
      <c r="H2788" s="11"/>
      <c r="I2788" s="11"/>
      <c r="J2788" s="9"/>
      <c r="P2788" s="15"/>
    </row>
    <row r="2789">
      <c r="A2789" s="12"/>
      <c r="B2789" s="12"/>
      <c r="C2789" s="5"/>
      <c r="D2789" s="11"/>
      <c r="E2789" s="11"/>
      <c r="F2789" s="11"/>
      <c r="G2789" s="11"/>
      <c r="H2789" s="11"/>
      <c r="I2789" s="11"/>
      <c r="J2789" s="9"/>
      <c r="P2789" s="15"/>
    </row>
    <row r="2790">
      <c r="A2790" s="12"/>
      <c r="B2790" s="12"/>
      <c r="C2790" s="5"/>
      <c r="D2790" s="11"/>
      <c r="E2790" s="11"/>
      <c r="F2790" s="11"/>
      <c r="G2790" s="11"/>
      <c r="H2790" s="11"/>
      <c r="I2790" s="11"/>
      <c r="J2790" s="9"/>
      <c r="P2790" s="15"/>
    </row>
    <row r="2791">
      <c r="A2791" s="12"/>
      <c r="B2791" s="12"/>
      <c r="C2791" s="5"/>
      <c r="D2791" s="11"/>
      <c r="E2791" s="11"/>
      <c r="F2791" s="11"/>
      <c r="G2791" s="11"/>
      <c r="H2791" s="11"/>
      <c r="I2791" s="11"/>
      <c r="J2791" s="9"/>
      <c r="P2791" s="15"/>
    </row>
    <row r="2792">
      <c r="A2792" s="12"/>
      <c r="B2792" s="12"/>
      <c r="C2792" s="5"/>
      <c r="D2792" s="11"/>
      <c r="E2792" s="11"/>
      <c r="F2792" s="11"/>
      <c r="G2792" s="11"/>
      <c r="H2792" s="11"/>
      <c r="I2792" s="11"/>
      <c r="J2792" s="9"/>
      <c r="P2792" s="15"/>
    </row>
    <row r="2793">
      <c r="A2793" s="12"/>
      <c r="B2793" s="12"/>
      <c r="C2793" s="5"/>
      <c r="D2793" s="11"/>
      <c r="E2793" s="11"/>
      <c r="F2793" s="11"/>
      <c r="G2793" s="11"/>
      <c r="H2793" s="11"/>
      <c r="I2793" s="11"/>
      <c r="J2793" s="9"/>
      <c r="P2793" s="15"/>
    </row>
    <row r="2794">
      <c r="A2794" s="12"/>
      <c r="B2794" s="12"/>
      <c r="C2794" s="5"/>
      <c r="D2794" s="11"/>
      <c r="E2794" s="11"/>
      <c r="F2794" s="11"/>
      <c r="G2794" s="11"/>
      <c r="H2794" s="11"/>
      <c r="I2794" s="11"/>
      <c r="J2794" s="9"/>
      <c r="P2794" s="15"/>
    </row>
    <row r="2795">
      <c r="A2795" s="12"/>
      <c r="B2795" s="12"/>
      <c r="C2795" s="5"/>
      <c r="D2795" s="11"/>
      <c r="E2795" s="11"/>
      <c r="F2795" s="11"/>
      <c r="G2795" s="11"/>
      <c r="H2795" s="11"/>
      <c r="I2795" s="11"/>
      <c r="J2795" s="9"/>
      <c r="P2795" s="15"/>
    </row>
    <row r="2796">
      <c r="A2796" s="12"/>
      <c r="B2796" s="12"/>
      <c r="C2796" s="5"/>
      <c r="D2796" s="11"/>
      <c r="E2796" s="11"/>
      <c r="F2796" s="11"/>
      <c r="G2796" s="11"/>
      <c r="H2796" s="11"/>
      <c r="I2796" s="11"/>
      <c r="J2796" s="9"/>
      <c r="P2796" s="15"/>
    </row>
    <row r="2797">
      <c r="A2797" s="12"/>
      <c r="B2797" s="12"/>
      <c r="C2797" s="5"/>
      <c r="D2797" s="11"/>
      <c r="E2797" s="11"/>
      <c r="F2797" s="11"/>
      <c r="G2797" s="11"/>
      <c r="H2797" s="11"/>
      <c r="I2797" s="11"/>
      <c r="J2797" s="9"/>
      <c r="P2797" s="15"/>
    </row>
    <row r="2798">
      <c r="A2798" s="12"/>
      <c r="B2798" s="12"/>
      <c r="C2798" s="5"/>
      <c r="D2798" s="11"/>
      <c r="E2798" s="11"/>
      <c r="F2798" s="11"/>
      <c r="G2798" s="11"/>
      <c r="H2798" s="11"/>
      <c r="I2798" s="11"/>
      <c r="J2798" s="9"/>
      <c r="P2798" s="15"/>
    </row>
    <row r="2799">
      <c r="A2799" s="12"/>
      <c r="B2799" s="12"/>
      <c r="C2799" s="5"/>
      <c r="D2799" s="11"/>
      <c r="E2799" s="11"/>
      <c r="F2799" s="11"/>
      <c r="G2799" s="11"/>
      <c r="H2799" s="11"/>
      <c r="I2799" s="11"/>
      <c r="J2799" s="9"/>
      <c r="P2799" s="15"/>
    </row>
    <row r="2800">
      <c r="A2800" s="12"/>
      <c r="B2800" s="12"/>
      <c r="C2800" s="5"/>
      <c r="D2800" s="11"/>
      <c r="E2800" s="11"/>
      <c r="F2800" s="11"/>
      <c r="G2800" s="11"/>
      <c r="H2800" s="11"/>
      <c r="I2800" s="11"/>
      <c r="J2800" s="9"/>
      <c r="P2800" s="15"/>
    </row>
    <row r="2801">
      <c r="A2801" s="12"/>
      <c r="B2801" s="12"/>
      <c r="C2801" s="5"/>
      <c r="D2801" s="11"/>
      <c r="E2801" s="11"/>
      <c r="F2801" s="11"/>
      <c r="G2801" s="11"/>
      <c r="H2801" s="11"/>
      <c r="I2801" s="11"/>
      <c r="J2801" s="9"/>
      <c r="P2801" s="15"/>
    </row>
    <row r="2802">
      <c r="A2802" s="12"/>
      <c r="B2802" s="12"/>
      <c r="C2802" s="5"/>
      <c r="D2802" s="11"/>
      <c r="E2802" s="11"/>
      <c r="F2802" s="11"/>
      <c r="G2802" s="11"/>
      <c r="H2802" s="11"/>
      <c r="I2802" s="11"/>
      <c r="J2802" s="9"/>
      <c r="P2802" s="15"/>
    </row>
    <row r="2803">
      <c r="A2803" s="12"/>
      <c r="B2803" s="12"/>
      <c r="C2803" s="5"/>
      <c r="D2803" s="11"/>
      <c r="E2803" s="11"/>
      <c r="F2803" s="11"/>
      <c r="G2803" s="11"/>
      <c r="H2803" s="11"/>
      <c r="I2803" s="11"/>
      <c r="J2803" s="9"/>
      <c r="P2803" s="15"/>
    </row>
    <row r="2804">
      <c r="A2804" s="12"/>
      <c r="B2804" s="12"/>
      <c r="C2804" s="5"/>
      <c r="D2804" s="11"/>
      <c r="E2804" s="11"/>
      <c r="F2804" s="11"/>
      <c r="G2804" s="11"/>
      <c r="H2804" s="11"/>
      <c r="I2804" s="11"/>
      <c r="J2804" s="9"/>
      <c r="P2804" s="15"/>
    </row>
    <row r="2805">
      <c r="A2805" s="12"/>
      <c r="B2805" s="12"/>
      <c r="C2805" s="5"/>
      <c r="D2805" s="11"/>
      <c r="E2805" s="11"/>
      <c r="F2805" s="11"/>
      <c r="G2805" s="11"/>
      <c r="H2805" s="11"/>
      <c r="I2805" s="11"/>
      <c r="J2805" s="9"/>
      <c r="P2805" s="15"/>
    </row>
    <row r="2806">
      <c r="A2806" s="12"/>
      <c r="B2806" s="12"/>
      <c r="C2806" s="5"/>
      <c r="D2806" s="11"/>
      <c r="E2806" s="11"/>
      <c r="F2806" s="11"/>
      <c r="G2806" s="11"/>
      <c r="H2806" s="11"/>
      <c r="I2806" s="11"/>
      <c r="J2806" s="9"/>
      <c r="P2806" s="15"/>
    </row>
    <row r="2807">
      <c r="A2807" s="12"/>
      <c r="B2807" s="12"/>
      <c r="C2807" s="5"/>
      <c r="D2807" s="11"/>
      <c r="E2807" s="11"/>
      <c r="F2807" s="11"/>
      <c r="G2807" s="11"/>
      <c r="H2807" s="11"/>
      <c r="I2807" s="11"/>
      <c r="J2807" s="9"/>
      <c r="P2807" s="15"/>
    </row>
    <row r="2808">
      <c r="A2808" s="12"/>
      <c r="B2808" s="12"/>
      <c r="C2808" s="5"/>
      <c r="D2808" s="11"/>
      <c r="E2808" s="11"/>
      <c r="F2808" s="11"/>
      <c r="G2808" s="11"/>
      <c r="H2808" s="11"/>
      <c r="I2808" s="11"/>
      <c r="J2808" s="9"/>
      <c r="P2808" s="15"/>
    </row>
    <row r="2809">
      <c r="A2809" s="12"/>
      <c r="B2809" s="12"/>
      <c r="C2809" s="5"/>
      <c r="D2809" s="11"/>
      <c r="E2809" s="11"/>
      <c r="F2809" s="11"/>
      <c r="G2809" s="11"/>
      <c r="H2809" s="11"/>
      <c r="I2809" s="11"/>
      <c r="J2809" s="9"/>
      <c r="P2809" s="15"/>
    </row>
    <row r="2810">
      <c r="A2810" s="12"/>
      <c r="B2810" s="12"/>
      <c r="C2810" s="5"/>
      <c r="D2810" s="11"/>
      <c r="E2810" s="11"/>
      <c r="F2810" s="11"/>
      <c r="G2810" s="11"/>
      <c r="H2810" s="11"/>
      <c r="I2810" s="11"/>
      <c r="J2810" s="9"/>
      <c r="P2810" s="15"/>
    </row>
    <row r="2811">
      <c r="A2811" s="12"/>
      <c r="B2811" s="12"/>
      <c r="C2811" s="5"/>
      <c r="D2811" s="11"/>
      <c r="E2811" s="11"/>
      <c r="F2811" s="11"/>
      <c r="G2811" s="11"/>
      <c r="H2811" s="11"/>
      <c r="I2811" s="11"/>
      <c r="J2811" s="9"/>
      <c r="P2811" s="15"/>
    </row>
    <row r="2812">
      <c r="A2812" s="12"/>
      <c r="B2812" s="12"/>
      <c r="C2812" s="5"/>
      <c r="D2812" s="11"/>
      <c r="E2812" s="11"/>
      <c r="F2812" s="11"/>
      <c r="G2812" s="11"/>
      <c r="H2812" s="11"/>
      <c r="I2812" s="11"/>
      <c r="J2812" s="9"/>
      <c r="P2812" s="15"/>
    </row>
    <row r="2813">
      <c r="A2813" s="12"/>
      <c r="B2813" s="12"/>
      <c r="C2813" s="5"/>
      <c r="D2813" s="11"/>
      <c r="E2813" s="11"/>
      <c r="F2813" s="11"/>
      <c r="G2813" s="11"/>
      <c r="H2813" s="11"/>
      <c r="I2813" s="11"/>
      <c r="J2813" s="9"/>
      <c r="P2813" s="15"/>
    </row>
    <row r="2814">
      <c r="A2814" s="12"/>
      <c r="B2814" s="12"/>
      <c r="C2814" s="5"/>
      <c r="D2814" s="11"/>
      <c r="E2814" s="11"/>
      <c r="F2814" s="11"/>
      <c r="G2814" s="11"/>
      <c r="H2814" s="11"/>
      <c r="I2814" s="11"/>
      <c r="J2814" s="9"/>
      <c r="P2814" s="15"/>
    </row>
    <row r="2815">
      <c r="A2815" s="12"/>
      <c r="B2815" s="12"/>
      <c r="C2815" s="5"/>
      <c r="D2815" s="11"/>
      <c r="E2815" s="11"/>
      <c r="F2815" s="11"/>
      <c r="G2815" s="11"/>
      <c r="H2815" s="11"/>
      <c r="I2815" s="11"/>
      <c r="J2815" s="9"/>
      <c r="P2815" s="15"/>
    </row>
    <row r="2816">
      <c r="A2816" s="12"/>
      <c r="B2816" s="12"/>
      <c r="C2816" s="5"/>
      <c r="D2816" s="11"/>
      <c r="E2816" s="11"/>
      <c r="F2816" s="11"/>
      <c r="G2816" s="11"/>
      <c r="H2816" s="11"/>
      <c r="I2816" s="11"/>
      <c r="J2816" s="9"/>
      <c r="P2816" s="15"/>
    </row>
    <row r="2817">
      <c r="A2817" s="12"/>
      <c r="B2817" s="12"/>
      <c r="C2817" s="5"/>
      <c r="D2817" s="11"/>
      <c r="E2817" s="11"/>
      <c r="F2817" s="11"/>
      <c r="G2817" s="11"/>
      <c r="H2817" s="11"/>
      <c r="I2817" s="11"/>
      <c r="J2817" s="9"/>
      <c r="P2817" s="15"/>
    </row>
    <row r="2818">
      <c r="A2818" s="12"/>
      <c r="B2818" s="12"/>
      <c r="C2818" s="5"/>
      <c r="D2818" s="11"/>
      <c r="E2818" s="11"/>
      <c r="F2818" s="11"/>
      <c r="G2818" s="11"/>
      <c r="H2818" s="11"/>
      <c r="I2818" s="11"/>
      <c r="J2818" s="9"/>
      <c r="P2818" s="15"/>
    </row>
    <row r="2819">
      <c r="A2819" s="12"/>
      <c r="B2819" s="12"/>
      <c r="C2819" s="5"/>
      <c r="D2819" s="11"/>
      <c r="E2819" s="11"/>
      <c r="F2819" s="11"/>
      <c r="G2819" s="11"/>
      <c r="H2819" s="11"/>
      <c r="I2819" s="11"/>
      <c r="J2819" s="9"/>
      <c r="P2819" s="15"/>
    </row>
    <row r="2820">
      <c r="A2820" s="12"/>
      <c r="B2820" s="12"/>
      <c r="C2820" s="5"/>
      <c r="D2820" s="11"/>
      <c r="E2820" s="11"/>
      <c r="F2820" s="11"/>
      <c r="G2820" s="11"/>
      <c r="H2820" s="11"/>
      <c r="I2820" s="11"/>
      <c r="J2820" s="9"/>
      <c r="P2820" s="15"/>
    </row>
    <row r="2821">
      <c r="A2821" s="12"/>
      <c r="B2821" s="12"/>
      <c r="C2821" s="5"/>
      <c r="D2821" s="11"/>
      <c r="E2821" s="11"/>
      <c r="F2821" s="11"/>
      <c r="G2821" s="11"/>
      <c r="H2821" s="11"/>
      <c r="I2821" s="11"/>
      <c r="J2821" s="9"/>
      <c r="P2821" s="15"/>
    </row>
    <row r="2822">
      <c r="A2822" s="12"/>
      <c r="B2822" s="12"/>
      <c r="C2822" s="5"/>
      <c r="D2822" s="11"/>
      <c r="E2822" s="11"/>
      <c r="F2822" s="11"/>
      <c r="G2822" s="11"/>
      <c r="H2822" s="11"/>
      <c r="I2822" s="11"/>
      <c r="J2822" s="9"/>
      <c r="P2822" s="15"/>
    </row>
    <row r="2823">
      <c r="A2823" s="12"/>
      <c r="B2823" s="12"/>
      <c r="C2823" s="5"/>
      <c r="D2823" s="11"/>
      <c r="E2823" s="11"/>
      <c r="F2823" s="11"/>
      <c r="G2823" s="11"/>
      <c r="H2823" s="11"/>
      <c r="I2823" s="11"/>
      <c r="J2823" s="9"/>
      <c r="P2823" s="15"/>
    </row>
    <row r="2824">
      <c r="A2824" s="12"/>
      <c r="B2824" s="12"/>
      <c r="C2824" s="5"/>
      <c r="D2824" s="11"/>
      <c r="E2824" s="11"/>
      <c r="F2824" s="11"/>
      <c r="G2824" s="11"/>
      <c r="H2824" s="11"/>
      <c r="I2824" s="11"/>
      <c r="J2824" s="9"/>
      <c r="P2824" s="15"/>
    </row>
    <row r="2825">
      <c r="A2825" s="12"/>
      <c r="B2825" s="12"/>
      <c r="C2825" s="5"/>
      <c r="D2825" s="11"/>
      <c r="E2825" s="11"/>
      <c r="F2825" s="11"/>
      <c r="G2825" s="11"/>
      <c r="H2825" s="11"/>
      <c r="I2825" s="11"/>
      <c r="J2825" s="9"/>
      <c r="P2825" s="15"/>
    </row>
    <row r="2826">
      <c r="A2826" s="12"/>
      <c r="B2826" s="12"/>
      <c r="C2826" s="5"/>
      <c r="D2826" s="11"/>
      <c r="E2826" s="11"/>
      <c r="F2826" s="11"/>
      <c r="G2826" s="11"/>
      <c r="H2826" s="11"/>
      <c r="I2826" s="11"/>
      <c r="J2826" s="9"/>
      <c r="P2826" s="15"/>
    </row>
    <row r="2827">
      <c r="A2827" s="12"/>
      <c r="B2827" s="12"/>
      <c r="C2827" s="5"/>
      <c r="D2827" s="11"/>
      <c r="E2827" s="11"/>
      <c r="F2827" s="11"/>
      <c r="G2827" s="11"/>
      <c r="H2827" s="11"/>
      <c r="I2827" s="11"/>
      <c r="J2827" s="9"/>
      <c r="P2827" s="15"/>
    </row>
    <row r="2828">
      <c r="A2828" s="12"/>
      <c r="B2828" s="12"/>
      <c r="C2828" s="5"/>
      <c r="D2828" s="11"/>
      <c r="E2828" s="11"/>
      <c r="F2828" s="11"/>
      <c r="G2828" s="11"/>
      <c r="H2828" s="11"/>
      <c r="I2828" s="11"/>
      <c r="J2828" s="9"/>
      <c r="P2828" s="15"/>
    </row>
    <row r="2829">
      <c r="A2829" s="12"/>
      <c r="B2829" s="12"/>
      <c r="C2829" s="5"/>
      <c r="D2829" s="11"/>
      <c r="E2829" s="11"/>
      <c r="F2829" s="11"/>
      <c r="G2829" s="11"/>
      <c r="H2829" s="11"/>
      <c r="I2829" s="11"/>
      <c r="J2829" s="9"/>
      <c r="P2829" s="15"/>
    </row>
    <row r="2830">
      <c r="A2830" s="12"/>
      <c r="B2830" s="12"/>
      <c r="C2830" s="5"/>
      <c r="D2830" s="11"/>
      <c r="E2830" s="11"/>
      <c r="F2830" s="11"/>
      <c r="G2830" s="11"/>
      <c r="H2830" s="11"/>
      <c r="I2830" s="11"/>
      <c r="J2830" s="9"/>
      <c r="P2830" s="15"/>
    </row>
    <row r="2831">
      <c r="A2831" s="12"/>
      <c r="B2831" s="12"/>
      <c r="C2831" s="5"/>
      <c r="D2831" s="11"/>
      <c r="E2831" s="11"/>
      <c r="F2831" s="11"/>
      <c r="G2831" s="11"/>
      <c r="H2831" s="11"/>
      <c r="I2831" s="11"/>
      <c r="J2831" s="9"/>
      <c r="P2831" s="15"/>
    </row>
    <row r="2832">
      <c r="A2832" s="12"/>
      <c r="B2832" s="12"/>
      <c r="C2832" s="5"/>
      <c r="D2832" s="11"/>
      <c r="E2832" s="11"/>
      <c r="F2832" s="11"/>
      <c r="G2832" s="11"/>
      <c r="H2832" s="11"/>
      <c r="I2832" s="11"/>
      <c r="J2832" s="9"/>
      <c r="P2832" s="15"/>
    </row>
    <row r="2833">
      <c r="A2833" s="12"/>
      <c r="B2833" s="12"/>
      <c r="C2833" s="5"/>
      <c r="D2833" s="11"/>
      <c r="E2833" s="11"/>
      <c r="F2833" s="11"/>
      <c r="G2833" s="11"/>
      <c r="H2833" s="11"/>
      <c r="I2833" s="11"/>
      <c r="J2833" s="9"/>
      <c r="P2833" s="15"/>
    </row>
    <row r="2834">
      <c r="A2834" s="12"/>
      <c r="B2834" s="12"/>
      <c r="C2834" s="5"/>
      <c r="D2834" s="11"/>
      <c r="E2834" s="11"/>
      <c r="F2834" s="11"/>
      <c r="G2834" s="11"/>
      <c r="H2834" s="11"/>
      <c r="I2834" s="11"/>
      <c r="J2834" s="9"/>
      <c r="P2834" s="15"/>
    </row>
    <row r="2835">
      <c r="A2835" s="12"/>
      <c r="B2835" s="12"/>
      <c r="C2835" s="5"/>
      <c r="D2835" s="11"/>
      <c r="E2835" s="11"/>
      <c r="F2835" s="11"/>
      <c r="G2835" s="11"/>
      <c r="H2835" s="11"/>
      <c r="I2835" s="11"/>
      <c r="J2835" s="9"/>
      <c r="P2835" s="15"/>
    </row>
    <row r="2836">
      <c r="A2836" s="12"/>
      <c r="B2836" s="12"/>
      <c r="C2836" s="5"/>
      <c r="D2836" s="11"/>
      <c r="E2836" s="11"/>
      <c r="F2836" s="11"/>
      <c r="G2836" s="11"/>
      <c r="H2836" s="11"/>
      <c r="I2836" s="11"/>
      <c r="J2836" s="9"/>
      <c r="P2836" s="15"/>
    </row>
    <row r="2837">
      <c r="A2837" s="12"/>
      <c r="B2837" s="12"/>
      <c r="C2837" s="5"/>
      <c r="D2837" s="11"/>
      <c r="E2837" s="11"/>
      <c r="F2837" s="11"/>
      <c r="G2837" s="11"/>
      <c r="H2837" s="11"/>
      <c r="I2837" s="11"/>
      <c r="J2837" s="9"/>
      <c r="P2837" s="15"/>
    </row>
    <row r="2838">
      <c r="A2838" s="12"/>
      <c r="B2838" s="12"/>
      <c r="C2838" s="5"/>
      <c r="D2838" s="11"/>
      <c r="E2838" s="11"/>
      <c r="F2838" s="11"/>
      <c r="G2838" s="11"/>
      <c r="H2838" s="11"/>
      <c r="I2838" s="11"/>
      <c r="J2838" s="9"/>
      <c r="P2838" s="15"/>
    </row>
    <row r="2839">
      <c r="A2839" s="12"/>
      <c r="B2839" s="12"/>
      <c r="C2839" s="5"/>
      <c r="D2839" s="11"/>
      <c r="E2839" s="11"/>
      <c r="F2839" s="11"/>
      <c r="G2839" s="11"/>
      <c r="H2839" s="11"/>
      <c r="I2839" s="11"/>
      <c r="J2839" s="9"/>
      <c r="P2839" s="15"/>
    </row>
    <row r="2840">
      <c r="A2840" s="12"/>
      <c r="B2840" s="12"/>
      <c r="C2840" s="5"/>
      <c r="D2840" s="11"/>
      <c r="E2840" s="11"/>
      <c r="F2840" s="11"/>
      <c r="G2840" s="11"/>
      <c r="H2840" s="11"/>
      <c r="I2840" s="11"/>
      <c r="J2840" s="9"/>
      <c r="P2840" s="15"/>
    </row>
    <row r="2841">
      <c r="A2841" s="12"/>
      <c r="B2841" s="12"/>
      <c r="C2841" s="5"/>
      <c r="D2841" s="11"/>
      <c r="E2841" s="11"/>
      <c r="F2841" s="11"/>
      <c r="G2841" s="11"/>
      <c r="H2841" s="11"/>
      <c r="I2841" s="11"/>
      <c r="J2841" s="9"/>
      <c r="P2841" s="15"/>
    </row>
    <row r="2842">
      <c r="A2842" s="12"/>
      <c r="B2842" s="12"/>
      <c r="C2842" s="5"/>
      <c r="D2842" s="11"/>
      <c r="E2842" s="11"/>
      <c r="F2842" s="11"/>
      <c r="G2842" s="11"/>
      <c r="H2842" s="11"/>
      <c r="I2842" s="11"/>
      <c r="J2842" s="9"/>
      <c r="P2842" s="15"/>
    </row>
    <row r="2843">
      <c r="A2843" s="12"/>
      <c r="B2843" s="12"/>
      <c r="C2843" s="5"/>
      <c r="D2843" s="11"/>
      <c r="E2843" s="11"/>
      <c r="F2843" s="11"/>
      <c r="G2843" s="11"/>
      <c r="H2843" s="11"/>
      <c r="I2843" s="11"/>
      <c r="J2843" s="9"/>
      <c r="P2843" s="15"/>
    </row>
    <row r="2844">
      <c r="A2844" s="12"/>
      <c r="B2844" s="12"/>
      <c r="C2844" s="5"/>
      <c r="D2844" s="11"/>
      <c r="E2844" s="11"/>
      <c r="F2844" s="11"/>
      <c r="G2844" s="11"/>
      <c r="H2844" s="11"/>
      <c r="I2844" s="11"/>
      <c r="J2844" s="9"/>
      <c r="P2844" s="15"/>
    </row>
    <row r="2845">
      <c r="A2845" s="12"/>
      <c r="B2845" s="12"/>
      <c r="C2845" s="5"/>
      <c r="D2845" s="11"/>
      <c r="E2845" s="11"/>
      <c r="F2845" s="11"/>
      <c r="G2845" s="11"/>
      <c r="H2845" s="11"/>
      <c r="I2845" s="11"/>
      <c r="J2845" s="9"/>
      <c r="P2845" s="15"/>
    </row>
    <row r="2846">
      <c r="A2846" s="12"/>
      <c r="B2846" s="12"/>
      <c r="C2846" s="5"/>
      <c r="D2846" s="11"/>
      <c r="E2846" s="11"/>
      <c r="F2846" s="11"/>
      <c r="G2846" s="11"/>
      <c r="H2846" s="11"/>
      <c r="I2846" s="11"/>
      <c r="J2846" s="9"/>
      <c r="P2846" s="15"/>
    </row>
    <row r="2847">
      <c r="A2847" s="12"/>
      <c r="B2847" s="12"/>
      <c r="C2847" s="5"/>
      <c r="D2847" s="11"/>
      <c r="E2847" s="11"/>
      <c r="F2847" s="11"/>
      <c r="G2847" s="11"/>
      <c r="H2847" s="11"/>
      <c r="I2847" s="11"/>
      <c r="J2847" s="9"/>
      <c r="P2847" s="15"/>
    </row>
    <row r="2848">
      <c r="A2848" s="12"/>
      <c r="B2848" s="12"/>
      <c r="C2848" s="5"/>
      <c r="D2848" s="11"/>
      <c r="E2848" s="11"/>
      <c r="F2848" s="11"/>
      <c r="G2848" s="11"/>
      <c r="H2848" s="11"/>
      <c r="I2848" s="11"/>
      <c r="J2848" s="9"/>
      <c r="P2848" s="15"/>
    </row>
    <row r="2849">
      <c r="A2849" s="12"/>
      <c r="B2849" s="12"/>
      <c r="C2849" s="5"/>
      <c r="D2849" s="11"/>
      <c r="E2849" s="11"/>
      <c r="F2849" s="11"/>
      <c r="G2849" s="11"/>
      <c r="H2849" s="11"/>
      <c r="I2849" s="11"/>
      <c r="J2849" s="9"/>
      <c r="P2849" s="15"/>
    </row>
    <row r="2850">
      <c r="A2850" s="12"/>
      <c r="B2850" s="12"/>
      <c r="C2850" s="5"/>
      <c r="D2850" s="11"/>
      <c r="E2850" s="11"/>
      <c r="F2850" s="11"/>
      <c r="G2850" s="11"/>
      <c r="H2850" s="11"/>
      <c r="I2850" s="11"/>
      <c r="J2850" s="9"/>
      <c r="P2850" s="15"/>
    </row>
    <row r="2851">
      <c r="A2851" s="12"/>
      <c r="B2851" s="12"/>
      <c r="C2851" s="5"/>
      <c r="D2851" s="11"/>
      <c r="E2851" s="11"/>
      <c r="F2851" s="11"/>
      <c r="G2851" s="11"/>
      <c r="H2851" s="11"/>
      <c r="I2851" s="11"/>
      <c r="J2851" s="9"/>
      <c r="P2851" s="15"/>
    </row>
    <row r="2852">
      <c r="A2852" s="12"/>
      <c r="B2852" s="12"/>
      <c r="C2852" s="5"/>
      <c r="D2852" s="11"/>
      <c r="E2852" s="11"/>
      <c r="F2852" s="11"/>
      <c r="G2852" s="11"/>
      <c r="H2852" s="11"/>
      <c r="I2852" s="11"/>
      <c r="J2852" s="9"/>
      <c r="P2852" s="15"/>
    </row>
    <row r="2853">
      <c r="A2853" s="12"/>
      <c r="B2853" s="12"/>
      <c r="C2853" s="5"/>
      <c r="D2853" s="11"/>
      <c r="E2853" s="11"/>
      <c r="F2853" s="11"/>
      <c r="G2853" s="11"/>
      <c r="H2853" s="11"/>
      <c r="I2853" s="11"/>
      <c r="J2853" s="9"/>
      <c r="P2853" s="15"/>
    </row>
    <row r="2854">
      <c r="A2854" s="12"/>
      <c r="B2854" s="12"/>
      <c r="C2854" s="5"/>
      <c r="D2854" s="11"/>
      <c r="E2854" s="11"/>
      <c r="F2854" s="11"/>
      <c r="G2854" s="11"/>
      <c r="H2854" s="11"/>
      <c r="I2854" s="11"/>
      <c r="J2854" s="9"/>
      <c r="P2854" s="15"/>
    </row>
    <row r="2855">
      <c r="A2855" s="12"/>
      <c r="B2855" s="12"/>
      <c r="C2855" s="5"/>
      <c r="D2855" s="11"/>
      <c r="E2855" s="11"/>
      <c r="F2855" s="11"/>
      <c r="G2855" s="11"/>
      <c r="H2855" s="11"/>
      <c r="I2855" s="11"/>
      <c r="J2855" s="9"/>
      <c r="P2855" s="15"/>
    </row>
    <row r="2856">
      <c r="A2856" s="12"/>
      <c r="B2856" s="12"/>
      <c r="C2856" s="5"/>
      <c r="D2856" s="11"/>
      <c r="E2856" s="11"/>
      <c r="F2856" s="11"/>
      <c r="G2856" s="11"/>
      <c r="H2856" s="11"/>
      <c r="I2856" s="11"/>
      <c r="J2856" s="9"/>
      <c r="P2856" s="15"/>
    </row>
    <row r="2857">
      <c r="A2857" s="12"/>
      <c r="B2857" s="12"/>
      <c r="C2857" s="5"/>
      <c r="D2857" s="11"/>
      <c r="E2857" s="11"/>
      <c r="F2857" s="11"/>
      <c r="G2857" s="11"/>
      <c r="H2857" s="11"/>
      <c r="I2857" s="11"/>
      <c r="J2857" s="9"/>
      <c r="P2857" s="15"/>
    </row>
    <row r="2858">
      <c r="A2858" s="12"/>
      <c r="B2858" s="12"/>
      <c r="C2858" s="5"/>
      <c r="D2858" s="11"/>
      <c r="E2858" s="11"/>
      <c r="F2858" s="11"/>
      <c r="G2858" s="11"/>
      <c r="H2858" s="11"/>
      <c r="I2858" s="11"/>
      <c r="J2858" s="9"/>
      <c r="P2858" s="15"/>
    </row>
    <row r="2859">
      <c r="A2859" s="12"/>
      <c r="B2859" s="12"/>
      <c r="C2859" s="5"/>
      <c r="D2859" s="11"/>
      <c r="E2859" s="11"/>
      <c r="F2859" s="11"/>
      <c r="G2859" s="11"/>
      <c r="H2859" s="11"/>
      <c r="I2859" s="11"/>
      <c r="J2859" s="9"/>
      <c r="P2859" s="15"/>
    </row>
    <row r="2860">
      <c r="A2860" s="12"/>
      <c r="B2860" s="12"/>
      <c r="C2860" s="5"/>
      <c r="D2860" s="11"/>
      <c r="E2860" s="11"/>
      <c r="F2860" s="11"/>
      <c r="G2860" s="11"/>
      <c r="H2860" s="11"/>
      <c r="I2860" s="11"/>
      <c r="J2860" s="9"/>
      <c r="P2860" s="15"/>
    </row>
    <row r="2861">
      <c r="A2861" s="12"/>
      <c r="B2861" s="12"/>
      <c r="C2861" s="5"/>
      <c r="D2861" s="11"/>
      <c r="E2861" s="11"/>
      <c r="F2861" s="11"/>
      <c r="G2861" s="11"/>
      <c r="H2861" s="11"/>
      <c r="I2861" s="11"/>
      <c r="J2861" s="9"/>
      <c r="P2861" s="15"/>
    </row>
    <row r="2862">
      <c r="A2862" s="12"/>
      <c r="B2862" s="12"/>
      <c r="C2862" s="5"/>
      <c r="D2862" s="11"/>
      <c r="E2862" s="11"/>
      <c r="F2862" s="11"/>
      <c r="G2862" s="11"/>
      <c r="H2862" s="11"/>
      <c r="I2862" s="11"/>
      <c r="J2862" s="9"/>
      <c r="P2862" s="15"/>
    </row>
    <row r="2863">
      <c r="A2863" s="12"/>
      <c r="B2863" s="12"/>
      <c r="C2863" s="5"/>
      <c r="D2863" s="11"/>
      <c r="E2863" s="11"/>
      <c r="F2863" s="11"/>
      <c r="G2863" s="11"/>
      <c r="H2863" s="11"/>
      <c r="I2863" s="11"/>
      <c r="J2863" s="9"/>
      <c r="P2863" s="15"/>
    </row>
    <row r="2864">
      <c r="A2864" s="12"/>
      <c r="B2864" s="12"/>
      <c r="C2864" s="5"/>
      <c r="D2864" s="11"/>
      <c r="E2864" s="11"/>
      <c r="F2864" s="11"/>
      <c r="G2864" s="11"/>
      <c r="H2864" s="11"/>
      <c r="I2864" s="11"/>
      <c r="J2864" s="9"/>
      <c r="P2864" s="15"/>
    </row>
    <row r="2865">
      <c r="A2865" s="12"/>
      <c r="B2865" s="12"/>
      <c r="C2865" s="5"/>
      <c r="D2865" s="11"/>
      <c r="E2865" s="11"/>
      <c r="F2865" s="11"/>
      <c r="G2865" s="11"/>
      <c r="H2865" s="11"/>
      <c r="I2865" s="11"/>
      <c r="J2865" s="9"/>
      <c r="P2865" s="15"/>
    </row>
    <row r="2866">
      <c r="A2866" s="12"/>
      <c r="B2866" s="12"/>
      <c r="C2866" s="5"/>
      <c r="D2866" s="11"/>
      <c r="E2866" s="11"/>
      <c r="F2866" s="11"/>
      <c r="G2866" s="11"/>
      <c r="H2866" s="11"/>
      <c r="I2866" s="11"/>
      <c r="J2866" s="9"/>
      <c r="P2866" s="15"/>
    </row>
    <row r="2867">
      <c r="A2867" s="12"/>
      <c r="B2867" s="12"/>
      <c r="C2867" s="5"/>
      <c r="D2867" s="11"/>
      <c r="E2867" s="11"/>
      <c r="F2867" s="11"/>
      <c r="G2867" s="11"/>
      <c r="H2867" s="11"/>
      <c r="I2867" s="11"/>
      <c r="J2867" s="9"/>
      <c r="P2867" s="15"/>
    </row>
    <row r="2868">
      <c r="A2868" s="12"/>
      <c r="B2868" s="12"/>
      <c r="C2868" s="5"/>
      <c r="D2868" s="11"/>
      <c r="E2868" s="11"/>
      <c r="F2868" s="11"/>
      <c r="G2868" s="11"/>
      <c r="H2868" s="11"/>
      <c r="I2868" s="11"/>
      <c r="J2868" s="9"/>
      <c r="P2868" s="15"/>
    </row>
    <row r="2869">
      <c r="A2869" s="12"/>
      <c r="B2869" s="12"/>
      <c r="C2869" s="5"/>
      <c r="D2869" s="11"/>
      <c r="E2869" s="11"/>
      <c r="F2869" s="11"/>
      <c r="G2869" s="11"/>
      <c r="H2869" s="11"/>
      <c r="I2869" s="11"/>
      <c r="J2869" s="9"/>
      <c r="P2869" s="15"/>
    </row>
    <row r="2870">
      <c r="A2870" s="12"/>
      <c r="B2870" s="12"/>
      <c r="C2870" s="5"/>
      <c r="D2870" s="11"/>
      <c r="E2870" s="11"/>
      <c r="F2870" s="11"/>
      <c r="G2870" s="11"/>
      <c r="H2870" s="11"/>
      <c r="I2870" s="11"/>
      <c r="J2870" s="9"/>
      <c r="P2870" s="15"/>
    </row>
    <row r="2871">
      <c r="A2871" s="12"/>
      <c r="B2871" s="12"/>
      <c r="C2871" s="5"/>
      <c r="D2871" s="11"/>
      <c r="E2871" s="11"/>
      <c r="F2871" s="11"/>
      <c r="G2871" s="11"/>
      <c r="H2871" s="11"/>
      <c r="I2871" s="11"/>
      <c r="J2871" s="9"/>
      <c r="P2871" s="15"/>
    </row>
    <row r="2872">
      <c r="A2872" s="12"/>
      <c r="B2872" s="12"/>
      <c r="C2872" s="5"/>
      <c r="D2872" s="11"/>
      <c r="E2872" s="11"/>
      <c r="F2872" s="11"/>
      <c r="G2872" s="11"/>
      <c r="H2872" s="11"/>
      <c r="I2872" s="11"/>
      <c r="J2872" s="9"/>
      <c r="P2872" s="15"/>
    </row>
    <row r="2873">
      <c r="A2873" s="12"/>
      <c r="B2873" s="12"/>
      <c r="C2873" s="5"/>
      <c r="D2873" s="11"/>
      <c r="E2873" s="11"/>
      <c r="F2873" s="11"/>
      <c r="G2873" s="11"/>
      <c r="H2873" s="11"/>
      <c r="I2873" s="11"/>
      <c r="J2873" s="9"/>
      <c r="P2873" s="15"/>
    </row>
    <row r="2874">
      <c r="A2874" s="12"/>
      <c r="B2874" s="12"/>
      <c r="C2874" s="5"/>
      <c r="D2874" s="11"/>
      <c r="E2874" s="11"/>
      <c r="F2874" s="11"/>
      <c r="G2874" s="11"/>
      <c r="H2874" s="11"/>
      <c r="I2874" s="11"/>
      <c r="J2874" s="9"/>
      <c r="P2874" s="15"/>
    </row>
    <row r="2875">
      <c r="A2875" s="12"/>
      <c r="B2875" s="12"/>
      <c r="C2875" s="5"/>
      <c r="D2875" s="11"/>
      <c r="E2875" s="11"/>
      <c r="F2875" s="11"/>
      <c r="G2875" s="11"/>
      <c r="H2875" s="11"/>
      <c r="I2875" s="11"/>
      <c r="J2875" s="9"/>
      <c r="P2875" s="15"/>
    </row>
    <row r="2876">
      <c r="A2876" s="12"/>
      <c r="B2876" s="12"/>
      <c r="C2876" s="5"/>
      <c r="D2876" s="11"/>
      <c r="E2876" s="11"/>
      <c r="F2876" s="11"/>
      <c r="G2876" s="11"/>
      <c r="H2876" s="11"/>
      <c r="I2876" s="11"/>
      <c r="J2876" s="9"/>
      <c r="P2876" s="15"/>
    </row>
    <row r="2877">
      <c r="A2877" s="12"/>
      <c r="B2877" s="12"/>
      <c r="C2877" s="5"/>
      <c r="D2877" s="11"/>
      <c r="E2877" s="11"/>
      <c r="F2877" s="11"/>
      <c r="G2877" s="11"/>
      <c r="H2877" s="11"/>
      <c r="I2877" s="11"/>
      <c r="J2877" s="9"/>
      <c r="P2877" s="15"/>
    </row>
    <row r="2878">
      <c r="A2878" s="12"/>
      <c r="B2878" s="12"/>
      <c r="C2878" s="5"/>
      <c r="D2878" s="11"/>
      <c r="E2878" s="11"/>
      <c r="F2878" s="11"/>
      <c r="G2878" s="11"/>
      <c r="H2878" s="11"/>
      <c r="I2878" s="11"/>
      <c r="J2878" s="9"/>
      <c r="P2878" s="15"/>
    </row>
    <row r="2879">
      <c r="A2879" s="12"/>
      <c r="B2879" s="12"/>
      <c r="C2879" s="5"/>
      <c r="D2879" s="11"/>
      <c r="E2879" s="11"/>
      <c r="F2879" s="11"/>
      <c r="G2879" s="11"/>
      <c r="H2879" s="11"/>
      <c r="I2879" s="11"/>
      <c r="J2879" s="9"/>
      <c r="P2879" s="15"/>
    </row>
    <row r="2880">
      <c r="A2880" s="12"/>
      <c r="B2880" s="12"/>
      <c r="C2880" s="5"/>
      <c r="D2880" s="11"/>
      <c r="E2880" s="11"/>
      <c r="F2880" s="11"/>
      <c r="G2880" s="11"/>
      <c r="H2880" s="11"/>
      <c r="I2880" s="11"/>
      <c r="J2880" s="9"/>
      <c r="P2880" s="15"/>
    </row>
    <row r="2881">
      <c r="A2881" s="12"/>
      <c r="B2881" s="12"/>
      <c r="C2881" s="5"/>
      <c r="D2881" s="11"/>
      <c r="E2881" s="11"/>
      <c r="F2881" s="11"/>
      <c r="G2881" s="11"/>
      <c r="H2881" s="11"/>
      <c r="I2881" s="11"/>
      <c r="J2881" s="9"/>
      <c r="P2881" s="15"/>
    </row>
    <row r="2882">
      <c r="A2882" s="12"/>
      <c r="B2882" s="12"/>
      <c r="C2882" s="5"/>
      <c r="D2882" s="11"/>
      <c r="E2882" s="11"/>
      <c r="F2882" s="11"/>
      <c r="G2882" s="11"/>
      <c r="H2882" s="11"/>
      <c r="I2882" s="11"/>
      <c r="J2882" s="9"/>
      <c r="P2882" s="15"/>
    </row>
    <row r="2883">
      <c r="A2883" s="12"/>
      <c r="B2883" s="12"/>
      <c r="C2883" s="5"/>
      <c r="D2883" s="11"/>
      <c r="E2883" s="11"/>
      <c r="F2883" s="11"/>
      <c r="G2883" s="11"/>
      <c r="H2883" s="11"/>
      <c r="I2883" s="11"/>
      <c r="J2883" s="9"/>
      <c r="P2883" s="15"/>
    </row>
    <row r="2884">
      <c r="A2884" s="12"/>
      <c r="B2884" s="12"/>
      <c r="C2884" s="5"/>
      <c r="D2884" s="11"/>
      <c r="E2884" s="11"/>
      <c r="F2884" s="11"/>
      <c r="G2884" s="11"/>
      <c r="H2884" s="11"/>
      <c r="I2884" s="11"/>
      <c r="J2884" s="9"/>
      <c r="P2884" s="15"/>
    </row>
    <row r="2885">
      <c r="A2885" s="12"/>
      <c r="B2885" s="12"/>
      <c r="C2885" s="5"/>
      <c r="D2885" s="11"/>
      <c r="E2885" s="11"/>
      <c r="F2885" s="11"/>
      <c r="G2885" s="11"/>
      <c r="H2885" s="11"/>
      <c r="I2885" s="11"/>
      <c r="J2885" s="9"/>
      <c r="P2885" s="15"/>
    </row>
    <row r="2886">
      <c r="A2886" s="12"/>
      <c r="B2886" s="12"/>
      <c r="C2886" s="5"/>
      <c r="D2886" s="11"/>
      <c r="E2886" s="11"/>
      <c r="F2886" s="11"/>
      <c r="G2886" s="11"/>
      <c r="H2886" s="11"/>
      <c r="I2886" s="11"/>
      <c r="J2886" s="9"/>
      <c r="P2886" s="15"/>
    </row>
    <row r="2887">
      <c r="A2887" s="12"/>
      <c r="B2887" s="12"/>
      <c r="C2887" s="5"/>
      <c r="D2887" s="11"/>
      <c r="E2887" s="11"/>
      <c r="F2887" s="11"/>
      <c r="G2887" s="11"/>
      <c r="H2887" s="11"/>
      <c r="I2887" s="11"/>
      <c r="J2887" s="9"/>
      <c r="P2887" s="15"/>
    </row>
    <row r="2888">
      <c r="A2888" s="12"/>
      <c r="B2888" s="12"/>
      <c r="C2888" s="5"/>
      <c r="D2888" s="11"/>
      <c r="E2888" s="11"/>
      <c r="F2888" s="11"/>
      <c r="G2888" s="11"/>
      <c r="H2888" s="11"/>
      <c r="I2888" s="11"/>
      <c r="J2888" s="9"/>
      <c r="P2888" s="15"/>
    </row>
    <row r="2889">
      <c r="A2889" s="12"/>
      <c r="B2889" s="12"/>
      <c r="C2889" s="5"/>
      <c r="D2889" s="11"/>
      <c r="E2889" s="11"/>
      <c r="F2889" s="11"/>
      <c r="G2889" s="11"/>
      <c r="H2889" s="11"/>
      <c r="I2889" s="11"/>
      <c r="J2889" s="9"/>
      <c r="P2889" s="15"/>
    </row>
    <row r="2890">
      <c r="A2890" s="12"/>
      <c r="B2890" s="12"/>
      <c r="C2890" s="5"/>
      <c r="D2890" s="11"/>
      <c r="E2890" s="11"/>
      <c r="F2890" s="11"/>
      <c r="G2890" s="11"/>
      <c r="H2890" s="11"/>
      <c r="I2890" s="11"/>
      <c r="J2890" s="9"/>
      <c r="P2890" s="15"/>
    </row>
    <row r="2891">
      <c r="A2891" s="12"/>
      <c r="B2891" s="12"/>
      <c r="C2891" s="5"/>
      <c r="D2891" s="11"/>
      <c r="E2891" s="11"/>
      <c r="F2891" s="11"/>
      <c r="G2891" s="11"/>
      <c r="H2891" s="11"/>
      <c r="I2891" s="11"/>
      <c r="J2891" s="9"/>
      <c r="P2891" s="15"/>
    </row>
    <row r="2892">
      <c r="A2892" s="12"/>
      <c r="B2892" s="12"/>
      <c r="C2892" s="5"/>
      <c r="D2892" s="11"/>
      <c r="E2892" s="11"/>
      <c r="F2892" s="11"/>
      <c r="G2892" s="11"/>
      <c r="H2892" s="11"/>
      <c r="I2892" s="11"/>
      <c r="J2892" s="9"/>
      <c r="P2892" s="15"/>
    </row>
    <row r="2893">
      <c r="A2893" s="12"/>
      <c r="B2893" s="12"/>
      <c r="C2893" s="5"/>
      <c r="D2893" s="11"/>
      <c r="E2893" s="11"/>
      <c r="F2893" s="11"/>
      <c r="G2893" s="11"/>
      <c r="H2893" s="11"/>
      <c r="I2893" s="11"/>
      <c r="J2893" s="9"/>
      <c r="P2893" s="15"/>
    </row>
    <row r="2894">
      <c r="A2894" s="12"/>
      <c r="B2894" s="12"/>
      <c r="C2894" s="5"/>
      <c r="D2894" s="11"/>
      <c r="E2894" s="11"/>
      <c r="F2894" s="11"/>
      <c r="G2894" s="11"/>
      <c r="H2894" s="11"/>
      <c r="I2894" s="11"/>
      <c r="J2894" s="9"/>
      <c r="P2894" s="15"/>
    </row>
    <row r="2895">
      <c r="A2895" s="12"/>
      <c r="B2895" s="12"/>
      <c r="C2895" s="5"/>
      <c r="D2895" s="11"/>
      <c r="E2895" s="11"/>
      <c r="F2895" s="11"/>
      <c r="G2895" s="11"/>
      <c r="H2895" s="11"/>
      <c r="I2895" s="11"/>
      <c r="J2895" s="9"/>
      <c r="P2895" s="15"/>
    </row>
    <row r="2896">
      <c r="A2896" s="12"/>
      <c r="B2896" s="12"/>
      <c r="C2896" s="5"/>
      <c r="D2896" s="11"/>
      <c r="E2896" s="11"/>
      <c r="F2896" s="11"/>
      <c r="G2896" s="11"/>
      <c r="H2896" s="11"/>
      <c r="I2896" s="11"/>
      <c r="J2896" s="9"/>
      <c r="P2896" s="15"/>
    </row>
    <row r="2897">
      <c r="A2897" s="12"/>
      <c r="B2897" s="12"/>
      <c r="C2897" s="5"/>
      <c r="D2897" s="11"/>
      <c r="E2897" s="11"/>
      <c r="F2897" s="11"/>
      <c r="G2897" s="11"/>
      <c r="H2897" s="11"/>
      <c r="I2897" s="11"/>
      <c r="J2897" s="9"/>
      <c r="P2897" s="15"/>
    </row>
    <row r="2898">
      <c r="A2898" s="12"/>
      <c r="B2898" s="12"/>
      <c r="C2898" s="5"/>
      <c r="D2898" s="11"/>
      <c r="E2898" s="11"/>
      <c r="F2898" s="11"/>
      <c r="G2898" s="11"/>
      <c r="H2898" s="11"/>
      <c r="I2898" s="11"/>
      <c r="J2898" s="9"/>
      <c r="P2898" s="15"/>
    </row>
    <row r="2899">
      <c r="A2899" s="12"/>
      <c r="B2899" s="12"/>
      <c r="C2899" s="5"/>
      <c r="D2899" s="11"/>
      <c r="E2899" s="11"/>
      <c r="F2899" s="11"/>
      <c r="G2899" s="11"/>
      <c r="H2899" s="11"/>
      <c r="I2899" s="11"/>
      <c r="J2899" s="9"/>
      <c r="P2899" s="15"/>
    </row>
    <row r="2900">
      <c r="A2900" s="12"/>
      <c r="B2900" s="12"/>
      <c r="C2900" s="5"/>
      <c r="D2900" s="11"/>
      <c r="E2900" s="11"/>
      <c r="F2900" s="11"/>
      <c r="G2900" s="11"/>
      <c r="H2900" s="11"/>
      <c r="I2900" s="11"/>
      <c r="J2900" s="9"/>
      <c r="P2900" s="15"/>
    </row>
    <row r="2901">
      <c r="A2901" s="12"/>
      <c r="B2901" s="12"/>
      <c r="C2901" s="5"/>
      <c r="D2901" s="11"/>
      <c r="E2901" s="11"/>
      <c r="F2901" s="11"/>
      <c r="G2901" s="11"/>
      <c r="H2901" s="11"/>
      <c r="I2901" s="11"/>
      <c r="J2901" s="9"/>
      <c r="P2901" s="15"/>
    </row>
    <row r="2902">
      <c r="A2902" s="12"/>
      <c r="B2902" s="12"/>
      <c r="C2902" s="5"/>
      <c r="D2902" s="11"/>
      <c r="E2902" s="11"/>
      <c r="F2902" s="11"/>
      <c r="G2902" s="11"/>
      <c r="H2902" s="11"/>
      <c r="I2902" s="11"/>
      <c r="J2902" s="9"/>
      <c r="P2902" s="15"/>
    </row>
    <row r="2903">
      <c r="A2903" s="12"/>
      <c r="B2903" s="12"/>
      <c r="C2903" s="5"/>
      <c r="D2903" s="11"/>
      <c r="E2903" s="11"/>
      <c r="F2903" s="11"/>
      <c r="G2903" s="11"/>
      <c r="H2903" s="11"/>
      <c r="I2903" s="11"/>
      <c r="J2903" s="9"/>
      <c r="P2903" s="15"/>
    </row>
    <row r="2904">
      <c r="A2904" s="12"/>
      <c r="B2904" s="12"/>
      <c r="C2904" s="5"/>
      <c r="D2904" s="11"/>
      <c r="E2904" s="11"/>
      <c r="F2904" s="11"/>
      <c r="G2904" s="11"/>
      <c r="H2904" s="11"/>
      <c r="I2904" s="11"/>
      <c r="J2904" s="9"/>
      <c r="P2904" s="15"/>
    </row>
    <row r="2905">
      <c r="A2905" s="12"/>
      <c r="B2905" s="12"/>
      <c r="C2905" s="5"/>
      <c r="D2905" s="11"/>
      <c r="E2905" s="11"/>
      <c r="F2905" s="11"/>
      <c r="G2905" s="11"/>
      <c r="H2905" s="11"/>
      <c r="I2905" s="11"/>
      <c r="J2905" s="9"/>
      <c r="P2905" s="15"/>
    </row>
    <row r="2906">
      <c r="A2906" s="12"/>
      <c r="B2906" s="12"/>
      <c r="C2906" s="5"/>
      <c r="D2906" s="11"/>
      <c r="E2906" s="11"/>
      <c r="F2906" s="11"/>
      <c r="G2906" s="11"/>
      <c r="H2906" s="11"/>
      <c r="I2906" s="11"/>
      <c r="J2906" s="9"/>
      <c r="P2906" s="15"/>
    </row>
    <row r="2907">
      <c r="A2907" s="12"/>
      <c r="B2907" s="12"/>
      <c r="C2907" s="5"/>
      <c r="D2907" s="11"/>
      <c r="E2907" s="11"/>
      <c r="F2907" s="11"/>
      <c r="G2907" s="11"/>
      <c r="H2907" s="11"/>
      <c r="I2907" s="11"/>
      <c r="J2907" s="9"/>
      <c r="P2907" s="15"/>
    </row>
    <row r="2908">
      <c r="A2908" s="12"/>
      <c r="B2908" s="12"/>
      <c r="C2908" s="5"/>
      <c r="D2908" s="11"/>
      <c r="E2908" s="11"/>
      <c r="F2908" s="11"/>
      <c r="G2908" s="11"/>
      <c r="H2908" s="11"/>
      <c r="I2908" s="11"/>
      <c r="J2908" s="9"/>
      <c r="P2908" s="15"/>
    </row>
    <row r="2909">
      <c r="A2909" s="12"/>
      <c r="B2909" s="12"/>
      <c r="C2909" s="5"/>
      <c r="D2909" s="11"/>
      <c r="E2909" s="11"/>
      <c r="F2909" s="11"/>
      <c r="G2909" s="11"/>
      <c r="H2909" s="11"/>
      <c r="I2909" s="11"/>
      <c r="J2909" s="9"/>
      <c r="P2909" s="15"/>
    </row>
    <row r="2910">
      <c r="A2910" s="12"/>
      <c r="B2910" s="12"/>
      <c r="C2910" s="5"/>
      <c r="D2910" s="11"/>
      <c r="E2910" s="11"/>
      <c r="F2910" s="11"/>
      <c r="G2910" s="11"/>
      <c r="H2910" s="11"/>
      <c r="I2910" s="11"/>
      <c r="J2910" s="9"/>
      <c r="P2910" s="15"/>
    </row>
    <row r="2911">
      <c r="A2911" s="12"/>
      <c r="B2911" s="12"/>
      <c r="C2911" s="5"/>
      <c r="D2911" s="11"/>
      <c r="E2911" s="11"/>
      <c r="F2911" s="11"/>
      <c r="G2911" s="11"/>
      <c r="H2911" s="11"/>
      <c r="I2911" s="11"/>
      <c r="J2911" s="9"/>
      <c r="P2911" s="15"/>
    </row>
    <row r="2912">
      <c r="A2912" s="12"/>
      <c r="B2912" s="12"/>
      <c r="C2912" s="5"/>
      <c r="D2912" s="11"/>
      <c r="E2912" s="11"/>
      <c r="F2912" s="11"/>
      <c r="G2912" s="11"/>
      <c r="H2912" s="11"/>
      <c r="I2912" s="11"/>
      <c r="J2912" s="9"/>
      <c r="P2912" s="15"/>
    </row>
    <row r="2913">
      <c r="A2913" s="12"/>
      <c r="B2913" s="12"/>
      <c r="C2913" s="5"/>
      <c r="D2913" s="11"/>
      <c r="E2913" s="11"/>
      <c r="F2913" s="11"/>
      <c r="G2913" s="11"/>
      <c r="H2913" s="11"/>
      <c r="I2913" s="11"/>
      <c r="J2913" s="9"/>
      <c r="P2913" s="15"/>
    </row>
    <row r="2914">
      <c r="A2914" s="12"/>
      <c r="B2914" s="12"/>
      <c r="C2914" s="5"/>
      <c r="D2914" s="11"/>
      <c r="E2914" s="11"/>
      <c r="F2914" s="11"/>
      <c r="G2914" s="11"/>
      <c r="H2914" s="11"/>
      <c r="I2914" s="11"/>
      <c r="J2914" s="9"/>
      <c r="P2914" s="15"/>
    </row>
    <row r="2915">
      <c r="A2915" s="12"/>
      <c r="B2915" s="12"/>
      <c r="C2915" s="5"/>
      <c r="D2915" s="11"/>
      <c r="E2915" s="11"/>
      <c r="F2915" s="11"/>
      <c r="G2915" s="11"/>
      <c r="H2915" s="11"/>
      <c r="I2915" s="11"/>
      <c r="J2915" s="9"/>
      <c r="P2915" s="15"/>
    </row>
    <row r="2916">
      <c r="A2916" s="12"/>
      <c r="B2916" s="12"/>
      <c r="C2916" s="5"/>
      <c r="D2916" s="11"/>
      <c r="E2916" s="11"/>
      <c r="F2916" s="11"/>
      <c r="G2916" s="11"/>
      <c r="H2916" s="11"/>
      <c r="I2916" s="11"/>
      <c r="J2916" s="9"/>
      <c r="P2916" s="15"/>
    </row>
    <row r="2917">
      <c r="A2917" s="12"/>
      <c r="B2917" s="12"/>
      <c r="C2917" s="5"/>
      <c r="D2917" s="11"/>
      <c r="E2917" s="11"/>
      <c r="F2917" s="11"/>
      <c r="G2917" s="11"/>
      <c r="H2917" s="11"/>
      <c r="I2917" s="11"/>
      <c r="J2917" s="9"/>
      <c r="P2917" s="15"/>
    </row>
    <row r="2918">
      <c r="A2918" s="12"/>
      <c r="B2918" s="12"/>
      <c r="C2918" s="5"/>
      <c r="D2918" s="11"/>
      <c r="E2918" s="11"/>
      <c r="F2918" s="11"/>
      <c r="G2918" s="11"/>
      <c r="H2918" s="11"/>
      <c r="I2918" s="11"/>
      <c r="J2918" s="9"/>
      <c r="P2918" s="15"/>
    </row>
    <row r="2919">
      <c r="A2919" s="12"/>
      <c r="B2919" s="12"/>
      <c r="C2919" s="5"/>
      <c r="D2919" s="11"/>
      <c r="E2919" s="11"/>
      <c r="F2919" s="11"/>
      <c r="G2919" s="11"/>
      <c r="H2919" s="11"/>
      <c r="I2919" s="11"/>
      <c r="J2919" s="9"/>
      <c r="P2919" s="15"/>
    </row>
    <row r="2920">
      <c r="A2920" s="12"/>
      <c r="B2920" s="12"/>
      <c r="C2920" s="5"/>
      <c r="D2920" s="11"/>
      <c r="E2920" s="11"/>
      <c r="F2920" s="11"/>
      <c r="G2920" s="11"/>
      <c r="H2920" s="11"/>
      <c r="I2920" s="11"/>
      <c r="J2920" s="9"/>
      <c r="P2920" s="15"/>
    </row>
    <row r="2921">
      <c r="A2921" s="12"/>
      <c r="B2921" s="12"/>
      <c r="C2921" s="5"/>
      <c r="D2921" s="11"/>
      <c r="E2921" s="11"/>
      <c r="F2921" s="11"/>
      <c r="G2921" s="11"/>
      <c r="H2921" s="11"/>
      <c r="I2921" s="11"/>
      <c r="J2921" s="9"/>
      <c r="P2921" s="15"/>
    </row>
    <row r="2922">
      <c r="A2922" s="12"/>
      <c r="B2922" s="12"/>
      <c r="C2922" s="5"/>
      <c r="D2922" s="11"/>
      <c r="E2922" s="11"/>
      <c r="F2922" s="11"/>
      <c r="G2922" s="11"/>
      <c r="H2922" s="11"/>
      <c r="I2922" s="11"/>
      <c r="J2922" s="9"/>
      <c r="P2922" s="15"/>
    </row>
    <row r="2923">
      <c r="A2923" s="12"/>
      <c r="B2923" s="12"/>
      <c r="C2923" s="5"/>
      <c r="D2923" s="11"/>
      <c r="E2923" s="11"/>
      <c r="F2923" s="11"/>
      <c r="G2923" s="11"/>
      <c r="H2923" s="11"/>
      <c r="I2923" s="11"/>
      <c r="J2923" s="9"/>
      <c r="P2923" s="15"/>
    </row>
    <row r="2924">
      <c r="A2924" s="12"/>
      <c r="B2924" s="12"/>
      <c r="C2924" s="5"/>
      <c r="D2924" s="11"/>
      <c r="E2924" s="11"/>
      <c r="F2924" s="11"/>
      <c r="G2924" s="11"/>
      <c r="H2924" s="11"/>
      <c r="I2924" s="11"/>
      <c r="J2924" s="9"/>
      <c r="P2924" s="15"/>
    </row>
    <row r="2925">
      <c r="A2925" s="12"/>
      <c r="B2925" s="12"/>
      <c r="C2925" s="5"/>
      <c r="D2925" s="11"/>
      <c r="E2925" s="11"/>
      <c r="F2925" s="11"/>
      <c r="G2925" s="11"/>
      <c r="H2925" s="11"/>
      <c r="I2925" s="11"/>
      <c r="J2925" s="9"/>
      <c r="P2925" s="15"/>
    </row>
    <row r="2926">
      <c r="A2926" s="12"/>
      <c r="B2926" s="12"/>
      <c r="C2926" s="5"/>
      <c r="D2926" s="11"/>
      <c r="E2926" s="11"/>
      <c r="F2926" s="11"/>
      <c r="G2926" s="11"/>
      <c r="H2926" s="11"/>
      <c r="I2926" s="11"/>
      <c r="J2926" s="9"/>
      <c r="P2926" s="15"/>
    </row>
    <row r="2927">
      <c r="A2927" s="12"/>
      <c r="B2927" s="12"/>
      <c r="C2927" s="5"/>
      <c r="D2927" s="11"/>
      <c r="E2927" s="11"/>
      <c r="F2927" s="11"/>
      <c r="G2927" s="11"/>
      <c r="H2927" s="11"/>
      <c r="I2927" s="11"/>
      <c r="J2927" s="9"/>
      <c r="P2927" s="15"/>
    </row>
    <row r="2928">
      <c r="A2928" s="12"/>
      <c r="B2928" s="12"/>
      <c r="C2928" s="5"/>
      <c r="D2928" s="11"/>
      <c r="E2928" s="11"/>
      <c r="F2928" s="11"/>
      <c r="G2928" s="11"/>
      <c r="H2928" s="11"/>
      <c r="I2928" s="11"/>
      <c r="J2928" s="9"/>
      <c r="P2928" s="15"/>
    </row>
    <row r="2929">
      <c r="A2929" s="12"/>
      <c r="B2929" s="12"/>
      <c r="C2929" s="5"/>
      <c r="D2929" s="11"/>
      <c r="E2929" s="11"/>
      <c r="F2929" s="11"/>
      <c r="G2929" s="11"/>
      <c r="H2929" s="11"/>
      <c r="I2929" s="11"/>
      <c r="J2929" s="9"/>
      <c r="P2929" s="15"/>
    </row>
    <row r="2930">
      <c r="A2930" s="12"/>
      <c r="B2930" s="12"/>
      <c r="C2930" s="5"/>
      <c r="D2930" s="11"/>
      <c r="E2930" s="11"/>
      <c r="F2930" s="11"/>
      <c r="G2930" s="11"/>
      <c r="H2930" s="11"/>
      <c r="I2930" s="11"/>
      <c r="J2930" s="9"/>
      <c r="P2930" s="15"/>
    </row>
    <row r="2931">
      <c r="A2931" s="12"/>
      <c r="B2931" s="12"/>
      <c r="C2931" s="5"/>
      <c r="D2931" s="11"/>
      <c r="E2931" s="11"/>
      <c r="F2931" s="11"/>
      <c r="G2931" s="11"/>
      <c r="H2931" s="11"/>
      <c r="I2931" s="11"/>
      <c r="J2931" s="9"/>
      <c r="P2931" s="15"/>
    </row>
    <row r="2932">
      <c r="A2932" s="12"/>
      <c r="B2932" s="12"/>
      <c r="C2932" s="5"/>
      <c r="D2932" s="11"/>
      <c r="E2932" s="11"/>
      <c r="F2932" s="11"/>
      <c r="G2932" s="11"/>
      <c r="H2932" s="11"/>
      <c r="I2932" s="11"/>
      <c r="J2932" s="9"/>
      <c r="P2932" s="15"/>
    </row>
    <row r="2933">
      <c r="A2933" s="12"/>
      <c r="B2933" s="12"/>
      <c r="C2933" s="5"/>
      <c r="D2933" s="11"/>
      <c r="E2933" s="11"/>
      <c r="F2933" s="11"/>
      <c r="G2933" s="11"/>
      <c r="H2933" s="11"/>
      <c r="I2933" s="11"/>
      <c r="J2933" s="9"/>
      <c r="P2933" s="15"/>
    </row>
    <row r="2934">
      <c r="A2934" s="12"/>
      <c r="B2934" s="12"/>
      <c r="C2934" s="5"/>
      <c r="D2934" s="11"/>
      <c r="E2934" s="11"/>
      <c r="F2934" s="11"/>
      <c r="G2934" s="11"/>
      <c r="H2934" s="11"/>
      <c r="I2934" s="11"/>
      <c r="J2934" s="9"/>
      <c r="P2934" s="15"/>
    </row>
    <row r="2935">
      <c r="A2935" s="12"/>
      <c r="B2935" s="12"/>
      <c r="C2935" s="5"/>
      <c r="D2935" s="11"/>
      <c r="E2935" s="11"/>
      <c r="F2935" s="11"/>
      <c r="G2935" s="11"/>
      <c r="H2935" s="11"/>
      <c r="I2935" s="11"/>
      <c r="J2935" s="9"/>
      <c r="P2935" s="15"/>
    </row>
    <row r="2936">
      <c r="A2936" s="12"/>
      <c r="B2936" s="12"/>
      <c r="C2936" s="5"/>
      <c r="D2936" s="11"/>
      <c r="E2936" s="11"/>
      <c r="F2936" s="11"/>
      <c r="G2936" s="11"/>
      <c r="H2936" s="11"/>
      <c r="I2936" s="11"/>
      <c r="J2936" s="9"/>
      <c r="P2936" s="15"/>
    </row>
    <row r="2937">
      <c r="A2937" s="12"/>
      <c r="B2937" s="12"/>
      <c r="C2937" s="5"/>
      <c r="D2937" s="11"/>
      <c r="E2937" s="11"/>
      <c r="F2937" s="11"/>
      <c r="G2937" s="11"/>
      <c r="H2937" s="11"/>
      <c r="I2937" s="11"/>
      <c r="J2937" s="9"/>
      <c r="P2937" s="15"/>
    </row>
    <row r="2938">
      <c r="A2938" s="12"/>
      <c r="B2938" s="12"/>
      <c r="C2938" s="5"/>
      <c r="D2938" s="11"/>
      <c r="E2938" s="11"/>
      <c r="F2938" s="11"/>
      <c r="G2938" s="11"/>
      <c r="H2938" s="11"/>
      <c r="I2938" s="11"/>
      <c r="J2938" s="9"/>
      <c r="P2938" s="15"/>
    </row>
    <row r="2939">
      <c r="A2939" s="12"/>
      <c r="B2939" s="12"/>
      <c r="C2939" s="5"/>
      <c r="D2939" s="11"/>
      <c r="E2939" s="11"/>
      <c r="F2939" s="11"/>
      <c r="G2939" s="11"/>
      <c r="H2939" s="11"/>
      <c r="I2939" s="11"/>
      <c r="J2939" s="9"/>
      <c r="P2939" s="15"/>
    </row>
    <row r="2940">
      <c r="A2940" s="12"/>
      <c r="B2940" s="12"/>
      <c r="C2940" s="5"/>
      <c r="D2940" s="11"/>
      <c r="E2940" s="11"/>
      <c r="F2940" s="11"/>
      <c r="G2940" s="11"/>
      <c r="H2940" s="11"/>
      <c r="I2940" s="11"/>
      <c r="J2940" s="9"/>
      <c r="P2940" s="15"/>
    </row>
    <row r="2941">
      <c r="A2941" s="12"/>
      <c r="B2941" s="12"/>
      <c r="C2941" s="5"/>
      <c r="D2941" s="11"/>
      <c r="E2941" s="11"/>
      <c r="F2941" s="11"/>
      <c r="G2941" s="11"/>
      <c r="H2941" s="11"/>
      <c r="I2941" s="11"/>
      <c r="J2941" s="9"/>
      <c r="P2941" s="15"/>
    </row>
    <row r="2942">
      <c r="A2942" s="12"/>
      <c r="B2942" s="12"/>
      <c r="C2942" s="5"/>
      <c r="D2942" s="11"/>
      <c r="E2942" s="11"/>
      <c r="F2942" s="11"/>
      <c r="G2942" s="11"/>
      <c r="H2942" s="11"/>
      <c r="I2942" s="11"/>
      <c r="J2942" s="9"/>
      <c r="P2942" s="15"/>
    </row>
    <row r="2943">
      <c r="A2943" s="12"/>
      <c r="B2943" s="12"/>
      <c r="C2943" s="5"/>
      <c r="D2943" s="11"/>
      <c r="E2943" s="11"/>
      <c r="F2943" s="11"/>
      <c r="G2943" s="11"/>
      <c r="H2943" s="11"/>
      <c r="I2943" s="11"/>
      <c r="J2943" s="9"/>
      <c r="P2943" s="15"/>
    </row>
    <row r="2944">
      <c r="A2944" s="12"/>
      <c r="B2944" s="12"/>
      <c r="C2944" s="5"/>
      <c r="D2944" s="11"/>
      <c r="E2944" s="11"/>
      <c r="F2944" s="11"/>
      <c r="G2944" s="11"/>
      <c r="H2944" s="11"/>
      <c r="I2944" s="11"/>
      <c r="J2944" s="9"/>
      <c r="P2944" s="15"/>
    </row>
    <row r="2945">
      <c r="A2945" s="12"/>
      <c r="B2945" s="12"/>
      <c r="C2945" s="5"/>
      <c r="D2945" s="11"/>
      <c r="E2945" s="11"/>
      <c r="F2945" s="11"/>
      <c r="G2945" s="11"/>
      <c r="H2945" s="11"/>
      <c r="I2945" s="11"/>
      <c r="J2945" s="9"/>
      <c r="P2945" s="15"/>
    </row>
    <row r="2946">
      <c r="A2946" s="12"/>
      <c r="B2946" s="12"/>
      <c r="C2946" s="5"/>
      <c r="D2946" s="11"/>
      <c r="E2946" s="11"/>
      <c r="F2946" s="11"/>
      <c r="G2946" s="11"/>
      <c r="H2946" s="11"/>
      <c r="I2946" s="11"/>
      <c r="J2946" s="9"/>
      <c r="P2946" s="15"/>
    </row>
    <row r="2947">
      <c r="A2947" s="12"/>
      <c r="B2947" s="12"/>
      <c r="C2947" s="5"/>
      <c r="D2947" s="11"/>
      <c r="E2947" s="11"/>
      <c r="F2947" s="11"/>
      <c r="G2947" s="11"/>
      <c r="H2947" s="11"/>
      <c r="I2947" s="11"/>
      <c r="J2947" s="9"/>
      <c r="P2947" s="15"/>
    </row>
    <row r="2948">
      <c r="A2948" s="12"/>
      <c r="B2948" s="12"/>
      <c r="C2948" s="5"/>
      <c r="D2948" s="11"/>
      <c r="E2948" s="11"/>
      <c r="F2948" s="11"/>
      <c r="G2948" s="11"/>
      <c r="H2948" s="11"/>
      <c r="I2948" s="11"/>
      <c r="J2948" s="9"/>
      <c r="P2948" s="15"/>
    </row>
    <row r="2949">
      <c r="A2949" s="12"/>
      <c r="B2949" s="12"/>
      <c r="C2949" s="5"/>
      <c r="D2949" s="11"/>
      <c r="E2949" s="11"/>
      <c r="F2949" s="11"/>
      <c r="G2949" s="11"/>
      <c r="H2949" s="11"/>
      <c r="I2949" s="11"/>
      <c r="J2949" s="9"/>
      <c r="P2949" s="15"/>
    </row>
    <row r="2950">
      <c r="A2950" s="12"/>
      <c r="B2950" s="12"/>
      <c r="C2950" s="5"/>
      <c r="D2950" s="11"/>
      <c r="E2950" s="11"/>
      <c r="F2950" s="11"/>
      <c r="G2950" s="11"/>
      <c r="H2950" s="11"/>
      <c r="I2950" s="11"/>
      <c r="J2950" s="9"/>
      <c r="P2950" s="15"/>
    </row>
    <row r="2951">
      <c r="A2951" s="12"/>
      <c r="B2951" s="12"/>
      <c r="C2951" s="5"/>
      <c r="D2951" s="11"/>
      <c r="E2951" s="11"/>
      <c r="F2951" s="11"/>
      <c r="G2951" s="11"/>
      <c r="H2951" s="11"/>
      <c r="I2951" s="11"/>
      <c r="J2951" s="9"/>
      <c r="P2951" s="15"/>
    </row>
    <row r="2952">
      <c r="A2952" s="12"/>
      <c r="B2952" s="12"/>
      <c r="C2952" s="5"/>
      <c r="D2952" s="11"/>
      <c r="E2952" s="11"/>
      <c r="F2952" s="11"/>
      <c r="G2952" s="11"/>
      <c r="H2952" s="11"/>
      <c r="I2952" s="11"/>
      <c r="J2952" s="9"/>
      <c r="P2952" s="15"/>
    </row>
    <row r="2953">
      <c r="A2953" s="12"/>
      <c r="B2953" s="12"/>
      <c r="C2953" s="5"/>
      <c r="D2953" s="11"/>
      <c r="E2953" s="11"/>
      <c r="F2953" s="11"/>
      <c r="G2953" s="11"/>
      <c r="H2953" s="11"/>
      <c r="I2953" s="11"/>
      <c r="J2953" s="9"/>
      <c r="P2953" s="15"/>
    </row>
    <row r="2954">
      <c r="A2954" s="12"/>
      <c r="B2954" s="12"/>
      <c r="C2954" s="5"/>
      <c r="D2954" s="11"/>
      <c r="E2954" s="11"/>
      <c r="F2954" s="11"/>
      <c r="G2954" s="11"/>
      <c r="H2954" s="11"/>
      <c r="I2954" s="11"/>
      <c r="J2954" s="9"/>
      <c r="P2954" s="15"/>
    </row>
    <row r="2955">
      <c r="A2955" s="12"/>
      <c r="B2955" s="12"/>
      <c r="C2955" s="5"/>
      <c r="D2955" s="11"/>
      <c r="E2955" s="11"/>
      <c r="F2955" s="11"/>
      <c r="G2955" s="11"/>
      <c r="H2955" s="11"/>
      <c r="I2955" s="11"/>
      <c r="J2955" s="9"/>
      <c r="P2955" s="15"/>
    </row>
    <row r="2956">
      <c r="A2956" s="12"/>
      <c r="B2956" s="12"/>
      <c r="C2956" s="5"/>
      <c r="D2956" s="11"/>
      <c r="E2956" s="11"/>
      <c r="F2956" s="11"/>
      <c r="G2956" s="11"/>
      <c r="H2956" s="11"/>
      <c r="I2956" s="11"/>
      <c r="J2956" s="9"/>
      <c r="P2956" s="15"/>
    </row>
    <row r="2957">
      <c r="A2957" s="12"/>
      <c r="B2957" s="12"/>
      <c r="C2957" s="5"/>
      <c r="D2957" s="11"/>
      <c r="E2957" s="11"/>
      <c r="F2957" s="11"/>
      <c r="G2957" s="11"/>
      <c r="H2957" s="11"/>
      <c r="I2957" s="11"/>
      <c r="J2957" s="9"/>
      <c r="P2957" s="15"/>
    </row>
    <row r="2958">
      <c r="A2958" s="12"/>
      <c r="B2958" s="12"/>
      <c r="C2958" s="5"/>
      <c r="D2958" s="11"/>
      <c r="E2958" s="11"/>
      <c r="F2958" s="11"/>
      <c r="G2958" s="11"/>
      <c r="H2958" s="11"/>
      <c r="I2958" s="11"/>
      <c r="J2958" s="9"/>
      <c r="P2958" s="15"/>
    </row>
    <row r="2959">
      <c r="A2959" s="12"/>
      <c r="B2959" s="12"/>
      <c r="C2959" s="5"/>
      <c r="D2959" s="11"/>
      <c r="E2959" s="11"/>
      <c r="F2959" s="11"/>
      <c r="G2959" s="11"/>
      <c r="H2959" s="11"/>
      <c r="I2959" s="11"/>
      <c r="J2959" s="9"/>
      <c r="P2959" s="15"/>
    </row>
    <row r="2960">
      <c r="A2960" s="12"/>
      <c r="B2960" s="12"/>
      <c r="C2960" s="5"/>
      <c r="D2960" s="11"/>
      <c r="E2960" s="11"/>
      <c r="F2960" s="11"/>
      <c r="G2960" s="11"/>
      <c r="H2960" s="11"/>
      <c r="I2960" s="11"/>
      <c r="J2960" s="9"/>
      <c r="P2960" s="15"/>
    </row>
    <row r="2961">
      <c r="A2961" s="12"/>
      <c r="B2961" s="12"/>
      <c r="C2961" s="5"/>
      <c r="D2961" s="11"/>
      <c r="E2961" s="11"/>
      <c r="F2961" s="11"/>
      <c r="G2961" s="11"/>
      <c r="H2961" s="11"/>
      <c r="I2961" s="11"/>
      <c r="J2961" s="9"/>
      <c r="P2961" s="15"/>
    </row>
    <row r="2962">
      <c r="A2962" s="12"/>
      <c r="B2962" s="12"/>
      <c r="C2962" s="5"/>
      <c r="D2962" s="11"/>
      <c r="E2962" s="11"/>
      <c r="F2962" s="11"/>
      <c r="G2962" s="11"/>
      <c r="H2962" s="11"/>
      <c r="I2962" s="11"/>
      <c r="J2962" s="9"/>
      <c r="P2962" s="15"/>
    </row>
    <row r="2963">
      <c r="A2963" s="12"/>
      <c r="B2963" s="12"/>
      <c r="C2963" s="5"/>
      <c r="D2963" s="11"/>
      <c r="E2963" s="11"/>
      <c r="F2963" s="11"/>
      <c r="G2963" s="11"/>
      <c r="H2963" s="11"/>
      <c r="I2963" s="11"/>
      <c r="J2963" s="9"/>
      <c r="P2963" s="15"/>
    </row>
    <row r="2964">
      <c r="A2964" s="12"/>
      <c r="B2964" s="12"/>
      <c r="C2964" s="5"/>
      <c r="D2964" s="11"/>
      <c r="E2964" s="11"/>
      <c r="F2964" s="11"/>
      <c r="G2964" s="11"/>
      <c r="H2964" s="11"/>
      <c r="I2964" s="11"/>
      <c r="J2964" s="9"/>
      <c r="P2964" s="15"/>
    </row>
    <row r="2965">
      <c r="A2965" s="12"/>
      <c r="B2965" s="12"/>
      <c r="C2965" s="5"/>
      <c r="D2965" s="11"/>
      <c r="E2965" s="11"/>
      <c r="F2965" s="11"/>
      <c r="G2965" s="11"/>
      <c r="H2965" s="11"/>
      <c r="I2965" s="11"/>
      <c r="J2965" s="9"/>
      <c r="P2965" s="15"/>
    </row>
    <row r="2966">
      <c r="A2966" s="12"/>
      <c r="B2966" s="12"/>
      <c r="C2966" s="5"/>
      <c r="D2966" s="11"/>
      <c r="E2966" s="11"/>
      <c r="F2966" s="11"/>
      <c r="G2966" s="11"/>
      <c r="H2966" s="11"/>
      <c r="I2966" s="11"/>
      <c r="J2966" s="9"/>
      <c r="P2966" s="15"/>
    </row>
    <row r="2967">
      <c r="A2967" s="12"/>
      <c r="B2967" s="12"/>
      <c r="C2967" s="5"/>
      <c r="D2967" s="11"/>
      <c r="E2967" s="11"/>
      <c r="F2967" s="11"/>
      <c r="G2967" s="11"/>
      <c r="H2967" s="11"/>
      <c r="I2967" s="11"/>
      <c r="J2967" s="9"/>
      <c r="P2967" s="15"/>
    </row>
    <row r="2968">
      <c r="A2968" s="12"/>
      <c r="B2968" s="12"/>
      <c r="C2968" s="5"/>
      <c r="D2968" s="11"/>
      <c r="E2968" s="11"/>
      <c r="F2968" s="11"/>
      <c r="G2968" s="11"/>
      <c r="H2968" s="11"/>
      <c r="I2968" s="11"/>
      <c r="J2968" s="9"/>
      <c r="P2968" s="15"/>
    </row>
    <row r="2969">
      <c r="A2969" s="12"/>
      <c r="B2969" s="12"/>
      <c r="C2969" s="5"/>
      <c r="D2969" s="11"/>
      <c r="E2969" s="11"/>
      <c r="F2969" s="11"/>
      <c r="G2969" s="11"/>
      <c r="H2969" s="11"/>
      <c r="I2969" s="11"/>
      <c r="J2969" s="9"/>
      <c r="P2969" s="15"/>
    </row>
    <row r="2970">
      <c r="A2970" s="12"/>
      <c r="B2970" s="12"/>
      <c r="C2970" s="5"/>
      <c r="D2970" s="11"/>
      <c r="E2970" s="11"/>
      <c r="F2970" s="11"/>
      <c r="G2970" s="11"/>
      <c r="H2970" s="11"/>
      <c r="I2970" s="11"/>
      <c r="J2970" s="9"/>
      <c r="P2970" s="15"/>
    </row>
    <row r="2971">
      <c r="A2971" s="12"/>
      <c r="B2971" s="12"/>
      <c r="C2971" s="5"/>
      <c r="D2971" s="11"/>
      <c r="E2971" s="11"/>
      <c r="F2971" s="11"/>
      <c r="G2971" s="11"/>
      <c r="H2971" s="11"/>
      <c r="I2971" s="11"/>
      <c r="J2971" s="9"/>
      <c r="P2971" s="15"/>
    </row>
    <row r="2972">
      <c r="A2972" s="12"/>
      <c r="B2972" s="12"/>
      <c r="C2972" s="5"/>
      <c r="D2972" s="11"/>
      <c r="E2972" s="11"/>
      <c r="F2972" s="11"/>
      <c r="G2972" s="11"/>
      <c r="H2972" s="11"/>
      <c r="I2972" s="11"/>
      <c r="J2972" s="9"/>
      <c r="P2972" s="15"/>
    </row>
    <row r="2973">
      <c r="A2973" s="12"/>
      <c r="B2973" s="12"/>
      <c r="C2973" s="5"/>
      <c r="D2973" s="11"/>
      <c r="E2973" s="11"/>
      <c r="F2973" s="11"/>
      <c r="G2973" s="11"/>
      <c r="H2973" s="11"/>
      <c r="I2973" s="11"/>
      <c r="J2973" s="9"/>
      <c r="P2973" s="15"/>
    </row>
    <row r="2974">
      <c r="A2974" s="12"/>
      <c r="B2974" s="12"/>
      <c r="C2974" s="5"/>
      <c r="D2974" s="11"/>
      <c r="E2974" s="11"/>
      <c r="F2974" s="11"/>
      <c r="G2974" s="11"/>
      <c r="H2974" s="11"/>
      <c r="I2974" s="11"/>
      <c r="J2974" s="9"/>
      <c r="P2974" s="15"/>
    </row>
    <row r="2975">
      <c r="A2975" s="12"/>
      <c r="B2975" s="12"/>
      <c r="C2975" s="5"/>
      <c r="D2975" s="11"/>
      <c r="E2975" s="11"/>
      <c r="F2975" s="11"/>
      <c r="G2975" s="11"/>
      <c r="H2975" s="11"/>
      <c r="I2975" s="11"/>
      <c r="J2975" s="9"/>
      <c r="P2975" s="15"/>
    </row>
    <row r="2976">
      <c r="A2976" s="12"/>
      <c r="B2976" s="12"/>
      <c r="C2976" s="5"/>
      <c r="D2976" s="11"/>
      <c r="E2976" s="11"/>
      <c r="F2976" s="11"/>
      <c r="G2976" s="11"/>
      <c r="H2976" s="11"/>
      <c r="I2976" s="11"/>
      <c r="J2976" s="9"/>
      <c r="P2976" s="15"/>
    </row>
    <row r="2977">
      <c r="A2977" s="12"/>
      <c r="B2977" s="12"/>
      <c r="C2977" s="5"/>
      <c r="D2977" s="11"/>
      <c r="E2977" s="11"/>
      <c r="F2977" s="11"/>
      <c r="G2977" s="11"/>
      <c r="H2977" s="11"/>
      <c r="I2977" s="11"/>
      <c r="J2977" s="9"/>
      <c r="P2977" s="15"/>
    </row>
    <row r="2978">
      <c r="A2978" s="12"/>
      <c r="B2978" s="12"/>
      <c r="C2978" s="5"/>
      <c r="D2978" s="11"/>
      <c r="E2978" s="11"/>
      <c r="F2978" s="11"/>
      <c r="G2978" s="11"/>
      <c r="H2978" s="11"/>
      <c r="I2978" s="11"/>
      <c r="J2978" s="9"/>
      <c r="P2978" s="15"/>
    </row>
    <row r="2979">
      <c r="A2979" s="12"/>
      <c r="B2979" s="12"/>
      <c r="C2979" s="5"/>
      <c r="D2979" s="11"/>
      <c r="E2979" s="11"/>
      <c r="F2979" s="11"/>
      <c r="G2979" s="11"/>
      <c r="H2979" s="11"/>
      <c r="I2979" s="11"/>
      <c r="J2979" s="9"/>
      <c r="P2979" s="15"/>
    </row>
    <row r="2980">
      <c r="A2980" s="12"/>
      <c r="B2980" s="12"/>
      <c r="C2980" s="5"/>
      <c r="D2980" s="11"/>
      <c r="E2980" s="11"/>
      <c r="F2980" s="11"/>
      <c r="G2980" s="11"/>
      <c r="H2980" s="11"/>
      <c r="I2980" s="11"/>
      <c r="J2980" s="9"/>
      <c r="P2980" s="15"/>
    </row>
    <row r="2981">
      <c r="A2981" s="12"/>
      <c r="B2981" s="12"/>
      <c r="C2981" s="5"/>
      <c r="D2981" s="11"/>
      <c r="E2981" s="11"/>
      <c r="F2981" s="11"/>
      <c r="G2981" s="11"/>
      <c r="H2981" s="11"/>
      <c r="I2981" s="11"/>
      <c r="J2981" s="9"/>
      <c r="P2981" s="15"/>
    </row>
    <row r="2982">
      <c r="A2982" s="12"/>
      <c r="B2982" s="12"/>
      <c r="C2982" s="5"/>
      <c r="D2982" s="11"/>
      <c r="E2982" s="11"/>
      <c r="F2982" s="11"/>
      <c r="G2982" s="11"/>
      <c r="H2982" s="11"/>
      <c r="I2982" s="11"/>
      <c r="J2982" s="9"/>
      <c r="P2982" s="15"/>
    </row>
    <row r="2983">
      <c r="A2983" s="12"/>
      <c r="B2983" s="12"/>
      <c r="C2983" s="5"/>
      <c r="D2983" s="11"/>
      <c r="E2983" s="11"/>
      <c r="F2983" s="11"/>
      <c r="G2983" s="11"/>
      <c r="H2983" s="11"/>
      <c r="I2983" s="11"/>
      <c r="J2983" s="9"/>
      <c r="P2983" s="15"/>
    </row>
    <row r="2984">
      <c r="A2984" s="12"/>
      <c r="B2984" s="12"/>
      <c r="C2984" s="5"/>
      <c r="D2984" s="11"/>
      <c r="E2984" s="11"/>
      <c r="F2984" s="11"/>
      <c r="G2984" s="11"/>
      <c r="H2984" s="11"/>
      <c r="I2984" s="11"/>
      <c r="J2984" s="9"/>
      <c r="P2984" s="15"/>
    </row>
    <row r="2985">
      <c r="A2985" s="12"/>
      <c r="B2985" s="12"/>
      <c r="C2985" s="5"/>
      <c r="D2985" s="11"/>
      <c r="E2985" s="11"/>
      <c r="F2985" s="11"/>
      <c r="G2985" s="11"/>
      <c r="H2985" s="11"/>
      <c r="I2985" s="11"/>
      <c r="J2985" s="9"/>
      <c r="P2985" s="15"/>
    </row>
    <row r="2986">
      <c r="A2986" s="12"/>
      <c r="B2986" s="12"/>
      <c r="C2986" s="5"/>
      <c r="D2986" s="11"/>
      <c r="E2986" s="11"/>
      <c r="F2986" s="11"/>
      <c r="G2986" s="11"/>
      <c r="H2986" s="11"/>
      <c r="I2986" s="11"/>
      <c r="J2986" s="9"/>
      <c r="P2986" s="15"/>
    </row>
    <row r="2987">
      <c r="A2987" s="12"/>
      <c r="B2987" s="12"/>
      <c r="C2987" s="5"/>
      <c r="D2987" s="11"/>
      <c r="E2987" s="11"/>
      <c r="F2987" s="11"/>
      <c r="G2987" s="11"/>
      <c r="H2987" s="11"/>
      <c r="I2987" s="11"/>
      <c r="J2987" s="9"/>
      <c r="P2987" s="15"/>
    </row>
    <row r="2988">
      <c r="A2988" s="12"/>
      <c r="B2988" s="12"/>
      <c r="C2988" s="5"/>
      <c r="D2988" s="11"/>
      <c r="E2988" s="11"/>
      <c r="F2988" s="11"/>
      <c r="G2988" s="11"/>
      <c r="H2988" s="11"/>
      <c r="I2988" s="11"/>
      <c r="J2988" s="9"/>
      <c r="P2988" s="15"/>
    </row>
    <row r="2989">
      <c r="A2989" s="12"/>
      <c r="B2989" s="12"/>
      <c r="C2989" s="5"/>
      <c r="D2989" s="11"/>
      <c r="E2989" s="11"/>
      <c r="F2989" s="11"/>
      <c r="G2989" s="11"/>
      <c r="H2989" s="11"/>
      <c r="I2989" s="11"/>
      <c r="J2989" s="9"/>
      <c r="P2989" s="15"/>
    </row>
    <row r="2990">
      <c r="A2990" s="12"/>
      <c r="B2990" s="12"/>
      <c r="C2990" s="5"/>
      <c r="D2990" s="11"/>
      <c r="E2990" s="11"/>
      <c r="F2990" s="11"/>
      <c r="G2990" s="11"/>
      <c r="H2990" s="11"/>
      <c r="I2990" s="11"/>
      <c r="J2990" s="9"/>
      <c r="P2990" s="15"/>
    </row>
    <row r="2991">
      <c r="A2991" s="12"/>
      <c r="B2991" s="12"/>
      <c r="C2991" s="5"/>
      <c r="D2991" s="11"/>
      <c r="E2991" s="11"/>
      <c r="F2991" s="11"/>
      <c r="G2991" s="11"/>
      <c r="H2991" s="11"/>
      <c r="I2991" s="11"/>
      <c r="J2991" s="9"/>
      <c r="P2991" s="15"/>
    </row>
    <row r="2992">
      <c r="A2992" s="12"/>
      <c r="B2992" s="12"/>
      <c r="C2992" s="5"/>
      <c r="D2992" s="11"/>
      <c r="E2992" s="11"/>
      <c r="F2992" s="11"/>
      <c r="G2992" s="11"/>
      <c r="H2992" s="11"/>
      <c r="I2992" s="11"/>
      <c r="J2992" s="9"/>
      <c r="P2992" s="15"/>
    </row>
    <row r="2993">
      <c r="A2993" s="12"/>
      <c r="B2993" s="12"/>
      <c r="C2993" s="5"/>
      <c r="D2993" s="11"/>
      <c r="E2993" s="11"/>
      <c r="F2993" s="11"/>
      <c r="G2993" s="11"/>
      <c r="H2993" s="11"/>
      <c r="I2993" s="11"/>
      <c r="J2993" s="9"/>
      <c r="P2993" s="15"/>
    </row>
    <row r="2994">
      <c r="A2994" s="12"/>
      <c r="B2994" s="12"/>
      <c r="C2994" s="5"/>
      <c r="D2994" s="11"/>
      <c r="E2994" s="11"/>
      <c r="F2994" s="11"/>
      <c r="G2994" s="11"/>
      <c r="H2994" s="11"/>
      <c r="I2994" s="11"/>
      <c r="J2994" s="9"/>
      <c r="P2994" s="15"/>
    </row>
    <row r="2995">
      <c r="A2995" s="12"/>
      <c r="B2995" s="12"/>
      <c r="C2995" s="5"/>
      <c r="D2995" s="11"/>
      <c r="E2995" s="11"/>
      <c r="F2995" s="11"/>
      <c r="G2995" s="11"/>
      <c r="H2995" s="11"/>
      <c r="I2995" s="11"/>
      <c r="J2995" s="9"/>
      <c r="P2995" s="15"/>
    </row>
    <row r="2996">
      <c r="A2996" s="12"/>
      <c r="B2996" s="12"/>
      <c r="C2996" s="5"/>
      <c r="D2996" s="11"/>
      <c r="E2996" s="11"/>
      <c r="F2996" s="11"/>
      <c r="G2996" s="11"/>
      <c r="H2996" s="11"/>
      <c r="I2996" s="11"/>
      <c r="J2996" s="9"/>
      <c r="P2996" s="15"/>
    </row>
    <row r="2997">
      <c r="A2997" s="12"/>
      <c r="B2997" s="12"/>
      <c r="C2997" s="5"/>
      <c r="D2997" s="11"/>
      <c r="E2997" s="11"/>
      <c r="F2997" s="11"/>
      <c r="G2997" s="11"/>
      <c r="H2997" s="11"/>
      <c r="I2997" s="11"/>
      <c r="J2997" s="9"/>
      <c r="P2997" s="15"/>
    </row>
    <row r="2998">
      <c r="A2998" s="12"/>
      <c r="B2998" s="12"/>
      <c r="C2998" s="5"/>
      <c r="D2998" s="11"/>
      <c r="E2998" s="11"/>
      <c r="F2998" s="11"/>
      <c r="G2998" s="11"/>
      <c r="H2998" s="11"/>
      <c r="I2998" s="11"/>
      <c r="J2998" s="9"/>
      <c r="P2998" s="15"/>
    </row>
    <row r="2999">
      <c r="A2999" s="12"/>
      <c r="B2999" s="12"/>
      <c r="C2999" s="5"/>
      <c r="D2999" s="11"/>
      <c r="E2999" s="11"/>
      <c r="F2999" s="11"/>
      <c r="G2999" s="11"/>
      <c r="H2999" s="11"/>
      <c r="I2999" s="11"/>
      <c r="J2999" s="9"/>
      <c r="P2999" s="15"/>
    </row>
    <row r="3000">
      <c r="A3000" s="12"/>
      <c r="B3000" s="12"/>
      <c r="C3000" s="5"/>
      <c r="D3000" s="11"/>
      <c r="E3000" s="11"/>
      <c r="F3000" s="11"/>
      <c r="G3000" s="11"/>
      <c r="H3000" s="11"/>
      <c r="I3000" s="11"/>
      <c r="J3000" s="9"/>
      <c r="P3000" s="15"/>
    </row>
    <row r="3001">
      <c r="A3001" s="12"/>
      <c r="B3001" s="12"/>
      <c r="C3001" s="5"/>
      <c r="D3001" s="11"/>
      <c r="E3001" s="11"/>
      <c r="F3001" s="11"/>
      <c r="G3001" s="11"/>
      <c r="H3001" s="11"/>
      <c r="I3001" s="11"/>
      <c r="J3001" s="9"/>
      <c r="P3001" s="15"/>
    </row>
    <row r="3002">
      <c r="A3002" s="12"/>
      <c r="B3002" s="12"/>
      <c r="C3002" s="5"/>
      <c r="D3002" s="11"/>
      <c r="E3002" s="11"/>
      <c r="F3002" s="11"/>
      <c r="G3002" s="11"/>
      <c r="H3002" s="11"/>
      <c r="I3002" s="11"/>
      <c r="J3002" s="9"/>
      <c r="P3002" s="15"/>
    </row>
    <row r="3003">
      <c r="A3003" s="12"/>
      <c r="B3003" s="12"/>
      <c r="C3003" s="5"/>
      <c r="D3003" s="11"/>
      <c r="E3003" s="11"/>
      <c r="F3003" s="11"/>
      <c r="G3003" s="11"/>
      <c r="H3003" s="11"/>
      <c r="I3003" s="11"/>
      <c r="J3003" s="9"/>
      <c r="P3003" s="15"/>
    </row>
    <row r="3004">
      <c r="A3004" s="12"/>
      <c r="B3004" s="12"/>
      <c r="C3004" s="5"/>
      <c r="D3004" s="11"/>
      <c r="E3004" s="11"/>
      <c r="F3004" s="11"/>
      <c r="G3004" s="11"/>
      <c r="H3004" s="11"/>
      <c r="I3004" s="11"/>
      <c r="J3004" s="9"/>
      <c r="P3004" s="15"/>
    </row>
    <row r="3005">
      <c r="A3005" s="12"/>
      <c r="B3005" s="12"/>
      <c r="C3005" s="5"/>
      <c r="D3005" s="11"/>
      <c r="E3005" s="11"/>
      <c r="F3005" s="11"/>
      <c r="G3005" s="11"/>
      <c r="H3005" s="11"/>
      <c r="I3005" s="11"/>
      <c r="J3005" s="9"/>
      <c r="P3005" s="15"/>
    </row>
    <row r="3006">
      <c r="A3006" s="12"/>
      <c r="B3006" s="12"/>
      <c r="C3006" s="5"/>
      <c r="D3006" s="11"/>
      <c r="E3006" s="11"/>
      <c r="F3006" s="11"/>
      <c r="G3006" s="11"/>
      <c r="H3006" s="11"/>
      <c r="I3006" s="11"/>
      <c r="J3006" s="9"/>
      <c r="P3006" s="15"/>
    </row>
    <row r="3007">
      <c r="A3007" s="12"/>
      <c r="B3007" s="12"/>
      <c r="C3007" s="5"/>
      <c r="D3007" s="11"/>
      <c r="E3007" s="11"/>
      <c r="F3007" s="11"/>
      <c r="G3007" s="11"/>
      <c r="H3007" s="11"/>
      <c r="I3007" s="11"/>
      <c r="J3007" s="9"/>
      <c r="P3007" s="15"/>
    </row>
    <row r="3008">
      <c r="A3008" s="12"/>
      <c r="B3008" s="12"/>
      <c r="C3008" s="5"/>
      <c r="D3008" s="11"/>
      <c r="E3008" s="11"/>
      <c r="F3008" s="11"/>
      <c r="G3008" s="11"/>
      <c r="H3008" s="11"/>
      <c r="I3008" s="11"/>
      <c r="J3008" s="9"/>
      <c r="P3008" s="15"/>
    </row>
    <row r="3009">
      <c r="A3009" s="12"/>
      <c r="B3009" s="12"/>
      <c r="C3009" s="5"/>
      <c r="D3009" s="11"/>
      <c r="E3009" s="11"/>
      <c r="F3009" s="11"/>
      <c r="G3009" s="11"/>
      <c r="H3009" s="11"/>
      <c r="I3009" s="11"/>
      <c r="J3009" s="9"/>
      <c r="P3009" s="15"/>
    </row>
    <row r="3010">
      <c r="A3010" s="12"/>
      <c r="B3010" s="12"/>
      <c r="C3010" s="5"/>
      <c r="D3010" s="11"/>
      <c r="E3010" s="11"/>
      <c r="F3010" s="11"/>
      <c r="G3010" s="11"/>
      <c r="H3010" s="11"/>
      <c r="I3010" s="11"/>
      <c r="J3010" s="9"/>
      <c r="P3010" s="15"/>
    </row>
    <row r="3011">
      <c r="A3011" s="12"/>
      <c r="B3011" s="12"/>
      <c r="C3011" s="5"/>
      <c r="D3011" s="11"/>
      <c r="E3011" s="11"/>
      <c r="F3011" s="11"/>
      <c r="G3011" s="11"/>
      <c r="H3011" s="11"/>
      <c r="I3011" s="11"/>
      <c r="J3011" s="9"/>
      <c r="P3011" s="15"/>
    </row>
    <row r="3012">
      <c r="A3012" s="12"/>
      <c r="B3012" s="12"/>
      <c r="C3012" s="5"/>
      <c r="D3012" s="11"/>
      <c r="E3012" s="11"/>
      <c r="F3012" s="11"/>
      <c r="G3012" s="11"/>
      <c r="H3012" s="11"/>
      <c r="I3012" s="11"/>
      <c r="J3012" s="9"/>
      <c r="P3012" s="15"/>
    </row>
    <row r="3013">
      <c r="A3013" s="12"/>
      <c r="B3013" s="12"/>
      <c r="C3013" s="5"/>
      <c r="D3013" s="11"/>
      <c r="E3013" s="11"/>
      <c r="F3013" s="11"/>
      <c r="G3013" s="11"/>
      <c r="H3013" s="11"/>
      <c r="I3013" s="11"/>
      <c r="J3013" s="9"/>
      <c r="P3013" s="15"/>
    </row>
    <row r="3014">
      <c r="A3014" s="12"/>
      <c r="B3014" s="12"/>
      <c r="C3014" s="5"/>
      <c r="D3014" s="11"/>
      <c r="E3014" s="11"/>
      <c r="F3014" s="11"/>
      <c r="G3014" s="11"/>
      <c r="H3014" s="11"/>
      <c r="I3014" s="11"/>
      <c r="J3014" s="9"/>
      <c r="P3014" s="15"/>
    </row>
    <row r="3015">
      <c r="A3015" s="12"/>
      <c r="B3015" s="12"/>
      <c r="C3015" s="5"/>
      <c r="D3015" s="11"/>
      <c r="E3015" s="11"/>
      <c r="F3015" s="11"/>
      <c r="G3015" s="11"/>
      <c r="H3015" s="11"/>
      <c r="I3015" s="11"/>
      <c r="J3015" s="9"/>
      <c r="P3015" s="15"/>
    </row>
    <row r="3016">
      <c r="A3016" s="12"/>
      <c r="B3016" s="12"/>
      <c r="C3016" s="5"/>
      <c r="D3016" s="11"/>
      <c r="E3016" s="11"/>
      <c r="F3016" s="11"/>
      <c r="G3016" s="11"/>
      <c r="H3016" s="11"/>
      <c r="I3016" s="11"/>
      <c r="J3016" s="9"/>
      <c r="P3016" s="15"/>
    </row>
    <row r="3017">
      <c r="A3017" s="12"/>
      <c r="B3017" s="12"/>
      <c r="C3017" s="5"/>
      <c r="D3017" s="11"/>
      <c r="E3017" s="11"/>
      <c r="F3017" s="11"/>
      <c r="G3017" s="11"/>
      <c r="H3017" s="11"/>
      <c r="I3017" s="11"/>
      <c r="J3017" s="9"/>
      <c r="P3017" s="15"/>
    </row>
    <row r="3018">
      <c r="A3018" s="12"/>
      <c r="B3018" s="12"/>
      <c r="C3018" s="5"/>
      <c r="D3018" s="11"/>
      <c r="E3018" s="11"/>
      <c r="F3018" s="11"/>
      <c r="G3018" s="11"/>
      <c r="H3018" s="11"/>
      <c r="I3018" s="11"/>
      <c r="J3018" s="9"/>
      <c r="P3018" s="15"/>
    </row>
    <row r="3019">
      <c r="A3019" s="12"/>
      <c r="B3019" s="12"/>
      <c r="C3019" s="5"/>
      <c r="D3019" s="11"/>
      <c r="E3019" s="11"/>
      <c r="F3019" s="11"/>
      <c r="G3019" s="11"/>
      <c r="H3019" s="11"/>
      <c r="I3019" s="11"/>
      <c r="J3019" s="9"/>
      <c r="P3019" s="15"/>
    </row>
    <row r="3020">
      <c r="A3020" s="12"/>
      <c r="B3020" s="12"/>
      <c r="C3020" s="5"/>
      <c r="D3020" s="11"/>
      <c r="E3020" s="11"/>
      <c r="F3020" s="11"/>
      <c r="G3020" s="11"/>
      <c r="H3020" s="11"/>
      <c r="I3020" s="11"/>
      <c r="J3020" s="9"/>
      <c r="P3020" s="15"/>
    </row>
    <row r="3021">
      <c r="A3021" s="12"/>
      <c r="B3021" s="12"/>
      <c r="C3021" s="5"/>
      <c r="D3021" s="11"/>
      <c r="E3021" s="11"/>
      <c r="F3021" s="11"/>
      <c r="G3021" s="11"/>
      <c r="H3021" s="11"/>
      <c r="I3021" s="11"/>
      <c r="J3021" s="9"/>
      <c r="P3021" s="15"/>
    </row>
    <row r="3022">
      <c r="A3022" s="12"/>
      <c r="B3022" s="12"/>
      <c r="C3022" s="5"/>
      <c r="D3022" s="11"/>
      <c r="E3022" s="11"/>
      <c r="F3022" s="11"/>
      <c r="G3022" s="11"/>
      <c r="H3022" s="11"/>
      <c r="I3022" s="11"/>
      <c r="J3022" s="9"/>
      <c r="P3022" s="15"/>
    </row>
    <row r="3023">
      <c r="A3023" s="12"/>
      <c r="B3023" s="12"/>
      <c r="C3023" s="5"/>
      <c r="D3023" s="11"/>
      <c r="E3023" s="11"/>
      <c r="F3023" s="11"/>
      <c r="G3023" s="11"/>
      <c r="H3023" s="11"/>
      <c r="I3023" s="11"/>
      <c r="J3023" s="9"/>
      <c r="P3023" s="15"/>
    </row>
    <row r="3024">
      <c r="A3024" s="12"/>
      <c r="B3024" s="12"/>
      <c r="C3024" s="5"/>
      <c r="D3024" s="11"/>
      <c r="E3024" s="11"/>
      <c r="F3024" s="11"/>
      <c r="G3024" s="11"/>
      <c r="H3024" s="11"/>
      <c r="I3024" s="11"/>
      <c r="J3024" s="9"/>
      <c r="P3024" s="15"/>
    </row>
    <row r="3025">
      <c r="A3025" s="12"/>
      <c r="B3025" s="12"/>
      <c r="C3025" s="5"/>
      <c r="D3025" s="11"/>
      <c r="E3025" s="11"/>
      <c r="F3025" s="11"/>
      <c r="G3025" s="11"/>
      <c r="H3025" s="11"/>
      <c r="I3025" s="11"/>
      <c r="J3025" s="9"/>
      <c r="P3025" s="15"/>
    </row>
    <row r="3026">
      <c r="A3026" s="12"/>
      <c r="B3026" s="12"/>
      <c r="C3026" s="5"/>
      <c r="D3026" s="11"/>
      <c r="E3026" s="11"/>
      <c r="F3026" s="11"/>
      <c r="G3026" s="11"/>
      <c r="H3026" s="11"/>
      <c r="I3026" s="11"/>
      <c r="J3026" s="9"/>
      <c r="P3026" s="15"/>
    </row>
    <row r="3027">
      <c r="A3027" s="12"/>
      <c r="B3027" s="12"/>
      <c r="C3027" s="5"/>
      <c r="D3027" s="11"/>
      <c r="E3027" s="11"/>
      <c r="F3027" s="11"/>
      <c r="G3027" s="11"/>
      <c r="H3027" s="11"/>
      <c r="I3027" s="11"/>
      <c r="J3027" s="9"/>
      <c r="P3027" s="15"/>
    </row>
    <row r="3028">
      <c r="A3028" s="12"/>
      <c r="B3028" s="12"/>
      <c r="C3028" s="5"/>
      <c r="D3028" s="11"/>
      <c r="E3028" s="11"/>
      <c r="F3028" s="11"/>
      <c r="G3028" s="11"/>
      <c r="H3028" s="11"/>
      <c r="I3028" s="11"/>
      <c r="J3028" s="9"/>
      <c r="P3028" s="15"/>
    </row>
    <row r="3029">
      <c r="A3029" s="12"/>
      <c r="B3029" s="12"/>
      <c r="C3029" s="5"/>
      <c r="D3029" s="11"/>
      <c r="E3029" s="11"/>
      <c r="F3029" s="11"/>
      <c r="G3029" s="11"/>
      <c r="H3029" s="11"/>
      <c r="I3029" s="11"/>
      <c r="J3029" s="9"/>
      <c r="P3029" s="15"/>
    </row>
    <row r="3030">
      <c r="A3030" s="12"/>
      <c r="B3030" s="12"/>
      <c r="C3030" s="5"/>
      <c r="D3030" s="11"/>
      <c r="E3030" s="11"/>
      <c r="F3030" s="11"/>
      <c r="G3030" s="11"/>
      <c r="H3030" s="11"/>
      <c r="I3030" s="11"/>
      <c r="J3030" s="9"/>
      <c r="P3030" s="15"/>
    </row>
    <row r="3031">
      <c r="A3031" s="12"/>
      <c r="B3031" s="12"/>
      <c r="C3031" s="5"/>
      <c r="D3031" s="11"/>
      <c r="E3031" s="11"/>
      <c r="F3031" s="11"/>
      <c r="G3031" s="11"/>
      <c r="H3031" s="11"/>
      <c r="I3031" s="11"/>
      <c r="J3031" s="9"/>
      <c r="P3031" s="15"/>
    </row>
    <row r="3032">
      <c r="A3032" s="12"/>
      <c r="B3032" s="12"/>
      <c r="C3032" s="5"/>
      <c r="D3032" s="11"/>
      <c r="E3032" s="11"/>
      <c r="F3032" s="11"/>
      <c r="G3032" s="11"/>
      <c r="H3032" s="11"/>
      <c r="I3032" s="11"/>
      <c r="J3032" s="9"/>
      <c r="P3032" s="15"/>
    </row>
    <row r="3033">
      <c r="A3033" s="12"/>
      <c r="B3033" s="12"/>
      <c r="C3033" s="5"/>
      <c r="D3033" s="11"/>
      <c r="E3033" s="11"/>
      <c r="F3033" s="11"/>
      <c r="G3033" s="11"/>
      <c r="H3033" s="11"/>
      <c r="I3033" s="11"/>
      <c r="J3033" s="9"/>
      <c r="P3033" s="15"/>
    </row>
    <row r="3034">
      <c r="A3034" s="12"/>
      <c r="B3034" s="12"/>
      <c r="C3034" s="5"/>
      <c r="D3034" s="11"/>
      <c r="E3034" s="11"/>
      <c r="F3034" s="11"/>
      <c r="G3034" s="11"/>
      <c r="H3034" s="11"/>
      <c r="I3034" s="11"/>
      <c r="J3034" s="9"/>
      <c r="P3034" s="15"/>
    </row>
    <row r="3035">
      <c r="A3035" s="12"/>
      <c r="B3035" s="12"/>
      <c r="C3035" s="5"/>
      <c r="D3035" s="11"/>
      <c r="E3035" s="11"/>
      <c r="F3035" s="11"/>
      <c r="G3035" s="11"/>
      <c r="H3035" s="11"/>
      <c r="I3035" s="11"/>
      <c r="J3035" s="9"/>
      <c r="P3035" s="15"/>
    </row>
    <row r="3036">
      <c r="A3036" s="12"/>
      <c r="B3036" s="12"/>
      <c r="C3036" s="5"/>
      <c r="D3036" s="11"/>
      <c r="E3036" s="11"/>
      <c r="F3036" s="11"/>
      <c r="G3036" s="11"/>
      <c r="H3036" s="11"/>
      <c r="I3036" s="11"/>
      <c r="J3036" s="9"/>
      <c r="P3036" s="15"/>
    </row>
    <row r="3037">
      <c r="A3037" s="12"/>
      <c r="B3037" s="12"/>
      <c r="C3037" s="5"/>
      <c r="D3037" s="11"/>
      <c r="E3037" s="11"/>
      <c r="F3037" s="11"/>
      <c r="G3037" s="11"/>
      <c r="H3037" s="11"/>
      <c r="I3037" s="11"/>
      <c r="J3037" s="9"/>
      <c r="P3037" s="15"/>
    </row>
    <row r="3038">
      <c r="A3038" s="12"/>
      <c r="B3038" s="12"/>
      <c r="C3038" s="5"/>
      <c r="D3038" s="11"/>
      <c r="E3038" s="11"/>
      <c r="F3038" s="11"/>
      <c r="G3038" s="11"/>
      <c r="H3038" s="11"/>
      <c r="I3038" s="11"/>
      <c r="J3038" s="9"/>
      <c r="P3038" s="15"/>
    </row>
    <row r="3039">
      <c r="A3039" s="12"/>
      <c r="B3039" s="12"/>
      <c r="C3039" s="5"/>
      <c r="D3039" s="11"/>
      <c r="E3039" s="11"/>
      <c r="F3039" s="11"/>
      <c r="G3039" s="11"/>
      <c r="H3039" s="11"/>
      <c r="I3039" s="11"/>
      <c r="J3039" s="9"/>
      <c r="P3039" s="15"/>
    </row>
    <row r="3040">
      <c r="A3040" s="12"/>
      <c r="B3040" s="12"/>
      <c r="C3040" s="5"/>
      <c r="D3040" s="11"/>
      <c r="E3040" s="11"/>
      <c r="F3040" s="11"/>
      <c r="G3040" s="11"/>
      <c r="H3040" s="11"/>
      <c r="I3040" s="11"/>
      <c r="J3040" s="9"/>
      <c r="P3040" s="15"/>
    </row>
    <row r="3041">
      <c r="A3041" s="12"/>
      <c r="B3041" s="12"/>
      <c r="C3041" s="5"/>
      <c r="D3041" s="11"/>
      <c r="E3041" s="11"/>
      <c r="F3041" s="11"/>
      <c r="G3041" s="11"/>
      <c r="H3041" s="11"/>
      <c r="I3041" s="11"/>
      <c r="J3041" s="9"/>
      <c r="P3041" s="15"/>
    </row>
    <row r="3042">
      <c r="A3042" s="12"/>
      <c r="B3042" s="12"/>
      <c r="C3042" s="5"/>
      <c r="D3042" s="11"/>
      <c r="E3042" s="11"/>
      <c r="F3042" s="11"/>
      <c r="G3042" s="11"/>
      <c r="H3042" s="11"/>
      <c r="I3042" s="11"/>
      <c r="J3042" s="9"/>
      <c r="P3042" s="15"/>
    </row>
    <row r="3043">
      <c r="A3043" s="12"/>
      <c r="B3043" s="12"/>
      <c r="C3043" s="5"/>
      <c r="D3043" s="11"/>
      <c r="E3043" s="11"/>
      <c r="F3043" s="11"/>
      <c r="G3043" s="11"/>
      <c r="H3043" s="11"/>
      <c r="I3043" s="11"/>
      <c r="J3043" s="9"/>
      <c r="P3043" s="15"/>
    </row>
    <row r="3044">
      <c r="A3044" s="12"/>
      <c r="B3044" s="12"/>
      <c r="C3044" s="5"/>
      <c r="D3044" s="11"/>
      <c r="E3044" s="11"/>
      <c r="F3044" s="11"/>
      <c r="G3044" s="11"/>
      <c r="H3044" s="11"/>
      <c r="I3044" s="11"/>
      <c r="J3044" s="9"/>
      <c r="P3044" s="15"/>
    </row>
    <row r="3045">
      <c r="A3045" s="12"/>
      <c r="B3045" s="12"/>
      <c r="C3045" s="5"/>
      <c r="D3045" s="11"/>
      <c r="E3045" s="11"/>
      <c r="F3045" s="11"/>
      <c r="G3045" s="11"/>
      <c r="H3045" s="11"/>
      <c r="I3045" s="11"/>
      <c r="J3045" s="9"/>
      <c r="P3045" s="15"/>
    </row>
    <row r="3046">
      <c r="A3046" s="12"/>
      <c r="B3046" s="12"/>
      <c r="C3046" s="5"/>
      <c r="D3046" s="11"/>
      <c r="E3046" s="11"/>
      <c r="F3046" s="11"/>
      <c r="G3046" s="11"/>
      <c r="H3046" s="11"/>
      <c r="I3046" s="11"/>
      <c r="J3046" s="9"/>
      <c r="P3046" s="15"/>
    </row>
    <row r="3047">
      <c r="A3047" s="12"/>
      <c r="B3047" s="12"/>
      <c r="C3047" s="5"/>
      <c r="D3047" s="11"/>
      <c r="E3047" s="11"/>
      <c r="F3047" s="11"/>
      <c r="G3047" s="11"/>
      <c r="H3047" s="11"/>
      <c r="I3047" s="11"/>
      <c r="J3047" s="9"/>
      <c r="P3047" s="15"/>
    </row>
    <row r="3048">
      <c r="A3048" s="12"/>
      <c r="B3048" s="12"/>
      <c r="C3048" s="5"/>
      <c r="D3048" s="11"/>
      <c r="E3048" s="11"/>
      <c r="F3048" s="11"/>
      <c r="G3048" s="11"/>
      <c r="H3048" s="11"/>
      <c r="I3048" s="11"/>
      <c r="J3048" s="9"/>
      <c r="P3048" s="15"/>
    </row>
    <row r="3049">
      <c r="A3049" s="12"/>
      <c r="B3049" s="12"/>
      <c r="C3049" s="5"/>
      <c r="D3049" s="11"/>
      <c r="E3049" s="11"/>
      <c r="F3049" s="11"/>
      <c r="G3049" s="11"/>
      <c r="H3049" s="11"/>
      <c r="I3049" s="11"/>
      <c r="J3049" s="9"/>
      <c r="P3049" s="15"/>
    </row>
    <row r="3050">
      <c r="A3050" s="12"/>
      <c r="B3050" s="12"/>
      <c r="C3050" s="5"/>
      <c r="D3050" s="11"/>
      <c r="E3050" s="11"/>
      <c r="F3050" s="11"/>
      <c r="G3050" s="11"/>
      <c r="H3050" s="11"/>
      <c r="I3050" s="11"/>
      <c r="J3050" s="9"/>
      <c r="P3050" s="15"/>
    </row>
    <row r="3051">
      <c r="A3051" s="12"/>
      <c r="B3051" s="12"/>
      <c r="C3051" s="5"/>
      <c r="D3051" s="11"/>
      <c r="E3051" s="11"/>
      <c r="F3051" s="11"/>
      <c r="G3051" s="11"/>
      <c r="H3051" s="11"/>
      <c r="I3051" s="11"/>
      <c r="J3051" s="9"/>
      <c r="P3051" s="15"/>
    </row>
    <row r="3052">
      <c r="A3052" s="12"/>
      <c r="B3052" s="12"/>
      <c r="C3052" s="5"/>
      <c r="D3052" s="11"/>
      <c r="E3052" s="11"/>
      <c r="F3052" s="11"/>
      <c r="G3052" s="11"/>
      <c r="H3052" s="11"/>
      <c r="I3052" s="11"/>
      <c r="J3052" s="9"/>
      <c r="P3052" s="15"/>
    </row>
    <row r="3053">
      <c r="A3053" s="12"/>
      <c r="B3053" s="12"/>
      <c r="C3053" s="5"/>
      <c r="D3053" s="11"/>
      <c r="E3053" s="11"/>
      <c r="F3053" s="11"/>
      <c r="G3053" s="11"/>
      <c r="H3053" s="11"/>
      <c r="I3053" s="11"/>
      <c r="J3053" s="9"/>
      <c r="P3053" s="15"/>
    </row>
    <row r="3054">
      <c r="A3054" s="12"/>
      <c r="B3054" s="12"/>
      <c r="C3054" s="5"/>
      <c r="D3054" s="11"/>
      <c r="E3054" s="11"/>
      <c r="F3054" s="11"/>
      <c r="G3054" s="11"/>
      <c r="H3054" s="11"/>
      <c r="I3054" s="11"/>
      <c r="J3054" s="9"/>
      <c r="P3054" s="15"/>
    </row>
    <row r="3055">
      <c r="A3055" s="12"/>
      <c r="B3055" s="12"/>
      <c r="C3055" s="5"/>
      <c r="D3055" s="11"/>
      <c r="E3055" s="11"/>
      <c r="F3055" s="11"/>
      <c r="G3055" s="11"/>
      <c r="H3055" s="11"/>
      <c r="I3055" s="11"/>
      <c r="J3055" s="9"/>
      <c r="P3055" s="15"/>
    </row>
    <row r="3056">
      <c r="A3056" s="12"/>
      <c r="B3056" s="12"/>
      <c r="C3056" s="5"/>
      <c r="D3056" s="11"/>
      <c r="E3056" s="11"/>
      <c r="F3056" s="11"/>
      <c r="G3056" s="11"/>
      <c r="H3056" s="11"/>
      <c r="I3056" s="11"/>
      <c r="J3056" s="9"/>
      <c r="P3056" s="15"/>
    </row>
    <row r="3057">
      <c r="A3057" s="12"/>
      <c r="B3057" s="12"/>
      <c r="C3057" s="5"/>
      <c r="D3057" s="11"/>
      <c r="E3057" s="11"/>
      <c r="F3057" s="11"/>
      <c r="G3057" s="11"/>
      <c r="H3057" s="11"/>
      <c r="I3057" s="11"/>
      <c r="J3057" s="9"/>
      <c r="P3057" s="15"/>
    </row>
    <row r="3058">
      <c r="A3058" s="12"/>
      <c r="B3058" s="12"/>
      <c r="C3058" s="5"/>
      <c r="D3058" s="11"/>
      <c r="E3058" s="11"/>
      <c r="F3058" s="11"/>
      <c r="G3058" s="11"/>
      <c r="H3058" s="11"/>
      <c r="I3058" s="11"/>
      <c r="J3058" s="9"/>
      <c r="P3058" s="15"/>
    </row>
    <row r="3059">
      <c r="A3059" s="12"/>
      <c r="B3059" s="12"/>
      <c r="C3059" s="5"/>
      <c r="D3059" s="11"/>
      <c r="E3059" s="11"/>
      <c r="F3059" s="11"/>
      <c r="G3059" s="11"/>
      <c r="H3059" s="11"/>
      <c r="I3059" s="11"/>
      <c r="J3059" s="9"/>
      <c r="P3059" s="15"/>
    </row>
    <row r="3060">
      <c r="A3060" s="12"/>
      <c r="B3060" s="12"/>
      <c r="C3060" s="5"/>
      <c r="D3060" s="11"/>
      <c r="E3060" s="11"/>
      <c r="F3060" s="11"/>
      <c r="G3060" s="11"/>
      <c r="H3060" s="11"/>
      <c r="I3060" s="11"/>
      <c r="J3060" s="9"/>
      <c r="P3060" s="15"/>
    </row>
    <row r="3061">
      <c r="A3061" s="12"/>
      <c r="B3061" s="12"/>
      <c r="C3061" s="5"/>
      <c r="D3061" s="11"/>
      <c r="E3061" s="11"/>
      <c r="F3061" s="11"/>
      <c r="G3061" s="11"/>
      <c r="H3061" s="11"/>
      <c r="I3061" s="11"/>
      <c r="J3061" s="9"/>
      <c r="P3061" s="15"/>
    </row>
    <row r="3062">
      <c r="A3062" s="12"/>
      <c r="B3062" s="12"/>
      <c r="C3062" s="5"/>
      <c r="D3062" s="11"/>
      <c r="E3062" s="11"/>
      <c r="F3062" s="11"/>
      <c r="G3062" s="11"/>
      <c r="H3062" s="11"/>
      <c r="I3062" s="11"/>
      <c r="J3062" s="9"/>
      <c r="P3062" s="15"/>
    </row>
    <row r="3063">
      <c r="A3063" s="12"/>
      <c r="B3063" s="12"/>
      <c r="C3063" s="5"/>
      <c r="D3063" s="11"/>
      <c r="E3063" s="11"/>
      <c r="F3063" s="11"/>
      <c r="G3063" s="11"/>
      <c r="H3063" s="11"/>
      <c r="I3063" s="11"/>
      <c r="J3063" s="9"/>
      <c r="P3063" s="15"/>
    </row>
    <row r="3064">
      <c r="A3064" s="12"/>
      <c r="B3064" s="12"/>
      <c r="C3064" s="5"/>
      <c r="D3064" s="11"/>
      <c r="E3064" s="11"/>
      <c r="F3064" s="11"/>
      <c r="G3064" s="11"/>
      <c r="H3064" s="11"/>
      <c r="I3064" s="11"/>
      <c r="J3064" s="9"/>
      <c r="P3064" s="15"/>
    </row>
    <row r="3065">
      <c r="A3065" s="12"/>
      <c r="B3065" s="12"/>
      <c r="C3065" s="5"/>
      <c r="D3065" s="11"/>
      <c r="E3065" s="11"/>
      <c r="F3065" s="11"/>
      <c r="G3065" s="11"/>
      <c r="H3065" s="11"/>
      <c r="I3065" s="11"/>
      <c r="J3065" s="9"/>
      <c r="P3065" s="15"/>
    </row>
    <row r="3066">
      <c r="A3066" s="12"/>
      <c r="B3066" s="12"/>
      <c r="C3066" s="5"/>
      <c r="D3066" s="11"/>
      <c r="E3066" s="11"/>
      <c r="F3066" s="11"/>
      <c r="G3066" s="11"/>
      <c r="H3066" s="11"/>
      <c r="I3066" s="11"/>
      <c r="J3066" s="9"/>
      <c r="P3066" s="15"/>
    </row>
    <row r="3067">
      <c r="A3067" s="12"/>
      <c r="B3067" s="12"/>
      <c r="C3067" s="5"/>
      <c r="D3067" s="11"/>
      <c r="E3067" s="11"/>
      <c r="F3067" s="11"/>
      <c r="G3067" s="11"/>
      <c r="H3067" s="11"/>
      <c r="I3067" s="11"/>
      <c r="J3067" s="9"/>
      <c r="P3067" s="15"/>
    </row>
    <row r="3068">
      <c r="A3068" s="12"/>
      <c r="B3068" s="12"/>
      <c r="C3068" s="5"/>
      <c r="D3068" s="11"/>
      <c r="E3068" s="11"/>
      <c r="F3068" s="11"/>
      <c r="G3068" s="11"/>
      <c r="H3068" s="11"/>
      <c r="I3068" s="11"/>
      <c r="J3068" s="9"/>
      <c r="P3068" s="15"/>
    </row>
    <row r="3069">
      <c r="A3069" s="12"/>
      <c r="B3069" s="12"/>
      <c r="C3069" s="5"/>
      <c r="D3069" s="11"/>
      <c r="E3069" s="11"/>
      <c r="F3069" s="11"/>
      <c r="G3069" s="11"/>
      <c r="H3069" s="11"/>
      <c r="I3069" s="11"/>
      <c r="J3069" s="9"/>
      <c r="P3069" s="15"/>
    </row>
    <row r="3070">
      <c r="A3070" s="12"/>
      <c r="B3070" s="12"/>
      <c r="C3070" s="5"/>
      <c r="D3070" s="11"/>
      <c r="E3070" s="11"/>
      <c r="F3070" s="11"/>
      <c r="G3070" s="11"/>
      <c r="H3070" s="11"/>
      <c r="I3070" s="11"/>
      <c r="J3070" s="9"/>
      <c r="P3070" s="15"/>
    </row>
    <row r="3071">
      <c r="A3071" s="12"/>
      <c r="B3071" s="12"/>
      <c r="C3071" s="5"/>
      <c r="D3071" s="11"/>
      <c r="E3071" s="11"/>
      <c r="F3071" s="11"/>
      <c r="G3071" s="11"/>
      <c r="H3071" s="11"/>
      <c r="I3071" s="11"/>
      <c r="J3071" s="9"/>
      <c r="P3071" s="15"/>
    </row>
    <row r="3072">
      <c r="A3072" s="12"/>
      <c r="B3072" s="12"/>
      <c r="C3072" s="5"/>
      <c r="D3072" s="11"/>
      <c r="E3072" s="11"/>
      <c r="F3072" s="11"/>
      <c r="G3072" s="11"/>
      <c r="H3072" s="11"/>
      <c r="I3072" s="11"/>
      <c r="J3072" s="9"/>
      <c r="P3072" s="15"/>
    </row>
    <row r="3073">
      <c r="A3073" s="12"/>
      <c r="B3073" s="12"/>
      <c r="C3073" s="5"/>
      <c r="D3073" s="11"/>
      <c r="E3073" s="11"/>
      <c r="F3073" s="11"/>
      <c r="G3073" s="11"/>
      <c r="H3073" s="11"/>
      <c r="I3073" s="11"/>
      <c r="J3073" s="9"/>
      <c r="P3073" s="15"/>
    </row>
    <row r="3074">
      <c r="A3074" s="12"/>
      <c r="B3074" s="12"/>
      <c r="C3074" s="5"/>
      <c r="D3074" s="11"/>
      <c r="E3074" s="11"/>
      <c r="F3074" s="11"/>
      <c r="G3074" s="11"/>
      <c r="H3074" s="11"/>
      <c r="I3074" s="11"/>
      <c r="J3074" s="9"/>
      <c r="P3074" s="15"/>
    </row>
    <row r="3075">
      <c r="A3075" s="12"/>
      <c r="B3075" s="12"/>
      <c r="C3075" s="5"/>
      <c r="D3075" s="11"/>
      <c r="E3075" s="11"/>
      <c r="F3075" s="11"/>
      <c r="G3075" s="11"/>
      <c r="H3075" s="11"/>
      <c r="I3075" s="11"/>
      <c r="J3075" s="9"/>
      <c r="P3075" s="15"/>
    </row>
    <row r="3076">
      <c r="A3076" s="12"/>
      <c r="B3076" s="12"/>
      <c r="C3076" s="5"/>
      <c r="D3076" s="11"/>
      <c r="E3076" s="11"/>
      <c r="F3076" s="11"/>
      <c r="G3076" s="11"/>
      <c r="H3076" s="11"/>
      <c r="I3076" s="11"/>
      <c r="J3076" s="9"/>
      <c r="P3076" s="15"/>
    </row>
    <row r="3077">
      <c r="A3077" s="12"/>
      <c r="B3077" s="12"/>
      <c r="C3077" s="5"/>
      <c r="D3077" s="11"/>
      <c r="E3077" s="11"/>
      <c r="F3077" s="11"/>
      <c r="G3077" s="11"/>
      <c r="H3077" s="11"/>
      <c r="I3077" s="11"/>
      <c r="J3077" s="9"/>
      <c r="P3077" s="15"/>
    </row>
    <row r="3078">
      <c r="A3078" s="12"/>
      <c r="B3078" s="12"/>
      <c r="C3078" s="5"/>
      <c r="D3078" s="11"/>
      <c r="E3078" s="11"/>
      <c r="F3078" s="11"/>
      <c r="G3078" s="11"/>
      <c r="H3078" s="11"/>
      <c r="I3078" s="11"/>
      <c r="J3078" s="9"/>
      <c r="P3078" s="15"/>
    </row>
    <row r="3079">
      <c r="A3079" s="12"/>
      <c r="B3079" s="12"/>
      <c r="C3079" s="5"/>
      <c r="D3079" s="11"/>
      <c r="E3079" s="11"/>
      <c r="F3079" s="11"/>
      <c r="G3079" s="11"/>
      <c r="H3079" s="11"/>
      <c r="I3079" s="11"/>
      <c r="J3079" s="9"/>
      <c r="P3079" s="15"/>
    </row>
    <row r="3080">
      <c r="A3080" s="12"/>
      <c r="B3080" s="12"/>
      <c r="C3080" s="5"/>
      <c r="D3080" s="11"/>
      <c r="E3080" s="11"/>
      <c r="F3080" s="11"/>
      <c r="G3080" s="11"/>
      <c r="H3080" s="11"/>
      <c r="I3080" s="11"/>
      <c r="J3080" s="9"/>
      <c r="P3080" s="15"/>
    </row>
    <row r="3081">
      <c r="A3081" s="12"/>
      <c r="B3081" s="12"/>
      <c r="C3081" s="5"/>
      <c r="D3081" s="11"/>
      <c r="E3081" s="11"/>
      <c r="F3081" s="11"/>
      <c r="G3081" s="11"/>
      <c r="H3081" s="11"/>
      <c r="I3081" s="11"/>
      <c r="J3081" s="9"/>
      <c r="P3081" s="15"/>
    </row>
    <row r="3082">
      <c r="A3082" s="12"/>
      <c r="B3082" s="12"/>
      <c r="C3082" s="5"/>
      <c r="D3082" s="11"/>
      <c r="E3082" s="11"/>
      <c r="F3082" s="11"/>
      <c r="G3082" s="11"/>
      <c r="H3082" s="11"/>
      <c r="I3082" s="11"/>
      <c r="J3082" s="9"/>
      <c r="P3082" s="15"/>
    </row>
    <row r="3083">
      <c r="A3083" s="12"/>
      <c r="B3083" s="12"/>
      <c r="C3083" s="5"/>
      <c r="D3083" s="11"/>
      <c r="E3083" s="11"/>
      <c r="F3083" s="11"/>
      <c r="G3083" s="11"/>
      <c r="H3083" s="11"/>
      <c r="I3083" s="11"/>
      <c r="J3083" s="9"/>
      <c r="P3083" s="15"/>
    </row>
    <row r="3084">
      <c r="A3084" s="12"/>
      <c r="B3084" s="12"/>
      <c r="C3084" s="5"/>
      <c r="D3084" s="11"/>
      <c r="E3084" s="11"/>
      <c r="F3084" s="11"/>
      <c r="G3084" s="11"/>
      <c r="H3084" s="11"/>
      <c r="I3084" s="11"/>
      <c r="J3084" s="9"/>
      <c r="P3084" s="15"/>
    </row>
    <row r="3085">
      <c r="A3085" s="12"/>
      <c r="B3085" s="12"/>
      <c r="C3085" s="5"/>
      <c r="D3085" s="11"/>
      <c r="E3085" s="11"/>
      <c r="F3085" s="11"/>
      <c r="G3085" s="11"/>
      <c r="H3085" s="11"/>
      <c r="I3085" s="11"/>
      <c r="J3085" s="9"/>
      <c r="P3085" s="15"/>
    </row>
    <row r="3086">
      <c r="A3086" s="12"/>
      <c r="B3086" s="12"/>
      <c r="C3086" s="5"/>
      <c r="D3086" s="11"/>
      <c r="E3086" s="11"/>
      <c r="F3086" s="11"/>
      <c r="G3086" s="11"/>
      <c r="H3086" s="11"/>
      <c r="I3086" s="11"/>
      <c r="J3086" s="9"/>
      <c r="P3086" s="15"/>
    </row>
    <row r="3087">
      <c r="A3087" s="12"/>
      <c r="B3087" s="12"/>
      <c r="C3087" s="5"/>
      <c r="D3087" s="11"/>
      <c r="E3087" s="11"/>
      <c r="F3087" s="11"/>
      <c r="G3087" s="11"/>
      <c r="H3087" s="11"/>
      <c r="I3087" s="11"/>
      <c r="J3087" s="9"/>
      <c r="P3087" s="15"/>
    </row>
    <row r="3088">
      <c r="A3088" s="12"/>
      <c r="B3088" s="12"/>
      <c r="C3088" s="5"/>
      <c r="D3088" s="11"/>
      <c r="E3088" s="11"/>
      <c r="F3088" s="11"/>
      <c r="G3088" s="11"/>
      <c r="H3088" s="11"/>
      <c r="I3088" s="11"/>
      <c r="J3088" s="9"/>
      <c r="P3088" s="15"/>
    </row>
    <row r="3089">
      <c r="A3089" s="12"/>
      <c r="B3089" s="12"/>
      <c r="C3089" s="5"/>
      <c r="D3089" s="11"/>
      <c r="E3089" s="11"/>
      <c r="F3089" s="11"/>
      <c r="G3089" s="11"/>
      <c r="H3089" s="11"/>
      <c r="I3089" s="11"/>
      <c r="J3089" s="9"/>
      <c r="P3089" s="15"/>
    </row>
    <row r="3090">
      <c r="A3090" s="12"/>
      <c r="B3090" s="12"/>
      <c r="C3090" s="5"/>
      <c r="D3090" s="11"/>
      <c r="E3090" s="11"/>
      <c r="F3090" s="11"/>
      <c r="G3090" s="11"/>
      <c r="H3090" s="11"/>
      <c r="I3090" s="11"/>
      <c r="J3090" s="9"/>
      <c r="P3090" s="15"/>
    </row>
    <row r="3091">
      <c r="A3091" s="12"/>
      <c r="B3091" s="12"/>
      <c r="C3091" s="5"/>
      <c r="D3091" s="11"/>
      <c r="E3091" s="11"/>
      <c r="F3091" s="11"/>
      <c r="G3091" s="11"/>
      <c r="H3091" s="11"/>
      <c r="I3091" s="11"/>
      <c r="J3091" s="9"/>
      <c r="P3091" s="15"/>
    </row>
    <row r="3092">
      <c r="A3092" s="12"/>
      <c r="B3092" s="12"/>
      <c r="C3092" s="5"/>
      <c r="D3092" s="11"/>
      <c r="E3092" s="11"/>
      <c r="F3092" s="11"/>
      <c r="G3092" s="11"/>
      <c r="H3092" s="11"/>
      <c r="I3092" s="11"/>
      <c r="J3092" s="9"/>
      <c r="P3092" s="15"/>
    </row>
    <row r="3093">
      <c r="A3093" s="12"/>
      <c r="B3093" s="12"/>
      <c r="C3093" s="5"/>
      <c r="D3093" s="11"/>
      <c r="E3093" s="11"/>
      <c r="F3093" s="11"/>
      <c r="G3093" s="11"/>
      <c r="H3093" s="11"/>
      <c r="I3093" s="11"/>
      <c r="J3093" s="9"/>
      <c r="P3093" s="15"/>
    </row>
    <row r="3094">
      <c r="A3094" s="12"/>
      <c r="B3094" s="12"/>
      <c r="C3094" s="5"/>
      <c r="D3094" s="11"/>
      <c r="E3094" s="11"/>
      <c r="F3094" s="11"/>
      <c r="G3094" s="11"/>
      <c r="H3094" s="11"/>
      <c r="I3094" s="11"/>
      <c r="J3094" s="9"/>
      <c r="P3094" s="15"/>
    </row>
    <row r="3095">
      <c r="A3095" s="12"/>
      <c r="B3095" s="12"/>
      <c r="C3095" s="5"/>
      <c r="D3095" s="11"/>
      <c r="E3095" s="11"/>
      <c r="F3095" s="11"/>
      <c r="G3095" s="11"/>
      <c r="H3095" s="11"/>
      <c r="I3095" s="11"/>
      <c r="J3095" s="9"/>
      <c r="P3095" s="15"/>
    </row>
    <row r="3096">
      <c r="A3096" s="12"/>
      <c r="B3096" s="12"/>
      <c r="C3096" s="5"/>
      <c r="D3096" s="11"/>
      <c r="E3096" s="11"/>
      <c r="F3096" s="11"/>
      <c r="G3096" s="11"/>
      <c r="H3096" s="11"/>
      <c r="I3096" s="11"/>
      <c r="J3096" s="9"/>
      <c r="P3096" s="15"/>
    </row>
    <row r="3097">
      <c r="A3097" s="12"/>
      <c r="B3097" s="12"/>
      <c r="C3097" s="5"/>
      <c r="D3097" s="11"/>
      <c r="E3097" s="11"/>
      <c r="F3097" s="11"/>
      <c r="G3097" s="11"/>
      <c r="H3097" s="11"/>
      <c r="I3097" s="11"/>
      <c r="J3097" s="9"/>
      <c r="P3097" s="15"/>
    </row>
    <row r="3098">
      <c r="A3098" s="12"/>
      <c r="B3098" s="12"/>
      <c r="C3098" s="5"/>
      <c r="D3098" s="11"/>
      <c r="E3098" s="11"/>
      <c r="F3098" s="11"/>
      <c r="G3098" s="11"/>
      <c r="H3098" s="11"/>
      <c r="I3098" s="11"/>
      <c r="J3098" s="9"/>
      <c r="P3098" s="15"/>
    </row>
    <row r="3099">
      <c r="A3099" s="12"/>
      <c r="B3099" s="12"/>
      <c r="C3099" s="5"/>
      <c r="D3099" s="11"/>
      <c r="E3099" s="11"/>
      <c r="F3099" s="11"/>
      <c r="G3099" s="11"/>
      <c r="H3099" s="11"/>
      <c r="I3099" s="11"/>
      <c r="J3099" s="9"/>
      <c r="P3099" s="15"/>
    </row>
    <row r="3100">
      <c r="A3100" s="12"/>
      <c r="B3100" s="12"/>
      <c r="C3100" s="5"/>
      <c r="D3100" s="11"/>
      <c r="E3100" s="11"/>
      <c r="F3100" s="11"/>
      <c r="G3100" s="11"/>
      <c r="H3100" s="11"/>
      <c r="I3100" s="11"/>
      <c r="J3100" s="9"/>
      <c r="P3100" s="15"/>
    </row>
    <row r="3101">
      <c r="A3101" s="12"/>
      <c r="B3101" s="12"/>
      <c r="C3101" s="5"/>
      <c r="D3101" s="11"/>
      <c r="E3101" s="11"/>
      <c r="F3101" s="11"/>
      <c r="G3101" s="11"/>
      <c r="H3101" s="11"/>
      <c r="I3101" s="11"/>
      <c r="J3101" s="9"/>
      <c r="P3101" s="15"/>
    </row>
    <row r="3102">
      <c r="A3102" s="12"/>
      <c r="B3102" s="12"/>
      <c r="C3102" s="5"/>
      <c r="D3102" s="11"/>
      <c r="E3102" s="11"/>
      <c r="F3102" s="11"/>
      <c r="G3102" s="11"/>
      <c r="H3102" s="11"/>
      <c r="I3102" s="11"/>
      <c r="J3102" s="9"/>
      <c r="P3102" s="15"/>
    </row>
    <row r="3103">
      <c r="A3103" s="12"/>
      <c r="B3103" s="12"/>
      <c r="C3103" s="5"/>
      <c r="D3103" s="11"/>
      <c r="E3103" s="11"/>
      <c r="F3103" s="11"/>
      <c r="G3103" s="11"/>
      <c r="H3103" s="11"/>
      <c r="I3103" s="11"/>
      <c r="J3103" s="9"/>
      <c r="P3103" s="15"/>
    </row>
    <row r="3104">
      <c r="A3104" s="12"/>
      <c r="B3104" s="12"/>
      <c r="C3104" s="5"/>
      <c r="D3104" s="11"/>
      <c r="E3104" s="11"/>
      <c r="F3104" s="11"/>
      <c r="G3104" s="11"/>
      <c r="H3104" s="11"/>
      <c r="I3104" s="11"/>
      <c r="J3104" s="9"/>
      <c r="P3104" s="15"/>
    </row>
    <row r="3105">
      <c r="A3105" s="12"/>
      <c r="B3105" s="12"/>
      <c r="C3105" s="5"/>
      <c r="D3105" s="11"/>
      <c r="E3105" s="11"/>
      <c r="F3105" s="11"/>
      <c r="G3105" s="11"/>
      <c r="H3105" s="11"/>
      <c r="I3105" s="11"/>
      <c r="J3105" s="9"/>
      <c r="P3105" s="15"/>
    </row>
    <row r="3106">
      <c r="A3106" s="12"/>
      <c r="B3106" s="12"/>
      <c r="C3106" s="5"/>
      <c r="D3106" s="11"/>
      <c r="E3106" s="11"/>
      <c r="F3106" s="11"/>
      <c r="G3106" s="11"/>
      <c r="H3106" s="11"/>
      <c r="I3106" s="11"/>
      <c r="J3106" s="9"/>
      <c r="P3106" s="15"/>
    </row>
    <row r="3107">
      <c r="A3107" s="12"/>
      <c r="B3107" s="12"/>
      <c r="C3107" s="5"/>
      <c r="D3107" s="11"/>
      <c r="E3107" s="11"/>
      <c r="F3107" s="11"/>
      <c r="G3107" s="11"/>
      <c r="H3107" s="11"/>
      <c r="I3107" s="11"/>
      <c r="J3107" s="9"/>
      <c r="P3107" s="15"/>
    </row>
    <row r="3108">
      <c r="A3108" s="12"/>
      <c r="B3108" s="12"/>
      <c r="C3108" s="5"/>
      <c r="D3108" s="11"/>
      <c r="E3108" s="11"/>
      <c r="F3108" s="11"/>
      <c r="G3108" s="11"/>
      <c r="H3108" s="11"/>
      <c r="I3108" s="11"/>
      <c r="J3108" s="9"/>
      <c r="P3108" s="15"/>
    </row>
    <row r="3109">
      <c r="A3109" s="12"/>
      <c r="B3109" s="12"/>
      <c r="C3109" s="5"/>
      <c r="D3109" s="11"/>
      <c r="E3109" s="11"/>
      <c r="F3109" s="11"/>
      <c r="G3109" s="11"/>
      <c r="H3109" s="11"/>
      <c r="I3109" s="11"/>
      <c r="J3109" s="9"/>
      <c r="P3109" s="15"/>
    </row>
    <row r="3110">
      <c r="A3110" s="12"/>
      <c r="B3110" s="12"/>
      <c r="C3110" s="5"/>
      <c r="D3110" s="11"/>
      <c r="E3110" s="11"/>
      <c r="F3110" s="11"/>
      <c r="G3110" s="11"/>
      <c r="H3110" s="11"/>
      <c r="I3110" s="11"/>
      <c r="J3110" s="9"/>
      <c r="P3110" s="15"/>
    </row>
    <row r="3111">
      <c r="A3111" s="12"/>
      <c r="B3111" s="12"/>
      <c r="C3111" s="5"/>
      <c r="D3111" s="11"/>
      <c r="E3111" s="11"/>
      <c r="F3111" s="11"/>
      <c r="G3111" s="11"/>
      <c r="H3111" s="11"/>
      <c r="I3111" s="11"/>
      <c r="J3111" s="9"/>
      <c r="P3111" s="15"/>
    </row>
    <row r="3112">
      <c r="A3112" s="12"/>
      <c r="B3112" s="12"/>
      <c r="C3112" s="5"/>
      <c r="D3112" s="11"/>
      <c r="E3112" s="11"/>
      <c r="F3112" s="11"/>
      <c r="G3112" s="11"/>
      <c r="H3112" s="11"/>
      <c r="I3112" s="11"/>
      <c r="J3112" s="9"/>
      <c r="P3112" s="15"/>
    </row>
    <row r="3113">
      <c r="A3113" s="12"/>
      <c r="B3113" s="12"/>
      <c r="C3113" s="5"/>
      <c r="D3113" s="11"/>
      <c r="E3113" s="11"/>
      <c r="F3113" s="11"/>
      <c r="G3113" s="11"/>
      <c r="H3113" s="11"/>
      <c r="I3113" s="11"/>
      <c r="J3113" s="9"/>
      <c r="P3113" s="15"/>
    </row>
    <row r="3114">
      <c r="A3114" s="12"/>
      <c r="B3114" s="12"/>
      <c r="C3114" s="5"/>
      <c r="D3114" s="11"/>
      <c r="E3114" s="11"/>
      <c r="F3114" s="11"/>
      <c r="G3114" s="11"/>
      <c r="H3114" s="11"/>
      <c r="I3114" s="11"/>
      <c r="J3114" s="9"/>
      <c r="P3114" s="15"/>
    </row>
    <row r="3115">
      <c r="A3115" s="12"/>
      <c r="B3115" s="12"/>
      <c r="C3115" s="5"/>
      <c r="D3115" s="11"/>
      <c r="E3115" s="11"/>
      <c r="F3115" s="11"/>
      <c r="G3115" s="11"/>
      <c r="H3115" s="11"/>
      <c r="I3115" s="11"/>
      <c r="J3115" s="9"/>
      <c r="P3115" s="15"/>
    </row>
    <row r="3116">
      <c r="A3116" s="12"/>
      <c r="B3116" s="12"/>
      <c r="C3116" s="5"/>
      <c r="D3116" s="11"/>
      <c r="E3116" s="11"/>
      <c r="F3116" s="11"/>
      <c r="G3116" s="11"/>
      <c r="H3116" s="11"/>
      <c r="I3116" s="11"/>
      <c r="J3116" s="9"/>
      <c r="P3116" s="15"/>
    </row>
    <row r="3117">
      <c r="A3117" s="12"/>
      <c r="B3117" s="12"/>
      <c r="C3117" s="5"/>
      <c r="D3117" s="11"/>
      <c r="E3117" s="11"/>
      <c r="F3117" s="11"/>
      <c r="G3117" s="11"/>
      <c r="H3117" s="11"/>
      <c r="I3117" s="11"/>
      <c r="J3117" s="9"/>
      <c r="P3117" s="15"/>
    </row>
    <row r="3118">
      <c r="A3118" s="12"/>
      <c r="B3118" s="12"/>
      <c r="C3118" s="5"/>
      <c r="D3118" s="11"/>
      <c r="E3118" s="11"/>
      <c r="F3118" s="11"/>
      <c r="G3118" s="11"/>
      <c r="H3118" s="11"/>
      <c r="I3118" s="11"/>
      <c r="J3118" s="9"/>
      <c r="P3118" s="15"/>
    </row>
    <row r="3119">
      <c r="A3119" s="12"/>
      <c r="B3119" s="12"/>
      <c r="C3119" s="5"/>
      <c r="D3119" s="11"/>
      <c r="E3119" s="11"/>
      <c r="F3119" s="11"/>
      <c r="G3119" s="11"/>
      <c r="H3119" s="11"/>
      <c r="I3119" s="11"/>
      <c r="J3119" s="9"/>
      <c r="P3119" s="15"/>
    </row>
    <row r="3120">
      <c r="A3120" s="12"/>
      <c r="B3120" s="12"/>
      <c r="C3120" s="5"/>
      <c r="D3120" s="11"/>
      <c r="E3120" s="11"/>
      <c r="F3120" s="11"/>
      <c r="G3120" s="11"/>
      <c r="H3120" s="11"/>
      <c r="I3120" s="11"/>
      <c r="J3120" s="9"/>
      <c r="P3120" s="15"/>
    </row>
    <row r="3121">
      <c r="A3121" s="12"/>
      <c r="B3121" s="12"/>
      <c r="C3121" s="5"/>
      <c r="D3121" s="11"/>
      <c r="E3121" s="11"/>
      <c r="F3121" s="11"/>
      <c r="G3121" s="11"/>
      <c r="H3121" s="11"/>
      <c r="I3121" s="11"/>
      <c r="J3121" s="9"/>
      <c r="P3121" s="15"/>
    </row>
    <row r="3122">
      <c r="A3122" s="12"/>
      <c r="B3122" s="12"/>
      <c r="C3122" s="5"/>
      <c r="D3122" s="11"/>
      <c r="E3122" s="11"/>
      <c r="F3122" s="11"/>
      <c r="G3122" s="11"/>
      <c r="H3122" s="11"/>
      <c r="I3122" s="11"/>
      <c r="J3122" s="9"/>
      <c r="P3122" s="15"/>
    </row>
    <row r="3123">
      <c r="A3123" s="12"/>
      <c r="B3123" s="12"/>
      <c r="C3123" s="5"/>
      <c r="D3123" s="11"/>
      <c r="E3123" s="11"/>
      <c r="F3123" s="11"/>
      <c r="G3123" s="11"/>
      <c r="H3123" s="11"/>
      <c r="I3123" s="11"/>
      <c r="J3123" s="9"/>
      <c r="P3123" s="15"/>
    </row>
    <row r="3124">
      <c r="A3124" s="12"/>
      <c r="B3124" s="12"/>
      <c r="C3124" s="5"/>
      <c r="D3124" s="11"/>
      <c r="E3124" s="11"/>
      <c r="F3124" s="11"/>
      <c r="G3124" s="11"/>
      <c r="H3124" s="11"/>
      <c r="I3124" s="11"/>
      <c r="J3124" s="9"/>
      <c r="P3124" s="15"/>
    </row>
    <row r="3125">
      <c r="A3125" s="12"/>
      <c r="B3125" s="12"/>
      <c r="C3125" s="5"/>
      <c r="D3125" s="11"/>
      <c r="E3125" s="11"/>
      <c r="F3125" s="11"/>
      <c r="G3125" s="11"/>
      <c r="H3125" s="11"/>
      <c r="I3125" s="11"/>
      <c r="J3125" s="9"/>
      <c r="P3125" s="15"/>
    </row>
    <row r="3126">
      <c r="A3126" s="12"/>
      <c r="B3126" s="12"/>
      <c r="C3126" s="5"/>
      <c r="D3126" s="11"/>
      <c r="E3126" s="11"/>
      <c r="F3126" s="11"/>
      <c r="G3126" s="11"/>
      <c r="H3126" s="11"/>
      <c r="I3126" s="11"/>
      <c r="J3126" s="9"/>
      <c r="P3126" s="15"/>
    </row>
    <row r="3127">
      <c r="A3127" s="12"/>
      <c r="B3127" s="12"/>
      <c r="C3127" s="5"/>
      <c r="D3127" s="11"/>
      <c r="E3127" s="11"/>
      <c r="F3127" s="11"/>
      <c r="G3127" s="11"/>
      <c r="H3127" s="11"/>
      <c r="I3127" s="11"/>
      <c r="J3127" s="9"/>
      <c r="P3127" s="15"/>
    </row>
    <row r="3128">
      <c r="A3128" s="12"/>
      <c r="B3128" s="12"/>
      <c r="C3128" s="5"/>
      <c r="D3128" s="11"/>
      <c r="E3128" s="11"/>
      <c r="F3128" s="11"/>
      <c r="G3128" s="11"/>
      <c r="H3128" s="11"/>
      <c r="I3128" s="11"/>
      <c r="J3128" s="9"/>
      <c r="P3128" s="15"/>
    </row>
    <row r="3129">
      <c r="A3129" s="12"/>
      <c r="B3129" s="12"/>
      <c r="C3129" s="5"/>
      <c r="D3129" s="11"/>
      <c r="E3129" s="11"/>
      <c r="F3129" s="11"/>
      <c r="G3129" s="11"/>
      <c r="H3129" s="11"/>
      <c r="I3129" s="11"/>
      <c r="J3129" s="9"/>
      <c r="P3129" s="15"/>
    </row>
    <row r="3130">
      <c r="A3130" s="12"/>
      <c r="B3130" s="12"/>
      <c r="C3130" s="5"/>
      <c r="D3130" s="11"/>
      <c r="E3130" s="11"/>
      <c r="F3130" s="11"/>
      <c r="G3130" s="11"/>
      <c r="H3130" s="11"/>
      <c r="I3130" s="11"/>
      <c r="J3130" s="9"/>
      <c r="P3130" s="15"/>
    </row>
    <row r="3131">
      <c r="A3131" s="12"/>
      <c r="B3131" s="12"/>
      <c r="C3131" s="5"/>
      <c r="D3131" s="11"/>
      <c r="E3131" s="11"/>
      <c r="F3131" s="11"/>
      <c r="G3131" s="11"/>
      <c r="H3131" s="11"/>
      <c r="I3131" s="11"/>
      <c r="J3131" s="9"/>
      <c r="P3131" s="15"/>
    </row>
    <row r="3132">
      <c r="A3132" s="12"/>
      <c r="B3132" s="12"/>
      <c r="C3132" s="5"/>
      <c r="D3132" s="11"/>
      <c r="E3132" s="11"/>
      <c r="F3132" s="11"/>
      <c r="G3132" s="11"/>
      <c r="H3132" s="11"/>
      <c r="I3132" s="11"/>
      <c r="J3132" s="9"/>
      <c r="P3132" s="15"/>
    </row>
    <row r="3133">
      <c r="A3133" s="12"/>
      <c r="B3133" s="12"/>
      <c r="C3133" s="5"/>
      <c r="D3133" s="11"/>
      <c r="E3133" s="11"/>
      <c r="F3133" s="11"/>
      <c r="G3133" s="11"/>
      <c r="H3133" s="11"/>
      <c r="I3133" s="11"/>
      <c r="J3133" s="9"/>
      <c r="P3133" s="15"/>
    </row>
    <row r="3134">
      <c r="A3134" s="12"/>
      <c r="B3134" s="12"/>
      <c r="C3134" s="5"/>
      <c r="D3134" s="11"/>
      <c r="E3134" s="11"/>
      <c r="F3134" s="11"/>
      <c r="G3134" s="11"/>
      <c r="H3134" s="11"/>
      <c r="I3134" s="11"/>
      <c r="J3134" s="9"/>
      <c r="P3134" s="15"/>
    </row>
    <row r="3135">
      <c r="A3135" s="12"/>
      <c r="B3135" s="12"/>
      <c r="C3135" s="5"/>
      <c r="D3135" s="11"/>
      <c r="E3135" s="11"/>
      <c r="F3135" s="11"/>
      <c r="G3135" s="11"/>
      <c r="H3135" s="11"/>
      <c r="I3135" s="11"/>
      <c r="J3135" s="9"/>
      <c r="P3135" s="15"/>
    </row>
    <row r="3136">
      <c r="A3136" s="12"/>
      <c r="B3136" s="12"/>
      <c r="C3136" s="5"/>
      <c r="D3136" s="11"/>
      <c r="E3136" s="11"/>
      <c r="F3136" s="11"/>
      <c r="G3136" s="11"/>
      <c r="H3136" s="11"/>
      <c r="I3136" s="11"/>
      <c r="J3136" s="9"/>
      <c r="P3136" s="15"/>
    </row>
    <row r="3137">
      <c r="A3137" s="12"/>
      <c r="B3137" s="12"/>
      <c r="C3137" s="5"/>
      <c r="D3137" s="11"/>
      <c r="E3137" s="11"/>
      <c r="F3137" s="11"/>
      <c r="G3137" s="11"/>
      <c r="H3137" s="11"/>
      <c r="I3137" s="11"/>
      <c r="J3137" s="9"/>
      <c r="P3137" s="15"/>
    </row>
    <row r="3138">
      <c r="A3138" s="12"/>
      <c r="B3138" s="12"/>
      <c r="C3138" s="5"/>
      <c r="D3138" s="11"/>
      <c r="E3138" s="11"/>
      <c r="F3138" s="11"/>
      <c r="G3138" s="11"/>
      <c r="H3138" s="11"/>
      <c r="I3138" s="11"/>
      <c r="J3138" s="9"/>
      <c r="P3138" s="15"/>
    </row>
    <row r="3139">
      <c r="A3139" s="12"/>
      <c r="B3139" s="12"/>
      <c r="C3139" s="5"/>
      <c r="D3139" s="11"/>
      <c r="E3139" s="11"/>
      <c r="F3139" s="11"/>
      <c r="G3139" s="11"/>
      <c r="H3139" s="11"/>
      <c r="I3139" s="11"/>
      <c r="J3139" s="9"/>
      <c r="P3139" s="15"/>
    </row>
    <row r="3140">
      <c r="A3140" s="12"/>
      <c r="B3140" s="12"/>
      <c r="C3140" s="5"/>
      <c r="D3140" s="11"/>
      <c r="E3140" s="11"/>
      <c r="F3140" s="11"/>
      <c r="G3140" s="11"/>
      <c r="H3140" s="11"/>
      <c r="I3140" s="11"/>
      <c r="J3140" s="9"/>
      <c r="P3140" s="15"/>
    </row>
    <row r="3141">
      <c r="A3141" s="12"/>
      <c r="B3141" s="12"/>
      <c r="C3141" s="5"/>
      <c r="D3141" s="11"/>
      <c r="E3141" s="11"/>
      <c r="F3141" s="11"/>
      <c r="G3141" s="11"/>
      <c r="H3141" s="11"/>
      <c r="I3141" s="11"/>
      <c r="J3141" s="9"/>
      <c r="P3141" s="15"/>
    </row>
    <row r="3142">
      <c r="A3142" s="12"/>
      <c r="B3142" s="12"/>
      <c r="C3142" s="5"/>
      <c r="D3142" s="11"/>
      <c r="E3142" s="11"/>
      <c r="F3142" s="11"/>
      <c r="G3142" s="11"/>
      <c r="H3142" s="11"/>
      <c r="I3142" s="11"/>
      <c r="J3142" s="9"/>
      <c r="P3142" s="15"/>
    </row>
    <row r="3143">
      <c r="A3143" s="12"/>
      <c r="B3143" s="12"/>
      <c r="C3143" s="5"/>
      <c r="D3143" s="11"/>
      <c r="E3143" s="11"/>
      <c r="F3143" s="11"/>
      <c r="G3143" s="11"/>
      <c r="H3143" s="11"/>
      <c r="I3143" s="11"/>
      <c r="J3143" s="9"/>
      <c r="P3143" s="15"/>
    </row>
    <row r="3144">
      <c r="A3144" s="12"/>
      <c r="B3144" s="12"/>
      <c r="C3144" s="5"/>
      <c r="D3144" s="11"/>
      <c r="E3144" s="11"/>
      <c r="F3144" s="11"/>
      <c r="G3144" s="11"/>
      <c r="H3144" s="11"/>
      <c r="I3144" s="11"/>
      <c r="J3144" s="9"/>
      <c r="P3144" s="15"/>
    </row>
    <row r="3145">
      <c r="A3145" s="12"/>
      <c r="B3145" s="12"/>
      <c r="C3145" s="5"/>
      <c r="D3145" s="11"/>
      <c r="E3145" s="11"/>
      <c r="F3145" s="11"/>
      <c r="G3145" s="11"/>
      <c r="H3145" s="11"/>
      <c r="I3145" s="11"/>
      <c r="J3145" s="9"/>
      <c r="P3145" s="15"/>
    </row>
    <row r="3146">
      <c r="A3146" s="12"/>
      <c r="B3146" s="12"/>
      <c r="C3146" s="5"/>
      <c r="D3146" s="11"/>
      <c r="E3146" s="11"/>
      <c r="F3146" s="11"/>
      <c r="G3146" s="11"/>
      <c r="H3146" s="11"/>
      <c r="I3146" s="11"/>
      <c r="J3146" s="9"/>
      <c r="P3146" s="15"/>
    </row>
    <row r="3147">
      <c r="A3147" s="12"/>
      <c r="B3147" s="12"/>
      <c r="C3147" s="5"/>
      <c r="D3147" s="11"/>
      <c r="E3147" s="11"/>
      <c r="F3147" s="11"/>
      <c r="G3147" s="11"/>
      <c r="H3147" s="11"/>
      <c r="I3147" s="11"/>
      <c r="J3147" s="9"/>
      <c r="P3147" s="15"/>
    </row>
    <row r="3148">
      <c r="A3148" s="12"/>
      <c r="B3148" s="12"/>
      <c r="C3148" s="5"/>
      <c r="D3148" s="11"/>
      <c r="E3148" s="11"/>
      <c r="F3148" s="11"/>
      <c r="G3148" s="11"/>
      <c r="H3148" s="11"/>
      <c r="I3148" s="11"/>
      <c r="J3148" s="9"/>
      <c r="P3148" s="15"/>
    </row>
    <row r="3149">
      <c r="A3149" s="12"/>
      <c r="B3149" s="12"/>
      <c r="C3149" s="5"/>
      <c r="D3149" s="11"/>
      <c r="E3149" s="11"/>
      <c r="F3149" s="11"/>
      <c r="G3149" s="11"/>
      <c r="H3149" s="11"/>
      <c r="I3149" s="11"/>
      <c r="J3149" s="9"/>
      <c r="P3149" s="15"/>
    </row>
    <row r="3150">
      <c r="A3150" s="12"/>
      <c r="B3150" s="12"/>
      <c r="C3150" s="5"/>
      <c r="D3150" s="11"/>
      <c r="E3150" s="11"/>
      <c r="F3150" s="11"/>
      <c r="G3150" s="11"/>
      <c r="H3150" s="11"/>
      <c r="I3150" s="11"/>
      <c r="J3150" s="9"/>
      <c r="P3150" s="15"/>
    </row>
    <row r="3151">
      <c r="A3151" s="12"/>
      <c r="B3151" s="12"/>
      <c r="C3151" s="5"/>
      <c r="D3151" s="11"/>
      <c r="E3151" s="11"/>
      <c r="F3151" s="11"/>
      <c r="G3151" s="11"/>
      <c r="H3151" s="11"/>
      <c r="I3151" s="11"/>
      <c r="J3151" s="9"/>
      <c r="P3151" s="15"/>
    </row>
    <row r="3152">
      <c r="A3152" s="12"/>
      <c r="B3152" s="12"/>
      <c r="C3152" s="5"/>
      <c r="D3152" s="11"/>
      <c r="E3152" s="11"/>
      <c r="F3152" s="11"/>
      <c r="G3152" s="11"/>
      <c r="H3152" s="11"/>
      <c r="I3152" s="11"/>
      <c r="J3152" s="9"/>
      <c r="P3152" s="15"/>
    </row>
    <row r="3153">
      <c r="A3153" s="12"/>
      <c r="B3153" s="12"/>
      <c r="C3153" s="5"/>
      <c r="D3153" s="11"/>
      <c r="E3153" s="11"/>
      <c r="F3153" s="11"/>
      <c r="G3153" s="11"/>
      <c r="H3153" s="11"/>
      <c r="I3153" s="11"/>
      <c r="J3153" s="9"/>
      <c r="P3153" s="15"/>
    </row>
    <row r="3154">
      <c r="A3154" s="12"/>
      <c r="B3154" s="12"/>
      <c r="C3154" s="5"/>
      <c r="D3154" s="11"/>
      <c r="E3154" s="11"/>
      <c r="F3154" s="11"/>
      <c r="G3154" s="11"/>
      <c r="H3154" s="11"/>
      <c r="I3154" s="11"/>
      <c r="J3154" s="9"/>
      <c r="P3154" s="15"/>
    </row>
    <row r="3155">
      <c r="A3155" s="12"/>
      <c r="B3155" s="12"/>
      <c r="C3155" s="5"/>
      <c r="D3155" s="11"/>
      <c r="E3155" s="11"/>
      <c r="F3155" s="11"/>
      <c r="G3155" s="11"/>
      <c r="H3155" s="11"/>
      <c r="I3155" s="11"/>
      <c r="J3155" s="9"/>
      <c r="P3155" s="15"/>
    </row>
    <row r="3156">
      <c r="A3156" s="12"/>
      <c r="B3156" s="12"/>
      <c r="C3156" s="5"/>
      <c r="D3156" s="11"/>
      <c r="E3156" s="11"/>
      <c r="F3156" s="11"/>
      <c r="G3156" s="11"/>
      <c r="H3156" s="11"/>
      <c r="I3156" s="11"/>
      <c r="J3156" s="9"/>
      <c r="P3156" s="15"/>
    </row>
    <row r="3157">
      <c r="A3157" s="12"/>
      <c r="B3157" s="12"/>
      <c r="C3157" s="5"/>
      <c r="D3157" s="11"/>
      <c r="E3157" s="11"/>
      <c r="F3157" s="11"/>
      <c r="G3157" s="11"/>
      <c r="H3157" s="11"/>
      <c r="I3157" s="11"/>
      <c r="J3157" s="9"/>
      <c r="P3157" s="15"/>
    </row>
    <row r="3158">
      <c r="A3158" s="12"/>
      <c r="B3158" s="12"/>
      <c r="C3158" s="5"/>
      <c r="D3158" s="11"/>
      <c r="E3158" s="11"/>
      <c r="F3158" s="11"/>
      <c r="G3158" s="11"/>
      <c r="H3158" s="11"/>
      <c r="I3158" s="11"/>
      <c r="J3158" s="9"/>
      <c r="P3158" s="15"/>
    </row>
    <row r="3159">
      <c r="A3159" s="12"/>
      <c r="B3159" s="12"/>
      <c r="C3159" s="5"/>
      <c r="D3159" s="11"/>
      <c r="E3159" s="11"/>
      <c r="F3159" s="11"/>
      <c r="G3159" s="11"/>
      <c r="H3159" s="11"/>
      <c r="I3159" s="11"/>
      <c r="J3159" s="9"/>
      <c r="P3159" s="15"/>
    </row>
    <row r="3160">
      <c r="A3160" s="12"/>
      <c r="B3160" s="12"/>
      <c r="C3160" s="5"/>
      <c r="D3160" s="11"/>
      <c r="E3160" s="11"/>
      <c r="F3160" s="11"/>
      <c r="G3160" s="11"/>
      <c r="H3160" s="11"/>
      <c r="I3160" s="11"/>
      <c r="J3160" s="9"/>
      <c r="P3160" s="15"/>
    </row>
    <row r="3161">
      <c r="A3161" s="12"/>
      <c r="B3161" s="12"/>
      <c r="C3161" s="5"/>
      <c r="D3161" s="11"/>
      <c r="E3161" s="11"/>
      <c r="F3161" s="11"/>
      <c r="G3161" s="11"/>
      <c r="H3161" s="11"/>
      <c r="I3161" s="11"/>
      <c r="J3161" s="9"/>
      <c r="P3161" s="15"/>
    </row>
    <row r="3162">
      <c r="A3162" s="12"/>
      <c r="B3162" s="12"/>
      <c r="C3162" s="5"/>
      <c r="D3162" s="11"/>
      <c r="E3162" s="11"/>
      <c r="F3162" s="11"/>
      <c r="G3162" s="11"/>
      <c r="H3162" s="11"/>
      <c r="I3162" s="11"/>
      <c r="J3162" s="9"/>
      <c r="P3162" s="15"/>
    </row>
    <row r="3163">
      <c r="A3163" s="12"/>
      <c r="B3163" s="12"/>
      <c r="C3163" s="5"/>
      <c r="D3163" s="11"/>
      <c r="E3163" s="11"/>
      <c r="F3163" s="11"/>
      <c r="G3163" s="11"/>
      <c r="H3163" s="11"/>
      <c r="I3163" s="11"/>
      <c r="J3163" s="9"/>
      <c r="P3163" s="15"/>
    </row>
    <row r="3164">
      <c r="A3164" s="12"/>
      <c r="B3164" s="12"/>
      <c r="C3164" s="5"/>
      <c r="D3164" s="11"/>
      <c r="E3164" s="11"/>
      <c r="F3164" s="11"/>
      <c r="G3164" s="11"/>
      <c r="H3164" s="11"/>
      <c r="I3164" s="11"/>
      <c r="J3164" s="9"/>
      <c r="P3164" s="15"/>
    </row>
    <row r="3165">
      <c r="A3165" s="12"/>
      <c r="B3165" s="12"/>
      <c r="C3165" s="5"/>
      <c r="D3165" s="11"/>
      <c r="E3165" s="11"/>
      <c r="F3165" s="11"/>
      <c r="G3165" s="11"/>
      <c r="H3165" s="11"/>
      <c r="I3165" s="11"/>
      <c r="J3165" s="9"/>
      <c r="P3165" s="15"/>
    </row>
    <row r="3166">
      <c r="A3166" s="12"/>
      <c r="B3166" s="12"/>
      <c r="C3166" s="5"/>
      <c r="D3166" s="11"/>
      <c r="E3166" s="11"/>
      <c r="F3166" s="11"/>
      <c r="G3166" s="11"/>
      <c r="H3166" s="11"/>
      <c r="I3166" s="11"/>
      <c r="J3166" s="9"/>
      <c r="P3166" s="15"/>
    </row>
    <row r="3167">
      <c r="A3167" s="12"/>
      <c r="B3167" s="12"/>
      <c r="C3167" s="5"/>
      <c r="D3167" s="11"/>
      <c r="E3167" s="11"/>
      <c r="F3167" s="11"/>
      <c r="G3167" s="11"/>
      <c r="H3167" s="11"/>
      <c r="I3167" s="11"/>
      <c r="J3167" s="9"/>
      <c r="P3167" s="15"/>
    </row>
    <row r="3168">
      <c r="A3168" s="12"/>
      <c r="B3168" s="12"/>
      <c r="C3168" s="5"/>
      <c r="D3168" s="11"/>
      <c r="E3168" s="11"/>
      <c r="F3168" s="11"/>
      <c r="G3168" s="11"/>
      <c r="H3168" s="11"/>
      <c r="I3168" s="11"/>
      <c r="J3168" s="9"/>
      <c r="P3168" s="15"/>
    </row>
    <row r="3169">
      <c r="A3169" s="12"/>
      <c r="B3169" s="12"/>
      <c r="C3169" s="5"/>
      <c r="D3169" s="11"/>
      <c r="E3169" s="11"/>
      <c r="F3169" s="11"/>
      <c r="G3169" s="11"/>
      <c r="H3169" s="11"/>
      <c r="I3169" s="11"/>
      <c r="J3169" s="9"/>
      <c r="P3169" s="15"/>
    </row>
    <row r="3170">
      <c r="A3170" s="12"/>
      <c r="B3170" s="12"/>
      <c r="C3170" s="5"/>
      <c r="D3170" s="11"/>
      <c r="E3170" s="11"/>
      <c r="F3170" s="11"/>
      <c r="G3170" s="11"/>
      <c r="H3170" s="11"/>
      <c r="I3170" s="11"/>
      <c r="J3170" s="9"/>
      <c r="P3170" s="15"/>
    </row>
    <row r="3171">
      <c r="A3171" s="12"/>
      <c r="B3171" s="12"/>
      <c r="C3171" s="5"/>
      <c r="D3171" s="11"/>
      <c r="E3171" s="11"/>
      <c r="F3171" s="11"/>
      <c r="G3171" s="11"/>
      <c r="H3171" s="11"/>
      <c r="I3171" s="11"/>
      <c r="J3171" s="9"/>
      <c r="P3171" s="15"/>
    </row>
    <row r="3172">
      <c r="A3172" s="12"/>
      <c r="B3172" s="12"/>
      <c r="C3172" s="5"/>
      <c r="D3172" s="11"/>
      <c r="E3172" s="11"/>
      <c r="F3172" s="11"/>
      <c r="G3172" s="11"/>
      <c r="H3172" s="11"/>
      <c r="I3172" s="11"/>
      <c r="J3172" s="9"/>
      <c r="P3172" s="15"/>
    </row>
    <row r="3173">
      <c r="A3173" s="12"/>
      <c r="B3173" s="12"/>
      <c r="C3173" s="5"/>
      <c r="D3173" s="11"/>
      <c r="E3173" s="11"/>
      <c r="F3173" s="11"/>
      <c r="G3173" s="11"/>
      <c r="H3173" s="11"/>
      <c r="I3173" s="11"/>
      <c r="J3173" s="9"/>
      <c r="P3173" s="15"/>
    </row>
    <row r="3174">
      <c r="A3174" s="12"/>
      <c r="B3174" s="12"/>
      <c r="C3174" s="5"/>
      <c r="D3174" s="11"/>
      <c r="E3174" s="11"/>
      <c r="F3174" s="11"/>
      <c r="G3174" s="11"/>
      <c r="H3174" s="11"/>
      <c r="I3174" s="11"/>
      <c r="J3174" s="9"/>
      <c r="P3174" s="15"/>
    </row>
    <row r="3175">
      <c r="A3175" s="12"/>
      <c r="B3175" s="12"/>
      <c r="C3175" s="5"/>
      <c r="D3175" s="11"/>
      <c r="E3175" s="11"/>
      <c r="F3175" s="11"/>
      <c r="G3175" s="11"/>
      <c r="H3175" s="11"/>
      <c r="I3175" s="11"/>
      <c r="J3175" s="9"/>
      <c r="P3175" s="15"/>
    </row>
    <row r="3176">
      <c r="A3176" s="12"/>
      <c r="B3176" s="12"/>
      <c r="C3176" s="5"/>
      <c r="D3176" s="11"/>
      <c r="E3176" s="11"/>
      <c r="F3176" s="11"/>
      <c r="G3176" s="11"/>
      <c r="H3176" s="11"/>
      <c r="I3176" s="11"/>
      <c r="J3176" s="9"/>
      <c r="P3176" s="15"/>
    </row>
    <row r="3177">
      <c r="A3177" s="12"/>
      <c r="B3177" s="12"/>
      <c r="C3177" s="5"/>
      <c r="D3177" s="11"/>
      <c r="E3177" s="11"/>
      <c r="F3177" s="11"/>
      <c r="G3177" s="11"/>
      <c r="H3177" s="11"/>
      <c r="I3177" s="11"/>
      <c r="J3177" s="9"/>
      <c r="P3177" s="15"/>
    </row>
    <row r="3178">
      <c r="A3178" s="12"/>
      <c r="B3178" s="12"/>
      <c r="C3178" s="5"/>
      <c r="D3178" s="11"/>
      <c r="E3178" s="11"/>
      <c r="F3178" s="11"/>
      <c r="G3178" s="11"/>
      <c r="H3178" s="11"/>
      <c r="I3178" s="11"/>
      <c r="J3178" s="9"/>
      <c r="P3178" s="15"/>
    </row>
    <row r="3179">
      <c r="A3179" s="12"/>
      <c r="B3179" s="12"/>
      <c r="C3179" s="5"/>
      <c r="D3179" s="11"/>
      <c r="E3179" s="11"/>
      <c r="F3179" s="11"/>
      <c r="G3179" s="11"/>
      <c r="H3179" s="11"/>
      <c r="I3179" s="11"/>
      <c r="J3179" s="9"/>
      <c r="P3179" s="15"/>
    </row>
    <row r="3180">
      <c r="A3180" s="12"/>
      <c r="B3180" s="12"/>
      <c r="C3180" s="5"/>
      <c r="D3180" s="11"/>
      <c r="E3180" s="11"/>
      <c r="F3180" s="11"/>
      <c r="G3180" s="11"/>
      <c r="H3180" s="11"/>
      <c r="I3180" s="11"/>
      <c r="J3180" s="9"/>
      <c r="P3180" s="15"/>
    </row>
    <row r="3181">
      <c r="A3181" s="12"/>
      <c r="B3181" s="12"/>
      <c r="C3181" s="5"/>
      <c r="D3181" s="11"/>
      <c r="E3181" s="11"/>
      <c r="F3181" s="11"/>
      <c r="G3181" s="11"/>
      <c r="H3181" s="11"/>
      <c r="I3181" s="11"/>
      <c r="J3181" s="9"/>
      <c r="P3181" s="15"/>
    </row>
    <row r="3182">
      <c r="A3182" s="12"/>
      <c r="B3182" s="12"/>
      <c r="C3182" s="5"/>
      <c r="D3182" s="11"/>
      <c r="E3182" s="11"/>
      <c r="F3182" s="11"/>
      <c r="G3182" s="11"/>
      <c r="H3182" s="11"/>
      <c r="I3182" s="11"/>
      <c r="J3182" s="9"/>
      <c r="P3182" s="15"/>
    </row>
    <row r="3183">
      <c r="A3183" s="12"/>
      <c r="B3183" s="12"/>
      <c r="C3183" s="5"/>
      <c r="D3183" s="11"/>
      <c r="E3183" s="11"/>
      <c r="F3183" s="11"/>
      <c r="G3183" s="11"/>
      <c r="H3183" s="11"/>
      <c r="I3183" s="11"/>
      <c r="J3183" s="9"/>
      <c r="P3183" s="15"/>
    </row>
    <row r="3184">
      <c r="A3184" s="12"/>
      <c r="B3184" s="12"/>
      <c r="C3184" s="5"/>
      <c r="D3184" s="11"/>
      <c r="E3184" s="11"/>
      <c r="F3184" s="11"/>
      <c r="G3184" s="11"/>
      <c r="H3184" s="11"/>
      <c r="I3184" s="11"/>
      <c r="J3184" s="9"/>
      <c r="P3184" s="15"/>
    </row>
    <row r="3185">
      <c r="A3185" s="12"/>
      <c r="B3185" s="12"/>
      <c r="C3185" s="5"/>
      <c r="D3185" s="11"/>
      <c r="E3185" s="11"/>
      <c r="F3185" s="11"/>
      <c r="G3185" s="11"/>
      <c r="H3185" s="11"/>
      <c r="I3185" s="11"/>
      <c r="J3185" s="9"/>
      <c r="P3185" s="15"/>
    </row>
    <row r="3186">
      <c r="A3186" s="12"/>
      <c r="B3186" s="12"/>
      <c r="C3186" s="5"/>
      <c r="D3186" s="11"/>
      <c r="E3186" s="11"/>
      <c r="F3186" s="11"/>
      <c r="G3186" s="11"/>
      <c r="H3186" s="11"/>
      <c r="I3186" s="11"/>
      <c r="J3186" s="9"/>
      <c r="P3186" s="15"/>
    </row>
    <row r="3187">
      <c r="A3187" s="12"/>
      <c r="B3187" s="12"/>
      <c r="C3187" s="5"/>
      <c r="D3187" s="11"/>
      <c r="E3187" s="11"/>
      <c r="F3187" s="11"/>
      <c r="G3187" s="11"/>
      <c r="H3187" s="11"/>
      <c r="I3187" s="11"/>
      <c r="J3187" s="9"/>
      <c r="P3187" s="15"/>
    </row>
    <row r="3188">
      <c r="A3188" s="12"/>
      <c r="B3188" s="12"/>
      <c r="C3188" s="5"/>
      <c r="D3188" s="11"/>
      <c r="E3188" s="11"/>
      <c r="F3188" s="11"/>
      <c r="G3188" s="11"/>
      <c r="H3188" s="11"/>
      <c r="I3188" s="11"/>
      <c r="J3188" s="9"/>
      <c r="P3188" s="15"/>
    </row>
    <row r="3189">
      <c r="A3189" s="12"/>
      <c r="B3189" s="12"/>
      <c r="C3189" s="5"/>
      <c r="D3189" s="11"/>
      <c r="E3189" s="11"/>
      <c r="F3189" s="11"/>
      <c r="G3189" s="11"/>
      <c r="H3189" s="11"/>
      <c r="I3189" s="11"/>
      <c r="J3189" s="9"/>
      <c r="P3189" s="15"/>
    </row>
    <row r="3190">
      <c r="A3190" s="12"/>
      <c r="B3190" s="12"/>
      <c r="C3190" s="5"/>
      <c r="D3190" s="11"/>
      <c r="E3190" s="11"/>
      <c r="F3190" s="11"/>
      <c r="G3190" s="11"/>
      <c r="H3190" s="11"/>
      <c r="I3190" s="11"/>
      <c r="J3190" s="9"/>
      <c r="P3190" s="15"/>
    </row>
    <row r="3191">
      <c r="A3191" s="12"/>
      <c r="B3191" s="12"/>
      <c r="C3191" s="5"/>
      <c r="D3191" s="11"/>
      <c r="E3191" s="11"/>
      <c r="F3191" s="11"/>
      <c r="G3191" s="11"/>
      <c r="H3191" s="11"/>
      <c r="I3191" s="11"/>
      <c r="J3191" s="9"/>
      <c r="P3191" s="15"/>
    </row>
    <row r="3192">
      <c r="A3192" s="12"/>
      <c r="B3192" s="12"/>
      <c r="C3192" s="5"/>
      <c r="D3192" s="11"/>
      <c r="E3192" s="11"/>
      <c r="F3192" s="11"/>
      <c r="G3192" s="11"/>
      <c r="H3192" s="11"/>
      <c r="I3192" s="11"/>
      <c r="J3192" s="9"/>
      <c r="P3192" s="15"/>
    </row>
    <row r="3193">
      <c r="A3193" s="12"/>
      <c r="B3193" s="12"/>
      <c r="C3193" s="5"/>
      <c r="D3193" s="11"/>
      <c r="E3193" s="11"/>
      <c r="F3193" s="11"/>
      <c r="G3193" s="11"/>
      <c r="H3193" s="11"/>
      <c r="I3193" s="11"/>
      <c r="J3193" s="9"/>
      <c r="P3193" s="15"/>
    </row>
    <row r="3194">
      <c r="A3194" s="12"/>
      <c r="B3194" s="12"/>
      <c r="C3194" s="5"/>
      <c r="D3194" s="11"/>
      <c r="E3194" s="11"/>
      <c r="F3194" s="11"/>
      <c r="G3194" s="11"/>
      <c r="H3194" s="11"/>
      <c r="I3194" s="11"/>
      <c r="J3194" s="9"/>
      <c r="P3194" s="15"/>
    </row>
    <row r="3195">
      <c r="A3195" s="12"/>
      <c r="B3195" s="12"/>
      <c r="C3195" s="5"/>
      <c r="D3195" s="11"/>
      <c r="E3195" s="11"/>
      <c r="F3195" s="11"/>
      <c r="G3195" s="11"/>
      <c r="H3195" s="11"/>
      <c r="I3195" s="11"/>
      <c r="J3195" s="9"/>
      <c r="P3195" s="15"/>
    </row>
    <row r="3196">
      <c r="A3196" s="12"/>
      <c r="B3196" s="12"/>
      <c r="C3196" s="5"/>
      <c r="D3196" s="11"/>
      <c r="E3196" s="11"/>
      <c r="F3196" s="11"/>
      <c r="G3196" s="11"/>
      <c r="H3196" s="11"/>
      <c r="I3196" s="11"/>
      <c r="J3196" s="9"/>
      <c r="P3196" s="15"/>
    </row>
    <row r="3197">
      <c r="A3197" s="12"/>
      <c r="B3197" s="12"/>
      <c r="C3197" s="5"/>
      <c r="D3197" s="11"/>
      <c r="E3197" s="11"/>
      <c r="F3197" s="11"/>
      <c r="G3197" s="11"/>
      <c r="H3197" s="11"/>
      <c r="I3197" s="11"/>
      <c r="J3197" s="9"/>
      <c r="P3197" s="15"/>
    </row>
    <row r="3198">
      <c r="A3198" s="12"/>
      <c r="B3198" s="12"/>
      <c r="C3198" s="5"/>
      <c r="D3198" s="11"/>
      <c r="E3198" s="11"/>
      <c r="F3198" s="11"/>
      <c r="G3198" s="11"/>
      <c r="H3198" s="11"/>
      <c r="I3198" s="11"/>
      <c r="J3198" s="9"/>
      <c r="P3198" s="15"/>
    </row>
    <row r="3199">
      <c r="A3199" s="12"/>
      <c r="B3199" s="12"/>
      <c r="C3199" s="5"/>
      <c r="D3199" s="11"/>
      <c r="E3199" s="11"/>
      <c r="F3199" s="11"/>
      <c r="G3199" s="11"/>
      <c r="H3199" s="11"/>
      <c r="I3199" s="11"/>
      <c r="J3199" s="9"/>
      <c r="P3199" s="15"/>
    </row>
    <row r="3200">
      <c r="A3200" s="12"/>
      <c r="B3200" s="12"/>
      <c r="C3200" s="5"/>
      <c r="D3200" s="11"/>
      <c r="E3200" s="11"/>
      <c r="F3200" s="11"/>
      <c r="G3200" s="11"/>
      <c r="H3200" s="11"/>
      <c r="I3200" s="11"/>
      <c r="J3200" s="9"/>
      <c r="P3200" s="15"/>
    </row>
    <row r="3201">
      <c r="A3201" s="12"/>
      <c r="B3201" s="12"/>
      <c r="C3201" s="5"/>
      <c r="D3201" s="11"/>
      <c r="E3201" s="11"/>
      <c r="F3201" s="11"/>
      <c r="G3201" s="11"/>
      <c r="H3201" s="11"/>
      <c r="I3201" s="11"/>
      <c r="J3201" s="9"/>
      <c r="P3201" s="15"/>
    </row>
    <row r="3202">
      <c r="A3202" s="12"/>
      <c r="B3202" s="12"/>
      <c r="C3202" s="5"/>
      <c r="D3202" s="11"/>
      <c r="E3202" s="11"/>
      <c r="F3202" s="11"/>
      <c r="G3202" s="11"/>
      <c r="H3202" s="11"/>
      <c r="I3202" s="11"/>
      <c r="J3202" s="9"/>
      <c r="P3202" s="15"/>
    </row>
    <row r="3203">
      <c r="A3203" s="12"/>
      <c r="B3203" s="12"/>
      <c r="C3203" s="5"/>
      <c r="D3203" s="11"/>
      <c r="E3203" s="11"/>
      <c r="F3203" s="11"/>
      <c r="G3203" s="11"/>
      <c r="H3203" s="11"/>
      <c r="I3203" s="11"/>
      <c r="J3203" s="9"/>
      <c r="P3203" s="15"/>
    </row>
    <row r="3204">
      <c r="A3204" s="12"/>
      <c r="B3204" s="12"/>
      <c r="C3204" s="5"/>
      <c r="D3204" s="11"/>
      <c r="E3204" s="11"/>
      <c r="F3204" s="11"/>
      <c r="G3204" s="11"/>
      <c r="H3204" s="11"/>
      <c r="I3204" s="11"/>
      <c r="J3204" s="9"/>
      <c r="P3204" s="15"/>
    </row>
    <row r="3205">
      <c r="A3205" s="12"/>
      <c r="B3205" s="12"/>
      <c r="C3205" s="5"/>
      <c r="D3205" s="11"/>
      <c r="E3205" s="11"/>
      <c r="F3205" s="11"/>
      <c r="G3205" s="11"/>
      <c r="H3205" s="11"/>
      <c r="I3205" s="11"/>
      <c r="J3205" s="9"/>
      <c r="P3205" s="15"/>
    </row>
    <row r="3206">
      <c r="A3206" s="12"/>
      <c r="B3206" s="12"/>
      <c r="C3206" s="5"/>
      <c r="D3206" s="11"/>
      <c r="E3206" s="11"/>
      <c r="F3206" s="11"/>
      <c r="G3206" s="11"/>
      <c r="H3206" s="11"/>
      <c r="I3206" s="11"/>
      <c r="J3206" s="9"/>
      <c r="P3206" s="15"/>
    </row>
    <row r="3207">
      <c r="A3207" s="12"/>
      <c r="B3207" s="12"/>
      <c r="C3207" s="5"/>
      <c r="D3207" s="11"/>
      <c r="E3207" s="11"/>
      <c r="F3207" s="11"/>
      <c r="G3207" s="11"/>
      <c r="H3207" s="11"/>
      <c r="I3207" s="11"/>
      <c r="J3207" s="9"/>
      <c r="P3207" s="15"/>
    </row>
    <row r="3208">
      <c r="A3208" s="12"/>
      <c r="B3208" s="12"/>
      <c r="C3208" s="5"/>
      <c r="D3208" s="11"/>
      <c r="E3208" s="11"/>
      <c r="F3208" s="11"/>
      <c r="G3208" s="11"/>
      <c r="H3208" s="11"/>
      <c r="I3208" s="11"/>
      <c r="J3208" s="9"/>
      <c r="P3208" s="15"/>
    </row>
    <row r="3209">
      <c r="A3209" s="12"/>
      <c r="B3209" s="12"/>
      <c r="C3209" s="5"/>
      <c r="D3209" s="11"/>
      <c r="E3209" s="11"/>
      <c r="F3209" s="11"/>
      <c r="G3209" s="11"/>
      <c r="H3209" s="11"/>
      <c r="I3209" s="11"/>
      <c r="J3209" s="9"/>
      <c r="P3209" s="15"/>
    </row>
    <row r="3210">
      <c r="A3210" s="12"/>
      <c r="B3210" s="12"/>
      <c r="C3210" s="5"/>
      <c r="D3210" s="11"/>
      <c r="E3210" s="11"/>
      <c r="F3210" s="11"/>
      <c r="G3210" s="11"/>
      <c r="H3210" s="11"/>
      <c r="I3210" s="11"/>
      <c r="J3210" s="9"/>
      <c r="P3210" s="15"/>
    </row>
    <row r="3211">
      <c r="A3211" s="12"/>
      <c r="B3211" s="12"/>
      <c r="C3211" s="5"/>
      <c r="D3211" s="11"/>
      <c r="E3211" s="11"/>
      <c r="F3211" s="11"/>
      <c r="G3211" s="11"/>
      <c r="H3211" s="11"/>
      <c r="I3211" s="11"/>
      <c r="J3211" s="9"/>
      <c r="P3211" s="15"/>
    </row>
    <row r="3212">
      <c r="A3212" s="12"/>
      <c r="B3212" s="12"/>
      <c r="C3212" s="5"/>
      <c r="D3212" s="11"/>
      <c r="E3212" s="11"/>
      <c r="F3212" s="11"/>
      <c r="G3212" s="11"/>
      <c r="H3212" s="11"/>
      <c r="I3212" s="11"/>
      <c r="J3212" s="9"/>
      <c r="P3212" s="15"/>
    </row>
    <row r="3213">
      <c r="A3213" s="12"/>
      <c r="B3213" s="12"/>
      <c r="C3213" s="5"/>
      <c r="D3213" s="11"/>
      <c r="E3213" s="11"/>
      <c r="F3213" s="11"/>
      <c r="G3213" s="11"/>
      <c r="H3213" s="11"/>
      <c r="I3213" s="11"/>
      <c r="J3213" s="9"/>
      <c r="P3213" s="15"/>
    </row>
    <row r="3214">
      <c r="A3214" s="12"/>
      <c r="B3214" s="12"/>
      <c r="C3214" s="5"/>
      <c r="D3214" s="11"/>
      <c r="E3214" s="11"/>
      <c r="F3214" s="11"/>
      <c r="G3214" s="11"/>
      <c r="H3214" s="11"/>
      <c r="I3214" s="11"/>
      <c r="J3214" s="9"/>
      <c r="P3214" s="15"/>
    </row>
    <row r="3215">
      <c r="A3215" s="12"/>
      <c r="B3215" s="12"/>
      <c r="C3215" s="5"/>
      <c r="D3215" s="11"/>
      <c r="E3215" s="11"/>
      <c r="F3215" s="11"/>
      <c r="G3215" s="11"/>
      <c r="H3215" s="11"/>
      <c r="I3215" s="11"/>
      <c r="J3215" s="9"/>
      <c r="P3215" s="15"/>
    </row>
    <row r="3216">
      <c r="A3216" s="12"/>
      <c r="B3216" s="12"/>
      <c r="C3216" s="5"/>
      <c r="D3216" s="11"/>
      <c r="E3216" s="11"/>
      <c r="F3216" s="11"/>
      <c r="G3216" s="11"/>
      <c r="H3216" s="11"/>
      <c r="I3216" s="11"/>
      <c r="J3216" s="9"/>
      <c r="P3216" s="15"/>
    </row>
    <row r="3217">
      <c r="A3217" s="12"/>
      <c r="B3217" s="12"/>
      <c r="C3217" s="5"/>
      <c r="D3217" s="11"/>
      <c r="E3217" s="11"/>
      <c r="F3217" s="11"/>
      <c r="G3217" s="11"/>
      <c r="H3217" s="11"/>
      <c r="I3217" s="11"/>
      <c r="J3217" s="9"/>
      <c r="P3217" s="15"/>
    </row>
    <row r="3218">
      <c r="A3218" s="12"/>
      <c r="B3218" s="12"/>
      <c r="C3218" s="5"/>
      <c r="D3218" s="11"/>
      <c r="E3218" s="11"/>
      <c r="F3218" s="11"/>
      <c r="G3218" s="11"/>
      <c r="H3218" s="11"/>
      <c r="I3218" s="11"/>
      <c r="J3218" s="9"/>
      <c r="P3218" s="15"/>
    </row>
    <row r="3219">
      <c r="A3219" s="12"/>
      <c r="B3219" s="12"/>
      <c r="C3219" s="5"/>
      <c r="D3219" s="11"/>
      <c r="E3219" s="11"/>
      <c r="F3219" s="11"/>
      <c r="G3219" s="11"/>
      <c r="H3219" s="11"/>
      <c r="I3219" s="11"/>
      <c r="J3219" s="9"/>
      <c r="P3219" s="15"/>
    </row>
    <row r="3220">
      <c r="A3220" s="12"/>
      <c r="B3220" s="12"/>
      <c r="C3220" s="5"/>
      <c r="D3220" s="11"/>
      <c r="E3220" s="11"/>
      <c r="F3220" s="11"/>
      <c r="G3220" s="11"/>
      <c r="H3220" s="11"/>
      <c r="I3220" s="11"/>
      <c r="J3220" s="9"/>
      <c r="P3220" s="15"/>
    </row>
    <row r="3221">
      <c r="A3221" s="12"/>
      <c r="B3221" s="12"/>
      <c r="C3221" s="5"/>
      <c r="D3221" s="11"/>
      <c r="E3221" s="11"/>
      <c r="F3221" s="11"/>
      <c r="G3221" s="11"/>
      <c r="H3221" s="11"/>
      <c r="I3221" s="11"/>
      <c r="J3221" s="9"/>
      <c r="P3221" s="15"/>
    </row>
    <row r="3222">
      <c r="A3222" s="12"/>
      <c r="B3222" s="12"/>
      <c r="C3222" s="5"/>
      <c r="D3222" s="11"/>
      <c r="E3222" s="11"/>
      <c r="F3222" s="11"/>
      <c r="G3222" s="11"/>
      <c r="H3222" s="11"/>
      <c r="I3222" s="11"/>
      <c r="J3222" s="9"/>
      <c r="P3222" s="15"/>
    </row>
    <row r="3223">
      <c r="A3223" s="12"/>
      <c r="B3223" s="12"/>
      <c r="C3223" s="5"/>
      <c r="D3223" s="11"/>
      <c r="E3223" s="11"/>
      <c r="F3223" s="11"/>
      <c r="G3223" s="11"/>
      <c r="H3223" s="11"/>
      <c r="I3223" s="11"/>
      <c r="J3223" s="9"/>
      <c r="P3223" s="15"/>
    </row>
    <row r="3224">
      <c r="A3224" s="12"/>
      <c r="B3224" s="12"/>
      <c r="C3224" s="5"/>
      <c r="D3224" s="11"/>
      <c r="E3224" s="11"/>
      <c r="F3224" s="11"/>
      <c r="G3224" s="11"/>
      <c r="H3224" s="11"/>
      <c r="I3224" s="11"/>
      <c r="J3224" s="9"/>
      <c r="P3224" s="15"/>
    </row>
    <row r="3225">
      <c r="A3225" s="12"/>
      <c r="B3225" s="12"/>
      <c r="C3225" s="5"/>
      <c r="D3225" s="11"/>
      <c r="E3225" s="11"/>
      <c r="F3225" s="11"/>
      <c r="G3225" s="11"/>
      <c r="H3225" s="11"/>
      <c r="I3225" s="11"/>
      <c r="J3225" s="9"/>
      <c r="P3225" s="15"/>
    </row>
    <row r="3226">
      <c r="A3226" s="12"/>
      <c r="B3226" s="12"/>
      <c r="C3226" s="5"/>
      <c r="D3226" s="11"/>
      <c r="E3226" s="11"/>
      <c r="F3226" s="11"/>
      <c r="G3226" s="11"/>
      <c r="H3226" s="11"/>
      <c r="I3226" s="11"/>
      <c r="J3226" s="9"/>
      <c r="P3226" s="15"/>
    </row>
    <row r="3227">
      <c r="A3227" s="12"/>
      <c r="B3227" s="12"/>
      <c r="C3227" s="5"/>
      <c r="D3227" s="11"/>
      <c r="E3227" s="11"/>
      <c r="F3227" s="11"/>
      <c r="G3227" s="11"/>
      <c r="H3227" s="11"/>
      <c r="I3227" s="11"/>
      <c r="J3227" s="9"/>
      <c r="P3227" s="15"/>
    </row>
    <row r="3228">
      <c r="A3228" s="12"/>
      <c r="B3228" s="12"/>
      <c r="C3228" s="5"/>
      <c r="D3228" s="11"/>
      <c r="E3228" s="11"/>
      <c r="F3228" s="11"/>
      <c r="G3228" s="11"/>
      <c r="H3228" s="11"/>
      <c r="I3228" s="11"/>
      <c r="J3228" s="9"/>
      <c r="P3228" s="15"/>
    </row>
    <row r="3229">
      <c r="A3229" s="12"/>
      <c r="B3229" s="12"/>
      <c r="C3229" s="5"/>
      <c r="D3229" s="11"/>
      <c r="E3229" s="11"/>
      <c r="F3229" s="11"/>
      <c r="G3229" s="11"/>
      <c r="H3229" s="11"/>
      <c r="I3229" s="11"/>
      <c r="J3229" s="9"/>
      <c r="P3229" s="15"/>
    </row>
    <row r="3230">
      <c r="A3230" s="12"/>
      <c r="B3230" s="12"/>
      <c r="C3230" s="5"/>
      <c r="D3230" s="11"/>
      <c r="E3230" s="11"/>
      <c r="F3230" s="11"/>
      <c r="G3230" s="11"/>
      <c r="H3230" s="11"/>
      <c r="I3230" s="11"/>
      <c r="J3230" s="9"/>
      <c r="P3230" s="15"/>
    </row>
    <row r="3231">
      <c r="A3231" s="12"/>
      <c r="B3231" s="12"/>
      <c r="C3231" s="5"/>
      <c r="D3231" s="11"/>
      <c r="E3231" s="11"/>
      <c r="F3231" s="11"/>
      <c r="G3231" s="11"/>
      <c r="H3231" s="11"/>
      <c r="I3231" s="11"/>
      <c r="J3231" s="9"/>
      <c r="P3231" s="15"/>
    </row>
    <row r="3232">
      <c r="A3232" s="12"/>
      <c r="B3232" s="12"/>
      <c r="C3232" s="5"/>
      <c r="D3232" s="11"/>
      <c r="E3232" s="11"/>
      <c r="F3232" s="11"/>
      <c r="G3232" s="11"/>
      <c r="H3232" s="11"/>
      <c r="I3232" s="11"/>
      <c r="J3232" s="9"/>
      <c r="P3232" s="15"/>
    </row>
    <row r="3233">
      <c r="A3233" s="12"/>
      <c r="B3233" s="12"/>
      <c r="C3233" s="5"/>
      <c r="D3233" s="11"/>
      <c r="E3233" s="11"/>
      <c r="F3233" s="11"/>
      <c r="G3233" s="11"/>
      <c r="H3233" s="11"/>
      <c r="I3233" s="11"/>
      <c r="J3233" s="9"/>
      <c r="P3233" s="15"/>
    </row>
    <row r="3234">
      <c r="A3234" s="12"/>
      <c r="B3234" s="12"/>
      <c r="C3234" s="5"/>
      <c r="D3234" s="11"/>
      <c r="E3234" s="11"/>
      <c r="F3234" s="11"/>
      <c r="G3234" s="11"/>
      <c r="H3234" s="11"/>
      <c r="I3234" s="11"/>
      <c r="J3234" s="9"/>
      <c r="P3234" s="15"/>
    </row>
    <row r="3235">
      <c r="A3235" s="12"/>
      <c r="B3235" s="12"/>
      <c r="C3235" s="5"/>
      <c r="D3235" s="11"/>
      <c r="E3235" s="11"/>
      <c r="F3235" s="11"/>
      <c r="G3235" s="11"/>
      <c r="H3235" s="11"/>
      <c r="I3235" s="11"/>
      <c r="J3235" s="9"/>
      <c r="P3235" s="15"/>
    </row>
    <row r="3236">
      <c r="A3236" s="12"/>
      <c r="B3236" s="12"/>
      <c r="C3236" s="5"/>
      <c r="D3236" s="11"/>
      <c r="E3236" s="11"/>
      <c r="F3236" s="11"/>
      <c r="G3236" s="11"/>
      <c r="H3236" s="11"/>
      <c r="I3236" s="11"/>
      <c r="J3236" s="9"/>
      <c r="P3236" s="15"/>
    </row>
    <row r="3237">
      <c r="A3237" s="12"/>
      <c r="B3237" s="12"/>
      <c r="C3237" s="5"/>
      <c r="D3237" s="11"/>
      <c r="E3237" s="11"/>
      <c r="F3237" s="11"/>
      <c r="G3237" s="11"/>
      <c r="H3237" s="11"/>
      <c r="I3237" s="11"/>
      <c r="J3237" s="9"/>
      <c r="P3237" s="15"/>
    </row>
    <row r="3238">
      <c r="A3238" s="12"/>
      <c r="B3238" s="12"/>
      <c r="C3238" s="5"/>
      <c r="D3238" s="11"/>
      <c r="E3238" s="11"/>
      <c r="F3238" s="11"/>
      <c r="G3238" s="11"/>
      <c r="H3238" s="11"/>
      <c r="I3238" s="11"/>
      <c r="J3238" s="9"/>
      <c r="P3238" s="15"/>
    </row>
    <row r="3239">
      <c r="A3239" s="12"/>
      <c r="B3239" s="12"/>
      <c r="C3239" s="5"/>
      <c r="D3239" s="11"/>
      <c r="E3239" s="11"/>
      <c r="F3239" s="11"/>
      <c r="G3239" s="11"/>
      <c r="H3239" s="11"/>
      <c r="I3239" s="11"/>
      <c r="J3239" s="9"/>
      <c r="P3239" s="15"/>
    </row>
    <row r="3240">
      <c r="A3240" s="12"/>
      <c r="B3240" s="12"/>
      <c r="C3240" s="5"/>
      <c r="D3240" s="11"/>
      <c r="E3240" s="11"/>
      <c r="F3240" s="11"/>
      <c r="G3240" s="11"/>
      <c r="H3240" s="11"/>
      <c r="I3240" s="11"/>
      <c r="J3240" s="9"/>
      <c r="P3240" s="15"/>
    </row>
    <row r="3241">
      <c r="A3241" s="12"/>
      <c r="B3241" s="12"/>
      <c r="C3241" s="5"/>
      <c r="D3241" s="11"/>
      <c r="E3241" s="11"/>
      <c r="F3241" s="11"/>
      <c r="G3241" s="11"/>
      <c r="H3241" s="11"/>
      <c r="I3241" s="11"/>
      <c r="J3241" s="9"/>
      <c r="P3241" s="15"/>
    </row>
    <row r="3242">
      <c r="A3242" s="12"/>
      <c r="B3242" s="12"/>
      <c r="C3242" s="5"/>
      <c r="D3242" s="11"/>
      <c r="E3242" s="11"/>
      <c r="F3242" s="11"/>
      <c r="G3242" s="11"/>
      <c r="H3242" s="11"/>
      <c r="I3242" s="11"/>
      <c r="J3242" s="9"/>
      <c r="P3242" s="15"/>
    </row>
    <row r="3243">
      <c r="A3243" s="12"/>
      <c r="B3243" s="12"/>
      <c r="C3243" s="5"/>
      <c r="D3243" s="11"/>
      <c r="E3243" s="11"/>
      <c r="F3243" s="11"/>
      <c r="G3243" s="11"/>
      <c r="H3243" s="11"/>
      <c r="I3243" s="11"/>
      <c r="J3243" s="9"/>
      <c r="P3243" s="15"/>
    </row>
    <row r="3244">
      <c r="A3244" s="12"/>
      <c r="B3244" s="12"/>
      <c r="C3244" s="5"/>
      <c r="D3244" s="11"/>
      <c r="E3244" s="11"/>
      <c r="F3244" s="11"/>
      <c r="G3244" s="11"/>
      <c r="H3244" s="11"/>
      <c r="I3244" s="11"/>
      <c r="J3244" s="9"/>
      <c r="P3244" s="15"/>
    </row>
    <row r="3245">
      <c r="A3245" s="12"/>
      <c r="B3245" s="12"/>
      <c r="C3245" s="5"/>
      <c r="D3245" s="11"/>
      <c r="E3245" s="11"/>
      <c r="F3245" s="11"/>
      <c r="G3245" s="11"/>
      <c r="H3245" s="11"/>
      <c r="I3245" s="11"/>
      <c r="J3245" s="9"/>
      <c r="P3245" s="15"/>
    </row>
    <row r="3246">
      <c r="A3246" s="12"/>
      <c r="B3246" s="12"/>
      <c r="C3246" s="5"/>
      <c r="D3246" s="11"/>
      <c r="E3246" s="11"/>
      <c r="F3246" s="11"/>
      <c r="G3246" s="11"/>
      <c r="H3246" s="11"/>
      <c r="I3246" s="11"/>
      <c r="J3246" s="9"/>
      <c r="P3246" s="15"/>
    </row>
    <row r="3247">
      <c r="A3247" s="12"/>
      <c r="B3247" s="12"/>
      <c r="C3247" s="5"/>
      <c r="D3247" s="11"/>
      <c r="E3247" s="11"/>
      <c r="F3247" s="11"/>
      <c r="G3247" s="11"/>
      <c r="H3247" s="11"/>
      <c r="I3247" s="11"/>
      <c r="J3247" s="9"/>
      <c r="P3247" s="15"/>
    </row>
    <row r="3248">
      <c r="A3248" s="12"/>
      <c r="B3248" s="12"/>
      <c r="C3248" s="5"/>
      <c r="D3248" s="11"/>
      <c r="E3248" s="11"/>
      <c r="F3248" s="11"/>
      <c r="G3248" s="11"/>
      <c r="H3248" s="11"/>
      <c r="I3248" s="11"/>
      <c r="J3248" s="9"/>
      <c r="P3248" s="15"/>
    </row>
    <row r="3249">
      <c r="A3249" s="12"/>
      <c r="B3249" s="12"/>
      <c r="C3249" s="5"/>
      <c r="D3249" s="11"/>
      <c r="E3249" s="11"/>
      <c r="F3249" s="11"/>
      <c r="G3249" s="11"/>
      <c r="H3249" s="11"/>
      <c r="I3249" s="11"/>
      <c r="J3249" s="9"/>
      <c r="P3249" s="15"/>
    </row>
    <row r="3250">
      <c r="A3250" s="12"/>
      <c r="B3250" s="12"/>
      <c r="C3250" s="5"/>
      <c r="D3250" s="11"/>
      <c r="E3250" s="11"/>
      <c r="F3250" s="11"/>
      <c r="G3250" s="11"/>
      <c r="H3250" s="11"/>
      <c r="I3250" s="11"/>
      <c r="J3250" s="9"/>
      <c r="P3250" s="15"/>
    </row>
    <row r="3251">
      <c r="A3251" s="12"/>
      <c r="B3251" s="12"/>
      <c r="C3251" s="5"/>
      <c r="D3251" s="11"/>
      <c r="E3251" s="11"/>
      <c r="F3251" s="11"/>
      <c r="G3251" s="11"/>
      <c r="H3251" s="11"/>
      <c r="I3251" s="11"/>
      <c r="J3251" s="9"/>
      <c r="P3251" s="15"/>
    </row>
    <row r="3252">
      <c r="A3252" s="12"/>
      <c r="B3252" s="12"/>
      <c r="C3252" s="5"/>
      <c r="D3252" s="11"/>
      <c r="E3252" s="11"/>
      <c r="F3252" s="11"/>
      <c r="G3252" s="11"/>
      <c r="H3252" s="11"/>
      <c r="I3252" s="11"/>
      <c r="J3252" s="9"/>
      <c r="P3252" s="15"/>
    </row>
    <row r="3253">
      <c r="A3253" s="12"/>
      <c r="B3253" s="12"/>
      <c r="C3253" s="5"/>
      <c r="D3253" s="11"/>
      <c r="E3253" s="11"/>
      <c r="F3253" s="11"/>
      <c r="G3253" s="11"/>
      <c r="H3253" s="11"/>
      <c r="I3253" s="11"/>
      <c r="J3253" s="9"/>
      <c r="P3253" s="15"/>
    </row>
    <row r="3254">
      <c r="A3254" s="12"/>
      <c r="B3254" s="12"/>
      <c r="C3254" s="5"/>
      <c r="D3254" s="11"/>
      <c r="E3254" s="11"/>
      <c r="F3254" s="11"/>
      <c r="G3254" s="11"/>
      <c r="H3254" s="11"/>
      <c r="I3254" s="11"/>
      <c r="J3254" s="9"/>
      <c r="P3254" s="15"/>
    </row>
    <row r="3255">
      <c r="A3255" s="12"/>
      <c r="B3255" s="12"/>
      <c r="C3255" s="5"/>
      <c r="D3255" s="11"/>
      <c r="E3255" s="11"/>
      <c r="F3255" s="11"/>
      <c r="G3255" s="11"/>
      <c r="H3255" s="11"/>
      <c r="I3255" s="11"/>
      <c r="J3255" s="9"/>
      <c r="P3255" s="15"/>
    </row>
    <row r="3256">
      <c r="A3256" s="12"/>
      <c r="B3256" s="12"/>
      <c r="C3256" s="5"/>
      <c r="D3256" s="11"/>
      <c r="E3256" s="11"/>
      <c r="F3256" s="11"/>
      <c r="G3256" s="11"/>
      <c r="H3256" s="11"/>
      <c r="I3256" s="11"/>
      <c r="J3256" s="9"/>
      <c r="P3256" s="15"/>
    </row>
    <row r="3257">
      <c r="A3257" s="12"/>
      <c r="B3257" s="12"/>
      <c r="C3257" s="5"/>
      <c r="D3257" s="11"/>
      <c r="E3257" s="11"/>
      <c r="F3257" s="11"/>
      <c r="G3257" s="11"/>
      <c r="H3257" s="11"/>
      <c r="I3257" s="11"/>
      <c r="J3257" s="9"/>
      <c r="P3257" s="15"/>
    </row>
    <row r="3258">
      <c r="A3258" s="12"/>
      <c r="B3258" s="12"/>
      <c r="C3258" s="5"/>
      <c r="D3258" s="11"/>
      <c r="E3258" s="11"/>
      <c r="F3258" s="11"/>
      <c r="G3258" s="11"/>
      <c r="H3258" s="11"/>
      <c r="I3258" s="11"/>
      <c r="J3258" s="9"/>
      <c r="P3258" s="15"/>
    </row>
    <row r="3259">
      <c r="A3259" s="12"/>
      <c r="B3259" s="12"/>
      <c r="C3259" s="5"/>
      <c r="D3259" s="11"/>
      <c r="E3259" s="11"/>
      <c r="F3259" s="11"/>
      <c r="G3259" s="11"/>
      <c r="H3259" s="11"/>
      <c r="I3259" s="11"/>
      <c r="J3259" s="9"/>
      <c r="P3259" s="15"/>
    </row>
    <row r="3260">
      <c r="A3260" s="12"/>
      <c r="B3260" s="12"/>
      <c r="C3260" s="5"/>
      <c r="D3260" s="11"/>
      <c r="E3260" s="11"/>
      <c r="F3260" s="11"/>
      <c r="G3260" s="11"/>
      <c r="H3260" s="11"/>
      <c r="I3260" s="11"/>
      <c r="J3260" s="9"/>
      <c r="P3260" s="15"/>
    </row>
    <row r="3261">
      <c r="A3261" s="12"/>
      <c r="B3261" s="12"/>
      <c r="C3261" s="5"/>
      <c r="D3261" s="11"/>
      <c r="E3261" s="11"/>
      <c r="F3261" s="11"/>
      <c r="G3261" s="11"/>
      <c r="H3261" s="11"/>
      <c r="I3261" s="11"/>
      <c r="J3261" s="9"/>
      <c r="P3261" s="15"/>
    </row>
    <row r="3262">
      <c r="A3262" s="12"/>
      <c r="B3262" s="12"/>
      <c r="C3262" s="5"/>
      <c r="D3262" s="11"/>
      <c r="E3262" s="11"/>
      <c r="F3262" s="11"/>
      <c r="G3262" s="11"/>
      <c r="H3262" s="11"/>
      <c r="I3262" s="11"/>
      <c r="J3262" s="9"/>
      <c r="P3262" s="15"/>
    </row>
    <row r="3263">
      <c r="A3263" s="12"/>
      <c r="B3263" s="12"/>
      <c r="C3263" s="5"/>
      <c r="D3263" s="11"/>
      <c r="E3263" s="11"/>
      <c r="F3263" s="11"/>
      <c r="G3263" s="11"/>
      <c r="H3263" s="11"/>
      <c r="I3263" s="11"/>
      <c r="J3263" s="9"/>
      <c r="P3263" s="15"/>
    </row>
    <row r="3264">
      <c r="A3264" s="12"/>
      <c r="B3264" s="12"/>
      <c r="C3264" s="5"/>
      <c r="D3264" s="11"/>
      <c r="E3264" s="11"/>
      <c r="F3264" s="11"/>
      <c r="G3264" s="11"/>
      <c r="H3264" s="11"/>
      <c r="I3264" s="11"/>
      <c r="J3264" s="9"/>
      <c r="P3264" s="15"/>
    </row>
    <row r="3265">
      <c r="A3265" s="12"/>
      <c r="B3265" s="12"/>
      <c r="C3265" s="5"/>
      <c r="D3265" s="11"/>
      <c r="E3265" s="11"/>
      <c r="F3265" s="11"/>
      <c r="G3265" s="11"/>
      <c r="H3265" s="11"/>
      <c r="I3265" s="11"/>
      <c r="J3265" s="9"/>
      <c r="P3265" s="15"/>
    </row>
    <row r="3266">
      <c r="A3266" s="12"/>
      <c r="B3266" s="12"/>
      <c r="C3266" s="5"/>
      <c r="D3266" s="11"/>
      <c r="E3266" s="11"/>
      <c r="F3266" s="11"/>
      <c r="G3266" s="11"/>
      <c r="H3266" s="11"/>
      <c r="I3266" s="11"/>
      <c r="J3266" s="9"/>
      <c r="P3266" s="15"/>
    </row>
    <row r="3267">
      <c r="A3267" s="12"/>
      <c r="B3267" s="12"/>
      <c r="C3267" s="5"/>
      <c r="D3267" s="11"/>
      <c r="E3267" s="11"/>
      <c r="F3267" s="11"/>
      <c r="G3267" s="11"/>
      <c r="H3267" s="11"/>
      <c r="I3267" s="11"/>
      <c r="J3267" s="9"/>
      <c r="P3267" s="15"/>
    </row>
    <row r="3268">
      <c r="A3268" s="12"/>
      <c r="B3268" s="12"/>
      <c r="C3268" s="5"/>
      <c r="D3268" s="11"/>
      <c r="E3268" s="11"/>
      <c r="F3268" s="11"/>
      <c r="G3268" s="11"/>
      <c r="H3268" s="11"/>
      <c r="I3268" s="11"/>
      <c r="J3268" s="9"/>
      <c r="P3268" s="15"/>
    </row>
    <row r="3269">
      <c r="A3269" s="12"/>
      <c r="B3269" s="12"/>
      <c r="C3269" s="5"/>
      <c r="D3269" s="11"/>
      <c r="E3269" s="11"/>
      <c r="F3269" s="11"/>
      <c r="G3269" s="11"/>
      <c r="H3269" s="11"/>
      <c r="I3269" s="11"/>
      <c r="J3269" s="9"/>
      <c r="P3269" s="15"/>
    </row>
    <row r="3270">
      <c r="A3270" s="12"/>
      <c r="B3270" s="12"/>
      <c r="C3270" s="5"/>
      <c r="D3270" s="11"/>
      <c r="E3270" s="11"/>
      <c r="F3270" s="11"/>
      <c r="G3270" s="11"/>
      <c r="H3270" s="11"/>
      <c r="I3270" s="11"/>
      <c r="J3270" s="9"/>
      <c r="P3270" s="15"/>
    </row>
    <row r="3271">
      <c r="A3271" s="12"/>
      <c r="B3271" s="12"/>
      <c r="C3271" s="5"/>
      <c r="D3271" s="11"/>
      <c r="E3271" s="11"/>
      <c r="F3271" s="11"/>
      <c r="G3271" s="11"/>
      <c r="H3271" s="11"/>
      <c r="I3271" s="11"/>
      <c r="J3271" s="9"/>
      <c r="P3271" s="15"/>
    </row>
    <row r="3272">
      <c r="A3272" s="12"/>
      <c r="B3272" s="12"/>
      <c r="C3272" s="5"/>
      <c r="D3272" s="11"/>
      <c r="E3272" s="11"/>
      <c r="F3272" s="11"/>
      <c r="G3272" s="11"/>
      <c r="H3272" s="11"/>
      <c r="I3272" s="11"/>
      <c r="J3272" s="9"/>
      <c r="P3272" s="15"/>
    </row>
    <row r="3273">
      <c r="A3273" s="12"/>
      <c r="B3273" s="12"/>
      <c r="C3273" s="5"/>
      <c r="D3273" s="11"/>
      <c r="E3273" s="11"/>
      <c r="F3273" s="11"/>
      <c r="G3273" s="11"/>
      <c r="H3273" s="11"/>
      <c r="I3273" s="11"/>
      <c r="J3273" s="9"/>
      <c r="P3273" s="15"/>
    </row>
    <row r="3274">
      <c r="A3274" s="12"/>
      <c r="B3274" s="12"/>
      <c r="C3274" s="5"/>
      <c r="D3274" s="11"/>
      <c r="E3274" s="11"/>
      <c r="F3274" s="11"/>
      <c r="G3274" s="11"/>
      <c r="H3274" s="11"/>
      <c r="I3274" s="11"/>
      <c r="J3274" s="9"/>
      <c r="P3274" s="15"/>
    </row>
    <row r="3275">
      <c r="A3275" s="12"/>
      <c r="B3275" s="12"/>
      <c r="C3275" s="5"/>
      <c r="D3275" s="11"/>
      <c r="E3275" s="11"/>
      <c r="F3275" s="11"/>
      <c r="G3275" s="11"/>
      <c r="H3275" s="11"/>
      <c r="I3275" s="11"/>
      <c r="J3275" s="9"/>
      <c r="P3275" s="15"/>
    </row>
    <row r="3276">
      <c r="A3276" s="12"/>
      <c r="B3276" s="12"/>
      <c r="C3276" s="5"/>
      <c r="D3276" s="11"/>
      <c r="E3276" s="11"/>
      <c r="F3276" s="11"/>
      <c r="G3276" s="11"/>
      <c r="H3276" s="11"/>
      <c r="I3276" s="11"/>
      <c r="J3276" s="9"/>
      <c r="P3276" s="15"/>
    </row>
    <row r="3277">
      <c r="A3277" s="12"/>
      <c r="B3277" s="12"/>
      <c r="C3277" s="5"/>
      <c r="D3277" s="11"/>
      <c r="E3277" s="11"/>
      <c r="F3277" s="11"/>
      <c r="G3277" s="11"/>
      <c r="H3277" s="11"/>
      <c r="I3277" s="11"/>
      <c r="J3277" s="9"/>
      <c r="P3277" s="15"/>
    </row>
    <row r="3278">
      <c r="A3278" s="12"/>
      <c r="B3278" s="12"/>
      <c r="C3278" s="5"/>
      <c r="D3278" s="11"/>
      <c r="E3278" s="11"/>
      <c r="F3278" s="11"/>
      <c r="G3278" s="11"/>
      <c r="H3278" s="11"/>
      <c r="I3278" s="11"/>
      <c r="J3278" s="9"/>
      <c r="P3278" s="15"/>
    </row>
    <row r="3279">
      <c r="A3279" s="12"/>
      <c r="B3279" s="12"/>
      <c r="C3279" s="5"/>
      <c r="D3279" s="11"/>
      <c r="E3279" s="11"/>
      <c r="F3279" s="11"/>
      <c r="G3279" s="11"/>
      <c r="H3279" s="11"/>
      <c r="I3279" s="11"/>
      <c r="J3279" s="9"/>
      <c r="P3279" s="15"/>
    </row>
    <row r="3280">
      <c r="A3280" s="12"/>
      <c r="B3280" s="12"/>
      <c r="C3280" s="5"/>
      <c r="D3280" s="11"/>
      <c r="E3280" s="11"/>
      <c r="F3280" s="11"/>
      <c r="G3280" s="11"/>
      <c r="H3280" s="11"/>
      <c r="I3280" s="11"/>
      <c r="J3280" s="9"/>
      <c r="P3280" s="15"/>
    </row>
    <row r="3281">
      <c r="A3281" s="12"/>
      <c r="B3281" s="12"/>
      <c r="C3281" s="5"/>
      <c r="D3281" s="11"/>
      <c r="E3281" s="11"/>
      <c r="F3281" s="11"/>
      <c r="G3281" s="11"/>
      <c r="H3281" s="11"/>
      <c r="I3281" s="11"/>
      <c r="J3281" s="9"/>
      <c r="P3281" s="15"/>
    </row>
    <row r="3282">
      <c r="A3282" s="12"/>
      <c r="B3282" s="12"/>
      <c r="C3282" s="5"/>
      <c r="D3282" s="11"/>
      <c r="E3282" s="11"/>
      <c r="F3282" s="11"/>
      <c r="G3282" s="11"/>
      <c r="H3282" s="11"/>
      <c r="I3282" s="11"/>
      <c r="J3282" s="9"/>
      <c r="P3282" s="15"/>
    </row>
    <row r="3283">
      <c r="A3283" s="12"/>
      <c r="B3283" s="12"/>
      <c r="C3283" s="5"/>
      <c r="D3283" s="11"/>
      <c r="E3283" s="11"/>
      <c r="F3283" s="11"/>
      <c r="G3283" s="11"/>
      <c r="H3283" s="11"/>
      <c r="I3283" s="11"/>
      <c r="J3283" s="9"/>
      <c r="P3283" s="15"/>
    </row>
    <row r="3284">
      <c r="A3284" s="12"/>
      <c r="B3284" s="12"/>
      <c r="C3284" s="5"/>
      <c r="D3284" s="11"/>
      <c r="E3284" s="11"/>
      <c r="F3284" s="11"/>
      <c r="G3284" s="11"/>
      <c r="H3284" s="11"/>
      <c r="I3284" s="11"/>
      <c r="J3284" s="9"/>
      <c r="P3284" s="15"/>
    </row>
    <row r="3285">
      <c r="A3285" s="12"/>
      <c r="B3285" s="12"/>
      <c r="C3285" s="5"/>
      <c r="D3285" s="11"/>
      <c r="E3285" s="11"/>
      <c r="F3285" s="11"/>
      <c r="G3285" s="11"/>
      <c r="H3285" s="11"/>
      <c r="I3285" s="11"/>
      <c r="J3285" s="9"/>
      <c r="P3285" s="15"/>
    </row>
    <row r="3286">
      <c r="A3286" s="12"/>
      <c r="B3286" s="12"/>
      <c r="C3286" s="5"/>
      <c r="D3286" s="11"/>
      <c r="E3286" s="11"/>
      <c r="F3286" s="11"/>
      <c r="G3286" s="11"/>
      <c r="H3286" s="11"/>
      <c r="I3286" s="11"/>
      <c r="J3286" s="9"/>
      <c r="P3286" s="15"/>
    </row>
    <row r="3287">
      <c r="A3287" s="12"/>
      <c r="B3287" s="12"/>
      <c r="C3287" s="5"/>
      <c r="D3287" s="11"/>
      <c r="E3287" s="11"/>
      <c r="F3287" s="11"/>
      <c r="G3287" s="11"/>
      <c r="H3287" s="11"/>
      <c r="I3287" s="11"/>
      <c r="J3287" s="9"/>
      <c r="P3287" s="15"/>
    </row>
    <row r="3288">
      <c r="A3288" s="12"/>
      <c r="B3288" s="12"/>
      <c r="C3288" s="5"/>
      <c r="D3288" s="11"/>
      <c r="E3288" s="11"/>
      <c r="F3288" s="11"/>
      <c r="G3288" s="11"/>
      <c r="H3288" s="11"/>
      <c r="I3288" s="11"/>
      <c r="J3288" s="9"/>
      <c r="P3288" s="15"/>
    </row>
    <row r="3289">
      <c r="A3289" s="12"/>
      <c r="B3289" s="12"/>
      <c r="C3289" s="5"/>
      <c r="D3289" s="11"/>
      <c r="E3289" s="11"/>
      <c r="F3289" s="11"/>
      <c r="G3289" s="11"/>
      <c r="H3289" s="11"/>
      <c r="I3289" s="11"/>
      <c r="J3289" s="9"/>
      <c r="P3289" s="15"/>
    </row>
    <row r="3290">
      <c r="A3290" s="12"/>
      <c r="B3290" s="12"/>
      <c r="C3290" s="5"/>
      <c r="D3290" s="11"/>
      <c r="E3290" s="11"/>
      <c r="F3290" s="11"/>
      <c r="G3290" s="11"/>
      <c r="H3290" s="11"/>
      <c r="I3290" s="11"/>
      <c r="J3290" s="9"/>
      <c r="P3290" s="15"/>
    </row>
    <row r="3291">
      <c r="A3291" s="12"/>
      <c r="B3291" s="12"/>
      <c r="C3291" s="5"/>
      <c r="D3291" s="11"/>
      <c r="E3291" s="11"/>
      <c r="F3291" s="11"/>
      <c r="G3291" s="11"/>
      <c r="H3291" s="11"/>
      <c r="I3291" s="11"/>
      <c r="J3291" s="9"/>
      <c r="P3291" s="15"/>
    </row>
    <row r="3292">
      <c r="A3292" s="12"/>
      <c r="B3292" s="12"/>
      <c r="C3292" s="5"/>
      <c r="D3292" s="11"/>
      <c r="E3292" s="11"/>
      <c r="F3292" s="11"/>
      <c r="G3292" s="11"/>
      <c r="H3292" s="11"/>
      <c r="I3292" s="11"/>
      <c r="J3292" s="9"/>
      <c r="P3292" s="15"/>
    </row>
    <row r="3293">
      <c r="A3293" s="12"/>
      <c r="B3293" s="12"/>
      <c r="C3293" s="5"/>
      <c r="D3293" s="11"/>
      <c r="E3293" s="11"/>
      <c r="F3293" s="11"/>
      <c r="G3293" s="11"/>
      <c r="H3293" s="11"/>
      <c r="I3293" s="11"/>
      <c r="J3293" s="9"/>
      <c r="P3293" s="15"/>
    </row>
    <row r="3294">
      <c r="A3294" s="12"/>
      <c r="B3294" s="12"/>
      <c r="C3294" s="5"/>
      <c r="D3294" s="11"/>
      <c r="E3294" s="11"/>
      <c r="F3294" s="11"/>
      <c r="G3294" s="11"/>
      <c r="H3294" s="11"/>
      <c r="I3294" s="11"/>
      <c r="J3294" s="9"/>
      <c r="P3294" s="15"/>
    </row>
    <row r="3295">
      <c r="A3295" s="12"/>
      <c r="B3295" s="12"/>
      <c r="C3295" s="5"/>
      <c r="D3295" s="11"/>
      <c r="E3295" s="11"/>
      <c r="F3295" s="11"/>
      <c r="G3295" s="11"/>
      <c r="H3295" s="11"/>
      <c r="I3295" s="11"/>
      <c r="J3295" s="9"/>
      <c r="P3295" s="15"/>
    </row>
    <row r="3296">
      <c r="A3296" s="12"/>
      <c r="B3296" s="12"/>
      <c r="C3296" s="5"/>
      <c r="D3296" s="11"/>
      <c r="E3296" s="11"/>
      <c r="F3296" s="11"/>
      <c r="G3296" s="11"/>
      <c r="H3296" s="11"/>
      <c r="I3296" s="11"/>
      <c r="J3296" s="9"/>
      <c r="P3296" s="15"/>
    </row>
    <row r="3297">
      <c r="A3297" s="12"/>
      <c r="B3297" s="12"/>
      <c r="C3297" s="5"/>
      <c r="D3297" s="11"/>
      <c r="E3297" s="11"/>
      <c r="F3297" s="11"/>
      <c r="G3297" s="11"/>
      <c r="H3297" s="11"/>
      <c r="I3297" s="11"/>
      <c r="J3297" s="9"/>
      <c r="P3297" s="15"/>
    </row>
    <row r="3298">
      <c r="A3298" s="12"/>
      <c r="B3298" s="12"/>
      <c r="C3298" s="5"/>
      <c r="D3298" s="11"/>
      <c r="E3298" s="11"/>
      <c r="F3298" s="11"/>
      <c r="G3298" s="11"/>
      <c r="H3298" s="11"/>
      <c r="I3298" s="11"/>
      <c r="J3298" s="9"/>
      <c r="P3298" s="15"/>
    </row>
    <row r="3299">
      <c r="A3299" s="12"/>
      <c r="B3299" s="12"/>
      <c r="C3299" s="5"/>
      <c r="D3299" s="11"/>
      <c r="E3299" s="11"/>
      <c r="F3299" s="11"/>
      <c r="G3299" s="11"/>
      <c r="H3299" s="11"/>
      <c r="I3299" s="11"/>
      <c r="J3299" s="9"/>
      <c r="P3299" s="15"/>
    </row>
    <row r="3300">
      <c r="A3300" s="12"/>
      <c r="B3300" s="12"/>
      <c r="C3300" s="5"/>
      <c r="D3300" s="11"/>
      <c r="E3300" s="11"/>
      <c r="F3300" s="11"/>
      <c r="G3300" s="11"/>
      <c r="H3300" s="11"/>
      <c r="I3300" s="11"/>
      <c r="J3300" s="9"/>
      <c r="P3300" s="15"/>
    </row>
    <row r="3301">
      <c r="A3301" s="12"/>
      <c r="B3301" s="12"/>
      <c r="C3301" s="5"/>
      <c r="D3301" s="11"/>
      <c r="E3301" s="11"/>
      <c r="F3301" s="11"/>
      <c r="G3301" s="11"/>
      <c r="H3301" s="11"/>
      <c r="I3301" s="11"/>
      <c r="J3301" s="9"/>
      <c r="P3301" s="15"/>
    </row>
    <row r="3302">
      <c r="A3302" s="12"/>
      <c r="B3302" s="12"/>
      <c r="C3302" s="5"/>
      <c r="D3302" s="11"/>
      <c r="E3302" s="11"/>
      <c r="F3302" s="11"/>
      <c r="G3302" s="11"/>
      <c r="H3302" s="11"/>
      <c r="I3302" s="11"/>
      <c r="J3302" s="9"/>
      <c r="P3302" s="15"/>
    </row>
    <row r="3303">
      <c r="A3303" s="12"/>
      <c r="B3303" s="12"/>
      <c r="C3303" s="5"/>
      <c r="D3303" s="11"/>
      <c r="E3303" s="11"/>
      <c r="F3303" s="11"/>
      <c r="G3303" s="11"/>
      <c r="H3303" s="11"/>
      <c r="I3303" s="11"/>
      <c r="J3303" s="9"/>
      <c r="P3303" s="15"/>
    </row>
    <row r="3304">
      <c r="A3304" s="12"/>
      <c r="B3304" s="12"/>
      <c r="C3304" s="5"/>
      <c r="D3304" s="11"/>
      <c r="E3304" s="11"/>
      <c r="F3304" s="11"/>
      <c r="G3304" s="11"/>
      <c r="H3304" s="11"/>
      <c r="I3304" s="11"/>
      <c r="J3304" s="9"/>
      <c r="P3304" s="15"/>
    </row>
    <row r="3305">
      <c r="A3305" s="12"/>
      <c r="B3305" s="12"/>
      <c r="C3305" s="5"/>
      <c r="D3305" s="11"/>
      <c r="E3305" s="11"/>
      <c r="F3305" s="11"/>
      <c r="G3305" s="11"/>
      <c r="H3305" s="11"/>
      <c r="I3305" s="11"/>
      <c r="J3305" s="9"/>
      <c r="P3305" s="15"/>
    </row>
    <row r="3306">
      <c r="A3306" s="12"/>
      <c r="B3306" s="12"/>
      <c r="C3306" s="5"/>
      <c r="D3306" s="11"/>
      <c r="E3306" s="11"/>
      <c r="F3306" s="11"/>
      <c r="G3306" s="11"/>
      <c r="H3306" s="11"/>
      <c r="I3306" s="11"/>
      <c r="J3306" s="9"/>
      <c r="P3306" s="15"/>
    </row>
    <row r="3307">
      <c r="A3307" s="12"/>
      <c r="B3307" s="12"/>
      <c r="C3307" s="5"/>
      <c r="D3307" s="11"/>
      <c r="E3307" s="11"/>
      <c r="F3307" s="11"/>
      <c r="G3307" s="11"/>
      <c r="H3307" s="11"/>
      <c r="I3307" s="11"/>
      <c r="J3307" s="9"/>
      <c r="P3307" s="15"/>
    </row>
    <row r="3308">
      <c r="A3308" s="12"/>
      <c r="B3308" s="12"/>
      <c r="C3308" s="5"/>
      <c r="D3308" s="11"/>
      <c r="E3308" s="11"/>
      <c r="F3308" s="11"/>
      <c r="G3308" s="11"/>
      <c r="H3308" s="11"/>
      <c r="I3308" s="11"/>
      <c r="J3308" s="9"/>
      <c r="P3308" s="15"/>
    </row>
    <row r="3309">
      <c r="A3309" s="12"/>
      <c r="B3309" s="12"/>
      <c r="C3309" s="5"/>
      <c r="D3309" s="11"/>
      <c r="E3309" s="11"/>
      <c r="F3309" s="11"/>
      <c r="G3309" s="11"/>
      <c r="H3309" s="11"/>
      <c r="I3309" s="11"/>
      <c r="J3309" s="9"/>
      <c r="P3309" s="15"/>
    </row>
    <row r="3310">
      <c r="A3310" s="12"/>
      <c r="B3310" s="12"/>
      <c r="C3310" s="5"/>
      <c r="D3310" s="11"/>
      <c r="E3310" s="11"/>
      <c r="F3310" s="11"/>
      <c r="G3310" s="11"/>
      <c r="H3310" s="11"/>
      <c r="I3310" s="11"/>
      <c r="J3310" s="9"/>
      <c r="P3310" s="15"/>
    </row>
    <row r="3311">
      <c r="A3311" s="12"/>
      <c r="B3311" s="12"/>
      <c r="C3311" s="5"/>
      <c r="D3311" s="11"/>
      <c r="E3311" s="11"/>
      <c r="F3311" s="11"/>
      <c r="G3311" s="11"/>
      <c r="H3311" s="11"/>
      <c r="I3311" s="11"/>
      <c r="J3311" s="9"/>
      <c r="P3311" s="15"/>
    </row>
    <row r="3312">
      <c r="A3312" s="12"/>
      <c r="B3312" s="12"/>
      <c r="C3312" s="5"/>
      <c r="D3312" s="11"/>
      <c r="E3312" s="11"/>
      <c r="F3312" s="11"/>
      <c r="G3312" s="11"/>
      <c r="H3312" s="11"/>
      <c r="I3312" s="11"/>
      <c r="J3312" s="9"/>
      <c r="P3312" s="15"/>
    </row>
    <row r="3313">
      <c r="A3313" s="12"/>
      <c r="B3313" s="12"/>
      <c r="C3313" s="5"/>
      <c r="D3313" s="11"/>
      <c r="E3313" s="11"/>
      <c r="F3313" s="11"/>
      <c r="G3313" s="11"/>
      <c r="H3313" s="11"/>
      <c r="I3313" s="11"/>
      <c r="J3313" s="9"/>
      <c r="P3313" s="15"/>
    </row>
    <row r="3314">
      <c r="A3314" s="12"/>
      <c r="B3314" s="12"/>
      <c r="C3314" s="5"/>
      <c r="D3314" s="11"/>
      <c r="E3314" s="11"/>
      <c r="F3314" s="11"/>
      <c r="G3314" s="11"/>
      <c r="H3314" s="11"/>
      <c r="I3314" s="11"/>
      <c r="J3314" s="9"/>
      <c r="P3314" s="15"/>
    </row>
    <row r="3315">
      <c r="A3315" s="12"/>
      <c r="B3315" s="12"/>
      <c r="C3315" s="5"/>
      <c r="D3315" s="11"/>
      <c r="E3315" s="11"/>
      <c r="F3315" s="11"/>
      <c r="G3315" s="11"/>
      <c r="H3315" s="11"/>
      <c r="I3315" s="11"/>
      <c r="J3315" s="9"/>
      <c r="P3315" s="15"/>
    </row>
    <row r="3316">
      <c r="A3316" s="12"/>
      <c r="B3316" s="12"/>
      <c r="C3316" s="5"/>
      <c r="D3316" s="11"/>
      <c r="E3316" s="11"/>
      <c r="F3316" s="11"/>
      <c r="G3316" s="11"/>
      <c r="H3316" s="11"/>
      <c r="I3316" s="11"/>
      <c r="J3316" s="9"/>
      <c r="P3316" s="15"/>
    </row>
    <row r="3317">
      <c r="A3317" s="12"/>
      <c r="B3317" s="12"/>
      <c r="C3317" s="5"/>
      <c r="D3317" s="11"/>
      <c r="E3317" s="11"/>
      <c r="F3317" s="11"/>
      <c r="G3317" s="11"/>
      <c r="H3317" s="11"/>
      <c r="I3317" s="11"/>
      <c r="J3317" s="9"/>
      <c r="P3317" s="15"/>
    </row>
    <row r="3318">
      <c r="A3318" s="12"/>
      <c r="B3318" s="12"/>
      <c r="C3318" s="5"/>
      <c r="D3318" s="11"/>
      <c r="E3318" s="11"/>
      <c r="F3318" s="11"/>
      <c r="G3318" s="11"/>
      <c r="H3318" s="11"/>
      <c r="I3318" s="11"/>
      <c r="J3318" s="9"/>
      <c r="P3318" s="15"/>
    </row>
    <row r="3319">
      <c r="A3319" s="12"/>
      <c r="B3319" s="12"/>
      <c r="C3319" s="5"/>
      <c r="D3319" s="11"/>
      <c r="E3319" s="11"/>
      <c r="F3319" s="11"/>
      <c r="G3319" s="11"/>
      <c r="H3319" s="11"/>
      <c r="I3319" s="11"/>
      <c r="J3319" s="9"/>
      <c r="P3319" s="15"/>
    </row>
    <row r="3320">
      <c r="A3320" s="12"/>
      <c r="B3320" s="12"/>
      <c r="C3320" s="5"/>
      <c r="D3320" s="11"/>
      <c r="E3320" s="11"/>
      <c r="F3320" s="11"/>
      <c r="G3320" s="11"/>
      <c r="H3320" s="11"/>
      <c r="I3320" s="11"/>
      <c r="J3320" s="9"/>
      <c r="P3320" s="15"/>
    </row>
    <row r="3321">
      <c r="A3321" s="12"/>
      <c r="B3321" s="12"/>
      <c r="C3321" s="5"/>
      <c r="D3321" s="11"/>
      <c r="E3321" s="11"/>
      <c r="F3321" s="11"/>
      <c r="G3321" s="11"/>
      <c r="H3321" s="11"/>
      <c r="I3321" s="11"/>
      <c r="J3321" s="9"/>
      <c r="P3321" s="15"/>
    </row>
    <row r="3322">
      <c r="A3322" s="12"/>
      <c r="B3322" s="12"/>
      <c r="C3322" s="5"/>
      <c r="D3322" s="11"/>
      <c r="E3322" s="11"/>
      <c r="F3322" s="11"/>
      <c r="G3322" s="11"/>
      <c r="H3322" s="11"/>
      <c r="I3322" s="11"/>
      <c r="J3322" s="9"/>
      <c r="P3322" s="15"/>
    </row>
    <row r="3323">
      <c r="A3323" s="12"/>
      <c r="B3323" s="12"/>
      <c r="C3323" s="5"/>
      <c r="D3323" s="11"/>
      <c r="E3323" s="11"/>
      <c r="F3323" s="11"/>
      <c r="G3323" s="11"/>
      <c r="H3323" s="11"/>
      <c r="I3323" s="11"/>
      <c r="J3323" s="9"/>
      <c r="P3323" s="15"/>
    </row>
    <row r="3324">
      <c r="A3324" s="12"/>
      <c r="B3324" s="12"/>
      <c r="C3324" s="5"/>
      <c r="D3324" s="11"/>
      <c r="E3324" s="11"/>
      <c r="F3324" s="11"/>
      <c r="G3324" s="11"/>
      <c r="H3324" s="11"/>
      <c r="I3324" s="11"/>
      <c r="J3324" s="9"/>
      <c r="P3324" s="15"/>
    </row>
    <row r="3325">
      <c r="A3325" s="12"/>
      <c r="B3325" s="12"/>
      <c r="C3325" s="5"/>
      <c r="D3325" s="11"/>
      <c r="E3325" s="11"/>
      <c r="F3325" s="11"/>
      <c r="G3325" s="11"/>
      <c r="H3325" s="11"/>
      <c r="I3325" s="11"/>
      <c r="J3325" s="9"/>
      <c r="P3325" s="15"/>
    </row>
    <row r="3326">
      <c r="A3326" s="12"/>
      <c r="B3326" s="12"/>
      <c r="C3326" s="5"/>
      <c r="D3326" s="11"/>
      <c r="E3326" s="11"/>
      <c r="F3326" s="11"/>
      <c r="G3326" s="11"/>
      <c r="H3326" s="11"/>
      <c r="I3326" s="11"/>
      <c r="J3326" s="9"/>
      <c r="P3326" s="15"/>
    </row>
    <row r="3327">
      <c r="A3327" s="12"/>
      <c r="B3327" s="12"/>
      <c r="C3327" s="5"/>
      <c r="D3327" s="11"/>
      <c r="E3327" s="11"/>
      <c r="F3327" s="11"/>
      <c r="G3327" s="11"/>
      <c r="H3327" s="11"/>
      <c r="I3327" s="11"/>
      <c r="J3327" s="9"/>
      <c r="P3327" s="15"/>
    </row>
    <row r="3328">
      <c r="A3328" s="12"/>
      <c r="B3328" s="12"/>
      <c r="C3328" s="5"/>
      <c r="D3328" s="11"/>
      <c r="E3328" s="11"/>
      <c r="F3328" s="11"/>
      <c r="G3328" s="11"/>
      <c r="H3328" s="11"/>
      <c r="I3328" s="11"/>
      <c r="J3328" s="9"/>
      <c r="P3328" s="15"/>
    </row>
    <row r="3329">
      <c r="A3329" s="12"/>
      <c r="B3329" s="12"/>
      <c r="C3329" s="5"/>
      <c r="D3329" s="11"/>
      <c r="E3329" s="11"/>
      <c r="F3329" s="11"/>
      <c r="G3329" s="11"/>
      <c r="H3329" s="11"/>
      <c r="I3329" s="11"/>
      <c r="J3329" s="9"/>
      <c r="P3329" s="15"/>
    </row>
    <row r="3330">
      <c r="A3330" s="12"/>
      <c r="B3330" s="12"/>
      <c r="C3330" s="5"/>
      <c r="D3330" s="11"/>
      <c r="E3330" s="11"/>
      <c r="F3330" s="11"/>
      <c r="G3330" s="11"/>
      <c r="H3330" s="11"/>
      <c r="I3330" s="11"/>
      <c r="J3330" s="9"/>
      <c r="P3330" s="15"/>
    </row>
    <row r="3331">
      <c r="A3331" s="12"/>
      <c r="B3331" s="12"/>
      <c r="C3331" s="5"/>
      <c r="D3331" s="11"/>
      <c r="E3331" s="11"/>
      <c r="F3331" s="11"/>
      <c r="G3331" s="11"/>
      <c r="H3331" s="11"/>
      <c r="I3331" s="11"/>
      <c r="J3331" s="9"/>
      <c r="P3331" s="15"/>
    </row>
    <row r="3332">
      <c r="A3332" s="12"/>
      <c r="B3332" s="12"/>
      <c r="C3332" s="5"/>
      <c r="D3332" s="11"/>
      <c r="E3332" s="11"/>
      <c r="F3332" s="11"/>
      <c r="G3332" s="11"/>
      <c r="H3332" s="11"/>
      <c r="I3332" s="11"/>
      <c r="J3332" s="9"/>
      <c r="P3332" s="15"/>
    </row>
    <row r="3333">
      <c r="A3333" s="12"/>
      <c r="B3333" s="12"/>
      <c r="C3333" s="5"/>
      <c r="D3333" s="11"/>
      <c r="E3333" s="11"/>
      <c r="F3333" s="11"/>
      <c r="G3333" s="11"/>
      <c r="H3333" s="11"/>
      <c r="I3333" s="11"/>
      <c r="J3333" s="9"/>
      <c r="P3333" s="15"/>
    </row>
    <row r="3334">
      <c r="A3334" s="12"/>
      <c r="B3334" s="12"/>
      <c r="C3334" s="5"/>
      <c r="D3334" s="11"/>
      <c r="E3334" s="11"/>
      <c r="F3334" s="11"/>
      <c r="G3334" s="11"/>
      <c r="H3334" s="11"/>
      <c r="I3334" s="11"/>
      <c r="J3334" s="9"/>
      <c r="P3334" s="15"/>
    </row>
    <row r="3335">
      <c r="A3335" s="12"/>
      <c r="B3335" s="12"/>
      <c r="C3335" s="5"/>
      <c r="D3335" s="11"/>
      <c r="E3335" s="11"/>
      <c r="F3335" s="11"/>
      <c r="G3335" s="11"/>
      <c r="H3335" s="11"/>
      <c r="I3335" s="11"/>
      <c r="J3335" s="9"/>
      <c r="P3335" s="15"/>
    </row>
    <row r="3336">
      <c r="A3336" s="12"/>
      <c r="B3336" s="12"/>
      <c r="C3336" s="5"/>
      <c r="D3336" s="11"/>
      <c r="E3336" s="11"/>
      <c r="F3336" s="11"/>
      <c r="G3336" s="11"/>
      <c r="H3336" s="11"/>
      <c r="I3336" s="11"/>
      <c r="J3336" s="9"/>
      <c r="P3336" s="15"/>
    </row>
    <row r="3337">
      <c r="A3337" s="12"/>
      <c r="B3337" s="12"/>
      <c r="C3337" s="5"/>
      <c r="D3337" s="11"/>
      <c r="E3337" s="11"/>
      <c r="F3337" s="11"/>
      <c r="G3337" s="11"/>
      <c r="H3337" s="11"/>
      <c r="I3337" s="11"/>
      <c r="J3337" s="9"/>
      <c r="P3337" s="15"/>
    </row>
    <row r="3338">
      <c r="A3338" s="12"/>
      <c r="B3338" s="12"/>
      <c r="C3338" s="5"/>
      <c r="D3338" s="11"/>
      <c r="E3338" s="11"/>
      <c r="F3338" s="11"/>
      <c r="G3338" s="11"/>
      <c r="H3338" s="11"/>
      <c r="I3338" s="11"/>
      <c r="J3338" s="9"/>
      <c r="P3338" s="15"/>
    </row>
    <row r="3339">
      <c r="A3339" s="12"/>
      <c r="B3339" s="12"/>
      <c r="C3339" s="5"/>
      <c r="D3339" s="11"/>
      <c r="E3339" s="11"/>
      <c r="F3339" s="11"/>
      <c r="G3339" s="11"/>
      <c r="H3339" s="11"/>
      <c r="I3339" s="11"/>
      <c r="J3339" s="9"/>
      <c r="P3339" s="15"/>
    </row>
    <row r="3340">
      <c r="A3340" s="12"/>
      <c r="B3340" s="12"/>
      <c r="C3340" s="5"/>
      <c r="D3340" s="11"/>
      <c r="E3340" s="11"/>
      <c r="F3340" s="11"/>
      <c r="G3340" s="11"/>
      <c r="H3340" s="11"/>
      <c r="I3340" s="11"/>
      <c r="J3340" s="9"/>
      <c r="P3340" s="15"/>
    </row>
    <row r="3341">
      <c r="A3341" s="12"/>
      <c r="B3341" s="12"/>
      <c r="C3341" s="5"/>
      <c r="D3341" s="11"/>
      <c r="E3341" s="11"/>
      <c r="F3341" s="11"/>
      <c r="G3341" s="11"/>
      <c r="H3341" s="11"/>
      <c r="I3341" s="11"/>
      <c r="J3341" s="9"/>
      <c r="P3341" s="15"/>
    </row>
    <row r="3342">
      <c r="A3342" s="12"/>
      <c r="B3342" s="12"/>
      <c r="C3342" s="5"/>
      <c r="D3342" s="11"/>
      <c r="E3342" s="11"/>
      <c r="F3342" s="11"/>
      <c r="G3342" s="11"/>
      <c r="H3342" s="11"/>
      <c r="I3342" s="11"/>
      <c r="J3342" s="9"/>
      <c r="P3342" s="15"/>
    </row>
    <row r="3343">
      <c r="A3343" s="12"/>
      <c r="B3343" s="12"/>
      <c r="C3343" s="5"/>
      <c r="D3343" s="11"/>
      <c r="E3343" s="11"/>
      <c r="F3343" s="11"/>
      <c r="G3343" s="11"/>
      <c r="H3343" s="11"/>
      <c r="I3343" s="11"/>
      <c r="J3343" s="9"/>
      <c r="P3343" s="15"/>
    </row>
    <row r="3344">
      <c r="A3344" s="12"/>
      <c r="B3344" s="12"/>
      <c r="C3344" s="5"/>
      <c r="D3344" s="11"/>
      <c r="E3344" s="11"/>
      <c r="F3344" s="11"/>
      <c r="G3344" s="11"/>
      <c r="H3344" s="11"/>
      <c r="I3344" s="11"/>
      <c r="J3344" s="9"/>
      <c r="P3344" s="15"/>
    </row>
    <row r="3345">
      <c r="A3345" s="12"/>
      <c r="B3345" s="12"/>
      <c r="C3345" s="5"/>
      <c r="D3345" s="11"/>
      <c r="E3345" s="11"/>
      <c r="F3345" s="11"/>
      <c r="G3345" s="11"/>
      <c r="H3345" s="11"/>
      <c r="I3345" s="11"/>
      <c r="J3345" s="9"/>
      <c r="P3345" s="15"/>
    </row>
    <row r="3346">
      <c r="A3346" s="12"/>
      <c r="B3346" s="12"/>
      <c r="C3346" s="5"/>
      <c r="D3346" s="11"/>
      <c r="E3346" s="11"/>
      <c r="F3346" s="11"/>
      <c r="G3346" s="11"/>
      <c r="H3346" s="11"/>
      <c r="I3346" s="11"/>
      <c r="J3346" s="9"/>
      <c r="P3346" s="15"/>
    </row>
    <row r="3347">
      <c r="A3347" s="12"/>
      <c r="B3347" s="12"/>
      <c r="C3347" s="5"/>
      <c r="D3347" s="11"/>
      <c r="E3347" s="11"/>
      <c r="F3347" s="11"/>
      <c r="G3347" s="11"/>
      <c r="H3347" s="11"/>
      <c r="I3347" s="11"/>
      <c r="J3347" s="9"/>
      <c r="P3347" s="15"/>
    </row>
    <row r="3348">
      <c r="A3348" s="12"/>
      <c r="B3348" s="12"/>
      <c r="C3348" s="5"/>
      <c r="D3348" s="11"/>
      <c r="E3348" s="11"/>
      <c r="F3348" s="11"/>
      <c r="G3348" s="11"/>
      <c r="H3348" s="11"/>
      <c r="I3348" s="11"/>
      <c r="J3348" s="9"/>
      <c r="P3348" s="15"/>
    </row>
    <row r="3349">
      <c r="A3349" s="12"/>
      <c r="B3349" s="12"/>
      <c r="C3349" s="5"/>
      <c r="D3349" s="11"/>
      <c r="E3349" s="11"/>
      <c r="F3349" s="11"/>
      <c r="G3349" s="11"/>
      <c r="H3349" s="11"/>
      <c r="I3349" s="11"/>
      <c r="J3349" s="9"/>
      <c r="P3349" s="15"/>
    </row>
    <row r="3350">
      <c r="A3350" s="12"/>
      <c r="B3350" s="12"/>
      <c r="C3350" s="5"/>
      <c r="D3350" s="11"/>
      <c r="E3350" s="11"/>
      <c r="F3350" s="11"/>
      <c r="G3350" s="11"/>
      <c r="H3350" s="11"/>
      <c r="I3350" s="11"/>
      <c r="J3350" s="9"/>
      <c r="P3350" s="15"/>
    </row>
    <row r="3351">
      <c r="A3351" s="12"/>
      <c r="B3351" s="12"/>
      <c r="C3351" s="5"/>
      <c r="D3351" s="11"/>
      <c r="E3351" s="11"/>
      <c r="F3351" s="11"/>
      <c r="G3351" s="11"/>
      <c r="H3351" s="11"/>
      <c r="I3351" s="11"/>
      <c r="J3351" s="9"/>
      <c r="P3351" s="15"/>
    </row>
    <row r="3352">
      <c r="A3352" s="12"/>
      <c r="B3352" s="12"/>
      <c r="C3352" s="5"/>
      <c r="D3352" s="11"/>
      <c r="E3352" s="11"/>
      <c r="F3352" s="11"/>
      <c r="G3352" s="11"/>
      <c r="H3352" s="11"/>
      <c r="I3352" s="11"/>
      <c r="J3352" s="9"/>
      <c r="P3352" s="15"/>
    </row>
    <row r="3353">
      <c r="A3353" s="12"/>
      <c r="B3353" s="12"/>
      <c r="C3353" s="5"/>
      <c r="D3353" s="11"/>
      <c r="E3353" s="11"/>
      <c r="F3353" s="11"/>
      <c r="G3353" s="11"/>
      <c r="H3353" s="11"/>
      <c r="I3353" s="11"/>
      <c r="J3353" s="9"/>
      <c r="P3353" s="15"/>
    </row>
    <row r="3354">
      <c r="A3354" s="12"/>
      <c r="B3354" s="12"/>
      <c r="C3354" s="5"/>
      <c r="D3354" s="11"/>
      <c r="E3354" s="11"/>
      <c r="F3354" s="11"/>
      <c r="G3354" s="11"/>
      <c r="H3354" s="11"/>
      <c r="I3354" s="11"/>
      <c r="J3354" s="9"/>
      <c r="P3354" s="15"/>
    </row>
    <row r="3355">
      <c r="A3355" s="12"/>
      <c r="B3355" s="12"/>
      <c r="C3355" s="5"/>
      <c r="D3355" s="11"/>
      <c r="E3355" s="11"/>
      <c r="F3355" s="11"/>
      <c r="G3355" s="11"/>
      <c r="H3355" s="11"/>
      <c r="I3355" s="11"/>
      <c r="J3355" s="9"/>
      <c r="P3355" s="15"/>
    </row>
    <row r="3356">
      <c r="A3356" s="12"/>
      <c r="B3356" s="12"/>
      <c r="C3356" s="5"/>
      <c r="D3356" s="11"/>
      <c r="E3356" s="11"/>
      <c r="F3356" s="11"/>
      <c r="G3356" s="11"/>
      <c r="H3356" s="11"/>
      <c r="I3356" s="11"/>
      <c r="J3356" s="9"/>
      <c r="P3356" s="15"/>
    </row>
    <row r="3357">
      <c r="A3357" s="12"/>
      <c r="B3357" s="12"/>
      <c r="C3357" s="5"/>
      <c r="D3357" s="11"/>
      <c r="E3357" s="11"/>
      <c r="F3357" s="11"/>
      <c r="G3357" s="11"/>
      <c r="H3357" s="11"/>
      <c r="I3357" s="11"/>
      <c r="J3357" s="9"/>
      <c r="P3357" s="15"/>
    </row>
    <row r="3358">
      <c r="A3358" s="12"/>
      <c r="B3358" s="12"/>
      <c r="C3358" s="5"/>
      <c r="D3358" s="11"/>
      <c r="E3358" s="11"/>
      <c r="F3358" s="11"/>
      <c r="G3358" s="11"/>
      <c r="H3358" s="11"/>
      <c r="I3358" s="11"/>
      <c r="J3358" s="9"/>
      <c r="P3358" s="15"/>
    </row>
    <row r="3359">
      <c r="A3359" s="12"/>
      <c r="B3359" s="12"/>
      <c r="C3359" s="5"/>
      <c r="D3359" s="11"/>
      <c r="E3359" s="11"/>
      <c r="F3359" s="11"/>
      <c r="G3359" s="11"/>
      <c r="H3359" s="11"/>
      <c r="I3359" s="11"/>
      <c r="J3359" s="9"/>
      <c r="P3359" s="15"/>
    </row>
    <row r="3360">
      <c r="A3360" s="12"/>
      <c r="B3360" s="12"/>
      <c r="C3360" s="5"/>
      <c r="D3360" s="11"/>
      <c r="E3360" s="11"/>
      <c r="F3360" s="11"/>
      <c r="G3360" s="11"/>
      <c r="H3360" s="11"/>
      <c r="I3360" s="11"/>
      <c r="J3360" s="9"/>
      <c r="P3360" s="15"/>
    </row>
    <row r="3361">
      <c r="A3361" s="12"/>
      <c r="B3361" s="12"/>
      <c r="C3361" s="5"/>
      <c r="D3361" s="11"/>
      <c r="E3361" s="11"/>
      <c r="F3361" s="11"/>
      <c r="G3361" s="11"/>
      <c r="H3361" s="11"/>
      <c r="I3361" s="11"/>
      <c r="J3361" s="9"/>
      <c r="P3361" s="15"/>
    </row>
    <row r="3362">
      <c r="A3362" s="12"/>
      <c r="B3362" s="12"/>
      <c r="C3362" s="5"/>
      <c r="D3362" s="11"/>
      <c r="E3362" s="11"/>
      <c r="F3362" s="11"/>
      <c r="G3362" s="11"/>
      <c r="H3362" s="11"/>
      <c r="I3362" s="11"/>
      <c r="J3362" s="9"/>
      <c r="P3362" s="15"/>
    </row>
    <row r="3363">
      <c r="A3363" s="12"/>
      <c r="B3363" s="12"/>
      <c r="C3363" s="5"/>
      <c r="D3363" s="11"/>
      <c r="E3363" s="11"/>
      <c r="F3363" s="11"/>
      <c r="G3363" s="11"/>
      <c r="H3363" s="11"/>
      <c r="I3363" s="11"/>
      <c r="J3363" s="9"/>
      <c r="P3363" s="15"/>
    </row>
    <row r="3364">
      <c r="A3364" s="12"/>
      <c r="B3364" s="12"/>
      <c r="C3364" s="5"/>
      <c r="D3364" s="11"/>
      <c r="E3364" s="11"/>
      <c r="F3364" s="11"/>
      <c r="G3364" s="11"/>
      <c r="H3364" s="11"/>
      <c r="I3364" s="11"/>
      <c r="J3364" s="9"/>
      <c r="P3364" s="15"/>
    </row>
    <row r="3365">
      <c r="A3365" s="12"/>
      <c r="B3365" s="12"/>
      <c r="C3365" s="5"/>
      <c r="D3365" s="11"/>
      <c r="E3365" s="11"/>
      <c r="F3365" s="11"/>
      <c r="G3365" s="11"/>
      <c r="H3365" s="11"/>
      <c r="I3365" s="11"/>
      <c r="J3365" s="9"/>
      <c r="P3365" s="15"/>
    </row>
    <row r="3366">
      <c r="A3366" s="12"/>
      <c r="B3366" s="12"/>
      <c r="C3366" s="5"/>
      <c r="D3366" s="11"/>
      <c r="E3366" s="11"/>
      <c r="F3366" s="11"/>
      <c r="G3366" s="11"/>
      <c r="H3366" s="11"/>
      <c r="I3366" s="11"/>
      <c r="J3366" s="9"/>
      <c r="P3366" s="15"/>
    </row>
    <row r="3367">
      <c r="A3367" s="12"/>
      <c r="B3367" s="12"/>
      <c r="C3367" s="5"/>
      <c r="D3367" s="11"/>
      <c r="E3367" s="11"/>
      <c r="F3367" s="11"/>
      <c r="G3367" s="11"/>
      <c r="H3367" s="11"/>
      <c r="I3367" s="11"/>
      <c r="J3367" s="9"/>
      <c r="P3367" s="15"/>
    </row>
    <row r="3368">
      <c r="A3368" s="12"/>
      <c r="B3368" s="12"/>
      <c r="C3368" s="5"/>
      <c r="D3368" s="11"/>
      <c r="E3368" s="11"/>
      <c r="F3368" s="11"/>
      <c r="G3368" s="11"/>
      <c r="H3368" s="11"/>
      <c r="I3368" s="11"/>
      <c r="J3368" s="9"/>
      <c r="P3368" s="15"/>
    </row>
    <row r="3369">
      <c r="A3369" s="12"/>
      <c r="B3369" s="12"/>
      <c r="C3369" s="5"/>
      <c r="D3369" s="11"/>
      <c r="E3369" s="11"/>
      <c r="F3369" s="11"/>
      <c r="G3369" s="11"/>
      <c r="H3369" s="11"/>
      <c r="I3369" s="11"/>
      <c r="J3369" s="9"/>
      <c r="P3369" s="15"/>
    </row>
    <row r="3370">
      <c r="A3370" s="12"/>
      <c r="B3370" s="12"/>
      <c r="C3370" s="5"/>
      <c r="D3370" s="11"/>
      <c r="E3370" s="11"/>
      <c r="F3370" s="11"/>
      <c r="G3370" s="11"/>
      <c r="H3370" s="11"/>
      <c r="I3370" s="11"/>
      <c r="J3370" s="9"/>
      <c r="P3370" s="15"/>
    </row>
    <row r="3371">
      <c r="A3371" s="12"/>
      <c r="B3371" s="12"/>
      <c r="C3371" s="5"/>
      <c r="D3371" s="11"/>
      <c r="E3371" s="11"/>
      <c r="F3371" s="11"/>
      <c r="G3371" s="11"/>
      <c r="H3371" s="11"/>
      <c r="I3371" s="11"/>
      <c r="J3371" s="9"/>
      <c r="P3371" s="15"/>
    </row>
    <row r="3372">
      <c r="A3372" s="12"/>
      <c r="B3372" s="12"/>
      <c r="C3372" s="5"/>
      <c r="D3372" s="11"/>
      <c r="E3372" s="11"/>
      <c r="F3372" s="11"/>
      <c r="G3372" s="11"/>
      <c r="H3372" s="11"/>
      <c r="I3372" s="11"/>
      <c r="J3372" s="9"/>
      <c r="P3372" s="15"/>
    </row>
    <row r="3373">
      <c r="A3373" s="12"/>
      <c r="B3373" s="12"/>
      <c r="C3373" s="5"/>
      <c r="D3373" s="11"/>
      <c r="E3373" s="11"/>
      <c r="F3373" s="11"/>
      <c r="G3373" s="11"/>
      <c r="H3373" s="11"/>
      <c r="I3373" s="11"/>
      <c r="J3373" s="9"/>
      <c r="P3373" s="15"/>
    </row>
    <row r="3374">
      <c r="A3374" s="12"/>
      <c r="B3374" s="12"/>
      <c r="C3374" s="5"/>
      <c r="D3374" s="11"/>
      <c r="E3374" s="11"/>
      <c r="F3374" s="11"/>
      <c r="G3374" s="11"/>
      <c r="H3374" s="11"/>
      <c r="I3374" s="11"/>
      <c r="J3374" s="9"/>
      <c r="P3374" s="15"/>
    </row>
    <row r="3375">
      <c r="A3375" s="12"/>
      <c r="B3375" s="12"/>
      <c r="C3375" s="5"/>
      <c r="D3375" s="11"/>
      <c r="E3375" s="11"/>
      <c r="F3375" s="11"/>
      <c r="G3375" s="11"/>
      <c r="H3375" s="11"/>
      <c r="I3375" s="11"/>
      <c r="J3375" s="9"/>
      <c r="P3375" s="15"/>
    </row>
    <row r="3376">
      <c r="A3376" s="12"/>
      <c r="B3376" s="12"/>
      <c r="C3376" s="5"/>
      <c r="D3376" s="11"/>
      <c r="E3376" s="11"/>
      <c r="F3376" s="11"/>
      <c r="G3376" s="11"/>
      <c r="H3376" s="11"/>
      <c r="I3376" s="11"/>
      <c r="J3376" s="9"/>
      <c r="P3376" s="15"/>
    </row>
    <row r="3377">
      <c r="A3377" s="12"/>
      <c r="B3377" s="12"/>
      <c r="C3377" s="5"/>
      <c r="D3377" s="11"/>
      <c r="E3377" s="11"/>
      <c r="F3377" s="11"/>
      <c r="G3377" s="11"/>
      <c r="H3377" s="11"/>
      <c r="I3377" s="11"/>
      <c r="J3377" s="9"/>
      <c r="P3377" s="15"/>
    </row>
    <row r="3378">
      <c r="A3378" s="12"/>
      <c r="B3378" s="12"/>
      <c r="C3378" s="5"/>
      <c r="D3378" s="11"/>
      <c r="E3378" s="11"/>
      <c r="F3378" s="11"/>
      <c r="G3378" s="11"/>
      <c r="H3378" s="11"/>
      <c r="I3378" s="11"/>
      <c r="J3378" s="9"/>
      <c r="P3378" s="15"/>
    </row>
    <row r="3379">
      <c r="A3379" s="12"/>
      <c r="B3379" s="12"/>
      <c r="C3379" s="5"/>
      <c r="D3379" s="11"/>
      <c r="E3379" s="11"/>
      <c r="F3379" s="11"/>
      <c r="G3379" s="11"/>
      <c r="H3379" s="11"/>
      <c r="I3379" s="11"/>
      <c r="J3379" s="9"/>
      <c r="P3379" s="15"/>
    </row>
    <row r="3380">
      <c r="A3380" s="12"/>
      <c r="B3380" s="12"/>
      <c r="C3380" s="5"/>
      <c r="D3380" s="11"/>
      <c r="E3380" s="11"/>
      <c r="F3380" s="11"/>
      <c r="G3380" s="11"/>
      <c r="H3380" s="11"/>
      <c r="I3380" s="11"/>
      <c r="J3380" s="9"/>
      <c r="P3380" s="15"/>
    </row>
    <row r="3381">
      <c r="A3381" s="12"/>
      <c r="B3381" s="12"/>
      <c r="C3381" s="5"/>
      <c r="D3381" s="11"/>
      <c r="E3381" s="11"/>
      <c r="F3381" s="11"/>
      <c r="G3381" s="11"/>
      <c r="H3381" s="11"/>
      <c r="I3381" s="11"/>
      <c r="J3381" s="9"/>
      <c r="P3381" s="15"/>
    </row>
    <row r="3382">
      <c r="A3382" s="12"/>
      <c r="B3382" s="12"/>
      <c r="C3382" s="5"/>
      <c r="D3382" s="11"/>
      <c r="E3382" s="11"/>
      <c r="F3382" s="11"/>
      <c r="G3382" s="11"/>
      <c r="H3382" s="11"/>
      <c r="I3382" s="11"/>
      <c r="J3382" s="9"/>
      <c r="P3382" s="15"/>
    </row>
    <row r="3383">
      <c r="A3383" s="12"/>
      <c r="B3383" s="12"/>
      <c r="C3383" s="5"/>
      <c r="D3383" s="11"/>
      <c r="E3383" s="11"/>
      <c r="F3383" s="11"/>
      <c r="G3383" s="11"/>
      <c r="H3383" s="11"/>
      <c r="I3383" s="11"/>
      <c r="J3383" s="9"/>
      <c r="P3383" s="15"/>
    </row>
    <row r="3384">
      <c r="A3384" s="12"/>
      <c r="B3384" s="12"/>
      <c r="C3384" s="5"/>
      <c r="D3384" s="11"/>
      <c r="E3384" s="11"/>
      <c r="F3384" s="11"/>
      <c r="G3384" s="11"/>
      <c r="H3384" s="11"/>
      <c r="I3384" s="11"/>
      <c r="J3384" s="9"/>
      <c r="P3384" s="15"/>
    </row>
    <row r="3385">
      <c r="A3385" s="12"/>
      <c r="B3385" s="12"/>
      <c r="C3385" s="5"/>
      <c r="D3385" s="11"/>
      <c r="E3385" s="11"/>
      <c r="F3385" s="11"/>
      <c r="G3385" s="11"/>
      <c r="H3385" s="11"/>
      <c r="I3385" s="11"/>
      <c r="J3385" s="9"/>
      <c r="P3385" s="15"/>
    </row>
    <row r="3386">
      <c r="A3386" s="12"/>
      <c r="B3386" s="12"/>
      <c r="C3386" s="5"/>
      <c r="D3386" s="11"/>
      <c r="E3386" s="11"/>
      <c r="F3386" s="11"/>
      <c r="G3386" s="11"/>
      <c r="H3386" s="11"/>
      <c r="I3386" s="11"/>
      <c r="J3386" s="9"/>
      <c r="P3386" s="15"/>
    </row>
    <row r="3387">
      <c r="A3387" s="12"/>
      <c r="B3387" s="12"/>
      <c r="C3387" s="5"/>
      <c r="D3387" s="11"/>
      <c r="E3387" s="11"/>
      <c r="F3387" s="11"/>
      <c r="G3387" s="11"/>
      <c r="H3387" s="11"/>
      <c r="I3387" s="11"/>
      <c r="J3387" s="9"/>
      <c r="P3387" s="15"/>
    </row>
    <row r="3388">
      <c r="A3388" s="12"/>
      <c r="B3388" s="12"/>
      <c r="C3388" s="5"/>
      <c r="D3388" s="11"/>
      <c r="E3388" s="11"/>
      <c r="F3388" s="11"/>
      <c r="G3388" s="11"/>
      <c r="H3388" s="11"/>
      <c r="I3388" s="11"/>
      <c r="J3388" s="9"/>
      <c r="P3388" s="15"/>
    </row>
    <row r="3389">
      <c r="A3389" s="12"/>
      <c r="B3389" s="12"/>
      <c r="C3389" s="5"/>
      <c r="D3389" s="11"/>
      <c r="E3389" s="11"/>
      <c r="F3389" s="11"/>
      <c r="G3389" s="11"/>
      <c r="H3389" s="11"/>
      <c r="I3389" s="11"/>
      <c r="J3389" s="9"/>
      <c r="P3389" s="15"/>
    </row>
    <row r="3390">
      <c r="A3390" s="12"/>
      <c r="B3390" s="12"/>
      <c r="C3390" s="5"/>
      <c r="D3390" s="11"/>
      <c r="E3390" s="11"/>
      <c r="F3390" s="11"/>
      <c r="G3390" s="11"/>
      <c r="H3390" s="11"/>
      <c r="I3390" s="11"/>
      <c r="J3390" s="9"/>
      <c r="P3390" s="15"/>
    </row>
    <row r="3391">
      <c r="A3391" s="12"/>
      <c r="B3391" s="12"/>
      <c r="C3391" s="5"/>
      <c r="D3391" s="11"/>
      <c r="E3391" s="11"/>
      <c r="F3391" s="11"/>
      <c r="G3391" s="11"/>
      <c r="H3391" s="11"/>
      <c r="I3391" s="11"/>
      <c r="J3391" s="9"/>
      <c r="P3391" s="15"/>
    </row>
    <row r="3392">
      <c r="A3392" s="12"/>
      <c r="B3392" s="12"/>
      <c r="C3392" s="5"/>
      <c r="D3392" s="11"/>
      <c r="E3392" s="11"/>
      <c r="F3392" s="11"/>
      <c r="G3392" s="11"/>
      <c r="H3392" s="11"/>
      <c r="I3392" s="11"/>
      <c r="J3392" s="9"/>
      <c r="P3392" s="15"/>
    </row>
    <row r="3393">
      <c r="A3393" s="12"/>
      <c r="B3393" s="12"/>
      <c r="C3393" s="5"/>
      <c r="D3393" s="11"/>
      <c r="E3393" s="11"/>
      <c r="F3393" s="11"/>
      <c r="G3393" s="11"/>
      <c r="H3393" s="11"/>
      <c r="I3393" s="11"/>
      <c r="J3393" s="9"/>
      <c r="P3393" s="15"/>
    </row>
    <row r="3394">
      <c r="A3394" s="12"/>
      <c r="B3394" s="12"/>
      <c r="C3394" s="5"/>
      <c r="D3394" s="11"/>
      <c r="E3394" s="11"/>
      <c r="F3394" s="11"/>
      <c r="G3394" s="11"/>
      <c r="H3394" s="11"/>
      <c r="I3394" s="11"/>
      <c r="J3394" s="9"/>
      <c r="P3394" s="15"/>
    </row>
    <row r="3395">
      <c r="A3395" s="12"/>
      <c r="B3395" s="12"/>
      <c r="C3395" s="5"/>
      <c r="D3395" s="11"/>
      <c r="E3395" s="11"/>
      <c r="F3395" s="11"/>
      <c r="G3395" s="11"/>
      <c r="H3395" s="11"/>
      <c r="I3395" s="11"/>
      <c r="J3395" s="9"/>
      <c r="P3395" s="15"/>
    </row>
    <row r="3396">
      <c r="A3396" s="12"/>
      <c r="B3396" s="12"/>
      <c r="C3396" s="5"/>
      <c r="D3396" s="11"/>
      <c r="E3396" s="11"/>
      <c r="F3396" s="11"/>
      <c r="G3396" s="11"/>
      <c r="H3396" s="11"/>
      <c r="I3396" s="11"/>
      <c r="J3396" s="9"/>
      <c r="P3396" s="15"/>
    </row>
    <row r="3397">
      <c r="A3397" s="12"/>
      <c r="B3397" s="12"/>
      <c r="C3397" s="5"/>
      <c r="D3397" s="11"/>
      <c r="E3397" s="11"/>
      <c r="F3397" s="11"/>
      <c r="G3397" s="11"/>
      <c r="H3397" s="11"/>
      <c r="I3397" s="11"/>
      <c r="J3397" s="9"/>
      <c r="P3397" s="15"/>
    </row>
    <row r="3398">
      <c r="A3398" s="12"/>
      <c r="B3398" s="12"/>
      <c r="C3398" s="5"/>
      <c r="D3398" s="11"/>
      <c r="E3398" s="11"/>
      <c r="F3398" s="11"/>
      <c r="G3398" s="11"/>
      <c r="H3398" s="11"/>
      <c r="I3398" s="11"/>
      <c r="J3398" s="9"/>
      <c r="P3398" s="15"/>
    </row>
    <row r="3399">
      <c r="A3399" s="12"/>
      <c r="B3399" s="12"/>
      <c r="C3399" s="5"/>
      <c r="D3399" s="11"/>
      <c r="E3399" s="11"/>
      <c r="F3399" s="11"/>
      <c r="G3399" s="11"/>
      <c r="H3399" s="11"/>
      <c r="I3399" s="11"/>
      <c r="J3399" s="9"/>
      <c r="P3399" s="15"/>
    </row>
    <row r="3400">
      <c r="A3400" s="12"/>
      <c r="B3400" s="12"/>
      <c r="C3400" s="5"/>
      <c r="D3400" s="11"/>
      <c r="E3400" s="11"/>
      <c r="F3400" s="11"/>
      <c r="G3400" s="11"/>
      <c r="H3400" s="11"/>
      <c r="I3400" s="11"/>
      <c r="J3400" s="9"/>
      <c r="P3400" s="15"/>
    </row>
    <row r="3401">
      <c r="A3401" s="12"/>
      <c r="B3401" s="12"/>
      <c r="C3401" s="5"/>
      <c r="D3401" s="11"/>
      <c r="E3401" s="11"/>
      <c r="F3401" s="11"/>
      <c r="G3401" s="11"/>
      <c r="H3401" s="11"/>
      <c r="I3401" s="11"/>
      <c r="J3401" s="9"/>
      <c r="P3401" s="15"/>
    </row>
    <row r="3402">
      <c r="A3402" s="12"/>
      <c r="B3402" s="12"/>
      <c r="C3402" s="5"/>
      <c r="D3402" s="11"/>
      <c r="E3402" s="11"/>
      <c r="F3402" s="11"/>
      <c r="G3402" s="11"/>
      <c r="H3402" s="11"/>
      <c r="I3402" s="11"/>
      <c r="J3402" s="9"/>
      <c r="P3402" s="15"/>
    </row>
    <row r="3403">
      <c r="A3403" s="12"/>
      <c r="B3403" s="12"/>
      <c r="C3403" s="5"/>
      <c r="D3403" s="11"/>
      <c r="E3403" s="11"/>
      <c r="F3403" s="11"/>
      <c r="G3403" s="11"/>
      <c r="H3403" s="11"/>
      <c r="I3403" s="11"/>
      <c r="J3403" s="9"/>
      <c r="P3403" s="15"/>
    </row>
    <row r="3404">
      <c r="A3404" s="12"/>
      <c r="B3404" s="12"/>
      <c r="C3404" s="5"/>
      <c r="D3404" s="11"/>
      <c r="E3404" s="11"/>
      <c r="F3404" s="11"/>
      <c r="G3404" s="11"/>
      <c r="H3404" s="11"/>
      <c r="I3404" s="11"/>
      <c r="J3404" s="9"/>
      <c r="P3404" s="15"/>
    </row>
    <row r="3405">
      <c r="A3405" s="12"/>
      <c r="B3405" s="12"/>
      <c r="C3405" s="5"/>
      <c r="D3405" s="11"/>
      <c r="E3405" s="11"/>
      <c r="F3405" s="11"/>
      <c r="G3405" s="11"/>
      <c r="H3405" s="11"/>
      <c r="I3405" s="11"/>
      <c r="J3405" s="9"/>
      <c r="P3405" s="15"/>
    </row>
    <row r="3406">
      <c r="A3406" s="12"/>
      <c r="B3406" s="12"/>
      <c r="C3406" s="5"/>
      <c r="D3406" s="11"/>
      <c r="E3406" s="11"/>
      <c r="F3406" s="11"/>
      <c r="G3406" s="11"/>
      <c r="H3406" s="11"/>
      <c r="I3406" s="11"/>
      <c r="J3406" s="9"/>
      <c r="P3406" s="15"/>
    </row>
    <row r="3407">
      <c r="A3407" s="12"/>
      <c r="B3407" s="12"/>
      <c r="C3407" s="5"/>
      <c r="D3407" s="11"/>
      <c r="E3407" s="11"/>
      <c r="F3407" s="11"/>
      <c r="G3407" s="11"/>
      <c r="H3407" s="11"/>
      <c r="I3407" s="11"/>
      <c r="J3407" s="9"/>
      <c r="P3407" s="15"/>
    </row>
    <row r="3408">
      <c r="A3408" s="12"/>
      <c r="B3408" s="12"/>
      <c r="C3408" s="5"/>
      <c r="D3408" s="11"/>
      <c r="E3408" s="11"/>
      <c r="F3408" s="11"/>
      <c r="G3408" s="11"/>
      <c r="H3408" s="11"/>
      <c r="I3408" s="11"/>
      <c r="J3408" s="9"/>
      <c r="P3408" s="15"/>
    </row>
    <row r="3409">
      <c r="A3409" s="12"/>
      <c r="B3409" s="12"/>
      <c r="C3409" s="5"/>
      <c r="D3409" s="11"/>
      <c r="E3409" s="11"/>
      <c r="F3409" s="11"/>
      <c r="G3409" s="11"/>
      <c r="H3409" s="11"/>
      <c r="I3409" s="11"/>
      <c r="J3409" s="9"/>
      <c r="P3409" s="15"/>
    </row>
    <row r="3410">
      <c r="A3410" s="12"/>
      <c r="B3410" s="12"/>
      <c r="C3410" s="5"/>
      <c r="D3410" s="11"/>
      <c r="E3410" s="11"/>
      <c r="F3410" s="11"/>
      <c r="G3410" s="11"/>
      <c r="H3410" s="11"/>
      <c r="I3410" s="11"/>
      <c r="J3410" s="9"/>
      <c r="P3410" s="15"/>
    </row>
    <row r="3411">
      <c r="A3411" s="12"/>
      <c r="B3411" s="12"/>
      <c r="C3411" s="5"/>
      <c r="D3411" s="11"/>
      <c r="E3411" s="11"/>
      <c r="F3411" s="11"/>
      <c r="G3411" s="11"/>
      <c r="H3411" s="11"/>
      <c r="I3411" s="11"/>
      <c r="J3411" s="9"/>
      <c r="P3411" s="15"/>
    </row>
    <row r="3412">
      <c r="A3412" s="12"/>
      <c r="B3412" s="12"/>
      <c r="C3412" s="5"/>
      <c r="D3412" s="11"/>
      <c r="E3412" s="11"/>
      <c r="F3412" s="11"/>
      <c r="G3412" s="11"/>
      <c r="H3412" s="11"/>
      <c r="I3412" s="11"/>
      <c r="J3412" s="9"/>
      <c r="P3412" s="15"/>
    </row>
    <row r="3413">
      <c r="A3413" s="12"/>
      <c r="B3413" s="12"/>
      <c r="C3413" s="5"/>
      <c r="D3413" s="11"/>
      <c r="E3413" s="11"/>
      <c r="F3413" s="11"/>
      <c r="G3413" s="11"/>
      <c r="H3413" s="11"/>
      <c r="I3413" s="11"/>
      <c r="J3413" s="9"/>
      <c r="P3413" s="15"/>
    </row>
    <row r="3414">
      <c r="A3414" s="12"/>
      <c r="B3414" s="12"/>
      <c r="C3414" s="5"/>
      <c r="D3414" s="11"/>
      <c r="E3414" s="11"/>
      <c r="F3414" s="11"/>
      <c r="G3414" s="11"/>
      <c r="H3414" s="11"/>
      <c r="I3414" s="11"/>
      <c r="J3414" s="9"/>
      <c r="P3414" s="15"/>
    </row>
    <row r="3415">
      <c r="A3415" s="12"/>
      <c r="B3415" s="12"/>
      <c r="C3415" s="5"/>
      <c r="D3415" s="11"/>
      <c r="E3415" s="11"/>
      <c r="F3415" s="11"/>
      <c r="G3415" s="11"/>
      <c r="H3415" s="11"/>
      <c r="I3415" s="11"/>
      <c r="J3415" s="9"/>
      <c r="P3415" s="15"/>
    </row>
    <row r="3416">
      <c r="A3416" s="12"/>
      <c r="B3416" s="12"/>
      <c r="C3416" s="5"/>
      <c r="D3416" s="11"/>
      <c r="E3416" s="11"/>
      <c r="F3416" s="11"/>
      <c r="G3416" s="11"/>
      <c r="H3416" s="11"/>
      <c r="I3416" s="11"/>
      <c r="J3416" s="9"/>
      <c r="P3416" s="15"/>
    </row>
    <row r="3417">
      <c r="A3417" s="12"/>
      <c r="B3417" s="12"/>
      <c r="C3417" s="5"/>
      <c r="D3417" s="11"/>
      <c r="E3417" s="11"/>
      <c r="F3417" s="11"/>
      <c r="G3417" s="11"/>
      <c r="H3417" s="11"/>
      <c r="I3417" s="11"/>
      <c r="J3417" s="9"/>
      <c r="P3417" s="15"/>
    </row>
    <row r="3418">
      <c r="A3418" s="12"/>
      <c r="B3418" s="12"/>
      <c r="C3418" s="5"/>
      <c r="D3418" s="11"/>
      <c r="E3418" s="11"/>
      <c r="F3418" s="11"/>
      <c r="G3418" s="11"/>
      <c r="H3418" s="11"/>
      <c r="I3418" s="11"/>
      <c r="J3418" s="9"/>
      <c r="P3418" s="15"/>
    </row>
    <row r="3419">
      <c r="A3419" s="12"/>
      <c r="B3419" s="12"/>
      <c r="C3419" s="5"/>
      <c r="D3419" s="11"/>
      <c r="E3419" s="11"/>
      <c r="F3419" s="11"/>
      <c r="G3419" s="11"/>
      <c r="H3419" s="11"/>
      <c r="I3419" s="11"/>
      <c r="J3419" s="9"/>
      <c r="P3419" s="15"/>
    </row>
    <row r="3420">
      <c r="A3420" s="12"/>
      <c r="B3420" s="12"/>
      <c r="C3420" s="5"/>
      <c r="D3420" s="11"/>
      <c r="E3420" s="11"/>
      <c r="F3420" s="11"/>
      <c r="G3420" s="11"/>
      <c r="H3420" s="11"/>
      <c r="I3420" s="11"/>
      <c r="J3420" s="9"/>
      <c r="P3420" s="15"/>
    </row>
    <row r="3421">
      <c r="A3421" s="12"/>
      <c r="B3421" s="12"/>
      <c r="C3421" s="5"/>
      <c r="D3421" s="11"/>
      <c r="E3421" s="11"/>
      <c r="F3421" s="11"/>
      <c r="G3421" s="11"/>
      <c r="H3421" s="11"/>
      <c r="I3421" s="11"/>
      <c r="J3421" s="9"/>
      <c r="P3421" s="15"/>
    </row>
    <row r="3422">
      <c r="A3422" s="12"/>
      <c r="B3422" s="12"/>
      <c r="C3422" s="5"/>
      <c r="D3422" s="11"/>
      <c r="E3422" s="11"/>
      <c r="F3422" s="11"/>
      <c r="G3422" s="11"/>
      <c r="H3422" s="11"/>
      <c r="I3422" s="11"/>
      <c r="J3422" s="9"/>
      <c r="P3422" s="15"/>
    </row>
    <row r="3423">
      <c r="A3423" s="12"/>
      <c r="B3423" s="12"/>
      <c r="C3423" s="5"/>
      <c r="D3423" s="11"/>
      <c r="E3423" s="11"/>
      <c r="F3423" s="11"/>
      <c r="G3423" s="11"/>
      <c r="H3423" s="11"/>
      <c r="I3423" s="11"/>
      <c r="J3423" s="9"/>
      <c r="P3423" s="15"/>
    </row>
    <row r="3424">
      <c r="A3424" s="12"/>
      <c r="B3424" s="12"/>
      <c r="C3424" s="5"/>
      <c r="D3424" s="11"/>
      <c r="E3424" s="11"/>
      <c r="F3424" s="11"/>
      <c r="G3424" s="11"/>
      <c r="H3424" s="11"/>
      <c r="I3424" s="11"/>
      <c r="J3424" s="9"/>
      <c r="P3424" s="15"/>
    </row>
    <row r="3425">
      <c r="A3425" s="12"/>
      <c r="B3425" s="12"/>
      <c r="C3425" s="5"/>
      <c r="D3425" s="11"/>
      <c r="E3425" s="11"/>
      <c r="F3425" s="11"/>
      <c r="G3425" s="11"/>
      <c r="H3425" s="11"/>
      <c r="I3425" s="11"/>
      <c r="J3425" s="9"/>
      <c r="P3425" s="15"/>
    </row>
    <row r="3426">
      <c r="A3426" s="12"/>
      <c r="B3426" s="12"/>
      <c r="C3426" s="5"/>
      <c r="D3426" s="11"/>
      <c r="E3426" s="11"/>
      <c r="F3426" s="11"/>
      <c r="G3426" s="11"/>
      <c r="H3426" s="11"/>
      <c r="I3426" s="11"/>
      <c r="J3426" s="9"/>
      <c r="P3426" s="15"/>
    </row>
    <row r="3427">
      <c r="A3427" s="12"/>
      <c r="B3427" s="12"/>
      <c r="C3427" s="5"/>
      <c r="D3427" s="11"/>
      <c r="E3427" s="11"/>
      <c r="F3427" s="11"/>
      <c r="G3427" s="11"/>
      <c r="H3427" s="11"/>
      <c r="I3427" s="11"/>
      <c r="J3427" s="9"/>
      <c r="P3427" s="15"/>
    </row>
    <row r="3428">
      <c r="A3428" s="12"/>
      <c r="B3428" s="12"/>
      <c r="C3428" s="5"/>
      <c r="D3428" s="11"/>
      <c r="E3428" s="11"/>
      <c r="F3428" s="11"/>
      <c r="G3428" s="11"/>
      <c r="H3428" s="11"/>
      <c r="I3428" s="11"/>
      <c r="J3428" s="9"/>
      <c r="P3428" s="15"/>
    </row>
    <row r="3429">
      <c r="A3429" s="12"/>
      <c r="B3429" s="12"/>
      <c r="C3429" s="5"/>
      <c r="D3429" s="11"/>
      <c r="E3429" s="11"/>
      <c r="F3429" s="11"/>
      <c r="G3429" s="11"/>
      <c r="H3429" s="11"/>
      <c r="I3429" s="11"/>
      <c r="J3429" s="9"/>
      <c r="P3429" s="15"/>
    </row>
    <row r="3430">
      <c r="A3430" s="12"/>
      <c r="B3430" s="12"/>
      <c r="C3430" s="5"/>
      <c r="D3430" s="11"/>
      <c r="E3430" s="11"/>
      <c r="F3430" s="11"/>
      <c r="G3430" s="11"/>
      <c r="H3430" s="11"/>
      <c r="I3430" s="11"/>
      <c r="J3430" s="9"/>
      <c r="P3430" s="15"/>
    </row>
    <row r="3431">
      <c r="A3431" s="12"/>
      <c r="B3431" s="12"/>
      <c r="C3431" s="5"/>
      <c r="D3431" s="11"/>
      <c r="E3431" s="11"/>
      <c r="F3431" s="11"/>
      <c r="G3431" s="11"/>
      <c r="H3431" s="11"/>
      <c r="I3431" s="11"/>
      <c r="J3431" s="9"/>
      <c r="P3431" s="15"/>
    </row>
    <row r="3432">
      <c r="A3432" s="12"/>
      <c r="B3432" s="12"/>
      <c r="C3432" s="5"/>
      <c r="D3432" s="11"/>
      <c r="E3432" s="11"/>
      <c r="F3432" s="11"/>
      <c r="G3432" s="11"/>
      <c r="H3432" s="11"/>
      <c r="I3432" s="11"/>
      <c r="J3432" s="9"/>
      <c r="P3432" s="15"/>
    </row>
    <row r="3433">
      <c r="A3433" s="12"/>
      <c r="B3433" s="12"/>
      <c r="C3433" s="5"/>
      <c r="D3433" s="11"/>
      <c r="E3433" s="11"/>
      <c r="F3433" s="11"/>
      <c r="G3433" s="11"/>
      <c r="H3433" s="11"/>
      <c r="I3433" s="11"/>
      <c r="J3433" s="9"/>
      <c r="P3433" s="15"/>
    </row>
    <row r="3434">
      <c r="A3434" s="12"/>
      <c r="B3434" s="12"/>
      <c r="C3434" s="5"/>
      <c r="D3434" s="11"/>
      <c r="E3434" s="11"/>
      <c r="F3434" s="11"/>
      <c r="G3434" s="11"/>
      <c r="H3434" s="11"/>
      <c r="I3434" s="11"/>
      <c r="J3434" s="9"/>
      <c r="P3434" s="15"/>
    </row>
    <row r="3435">
      <c r="A3435" s="12"/>
      <c r="B3435" s="12"/>
      <c r="C3435" s="5"/>
      <c r="D3435" s="11"/>
      <c r="E3435" s="11"/>
      <c r="F3435" s="11"/>
      <c r="G3435" s="11"/>
      <c r="H3435" s="11"/>
      <c r="I3435" s="11"/>
      <c r="J3435" s="9"/>
      <c r="P3435" s="15"/>
    </row>
    <row r="3436">
      <c r="A3436" s="12"/>
      <c r="B3436" s="12"/>
      <c r="C3436" s="5"/>
      <c r="D3436" s="11"/>
      <c r="E3436" s="11"/>
      <c r="F3436" s="11"/>
      <c r="G3436" s="11"/>
      <c r="H3436" s="11"/>
      <c r="I3436" s="11"/>
      <c r="J3436" s="9"/>
      <c r="P3436" s="15"/>
    </row>
    <row r="3437">
      <c r="A3437" s="12"/>
      <c r="B3437" s="12"/>
      <c r="C3437" s="5"/>
      <c r="D3437" s="11"/>
      <c r="E3437" s="11"/>
      <c r="F3437" s="11"/>
      <c r="G3437" s="11"/>
      <c r="H3437" s="11"/>
      <c r="I3437" s="11"/>
      <c r="J3437" s="9"/>
      <c r="P3437" s="15"/>
    </row>
    <row r="3438">
      <c r="A3438" s="12"/>
      <c r="B3438" s="12"/>
      <c r="C3438" s="5"/>
      <c r="D3438" s="11"/>
      <c r="E3438" s="11"/>
      <c r="F3438" s="11"/>
      <c r="G3438" s="11"/>
      <c r="H3438" s="11"/>
      <c r="I3438" s="11"/>
      <c r="J3438" s="9"/>
      <c r="P3438" s="15"/>
    </row>
    <row r="3439">
      <c r="A3439" s="12"/>
      <c r="B3439" s="12"/>
      <c r="C3439" s="5"/>
      <c r="D3439" s="11"/>
      <c r="E3439" s="11"/>
      <c r="F3439" s="11"/>
      <c r="G3439" s="11"/>
      <c r="H3439" s="11"/>
      <c r="I3439" s="11"/>
      <c r="J3439" s="9"/>
      <c r="P3439" s="15"/>
    </row>
    <row r="3440">
      <c r="A3440" s="12"/>
      <c r="B3440" s="12"/>
      <c r="C3440" s="5"/>
      <c r="D3440" s="11"/>
      <c r="E3440" s="11"/>
      <c r="F3440" s="11"/>
      <c r="G3440" s="11"/>
      <c r="H3440" s="11"/>
      <c r="I3440" s="11"/>
      <c r="J3440" s="9"/>
      <c r="P3440" s="15"/>
    </row>
    <row r="3441">
      <c r="A3441" s="12"/>
      <c r="B3441" s="12"/>
      <c r="C3441" s="5"/>
      <c r="D3441" s="11"/>
      <c r="E3441" s="11"/>
      <c r="F3441" s="11"/>
      <c r="G3441" s="11"/>
      <c r="H3441" s="11"/>
      <c r="I3441" s="11"/>
      <c r="J3441" s="9"/>
      <c r="P3441" s="15"/>
    </row>
    <row r="3442">
      <c r="A3442" s="12"/>
      <c r="B3442" s="12"/>
      <c r="C3442" s="5"/>
      <c r="D3442" s="11"/>
      <c r="E3442" s="11"/>
      <c r="F3442" s="11"/>
      <c r="G3442" s="11"/>
      <c r="H3442" s="11"/>
      <c r="I3442" s="11"/>
      <c r="J3442" s="9"/>
      <c r="P3442" s="15"/>
    </row>
    <row r="3443">
      <c r="A3443" s="12"/>
      <c r="B3443" s="12"/>
      <c r="C3443" s="5"/>
      <c r="D3443" s="11"/>
      <c r="E3443" s="11"/>
      <c r="F3443" s="11"/>
      <c r="G3443" s="11"/>
      <c r="H3443" s="11"/>
      <c r="I3443" s="11"/>
      <c r="J3443" s="9"/>
      <c r="P3443" s="15"/>
    </row>
    <row r="3444">
      <c r="A3444" s="12"/>
      <c r="B3444" s="12"/>
      <c r="C3444" s="5"/>
      <c r="D3444" s="11"/>
      <c r="E3444" s="11"/>
      <c r="F3444" s="11"/>
      <c r="G3444" s="11"/>
      <c r="H3444" s="11"/>
      <c r="I3444" s="11"/>
      <c r="J3444" s="9"/>
      <c r="P3444" s="15"/>
    </row>
    <row r="3445">
      <c r="A3445" s="12"/>
      <c r="B3445" s="12"/>
      <c r="C3445" s="5"/>
      <c r="D3445" s="11"/>
      <c r="E3445" s="11"/>
      <c r="F3445" s="11"/>
      <c r="G3445" s="11"/>
      <c r="H3445" s="11"/>
      <c r="I3445" s="11"/>
      <c r="J3445" s="9"/>
      <c r="P3445" s="15"/>
    </row>
    <row r="3446">
      <c r="A3446" s="12"/>
      <c r="B3446" s="12"/>
      <c r="C3446" s="5"/>
      <c r="D3446" s="11"/>
      <c r="E3446" s="11"/>
      <c r="F3446" s="11"/>
      <c r="G3446" s="11"/>
      <c r="H3446" s="11"/>
      <c r="I3446" s="11"/>
      <c r="J3446" s="9"/>
      <c r="P3446" s="15"/>
    </row>
    <row r="3447">
      <c r="A3447" s="12"/>
      <c r="B3447" s="12"/>
      <c r="C3447" s="5"/>
      <c r="D3447" s="11"/>
      <c r="E3447" s="11"/>
      <c r="F3447" s="11"/>
      <c r="G3447" s="11"/>
      <c r="H3447" s="11"/>
      <c r="I3447" s="11"/>
      <c r="J3447" s="9"/>
      <c r="P3447" s="15"/>
    </row>
    <row r="3448">
      <c r="A3448" s="12"/>
      <c r="B3448" s="12"/>
      <c r="C3448" s="5"/>
      <c r="D3448" s="11"/>
      <c r="E3448" s="11"/>
      <c r="F3448" s="11"/>
      <c r="G3448" s="11"/>
      <c r="H3448" s="11"/>
      <c r="I3448" s="11"/>
      <c r="J3448" s="9"/>
      <c r="P3448" s="15"/>
    </row>
    <row r="3449">
      <c r="A3449" s="12"/>
      <c r="B3449" s="12"/>
      <c r="C3449" s="5"/>
      <c r="D3449" s="11"/>
      <c r="E3449" s="11"/>
      <c r="F3449" s="11"/>
      <c r="G3449" s="11"/>
      <c r="H3449" s="11"/>
      <c r="I3449" s="11"/>
      <c r="J3449" s="9"/>
      <c r="P3449" s="15"/>
    </row>
    <row r="3450">
      <c r="A3450" s="12"/>
      <c r="B3450" s="12"/>
      <c r="C3450" s="5"/>
      <c r="D3450" s="11"/>
      <c r="E3450" s="11"/>
      <c r="F3450" s="11"/>
      <c r="G3450" s="11"/>
      <c r="H3450" s="11"/>
      <c r="I3450" s="11"/>
      <c r="J3450" s="9"/>
      <c r="P3450" s="15"/>
    </row>
    <row r="3451">
      <c r="A3451" s="12"/>
      <c r="B3451" s="12"/>
      <c r="C3451" s="5"/>
      <c r="D3451" s="11"/>
      <c r="E3451" s="11"/>
      <c r="F3451" s="11"/>
      <c r="G3451" s="11"/>
      <c r="H3451" s="11"/>
      <c r="I3451" s="11"/>
      <c r="J3451" s="9"/>
      <c r="P3451" s="15"/>
    </row>
    <row r="3452">
      <c r="A3452" s="12"/>
      <c r="B3452" s="12"/>
      <c r="C3452" s="5"/>
      <c r="D3452" s="11"/>
      <c r="E3452" s="11"/>
      <c r="F3452" s="11"/>
      <c r="G3452" s="11"/>
      <c r="H3452" s="11"/>
      <c r="I3452" s="11"/>
      <c r="J3452" s="9"/>
      <c r="P3452" s="15"/>
    </row>
    <row r="3453">
      <c r="A3453" s="12"/>
      <c r="B3453" s="12"/>
      <c r="C3453" s="5"/>
      <c r="D3453" s="11"/>
      <c r="E3453" s="11"/>
      <c r="F3453" s="11"/>
      <c r="G3453" s="11"/>
      <c r="H3453" s="11"/>
      <c r="I3453" s="11"/>
      <c r="J3453" s="9"/>
      <c r="P3453" s="15"/>
    </row>
    <row r="3454">
      <c r="A3454" s="12"/>
      <c r="B3454" s="12"/>
      <c r="C3454" s="5"/>
      <c r="D3454" s="11"/>
      <c r="E3454" s="11"/>
      <c r="F3454" s="11"/>
      <c r="G3454" s="11"/>
      <c r="H3454" s="11"/>
      <c r="I3454" s="11"/>
      <c r="J3454" s="9"/>
      <c r="P3454" s="15"/>
    </row>
    <row r="3455">
      <c r="A3455" s="12"/>
      <c r="B3455" s="12"/>
      <c r="C3455" s="5"/>
      <c r="D3455" s="11"/>
      <c r="E3455" s="11"/>
      <c r="F3455" s="11"/>
      <c r="G3455" s="11"/>
      <c r="H3455" s="11"/>
      <c r="I3455" s="11"/>
      <c r="J3455" s="9"/>
      <c r="P3455" s="15"/>
    </row>
    <row r="3456">
      <c r="A3456" s="12"/>
      <c r="B3456" s="12"/>
      <c r="C3456" s="5"/>
      <c r="D3456" s="11"/>
      <c r="E3456" s="11"/>
      <c r="F3456" s="11"/>
      <c r="G3456" s="11"/>
      <c r="H3456" s="11"/>
      <c r="I3456" s="11"/>
      <c r="J3456" s="9"/>
      <c r="P3456" s="15"/>
    </row>
    <row r="3457">
      <c r="A3457" s="12"/>
      <c r="B3457" s="12"/>
      <c r="C3457" s="5"/>
      <c r="D3457" s="11"/>
      <c r="E3457" s="11"/>
      <c r="F3457" s="11"/>
      <c r="G3457" s="11"/>
      <c r="H3457" s="11"/>
      <c r="I3457" s="11"/>
      <c r="J3457" s="9"/>
      <c r="P3457" s="15"/>
    </row>
    <row r="3458">
      <c r="A3458" s="12"/>
      <c r="B3458" s="12"/>
      <c r="C3458" s="5"/>
      <c r="D3458" s="11"/>
      <c r="E3458" s="11"/>
      <c r="F3458" s="11"/>
      <c r="G3458" s="11"/>
      <c r="H3458" s="11"/>
      <c r="I3458" s="11"/>
      <c r="J3458" s="9"/>
      <c r="P3458" s="15"/>
    </row>
    <row r="3459">
      <c r="A3459" s="12"/>
      <c r="B3459" s="12"/>
      <c r="C3459" s="5"/>
      <c r="D3459" s="11"/>
      <c r="E3459" s="11"/>
      <c r="F3459" s="11"/>
      <c r="G3459" s="11"/>
      <c r="H3459" s="11"/>
      <c r="I3459" s="11"/>
      <c r="J3459" s="9"/>
      <c r="P3459" s="15"/>
    </row>
    <row r="3460">
      <c r="A3460" s="12"/>
      <c r="B3460" s="12"/>
      <c r="C3460" s="5"/>
      <c r="D3460" s="11"/>
      <c r="E3460" s="11"/>
      <c r="F3460" s="11"/>
      <c r="G3460" s="11"/>
      <c r="H3460" s="11"/>
      <c r="I3460" s="11"/>
      <c r="J3460" s="9"/>
      <c r="P3460" s="15"/>
    </row>
    <row r="3461">
      <c r="A3461" s="12"/>
      <c r="B3461" s="12"/>
      <c r="C3461" s="5"/>
      <c r="D3461" s="11"/>
      <c r="E3461" s="11"/>
      <c r="F3461" s="11"/>
      <c r="G3461" s="11"/>
      <c r="H3461" s="11"/>
      <c r="I3461" s="11"/>
      <c r="J3461" s="9"/>
      <c r="P3461" s="15"/>
    </row>
    <row r="3462">
      <c r="A3462" s="12"/>
      <c r="B3462" s="12"/>
      <c r="C3462" s="5"/>
      <c r="D3462" s="11"/>
      <c r="E3462" s="11"/>
      <c r="F3462" s="11"/>
      <c r="G3462" s="11"/>
      <c r="H3462" s="11"/>
      <c r="I3462" s="11"/>
      <c r="J3462" s="9"/>
      <c r="P3462" s="15"/>
    </row>
    <row r="3463">
      <c r="A3463" s="12"/>
      <c r="B3463" s="12"/>
      <c r="C3463" s="5"/>
      <c r="D3463" s="11"/>
      <c r="E3463" s="11"/>
      <c r="F3463" s="11"/>
      <c r="G3463" s="11"/>
      <c r="H3463" s="11"/>
      <c r="I3463" s="11"/>
      <c r="J3463" s="9"/>
      <c r="P3463" s="15"/>
    </row>
    <row r="3464">
      <c r="A3464" s="12"/>
      <c r="B3464" s="12"/>
      <c r="C3464" s="5"/>
      <c r="D3464" s="11"/>
      <c r="E3464" s="11"/>
      <c r="F3464" s="11"/>
      <c r="G3464" s="11"/>
      <c r="H3464" s="11"/>
      <c r="I3464" s="11"/>
      <c r="J3464" s="9"/>
      <c r="P3464" s="15"/>
    </row>
    <row r="3465">
      <c r="A3465" s="12"/>
      <c r="B3465" s="12"/>
      <c r="C3465" s="5"/>
      <c r="D3465" s="11"/>
      <c r="E3465" s="11"/>
      <c r="F3465" s="11"/>
      <c r="G3465" s="11"/>
      <c r="H3465" s="11"/>
      <c r="I3465" s="11"/>
      <c r="J3465" s="9"/>
      <c r="P3465" s="15"/>
    </row>
    <row r="3466">
      <c r="A3466" s="12"/>
      <c r="B3466" s="12"/>
      <c r="C3466" s="5"/>
      <c r="D3466" s="11"/>
      <c r="E3466" s="11"/>
      <c r="F3466" s="11"/>
      <c r="G3466" s="11"/>
      <c r="H3466" s="11"/>
      <c r="I3466" s="11"/>
      <c r="J3466" s="9"/>
      <c r="P3466" s="15"/>
    </row>
    <row r="3467">
      <c r="A3467" s="12"/>
      <c r="B3467" s="12"/>
      <c r="C3467" s="5"/>
      <c r="D3467" s="11"/>
      <c r="E3467" s="11"/>
      <c r="F3467" s="11"/>
      <c r="G3467" s="11"/>
      <c r="H3467" s="11"/>
      <c r="I3467" s="11"/>
      <c r="J3467" s="9"/>
      <c r="P3467" s="15"/>
    </row>
    <row r="3468">
      <c r="A3468" s="12"/>
      <c r="B3468" s="12"/>
      <c r="C3468" s="5"/>
      <c r="D3468" s="11"/>
      <c r="E3468" s="11"/>
      <c r="F3468" s="11"/>
      <c r="G3468" s="11"/>
      <c r="H3468" s="11"/>
      <c r="I3468" s="11"/>
      <c r="J3468" s="9"/>
      <c r="P3468" s="15"/>
    </row>
    <row r="3469">
      <c r="A3469" s="12"/>
      <c r="B3469" s="12"/>
      <c r="C3469" s="5"/>
      <c r="D3469" s="11"/>
      <c r="E3469" s="11"/>
      <c r="F3469" s="11"/>
      <c r="G3469" s="11"/>
      <c r="H3469" s="11"/>
      <c r="I3469" s="11"/>
      <c r="J3469" s="9"/>
      <c r="P3469" s="15"/>
    </row>
    <row r="3470">
      <c r="A3470" s="12"/>
      <c r="B3470" s="12"/>
      <c r="C3470" s="5"/>
      <c r="D3470" s="11"/>
      <c r="E3470" s="11"/>
      <c r="F3470" s="11"/>
      <c r="G3470" s="11"/>
      <c r="H3470" s="11"/>
      <c r="I3470" s="11"/>
      <c r="J3470" s="9"/>
      <c r="P3470" s="15"/>
    </row>
    <row r="3471">
      <c r="A3471" s="12"/>
      <c r="B3471" s="12"/>
      <c r="C3471" s="5"/>
      <c r="D3471" s="11"/>
      <c r="E3471" s="11"/>
      <c r="F3471" s="11"/>
      <c r="G3471" s="11"/>
      <c r="H3471" s="11"/>
      <c r="I3471" s="11"/>
      <c r="J3471" s="9"/>
      <c r="P3471" s="15"/>
    </row>
    <row r="3472">
      <c r="A3472" s="12"/>
      <c r="B3472" s="12"/>
      <c r="C3472" s="5"/>
      <c r="D3472" s="11"/>
      <c r="E3472" s="11"/>
      <c r="F3472" s="11"/>
      <c r="G3472" s="11"/>
      <c r="H3472" s="11"/>
      <c r="I3472" s="11"/>
      <c r="J3472" s="9"/>
      <c r="P3472" s="15"/>
    </row>
    <row r="3473">
      <c r="A3473" s="12"/>
      <c r="B3473" s="12"/>
      <c r="C3473" s="5"/>
      <c r="D3473" s="11"/>
      <c r="E3473" s="11"/>
      <c r="F3473" s="11"/>
      <c r="G3473" s="11"/>
      <c r="H3473" s="11"/>
      <c r="I3473" s="11"/>
      <c r="J3473" s="9"/>
      <c r="P3473" s="15"/>
    </row>
    <row r="3474">
      <c r="A3474" s="12"/>
      <c r="B3474" s="12"/>
      <c r="C3474" s="5"/>
      <c r="D3474" s="11"/>
      <c r="E3474" s="11"/>
      <c r="F3474" s="11"/>
      <c r="G3474" s="11"/>
      <c r="H3474" s="11"/>
      <c r="I3474" s="11"/>
      <c r="J3474" s="9"/>
      <c r="P3474" s="15"/>
    </row>
    <row r="3475">
      <c r="A3475" s="12"/>
      <c r="B3475" s="12"/>
      <c r="C3475" s="5"/>
      <c r="D3475" s="11"/>
      <c r="E3475" s="11"/>
      <c r="F3475" s="11"/>
      <c r="G3475" s="11"/>
      <c r="H3475" s="11"/>
      <c r="I3475" s="11"/>
      <c r="J3475" s="9"/>
      <c r="P3475" s="15"/>
    </row>
    <row r="3476">
      <c r="A3476" s="12"/>
      <c r="B3476" s="12"/>
      <c r="C3476" s="5"/>
      <c r="D3476" s="11"/>
      <c r="E3476" s="11"/>
      <c r="F3476" s="11"/>
      <c r="G3476" s="11"/>
      <c r="H3476" s="11"/>
      <c r="I3476" s="11"/>
      <c r="J3476" s="9"/>
      <c r="P3476" s="15"/>
    </row>
    <row r="3477">
      <c r="A3477" s="12"/>
      <c r="B3477" s="12"/>
      <c r="C3477" s="5"/>
      <c r="D3477" s="11"/>
      <c r="E3477" s="11"/>
      <c r="F3477" s="11"/>
      <c r="G3477" s="11"/>
      <c r="H3477" s="11"/>
      <c r="I3477" s="11"/>
      <c r="J3477" s="9"/>
      <c r="P3477" s="15"/>
    </row>
    <row r="3478">
      <c r="A3478" s="12"/>
      <c r="B3478" s="12"/>
      <c r="C3478" s="5"/>
      <c r="D3478" s="11"/>
      <c r="E3478" s="11"/>
      <c r="F3478" s="11"/>
      <c r="G3478" s="11"/>
      <c r="H3478" s="11"/>
      <c r="I3478" s="11"/>
      <c r="J3478" s="9"/>
      <c r="P3478" s="15"/>
    </row>
    <row r="3479">
      <c r="A3479" s="12"/>
      <c r="B3479" s="12"/>
      <c r="C3479" s="5"/>
      <c r="D3479" s="11"/>
      <c r="E3479" s="11"/>
      <c r="F3479" s="11"/>
      <c r="G3479" s="11"/>
      <c r="H3479" s="11"/>
      <c r="I3479" s="11"/>
      <c r="J3479" s="9"/>
      <c r="P3479" s="15"/>
    </row>
    <row r="3480">
      <c r="A3480" s="12"/>
      <c r="B3480" s="12"/>
      <c r="C3480" s="5"/>
      <c r="D3480" s="11"/>
      <c r="E3480" s="11"/>
      <c r="F3480" s="11"/>
      <c r="G3480" s="11"/>
      <c r="H3480" s="11"/>
      <c r="I3480" s="11"/>
      <c r="J3480" s="9"/>
      <c r="P3480" s="15"/>
    </row>
    <row r="3481">
      <c r="A3481" s="12"/>
      <c r="B3481" s="12"/>
      <c r="C3481" s="5"/>
      <c r="D3481" s="11"/>
      <c r="E3481" s="11"/>
      <c r="F3481" s="11"/>
      <c r="G3481" s="11"/>
      <c r="H3481" s="11"/>
      <c r="I3481" s="11"/>
      <c r="J3481" s="9"/>
      <c r="P3481" s="15"/>
    </row>
    <row r="3482">
      <c r="A3482" s="12"/>
      <c r="B3482" s="12"/>
      <c r="C3482" s="5"/>
      <c r="D3482" s="11"/>
      <c r="E3482" s="11"/>
      <c r="F3482" s="11"/>
      <c r="G3482" s="11"/>
      <c r="H3482" s="11"/>
      <c r="I3482" s="11"/>
      <c r="J3482" s="9"/>
      <c r="P3482" s="15"/>
    </row>
    <row r="3483">
      <c r="A3483" s="12"/>
      <c r="B3483" s="12"/>
      <c r="C3483" s="5"/>
      <c r="D3483" s="11"/>
      <c r="E3483" s="11"/>
      <c r="F3483" s="11"/>
      <c r="G3483" s="11"/>
      <c r="H3483" s="11"/>
      <c r="I3483" s="11"/>
      <c r="J3483" s="9"/>
      <c r="P3483" s="15"/>
    </row>
    <row r="3484">
      <c r="A3484" s="12"/>
      <c r="B3484" s="12"/>
      <c r="C3484" s="5"/>
      <c r="D3484" s="11"/>
      <c r="E3484" s="11"/>
      <c r="F3484" s="11"/>
      <c r="G3484" s="11"/>
      <c r="H3484" s="11"/>
      <c r="I3484" s="11"/>
      <c r="J3484" s="9"/>
      <c r="P3484" s="15"/>
    </row>
    <row r="3485">
      <c r="A3485" s="12"/>
      <c r="B3485" s="12"/>
      <c r="C3485" s="5"/>
      <c r="D3485" s="11"/>
      <c r="E3485" s="11"/>
      <c r="F3485" s="11"/>
      <c r="G3485" s="11"/>
      <c r="H3485" s="11"/>
      <c r="I3485" s="11"/>
      <c r="J3485" s="9"/>
      <c r="P3485" s="15"/>
    </row>
    <row r="3486">
      <c r="A3486" s="12"/>
      <c r="B3486" s="12"/>
      <c r="C3486" s="5"/>
      <c r="D3486" s="11"/>
      <c r="E3486" s="11"/>
      <c r="F3486" s="11"/>
      <c r="G3486" s="11"/>
      <c r="H3486" s="11"/>
      <c r="I3486" s="11"/>
      <c r="J3486" s="9"/>
      <c r="P3486" s="15"/>
    </row>
    <row r="3487">
      <c r="A3487" s="12"/>
      <c r="B3487" s="12"/>
      <c r="C3487" s="5"/>
      <c r="D3487" s="11"/>
      <c r="E3487" s="11"/>
      <c r="F3487" s="11"/>
      <c r="G3487" s="11"/>
      <c r="H3487" s="11"/>
      <c r="I3487" s="11"/>
      <c r="J3487" s="9"/>
      <c r="P3487" s="15"/>
    </row>
    <row r="3488">
      <c r="A3488" s="12"/>
      <c r="B3488" s="12"/>
      <c r="C3488" s="5"/>
      <c r="D3488" s="11"/>
      <c r="E3488" s="11"/>
      <c r="F3488" s="11"/>
      <c r="G3488" s="11"/>
      <c r="H3488" s="11"/>
      <c r="I3488" s="11"/>
      <c r="J3488" s="9"/>
      <c r="P3488" s="15"/>
    </row>
    <row r="3489">
      <c r="A3489" s="12"/>
      <c r="B3489" s="12"/>
      <c r="C3489" s="5"/>
      <c r="D3489" s="11"/>
      <c r="E3489" s="11"/>
      <c r="F3489" s="11"/>
      <c r="G3489" s="11"/>
      <c r="H3489" s="11"/>
      <c r="I3489" s="11"/>
      <c r="J3489" s="9"/>
      <c r="P3489" s="15"/>
    </row>
    <row r="3490">
      <c r="A3490" s="12"/>
      <c r="B3490" s="12"/>
      <c r="C3490" s="5"/>
      <c r="D3490" s="11"/>
      <c r="E3490" s="11"/>
      <c r="F3490" s="11"/>
      <c r="G3490" s="11"/>
      <c r="H3490" s="11"/>
      <c r="I3490" s="11"/>
      <c r="J3490" s="9"/>
      <c r="P3490" s="15"/>
    </row>
    <row r="3491">
      <c r="A3491" s="12"/>
      <c r="B3491" s="12"/>
      <c r="C3491" s="5"/>
      <c r="D3491" s="11"/>
      <c r="E3491" s="11"/>
      <c r="F3491" s="11"/>
      <c r="G3491" s="11"/>
      <c r="H3491" s="11"/>
      <c r="I3491" s="11"/>
      <c r="J3491" s="9"/>
      <c r="P3491" s="15"/>
    </row>
    <row r="3492">
      <c r="A3492" s="12"/>
      <c r="B3492" s="12"/>
      <c r="C3492" s="5"/>
      <c r="D3492" s="11"/>
      <c r="E3492" s="11"/>
      <c r="F3492" s="11"/>
      <c r="G3492" s="11"/>
      <c r="H3492" s="11"/>
      <c r="I3492" s="11"/>
      <c r="J3492" s="9"/>
      <c r="P3492" s="15"/>
    </row>
    <row r="3493">
      <c r="A3493" s="12"/>
      <c r="B3493" s="12"/>
      <c r="C3493" s="5"/>
      <c r="D3493" s="11"/>
      <c r="E3493" s="11"/>
      <c r="F3493" s="11"/>
      <c r="G3493" s="11"/>
      <c r="H3493" s="11"/>
      <c r="I3493" s="11"/>
      <c r="J3493" s="9"/>
      <c r="P3493" s="15"/>
    </row>
    <row r="3494">
      <c r="A3494" s="12"/>
      <c r="B3494" s="12"/>
      <c r="C3494" s="5"/>
      <c r="D3494" s="11"/>
      <c r="E3494" s="11"/>
      <c r="F3494" s="11"/>
      <c r="G3494" s="11"/>
      <c r="H3494" s="11"/>
      <c r="I3494" s="11"/>
      <c r="J3494" s="9"/>
      <c r="P3494" s="15"/>
    </row>
    <row r="3495">
      <c r="A3495" s="12"/>
      <c r="B3495" s="12"/>
      <c r="C3495" s="5"/>
      <c r="D3495" s="11"/>
      <c r="E3495" s="11"/>
      <c r="F3495" s="11"/>
      <c r="G3495" s="11"/>
      <c r="H3495" s="11"/>
      <c r="I3495" s="11"/>
      <c r="J3495" s="9"/>
      <c r="P3495" s="15"/>
    </row>
    <row r="3496">
      <c r="A3496" s="12"/>
      <c r="B3496" s="12"/>
      <c r="C3496" s="5"/>
      <c r="D3496" s="11"/>
      <c r="E3496" s="11"/>
      <c r="F3496" s="11"/>
      <c r="G3496" s="11"/>
      <c r="H3496" s="11"/>
      <c r="I3496" s="11"/>
      <c r="J3496" s="9"/>
      <c r="P3496" s="15"/>
    </row>
    <row r="3497">
      <c r="A3497" s="12"/>
      <c r="B3497" s="12"/>
      <c r="C3497" s="5"/>
      <c r="D3497" s="11"/>
      <c r="E3497" s="11"/>
      <c r="F3497" s="11"/>
      <c r="G3497" s="11"/>
      <c r="H3497" s="11"/>
      <c r="I3497" s="11"/>
      <c r="J3497" s="9"/>
      <c r="P3497" s="15"/>
    </row>
    <row r="3498">
      <c r="A3498" s="12"/>
      <c r="B3498" s="12"/>
      <c r="C3498" s="5"/>
      <c r="D3498" s="11"/>
      <c r="E3498" s="11"/>
      <c r="F3498" s="11"/>
      <c r="G3498" s="11"/>
      <c r="H3498" s="11"/>
      <c r="I3498" s="11"/>
      <c r="J3498" s="9"/>
      <c r="P3498" s="15"/>
    </row>
    <row r="3499">
      <c r="A3499" s="12"/>
      <c r="B3499" s="12"/>
      <c r="C3499" s="5"/>
      <c r="D3499" s="11"/>
      <c r="E3499" s="11"/>
      <c r="F3499" s="11"/>
      <c r="G3499" s="11"/>
      <c r="H3499" s="11"/>
      <c r="I3499" s="11"/>
      <c r="J3499" s="9"/>
      <c r="P3499" s="15"/>
    </row>
    <row r="3500">
      <c r="A3500" s="12"/>
      <c r="B3500" s="12"/>
      <c r="C3500" s="5"/>
      <c r="D3500" s="11"/>
      <c r="E3500" s="11"/>
      <c r="F3500" s="11"/>
      <c r="G3500" s="11"/>
      <c r="H3500" s="11"/>
      <c r="I3500" s="11"/>
      <c r="J3500" s="9"/>
      <c r="P3500" s="15"/>
    </row>
    <row r="3501">
      <c r="A3501" s="12"/>
      <c r="B3501" s="12"/>
      <c r="C3501" s="5"/>
      <c r="D3501" s="11"/>
      <c r="E3501" s="11"/>
      <c r="F3501" s="11"/>
      <c r="G3501" s="11"/>
      <c r="H3501" s="11"/>
      <c r="I3501" s="11"/>
      <c r="J3501" s="9"/>
      <c r="P3501" s="15"/>
    </row>
    <row r="3502">
      <c r="A3502" s="12"/>
      <c r="B3502" s="12"/>
      <c r="C3502" s="5"/>
      <c r="D3502" s="11"/>
      <c r="E3502" s="11"/>
      <c r="F3502" s="11"/>
      <c r="G3502" s="11"/>
      <c r="H3502" s="11"/>
      <c r="I3502" s="11"/>
      <c r="J3502" s="9"/>
      <c r="P3502" s="15"/>
    </row>
    <row r="3503">
      <c r="A3503" s="12"/>
      <c r="B3503" s="12"/>
      <c r="C3503" s="5"/>
      <c r="D3503" s="11"/>
      <c r="E3503" s="11"/>
      <c r="F3503" s="11"/>
      <c r="G3503" s="11"/>
      <c r="H3503" s="11"/>
      <c r="I3503" s="11"/>
      <c r="J3503" s="9"/>
      <c r="P3503" s="15"/>
    </row>
    <row r="3504">
      <c r="A3504" s="12"/>
      <c r="B3504" s="12"/>
      <c r="C3504" s="5"/>
      <c r="D3504" s="11"/>
      <c r="E3504" s="11"/>
      <c r="F3504" s="11"/>
      <c r="G3504" s="11"/>
      <c r="H3504" s="11"/>
      <c r="I3504" s="11"/>
      <c r="J3504" s="9"/>
      <c r="P3504" s="15"/>
    </row>
    <row r="3505">
      <c r="A3505" s="12"/>
      <c r="B3505" s="12"/>
      <c r="C3505" s="5"/>
      <c r="D3505" s="11"/>
      <c r="E3505" s="11"/>
      <c r="F3505" s="11"/>
      <c r="G3505" s="11"/>
      <c r="H3505" s="11"/>
      <c r="I3505" s="11"/>
      <c r="J3505" s="9"/>
      <c r="P3505" s="15"/>
    </row>
    <row r="3506">
      <c r="A3506" s="12"/>
      <c r="B3506" s="12"/>
      <c r="C3506" s="5"/>
      <c r="D3506" s="11"/>
      <c r="E3506" s="11"/>
      <c r="F3506" s="11"/>
      <c r="G3506" s="11"/>
      <c r="H3506" s="11"/>
      <c r="I3506" s="11"/>
      <c r="J3506" s="9"/>
      <c r="P3506" s="15"/>
    </row>
    <row r="3507">
      <c r="A3507" s="12"/>
      <c r="B3507" s="12"/>
      <c r="C3507" s="5"/>
      <c r="D3507" s="11"/>
      <c r="E3507" s="11"/>
      <c r="F3507" s="11"/>
      <c r="G3507" s="11"/>
      <c r="H3507" s="11"/>
      <c r="I3507" s="11"/>
      <c r="J3507" s="9"/>
      <c r="P3507" s="15"/>
    </row>
    <row r="3508">
      <c r="A3508" s="12"/>
      <c r="B3508" s="12"/>
      <c r="C3508" s="5"/>
      <c r="D3508" s="11"/>
      <c r="E3508" s="11"/>
      <c r="F3508" s="11"/>
      <c r="G3508" s="11"/>
      <c r="H3508" s="11"/>
      <c r="I3508" s="11"/>
      <c r="J3508" s="9"/>
      <c r="P3508" s="15"/>
    </row>
    <row r="3509">
      <c r="A3509" s="12"/>
      <c r="B3509" s="12"/>
      <c r="C3509" s="5"/>
      <c r="D3509" s="11"/>
      <c r="E3509" s="11"/>
      <c r="F3509" s="11"/>
      <c r="G3509" s="11"/>
      <c r="H3509" s="11"/>
      <c r="I3509" s="11"/>
      <c r="J3509" s="9"/>
      <c r="P3509" s="15"/>
    </row>
    <row r="3510">
      <c r="A3510" s="12"/>
      <c r="B3510" s="12"/>
      <c r="C3510" s="5"/>
      <c r="D3510" s="11"/>
      <c r="E3510" s="11"/>
      <c r="F3510" s="11"/>
      <c r="G3510" s="11"/>
      <c r="H3510" s="11"/>
      <c r="I3510" s="11"/>
      <c r="J3510" s="9"/>
      <c r="P3510" s="15"/>
    </row>
    <row r="3511">
      <c r="A3511" s="12"/>
      <c r="B3511" s="12"/>
      <c r="C3511" s="5"/>
      <c r="D3511" s="11"/>
      <c r="E3511" s="11"/>
      <c r="F3511" s="11"/>
      <c r="G3511" s="11"/>
      <c r="H3511" s="11"/>
      <c r="I3511" s="11"/>
      <c r="J3511" s="9"/>
      <c r="P3511" s="15"/>
    </row>
    <row r="3512">
      <c r="A3512" s="12"/>
      <c r="B3512" s="12"/>
      <c r="C3512" s="5"/>
      <c r="D3512" s="11"/>
      <c r="E3512" s="11"/>
      <c r="F3512" s="11"/>
      <c r="G3512" s="11"/>
      <c r="H3512" s="11"/>
      <c r="I3512" s="11"/>
      <c r="J3512" s="9"/>
      <c r="P3512" s="15"/>
    </row>
    <row r="3513">
      <c r="A3513" s="12"/>
      <c r="B3513" s="12"/>
      <c r="C3513" s="5"/>
      <c r="D3513" s="11"/>
      <c r="E3513" s="11"/>
      <c r="F3513" s="11"/>
      <c r="G3513" s="11"/>
      <c r="H3513" s="11"/>
      <c r="I3513" s="11"/>
      <c r="J3513" s="9"/>
      <c r="P3513" s="15"/>
    </row>
    <row r="3514">
      <c r="A3514" s="12"/>
      <c r="B3514" s="12"/>
      <c r="C3514" s="5"/>
      <c r="D3514" s="11"/>
      <c r="E3514" s="11"/>
      <c r="F3514" s="11"/>
      <c r="G3514" s="11"/>
      <c r="H3514" s="11"/>
      <c r="I3514" s="11"/>
      <c r="J3514" s="9"/>
      <c r="P3514" s="15"/>
    </row>
    <row r="3515">
      <c r="A3515" s="12"/>
      <c r="B3515" s="12"/>
      <c r="C3515" s="5"/>
      <c r="D3515" s="11"/>
      <c r="E3515" s="11"/>
      <c r="F3515" s="11"/>
      <c r="G3515" s="11"/>
      <c r="H3515" s="11"/>
      <c r="I3515" s="11"/>
      <c r="J3515" s="9"/>
      <c r="P3515" s="15"/>
    </row>
    <row r="3516">
      <c r="A3516" s="12"/>
      <c r="B3516" s="12"/>
      <c r="C3516" s="5"/>
      <c r="D3516" s="11"/>
      <c r="E3516" s="11"/>
      <c r="F3516" s="11"/>
      <c r="G3516" s="11"/>
      <c r="H3516" s="11"/>
      <c r="I3516" s="11"/>
      <c r="J3516" s="9"/>
      <c r="P3516" s="15"/>
    </row>
    <row r="3517">
      <c r="A3517" s="12"/>
      <c r="B3517" s="12"/>
      <c r="C3517" s="5"/>
      <c r="D3517" s="11"/>
      <c r="E3517" s="11"/>
      <c r="F3517" s="11"/>
      <c r="G3517" s="11"/>
      <c r="H3517" s="11"/>
      <c r="I3517" s="11"/>
      <c r="J3517" s="9"/>
      <c r="P3517" s="15"/>
    </row>
    <row r="3518">
      <c r="A3518" s="12"/>
      <c r="B3518" s="12"/>
      <c r="C3518" s="5"/>
      <c r="D3518" s="11"/>
      <c r="E3518" s="11"/>
      <c r="F3518" s="11"/>
      <c r="G3518" s="11"/>
      <c r="H3518" s="11"/>
      <c r="I3518" s="11"/>
      <c r="J3518" s="9"/>
      <c r="P3518" s="15"/>
    </row>
    <row r="3519">
      <c r="A3519" s="12"/>
      <c r="B3519" s="12"/>
      <c r="C3519" s="5"/>
      <c r="D3519" s="11"/>
      <c r="E3519" s="11"/>
      <c r="F3519" s="11"/>
      <c r="G3519" s="11"/>
      <c r="H3519" s="11"/>
      <c r="I3519" s="11"/>
      <c r="J3519" s="9"/>
      <c r="P3519" s="15"/>
    </row>
    <row r="3520">
      <c r="A3520" s="12"/>
      <c r="B3520" s="12"/>
      <c r="C3520" s="5"/>
      <c r="D3520" s="11"/>
      <c r="E3520" s="11"/>
      <c r="F3520" s="11"/>
      <c r="G3520" s="11"/>
      <c r="H3520" s="11"/>
      <c r="I3520" s="11"/>
      <c r="J3520" s="9"/>
      <c r="P3520" s="15"/>
    </row>
    <row r="3521">
      <c r="A3521" s="12"/>
      <c r="B3521" s="12"/>
      <c r="C3521" s="5"/>
      <c r="D3521" s="11"/>
      <c r="E3521" s="11"/>
      <c r="F3521" s="11"/>
      <c r="G3521" s="11"/>
      <c r="H3521" s="11"/>
      <c r="I3521" s="11"/>
      <c r="J3521" s="9"/>
      <c r="P3521" s="15"/>
    </row>
    <row r="3522">
      <c r="A3522" s="12"/>
      <c r="B3522" s="12"/>
      <c r="C3522" s="5"/>
      <c r="D3522" s="11"/>
      <c r="E3522" s="11"/>
      <c r="F3522" s="11"/>
      <c r="G3522" s="11"/>
      <c r="H3522" s="11"/>
      <c r="I3522" s="11"/>
      <c r="J3522" s="9"/>
      <c r="P3522" s="15"/>
    </row>
    <row r="3523">
      <c r="A3523" s="12"/>
      <c r="B3523" s="12"/>
      <c r="C3523" s="5"/>
      <c r="D3523" s="11"/>
      <c r="E3523" s="11"/>
      <c r="F3523" s="11"/>
      <c r="G3523" s="11"/>
      <c r="H3523" s="11"/>
      <c r="I3523" s="11"/>
      <c r="J3523" s="9"/>
      <c r="P3523" s="15"/>
    </row>
    <row r="3524">
      <c r="A3524" s="12"/>
      <c r="B3524" s="12"/>
      <c r="C3524" s="5"/>
      <c r="D3524" s="11"/>
      <c r="E3524" s="11"/>
      <c r="F3524" s="11"/>
      <c r="G3524" s="11"/>
      <c r="H3524" s="11"/>
      <c r="I3524" s="11"/>
      <c r="J3524" s="9"/>
      <c r="P3524" s="15"/>
    </row>
    <row r="3525">
      <c r="A3525" s="12"/>
      <c r="B3525" s="12"/>
      <c r="C3525" s="5"/>
      <c r="D3525" s="11"/>
      <c r="E3525" s="11"/>
      <c r="F3525" s="11"/>
      <c r="G3525" s="11"/>
      <c r="H3525" s="11"/>
      <c r="I3525" s="11"/>
      <c r="J3525" s="9"/>
      <c r="P3525" s="15"/>
    </row>
    <row r="3526">
      <c r="A3526" s="12"/>
      <c r="B3526" s="12"/>
      <c r="C3526" s="5"/>
      <c r="D3526" s="11"/>
      <c r="E3526" s="11"/>
      <c r="F3526" s="11"/>
      <c r="G3526" s="11"/>
      <c r="H3526" s="11"/>
      <c r="I3526" s="11"/>
      <c r="J3526" s="9"/>
      <c r="P3526" s="15"/>
    </row>
    <row r="3527">
      <c r="A3527" s="12"/>
      <c r="B3527" s="12"/>
      <c r="C3527" s="5"/>
      <c r="D3527" s="11"/>
      <c r="E3527" s="11"/>
      <c r="F3527" s="11"/>
      <c r="G3527" s="11"/>
      <c r="H3527" s="11"/>
      <c r="I3527" s="11"/>
      <c r="J3527" s="9"/>
      <c r="P3527" s="15"/>
    </row>
    <row r="3528">
      <c r="A3528" s="12"/>
      <c r="B3528" s="12"/>
      <c r="C3528" s="5"/>
      <c r="D3528" s="11"/>
      <c r="E3528" s="11"/>
      <c r="F3528" s="11"/>
      <c r="G3528" s="11"/>
      <c r="H3528" s="11"/>
      <c r="I3528" s="11"/>
      <c r="J3528" s="9"/>
      <c r="P3528" s="15"/>
    </row>
    <row r="3529">
      <c r="A3529" s="12"/>
      <c r="B3529" s="12"/>
      <c r="C3529" s="5"/>
      <c r="D3529" s="11"/>
      <c r="E3529" s="11"/>
      <c r="F3529" s="11"/>
      <c r="G3529" s="11"/>
      <c r="H3529" s="11"/>
      <c r="I3529" s="11"/>
      <c r="J3529" s="9"/>
      <c r="P3529" s="15"/>
    </row>
    <row r="3530">
      <c r="A3530" s="12"/>
      <c r="B3530" s="12"/>
      <c r="C3530" s="5"/>
      <c r="D3530" s="11"/>
      <c r="E3530" s="11"/>
      <c r="F3530" s="11"/>
      <c r="G3530" s="11"/>
      <c r="H3530" s="11"/>
      <c r="I3530" s="11"/>
      <c r="J3530" s="9"/>
      <c r="P3530" s="15"/>
    </row>
    <row r="3531">
      <c r="A3531" s="12"/>
      <c r="B3531" s="12"/>
      <c r="C3531" s="5"/>
      <c r="D3531" s="11"/>
      <c r="E3531" s="11"/>
      <c r="F3531" s="11"/>
      <c r="G3531" s="11"/>
      <c r="H3531" s="11"/>
      <c r="I3531" s="11"/>
      <c r="J3531" s="9"/>
      <c r="P3531" s="15"/>
    </row>
    <row r="3532">
      <c r="A3532" s="12"/>
      <c r="B3532" s="12"/>
      <c r="C3532" s="5"/>
      <c r="D3532" s="11"/>
      <c r="E3532" s="11"/>
      <c r="F3532" s="11"/>
      <c r="G3532" s="11"/>
      <c r="H3532" s="11"/>
      <c r="I3532" s="11"/>
      <c r="J3532" s="9"/>
      <c r="P3532" s="15"/>
    </row>
    <row r="3533">
      <c r="A3533" s="12"/>
      <c r="B3533" s="12"/>
      <c r="C3533" s="5"/>
      <c r="D3533" s="11"/>
      <c r="E3533" s="11"/>
      <c r="F3533" s="11"/>
      <c r="G3533" s="11"/>
      <c r="H3533" s="11"/>
      <c r="I3533" s="11"/>
      <c r="J3533" s="9"/>
      <c r="P3533" s="15"/>
    </row>
    <row r="3534">
      <c r="A3534" s="12"/>
      <c r="B3534" s="12"/>
      <c r="C3534" s="5"/>
      <c r="D3534" s="11"/>
      <c r="E3534" s="11"/>
      <c r="F3534" s="11"/>
      <c r="G3534" s="11"/>
      <c r="H3534" s="11"/>
      <c r="I3534" s="11"/>
      <c r="J3534" s="9"/>
      <c r="P3534" s="15"/>
    </row>
    <row r="3535">
      <c r="A3535" s="12"/>
      <c r="B3535" s="12"/>
      <c r="C3535" s="5"/>
      <c r="D3535" s="11"/>
      <c r="E3535" s="11"/>
      <c r="F3535" s="11"/>
      <c r="G3535" s="11"/>
      <c r="H3535" s="11"/>
      <c r="I3535" s="11"/>
      <c r="J3535" s="9"/>
      <c r="P3535" s="15"/>
    </row>
    <row r="3536">
      <c r="A3536" s="12"/>
      <c r="B3536" s="12"/>
      <c r="C3536" s="5"/>
      <c r="D3536" s="11"/>
      <c r="E3536" s="11"/>
      <c r="F3536" s="11"/>
      <c r="G3536" s="11"/>
      <c r="H3536" s="11"/>
      <c r="I3536" s="11"/>
      <c r="J3536" s="9"/>
      <c r="P3536" s="15"/>
    </row>
    <row r="3537">
      <c r="A3537" s="12"/>
      <c r="B3537" s="12"/>
      <c r="C3537" s="5"/>
      <c r="D3537" s="11"/>
      <c r="E3537" s="11"/>
      <c r="F3537" s="11"/>
      <c r="G3537" s="11"/>
      <c r="H3537" s="11"/>
      <c r="I3537" s="11"/>
      <c r="J3537" s="9"/>
      <c r="P3537" s="15"/>
    </row>
    <row r="3538">
      <c r="A3538" s="12"/>
      <c r="B3538" s="12"/>
      <c r="C3538" s="5"/>
      <c r="D3538" s="11"/>
      <c r="E3538" s="11"/>
      <c r="F3538" s="11"/>
      <c r="G3538" s="11"/>
      <c r="H3538" s="11"/>
      <c r="I3538" s="11"/>
      <c r="J3538" s="9"/>
      <c r="P3538" s="15"/>
    </row>
    <row r="3539">
      <c r="A3539" s="12"/>
      <c r="B3539" s="12"/>
      <c r="C3539" s="5"/>
      <c r="D3539" s="11"/>
      <c r="E3539" s="11"/>
      <c r="F3539" s="11"/>
      <c r="G3539" s="11"/>
      <c r="H3539" s="11"/>
      <c r="I3539" s="11"/>
      <c r="J3539" s="9"/>
      <c r="P3539" s="15"/>
    </row>
    <row r="3540">
      <c r="A3540" s="12"/>
      <c r="B3540" s="12"/>
      <c r="C3540" s="5"/>
      <c r="D3540" s="11"/>
      <c r="E3540" s="11"/>
      <c r="F3540" s="11"/>
      <c r="G3540" s="11"/>
      <c r="H3540" s="11"/>
      <c r="I3540" s="11"/>
      <c r="J3540" s="9"/>
      <c r="P3540" s="15"/>
    </row>
    <row r="3541">
      <c r="A3541" s="12"/>
      <c r="B3541" s="12"/>
      <c r="C3541" s="5"/>
      <c r="D3541" s="11"/>
      <c r="E3541" s="11"/>
      <c r="F3541" s="11"/>
      <c r="G3541" s="11"/>
      <c r="H3541" s="11"/>
      <c r="I3541" s="11"/>
      <c r="J3541" s="9"/>
      <c r="P3541" s="15"/>
    </row>
    <row r="3542">
      <c r="A3542" s="12"/>
      <c r="B3542" s="12"/>
      <c r="C3542" s="5"/>
      <c r="D3542" s="11"/>
      <c r="E3542" s="11"/>
      <c r="F3542" s="11"/>
      <c r="G3542" s="11"/>
      <c r="H3542" s="11"/>
      <c r="I3542" s="11"/>
      <c r="J3542" s="9"/>
      <c r="P3542" s="15"/>
    </row>
    <row r="3543">
      <c r="A3543" s="12"/>
      <c r="B3543" s="12"/>
      <c r="C3543" s="5"/>
      <c r="D3543" s="11"/>
      <c r="E3543" s="11"/>
      <c r="F3543" s="11"/>
      <c r="G3543" s="11"/>
      <c r="H3543" s="11"/>
      <c r="I3543" s="11"/>
      <c r="J3543" s="9"/>
      <c r="P3543" s="15"/>
    </row>
    <row r="3544">
      <c r="A3544" s="12"/>
      <c r="B3544" s="12"/>
      <c r="C3544" s="5"/>
      <c r="D3544" s="11"/>
      <c r="E3544" s="11"/>
      <c r="F3544" s="11"/>
      <c r="G3544" s="11"/>
      <c r="H3544" s="11"/>
      <c r="I3544" s="11"/>
      <c r="J3544" s="9"/>
      <c r="P3544" s="15"/>
    </row>
    <row r="3545">
      <c r="A3545" s="12"/>
      <c r="B3545" s="12"/>
      <c r="C3545" s="5"/>
      <c r="D3545" s="11"/>
      <c r="E3545" s="11"/>
      <c r="F3545" s="11"/>
      <c r="G3545" s="11"/>
      <c r="H3545" s="11"/>
      <c r="I3545" s="11"/>
      <c r="J3545" s="9"/>
      <c r="P3545" s="15"/>
    </row>
    <row r="3546">
      <c r="A3546" s="12"/>
      <c r="B3546" s="12"/>
      <c r="C3546" s="5"/>
      <c r="D3546" s="11"/>
      <c r="E3546" s="11"/>
      <c r="F3546" s="11"/>
      <c r="G3546" s="11"/>
      <c r="H3546" s="11"/>
      <c r="I3546" s="11"/>
      <c r="J3546" s="9"/>
      <c r="P3546" s="15"/>
    </row>
    <row r="3547">
      <c r="A3547" s="12"/>
      <c r="B3547" s="12"/>
      <c r="C3547" s="5"/>
      <c r="D3547" s="11"/>
      <c r="E3547" s="11"/>
      <c r="F3547" s="11"/>
      <c r="G3547" s="11"/>
      <c r="H3547" s="11"/>
      <c r="I3547" s="11"/>
      <c r="J3547" s="9"/>
      <c r="P3547" s="15"/>
    </row>
    <row r="3548">
      <c r="A3548" s="12"/>
      <c r="B3548" s="12"/>
      <c r="C3548" s="5"/>
      <c r="D3548" s="11"/>
      <c r="E3548" s="11"/>
      <c r="F3548" s="11"/>
      <c r="G3548" s="11"/>
      <c r="H3548" s="11"/>
      <c r="I3548" s="11"/>
      <c r="J3548" s="9"/>
      <c r="P3548" s="15"/>
    </row>
    <row r="3549">
      <c r="A3549" s="12"/>
      <c r="B3549" s="12"/>
      <c r="C3549" s="5"/>
      <c r="D3549" s="11"/>
      <c r="E3549" s="11"/>
      <c r="F3549" s="11"/>
      <c r="G3549" s="11"/>
      <c r="H3549" s="11"/>
      <c r="I3549" s="11"/>
      <c r="J3549" s="9"/>
      <c r="P3549" s="15"/>
    </row>
    <row r="3550">
      <c r="A3550" s="12"/>
      <c r="B3550" s="12"/>
      <c r="C3550" s="5"/>
      <c r="D3550" s="11"/>
      <c r="E3550" s="11"/>
      <c r="F3550" s="11"/>
      <c r="G3550" s="11"/>
      <c r="H3550" s="11"/>
      <c r="I3550" s="11"/>
      <c r="J3550" s="9"/>
      <c r="P3550" s="15"/>
    </row>
    <row r="3551">
      <c r="A3551" s="12"/>
      <c r="B3551" s="12"/>
      <c r="C3551" s="5"/>
      <c r="D3551" s="11"/>
      <c r="E3551" s="11"/>
      <c r="F3551" s="11"/>
      <c r="G3551" s="11"/>
      <c r="H3551" s="11"/>
      <c r="I3551" s="11"/>
      <c r="J3551" s="9"/>
      <c r="P3551" s="15"/>
    </row>
    <row r="3552">
      <c r="A3552" s="12"/>
      <c r="B3552" s="12"/>
      <c r="C3552" s="5"/>
      <c r="D3552" s="11"/>
      <c r="E3552" s="11"/>
      <c r="F3552" s="11"/>
      <c r="G3552" s="11"/>
      <c r="H3552" s="11"/>
      <c r="I3552" s="11"/>
      <c r="J3552" s="9"/>
      <c r="P3552" s="15"/>
    </row>
    <row r="3553">
      <c r="A3553" s="12"/>
      <c r="B3553" s="12"/>
      <c r="C3553" s="5"/>
      <c r="D3553" s="11"/>
      <c r="E3553" s="11"/>
      <c r="F3553" s="11"/>
      <c r="G3553" s="11"/>
      <c r="H3553" s="11"/>
      <c r="I3553" s="11"/>
      <c r="J3553" s="9"/>
      <c r="P3553" s="15"/>
    </row>
    <row r="3554">
      <c r="A3554" s="12"/>
      <c r="B3554" s="12"/>
      <c r="C3554" s="5"/>
      <c r="D3554" s="11"/>
      <c r="E3554" s="11"/>
      <c r="F3554" s="11"/>
      <c r="G3554" s="11"/>
      <c r="H3554" s="11"/>
      <c r="I3554" s="11"/>
      <c r="J3554" s="9"/>
      <c r="P3554" s="15"/>
    </row>
    <row r="3555">
      <c r="A3555" s="12"/>
      <c r="B3555" s="12"/>
      <c r="C3555" s="5"/>
      <c r="D3555" s="11"/>
      <c r="E3555" s="11"/>
      <c r="F3555" s="11"/>
      <c r="G3555" s="11"/>
      <c r="H3555" s="11"/>
      <c r="I3555" s="11"/>
      <c r="J3555" s="9"/>
      <c r="P3555" s="15"/>
    </row>
    <row r="3556">
      <c r="A3556" s="12"/>
      <c r="B3556" s="12"/>
      <c r="C3556" s="5"/>
      <c r="D3556" s="11"/>
      <c r="E3556" s="11"/>
      <c r="F3556" s="11"/>
      <c r="G3556" s="11"/>
      <c r="H3556" s="11"/>
      <c r="I3556" s="11"/>
      <c r="J3556" s="9"/>
      <c r="P3556" s="15"/>
    </row>
    <row r="3557">
      <c r="A3557" s="12"/>
      <c r="B3557" s="12"/>
      <c r="C3557" s="5"/>
      <c r="D3557" s="11"/>
      <c r="E3557" s="11"/>
      <c r="F3557" s="11"/>
      <c r="G3557" s="11"/>
      <c r="H3557" s="11"/>
      <c r="I3557" s="11"/>
      <c r="J3557" s="9"/>
      <c r="P3557" s="15"/>
    </row>
    <row r="3558">
      <c r="A3558" s="12"/>
      <c r="B3558" s="12"/>
      <c r="C3558" s="5"/>
      <c r="D3558" s="11"/>
      <c r="E3558" s="11"/>
      <c r="F3558" s="11"/>
      <c r="G3558" s="11"/>
      <c r="H3558" s="11"/>
      <c r="I3558" s="11"/>
      <c r="J3558" s="9"/>
      <c r="P3558" s="15"/>
    </row>
    <row r="3559">
      <c r="A3559" s="12"/>
      <c r="B3559" s="12"/>
      <c r="C3559" s="5"/>
      <c r="D3559" s="11"/>
      <c r="E3559" s="11"/>
      <c r="F3559" s="11"/>
      <c r="G3559" s="11"/>
      <c r="H3559" s="11"/>
      <c r="I3559" s="11"/>
      <c r="J3559" s="9"/>
      <c r="P3559" s="15"/>
    </row>
    <row r="3560">
      <c r="A3560" s="12"/>
      <c r="B3560" s="12"/>
      <c r="C3560" s="5"/>
      <c r="D3560" s="11"/>
      <c r="E3560" s="11"/>
      <c r="F3560" s="11"/>
      <c r="G3560" s="11"/>
      <c r="H3560" s="11"/>
      <c r="I3560" s="11"/>
      <c r="J3560" s="9"/>
      <c r="P3560" s="15"/>
    </row>
    <row r="3561">
      <c r="A3561" s="12"/>
      <c r="B3561" s="12"/>
      <c r="C3561" s="5"/>
      <c r="D3561" s="11"/>
      <c r="E3561" s="11"/>
      <c r="F3561" s="11"/>
      <c r="G3561" s="11"/>
      <c r="H3561" s="11"/>
      <c r="I3561" s="11"/>
      <c r="J3561" s="9"/>
      <c r="P3561" s="15"/>
    </row>
    <row r="3562">
      <c r="A3562" s="12"/>
      <c r="B3562" s="12"/>
      <c r="C3562" s="5"/>
      <c r="D3562" s="11"/>
      <c r="E3562" s="11"/>
      <c r="F3562" s="11"/>
      <c r="G3562" s="11"/>
      <c r="H3562" s="11"/>
      <c r="I3562" s="11"/>
      <c r="J3562" s="9"/>
      <c r="P3562" s="15"/>
    </row>
    <row r="3563">
      <c r="A3563" s="12"/>
      <c r="B3563" s="12"/>
      <c r="C3563" s="5"/>
      <c r="D3563" s="11"/>
      <c r="E3563" s="11"/>
      <c r="F3563" s="11"/>
      <c r="G3563" s="11"/>
      <c r="H3563" s="11"/>
      <c r="I3563" s="11"/>
      <c r="J3563" s="9"/>
      <c r="P3563" s="15"/>
    </row>
    <row r="3564">
      <c r="A3564" s="12"/>
      <c r="B3564" s="12"/>
      <c r="C3564" s="5"/>
      <c r="D3564" s="11"/>
      <c r="E3564" s="11"/>
      <c r="F3564" s="11"/>
      <c r="G3564" s="11"/>
      <c r="H3564" s="11"/>
      <c r="I3564" s="11"/>
      <c r="J3564" s="9"/>
      <c r="P3564" s="15"/>
    </row>
    <row r="3565">
      <c r="A3565" s="12"/>
      <c r="B3565" s="12"/>
      <c r="C3565" s="5"/>
      <c r="D3565" s="11"/>
      <c r="E3565" s="11"/>
      <c r="F3565" s="11"/>
      <c r="G3565" s="11"/>
      <c r="H3565" s="11"/>
      <c r="I3565" s="11"/>
      <c r="J3565" s="9"/>
      <c r="P3565" s="15"/>
    </row>
    <row r="3566">
      <c r="A3566" s="12"/>
      <c r="B3566" s="12"/>
      <c r="C3566" s="5"/>
      <c r="D3566" s="11"/>
      <c r="E3566" s="11"/>
      <c r="F3566" s="11"/>
      <c r="G3566" s="11"/>
      <c r="H3566" s="11"/>
      <c r="I3566" s="11"/>
      <c r="J3566" s="9"/>
      <c r="P3566" s="15"/>
    </row>
    <row r="3567">
      <c r="A3567" s="12"/>
      <c r="B3567" s="12"/>
      <c r="C3567" s="5"/>
      <c r="D3567" s="11"/>
      <c r="E3567" s="11"/>
      <c r="F3567" s="11"/>
      <c r="G3567" s="11"/>
      <c r="H3567" s="11"/>
      <c r="I3567" s="11"/>
      <c r="J3567" s="9"/>
      <c r="P3567" s="15"/>
    </row>
    <row r="3568">
      <c r="A3568" s="12"/>
      <c r="B3568" s="12"/>
      <c r="C3568" s="5"/>
      <c r="D3568" s="11"/>
      <c r="E3568" s="11"/>
      <c r="F3568" s="11"/>
      <c r="G3568" s="11"/>
      <c r="H3568" s="11"/>
      <c r="I3568" s="11"/>
      <c r="J3568" s="9"/>
      <c r="P3568" s="15"/>
    </row>
    <row r="3569">
      <c r="A3569" s="12"/>
      <c r="B3569" s="12"/>
      <c r="C3569" s="5"/>
      <c r="D3569" s="11"/>
      <c r="E3569" s="11"/>
      <c r="F3569" s="11"/>
      <c r="G3569" s="11"/>
      <c r="H3569" s="11"/>
      <c r="I3569" s="11"/>
      <c r="J3569" s="9"/>
      <c r="P3569" s="15"/>
    </row>
    <row r="3570">
      <c r="A3570" s="12"/>
      <c r="B3570" s="12"/>
      <c r="C3570" s="5"/>
      <c r="D3570" s="11"/>
      <c r="E3570" s="11"/>
      <c r="F3570" s="11"/>
      <c r="G3570" s="11"/>
      <c r="H3570" s="11"/>
      <c r="I3570" s="11"/>
      <c r="J3570" s="9"/>
      <c r="P3570" s="15"/>
    </row>
    <row r="3571">
      <c r="A3571" s="12"/>
      <c r="B3571" s="12"/>
      <c r="C3571" s="5"/>
      <c r="D3571" s="11"/>
      <c r="E3571" s="11"/>
      <c r="F3571" s="11"/>
      <c r="G3571" s="11"/>
      <c r="H3571" s="11"/>
      <c r="I3571" s="11"/>
      <c r="J3571" s="9"/>
      <c r="P3571" s="15"/>
    </row>
    <row r="3572">
      <c r="A3572" s="12"/>
      <c r="B3572" s="12"/>
      <c r="C3572" s="5"/>
      <c r="D3572" s="11"/>
      <c r="E3572" s="11"/>
      <c r="F3572" s="11"/>
      <c r="G3572" s="11"/>
      <c r="H3572" s="11"/>
      <c r="I3572" s="11"/>
      <c r="J3572" s="9"/>
      <c r="P3572" s="15"/>
    </row>
    <row r="3573">
      <c r="A3573" s="12"/>
      <c r="B3573" s="12"/>
      <c r="C3573" s="5"/>
      <c r="D3573" s="11"/>
      <c r="E3573" s="11"/>
      <c r="F3573" s="11"/>
      <c r="G3573" s="11"/>
      <c r="H3573" s="11"/>
      <c r="I3573" s="11"/>
      <c r="J3573" s="9"/>
      <c r="P3573" s="15"/>
    </row>
    <row r="3574">
      <c r="A3574" s="12"/>
      <c r="B3574" s="12"/>
      <c r="C3574" s="5"/>
      <c r="D3574" s="11"/>
      <c r="E3574" s="11"/>
      <c r="F3574" s="11"/>
      <c r="G3574" s="11"/>
      <c r="H3574" s="11"/>
      <c r="I3574" s="11"/>
      <c r="J3574" s="9"/>
      <c r="P3574" s="15"/>
    </row>
    <row r="3575">
      <c r="A3575" s="12"/>
      <c r="B3575" s="12"/>
      <c r="C3575" s="5"/>
      <c r="D3575" s="11"/>
      <c r="E3575" s="11"/>
      <c r="F3575" s="11"/>
      <c r="G3575" s="11"/>
      <c r="H3575" s="11"/>
      <c r="I3575" s="11"/>
      <c r="J3575" s="9"/>
      <c r="P3575" s="15"/>
    </row>
    <row r="3576">
      <c r="A3576" s="12"/>
      <c r="B3576" s="12"/>
      <c r="C3576" s="5"/>
      <c r="D3576" s="11"/>
      <c r="E3576" s="11"/>
      <c r="F3576" s="11"/>
      <c r="G3576" s="11"/>
      <c r="H3576" s="11"/>
      <c r="I3576" s="11"/>
      <c r="J3576" s="9"/>
      <c r="P3576" s="15"/>
    </row>
    <row r="3577">
      <c r="A3577" s="12"/>
      <c r="B3577" s="12"/>
      <c r="C3577" s="5"/>
      <c r="D3577" s="11"/>
      <c r="E3577" s="11"/>
      <c r="F3577" s="11"/>
      <c r="G3577" s="11"/>
      <c r="H3577" s="11"/>
      <c r="I3577" s="11"/>
      <c r="J3577" s="9"/>
      <c r="P3577" s="15"/>
    </row>
    <row r="3578">
      <c r="A3578" s="12"/>
      <c r="B3578" s="12"/>
      <c r="C3578" s="5"/>
      <c r="D3578" s="11"/>
      <c r="E3578" s="11"/>
      <c r="F3578" s="11"/>
      <c r="G3578" s="11"/>
      <c r="H3578" s="11"/>
      <c r="I3578" s="11"/>
      <c r="J3578" s="9"/>
      <c r="P3578" s="15"/>
    </row>
    <row r="3579">
      <c r="A3579" s="12"/>
      <c r="B3579" s="12"/>
      <c r="C3579" s="5"/>
      <c r="D3579" s="11"/>
      <c r="E3579" s="11"/>
      <c r="F3579" s="11"/>
      <c r="G3579" s="11"/>
      <c r="H3579" s="11"/>
      <c r="I3579" s="11"/>
      <c r="J3579" s="9"/>
      <c r="P3579" s="15"/>
    </row>
    <row r="3580">
      <c r="A3580" s="12"/>
      <c r="B3580" s="12"/>
      <c r="C3580" s="5"/>
      <c r="D3580" s="11"/>
      <c r="E3580" s="11"/>
      <c r="F3580" s="11"/>
      <c r="G3580" s="11"/>
      <c r="H3580" s="11"/>
      <c r="I3580" s="11"/>
      <c r="J3580" s="9"/>
      <c r="P3580" s="15"/>
    </row>
    <row r="3581">
      <c r="A3581" s="12"/>
      <c r="B3581" s="12"/>
      <c r="C3581" s="5"/>
      <c r="D3581" s="11"/>
      <c r="E3581" s="11"/>
      <c r="F3581" s="11"/>
      <c r="G3581" s="11"/>
      <c r="H3581" s="11"/>
      <c r="I3581" s="11"/>
      <c r="J3581" s="9"/>
      <c r="P3581" s="15"/>
    </row>
    <row r="3582">
      <c r="A3582" s="12"/>
      <c r="B3582" s="12"/>
      <c r="C3582" s="5"/>
      <c r="D3582" s="11"/>
      <c r="E3582" s="11"/>
      <c r="F3582" s="11"/>
      <c r="G3582" s="11"/>
      <c r="H3582" s="11"/>
      <c r="I3582" s="11"/>
      <c r="J3582" s="9"/>
      <c r="P3582" s="15"/>
    </row>
    <row r="3583">
      <c r="A3583" s="12"/>
      <c r="B3583" s="12"/>
      <c r="C3583" s="5"/>
      <c r="D3583" s="11"/>
      <c r="E3583" s="11"/>
      <c r="F3583" s="11"/>
      <c r="G3583" s="11"/>
      <c r="H3583" s="11"/>
      <c r="I3583" s="11"/>
      <c r="J3583" s="9"/>
      <c r="P3583" s="15"/>
    </row>
    <row r="3584">
      <c r="A3584" s="12"/>
      <c r="B3584" s="12"/>
      <c r="C3584" s="5"/>
      <c r="D3584" s="11"/>
      <c r="E3584" s="11"/>
      <c r="F3584" s="11"/>
      <c r="G3584" s="11"/>
      <c r="H3584" s="11"/>
      <c r="I3584" s="11"/>
      <c r="J3584" s="9"/>
      <c r="P3584" s="15"/>
    </row>
    <row r="3585">
      <c r="A3585" s="12"/>
      <c r="B3585" s="12"/>
      <c r="C3585" s="5"/>
      <c r="D3585" s="11"/>
      <c r="E3585" s="11"/>
      <c r="F3585" s="11"/>
      <c r="G3585" s="11"/>
      <c r="H3585" s="11"/>
      <c r="I3585" s="11"/>
      <c r="J3585" s="9"/>
      <c r="P3585" s="15"/>
    </row>
    <row r="3586">
      <c r="A3586" s="12"/>
      <c r="B3586" s="12"/>
      <c r="C3586" s="5"/>
      <c r="D3586" s="11"/>
      <c r="E3586" s="11"/>
      <c r="F3586" s="11"/>
      <c r="G3586" s="11"/>
      <c r="H3586" s="11"/>
      <c r="I3586" s="11"/>
      <c r="J3586" s="9"/>
      <c r="P3586" s="15"/>
    </row>
    <row r="3587">
      <c r="A3587" s="12"/>
      <c r="B3587" s="12"/>
      <c r="C3587" s="5"/>
      <c r="D3587" s="11"/>
      <c r="E3587" s="11"/>
      <c r="F3587" s="11"/>
      <c r="G3587" s="11"/>
      <c r="H3587" s="11"/>
      <c r="I3587" s="11"/>
      <c r="J3587" s="9"/>
      <c r="P3587" s="15"/>
    </row>
    <row r="3588">
      <c r="A3588" s="12"/>
      <c r="B3588" s="12"/>
      <c r="C3588" s="5"/>
      <c r="D3588" s="11"/>
      <c r="E3588" s="11"/>
      <c r="F3588" s="11"/>
      <c r="G3588" s="11"/>
      <c r="H3588" s="11"/>
      <c r="I3588" s="11"/>
      <c r="J3588" s="9"/>
      <c r="P3588" s="15"/>
    </row>
    <row r="3589">
      <c r="A3589" s="12"/>
      <c r="B3589" s="12"/>
      <c r="C3589" s="5"/>
      <c r="D3589" s="11"/>
      <c r="E3589" s="11"/>
      <c r="F3589" s="11"/>
      <c r="G3589" s="11"/>
      <c r="H3589" s="11"/>
      <c r="I3589" s="11"/>
      <c r="J3589" s="9"/>
      <c r="P3589" s="15"/>
    </row>
    <row r="3590">
      <c r="A3590" s="12"/>
      <c r="B3590" s="12"/>
      <c r="C3590" s="5"/>
      <c r="D3590" s="11"/>
      <c r="E3590" s="11"/>
      <c r="F3590" s="11"/>
      <c r="G3590" s="11"/>
      <c r="H3590" s="11"/>
      <c r="I3590" s="11"/>
      <c r="J3590" s="9"/>
      <c r="P3590" s="15"/>
    </row>
    <row r="3591">
      <c r="A3591" s="12"/>
      <c r="B3591" s="12"/>
      <c r="C3591" s="5"/>
      <c r="D3591" s="11"/>
      <c r="E3591" s="11"/>
      <c r="F3591" s="11"/>
      <c r="G3591" s="11"/>
      <c r="H3591" s="11"/>
      <c r="I3591" s="11"/>
      <c r="J3591" s="9"/>
      <c r="P3591" s="15"/>
    </row>
    <row r="3592">
      <c r="A3592" s="12"/>
      <c r="B3592" s="12"/>
      <c r="C3592" s="5"/>
      <c r="D3592" s="11"/>
      <c r="E3592" s="11"/>
      <c r="F3592" s="11"/>
      <c r="G3592" s="11"/>
      <c r="H3592" s="11"/>
      <c r="I3592" s="11"/>
      <c r="J3592" s="9"/>
      <c r="P3592" s="15"/>
    </row>
    <row r="3593">
      <c r="A3593" s="12"/>
      <c r="B3593" s="12"/>
      <c r="C3593" s="5"/>
      <c r="D3593" s="11"/>
      <c r="E3593" s="11"/>
      <c r="F3593" s="11"/>
      <c r="G3593" s="11"/>
      <c r="H3593" s="11"/>
      <c r="I3593" s="11"/>
      <c r="J3593" s="9"/>
      <c r="P3593" s="15"/>
    </row>
    <row r="3594">
      <c r="A3594" s="12"/>
      <c r="B3594" s="12"/>
      <c r="C3594" s="5"/>
      <c r="D3594" s="11"/>
      <c r="E3594" s="11"/>
      <c r="F3594" s="11"/>
      <c r="G3594" s="11"/>
      <c r="H3594" s="11"/>
      <c r="I3594" s="11"/>
      <c r="J3594" s="9"/>
      <c r="P3594" s="15"/>
    </row>
    <row r="3595">
      <c r="A3595" s="12"/>
      <c r="B3595" s="12"/>
      <c r="C3595" s="5"/>
      <c r="D3595" s="11"/>
      <c r="E3595" s="11"/>
      <c r="F3595" s="11"/>
      <c r="G3595" s="11"/>
      <c r="H3595" s="11"/>
      <c r="I3595" s="11"/>
      <c r="J3595" s="9"/>
      <c r="P3595" s="15"/>
    </row>
    <row r="3596">
      <c r="A3596" s="12"/>
      <c r="B3596" s="12"/>
      <c r="C3596" s="5"/>
      <c r="D3596" s="11"/>
      <c r="E3596" s="11"/>
      <c r="F3596" s="11"/>
      <c r="G3596" s="11"/>
      <c r="H3596" s="11"/>
      <c r="I3596" s="11"/>
      <c r="J3596" s="9"/>
      <c r="P3596" s="15"/>
    </row>
    <row r="3597">
      <c r="A3597" s="12"/>
      <c r="B3597" s="12"/>
      <c r="C3597" s="5"/>
      <c r="D3597" s="11"/>
      <c r="E3597" s="11"/>
      <c r="F3597" s="11"/>
      <c r="G3597" s="11"/>
      <c r="H3597" s="11"/>
      <c r="I3597" s="11"/>
      <c r="J3597" s="9"/>
      <c r="P3597" s="15"/>
    </row>
    <row r="3598">
      <c r="A3598" s="12"/>
      <c r="B3598" s="12"/>
      <c r="C3598" s="5"/>
      <c r="D3598" s="11"/>
      <c r="E3598" s="11"/>
      <c r="F3598" s="11"/>
      <c r="G3598" s="11"/>
      <c r="H3598" s="11"/>
      <c r="I3598" s="11"/>
      <c r="J3598" s="9"/>
      <c r="P3598" s="15"/>
    </row>
    <row r="3599">
      <c r="A3599" s="12"/>
      <c r="B3599" s="12"/>
      <c r="C3599" s="5"/>
      <c r="D3599" s="11"/>
      <c r="E3599" s="11"/>
      <c r="F3599" s="11"/>
      <c r="G3599" s="11"/>
      <c r="H3599" s="11"/>
      <c r="I3599" s="11"/>
      <c r="J3599" s="9"/>
      <c r="P3599" s="15"/>
    </row>
    <row r="3600">
      <c r="A3600" s="12"/>
      <c r="B3600" s="12"/>
      <c r="C3600" s="5"/>
      <c r="D3600" s="11"/>
      <c r="E3600" s="11"/>
      <c r="F3600" s="11"/>
      <c r="G3600" s="11"/>
      <c r="H3600" s="11"/>
      <c r="I3600" s="11"/>
      <c r="J3600" s="9"/>
      <c r="P3600" s="15"/>
    </row>
    <row r="3601">
      <c r="A3601" s="12"/>
      <c r="B3601" s="12"/>
      <c r="C3601" s="5"/>
      <c r="D3601" s="11"/>
      <c r="E3601" s="11"/>
      <c r="F3601" s="11"/>
      <c r="G3601" s="11"/>
      <c r="H3601" s="11"/>
      <c r="I3601" s="11"/>
      <c r="J3601" s="9"/>
      <c r="P3601" s="15"/>
    </row>
    <row r="3602">
      <c r="A3602" s="12"/>
      <c r="B3602" s="12"/>
      <c r="C3602" s="5"/>
      <c r="D3602" s="11"/>
      <c r="E3602" s="11"/>
      <c r="F3602" s="11"/>
      <c r="G3602" s="11"/>
      <c r="H3602" s="11"/>
      <c r="I3602" s="11"/>
      <c r="J3602" s="9"/>
      <c r="P3602" s="15"/>
    </row>
    <row r="3603">
      <c r="A3603" s="12"/>
      <c r="B3603" s="12"/>
      <c r="C3603" s="5"/>
      <c r="D3603" s="11"/>
      <c r="E3603" s="11"/>
      <c r="F3603" s="11"/>
      <c r="G3603" s="11"/>
      <c r="H3603" s="11"/>
      <c r="I3603" s="11"/>
      <c r="J3603" s="9"/>
      <c r="P3603" s="15"/>
    </row>
    <row r="3604">
      <c r="A3604" s="12"/>
      <c r="B3604" s="12"/>
      <c r="C3604" s="5"/>
      <c r="D3604" s="11"/>
      <c r="E3604" s="11"/>
      <c r="F3604" s="11"/>
      <c r="G3604" s="11"/>
      <c r="H3604" s="11"/>
      <c r="I3604" s="11"/>
      <c r="J3604" s="9"/>
      <c r="P3604" s="15"/>
    </row>
    <row r="3605">
      <c r="A3605" s="12"/>
      <c r="B3605" s="12"/>
      <c r="C3605" s="5"/>
      <c r="D3605" s="11"/>
      <c r="E3605" s="11"/>
      <c r="F3605" s="11"/>
      <c r="G3605" s="11"/>
      <c r="H3605" s="11"/>
      <c r="I3605" s="11"/>
      <c r="J3605" s="9"/>
      <c r="P3605" s="15"/>
    </row>
    <row r="3606">
      <c r="A3606" s="12"/>
      <c r="B3606" s="12"/>
      <c r="C3606" s="5"/>
      <c r="D3606" s="11"/>
      <c r="E3606" s="11"/>
      <c r="F3606" s="11"/>
      <c r="G3606" s="11"/>
      <c r="H3606" s="11"/>
      <c r="I3606" s="11"/>
      <c r="J3606" s="9"/>
      <c r="P3606" s="15"/>
    </row>
    <row r="3607">
      <c r="A3607" s="12"/>
      <c r="B3607" s="12"/>
      <c r="C3607" s="5"/>
      <c r="D3607" s="11"/>
      <c r="E3607" s="11"/>
      <c r="F3607" s="11"/>
      <c r="G3607" s="11"/>
      <c r="H3607" s="11"/>
      <c r="I3607" s="11"/>
      <c r="J3607" s="9"/>
      <c r="P3607" s="15"/>
    </row>
    <row r="3608">
      <c r="A3608" s="12"/>
      <c r="B3608" s="12"/>
      <c r="C3608" s="5"/>
      <c r="D3608" s="11"/>
      <c r="E3608" s="11"/>
      <c r="F3608" s="11"/>
      <c r="G3608" s="11"/>
      <c r="H3608" s="11"/>
      <c r="I3608" s="11"/>
      <c r="J3608" s="9"/>
      <c r="P3608" s="15"/>
    </row>
    <row r="3609">
      <c r="A3609" s="12"/>
      <c r="B3609" s="12"/>
      <c r="C3609" s="5"/>
      <c r="D3609" s="11"/>
      <c r="E3609" s="11"/>
      <c r="F3609" s="11"/>
      <c r="G3609" s="11"/>
      <c r="H3609" s="11"/>
      <c r="I3609" s="11"/>
      <c r="J3609" s="9"/>
      <c r="P3609" s="15"/>
    </row>
    <row r="3610">
      <c r="A3610" s="12"/>
      <c r="B3610" s="12"/>
      <c r="C3610" s="5"/>
      <c r="D3610" s="11"/>
      <c r="E3610" s="11"/>
      <c r="F3610" s="11"/>
      <c r="G3610" s="11"/>
      <c r="H3610" s="11"/>
      <c r="I3610" s="11"/>
      <c r="J3610" s="9"/>
      <c r="P3610" s="15"/>
    </row>
    <row r="3611">
      <c r="A3611" s="12"/>
      <c r="B3611" s="12"/>
      <c r="C3611" s="5"/>
      <c r="D3611" s="11"/>
      <c r="E3611" s="11"/>
      <c r="F3611" s="11"/>
      <c r="G3611" s="11"/>
      <c r="H3611" s="11"/>
      <c r="I3611" s="11"/>
      <c r="J3611" s="9"/>
      <c r="P3611" s="15"/>
    </row>
    <row r="3612">
      <c r="A3612" s="12"/>
      <c r="B3612" s="12"/>
      <c r="C3612" s="5"/>
      <c r="D3612" s="11"/>
      <c r="E3612" s="11"/>
      <c r="F3612" s="11"/>
      <c r="G3612" s="11"/>
      <c r="H3612" s="11"/>
      <c r="I3612" s="11"/>
      <c r="J3612" s="9"/>
      <c r="P3612" s="15"/>
    </row>
    <row r="3613">
      <c r="A3613" s="12"/>
      <c r="B3613" s="12"/>
      <c r="C3613" s="5"/>
      <c r="D3613" s="11"/>
      <c r="E3613" s="11"/>
      <c r="F3613" s="11"/>
      <c r="G3613" s="11"/>
      <c r="H3613" s="11"/>
      <c r="I3613" s="11"/>
      <c r="J3613" s="9"/>
      <c r="P3613" s="15"/>
    </row>
    <row r="3614">
      <c r="A3614" s="12"/>
      <c r="B3614" s="12"/>
      <c r="C3614" s="5"/>
      <c r="D3614" s="11"/>
      <c r="E3614" s="11"/>
      <c r="F3614" s="11"/>
      <c r="G3614" s="11"/>
      <c r="H3614" s="11"/>
      <c r="I3614" s="11"/>
      <c r="J3614" s="9"/>
      <c r="P3614" s="15"/>
    </row>
    <row r="3615">
      <c r="A3615" s="12"/>
      <c r="B3615" s="12"/>
      <c r="C3615" s="5"/>
      <c r="D3615" s="11"/>
      <c r="E3615" s="11"/>
      <c r="F3615" s="11"/>
      <c r="G3615" s="11"/>
      <c r="H3615" s="11"/>
      <c r="I3615" s="11"/>
      <c r="J3615" s="9"/>
      <c r="P3615" s="15"/>
    </row>
    <row r="3616">
      <c r="A3616" s="12"/>
      <c r="B3616" s="12"/>
      <c r="C3616" s="5"/>
      <c r="D3616" s="11"/>
      <c r="E3616" s="11"/>
      <c r="F3616" s="11"/>
      <c r="G3616" s="11"/>
      <c r="H3616" s="11"/>
      <c r="I3616" s="11"/>
      <c r="J3616" s="9"/>
      <c r="P3616" s="15"/>
    </row>
    <row r="3617">
      <c r="A3617" s="12"/>
      <c r="B3617" s="12"/>
      <c r="C3617" s="5"/>
      <c r="D3617" s="11"/>
      <c r="E3617" s="11"/>
      <c r="F3617" s="11"/>
      <c r="G3617" s="11"/>
      <c r="H3617" s="11"/>
      <c r="I3617" s="11"/>
      <c r="J3617" s="9"/>
      <c r="P3617" s="15"/>
    </row>
    <row r="3618">
      <c r="A3618" s="12"/>
      <c r="B3618" s="12"/>
      <c r="C3618" s="5"/>
      <c r="D3618" s="11"/>
      <c r="E3618" s="11"/>
      <c r="F3618" s="11"/>
      <c r="G3618" s="11"/>
      <c r="H3618" s="11"/>
      <c r="I3618" s="11"/>
      <c r="J3618" s="9"/>
      <c r="P3618" s="15"/>
    </row>
    <row r="3619">
      <c r="A3619" s="12"/>
      <c r="B3619" s="12"/>
      <c r="C3619" s="5"/>
      <c r="D3619" s="11"/>
      <c r="E3619" s="11"/>
      <c r="F3619" s="11"/>
      <c r="G3619" s="11"/>
      <c r="H3619" s="11"/>
      <c r="I3619" s="11"/>
      <c r="J3619" s="9"/>
      <c r="P3619" s="15"/>
    </row>
    <row r="3620">
      <c r="A3620" s="12"/>
      <c r="B3620" s="12"/>
      <c r="C3620" s="5"/>
      <c r="D3620" s="11"/>
      <c r="E3620" s="11"/>
      <c r="F3620" s="11"/>
      <c r="G3620" s="11"/>
      <c r="H3620" s="11"/>
      <c r="I3620" s="11"/>
      <c r="J3620" s="9"/>
      <c r="P3620" s="15"/>
    </row>
    <row r="3621">
      <c r="A3621" s="12"/>
      <c r="B3621" s="12"/>
      <c r="C3621" s="5"/>
      <c r="D3621" s="11"/>
      <c r="E3621" s="11"/>
      <c r="F3621" s="11"/>
      <c r="G3621" s="11"/>
      <c r="H3621" s="11"/>
      <c r="I3621" s="11"/>
      <c r="J3621" s="9"/>
      <c r="P3621" s="15"/>
    </row>
    <row r="3622">
      <c r="A3622" s="12"/>
      <c r="B3622" s="12"/>
      <c r="C3622" s="5"/>
      <c r="D3622" s="11"/>
      <c r="E3622" s="11"/>
      <c r="F3622" s="11"/>
      <c r="G3622" s="11"/>
      <c r="H3622" s="11"/>
      <c r="I3622" s="11"/>
      <c r="J3622" s="9"/>
      <c r="P3622" s="15"/>
    </row>
    <row r="3623">
      <c r="A3623" s="12"/>
      <c r="B3623" s="12"/>
      <c r="C3623" s="5"/>
      <c r="D3623" s="11"/>
      <c r="E3623" s="11"/>
      <c r="F3623" s="11"/>
      <c r="G3623" s="11"/>
      <c r="H3623" s="11"/>
      <c r="I3623" s="11"/>
      <c r="J3623" s="9"/>
      <c r="P3623" s="15"/>
    </row>
    <row r="3624">
      <c r="A3624" s="12"/>
      <c r="B3624" s="12"/>
      <c r="C3624" s="5"/>
      <c r="D3624" s="11"/>
      <c r="E3624" s="11"/>
      <c r="F3624" s="11"/>
      <c r="G3624" s="11"/>
      <c r="H3624" s="11"/>
      <c r="I3624" s="11"/>
      <c r="J3624" s="9"/>
      <c r="P3624" s="15"/>
    </row>
    <row r="3625">
      <c r="A3625" s="12"/>
      <c r="B3625" s="12"/>
      <c r="C3625" s="5"/>
      <c r="D3625" s="11"/>
      <c r="E3625" s="11"/>
      <c r="F3625" s="11"/>
      <c r="G3625" s="11"/>
      <c r="H3625" s="11"/>
      <c r="I3625" s="11"/>
      <c r="J3625" s="9"/>
      <c r="P3625" s="15"/>
    </row>
    <row r="3626">
      <c r="A3626" s="12"/>
      <c r="B3626" s="12"/>
      <c r="C3626" s="5"/>
      <c r="D3626" s="11"/>
      <c r="E3626" s="11"/>
      <c r="F3626" s="11"/>
      <c r="G3626" s="11"/>
      <c r="H3626" s="11"/>
      <c r="I3626" s="11"/>
      <c r="J3626" s="9"/>
      <c r="P3626" s="15"/>
    </row>
    <row r="3627">
      <c r="A3627" s="12"/>
      <c r="B3627" s="12"/>
      <c r="C3627" s="5"/>
      <c r="D3627" s="11"/>
      <c r="E3627" s="11"/>
      <c r="F3627" s="11"/>
      <c r="G3627" s="11"/>
      <c r="H3627" s="11"/>
      <c r="I3627" s="11"/>
      <c r="J3627" s="9"/>
      <c r="P3627" s="15"/>
    </row>
    <row r="3628">
      <c r="A3628" s="12"/>
      <c r="B3628" s="12"/>
      <c r="C3628" s="5"/>
      <c r="D3628" s="11"/>
      <c r="E3628" s="11"/>
      <c r="F3628" s="11"/>
      <c r="G3628" s="11"/>
      <c r="H3628" s="11"/>
      <c r="I3628" s="11"/>
      <c r="J3628" s="9"/>
      <c r="P3628" s="15"/>
    </row>
    <row r="3629">
      <c r="A3629" s="12"/>
      <c r="B3629" s="12"/>
      <c r="C3629" s="5"/>
      <c r="D3629" s="11"/>
      <c r="E3629" s="11"/>
      <c r="F3629" s="11"/>
      <c r="G3629" s="11"/>
      <c r="H3629" s="11"/>
      <c r="I3629" s="11"/>
      <c r="J3629" s="9"/>
      <c r="P3629" s="15"/>
    </row>
    <row r="3630">
      <c r="A3630" s="12"/>
      <c r="B3630" s="12"/>
      <c r="C3630" s="5"/>
      <c r="D3630" s="11"/>
      <c r="E3630" s="11"/>
      <c r="F3630" s="11"/>
      <c r="G3630" s="11"/>
      <c r="H3630" s="11"/>
      <c r="I3630" s="11"/>
      <c r="J3630" s="9"/>
      <c r="P3630" s="15"/>
    </row>
    <row r="3631">
      <c r="A3631" s="12"/>
      <c r="B3631" s="12"/>
      <c r="C3631" s="5"/>
      <c r="D3631" s="11"/>
      <c r="E3631" s="11"/>
      <c r="F3631" s="11"/>
      <c r="G3631" s="11"/>
      <c r="H3631" s="11"/>
      <c r="I3631" s="11"/>
      <c r="J3631" s="9"/>
      <c r="P3631" s="15"/>
    </row>
    <row r="3632">
      <c r="A3632" s="12"/>
      <c r="B3632" s="12"/>
      <c r="C3632" s="5"/>
      <c r="D3632" s="11"/>
      <c r="E3632" s="11"/>
      <c r="F3632" s="11"/>
      <c r="G3632" s="11"/>
      <c r="H3632" s="11"/>
      <c r="I3632" s="11"/>
      <c r="J3632" s="9"/>
      <c r="P3632" s="15"/>
    </row>
    <row r="3633">
      <c r="A3633" s="12"/>
      <c r="B3633" s="12"/>
      <c r="C3633" s="5"/>
      <c r="D3633" s="11"/>
      <c r="E3633" s="11"/>
      <c r="F3633" s="11"/>
      <c r="G3633" s="11"/>
      <c r="H3633" s="11"/>
      <c r="I3633" s="11"/>
      <c r="J3633" s="9"/>
      <c r="P3633" s="15"/>
    </row>
    <row r="3634">
      <c r="A3634" s="12"/>
      <c r="B3634" s="12"/>
      <c r="C3634" s="5"/>
      <c r="D3634" s="11"/>
      <c r="E3634" s="11"/>
      <c r="F3634" s="11"/>
      <c r="G3634" s="11"/>
      <c r="H3634" s="11"/>
      <c r="I3634" s="11"/>
      <c r="J3634" s="9"/>
      <c r="P3634" s="15"/>
    </row>
    <row r="3635">
      <c r="A3635" s="12"/>
      <c r="B3635" s="12"/>
      <c r="C3635" s="5"/>
      <c r="D3635" s="11"/>
      <c r="E3635" s="11"/>
      <c r="F3635" s="11"/>
      <c r="G3635" s="11"/>
      <c r="H3635" s="11"/>
      <c r="I3635" s="11"/>
      <c r="J3635" s="9"/>
      <c r="P3635" s="15"/>
    </row>
    <row r="3636">
      <c r="A3636" s="12"/>
      <c r="B3636" s="12"/>
      <c r="C3636" s="5"/>
      <c r="D3636" s="11"/>
      <c r="E3636" s="11"/>
      <c r="F3636" s="11"/>
      <c r="G3636" s="11"/>
      <c r="H3636" s="11"/>
      <c r="I3636" s="11"/>
      <c r="J3636" s="9"/>
      <c r="P3636" s="15"/>
    </row>
    <row r="3637">
      <c r="A3637" s="12"/>
      <c r="B3637" s="12"/>
      <c r="C3637" s="5"/>
      <c r="D3637" s="11"/>
      <c r="E3637" s="11"/>
      <c r="F3637" s="11"/>
      <c r="G3637" s="11"/>
      <c r="H3637" s="11"/>
      <c r="I3637" s="11"/>
      <c r="J3637" s="9"/>
      <c r="P3637" s="15"/>
    </row>
    <row r="3638">
      <c r="A3638" s="12"/>
      <c r="B3638" s="12"/>
      <c r="C3638" s="5"/>
      <c r="D3638" s="11"/>
      <c r="E3638" s="11"/>
      <c r="F3638" s="11"/>
      <c r="G3638" s="11"/>
      <c r="H3638" s="11"/>
      <c r="I3638" s="11"/>
      <c r="J3638" s="9"/>
      <c r="P3638" s="15"/>
    </row>
    <row r="3639">
      <c r="A3639" s="12"/>
      <c r="B3639" s="12"/>
      <c r="C3639" s="5"/>
      <c r="D3639" s="11"/>
      <c r="E3639" s="11"/>
      <c r="F3639" s="11"/>
      <c r="G3639" s="11"/>
      <c r="H3639" s="11"/>
      <c r="I3639" s="11"/>
      <c r="J3639" s="9"/>
      <c r="P3639" s="15"/>
    </row>
    <row r="3640">
      <c r="A3640" s="12"/>
      <c r="B3640" s="12"/>
      <c r="C3640" s="5"/>
      <c r="D3640" s="11"/>
      <c r="E3640" s="11"/>
      <c r="F3640" s="11"/>
      <c r="G3640" s="11"/>
      <c r="H3640" s="11"/>
      <c r="I3640" s="11"/>
      <c r="J3640" s="9"/>
      <c r="P3640" s="15"/>
    </row>
    <row r="3641">
      <c r="A3641" s="12"/>
      <c r="B3641" s="12"/>
      <c r="C3641" s="5"/>
      <c r="D3641" s="11"/>
      <c r="E3641" s="11"/>
      <c r="F3641" s="11"/>
      <c r="G3641" s="11"/>
      <c r="H3641" s="11"/>
      <c r="I3641" s="11"/>
      <c r="J3641" s="9"/>
      <c r="P3641" s="15"/>
    </row>
    <row r="3642">
      <c r="A3642" s="12"/>
      <c r="B3642" s="12"/>
      <c r="C3642" s="5"/>
      <c r="D3642" s="11"/>
      <c r="E3642" s="11"/>
      <c r="F3642" s="11"/>
      <c r="G3642" s="11"/>
      <c r="H3642" s="11"/>
      <c r="I3642" s="11"/>
      <c r="J3642" s="9"/>
      <c r="P3642" s="15"/>
    </row>
    <row r="3643">
      <c r="A3643" s="12"/>
      <c r="B3643" s="12"/>
      <c r="C3643" s="5"/>
      <c r="D3643" s="11"/>
      <c r="E3643" s="11"/>
      <c r="F3643" s="11"/>
      <c r="G3643" s="11"/>
      <c r="H3643" s="11"/>
      <c r="I3643" s="11"/>
      <c r="J3643" s="9"/>
      <c r="P3643" s="15"/>
    </row>
    <row r="3644">
      <c r="A3644" s="12"/>
      <c r="B3644" s="12"/>
      <c r="C3644" s="5"/>
      <c r="D3644" s="11"/>
      <c r="E3644" s="11"/>
      <c r="F3644" s="11"/>
      <c r="G3644" s="11"/>
      <c r="H3644" s="11"/>
      <c r="I3644" s="11"/>
      <c r="J3644" s="9"/>
      <c r="P3644" s="15"/>
    </row>
    <row r="3645">
      <c r="A3645" s="12"/>
      <c r="B3645" s="12"/>
      <c r="C3645" s="5"/>
      <c r="D3645" s="11"/>
      <c r="E3645" s="11"/>
      <c r="F3645" s="11"/>
      <c r="G3645" s="11"/>
      <c r="H3645" s="11"/>
      <c r="I3645" s="11"/>
      <c r="J3645" s="9"/>
      <c r="P3645" s="15"/>
    </row>
    <row r="3646">
      <c r="A3646" s="12"/>
      <c r="B3646" s="12"/>
      <c r="C3646" s="5"/>
      <c r="D3646" s="11"/>
      <c r="E3646" s="11"/>
      <c r="F3646" s="11"/>
      <c r="G3646" s="11"/>
      <c r="H3646" s="11"/>
      <c r="I3646" s="11"/>
      <c r="J3646" s="9"/>
      <c r="P3646" s="15"/>
    </row>
    <row r="3647">
      <c r="A3647" s="12"/>
      <c r="B3647" s="12"/>
      <c r="C3647" s="5"/>
      <c r="D3647" s="11"/>
      <c r="E3647" s="11"/>
      <c r="F3647" s="11"/>
      <c r="G3647" s="11"/>
      <c r="H3647" s="11"/>
      <c r="I3647" s="11"/>
      <c r="J3647" s="9"/>
      <c r="P3647" s="15"/>
    </row>
    <row r="3648">
      <c r="A3648" s="12"/>
      <c r="B3648" s="12"/>
      <c r="C3648" s="5"/>
      <c r="D3648" s="11"/>
      <c r="E3648" s="11"/>
      <c r="F3648" s="11"/>
      <c r="G3648" s="11"/>
      <c r="H3648" s="11"/>
      <c r="I3648" s="11"/>
      <c r="J3648" s="9"/>
      <c r="P3648" s="15"/>
    </row>
    <row r="3649">
      <c r="A3649" s="12"/>
      <c r="B3649" s="12"/>
      <c r="C3649" s="5"/>
      <c r="D3649" s="11"/>
      <c r="E3649" s="11"/>
      <c r="F3649" s="11"/>
      <c r="G3649" s="11"/>
      <c r="H3649" s="11"/>
      <c r="I3649" s="11"/>
      <c r="J3649" s="9"/>
      <c r="P3649" s="15"/>
    </row>
    <row r="3650">
      <c r="A3650" s="12"/>
      <c r="B3650" s="12"/>
      <c r="C3650" s="5"/>
      <c r="D3650" s="11"/>
      <c r="E3650" s="11"/>
      <c r="F3650" s="11"/>
      <c r="G3650" s="11"/>
      <c r="H3650" s="11"/>
      <c r="I3650" s="11"/>
      <c r="J3650" s="9"/>
      <c r="P3650" s="15"/>
    </row>
    <row r="3651">
      <c r="A3651" s="12"/>
      <c r="B3651" s="12"/>
      <c r="C3651" s="5"/>
      <c r="D3651" s="11"/>
      <c r="E3651" s="11"/>
      <c r="F3651" s="11"/>
      <c r="G3651" s="11"/>
      <c r="H3651" s="11"/>
      <c r="I3651" s="11"/>
      <c r="J3651" s="9"/>
      <c r="P3651" s="15"/>
    </row>
    <row r="3652">
      <c r="A3652" s="12"/>
      <c r="B3652" s="12"/>
      <c r="C3652" s="5"/>
      <c r="D3652" s="11"/>
      <c r="E3652" s="11"/>
      <c r="F3652" s="11"/>
      <c r="G3652" s="11"/>
      <c r="H3652" s="11"/>
      <c r="I3652" s="11"/>
      <c r="J3652" s="9"/>
      <c r="P3652" s="15"/>
    </row>
    <row r="3653">
      <c r="A3653" s="12"/>
      <c r="B3653" s="12"/>
      <c r="C3653" s="5"/>
      <c r="D3653" s="11"/>
      <c r="E3653" s="11"/>
      <c r="F3653" s="11"/>
      <c r="G3653" s="11"/>
      <c r="H3653" s="11"/>
      <c r="I3653" s="11"/>
      <c r="J3653" s="9"/>
      <c r="P3653" s="15"/>
    </row>
    <row r="3654">
      <c r="A3654" s="12"/>
      <c r="B3654" s="12"/>
      <c r="C3654" s="5"/>
      <c r="D3654" s="11"/>
      <c r="E3654" s="11"/>
      <c r="F3654" s="11"/>
      <c r="G3654" s="11"/>
      <c r="H3654" s="11"/>
      <c r="I3654" s="11"/>
      <c r="J3654" s="9"/>
      <c r="P3654" s="15"/>
    </row>
    <row r="3655">
      <c r="A3655" s="12"/>
      <c r="B3655" s="12"/>
      <c r="C3655" s="5"/>
      <c r="D3655" s="11"/>
      <c r="E3655" s="11"/>
      <c r="F3655" s="11"/>
      <c r="G3655" s="11"/>
      <c r="H3655" s="11"/>
      <c r="I3655" s="11"/>
      <c r="J3655" s="9"/>
      <c r="P3655" s="15"/>
    </row>
    <row r="3656">
      <c r="A3656" s="12"/>
      <c r="B3656" s="12"/>
      <c r="C3656" s="5"/>
      <c r="D3656" s="11"/>
      <c r="E3656" s="11"/>
      <c r="F3656" s="11"/>
      <c r="G3656" s="11"/>
      <c r="H3656" s="11"/>
      <c r="I3656" s="11"/>
      <c r="J3656" s="9"/>
      <c r="P3656" s="15"/>
    </row>
    <row r="3657">
      <c r="A3657" s="12"/>
      <c r="B3657" s="12"/>
      <c r="C3657" s="5"/>
      <c r="D3657" s="11"/>
      <c r="E3657" s="11"/>
      <c r="F3657" s="11"/>
      <c r="G3657" s="11"/>
      <c r="H3657" s="11"/>
      <c r="I3657" s="11"/>
      <c r="J3657" s="9"/>
      <c r="P3657" s="15"/>
    </row>
    <row r="3658">
      <c r="A3658" s="12"/>
      <c r="B3658" s="12"/>
      <c r="C3658" s="5"/>
      <c r="D3658" s="11"/>
      <c r="E3658" s="11"/>
      <c r="F3658" s="11"/>
      <c r="G3658" s="11"/>
      <c r="H3658" s="11"/>
      <c r="I3658" s="11"/>
      <c r="J3658" s="9"/>
      <c r="P3658" s="15"/>
    </row>
    <row r="3659">
      <c r="A3659" s="12"/>
      <c r="B3659" s="12"/>
      <c r="C3659" s="5"/>
      <c r="D3659" s="11"/>
      <c r="E3659" s="11"/>
      <c r="F3659" s="11"/>
      <c r="G3659" s="11"/>
      <c r="H3659" s="11"/>
      <c r="I3659" s="11"/>
      <c r="J3659" s="9"/>
      <c r="P3659" s="15"/>
    </row>
    <row r="3660">
      <c r="A3660" s="12"/>
      <c r="B3660" s="12"/>
      <c r="C3660" s="5"/>
      <c r="D3660" s="11"/>
      <c r="E3660" s="11"/>
      <c r="F3660" s="11"/>
      <c r="G3660" s="11"/>
      <c r="H3660" s="11"/>
      <c r="I3660" s="11"/>
      <c r="J3660" s="9"/>
      <c r="P3660" s="15"/>
    </row>
    <row r="3661">
      <c r="A3661" s="12"/>
      <c r="B3661" s="12"/>
      <c r="C3661" s="5"/>
      <c r="D3661" s="11"/>
      <c r="E3661" s="11"/>
      <c r="F3661" s="11"/>
      <c r="G3661" s="11"/>
      <c r="H3661" s="11"/>
      <c r="I3661" s="11"/>
      <c r="J3661" s="9"/>
      <c r="P3661" s="15"/>
    </row>
    <row r="3662">
      <c r="A3662" s="12"/>
      <c r="B3662" s="12"/>
      <c r="C3662" s="5"/>
      <c r="D3662" s="11"/>
      <c r="E3662" s="11"/>
      <c r="F3662" s="11"/>
      <c r="G3662" s="11"/>
      <c r="H3662" s="11"/>
      <c r="I3662" s="11"/>
      <c r="J3662" s="9"/>
      <c r="P3662" s="15"/>
    </row>
    <row r="3663">
      <c r="A3663" s="12"/>
      <c r="B3663" s="12"/>
      <c r="C3663" s="5"/>
      <c r="D3663" s="11"/>
      <c r="E3663" s="11"/>
      <c r="F3663" s="11"/>
      <c r="G3663" s="11"/>
      <c r="H3663" s="11"/>
      <c r="I3663" s="11"/>
      <c r="J3663" s="9"/>
      <c r="P3663" s="15"/>
    </row>
    <row r="3664">
      <c r="A3664" s="12"/>
      <c r="B3664" s="12"/>
      <c r="C3664" s="5"/>
      <c r="D3664" s="11"/>
      <c r="E3664" s="11"/>
      <c r="F3664" s="11"/>
      <c r="G3664" s="11"/>
      <c r="H3664" s="11"/>
      <c r="I3664" s="11"/>
      <c r="J3664" s="9"/>
      <c r="P3664" s="15"/>
    </row>
    <row r="3665">
      <c r="A3665" s="12"/>
      <c r="B3665" s="12"/>
      <c r="C3665" s="5"/>
      <c r="D3665" s="11"/>
      <c r="E3665" s="11"/>
      <c r="F3665" s="11"/>
      <c r="G3665" s="11"/>
      <c r="H3665" s="11"/>
      <c r="I3665" s="11"/>
      <c r="J3665" s="9"/>
      <c r="P3665" s="15"/>
    </row>
    <row r="3666">
      <c r="A3666" s="12"/>
      <c r="B3666" s="12"/>
      <c r="C3666" s="5"/>
      <c r="D3666" s="11"/>
      <c r="E3666" s="11"/>
      <c r="F3666" s="11"/>
      <c r="G3666" s="11"/>
      <c r="H3666" s="11"/>
      <c r="I3666" s="11"/>
      <c r="J3666" s="9"/>
      <c r="P3666" s="15"/>
    </row>
    <row r="3667">
      <c r="A3667" s="12"/>
      <c r="B3667" s="12"/>
      <c r="C3667" s="5"/>
      <c r="D3667" s="11"/>
      <c r="E3667" s="11"/>
      <c r="F3667" s="11"/>
      <c r="G3667" s="11"/>
      <c r="H3667" s="11"/>
      <c r="I3667" s="11"/>
      <c r="J3667" s="9"/>
      <c r="P3667" s="15"/>
    </row>
    <row r="3668">
      <c r="A3668" s="12"/>
      <c r="B3668" s="12"/>
      <c r="C3668" s="5"/>
      <c r="D3668" s="11"/>
      <c r="E3668" s="11"/>
      <c r="F3668" s="11"/>
      <c r="G3668" s="11"/>
      <c r="H3668" s="11"/>
      <c r="I3668" s="11"/>
      <c r="J3668" s="9"/>
      <c r="P3668" s="15"/>
    </row>
    <row r="3669">
      <c r="A3669" s="12"/>
      <c r="B3669" s="12"/>
      <c r="C3669" s="5"/>
      <c r="D3669" s="11"/>
      <c r="E3669" s="11"/>
      <c r="F3669" s="11"/>
      <c r="G3669" s="11"/>
      <c r="H3669" s="11"/>
      <c r="I3669" s="11"/>
      <c r="J3669" s="9"/>
      <c r="P3669" s="15"/>
    </row>
    <row r="3670">
      <c r="A3670" s="12"/>
      <c r="B3670" s="12"/>
      <c r="C3670" s="5"/>
      <c r="D3670" s="11"/>
      <c r="E3670" s="11"/>
      <c r="F3670" s="11"/>
      <c r="G3670" s="11"/>
      <c r="H3670" s="11"/>
      <c r="I3670" s="11"/>
      <c r="J3670" s="9"/>
      <c r="P3670" s="15"/>
    </row>
    <row r="3671">
      <c r="A3671" s="12"/>
      <c r="B3671" s="12"/>
      <c r="C3671" s="5"/>
      <c r="D3671" s="11"/>
      <c r="E3671" s="11"/>
      <c r="F3671" s="11"/>
      <c r="G3671" s="11"/>
      <c r="H3671" s="11"/>
      <c r="I3671" s="11"/>
      <c r="J3671" s="9"/>
      <c r="P3671" s="15"/>
    </row>
    <row r="3672">
      <c r="A3672" s="12"/>
      <c r="B3672" s="12"/>
      <c r="C3672" s="5"/>
      <c r="D3672" s="11"/>
      <c r="E3672" s="11"/>
      <c r="F3672" s="11"/>
      <c r="G3672" s="11"/>
      <c r="H3672" s="11"/>
      <c r="I3672" s="11"/>
      <c r="J3672" s="9"/>
      <c r="P3672" s="15"/>
    </row>
    <row r="3673">
      <c r="A3673" s="12"/>
      <c r="B3673" s="12"/>
      <c r="C3673" s="5"/>
      <c r="D3673" s="11"/>
      <c r="E3673" s="11"/>
      <c r="F3673" s="11"/>
      <c r="G3673" s="11"/>
      <c r="H3673" s="11"/>
      <c r="I3673" s="11"/>
      <c r="J3673" s="9"/>
      <c r="P3673" s="15"/>
    </row>
    <row r="3674">
      <c r="A3674" s="12"/>
      <c r="B3674" s="12"/>
      <c r="C3674" s="5"/>
      <c r="D3674" s="11"/>
      <c r="E3674" s="11"/>
      <c r="F3674" s="11"/>
      <c r="G3674" s="11"/>
      <c r="H3674" s="11"/>
      <c r="I3674" s="11"/>
      <c r="J3674" s="9"/>
      <c r="P3674" s="15"/>
    </row>
    <row r="3675">
      <c r="A3675" s="12"/>
      <c r="B3675" s="12"/>
      <c r="C3675" s="5"/>
      <c r="D3675" s="11"/>
      <c r="E3675" s="11"/>
      <c r="F3675" s="11"/>
      <c r="G3675" s="11"/>
      <c r="H3675" s="11"/>
      <c r="I3675" s="11"/>
      <c r="J3675" s="9"/>
      <c r="P3675" s="15"/>
    </row>
    <row r="3676">
      <c r="A3676" s="12"/>
      <c r="B3676" s="12"/>
      <c r="C3676" s="5"/>
      <c r="D3676" s="11"/>
      <c r="E3676" s="11"/>
      <c r="F3676" s="11"/>
      <c r="G3676" s="11"/>
      <c r="H3676" s="11"/>
      <c r="I3676" s="11"/>
      <c r="J3676" s="9"/>
      <c r="P3676" s="15"/>
    </row>
    <row r="3677">
      <c r="A3677" s="12"/>
      <c r="B3677" s="12"/>
      <c r="C3677" s="5"/>
      <c r="D3677" s="11"/>
      <c r="E3677" s="11"/>
      <c r="F3677" s="11"/>
      <c r="G3677" s="11"/>
      <c r="H3677" s="11"/>
      <c r="I3677" s="11"/>
      <c r="J3677" s="9"/>
      <c r="P3677" s="15"/>
    </row>
    <row r="3678">
      <c r="A3678" s="12"/>
      <c r="B3678" s="12"/>
      <c r="C3678" s="5"/>
      <c r="D3678" s="11"/>
      <c r="E3678" s="11"/>
      <c r="F3678" s="11"/>
      <c r="G3678" s="11"/>
      <c r="H3678" s="11"/>
      <c r="I3678" s="11"/>
      <c r="J3678" s="9"/>
      <c r="P3678" s="15"/>
    </row>
    <row r="3679">
      <c r="A3679" s="12"/>
      <c r="B3679" s="12"/>
      <c r="C3679" s="5"/>
      <c r="D3679" s="11"/>
      <c r="E3679" s="11"/>
      <c r="F3679" s="11"/>
      <c r="G3679" s="11"/>
      <c r="H3679" s="11"/>
      <c r="I3679" s="11"/>
      <c r="J3679" s="9"/>
      <c r="P3679" s="15"/>
    </row>
    <row r="3680">
      <c r="A3680" s="12"/>
      <c r="B3680" s="12"/>
      <c r="C3680" s="5"/>
      <c r="D3680" s="11"/>
      <c r="E3680" s="11"/>
      <c r="F3680" s="11"/>
      <c r="G3680" s="11"/>
      <c r="H3680" s="11"/>
      <c r="I3680" s="11"/>
      <c r="J3680" s="9"/>
      <c r="P3680" s="15"/>
    </row>
    <row r="3681">
      <c r="A3681" s="12"/>
      <c r="B3681" s="12"/>
      <c r="C3681" s="5"/>
      <c r="D3681" s="11"/>
      <c r="E3681" s="11"/>
      <c r="F3681" s="11"/>
      <c r="G3681" s="11"/>
      <c r="H3681" s="11"/>
      <c r="I3681" s="11"/>
      <c r="J3681" s="9"/>
      <c r="P3681" s="15"/>
    </row>
    <row r="3682">
      <c r="A3682" s="12"/>
      <c r="B3682" s="12"/>
      <c r="C3682" s="5"/>
      <c r="D3682" s="11"/>
      <c r="E3682" s="11"/>
      <c r="F3682" s="11"/>
      <c r="G3682" s="11"/>
      <c r="H3682" s="11"/>
      <c r="I3682" s="11"/>
      <c r="J3682" s="9"/>
      <c r="P3682" s="15"/>
    </row>
    <row r="3683">
      <c r="A3683" s="12"/>
      <c r="B3683" s="12"/>
      <c r="C3683" s="5"/>
      <c r="D3683" s="11"/>
      <c r="E3683" s="11"/>
      <c r="F3683" s="11"/>
      <c r="G3683" s="11"/>
      <c r="H3683" s="11"/>
      <c r="I3683" s="11"/>
      <c r="J3683" s="9"/>
      <c r="P3683" s="15"/>
    </row>
    <row r="3684">
      <c r="A3684" s="12"/>
      <c r="B3684" s="12"/>
      <c r="C3684" s="5"/>
      <c r="D3684" s="11"/>
      <c r="E3684" s="11"/>
      <c r="F3684" s="11"/>
      <c r="G3684" s="11"/>
      <c r="H3684" s="11"/>
      <c r="I3684" s="11"/>
      <c r="J3684" s="9"/>
      <c r="P3684" s="15"/>
    </row>
    <row r="3685">
      <c r="A3685" s="12"/>
      <c r="B3685" s="12"/>
      <c r="C3685" s="5"/>
      <c r="D3685" s="11"/>
      <c r="E3685" s="11"/>
      <c r="F3685" s="11"/>
      <c r="G3685" s="11"/>
      <c r="H3685" s="11"/>
      <c r="I3685" s="11"/>
      <c r="J3685" s="9"/>
      <c r="P3685" s="15"/>
    </row>
    <row r="3686">
      <c r="A3686" s="12"/>
      <c r="B3686" s="12"/>
      <c r="C3686" s="5"/>
      <c r="D3686" s="11"/>
      <c r="E3686" s="11"/>
      <c r="F3686" s="11"/>
      <c r="G3686" s="11"/>
      <c r="H3686" s="11"/>
      <c r="I3686" s="11"/>
      <c r="J3686" s="9"/>
      <c r="P3686" s="15"/>
    </row>
    <row r="3687">
      <c r="A3687" s="12"/>
      <c r="B3687" s="12"/>
      <c r="C3687" s="5"/>
      <c r="D3687" s="11"/>
      <c r="E3687" s="11"/>
      <c r="F3687" s="11"/>
      <c r="G3687" s="11"/>
      <c r="H3687" s="11"/>
      <c r="I3687" s="11"/>
      <c r="J3687" s="9"/>
      <c r="P3687" s="15"/>
    </row>
    <row r="3688">
      <c r="A3688" s="12"/>
      <c r="B3688" s="12"/>
      <c r="C3688" s="5"/>
      <c r="D3688" s="11"/>
      <c r="E3688" s="11"/>
      <c r="F3688" s="11"/>
      <c r="G3688" s="11"/>
      <c r="H3688" s="11"/>
      <c r="I3688" s="11"/>
      <c r="J3688" s="9"/>
      <c r="P3688" s="15"/>
    </row>
    <row r="3689">
      <c r="A3689" s="12"/>
      <c r="B3689" s="12"/>
      <c r="C3689" s="5"/>
      <c r="D3689" s="11"/>
      <c r="E3689" s="11"/>
      <c r="F3689" s="11"/>
      <c r="G3689" s="11"/>
      <c r="H3689" s="11"/>
      <c r="I3689" s="11"/>
      <c r="J3689" s="9"/>
      <c r="P3689" s="15"/>
    </row>
    <row r="3690">
      <c r="A3690" s="12"/>
      <c r="B3690" s="12"/>
      <c r="C3690" s="5"/>
      <c r="D3690" s="11"/>
      <c r="E3690" s="11"/>
      <c r="F3690" s="11"/>
      <c r="G3690" s="11"/>
      <c r="H3690" s="11"/>
      <c r="I3690" s="11"/>
      <c r="J3690" s="9"/>
      <c r="P3690" s="15"/>
    </row>
    <row r="3691">
      <c r="A3691" s="12"/>
      <c r="B3691" s="12"/>
      <c r="C3691" s="5"/>
      <c r="D3691" s="11"/>
      <c r="E3691" s="11"/>
      <c r="F3691" s="11"/>
      <c r="G3691" s="11"/>
      <c r="H3691" s="11"/>
      <c r="I3691" s="11"/>
      <c r="J3691" s="9"/>
      <c r="P3691" s="15"/>
    </row>
    <row r="3692">
      <c r="A3692" s="12"/>
      <c r="B3692" s="12"/>
      <c r="C3692" s="5"/>
      <c r="D3692" s="11"/>
      <c r="E3692" s="11"/>
      <c r="F3692" s="11"/>
      <c r="G3692" s="11"/>
      <c r="H3692" s="11"/>
      <c r="I3692" s="11"/>
      <c r="J3692" s="9"/>
      <c r="P3692" s="15"/>
    </row>
  </sheetData>
  <autoFilter ref="$B$1:$AA$2692">
    <sortState ref="B1:AA2692">
      <sortCondition ref="B1:B2692"/>
    </sortState>
  </autoFilter>
  <drawing r:id="rId1"/>
</worksheet>
</file>